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ziukr\Desktop\BlackShip\MasterComposer\"/>
    </mc:Choice>
  </mc:AlternateContent>
  <xr:revisionPtr revIDLastSave="0" documentId="13_ncr:1_{3881F87B-DE64-4623-9312-399080832921}" xr6:coauthVersionLast="47" xr6:coauthVersionMax="47" xr10:uidLastSave="{00000000-0000-0000-0000-000000000000}"/>
  <bookViews>
    <workbookView xWindow="-28920" yWindow="-120" windowWidth="29040" windowHeight="15720" xr2:uid="{00000000-000D-0000-FFFF-FFFF00000000}"/>
  </bookViews>
  <sheets>
    <sheet name="Lista Corso" sheetId="1" r:id="rId1"/>
    <sheet name="Consuntivatore Tot Aut 23" sheetId="2" r:id="rId2"/>
    <sheet name="Consuntivatore Tot Prim 23 con " sheetId="3" r:id="rId3"/>
    <sheet name="Proiezione Tot Prim 23" sheetId="4" r:id="rId4"/>
    <sheet name="Lista Corso Aut 22" sheetId="5" r:id="rId5"/>
    <sheet name="Consuntivatore Tot Aut 22" sheetId="6" r:id="rId6"/>
    <sheet name="Consuntivatore Tot Prim 22" sheetId="7" r:id="rId7"/>
    <sheet name="Lista Corso autunno 21" sheetId="8" r:id="rId8"/>
    <sheet name="Data Validation" sheetId="9" r:id="rId9"/>
    <sheet name="Attività &amp; Materiale" sheetId="10" r:id="rId10"/>
    <sheet name="Lista Partecipanti" sheetId="11" r:id="rId11"/>
    <sheet name="Livelli &amp; Step Trainer-Coach" sheetId="12" r:id="rId12"/>
    <sheet name="Consuntivatore 21" sheetId="13" r:id="rId13"/>
  </sheets>
  <definedNames>
    <definedName name="_xlnm._FilterDatabase" localSheetId="5" hidden="1">'Consuntivatore Tot Aut 22'!$A$96:$Z$249</definedName>
    <definedName name="_xlnm._FilterDatabase" localSheetId="1" hidden="1">'Consuntivatore Tot Aut 23'!$A$108:$Z$235</definedName>
    <definedName name="_xlnm._FilterDatabase" localSheetId="6" hidden="1">'Consuntivatore Tot Prim 22'!$B$14:$K$126</definedName>
    <definedName name="_xlnm._FilterDatabase" localSheetId="0" hidden="1">'Lista Corso'!$A$12:$DZ$502</definedName>
    <definedName name="_xlnm._FilterDatabase" localSheetId="4" hidden="1">'Lista Corso Aut 22'!$A$1:$DT$466</definedName>
    <definedName name="_xlnm._FilterDatabase" localSheetId="7" hidden="1">'Lista Corso autunno 21'!$A$1:$BQ$180</definedName>
    <definedName name="_xlnm._FilterDatabase" localSheetId="10" hidden="1">'Lista Partecipanti'!$A$3:$J$450</definedName>
    <definedName name="_xlnm._FilterDatabase" localSheetId="3" hidden="1">'Proiezione Tot Prim 23'!$A$103:$Z$232</definedName>
    <definedName name="TOTVEN" localSheetId="5">'Consuntivatore Tot Aut 22'!$D$238</definedName>
    <definedName name="TOTVEN" localSheetId="1">'Consuntivatore Tot Aut 23'!$D$256</definedName>
    <definedName name="TOTVEN" localSheetId="6">'Consuntivatore Tot Prim 22'!$D$290</definedName>
    <definedName name="TOTVEN" localSheetId="2">'Consuntivatore Tot Prim 23 con '!$D$319</definedName>
    <definedName name="TOTVEN" localSheetId="8">#REF!</definedName>
    <definedName name="TOTVEN" localSheetId="3">'Proiezione Tot Prim 23'!$D$258</definedName>
    <definedName name="TOTVEN">#REF!</definedName>
    <definedName name="Z_283C6EFD_FB32_4666_B3E0_52C9295C4966_.wvu.FilterData" localSheetId="0" hidden="1">'Lista Corso'!$A$499:$DN$647</definedName>
    <definedName name="Z_283C6EFD_FB32_4666_B3E0_52C9295C4966_.wvu.FilterData" localSheetId="4" hidden="1">'Lista Corso Aut 22'!$A$316:$DT$467</definedName>
  </definedNames>
  <calcPr calcId="191029"/>
  <customWorkbookViews>
    <customWorkbookView name="Filtro 1" guid="{283C6EFD-FB32-4666-B3E0-52C9295C4966}"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7" roundtripDataChecksum="2OX9C2lfXTzF00CqRyg5v9ExB2ZCwe/JrUZoNu5rh+0="/>
    </ext>
  </extLst>
</workbook>
</file>

<file path=xl/calcChain.xml><?xml version="1.0" encoding="utf-8"?>
<calcChain xmlns="http://schemas.openxmlformats.org/spreadsheetml/2006/main">
  <c r="D167" i="13" l="1"/>
  <c r="F154" i="13"/>
  <c r="F153" i="13"/>
  <c r="F150" i="13"/>
  <c r="F149" i="13"/>
  <c r="F148" i="13"/>
  <c r="F147" i="13"/>
  <c r="F146" i="13"/>
  <c r="F145" i="13"/>
  <c r="F144" i="13"/>
  <c r="F142" i="13"/>
  <c r="F141" i="13"/>
  <c r="F140" i="13"/>
  <c r="F139" i="13"/>
  <c r="F138" i="13"/>
  <c r="F137" i="13"/>
  <c r="F136" i="13"/>
  <c r="F135" i="13"/>
  <c r="F132" i="13"/>
  <c r="F131" i="13"/>
  <c r="F130" i="13"/>
  <c r="F129" i="13"/>
  <c r="F126" i="13"/>
  <c r="F123" i="13"/>
  <c r="F121" i="13"/>
  <c r="F119" i="13"/>
  <c r="F118" i="13"/>
  <c r="F115" i="13"/>
  <c r="F114" i="13"/>
  <c r="F113" i="13"/>
  <c r="F112" i="13"/>
  <c r="F111" i="13"/>
  <c r="F110" i="13"/>
  <c r="F109" i="13"/>
  <c r="F108" i="13"/>
  <c r="F105" i="13"/>
  <c r="F104" i="13"/>
  <c r="F103" i="13"/>
  <c r="F102" i="13"/>
  <c r="F101" i="13"/>
  <c r="F98" i="13"/>
  <c r="F96" i="13"/>
  <c r="F95" i="13"/>
  <c r="F94" i="13"/>
  <c r="F93" i="13"/>
  <c r="F92" i="13"/>
  <c r="F91" i="13"/>
  <c r="F89" i="13"/>
  <c r="F88" i="13"/>
  <c r="F87" i="13"/>
  <c r="F86" i="13"/>
  <c r="F85" i="13"/>
  <c r="F84" i="13"/>
  <c r="F83" i="13"/>
  <c r="F82" i="13"/>
  <c r="F79" i="13"/>
  <c r="F78" i="13"/>
  <c r="F77" i="13"/>
  <c r="F76" i="13"/>
  <c r="F74" i="13"/>
  <c r="F73" i="13"/>
  <c r="F72" i="13"/>
  <c r="A72" i="13"/>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A97" i="13" s="1"/>
  <c r="A98" i="13" s="1"/>
  <c r="A99" i="13" s="1"/>
  <c r="A100" i="13" s="1"/>
  <c r="A101" i="13" s="1"/>
  <c r="A102" i="13" s="1"/>
  <c r="A103" i="13" s="1"/>
  <c r="A104" i="13" s="1"/>
  <c r="A105" i="13" s="1"/>
  <c r="A106" i="13" s="1"/>
  <c r="A107" i="13" s="1"/>
  <c r="A108" i="13" s="1"/>
  <c r="A109" i="13" s="1"/>
  <c r="A110" i="13" s="1"/>
  <c r="A111" i="13" s="1"/>
  <c r="A112" i="13" s="1"/>
  <c r="A113" i="13" s="1"/>
  <c r="A114" i="13" s="1"/>
  <c r="A115" i="13" s="1"/>
  <c r="A116" i="13" s="1"/>
  <c r="A117" i="13" s="1"/>
  <c r="A118" i="13" s="1"/>
  <c r="A119" i="13" s="1"/>
  <c r="A120" i="13" s="1"/>
  <c r="A121" i="13" s="1"/>
  <c r="A122" i="13" s="1"/>
  <c r="A123" i="13" s="1"/>
  <c r="A124" i="13" s="1"/>
  <c r="A125" i="13" s="1"/>
  <c r="A126" i="13" s="1"/>
  <c r="A127" i="13" s="1"/>
  <c r="A128" i="13" s="1"/>
  <c r="A129" i="13" s="1"/>
  <c r="A130" i="13" s="1"/>
  <c r="A131" i="13" s="1"/>
  <c r="A132" i="13" s="1"/>
  <c r="A133" i="13" s="1"/>
  <c r="A134" i="13" s="1"/>
  <c r="A135" i="13" s="1"/>
  <c r="A136" i="13" s="1"/>
  <c r="A137" i="13" s="1"/>
  <c r="A138" i="13" s="1"/>
  <c r="A139" i="13" s="1"/>
  <c r="A140" i="13" s="1"/>
  <c r="A141" i="13" s="1"/>
  <c r="A142" i="13" s="1"/>
  <c r="A143" i="13" s="1"/>
  <c r="A144" i="13" s="1"/>
  <c r="A145" i="13" s="1"/>
  <c r="A146" i="13" s="1"/>
  <c r="A147" i="13" s="1"/>
  <c r="A148" i="13" s="1"/>
  <c r="A149" i="13" s="1"/>
  <c r="A150" i="13" s="1"/>
  <c r="A151" i="13" s="1"/>
  <c r="A152" i="13" s="1"/>
  <c r="A153" i="13" s="1"/>
  <c r="A154" i="13" s="1"/>
  <c r="A155" i="13" s="1"/>
  <c r="F71" i="13"/>
  <c r="F70" i="13"/>
  <c r="F68" i="13"/>
  <c r="A67" i="13"/>
  <c r="A68" i="13" s="1"/>
  <c r="A69" i="13" s="1"/>
  <c r="A70" i="13" s="1"/>
  <c r="A71" i="13" s="1"/>
  <c r="F65" i="13"/>
  <c r="F64" i="13"/>
  <c r="F63" i="13"/>
  <c r="F62" i="13"/>
  <c r="F61" i="13"/>
  <c r="F60" i="13"/>
  <c r="F58" i="13"/>
  <c r="F57" i="13"/>
  <c r="A57" i="13"/>
  <c r="A58" i="13" s="1"/>
  <c r="A59" i="13" s="1"/>
  <c r="A60" i="13" s="1"/>
  <c r="A61" i="13" s="1"/>
  <c r="A62" i="13" s="1"/>
  <c r="A63" i="13" s="1"/>
  <c r="A64" i="13" s="1"/>
  <c r="A65" i="13" s="1"/>
  <c r="A66" i="13" s="1"/>
  <c r="F55" i="13"/>
  <c r="F53" i="13"/>
  <c r="I49" i="13"/>
  <c r="G49" i="13"/>
  <c r="F49" i="13"/>
  <c r="E49" i="13"/>
  <c r="G48" i="13"/>
  <c r="F48" i="13"/>
  <c r="E48" i="13"/>
  <c r="I48" i="13" s="1"/>
  <c r="I47" i="13"/>
  <c r="G47" i="13"/>
  <c r="F47" i="13"/>
  <c r="E47" i="13"/>
  <c r="G46" i="13"/>
  <c r="F46" i="13"/>
  <c r="E46" i="13"/>
  <c r="I45" i="13"/>
  <c r="G45" i="13"/>
  <c r="F45" i="13"/>
  <c r="E45" i="13"/>
  <c r="G44" i="13"/>
  <c r="F44" i="13"/>
  <c r="E44" i="13"/>
  <c r="G43" i="13"/>
  <c r="I43" i="13" s="1"/>
  <c r="F43" i="13"/>
  <c r="E43" i="13"/>
  <c r="G42" i="13"/>
  <c r="I42" i="13" s="1"/>
  <c r="F42" i="13"/>
  <c r="E42" i="13"/>
  <c r="I41" i="13"/>
  <c r="G41" i="13"/>
  <c r="F41" i="13"/>
  <c r="E41" i="13"/>
  <c r="A41" i="13"/>
  <c r="A42" i="13" s="1"/>
  <c r="A43" i="13" s="1"/>
  <c r="A44" i="13" s="1"/>
  <c r="A45" i="13" s="1"/>
  <c r="A46" i="13" s="1"/>
  <c r="A47" i="13" s="1"/>
  <c r="A48" i="13" s="1"/>
  <c r="A49" i="13" s="1"/>
  <c r="G40" i="13"/>
  <c r="F40" i="13"/>
  <c r="E40" i="13"/>
  <c r="I40" i="13" s="1"/>
  <c r="I35" i="13"/>
  <c r="F35" i="13"/>
  <c r="E35" i="13"/>
  <c r="F34" i="13"/>
  <c r="E34" i="13"/>
  <c r="F33" i="13"/>
  <c r="E33" i="13"/>
  <c r="I33" i="13" s="1"/>
  <c r="G32" i="13"/>
  <c r="F32" i="13"/>
  <c r="E32" i="13"/>
  <c r="I32" i="13" s="1"/>
  <c r="I31" i="13"/>
  <c r="G31" i="13"/>
  <c r="F31" i="13"/>
  <c r="E31" i="13"/>
  <c r="G30" i="13"/>
  <c r="I30" i="13" s="1"/>
  <c r="F30" i="13"/>
  <c r="E30" i="13"/>
  <c r="I29" i="13"/>
  <c r="G29" i="13"/>
  <c r="F29" i="13"/>
  <c r="E29" i="13"/>
  <c r="G28" i="13"/>
  <c r="I28" i="13" s="1"/>
  <c r="F28" i="13"/>
  <c r="E28" i="13"/>
  <c r="G27" i="13"/>
  <c r="F27" i="13"/>
  <c r="E27" i="13"/>
  <c r="G26" i="13"/>
  <c r="I26" i="13" s="1"/>
  <c r="F26" i="13"/>
  <c r="E26" i="13"/>
  <c r="G25" i="13"/>
  <c r="F25" i="13"/>
  <c r="I25" i="13" s="1"/>
  <c r="E25" i="13"/>
  <c r="G24" i="13"/>
  <c r="F24" i="13"/>
  <c r="E24" i="13"/>
  <c r="I24" i="13" s="1"/>
  <c r="G23" i="13"/>
  <c r="F23" i="13"/>
  <c r="I23" i="13" s="1"/>
  <c r="E23" i="13"/>
  <c r="G22" i="13"/>
  <c r="F22" i="13"/>
  <c r="E22" i="13"/>
  <c r="I21" i="13"/>
  <c r="G21" i="13"/>
  <c r="F21" i="13"/>
  <c r="E21" i="13"/>
  <c r="G20" i="13"/>
  <c r="F20" i="13"/>
  <c r="E20" i="13"/>
  <c r="G19" i="13"/>
  <c r="F19" i="13"/>
  <c r="E19" i="13"/>
  <c r="G18" i="13"/>
  <c r="I18" i="13" s="1"/>
  <c r="F18" i="13"/>
  <c r="E18" i="13"/>
  <c r="I17" i="13"/>
  <c r="G17" i="13"/>
  <c r="F17" i="13"/>
  <c r="E17" i="13"/>
  <c r="A17" i="13"/>
  <c r="A18" i="13" s="1"/>
  <c r="A19" i="13" s="1"/>
  <c r="A20" i="13" s="1"/>
  <c r="A21" i="13" s="1"/>
  <c r="A22" i="13" s="1"/>
  <c r="A23" i="13" s="1"/>
  <c r="A24" i="13" s="1"/>
  <c r="A25" i="13" s="1"/>
  <c r="A26" i="13" s="1"/>
  <c r="A27" i="13" s="1"/>
  <c r="A28" i="13" s="1"/>
  <c r="A29" i="13" s="1"/>
  <c r="A30" i="13" s="1"/>
  <c r="A31" i="13" s="1"/>
  <c r="A32" i="13" s="1"/>
  <c r="A33" i="13" s="1"/>
  <c r="A34" i="13" s="1"/>
  <c r="A35" i="13" s="1"/>
  <c r="G16" i="13"/>
  <c r="F16" i="13"/>
  <c r="E16" i="13"/>
  <c r="I16" i="13" s="1"/>
  <c r="I15" i="13"/>
  <c r="G15" i="13"/>
  <c r="F15" i="13"/>
  <c r="E15" i="13"/>
  <c r="G14" i="13"/>
  <c r="I14" i="13" s="1"/>
  <c r="F14" i="13"/>
  <c r="E14" i="13"/>
  <c r="I13" i="13"/>
  <c r="G13" i="13"/>
  <c r="F13" i="13"/>
  <c r="E13" i="13"/>
  <c r="G12" i="13"/>
  <c r="I12" i="13" s="1"/>
  <c r="F12" i="13"/>
  <c r="E12" i="13"/>
  <c r="G11" i="13"/>
  <c r="F11" i="13"/>
  <c r="E11" i="13"/>
  <c r="G10" i="13"/>
  <c r="I10" i="13" s="1"/>
  <c r="F10" i="13"/>
  <c r="E10" i="13"/>
  <c r="G9" i="13"/>
  <c r="F9" i="13"/>
  <c r="I9" i="13" s="1"/>
  <c r="E9" i="13"/>
  <c r="F8" i="13"/>
  <c r="E8" i="13"/>
  <c r="I8" i="13" s="1"/>
  <c r="G7" i="13"/>
  <c r="F7" i="13"/>
  <c r="E7" i="13"/>
  <c r="G6" i="13"/>
  <c r="F6" i="13"/>
  <c r="E6" i="13"/>
  <c r="A6" i="13"/>
  <c r="A7" i="13" s="1"/>
  <c r="A8" i="13" s="1"/>
  <c r="A9" i="13" s="1"/>
  <c r="A10" i="13" s="1"/>
  <c r="A11" i="13" s="1"/>
  <c r="A12" i="13" s="1"/>
  <c r="A13" i="13" s="1"/>
  <c r="A14" i="13" s="1"/>
  <c r="A15" i="13" s="1"/>
  <c r="A16" i="13" s="1"/>
  <c r="F5" i="13"/>
  <c r="E5" i="13"/>
  <c r="I5" i="13" s="1"/>
  <c r="C2" i="13"/>
  <c r="D160" i="13" s="1"/>
  <c r="B345" i="11"/>
  <c r="B346" i="11" s="1"/>
  <c r="B347" i="11" s="1"/>
  <c r="B348" i="11" s="1"/>
  <c r="B349" i="11" s="1"/>
  <c r="B350" i="11" s="1"/>
  <c r="B351" i="11" s="1"/>
  <c r="B352" i="11" s="1"/>
  <c r="B353" i="11" s="1"/>
  <c r="B354" i="11" s="1"/>
  <c r="B355" i="11" s="1"/>
  <c r="B356" i="11" s="1"/>
  <c r="B357" i="11" s="1"/>
  <c r="B358" i="11" s="1"/>
  <c r="B359" i="11" s="1"/>
  <c r="B360" i="11" s="1"/>
  <c r="B361" i="11" s="1"/>
  <c r="B362" i="11" s="1"/>
  <c r="B363" i="11" s="1"/>
  <c r="B364" i="11" s="1"/>
  <c r="B365" i="11" s="1"/>
  <c r="B366" i="11" s="1"/>
  <c r="B367" i="11" s="1"/>
  <c r="B368" i="11" s="1"/>
  <c r="B369" i="11" s="1"/>
  <c r="B370" i="11" s="1"/>
  <c r="B371" i="11" s="1"/>
  <c r="B372" i="11" s="1"/>
  <c r="B373" i="11" s="1"/>
  <c r="B374" i="11" s="1"/>
  <c r="B375" i="11" s="1"/>
  <c r="B376" i="11" s="1"/>
  <c r="B377" i="11" s="1"/>
  <c r="B378" i="11" s="1"/>
  <c r="B379" i="11" s="1"/>
  <c r="B380" i="11" s="1"/>
  <c r="B381" i="11" s="1"/>
  <c r="B382" i="11" s="1"/>
  <c r="B383" i="11" s="1"/>
  <c r="B384" i="11" s="1"/>
  <c r="B385" i="11" s="1"/>
  <c r="B386" i="11" s="1"/>
  <c r="B387" i="11" s="1"/>
  <c r="B388" i="11" s="1"/>
  <c r="B389" i="11" s="1"/>
  <c r="B390" i="11" s="1"/>
  <c r="B391" i="11" s="1"/>
  <c r="B392" i="11" s="1"/>
  <c r="B393" i="11" s="1"/>
  <c r="B394" i="11" s="1"/>
  <c r="B395" i="11" s="1"/>
  <c r="B396" i="11" s="1"/>
  <c r="B397" i="11" s="1"/>
  <c r="B398" i="11" s="1"/>
  <c r="B399" i="11" s="1"/>
  <c r="B400" i="11" s="1"/>
  <c r="B401" i="11" s="1"/>
  <c r="B402" i="11" s="1"/>
  <c r="B403" i="11" s="1"/>
  <c r="B404" i="11" s="1"/>
  <c r="B405" i="11" s="1"/>
  <c r="B406" i="11" s="1"/>
  <c r="B407" i="11" s="1"/>
  <c r="B408" i="11" s="1"/>
  <c r="B409" i="11" s="1"/>
  <c r="B410" i="11" s="1"/>
  <c r="B411" i="11" s="1"/>
  <c r="B412" i="11" s="1"/>
  <c r="B413" i="11" s="1"/>
  <c r="B414" i="11" s="1"/>
  <c r="B415" i="11" s="1"/>
  <c r="B416" i="11" s="1"/>
  <c r="B417" i="11" s="1"/>
  <c r="B418" i="11" s="1"/>
  <c r="B419" i="11" s="1"/>
  <c r="B420" i="11" s="1"/>
  <c r="B421" i="11" s="1"/>
  <c r="B422" i="11" s="1"/>
  <c r="B423" i="11" s="1"/>
  <c r="B424" i="11" s="1"/>
  <c r="B425" i="11" s="1"/>
  <c r="B426" i="11" s="1"/>
  <c r="B427" i="11" s="1"/>
  <c r="B428" i="11" s="1"/>
  <c r="B429" i="11" s="1"/>
  <c r="B430" i="11" s="1"/>
  <c r="B431" i="11" s="1"/>
  <c r="B432" i="11" s="1"/>
  <c r="B433" i="11" s="1"/>
  <c r="B434" i="11" s="1"/>
  <c r="B435" i="11" s="1"/>
  <c r="B436" i="11" s="1"/>
  <c r="B437" i="11" s="1"/>
  <c r="B438" i="11" s="1"/>
  <c r="B439" i="11" s="1"/>
  <c r="B440" i="11" s="1"/>
  <c r="B441" i="11" s="1"/>
  <c r="B442" i="11" s="1"/>
  <c r="B443" i="11" s="1"/>
  <c r="B444" i="11" s="1"/>
  <c r="B445" i="11" s="1"/>
  <c r="B446" i="11" s="1"/>
  <c r="B447" i="11" s="1"/>
  <c r="B448" i="11" s="1"/>
  <c r="B449" i="11" s="1"/>
  <c r="B263" i="11"/>
  <c r="B264" i="11" s="1"/>
  <c r="B196" i="11"/>
  <c r="B197" i="11" s="1"/>
  <c r="B198" i="11" s="1"/>
  <c r="B199" i="11" s="1"/>
  <c r="B200" i="11" s="1"/>
  <c r="B201" i="11" s="1"/>
  <c r="B202" i="11" s="1"/>
  <c r="B203" i="11" s="1"/>
  <c r="B204" i="11" s="1"/>
  <c r="B205" i="11" s="1"/>
  <c r="B206" i="11" s="1"/>
  <c r="B207" i="11" s="1"/>
  <c r="B208" i="11" s="1"/>
  <c r="B209" i="11" s="1"/>
  <c r="B210" i="11" s="1"/>
  <c r="B211" i="11" s="1"/>
  <c r="B212" i="11" s="1"/>
  <c r="B213" i="11" s="1"/>
  <c r="B214" i="11" s="1"/>
  <c r="B215" i="11" s="1"/>
  <c r="B216" i="11" s="1"/>
  <c r="B217" i="11" s="1"/>
  <c r="B218" i="11" s="1"/>
  <c r="B219" i="11" s="1"/>
  <c r="B220" i="11" s="1"/>
  <c r="B221" i="11" s="1"/>
  <c r="B222" i="11" s="1"/>
  <c r="B223" i="11" s="1"/>
  <c r="B224" i="11" s="1"/>
  <c r="B225" i="11" s="1"/>
  <c r="B226" i="11" s="1"/>
  <c r="B227" i="11" s="1"/>
  <c r="B228" i="11" s="1"/>
  <c r="B229" i="11" s="1"/>
  <c r="B230" i="11" s="1"/>
  <c r="B231" i="11" s="1"/>
  <c r="B232" i="11" s="1"/>
  <c r="B233" i="11" s="1"/>
  <c r="B234" i="11" s="1"/>
  <c r="B235" i="11" s="1"/>
  <c r="B236" i="11" s="1"/>
  <c r="B237" i="11" s="1"/>
  <c r="B238" i="11" s="1"/>
  <c r="B239" i="11" s="1"/>
  <c r="B240" i="11" s="1"/>
  <c r="B241" i="11" s="1"/>
  <c r="B242" i="11" s="1"/>
  <c r="B243" i="11" s="1"/>
  <c r="B244" i="11" s="1"/>
  <c r="B245" i="11" s="1"/>
  <c r="B246" i="11" s="1"/>
  <c r="B247" i="11" s="1"/>
  <c r="B248" i="11" s="1"/>
  <c r="B249" i="11" s="1"/>
  <c r="B250" i="11" s="1"/>
  <c r="B251" i="11" s="1"/>
  <c r="B252" i="11" s="1"/>
  <c r="B253" i="11" s="1"/>
  <c r="B254" i="11" s="1"/>
  <c r="B255" i="11" s="1"/>
  <c r="B256" i="11" s="1"/>
  <c r="B257" i="11" s="1"/>
  <c r="B258" i="11" s="1"/>
  <c r="B259" i="11" s="1"/>
  <c r="B260" i="11" s="1"/>
  <c r="B261" i="11" s="1"/>
  <c r="B194" i="11"/>
  <c r="B195" i="11" s="1"/>
  <c r="B190" i="11"/>
  <c r="B191" i="11" s="1"/>
  <c r="B192" i="11" s="1"/>
  <c r="B193" i="11" s="1"/>
  <c r="B149" i="11"/>
  <c r="B150" i="11" s="1"/>
  <c r="B151" i="11" s="1"/>
  <c r="B152" i="11" s="1"/>
  <c r="B153" i="11" s="1"/>
  <c r="B154" i="11" s="1"/>
  <c r="B155" i="11" s="1"/>
  <c r="B156" i="11" s="1"/>
  <c r="B157" i="11" s="1"/>
  <c r="B158" i="11" s="1"/>
  <c r="B159" i="11" s="1"/>
  <c r="B160" i="11" s="1"/>
  <c r="B161" i="11" s="1"/>
  <c r="B162" i="11" s="1"/>
  <c r="B163" i="11" s="1"/>
  <c r="B164" i="11" s="1"/>
  <c r="B165" i="11" s="1"/>
  <c r="B166" i="11" s="1"/>
  <c r="B167" i="11" s="1"/>
  <c r="B168" i="11" s="1"/>
  <c r="B169" i="11" s="1"/>
  <c r="B170" i="11" s="1"/>
  <c r="B171" i="11" s="1"/>
  <c r="B172" i="11" s="1"/>
  <c r="B173" i="11" s="1"/>
  <c r="B174" i="11" s="1"/>
  <c r="B175" i="11" s="1"/>
  <c r="B176" i="11" s="1"/>
  <c r="B177" i="11" s="1"/>
  <c r="B178" i="11" s="1"/>
  <c r="B179" i="11" s="1"/>
  <c r="B180" i="11" s="1"/>
  <c r="B181" i="11" s="1"/>
  <c r="B182" i="11" s="1"/>
  <c r="B183" i="11" s="1"/>
  <c r="B184" i="11" s="1"/>
  <c r="B185" i="11" s="1"/>
  <c r="B186" i="11" s="1"/>
  <c r="B187" i="11" s="1"/>
  <c r="B188" i="11" s="1"/>
  <c r="B145" i="11"/>
  <c r="B146" i="11" s="1"/>
  <c r="B147" i="11" s="1"/>
  <c r="B148" i="11" s="1"/>
  <c r="B142" i="11"/>
  <c r="B143" i="11" s="1"/>
  <c r="B144" i="11" s="1"/>
  <c r="B100" i="11"/>
  <c r="B101" i="11" s="1"/>
  <c r="B102" i="11" s="1"/>
  <c r="B103" i="11" s="1"/>
  <c r="B104" i="11" s="1"/>
  <c r="B105" i="11" s="1"/>
  <c r="B106" i="11" s="1"/>
  <c r="B107" i="11" s="1"/>
  <c r="B108" i="11" s="1"/>
  <c r="B109" i="11" s="1"/>
  <c r="B110" i="11" s="1"/>
  <c r="B111" i="11" s="1"/>
  <c r="B112" i="11" s="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99" i="11"/>
  <c r="B78" i="11"/>
  <c r="B79" i="11" s="1"/>
  <c r="B80" i="11" s="1"/>
  <c r="B81" i="11" s="1"/>
  <c r="B82" i="11" s="1"/>
  <c r="B83" i="11" s="1"/>
  <c r="B84" i="11" s="1"/>
  <c r="B85" i="11" s="1"/>
  <c r="B86" i="11" s="1"/>
  <c r="B87" i="11" s="1"/>
  <c r="B88" i="11" s="1"/>
  <c r="B89" i="11" s="1"/>
  <c r="B90" i="11" s="1"/>
  <c r="B91" i="11" s="1"/>
  <c r="B92" i="11" s="1"/>
  <c r="B93" i="11" s="1"/>
  <c r="B94" i="11" s="1"/>
  <c r="B95" i="11" s="1"/>
  <c r="B96" i="11" s="1"/>
  <c r="B97" i="11" s="1"/>
  <c r="B71" i="11"/>
  <c r="B72" i="11" s="1"/>
  <c r="B73" i="11" s="1"/>
  <c r="B74" i="11" s="1"/>
  <c r="B75" i="11" s="1"/>
  <c r="B76" i="11" s="1"/>
  <c r="B77" i="11" s="1"/>
  <c r="B70" i="11"/>
  <c r="B69" i="11"/>
  <c r="B48" i="11"/>
  <c r="B49" i="11" s="1"/>
  <c r="B50" i="11" s="1"/>
  <c r="B51" i="11" s="1"/>
  <c r="B52" i="11" s="1"/>
  <c r="B53" i="11" s="1"/>
  <c r="B54" i="11" s="1"/>
  <c r="B55" i="11" s="1"/>
  <c r="B56" i="11" s="1"/>
  <c r="B57" i="11" s="1"/>
  <c r="B58" i="11" s="1"/>
  <c r="B59" i="11" s="1"/>
  <c r="B60" i="11" s="1"/>
  <c r="B61" i="11" s="1"/>
  <c r="B62" i="11" s="1"/>
  <c r="B63" i="11" s="1"/>
  <c r="B64" i="11" s="1"/>
  <c r="B65" i="11" s="1"/>
  <c r="B66" i="11" s="1"/>
  <c r="B67" i="11" s="1"/>
  <c r="B47" i="11"/>
  <c r="B25" i="11"/>
  <c r="B26" i="11" s="1"/>
  <c r="B27" i="11" s="1"/>
  <c r="B28" i="11" s="1"/>
  <c r="B29" i="11" s="1"/>
  <c r="B30" i="11" s="1"/>
  <c r="B31" i="11" s="1"/>
  <c r="B32" i="11" s="1"/>
  <c r="B33" i="11" s="1"/>
  <c r="B34" i="11" s="1"/>
  <c r="B35" i="11" s="1"/>
  <c r="B36" i="11" s="1"/>
  <c r="B37" i="11" s="1"/>
  <c r="B38" i="11" s="1"/>
  <c r="B39" i="11" s="1"/>
  <c r="B40" i="11" s="1"/>
  <c r="B41" i="11" s="1"/>
  <c r="B42" i="11" s="1"/>
  <c r="B43" i="11" s="1"/>
  <c r="B44" i="11" s="1"/>
  <c r="B45" i="11" s="1"/>
  <c r="B23" i="11"/>
  <c r="B24" i="11" s="1"/>
  <c r="B21" i="11"/>
  <c r="B22" i="11" s="1"/>
  <c r="B8" i="11"/>
  <c r="B9" i="11" s="1"/>
  <c r="B10" i="11" s="1"/>
  <c r="B11" i="11" s="1"/>
  <c r="B12" i="11" s="1"/>
  <c r="B13" i="11" s="1"/>
  <c r="B14" i="11" s="1"/>
  <c r="B15" i="11" s="1"/>
  <c r="B16" i="11" s="1"/>
  <c r="B17" i="11" s="1"/>
  <c r="B18" i="11" s="1"/>
  <c r="B19" i="11" s="1"/>
  <c r="B6" i="11"/>
  <c r="B7" i="11" s="1"/>
  <c r="B5" i="11"/>
  <c r="AD186" i="8"/>
  <c r="AC186" i="8"/>
  <c r="AB186" i="8"/>
  <c r="Z186" i="8"/>
  <c r="Y186" i="8"/>
  <c r="X186" i="8"/>
  <c r="V186" i="8"/>
  <c r="T186" i="8"/>
  <c r="R186" i="8"/>
  <c r="Q186" i="8"/>
  <c r="P186" i="8"/>
  <c r="AD185" i="8"/>
  <c r="AC185" i="8"/>
  <c r="AB185" i="8"/>
  <c r="Z185" i="8"/>
  <c r="Y185" i="8"/>
  <c r="X185" i="8"/>
  <c r="T185" i="8"/>
  <c r="AD184" i="8"/>
  <c r="AC184" i="8"/>
  <c r="AB184" i="8"/>
  <c r="X184" i="8"/>
  <c r="V184" i="8"/>
  <c r="U184" i="8"/>
  <c r="T184" i="8"/>
  <c r="R184" i="8"/>
  <c r="AD183" i="8"/>
  <c r="AC183" i="8"/>
  <c r="AB183" i="8"/>
  <c r="X183" i="8"/>
  <c r="V183" i="8"/>
  <c r="U183" i="8"/>
  <c r="T183" i="8"/>
  <c r="Q183" i="8"/>
  <c r="AD182" i="8"/>
  <c r="AC182" i="8"/>
  <c r="AB182" i="8"/>
  <c r="V182" i="8"/>
  <c r="U182" i="8"/>
  <c r="T182" i="8"/>
  <c r="R182" i="8"/>
  <c r="Q182" i="8"/>
  <c r="P182" i="8"/>
  <c r="AD180" i="8"/>
  <c r="AC180" i="8"/>
  <c r="AB180" i="8"/>
  <c r="Z180" i="8"/>
  <c r="Z184" i="8" s="1"/>
  <c r="Y180" i="8"/>
  <c r="X180" i="8"/>
  <c r="X182" i="8" s="1"/>
  <c r="V180" i="8"/>
  <c r="V185" i="8" s="1"/>
  <c r="U180" i="8"/>
  <c r="T180" i="8"/>
  <c r="R180" i="8"/>
  <c r="R183" i="8" s="1"/>
  <c r="Q180" i="8"/>
  <c r="Q184" i="8" s="1"/>
  <c r="P180" i="8"/>
  <c r="P185" i="8" s="1"/>
  <c r="AN179" i="8"/>
  <c r="AK179" i="8"/>
  <c r="AG179" i="8"/>
  <c r="AF179" i="8"/>
  <c r="AE179" i="8"/>
  <c r="AH179" i="8" s="1"/>
  <c r="AK178" i="8"/>
  <c r="AF178" i="8"/>
  <c r="AE178" i="8"/>
  <c r="AK177" i="8"/>
  <c r="AG177" i="8"/>
  <c r="AF177" i="8"/>
  <c r="AN177" i="8" s="1"/>
  <c r="AE177" i="8"/>
  <c r="AH177" i="8" s="1"/>
  <c r="AN176" i="8"/>
  <c r="AF176" i="8"/>
  <c r="AE176" i="8"/>
  <c r="AK175" i="8"/>
  <c r="AH175" i="8"/>
  <c r="AG175" i="8"/>
  <c r="AF175" i="8"/>
  <c r="AN175" i="8" s="1"/>
  <c r="AE175" i="8"/>
  <c r="AF174" i="8"/>
  <c r="AE174" i="8"/>
  <c r="AN173" i="8"/>
  <c r="AK173" i="8"/>
  <c r="AG173" i="8"/>
  <c r="AF173" i="8"/>
  <c r="AE173" i="8"/>
  <c r="AH173" i="8" s="1"/>
  <c r="AF172" i="8"/>
  <c r="AE172" i="8"/>
  <c r="AN171" i="8"/>
  <c r="AK171" i="8"/>
  <c r="AG171" i="8"/>
  <c r="AF171" i="8"/>
  <c r="AE171" i="8"/>
  <c r="AH171" i="8" s="1"/>
  <c r="AK170" i="8"/>
  <c r="AH170" i="8"/>
  <c r="AG170" i="8"/>
  <c r="AF170" i="8"/>
  <c r="AN170" i="8" s="1"/>
  <c r="AE170" i="8"/>
  <c r="AH169" i="8"/>
  <c r="AG169" i="8"/>
  <c r="AF169" i="8"/>
  <c r="AN169" i="8" s="1"/>
  <c r="AE169" i="8"/>
  <c r="AK168" i="8"/>
  <c r="AF168" i="8"/>
  <c r="AE168" i="8"/>
  <c r="AG167" i="8"/>
  <c r="AH167" i="8" s="1"/>
  <c r="AF167" i="8"/>
  <c r="AN167" i="8" s="1"/>
  <c r="AE167" i="8"/>
  <c r="AN166" i="8"/>
  <c r="AF166" i="8"/>
  <c r="AK166" i="8" s="1"/>
  <c r="AE166" i="8"/>
  <c r="AK165" i="8"/>
  <c r="AG165" i="8"/>
  <c r="AF165" i="8"/>
  <c r="AN165" i="8" s="1"/>
  <c r="AE165" i="8"/>
  <c r="AF164" i="8"/>
  <c r="AE164" i="8"/>
  <c r="AK163" i="8"/>
  <c r="AH163" i="8"/>
  <c r="AF163" i="8"/>
  <c r="AN163" i="8" s="1"/>
  <c r="AE163" i="8"/>
  <c r="AF162" i="8"/>
  <c r="AE162" i="8"/>
  <c r="AK161" i="8"/>
  <c r="AH161" i="8"/>
  <c r="AG161" i="8"/>
  <c r="AF161" i="8"/>
  <c r="AN161" i="8" s="1"/>
  <c r="AE161" i="8"/>
  <c r="AF160" i="8"/>
  <c r="AE160" i="8"/>
  <c r="AF159" i="8"/>
  <c r="AE159" i="8"/>
  <c r="AK158" i="8"/>
  <c r="AG158" i="8"/>
  <c r="AF158" i="8"/>
  <c r="AN158" i="8" s="1"/>
  <c r="AE158" i="8"/>
  <c r="AH158" i="8" s="1"/>
  <c r="AN157" i="8"/>
  <c r="AK157" i="8"/>
  <c r="AG157" i="8"/>
  <c r="AH157" i="8" s="1"/>
  <c r="AF157" i="8"/>
  <c r="AE157" i="8"/>
  <c r="AN156" i="8"/>
  <c r="AF156" i="8"/>
  <c r="AE156" i="8"/>
  <c r="AN155" i="8"/>
  <c r="AK155" i="8"/>
  <c r="AG155" i="8"/>
  <c r="AF155" i="8"/>
  <c r="AE155" i="8"/>
  <c r="AF154" i="8"/>
  <c r="AE154" i="8"/>
  <c r="AG153" i="8"/>
  <c r="AH153" i="8" s="1"/>
  <c r="AF153" i="8"/>
  <c r="AN153" i="8" s="1"/>
  <c r="AE153" i="8"/>
  <c r="AG152" i="8"/>
  <c r="AF152" i="8"/>
  <c r="AK152" i="8" s="1"/>
  <c r="AE152" i="8"/>
  <c r="AK151" i="8"/>
  <c r="AF151" i="8"/>
  <c r="AE151" i="8"/>
  <c r="AN150" i="8"/>
  <c r="AK150" i="8"/>
  <c r="AG150" i="8"/>
  <c r="AF150" i="8"/>
  <c r="AE150" i="8"/>
  <c r="AH150" i="8" s="1"/>
  <c r="AN149" i="8"/>
  <c r="AK149" i="8"/>
  <c r="AG149" i="8"/>
  <c r="AH149" i="8" s="1"/>
  <c r="AF149" i="8"/>
  <c r="AE149" i="8"/>
  <c r="AN148" i="8"/>
  <c r="AF148" i="8"/>
  <c r="AE148" i="8"/>
  <c r="AN147" i="8"/>
  <c r="AK147" i="8"/>
  <c r="AF147" i="8"/>
  <c r="AE147" i="8"/>
  <c r="AH147" i="8" s="1"/>
  <c r="AG146" i="8"/>
  <c r="AF146" i="8"/>
  <c r="AN146" i="8" s="1"/>
  <c r="AE146" i="8"/>
  <c r="AH146" i="8" s="1"/>
  <c r="AF145" i="8"/>
  <c r="AK145" i="8" s="1"/>
  <c r="AE145" i="8"/>
  <c r="AK144" i="8"/>
  <c r="AF144" i="8"/>
  <c r="AE144" i="8"/>
  <c r="AN143" i="8"/>
  <c r="AK143" i="8"/>
  <c r="AH143" i="8"/>
  <c r="AG143" i="8"/>
  <c r="AF143" i="8"/>
  <c r="AE143" i="8"/>
  <c r="AN142" i="8"/>
  <c r="AK142" i="8"/>
  <c r="AG142" i="8"/>
  <c r="AH142" i="8" s="1"/>
  <c r="AF142" i="8"/>
  <c r="AE142" i="8"/>
  <c r="AF141" i="8"/>
  <c r="AE141" i="8"/>
  <c r="AN140" i="8"/>
  <c r="AK140" i="8"/>
  <c r="AG140" i="8"/>
  <c r="AF140" i="8"/>
  <c r="AE140" i="8"/>
  <c r="AW139" i="8"/>
  <c r="AU139" i="8"/>
  <c r="AF139" i="8" s="1"/>
  <c r="AS139" i="8"/>
  <c r="AO139" i="8"/>
  <c r="AG139" i="8"/>
  <c r="AF138" i="8"/>
  <c r="AE138" i="8"/>
  <c r="AN137" i="8"/>
  <c r="AK137" i="8"/>
  <c r="AG137" i="8"/>
  <c r="AF137" i="8"/>
  <c r="AE137" i="8"/>
  <c r="AF136" i="8"/>
  <c r="AE136" i="8"/>
  <c r="AH135" i="8"/>
  <c r="AG135" i="8"/>
  <c r="AF135" i="8"/>
  <c r="AN135" i="8" s="1"/>
  <c r="AE135" i="8"/>
  <c r="AN134" i="8"/>
  <c r="AG134" i="8"/>
  <c r="AF134" i="8"/>
  <c r="AK134" i="8" s="1"/>
  <c r="AE134" i="8"/>
  <c r="AH134" i="8" s="1"/>
  <c r="AF133" i="8"/>
  <c r="AK133" i="8" s="1"/>
  <c r="AE133" i="8"/>
  <c r="AN132" i="8"/>
  <c r="AK132" i="8"/>
  <c r="AG132" i="8"/>
  <c r="AF132" i="8"/>
  <c r="AE132" i="8"/>
  <c r="AH132" i="8" s="1"/>
  <c r="AN131" i="8"/>
  <c r="AK131" i="8"/>
  <c r="AG131" i="8"/>
  <c r="AH131" i="8" s="1"/>
  <c r="AF131" i="8"/>
  <c r="AE131" i="8"/>
  <c r="AN130" i="8"/>
  <c r="AF130" i="8"/>
  <c r="AE130" i="8"/>
  <c r="AN129" i="8"/>
  <c r="AK129" i="8"/>
  <c r="AG129" i="8"/>
  <c r="AF129" i="8"/>
  <c r="AE129" i="8"/>
  <c r="AF128" i="8"/>
  <c r="AE128" i="8"/>
  <c r="AG127" i="8"/>
  <c r="AH127" i="8" s="1"/>
  <c r="AF127" i="8"/>
  <c r="AN127" i="8" s="1"/>
  <c r="AE127" i="8"/>
  <c r="AG126" i="8"/>
  <c r="AF126" i="8"/>
  <c r="AK126" i="8" s="1"/>
  <c r="AE126" i="8"/>
  <c r="AK125" i="8"/>
  <c r="AF125" i="8"/>
  <c r="AE125" i="8"/>
  <c r="AN124" i="8"/>
  <c r="AK124" i="8"/>
  <c r="AF124" i="8"/>
  <c r="AG124" i="8" s="1"/>
  <c r="AE124" i="8"/>
  <c r="AH124" i="8" s="1"/>
  <c r="AK123" i="8"/>
  <c r="AG123" i="8"/>
  <c r="AH123" i="8" s="1"/>
  <c r="AF123" i="8"/>
  <c r="AN123" i="8" s="1"/>
  <c r="AE123" i="8"/>
  <c r="AF122" i="8"/>
  <c r="AE122" i="8"/>
  <c r="AN121" i="8"/>
  <c r="AK121" i="8"/>
  <c r="AG121" i="8"/>
  <c r="AF121" i="8"/>
  <c r="AE121" i="8"/>
  <c r="AK120" i="8"/>
  <c r="AF120" i="8"/>
  <c r="AE120" i="8"/>
  <c r="AH119" i="8"/>
  <c r="AG119" i="8"/>
  <c r="AF119" i="8"/>
  <c r="AN119" i="8" s="1"/>
  <c r="AE119" i="8"/>
  <c r="AN118" i="8"/>
  <c r="AF118" i="8"/>
  <c r="AK118" i="8" s="1"/>
  <c r="AE118" i="8"/>
  <c r="AF117" i="8"/>
  <c r="AG117" i="8" s="1"/>
  <c r="AE117" i="8"/>
  <c r="AH117" i="8" s="1"/>
  <c r="AN116" i="8"/>
  <c r="AK116" i="8"/>
  <c r="AF116" i="8"/>
  <c r="AG116" i="8" s="1"/>
  <c r="AE116" i="8"/>
  <c r="AK115" i="8"/>
  <c r="AH115" i="8"/>
  <c r="AG115" i="8"/>
  <c r="AF115" i="8"/>
  <c r="AN115" i="8" s="1"/>
  <c r="AE115" i="8"/>
  <c r="AF114" i="8"/>
  <c r="AE114" i="8"/>
  <c r="AG113" i="8"/>
  <c r="AF113" i="8"/>
  <c r="AN113" i="8" s="1"/>
  <c r="AE113" i="8"/>
  <c r="AK112" i="8"/>
  <c r="AF112" i="8"/>
  <c r="AE112" i="8"/>
  <c r="AK111" i="8"/>
  <c r="AG111" i="8"/>
  <c r="AF111" i="8"/>
  <c r="AN111" i="8" s="1"/>
  <c r="AE111" i="8"/>
  <c r="AH111" i="8" s="1"/>
  <c r="AU110" i="8"/>
  <c r="AF110" i="8" s="1"/>
  <c r="AN110" i="8" s="1"/>
  <c r="AS110" i="8"/>
  <c r="AK110" i="8"/>
  <c r="AH110" i="8"/>
  <c r="AE110" i="8"/>
  <c r="AN109" i="8"/>
  <c r="AF109" i="8"/>
  <c r="AK109" i="8" s="1"/>
  <c r="AE109" i="8"/>
  <c r="AF108" i="8"/>
  <c r="AG108" i="8" s="1"/>
  <c r="AE108" i="8"/>
  <c r="AH108" i="8" s="1"/>
  <c r="AN107" i="8"/>
  <c r="AK107" i="8"/>
  <c r="AF107" i="8"/>
  <c r="AG107" i="8" s="1"/>
  <c r="AE107" i="8"/>
  <c r="AH107" i="8" s="1"/>
  <c r="AK106" i="8"/>
  <c r="AH106" i="8"/>
  <c r="AG106" i="8"/>
  <c r="AF106" i="8"/>
  <c r="AN106" i="8" s="1"/>
  <c r="AE106" i="8"/>
  <c r="AF105" i="8"/>
  <c r="AE105" i="8"/>
  <c r="AF104" i="8"/>
  <c r="AE104" i="8"/>
  <c r="AH104" i="8" s="1"/>
  <c r="AH103" i="8"/>
  <c r="AF103" i="8"/>
  <c r="AE103" i="8"/>
  <c r="AK102" i="8"/>
  <c r="AF102" i="8"/>
  <c r="AG102" i="8" s="1"/>
  <c r="AE102" i="8"/>
  <c r="AN101" i="8"/>
  <c r="AK101" i="8"/>
  <c r="AF101" i="8"/>
  <c r="AG101" i="8" s="1"/>
  <c r="AH101" i="8" s="1"/>
  <c r="AE101" i="8"/>
  <c r="A101" i="8"/>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K100" i="8"/>
  <c r="AG100" i="8"/>
  <c r="AH100" i="8" s="1"/>
  <c r="AF100" i="8"/>
  <c r="AN100" i="8" s="1"/>
  <c r="AE100" i="8"/>
  <c r="AN99" i="8"/>
  <c r="AH99" i="8"/>
  <c r="AG99" i="8"/>
  <c r="AF99" i="8"/>
  <c r="AK99" i="8" s="1"/>
  <c r="AE99" i="8"/>
  <c r="AN98" i="8"/>
  <c r="AK98" i="8"/>
  <c r="AG98" i="8"/>
  <c r="AF98" i="8"/>
  <c r="AE98" i="8"/>
  <c r="AH98" i="8" s="1"/>
  <c r="AF97" i="8"/>
  <c r="AE97" i="8"/>
  <c r="AK96" i="8"/>
  <c r="AG96" i="8"/>
  <c r="AH96" i="8" s="1"/>
  <c r="AF96" i="8"/>
  <c r="AN96" i="8" s="1"/>
  <c r="AE96" i="8"/>
  <c r="AN95" i="8"/>
  <c r="AG95" i="8"/>
  <c r="AH95" i="8" s="1"/>
  <c r="AF95" i="8"/>
  <c r="AK95" i="8" s="1"/>
  <c r="AE95" i="8"/>
  <c r="A95" i="8"/>
  <c r="A96" i="8" s="1"/>
  <c r="A97" i="8" s="1"/>
  <c r="A98" i="8" s="1"/>
  <c r="A99" i="8" s="1"/>
  <c r="A100" i="8" s="1"/>
  <c r="AF94" i="8"/>
  <c r="AG94" i="8" s="1"/>
  <c r="AE94" i="8"/>
  <c r="AH94" i="8" s="1"/>
  <c r="AN93" i="8"/>
  <c r="AK93" i="8"/>
  <c r="AF93" i="8"/>
  <c r="AG93" i="8" s="1"/>
  <c r="AE93" i="8"/>
  <c r="AH93" i="8" s="1"/>
  <c r="AK92" i="8"/>
  <c r="AH92" i="8"/>
  <c r="AG92" i="8"/>
  <c r="AF92" i="8"/>
  <c r="AN92" i="8" s="1"/>
  <c r="AE92" i="8"/>
  <c r="A92" i="8"/>
  <c r="A93" i="8" s="1"/>
  <c r="A94" i="8" s="1"/>
  <c r="AF91" i="8"/>
  <c r="AE91" i="8"/>
  <c r="AF90" i="8"/>
  <c r="AE90" i="8"/>
  <c r="AH90" i="8" s="1"/>
  <c r="A90" i="8"/>
  <c r="A91" i="8" s="1"/>
  <c r="AG89" i="8"/>
  <c r="AH89" i="8" s="1"/>
  <c r="AF89" i="8"/>
  <c r="AN89" i="8" s="1"/>
  <c r="AE89" i="8"/>
  <c r="AK88" i="8"/>
  <c r="AF88" i="8"/>
  <c r="AG88" i="8" s="1"/>
  <c r="AE88" i="8"/>
  <c r="AN87" i="8"/>
  <c r="AK87" i="8"/>
  <c r="AF87" i="8"/>
  <c r="AG87" i="8" s="1"/>
  <c r="AH87" i="8" s="1"/>
  <c r="AE87" i="8"/>
  <c r="AK86" i="8"/>
  <c r="AG86" i="8"/>
  <c r="AH86" i="8" s="1"/>
  <c r="AF86" i="8"/>
  <c r="AN86" i="8" s="1"/>
  <c r="AE86" i="8"/>
  <c r="AN85" i="8"/>
  <c r="AH85" i="8"/>
  <c r="AG85" i="8"/>
  <c r="AF85" i="8"/>
  <c r="AK85" i="8" s="1"/>
  <c r="AE85" i="8"/>
  <c r="AN84" i="8"/>
  <c r="AK84" i="8"/>
  <c r="AG84" i="8"/>
  <c r="AF84" i="8"/>
  <c r="AE84" i="8"/>
  <c r="AH84" i="8" s="1"/>
  <c r="AF83" i="8"/>
  <c r="AE83" i="8"/>
  <c r="AN82" i="8"/>
  <c r="AK82" i="8"/>
  <c r="AG82" i="8"/>
  <c r="AF82" i="8"/>
  <c r="AE82" i="8"/>
  <c r="AH82" i="8" s="1"/>
  <c r="AN81" i="8"/>
  <c r="AK81" i="8"/>
  <c r="AH81" i="8"/>
  <c r="AG81" i="8"/>
  <c r="AF81" i="8"/>
  <c r="AE81" i="8"/>
  <c r="AG80" i="8"/>
  <c r="AH80" i="8" s="1"/>
  <c r="AF80" i="8"/>
  <c r="AK80" i="8" s="1"/>
  <c r="AE80" i="8"/>
  <c r="AF79" i="8"/>
  <c r="AN79" i="8" s="1"/>
  <c r="AE79" i="8"/>
  <c r="AN78" i="8"/>
  <c r="AK78" i="8"/>
  <c r="AG78" i="8"/>
  <c r="AF78" i="8"/>
  <c r="AE78" i="8"/>
  <c r="AH78" i="8" s="1"/>
  <c r="AK77" i="8"/>
  <c r="AF77" i="8"/>
  <c r="AN77" i="8" s="1"/>
  <c r="AE77" i="8"/>
  <c r="A77" i="8"/>
  <c r="A78" i="8" s="1"/>
  <c r="A79" i="8" s="1"/>
  <c r="A80" i="8" s="1"/>
  <c r="A81" i="8" s="1"/>
  <c r="A82" i="8" s="1"/>
  <c r="A83" i="8" s="1"/>
  <c r="A84" i="8" s="1"/>
  <c r="A85" i="8" s="1"/>
  <c r="A86" i="8" s="1"/>
  <c r="A87" i="8" s="1"/>
  <c r="A88" i="8" s="1"/>
  <c r="AN76" i="8"/>
  <c r="AG76" i="8"/>
  <c r="AH76" i="8" s="1"/>
  <c r="AF76" i="8"/>
  <c r="AK76" i="8" s="1"/>
  <c r="AE76" i="8"/>
  <c r="A76" i="8"/>
  <c r="AF75" i="8"/>
  <c r="AE75" i="8"/>
  <c r="AH74" i="8"/>
  <c r="AG74" i="8"/>
  <c r="AN74" i="8" s="1"/>
  <c r="AF74" i="8"/>
  <c r="AE74" i="8"/>
  <c r="AK74" i="8" s="1"/>
  <c r="AK73" i="8"/>
  <c r="AG73" i="8"/>
  <c r="AF73" i="8"/>
  <c r="AE73" i="8"/>
  <c r="AF72" i="8"/>
  <c r="AE72" i="8"/>
  <c r="AF71" i="8"/>
  <c r="AE71" i="8"/>
  <c r="AK70" i="8"/>
  <c r="AF70" i="8"/>
  <c r="AN70" i="8" s="1"/>
  <c r="AE70" i="8"/>
  <c r="AF69" i="8"/>
  <c r="AE69" i="8"/>
  <c r="AF68" i="8"/>
  <c r="AE68" i="8"/>
  <c r="AF67" i="8"/>
  <c r="AE67" i="8"/>
  <c r="AF66" i="8"/>
  <c r="AE66" i="8"/>
  <c r="AF65" i="8"/>
  <c r="AE65" i="8"/>
  <c r="AF64" i="8"/>
  <c r="AE64" i="8"/>
  <c r="AF63" i="8"/>
  <c r="AE63" i="8"/>
  <c r="AF62" i="8"/>
  <c r="AE62" i="8"/>
  <c r="AF61" i="8"/>
  <c r="AE61" i="8"/>
  <c r="AF60" i="8"/>
  <c r="AE60" i="8"/>
  <c r="AF59" i="8"/>
  <c r="AE59" i="8"/>
  <c r="AF58" i="8"/>
  <c r="AE58" i="8"/>
  <c r="AN57" i="8"/>
  <c r="AF57" i="8"/>
  <c r="AE57" i="8"/>
  <c r="AK57" i="8" s="1"/>
  <c r="AF56" i="8"/>
  <c r="AE56" i="8"/>
  <c r="AF55" i="8"/>
  <c r="AE55" i="8"/>
  <c r="AF54" i="8"/>
  <c r="AE54" i="8"/>
  <c r="AF53" i="8"/>
  <c r="AE53" i="8"/>
  <c r="AF52" i="8"/>
  <c r="AE52" i="8"/>
  <c r="AF51" i="8"/>
  <c r="AE51" i="8"/>
  <c r="AH51" i="8" s="1"/>
  <c r="AF50" i="8"/>
  <c r="AE50" i="8"/>
  <c r="AF49" i="8"/>
  <c r="AE49" i="8"/>
  <c r="AH48" i="8"/>
  <c r="AF48" i="8"/>
  <c r="AE48" i="8"/>
  <c r="AF47" i="8"/>
  <c r="AE47" i="8"/>
  <c r="AF46" i="8"/>
  <c r="AE46" i="8"/>
  <c r="AH46" i="8" s="1"/>
  <c r="AF45" i="8"/>
  <c r="AE45" i="8"/>
  <c r="AF44" i="8"/>
  <c r="AE44" i="8"/>
  <c r="AH43" i="8"/>
  <c r="AF43" i="8"/>
  <c r="AE43" i="8"/>
  <c r="AF42" i="8"/>
  <c r="AE42" i="8"/>
  <c r="AH41" i="8"/>
  <c r="AF41" i="8"/>
  <c r="AE41" i="8"/>
  <c r="AY40" i="8"/>
  <c r="AF40" i="8"/>
  <c r="AE40" i="8"/>
  <c r="AF39" i="8"/>
  <c r="AE39" i="8"/>
  <c r="AH38" i="8"/>
  <c r="AF38" i="8"/>
  <c r="AN38" i="8" s="1"/>
  <c r="AE38" i="8"/>
  <c r="AF37" i="8"/>
  <c r="AE37" i="8"/>
  <c r="AF36" i="8"/>
  <c r="AE36" i="8"/>
  <c r="AF35" i="8"/>
  <c r="AE35" i="8"/>
  <c r="AF34" i="8"/>
  <c r="AE34" i="8"/>
  <c r="AF33" i="8"/>
  <c r="AE33" i="8"/>
  <c r="AH32" i="8"/>
  <c r="AF32" i="8"/>
  <c r="AE32" i="8"/>
  <c r="AF31" i="8"/>
  <c r="AE31" i="8"/>
  <c r="AF30" i="8"/>
  <c r="AE30" i="8"/>
  <c r="AF29" i="8"/>
  <c r="AE29" i="8"/>
  <c r="AF28" i="8"/>
  <c r="AE28" i="8"/>
  <c r="AQ27" i="8"/>
  <c r="AF27" i="8" s="1"/>
  <c r="AO27" i="8"/>
  <c r="AE27" i="8" s="1"/>
  <c r="AH26" i="8"/>
  <c r="AF26" i="8"/>
  <c r="AE26" i="8"/>
  <c r="AF25" i="8"/>
  <c r="AE25" i="8"/>
  <c r="AK24" i="8"/>
  <c r="AF24" i="8"/>
  <c r="AN24" i="8" s="1"/>
  <c r="AE24" i="8"/>
  <c r="AF23" i="8"/>
  <c r="AE23" i="8"/>
  <c r="AF22" i="8"/>
  <c r="AE22" i="8"/>
  <c r="AH22" i="8" s="1"/>
  <c r="AH21" i="8"/>
  <c r="AF21" i="8"/>
  <c r="AE21" i="8"/>
  <c r="AF20" i="8"/>
  <c r="AE20" i="8"/>
  <c r="AF19" i="8"/>
  <c r="AE19" i="8"/>
  <c r="AF18" i="8"/>
  <c r="AE18" i="8"/>
  <c r="AN17" i="8"/>
  <c r="AK17" i="8"/>
  <c r="AF17" i="8"/>
  <c r="AE17" i="8"/>
  <c r="AF16" i="8"/>
  <c r="AE16" i="8"/>
  <c r="AF15" i="8"/>
  <c r="AE15" i="8"/>
  <c r="AF14" i="8"/>
  <c r="AE14" i="8"/>
  <c r="AF13" i="8"/>
  <c r="AE13" i="8"/>
  <c r="AF12" i="8"/>
  <c r="AE12" i="8"/>
  <c r="AF11" i="8"/>
  <c r="AE11" i="8"/>
  <c r="AF10" i="8"/>
  <c r="AE10" i="8"/>
  <c r="AH10" i="8" s="1"/>
  <c r="AN9" i="8"/>
  <c r="AH9" i="8"/>
  <c r="AF9" i="8"/>
  <c r="AE9" i="8"/>
  <c r="AF8" i="8"/>
  <c r="AE8" i="8"/>
  <c r="AF7" i="8"/>
  <c r="AE7" i="8"/>
  <c r="AF6" i="8"/>
  <c r="AE6" i="8"/>
  <c r="AH6" i="8" s="1"/>
  <c r="AK5" i="8"/>
  <c r="AF5" i="8"/>
  <c r="AN5" i="8" s="1"/>
  <c r="AE5" i="8"/>
  <c r="AF4" i="8"/>
  <c r="AE4" i="8"/>
  <c r="A4" i="8"/>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F3" i="8"/>
  <c r="AE3" i="8"/>
  <c r="A3" i="8"/>
  <c r="AF2" i="8"/>
  <c r="AE2" i="8"/>
  <c r="E299" i="7"/>
  <c r="E298" i="7"/>
  <c r="F297" i="7"/>
  <c r="E297" i="7"/>
  <c r="E296" i="7"/>
  <c r="E295" i="7"/>
  <c r="F294" i="7"/>
  <c r="F293" i="7"/>
  <c r="F292" i="7"/>
  <c r="F291" i="7"/>
  <c r="F290" i="7"/>
  <c r="H285" i="7"/>
  <c r="G285" i="7"/>
  <c r="D285" i="7"/>
  <c r="D275" i="7"/>
  <c r="D274" i="7"/>
  <c r="D273" i="7"/>
  <c r="D272" i="7"/>
  <c r="I268" i="7"/>
  <c r="H268" i="7"/>
  <c r="K268" i="7" s="1"/>
  <c r="D268" i="7"/>
  <c r="K262" i="7"/>
  <c r="K260" i="7"/>
  <c r="K256" i="7"/>
  <c r="K254" i="7"/>
  <c r="K252" i="7"/>
  <c r="K250" i="7"/>
  <c r="K248" i="7"/>
  <c r="K247" i="7"/>
  <c r="K246" i="7"/>
  <c r="K245" i="7"/>
  <c r="K244" i="7"/>
  <c r="K239" i="7"/>
  <c r="K238" i="7"/>
  <c r="K237" i="7"/>
  <c r="K236" i="7"/>
  <c r="K235" i="7"/>
  <c r="K233" i="7"/>
  <c r="K232" i="7"/>
  <c r="K231" i="7"/>
  <c r="K230" i="7"/>
  <c r="K229" i="7"/>
  <c r="K227" i="7"/>
  <c r="K222" i="7"/>
  <c r="K221" i="7"/>
  <c r="K219" i="7"/>
  <c r="K217" i="7"/>
  <c r="K216" i="7"/>
  <c r="K215" i="7"/>
  <c r="K214" i="7"/>
  <c r="K213" i="7"/>
  <c r="K212" i="7"/>
  <c r="K211" i="7"/>
  <c r="K207" i="7"/>
  <c r="K206" i="7"/>
  <c r="K203" i="7"/>
  <c r="K202" i="7"/>
  <c r="K200" i="7"/>
  <c r="K198" i="7"/>
  <c r="K197" i="7"/>
  <c r="K196" i="7"/>
  <c r="K194" i="7"/>
  <c r="K192" i="7"/>
  <c r="K190" i="7"/>
  <c r="K189" i="7"/>
  <c r="K187" i="7"/>
  <c r="K186" i="7"/>
  <c r="K185" i="7"/>
  <c r="I183" i="7"/>
  <c r="K183" i="7" s="1"/>
  <c r="K182" i="7"/>
  <c r="I182" i="7"/>
  <c r="K180" i="7"/>
  <c r="K177" i="7"/>
  <c r="K176" i="7"/>
  <c r="K174" i="7"/>
  <c r="K173" i="7"/>
  <c r="K172" i="7"/>
  <c r="K171" i="7"/>
  <c r="K170" i="7"/>
  <c r="K168" i="7"/>
  <c r="K166" i="7"/>
  <c r="K165" i="7"/>
  <c r="K164" i="7"/>
  <c r="K162" i="7"/>
  <c r="K161" i="7"/>
  <c r="K159" i="7"/>
  <c r="K158" i="7"/>
  <c r="K157" i="7"/>
  <c r="K155" i="7"/>
  <c r="I155" i="7"/>
  <c r="K154" i="7"/>
  <c r="K153" i="7"/>
  <c r="I153" i="7"/>
  <c r="K151" i="7"/>
  <c r="I151" i="7"/>
  <c r="K150" i="7"/>
  <c r="K149" i="7"/>
  <c r="K146" i="7"/>
  <c r="K145" i="7"/>
  <c r="K142" i="7"/>
  <c r="K141" i="7"/>
  <c r="K140" i="7"/>
  <c r="K139" i="7"/>
  <c r="K138" i="7"/>
  <c r="A138" i="7"/>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A213" i="7" s="1"/>
  <c r="A214" i="7" s="1"/>
  <c r="A215" i="7" s="1"/>
  <c r="A216" i="7" s="1"/>
  <c r="A217" i="7" s="1"/>
  <c r="A218" i="7" s="1"/>
  <c r="A219" i="7" s="1"/>
  <c r="A220" i="7" s="1"/>
  <c r="A221" i="7" s="1"/>
  <c r="A222" i="7" s="1"/>
  <c r="A223" i="7" s="1"/>
  <c r="A224" i="7" s="1"/>
  <c r="A225" i="7" s="1"/>
  <c r="A226" i="7" s="1"/>
  <c r="A227" i="7" s="1"/>
  <c r="A228" i="7" s="1"/>
  <c r="A229" i="7" s="1"/>
  <c r="A230" i="7" s="1"/>
  <c r="A231" i="7" s="1"/>
  <c r="A232" i="7" s="1"/>
  <c r="A233" i="7" s="1"/>
  <c r="A234" i="7" s="1"/>
  <c r="A235" i="7" s="1"/>
  <c r="A236" i="7" s="1"/>
  <c r="A237" i="7" s="1"/>
  <c r="A238" i="7" s="1"/>
  <c r="A239" i="7" s="1"/>
  <c r="A240" i="7" s="1"/>
  <c r="A241" i="7" s="1"/>
  <c r="A242" i="7" s="1"/>
  <c r="A243" i="7" s="1"/>
  <c r="A244" i="7" s="1"/>
  <c r="A245" i="7" s="1"/>
  <c r="A246" i="7" s="1"/>
  <c r="A247" i="7" s="1"/>
  <c r="A248" i="7" s="1"/>
  <c r="A249" i="7" s="1"/>
  <c r="A250" i="7" s="1"/>
  <c r="A251" i="7" s="1"/>
  <c r="A252" i="7" s="1"/>
  <c r="A253" i="7" s="1"/>
  <c r="A254" i="7" s="1"/>
  <c r="A255" i="7" s="1"/>
  <c r="A256" i="7" s="1"/>
  <c r="A257" i="7" s="1"/>
  <c r="A258" i="7" s="1"/>
  <c r="A259" i="7" s="1"/>
  <c r="A260" i="7" s="1"/>
  <c r="A261" i="7" s="1"/>
  <c r="A262" i="7" s="1"/>
  <c r="A263" i="7" s="1"/>
  <c r="K137" i="7"/>
  <c r="I135" i="7"/>
  <c r="K135" i="7" s="1"/>
  <c r="I134" i="7"/>
  <c r="K134" i="7" s="1"/>
  <c r="F299" i="7" s="1"/>
  <c r="K275" i="7" s="1"/>
  <c r="A134" i="7"/>
  <c r="A135" i="7" s="1"/>
  <c r="A136" i="7" s="1"/>
  <c r="A137" i="7" s="1"/>
  <c r="K133" i="7"/>
  <c r="K130" i="7"/>
  <c r="K125" i="7"/>
  <c r="G125" i="7"/>
  <c r="K124" i="7"/>
  <c r="G124" i="7"/>
  <c r="G123" i="7"/>
  <c r="K123" i="7" s="1"/>
  <c r="K122" i="7"/>
  <c r="K121" i="7"/>
  <c r="G121" i="7"/>
  <c r="G120" i="7"/>
  <c r="K120" i="7" s="1"/>
  <c r="G119" i="7"/>
  <c r="K119" i="7" s="1"/>
  <c r="K118" i="7"/>
  <c r="G118" i="7"/>
  <c r="K117" i="7"/>
  <c r="G117" i="7"/>
  <c r="K116" i="7"/>
  <c r="G116" i="7"/>
  <c r="K115" i="7"/>
  <c r="G115" i="7"/>
  <c r="K114" i="7"/>
  <c r="G114" i="7"/>
  <c r="K113" i="7"/>
  <c r="G113" i="7"/>
  <c r="G112" i="7"/>
  <c r="K112" i="7" s="1"/>
  <c r="G111" i="7"/>
  <c r="K111" i="7" s="1"/>
  <c r="K110" i="7"/>
  <c r="G110" i="7"/>
  <c r="K109" i="7"/>
  <c r="G109" i="7"/>
  <c r="K108" i="7"/>
  <c r="G108" i="7"/>
  <c r="K107" i="7"/>
  <c r="G107" i="7"/>
  <c r="K106" i="7"/>
  <c r="G106" i="7"/>
  <c r="K105" i="7"/>
  <c r="G105" i="7"/>
  <c r="G104" i="7"/>
  <c r="K104" i="7" s="1"/>
  <c r="G103" i="7"/>
  <c r="K103" i="7" s="1"/>
  <c r="K102" i="7"/>
  <c r="G102" i="7"/>
  <c r="K101" i="7"/>
  <c r="G101" i="7"/>
  <c r="G100" i="7"/>
  <c r="K100" i="7" s="1"/>
  <c r="K99" i="7"/>
  <c r="G98" i="7"/>
  <c r="K98" i="7" s="1"/>
  <c r="G97" i="7"/>
  <c r="K97" i="7" s="1"/>
  <c r="G96" i="7"/>
  <c r="K96" i="7" s="1"/>
  <c r="K95" i="7"/>
  <c r="G95" i="7"/>
  <c r="K94" i="7"/>
  <c r="G93" i="7"/>
  <c r="K93" i="7" s="1"/>
  <c r="K92" i="7"/>
  <c r="G92" i="7"/>
  <c r="K91" i="7"/>
  <c r="G91" i="7"/>
  <c r="G90" i="7"/>
  <c r="K90" i="7" s="1"/>
  <c r="G89" i="7"/>
  <c r="K89" i="7" s="1"/>
  <c r="K88" i="7"/>
  <c r="G88" i="7"/>
  <c r="K87" i="7"/>
  <c r="G87" i="7"/>
  <c r="K86" i="7"/>
  <c r="G86" i="7"/>
  <c r="G85" i="7"/>
  <c r="K85" i="7" s="1"/>
  <c r="K84" i="7"/>
  <c r="G84" i="7"/>
  <c r="K83" i="7"/>
  <c r="G83" i="7"/>
  <c r="G82" i="7"/>
  <c r="K82" i="7" s="1"/>
  <c r="G81" i="7"/>
  <c r="K81" i="7" s="1"/>
  <c r="K80" i="7"/>
  <c r="G80" i="7"/>
  <c r="G79" i="7"/>
  <c r="K79" i="7" s="1"/>
  <c r="G78" i="7"/>
  <c r="K78" i="7" s="1"/>
  <c r="G77" i="7"/>
  <c r="K77" i="7" s="1"/>
  <c r="K76" i="7"/>
  <c r="G75" i="7"/>
  <c r="K75" i="7" s="1"/>
  <c r="K74" i="7"/>
  <c r="G74" i="7"/>
  <c r="K73" i="7"/>
  <c r="G73" i="7"/>
  <c r="G72" i="7"/>
  <c r="K72" i="7" s="1"/>
  <c r="G71" i="7"/>
  <c r="K71" i="7" s="1"/>
  <c r="K70" i="7"/>
  <c r="G69" i="7"/>
  <c r="K69" i="7" s="1"/>
  <c r="G68" i="7"/>
  <c r="K68" i="7" s="1"/>
  <c r="G67" i="7"/>
  <c r="K67" i="7" s="1"/>
  <c r="K66" i="7"/>
  <c r="K65" i="7"/>
  <c r="G65" i="7"/>
  <c r="G64" i="7"/>
  <c r="K64" i="7" s="1"/>
  <c r="G63" i="7"/>
  <c r="K63" i="7" s="1"/>
  <c r="G62" i="7"/>
  <c r="K62" i="7" s="1"/>
  <c r="K61" i="7"/>
  <c r="G61" i="7"/>
  <c r="G60" i="7"/>
  <c r="K60" i="7" s="1"/>
  <c r="K59" i="7"/>
  <c r="G59" i="7"/>
  <c r="K58" i="7"/>
  <c r="G58" i="7"/>
  <c r="K57" i="7"/>
  <c r="G57" i="7"/>
  <c r="G56" i="7"/>
  <c r="K56" i="7" s="1"/>
  <c r="G55" i="7"/>
  <c r="K55" i="7" s="1"/>
  <c r="G54" i="7"/>
  <c r="K54" i="7" s="1"/>
  <c r="K53" i="7"/>
  <c r="G53" i="7"/>
  <c r="G52" i="7"/>
  <c r="G51" i="7"/>
  <c r="K51" i="7" s="1"/>
  <c r="K50" i="7"/>
  <c r="G50" i="7"/>
  <c r="G49" i="7"/>
  <c r="K49" i="7" s="1"/>
  <c r="K48" i="7"/>
  <c r="G48" i="7"/>
  <c r="K47" i="7"/>
  <c r="G47" i="7"/>
  <c r="K46" i="7"/>
  <c r="G46" i="7"/>
  <c r="G45" i="7"/>
  <c r="K45" i="7" s="1"/>
  <c r="G44" i="7"/>
  <c r="K44" i="7" s="1"/>
  <c r="G43" i="7"/>
  <c r="K43" i="7" s="1"/>
  <c r="K42" i="7"/>
  <c r="G42" i="7"/>
  <c r="G41" i="7"/>
  <c r="K41" i="7" s="1"/>
  <c r="K40" i="7"/>
  <c r="G40" i="7"/>
  <c r="K39" i="7"/>
  <c r="G38" i="7"/>
  <c r="K38" i="7" s="1"/>
  <c r="K37" i="7"/>
  <c r="G37" i="7"/>
  <c r="K36" i="7"/>
  <c r="G36" i="7"/>
  <c r="K35" i="7"/>
  <c r="G35" i="7"/>
  <c r="G34" i="7"/>
  <c r="K34" i="7" s="1"/>
  <c r="G33" i="7"/>
  <c r="K33" i="7" s="1"/>
  <c r="G32" i="7"/>
  <c r="K32" i="7" s="1"/>
  <c r="K31" i="7"/>
  <c r="G31" i="7"/>
  <c r="G30" i="7"/>
  <c r="K30" i="7" s="1"/>
  <c r="K29" i="7"/>
  <c r="G29" i="7"/>
  <c r="K28" i="7"/>
  <c r="G28" i="7"/>
  <c r="K27" i="7"/>
  <c r="G27" i="7"/>
  <c r="G26" i="7"/>
  <c r="K26" i="7" s="1"/>
  <c r="G25" i="7"/>
  <c r="K24" i="7"/>
  <c r="G24" i="7"/>
  <c r="G23" i="7"/>
  <c r="K23" i="7" s="1"/>
  <c r="G22" i="7"/>
  <c r="K22" i="7" s="1"/>
  <c r="G21" i="7"/>
  <c r="K21" i="7" s="1"/>
  <c r="K20" i="7"/>
  <c r="G20" i="7"/>
  <c r="G19" i="7"/>
  <c r="K19" i="7" s="1"/>
  <c r="K18" i="7"/>
  <c r="G18" i="7"/>
  <c r="K17" i="7"/>
  <c r="G17" i="7"/>
  <c r="A17" i="7"/>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K16" i="7"/>
  <c r="G16" i="7"/>
  <c r="A16" i="7"/>
  <c r="G15" i="7"/>
  <c r="K15" i="7" s="1"/>
  <c r="K126" i="7" s="1"/>
  <c r="F289" i="7" s="1"/>
  <c r="K9" i="7"/>
  <c r="K8" i="7"/>
  <c r="K7" i="7"/>
  <c r="D271" i="7" s="1"/>
  <c r="K4" i="7"/>
  <c r="E247" i="6"/>
  <c r="E246" i="6"/>
  <c r="F245" i="6"/>
  <c r="E245" i="6"/>
  <c r="E244" i="6"/>
  <c r="E243" i="6"/>
  <c r="F241" i="6"/>
  <c r="F240" i="6"/>
  <c r="H233" i="6"/>
  <c r="G233" i="6"/>
  <c r="D233" i="6"/>
  <c r="D223" i="6"/>
  <c r="D222" i="6"/>
  <c r="D216" i="6"/>
  <c r="K210" i="6"/>
  <c r="K209" i="6"/>
  <c r="K205" i="6"/>
  <c r="K204" i="6"/>
  <c r="K203" i="6"/>
  <c r="K197" i="6"/>
  <c r="I197" i="6"/>
  <c r="K196" i="6"/>
  <c r="K195" i="6"/>
  <c r="I194" i="6"/>
  <c r="K194" i="6" s="1"/>
  <c r="K193" i="6"/>
  <c r="K192" i="6"/>
  <c r="I192" i="6"/>
  <c r="K191" i="6"/>
  <c r="I190" i="6"/>
  <c r="K190" i="6" s="1"/>
  <c r="K189" i="6"/>
  <c r="I189" i="6"/>
  <c r="K188" i="6"/>
  <c r="K187" i="6"/>
  <c r="K186" i="6"/>
  <c r="K185" i="6"/>
  <c r="K184" i="6"/>
  <c r="I183" i="6"/>
  <c r="K183" i="6" s="1"/>
  <c r="K182" i="6"/>
  <c r="K181" i="6"/>
  <c r="K180" i="6"/>
  <c r="K179" i="6"/>
  <c r="K178" i="6"/>
  <c r="K177" i="6"/>
  <c r="K176" i="6"/>
  <c r="K175" i="6"/>
  <c r="I175" i="6"/>
  <c r="K174" i="6"/>
  <c r="K173" i="6"/>
  <c r="K172" i="6"/>
  <c r="K170" i="6"/>
  <c r="K169" i="6"/>
  <c r="K164" i="6"/>
  <c r="K162" i="6"/>
  <c r="K160" i="6"/>
  <c r="I160" i="6"/>
  <c r="K159" i="6"/>
  <c r="K158" i="6"/>
  <c r="K157" i="6"/>
  <c r="K156" i="6"/>
  <c r="K155" i="6"/>
  <c r="K154" i="6"/>
  <c r="K153" i="6"/>
  <c r="I152" i="6"/>
  <c r="K152" i="6" s="1"/>
  <c r="K151" i="6"/>
  <c r="K150" i="6"/>
  <c r="K149" i="6"/>
  <c r="K148" i="6"/>
  <c r="K147" i="6"/>
  <c r="K146" i="6"/>
  <c r="K145" i="6"/>
  <c r="K144" i="6"/>
  <c r="I144" i="6"/>
  <c r="K143" i="6"/>
  <c r="K142" i="6"/>
  <c r="K141" i="6"/>
  <c r="K140" i="6"/>
  <c r="K139" i="6"/>
  <c r="K138" i="6"/>
  <c r="K137" i="6"/>
  <c r="K136" i="6"/>
  <c r="K135" i="6"/>
  <c r="K134" i="6"/>
  <c r="K131" i="6"/>
  <c r="K129" i="6"/>
  <c r="K128" i="6"/>
  <c r="K126" i="6"/>
  <c r="K125" i="6"/>
  <c r="K121" i="6"/>
  <c r="I121" i="6"/>
  <c r="K120" i="6"/>
  <c r="K119" i="6"/>
  <c r="K118" i="6"/>
  <c r="K117" i="6"/>
  <c r="K116" i="6"/>
  <c r="K115" i="6"/>
  <c r="K114" i="6"/>
  <c r="K113" i="6"/>
  <c r="I113" i="6"/>
  <c r="K112" i="6"/>
  <c r="K111" i="6"/>
  <c r="K110" i="6"/>
  <c r="K109" i="6"/>
  <c r="K108" i="6"/>
  <c r="K107" i="6"/>
  <c r="K106" i="6"/>
  <c r="K105" i="6"/>
  <c r="K104" i="6"/>
  <c r="K103" i="6"/>
  <c r="K102" i="6"/>
  <c r="K101" i="6"/>
  <c r="K100" i="6"/>
  <c r="K99" i="6"/>
  <c r="K98" i="6"/>
  <c r="A98" i="6"/>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K97" i="6"/>
  <c r="K94" i="6"/>
  <c r="G89" i="6"/>
  <c r="K89" i="6" s="1"/>
  <c r="K88" i="6"/>
  <c r="G88" i="6"/>
  <c r="G87" i="6"/>
  <c r="K87" i="6" s="1"/>
  <c r="K86" i="6"/>
  <c r="G86" i="6"/>
  <c r="K85" i="6"/>
  <c r="G85" i="6"/>
  <c r="K84" i="6"/>
  <c r="G84" i="6"/>
  <c r="G83" i="6"/>
  <c r="K83" i="6" s="1"/>
  <c r="G82" i="6"/>
  <c r="K82" i="6" s="1"/>
  <c r="G81" i="6"/>
  <c r="K81" i="6" s="1"/>
  <c r="K80" i="6"/>
  <c r="G80" i="6"/>
  <c r="G79" i="6"/>
  <c r="K79" i="6" s="1"/>
  <c r="K78" i="6"/>
  <c r="G78" i="6"/>
  <c r="K77" i="6"/>
  <c r="G77" i="6"/>
  <c r="K76" i="6"/>
  <c r="G76" i="6"/>
  <c r="G75" i="6"/>
  <c r="K75" i="6" s="1"/>
  <c r="G74" i="6"/>
  <c r="K74" i="6" s="1"/>
  <c r="A74" i="6"/>
  <c r="A75" i="6" s="1"/>
  <c r="A76" i="6" s="1"/>
  <c r="A77" i="6" s="1"/>
  <c r="A78" i="6" s="1"/>
  <c r="A79" i="6" s="1"/>
  <c r="A80" i="6" s="1"/>
  <c r="A81" i="6" s="1"/>
  <c r="A82" i="6" s="1"/>
  <c r="A83" i="6" s="1"/>
  <c r="A84" i="6" s="1"/>
  <c r="A85" i="6" s="1"/>
  <c r="A86" i="6" s="1"/>
  <c r="A87" i="6" s="1"/>
  <c r="A88" i="6" s="1"/>
  <c r="A89" i="6" s="1"/>
  <c r="G73" i="6"/>
  <c r="K73" i="6" s="1"/>
  <c r="A73" i="6"/>
  <c r="K72" i="6"/>
  <c r="G71" i="6"/>
  <c r="K71" i="6" s="1"/>
  <c r="G70" i="6"/>
  <c r="K70" i="6" s="1"/>
  <c r="G69" i="6"/>
  <c r="K69" i="6" s="1"/>
  <c r="G68" i="6"/>
  <c r="K68" i="6" s="1"/>
  <c r="G67" i="6"/>
  <c r="K67" i="6" s="1"/>
  <c r="G66" i="6"/>
  <c r="K66" i="6" s="1"/>
  <c r="G65" i="6"/>
  <c r="K65" i="6" s="1"/>
  <c r="K64" i="6"/>
  <c r="K63" i="6"/>
  <c r="G63" i="6"/>
  <c r="G62" i="6"/>
  <c r="K62" i="6" s="1"/>
  <c r="K61" i="6"/>
  <c r="G61" i="6"/>
  <c r="K60" i="6"/>
  <c r="G60" i="6"/>
  <c r="K59" i="6"/>
  <c r="G59" i="6"/>
  <c r="G58" i="6"/>
  <c r="K58" i="6" s="1"/>
  <c r="K57" i="6"/>
  <c r="G57" i="6"/>
  <c r="K56" i="6"/>
  <c r="G56" i="6"/>
  <c r="K55" i="6"/>
  <c r="G55" i="6"/>
  <c r="G54" i="6"/>
  <c r="K54" i="6" s="1"/>
  <c r="K53" i="6"/>
  <c r="G53" i="6"/>
  <c r="K52" i="6"/>
  <c r="G52" i="6"/>
  <c r="K51" i="6"/>
  <c r="G51" i="6"/>
  <c r="G50" i="6"/>
  <c r="K50" i="6" s="1"/>
  <c r="K49" i="6"/>
  <c r="G49" i="6"/>
  <c r="G48" i="6"/>
  <c r="K48" i="6" s="1"/>
  <c r="K47" i="6"/>
  <c r="G47" i="6"/>
  <c r="G46" i="6"/>
  <c r="K46" i="6" s="1"/>
  <c r="K45" i="6"/>
  <c r="G45" i="6"/>
  <c r="G44" i="6"/>
  <c r="K44" i="6" s="1"/>
  <c r="K43" i="6"/>
  <c r="G43" i="6"/>
  <c r="G42" i="6"/>
  <c r="K42" i="6" s="1"/>
  <c r="K41" i="6"/>
  <c r="G41" i="6"/>
  <c r="G40" i="6"/>
  <c r="K40" i="6" s="1"/>
  <c r="K39" i="6"/>
  <c r="G39" i="6"/>
  <c r="G38" i="6"/>
  <c r="K38" i="6" s="1"/>
  <c r="K37" i="6"/>
  <c r="G37" i="6"/>
  <c r="G36" i="6"/>
  <c r="K36" i="6" s="1"/>
  <c r="K35" i="6"/>
  <c r="G35" i="6"/>
  <c r="G34" i="6"/>
  <c r="K34" i="6" s="1"/>
  <c r="K33" i="6"/>
  <c r="G33" i="6"/>
  <c r="G32" i="6"/>
  <c r="K32" i="6" s="1"/>
  <c r="K31" i="6"/>
  <c r="G31" i="6"/>
  <c r="G30" i="6"/>
  <c r="K30" i="6" s="1"/>
  <c r="K29" i="6"/>
  <c r="G29" i="6"/>
  <c r="G28" i="6"/>
  <c r="K28" i="6" s="1"/>
  <c r="K27" i="6"/>
  <c r="G27" i="6"/>
  <c r="G26" i="6"/>
  <c r="K26" i="6" s="1"/>
  <c r="K25" i="6"/>
  <c r="G25" i="6"/>
  <c r="G24" i="6"/>
  <c r="K24" i="6" s="1"/>
  <c r="K23" i="6"/>
  <c r="G23" i="6"/>
  <c r="G22" i="6"/>
  <c r="K22" i="6" s="1"/>
  <c r="K21" i="6"/>
  <c r="G21" i="6"/>
  <c r="G20" i="6"/>
  <c r="K20" i="6" s="1"/>
  <c r="K19" i="6"/>
  <c r="G19" i="6"/>
  <c r="G18" i="6"/>
  <c r="K18" i="6" s="1"/>
  <c r="K17" i="6"/>
  <c r="G17" i="6"/>
  <c r="G16" i="6"/>
  <c r="K16" i="6" s="1"/>
  <c r="K15" i="6"/>
  <c r="G15" i="6"/>
  <c r="K9" i="6"/>
  <c r="D221" i="6" s="1"/>
  <c r="K8" i="6"/>
  <c r="D220" i="6" s="1"/>
  <c r="K7" i="6"/>
  <c r="D219" i="6" s="1"/>
  <c r="E3" i="6"/>
  <c r="I216" i="6" s="1"/>
  <c r="AY468" i="5"/>
  <c r="AX468" i="5"/>
  <c r="AW468" i="5"/>
  <c r="AU468" i="5"/>
  <c r="AT468" i="5"/>
  <c r="AS468" i="5"/>
  <c r="CU466" i="5"/>
  <c r="CT466" i="5"/>
  <c r="CR466" i="5"/>
  <c r="BO466" i="5"/>
  <c r="AE466" i="5"/>
  <c r="J466" i="5"/>
  <c r="BO465" i="5"/>
  <c r="J465" i="5"/>
  <c r="BN464" i="5"/>
  <c r="J464" i="5"/>
  <c r="BO463" i="5"/>
  <c r="J463" i="5"/>
  <c r="BN462" i="5"/>
  <c r="BH462" i="5"/>
  <c r="BD462" i="5"/>
  <c r="BB462" i="5"/>
  <c r="BA462" i="5"/>
  <c r="J462" i="5"/>
  <c r="BO461" i="5"/>
  <c r="J461" i="5"/>
  <c r="BO460" i="5"/>
  <c r="J460" i="5"/>
  <c r="BO459" i="5"/>
  <c r="J459" i="5"/>
  <c r="BO458" i="5"/>
  <c r="J458" i="5"/>
  <c r="BO457" i="5"/>
  <c r="J457" i="5"/>
  <c r="BO456" i="5"/>
  <c r="J456" i="5"/>
  <c r="BO455" i="5"/>
  <c r="J455" i="5"/>
  <c r="BO454" i="5"/>
  <c r="J454" i="5"/>
  <c r="BO453" i="5"/>
  <c r="J453" i="5"/>
  <c r="BO452" i="5"/>
  <c r="J452" i="5"/>
  <c r="BO451" i="5"/>
  <c r="BH451" i="5"/>
  <c r="BD451" i="5"/>
  <c r="BB451" i="5"/>
  <c r="BA451" i="5"/>
  <c r="J451" i="5"/>
  <c r="BO450" i="5"/>
  <c r="J450" i="5"/>
  <c r="BO449" i="5"/>
  <c r="J449" i="5"/>
  <c r="BO448" i="5"/>
  <c r="J448" i="5"/>
  <c r="BO447" i="5"/>
  <c r="J447" i="5"/>
  <c r="BO446" i="5"/>
  <c r="J446" i="5"/>
  <c r="BO445" i="5"/>
  <c r="J445" i="5"/>
  <c r="BO444" i="5"/>
  <c r="J444" i="5"/>
  <c r="BO443" i="5"/>
  <c r="J443" i="5"/>
  <c r="BH442" i="5"/>
  <c r="BD442" i="5"/>
  <c r="BO442" i="5" s="1"/>
  <c r="BB442" i="5"/>
  <c r="BA442" i="5"/>
  <c r="J442" i="5"/>
  <c r="BO441" i="5"/>
  <c r="J441" i="5"/>
  <c r="BO440" i="5"/>
  <c r="J440" i="5"/>
  <c r="BO439" i="5"/>
  <c r="J439" i="5"/>
  <c r="BA438" i="5"/>
  <c r="AZ438" i="5"/>
  <c r="BH438" i="5" s="1"/>
  <c r="J438" i="5"/>
  <c r="BO437" i="5"/>
  <c r="J437" i="5"/>
  <c r="BO436" i="5"/>
  <c r="BA436" i="5"/>
  <c r="BB436" i="5" s="1"/>
  <c r="AZ436" i="5"/>
  <c r="J436" i="5"/>
  <c r="BD435" i="5"/>
  <c r="BO435" i="5" s="1"/>
  <c r="BB435" i="5"/>
  <c r="BA435" i="5"/>
  <c r="AZ435" i="5"/>
  <c r="J435" i="5"/>
  <c r="BO434" i="5"/>
  <c r="J434" i="5"/>
  <c r="BO433" i="5"/>
  <c r="J433" i="5"/>
  <c r="BO432" i="5"/>
  <c r="J432" i="5"/>
  <c r="BO431" i="5"/>
  <c r="J431" i="5"/>
  <c r="BO430" i="5"/>
  <c r="J430" i="5"/>
  <c r="BO429" i="5"/>
  <c r="J429" i="5"/>
  <c r="BO428" i="5"/>
  <c r="J428" i="5"/>
  <c r="BO427" i="5"/>
  <c r="J427" i="5"/>
  <c r="BO426" i="5"/>
  <c r="J426" i="5"/>
  <c r="BO425" i="5"/>
  <c r="J425" i="5"/>
  <c r="BO424" i="5"/>
  <c r="J424" i="5"/>
  <c r="BO423" i="5"/>
  <c r="J423" i="5"/>
  <c r="BO422" i="5"/>
  <c r="J422" i="5"/>
  <c r="BO421" i="5"/>
  <c r="J421" i="5"/>
  <c r="BO420" i="5"/>
  <c r="J420" i="5"/>
  <c r="BD419" i="5"/>
  <c r="BO419" i="5" s="1"/>
  <c r="BA419" i="5"/>
  <c r="BB419" i="5" s="1"/>
  <c r="J419" i="5"/>
  <c r="BO418" i="5"/>
  <c r="BB418" i="5"/>
  <c r="BA418" i="5"/>
  <c r="AZ418" i="5"/>
  <c r="J418" i="5"/>
  <c r="BO417" i="5"/>
  <c r="BB417" i="5"/>
  <c r="BA417" i="5"/>
  <c r="AZ417" i="5"/>
  <c r="J417" i="5"/>
  <c r="BO416" i="5"/>
  <c r="BA416" i="5"/>
  <c r="BB416" i="5" s="1"/>
  <c r="AZ416" i="5"/>
  <c r="J416" i="5"/>
  <c r="BO415" i="5"/>
  <c r="BA415" i="5"/>
  <c r="AZ415" i="5"/>
  <c r="J415" i="5"/>
  <c r="BO414" i="5"/>
  <c r="BA414" i="5"/>
  <c r="AZ414" i="5"/>
  <c r="BB414" i="5" s="1"/>
  <c r="J414" i="5"/>
  <c r="BO413" i="5"/>
  <c r="BB413" i="5"/>
  <c r="J413" i="5"/>
  <c r="BO412" i="5"/>
  <c r="BA412" i="5"/>
  <c r="AZ412" i="5"/>
  <c r="BB412" i="5" s="1"/>
  <c r="J412" i="5"/>
  <c r="BO411" i="5"/>
  <c r="BA411" i="5"/>
  <c r="AZ411" i="5"/>
  <c r="BB411" i="5" s="1"/>
  <c r="J411" i="5"/>
  <c r="BO410" i="5"/>
  <c r="BA410" i="5"/>
  <c r="AZ410" i="5"/>
  <c r="BB410" i="5" s="1"/>
  <c r="J410" i="5"/>
  <c r="BO409" i="5"/>
  <c r="BB409" i="5"/>
  <c r="J409" i="5"/>
  <c r="BO408" i="5"/>
  <c r="BA408" i="5"/>
  <c r="AZ408" i="5"/>
  <c r="BB408" i="5" s="1"/>
  <c r="J408" i="5"/>
  <c r="BO407" i="5"/>
  <c r="BA407" i="5"/>
  <c r="AZ407" i="5"/>
  <c r="BB407" i="5" s="1"/>
  <c r="J407" i="5"/>
  <c r="BO406" i="5"/>
  <c r="BB406" i="5"/>
  <c r="BA406" i="5"/>
  <c r="AZ406" i="5"/>
  <c r="J406" i="5"/>
  <c r="BO405" i="5"/>
  <c r="BB405" i="5"/>
  <c r="BA405" i="5"/>
  <c r="AZ405" i="5"/>
  <c r="J405" i="5"/>
  <c r="BO404" i="5"/>
  <c r="BD404" i="5"/>
  <c r="BA404" i="5"/>
  <c r="BB404" i="5" s="1"/>
  <c r="J404" i="5"/>
  <c r="BO403" i="5"/>
  <c r="BA403" i="5"/>
  <c r="BB403" i="5" s="1"/>
  <c r="AZ403" i="5"/>
  <c r="J403" i="5"/>
  <c r="BD402" i="5"/>
  <c r="BO402" i="5" s="1"/>
  <c r="BB402" i="5"/>
  <c r="BA402" i="5"/>
  <c r="J402" i="5"/>
  <c r="BO401" i="5"/>
  <c r="BA401" i="5"/>
  <c r="AZ401" i="5"/>
  <c r="BB401" i="5" s="1"/>
  <c r="J401" i="5"/>
  <c r="BO400" i="5"/>
  <c r="BA400" i="5"/>
  <c r="AZ400" i="5"/>
  <c r="BB400" i="5" s="1"/>
  <c r="J400" i="5"/>
  <c r="BO399" i="5"/>
  <c r="BA399" i="5"/>
  <c r="AZ399" i="5"/>
  <c r="J399" i="5"/>
  <c r="BD398" i="5"/>
  <c r="BO398" i="5" s="1"/>
  <c r="BB398" i="5"/>
  <c r="BA398" i="5"/>
  <c r="J398" i="5"/>
  <c r="BA397" i="5"/>
  <c r="AZ397" i="5"/>
  <c r="J397" i="5"/>
  <c r="BO396" i="5"/>
  <c r="BA396" i="5"/>
  <c r="AZ396" i="5"/>
  <c r="J396" i="5"/>
  <c r="BO395" i="5"/>
  <c r="BB395" i="5"/>
  <c r="BA395" i="5"/>
  <c r="AZ395" i="5"/>
  <c r="J395" i="5"/>
  <c r="BH394" i="5"/>
  <c r="BA394" i="5"/>
  <c r="AZ394" i="5"/>
  <c r="BD394" i="5" s="1"/>
  <c r="BO394" i="5" s="1"/>
  <c r="J394" i="5"/>
  <c r="BD393" i="5"/>
  <c r="BO393" i="5" s="1"/>
  <c r="BA393" i="5"/>
  <c r="AZ393" i="5"/>
  <c r="J393" i="5"/>
  <c r="BO392" i="5"/>
  <c r="BA392" i="5"/>
  <c r="BC392" i="5" s="1"/>
  <c r="AZ392" i="5"/>
  <c r="BB392" i="5" s="1"/>
  <c r="J392" i="5"/>
  <c r="BV391" i="5"/>
  <c r="BZ391" i="5" s="1"/>
  <c r="AZ391" i="5" s="1"/>
  <c r="BA391" i="5"/>
  <c r="J391" i="5"/>
  <c r="BN390" i="5"/>
  <c r="BB390" i="5"/>
  <c r="BA390" i="5"/>
  <c r="AZ390" i="5"/>
  <c r="J390" i="5"/>
  <c r="BN389" i="5"/>
  <c r="BB389" i="5"/>
  <c r="BA389" i="5"/>
  <c r="AZ389" i="5"/>
  <c r="J389" i="5"/>
  <c r="BA388" i="5"/>
  <c r="AZ388" i="5"/>
  <c r="J388" i="5"/>
  <c r="BA387" i="5"/>
  <c r="AZ387" i="5"/>
  <c r="BN387" i="5" s="1"/>
  <c r="J387" i="5"/>
  <c r="BN386" i="5"/>
  <c r="BB386" i="5"/>
  <c r="BA386" i="5"/>
  <c r="AZ386" i="5"/>
  <c r="J386" i="5"/>
  <c r="BN385" i="5"/>
  <c r="BA385" i="5"/>
  <c r="AZ385" i="5"/>
  <c r="BB385" i="5" s="1"/>
  <c r="J385" i="5"/>
  <c r="BA384" i="5"/>
  <c r="AZ384" i="5"/>
  <c r="J384" i="5"/>
  <c r="BA383" i="5"/>
  <c r="AZ383" i="5"/>
  <c r="BN383" i="5" s="1"/>
  <c r="J383" i="5"/>
  <c r="BJ382" i="5"/>
  <c r="BC382" i="5"/>
  <c r="BB382" i="5"/>
  <c r="BA382" i="5"/>
  <c r="AZ382" i="5"/>
  <c r="BH382" i="5" s="1"/>
  <c r="N382" i="5"/>
  <c r="J382" i="5"/>
  <c r="CU381" i="5"/>
  <c r="CT381" i="5"/>
  <c r="BP381" i="5"/>
  <c r="BO381" i="5"/>
  <c r="BA381" i="5"/>
  <c r="AZ381" i="5"/>
  <c r="BB381" i="5" s="1"/>
  <c r="AE381" i="5"/>
  <c r="N381" i="5"/>
  <c r="J381" i="5"/>
  <c r="CU380" i="5"/>
  <c r="CT380" i="5"/>
  <c r="BP380" i="5"/>
  <c r="BO380" i="5"/>
  <c r="BJ380" i="5"/>
  <c r="BD380" i="5"/>
  <c r="BI380" i="5" s="1"/>
  <c r="BB380" i="5"/>
  <c r="BA380" i="5"/>
  <c r="AZ380" i="5"/>
  <c r="AE380" i="5"/>
  <c r="N380" i="5"/>
  <c r="J380" i="5"/>
  <c r="CU379" i="5"/>
  <c r="CT379" i="5"/>
  <c r="BP379" i="5"/>
  <c r="BO379" i="5"/>
  <c r="BA379" i="5"/>
  <c r="AZ379" i="5"/>
  <c r="BB379" i="5" s="1"/>
  <c r="AE379" i="5"/>
  <c r="N379" i="5"/>
  <c r="J379" i="5"/>
  <c r="CU378" i="5"/>
  <c r="CT378" i="5"/>
  <c r="BP378" i="5"/>
  <c r="BJ378" i="5"/>
  <c r="BD378" i="5"/>
  <c r="BB378" i="5"/>
  <c r="BA378" i="5"/>
  <c r="AZ378" i="5"/>
  <c r="AE378" i="5"/>
  <c r="N378" i="5"/>
  <c r="J378" i="5"/>
  <c r="CU377" i="5"/>
  <c r="CT377" i="5"/>
  <c r="BP377" i="5"/>
  <c r="BO377" i="5"/>
  <c r="BB377" i="5"/>
  <c r="BA377" i="5"/>
  <c r="AZ377" i="5"/>
  <c r="AE377" i="5"/>
  <c r="N377" i="5"/>
  <c r="J377" i="5"/>
  <c r="CU376" i="5"/>
  <c r="CT376" i="5"/>
  <c r="BP376" i="5"/>
  <c r="BO376" i="5"/>
  <c r="BA376" i="5"/>
  <c r="AZ376" i="5"/>
  <c r="BB376" i="5" s="1"/>
  <c r="AE376" i="5"/>
  <c r="N376" i="5"/>
  <c r="J376" i="5"/>
  <c r="CU375" i="5"/>
  <c r="CT375" i="5"/>
  <c r="BP375" i="5"/>
  <c r="BJ375" i="5"/>
  <c r="BD375" i="5"/>
  <c r="BB375" i="5"/>
  <c r="BA375" i="5"/>
  <c r="AZ375" i="5"/>
  <c r="AE375" i="5"/>
  <c r="N375" i="5"/>
  <c r="J375" i="5"/>
  <c r="CU374" i="5"/>
  <c r="CT374" i="5"/>
  <c r="BP374" i="5"/>
  <c r="BO374" i="5"/>
  <c r="BB374" i="5"/>
  <c r="BA374" i="5"/>
  <c r="AZ374" i="5"/>
  <c r="AE374" i="5"/>
  <c r="N374" i="5"/>
  <c r="J374" i="5"/>
  <c r="CU373" i="5"/>
  <c r="CT373" i="5"/>
  <c r="BP373" i="5"/>
  <c r="BJ373" i="5"/>
  <c r="BA373" i="5"/>
  <c r="AZ373" i="5"/>
  <c r="AE373" i="5"/>
  <c r="N373" i="5"/>
  <c r="J373" i="5"/>
  <c r="CU372" i="5"/>
  <c r="CT372" i="5"/>
  <c r="BP372" i="5"/>
  <c r="BO372" i="5"/>
  <c r="BJ372" i="5"/>
  <c r="BD372" i="5"/>
  <c r="BI372" i="5" s="1"/>
  <c r="BB372" i="5"/>
  <c r="BA372" i="5"/>
  <c r="AZ372" i="5"/>
  <c r="AE372" i="5"/>
  <c r="N372" i="5"/>
  <c r="J372" i="5"/>
  <c r="BP371" i="5"/>
  <c r="BO371" i="5"/>
  <c r="BB371" i="5"/>
  <c r="BA371" i="5"/>
  <c r="AZ371" i="5"/>
  <c r="AE371" i="5"/>
  <c r="N371" i="5"/>
  <c r="J371" i="5"/>
  <c r="CU370" i="5"/>
  <c r="CT370" i="5"/>
  <c r="BP370" i="5"/>
  <c r="BO370" i="5"/>
  <c r="BB370" i="5"/>
  <c r="BA370" i="5"/>
  <c r="AZ370" i="5"/>
  <c r="AE370" i="5"/>
  <c r="N370" i="5"/>
  <c r="J370" i="5"/>
  <c r="CU369" i="5"/>
  <c r="CT369" i="5"/>
  <c r="BP369" i="5"/>
  <c r="BO369" i="5"/>
  <c r="BA369" i="5"/>
  <c r="AZ369" i="5"/>
  <c r="BB369" i="5" s="1"/>
  <c r="AE369" i="5"/>
  <c r="N369" i="5"/>
  <c r="J369" i="5"/>
  <c r="CU368" i="5"/>
  <c r="CT368" i="5"/>
  <c r="BP368" i="5"/>
  <c r="BJ368" i="5"/>
  <c r="BD368" i="5"/>
  <c r="BB368" i="5"/>
  <c r="BA368" i="5"/>
  <c r="AZ368" i="5"/>
  <c r="AE368" i="5"/>
  <c r="N368" i="5"/>
  <c r="J368" i="5"/>
  <c r="CU367" i="5"/>
  <c r="CT367" i="5"/>
  <c r="BP367" i="5"/>
  <c r="BJ367" i="5"/>
  <c r="BA367" i="5"/>
  <c r="AZ367" i="5"/>
  <c r="BD367" i="5" s="1"/>
  <c r="AE367" i="5"/>
  <c r="N367" i="5"/>
  <c r="J367" i="5"/>
  <c r="CU366" i="5"/>
  <c r="CT366" i="5"/>
  <c r="BP366" i="5"/>
  <c r="BO366" i="5"/>
  <c r="BA366" i="5"/>
  <c r="AZ366" i="5"/>
  <c r="BB366" i="5" s="1"/>
  <c r="AE366" i="5"/>
  <c r="N366" i="5"/>
  <c r="J366" i="5"/>
  <c r="CU365" i="5"/>
  <c r="CT365" i="5"/>
  <c r="BP365" i="5"/>
  <c r="BO365" i="5"/>
  <c r="BJ365" i="5"/>
  <c r="BD365" i="5"/>
  <c r="BI365" i="5" s="1"/>
  <c r="BB365" i="5"/>
  <c r="BA365" i="5"/>
  <c r="AZ365" i="5"/>
  <c r="AE365" i="5"/>
  <c r="N365" i="5"/>
  <c r="J365" i="5"/>
  <c r="CU364" i="5"/>
  <c r="CT364" i="5"/>
  <c r="BP364" i="5"/>
  <c r="BO364" i="5"/>
  <c r="BA364" i="5"/>
  <c r="AZ364" i="5"/>
  <c r="BB364" i="5" s="1"/>
  <c r="AE364" i="5"/>
  <c r="N364" i="5"/>
  <c r="J364" i="5"/>
  <c r="CU363" i="5"/>
  <c r="CT363" i="5"/>
  <c r="BP363" i="5"/>
  <c r="BO363" i="5"/>
  <c r="BA363" i="5"/>
  <c r="AZ363" i="5"/>
  <c r="BB363" i="5" s="1"/>
  <c r="AE363" i="5"/>
  <c r="N363" i="5"/>
  <c r="J363" i="5"/>
  <c r="CU362" i="5"/>
  <c r="CT362" i="5"/>
  <c r="BP362" i="5"/>
  <c r="BO362" i="5"/>
  <c r="BB362" i="5"/>
  <c r="BA362" i="5"/>
  <c r="AZ362" i="5"/>
  <c r="AE362" i="5"/>
  <c r="N362" i="5"/>
  <c r="J362" i="5"/>
  <c r="CU361" i="5"/>
  <c r="CT361" i="5"/>
  <c r="BP361" i="5"/>
  <c r="BO361" i="5"/>
  <c r="BB361" i="5"/>
  <c r="BA361" i="5"/>
  <c r="AZ361" i="5"/>
  <c r="AE361" i="5"/>
  <c r="N361" i="5"/>
  <c r="J361" i="5"/>
  <c r="CU360" i="5"/>
  <c r="CT360" i="5"/>
  <c r="BP360" i="5"/>
  <c r="BJ360" i="5"/>
  <c r="BA360" i="5"/>
  <c r="AZ360" i="5"/>
  <c r="AE360" i="5"/>
  <c r="N360" i="5"/>
  <c r="J360" i="5"/>
  <c r="CU359" i="5"/>
  <c r="CT359" i="5"/>
  <c r="BP359" i="5"/>
  <c r="BO359" i="5"/>
  <c r="BJ359" i="5"/>
  <c r="BD359" i="5"/>
  <c r="BI359" i="5" s="1"/>
  <c r="BA359" i="5"/>
  <c r="BB359" i="5" s="1"/>
  <c r="AZ359" i="5"/>
  <c r="AE359" i="5"/>
  <c r="N359" i="5"/>
  <c r="J359" i="5"/>
  <c r="CU358" i="5"/>
  <c r="CT358" i="5"/>
  <c r="BP358" i="5"/>
  <c r="BO358" i="5"/>
  <c r="BA358" i="5"/>
  <c r="AZ358" i="5"/>
  <c r="AE358" i="5"/>
  <c r="N358" i="5"/>
  <c r="J358" i="5"/>
  <c r="CU357" i="5"/>
  <c r="CT357" i="5"/>
  <c r="BP357" i="5"/>
  <c r="BO357" i="5"/>
  <c r="BA357" i="5"/>
  <c r="AZ357" i="5"/>
  <c r="BB357" i="5" s="1"/>
  <c r="AE357" i="5"/>
  <c r="N357" i="5"/>
  <c r="J357" i="5"/>
  <c r="CU356" i="5"/>
  <c r="CT356" i="5"/>
  <c r="BP356" i="5"/>
  <c r="BO356" i="5"/>
  <c r="BB356" i="5"/>
  <c r="BA356" i="5"/>
  <c r="AZ356" i="5"/>
  <c r="AE356" i="5"/>
  <c r="N356" i="5"/>
  <c r="J356" i="5"/>
  <c r="CU355" i="5"/>
  <c r="CT355" i="5"/>
  <c r="BP355" i="5"/>
  <c r="BJ355" i="5"/>
  <c r="BA355" i="5"/>
  <c r="AZ355" i="5"/>
  <c r="AE355" i="5"/>
  <c r="N355" i="5"/>
  <c r="J355" i="5"/>
  <c r="CU354" i="5"/>
  <c r="CT354" i="5"/>
  <c r="BP354" i="5"/>
  <c r="BO354" i="5"/>
  <c r="BJ354" i="5"/>
  <c r="BD354" i="5"/>
  <c r="BI354" i="5" s="1"/>
  <c r="BB354" i="5"/>
  <c r="BA354" i="5"/>
  <c r="AZ354" i="5"/>
  <c r="AE354" i="5"/>
  <c r="N354" i="5"/>
  <c r="J354" i="5"/>
  <c r="CU353" i="5"/>
  <c r="CT353" i="5"/>
  <c r="BP353" i="5"/>
  <c r="BJ353" i="5"/>
  <c r="BI353" i="5"/>
  <c r="BB353" i="5"/>
  <c r="BA353" i="5"/>
  <c r="AZ353" i="5"/>
  <c r="BD353" i="5" s="1"/>
  <c r="BO353" i="5" s="1"/>
  <c r="AE353" i="5"/>
  <c r="N353" i="5"/>
  <c r="J353" i="5"/>
  <c r="CU352" i="5"/>
  <c r="CT352" i="5"/>
  <c r="BP352" i="5"/>
  <c r="BO352" i="5"/>
  <c r="BA352" i="5"/>
  <c r="AZ352" i="5"/>
  <c r="AE352" i="5"/>
  <c r="N352" i="5"/>
  <c r="J352" i="5"/>
  <c r="CU351" i="5"/>
  <c r="CT351" i="5"/>
  <c r="BP351" i="5"/>
  <c r="BO351" i="5"/>
  <c r="BJ351" i="5"/>
  <c r="BD351" i="5"/>
  <c r="BI351" i="5" s="1"/>
  <c r="BA351" i="5"/>
  <c r="BB351" i="5" s="1"/>
  <c r="AZ351" i="5"/>
  <c r="AE351" i="5"/>
  <c r="N351" i="5"/>
  <c r="J351" i="5"/>
  <c r="CU350" i="5"/>
  <c r="CT350" i="5"/>
  <c r="BP350" i="5"/>
  <c r="BO350" i="5"/>
  <c r="BA350" i="5"/>
  <c r="AZ350" i="5"/>
  <c r="BB350" i="5" s="1"/>
  <c r="AE350" i="5"/>
  <c r="N350" i="5"/>
  <c r="J350" i="5"/>
  <c r="CU349" i="5"/>
  <c r="CT349" i="5"/>
  <c r="BP349" i="5"/>
  <c r="BO349" i="5"/>
  <c r="BB349" i="5"/>
  <c r="BA349" i="5"/>
  <c r="AZ349" i="5"/>
  <c r="AE349" i="5"/>
  <c r="N349" i="5"/>
  <c r="J349" i="5"/>
  <c r="CU348" i="5"/>
  <c r="CT348" i="5"/>
  <c r="BP348" i="5"/>
  <c r="BO348" i="5"/>
  <c r="BA348" i="5"/>
  <c r="BB348" i="5" s="1"/>
  <c r="AZ348" i="5"/>
  <c r="AE348" i="5"/>
  <c r="N348" i="5"/>
  <c r="J348" i="5"/>
  <c r="CU347" i="5"/>
  <c r="CT347" i="5"/>
  <c r="BP347" i="5"/>
  <c r="BJ347" i="5"/>
  <c r="BI347" i="5"/>
  <c r="BD347" i="5"/>
  <c r="BO347" i="5" s="1"/>
  <c r="BA347" i="5"/>
  <c r="AZ347" i="5"/>
  <c r="BB347" i="5" s="1"/>
  <c r="AE347" i="5"/>
  <c r="N347" i="5"/>
  <c r="J347" i="5"/>
  <c r="C347" i="5"/>
  <c r="C348" i="5" s="1"/>
  <c r="C349" i="5" s="1"/>
  <c r="C350" i="5" s="1"/>
  <c r="C351" i="5" s="1"/>
  <c r="C352" i="5" s="1"/>
  <c r="C353" i="5" s="1"/>
  <c r="C354" i="5" s="1"/>
  <c r="C355" i="5" s="1"/>
  <c r="C356" i="5" s="1"/>
  <c r="C357" i="5" s="1"/>
  <c r="C358" i="5" s="1"/>
  <c r="C359" i="5" s="1"/>
  <c r="C360" i="5" s="1"/>
  <c r="C361" i="5" s="1"/>
  <c r="C362" i="5" s="1"/>
  <c r="C363" i="5" s="1"/>
  <c r="C364" i="5" s="1"/>
  <c r="C365" i="5" s="1"/>
  <c r="C366" i="5" s="1"/>
  <c r="C367" i="5" s="1"/>
  <c r="C368" i="5" s="1"/>
  <c r="C369" i="5" s="1"/>
  <c r="C370" i="5" s="1"/>
  <c r="C371" i="5" s="1"/>
  <c r="C372" i="5" s="1"/>
  <c r="C373" i="5" s="1"/>
  <c r="C374" i="5" s="1"/>
  <c r="C375" i="5" s="1"/>
  <c r="C376" i="5" s="1"/>
  <c r="C377" i="5" s="1"/>
  <c r="C378" i="5" s="1"/>
  <c r="C379" i="5" s="1"/>
  <c r="C380" i="5" s="1"/>
  <c r="C381" i="5" s="1"/>
  <c r="CU346" i="5"/>
  <c r="CT346" i="5"/>
  <c r="BP346" i="5"/>
  <c r="BO346" i="5"/>
  <c r="BB346" i="5"/>
  <c r="BA346" i="5"/>
  <c r="AZ346" i="5"/>
  <c r="AE346" i="5"/>
  <c r="N346" i="5"/>
  <c r="J346" i="5"/>
  <c r="C346" i="5"/>
  <c r="CU345" i="5"/>
  <c r="CT345" i="5"/>
  <c r="BP345" i="5"/>
  <c r="BO345" i="5"/>
  <c r="BB345" i="5"/>
  <c r="BA345" i="5"/>
  <c r="AZ345" i="5"/>
  <c r="AE345" i="5"/>
  <c r="N345" i="5"/>
  <c r="J345" i="5"/>
  <c r="CU344" i="5"/>
  <c r="CT344" i="5"/>
  <c r="BO344" i="5"/>
  <c r="BI344" i="5"/>
  <c r="BA344" i="5"/>
  <c r="BC344" i="5" s="1"/>
  <c r="BD344" i="5" s="1"/>
  <c r="AZ344" i="5"/>
  <c r="J344" i="5"/>
  <c r="BN343" i="5"/>
  <c r="BA343" i="5"/>
  <c r="AZ343" i="5"/>
  <c r="BB343" i="5" s="1"/>
  <c r="CU342" i="5"/>
  <c r="CT342" i="5"/>
  <c r="BZ342" i="5"/>
  <c r="BV342" i="5"/>
  <c r="AZ342" i="5" s="1"/>
  <c r="BB342" i="5" s="1"/>
  <c r="BR342" i="5"/>
  <c r="BO342" i="5"/>
  <c r="BI342" i="5"/>
  <c r="BA342" i="5"/>
  <c r="J342" i="5"/>
  <c r="BC341" i="5"/>
  <c r="BB341" i="5"/>
  <c r="BA341" i="5"/>
  <c r="AZ341" i="5"/>
  <c r="BN341" i="5" s="1"/>
  <c r="J341" i="5"/>
  <c r="BC340" i="5"/>
  <c r="BA340" i="5"/>
  <c r="AZ340" i="5"/>
  <c r="J340" i="5"/>
  <c r="BA339" i="5"/>
  <c r="AZ339" i="5"/>
  <c r="J339" i="5"/>
  <c r="BA338" i="5"/>
  <c r="BC338" i="5" s="1"/>
  <c r="AZ338" i="5"/>
  <c r="J338" i="5"/>
  <c r="BN337" i="5"/>
  <c r="BH337" i="5"/>
  <c r="BA337" i="5"/>
  <c r="BC337" i="5" s="1"/>
  <c r="AZ337" i="5"/>
  <c r="BD337" i="5" s="1"/>
  <c r="J337" i="5"/>
  <c r="BN336" i="5"/>
  <c r="BC336" i="5"/>
  <c r="BD336" i="5" s="1"/>
  <c r="BB336" i="5"/>
  <c r="BA336" i="5"/>
  <c r="AZ336" i="5"/>
  <c r="BH336" i="5" s="1"/>
  <c r="J336" i="5"/>
  <c r="BH335" i="5"/>
  <c r="BC335" i="5"/>
  <c r="BD335" i="5" s="1"/>
  <c r="BA335" i="5"/>
  <c r="AZ335" i="5"/>
  <c r="BB335" i="5" s="1"/>
  <c r="J335" i="5"/>
  <c r="BH334" i="5"/>
  <c r="BA334" i="5"/>
  <c r="BC334" i="5" s="1"/>
  <c r="BD334" i="5" s="1"/>
  <c r="AZ334" i="5"/>
  <c r="BB334" i="5" s="1"/>
  <c r="J334" i="5"/>
  <c r="BN333" i="5"/>
  <c r="BH333" i="5"/>
  <c r="BA333" i="5"/>
  <c r="BC333" i="5" s="1"/>
  <c r="BD333" i="5" s="1"/>
  <c r="AZ333" i="5"/>
  <c r="J333" i="5"/>
  <c r="BN332" i="5"/>
  <c r="BC332" i="5"/>
  <c r="BB332" i="5"/>
  <c r="BA332" i="5"/>
  <c r="AZ332" i="5"/>
  <c r="BH332" i="5" s="1"/>
  <c r="J332" i="5"/>
  <c r="BC331" i="5"/>
  <c r="BA331" i="5"/>
  <c r="AZ331" i="5"/>
  <c r="J331" i="5"/>
  <c r="BA330" i="5"/>
  <c r="BC330" i="5" s="1"/>
  <c r="AZ330" i="5"/>
  <c r="J330" i="5"/>
  <c r="BN329" i="5"/>
  <c r="BH329" i="5"/>
  <c r="BA329" i="5"/>
  <c r="AZ329" i="5"/>
  <c r="J329" i="5"/>
  <c r="BN328" i="5"/>
  <c r="BC328" i="5"/>
  <c r="BD328" i="5" s="1"/>
  <c r="BB328" i="5"/>
  <c r="BA328" i="5"/>
  <c r="AZ328" i="5"/>
  <c r="BH328" i="5" s="1"/>
  <c r="J328" i="5"/>
  <c r="BH327" i="5"/>
  <c r="BC327" i="5"/>
  <c r="BD327" i="5" s="1"/>
  <c r="BA327" i="5"/>
  <c r="AZ327" i="5"/>
  <c r="BB327" i="5" s="1"/>
  <c r="J327" i="5"/>
  <c r="BH326" i="5"/>
  <c r="BD326" i="5"/>
  <c r="BA326" i="5"/>
  <c r="BC326" i="5" s="1"/>
  <c r="AZ326" i="5"/>
  <c r="BB326" i="5" s="1"/>
  <c r="J326" i="5"/>
  <c r="BN325" i="5"/>
  <c r="BH325" i="5"/>
  <c r="BA325" i="5"/>
  <c r="BC325" i="5" s="1"/>
  <c r="AZ325" i="5"/>
  <c r="BD325" i="5" s="1"/>
  <c r="J325" i="5"/>
  <c r="BN324" i="5"/>
  <c r="BC324" i="5"/>
  <c r="BB324" i="5"/>
  <c r="BA324" i="5"/>
  <c r="AZ324" i="5"/>
  <c r="BH324" i="5" s="1"/>
  <c r="J324" i="5"/>
  <c r="C324" i="5"/>
  <c r="C325" i="5" s="1"/>
  <c r="C326" i="5" s="1"/>
  <c r="C327" i="5" s="1"/>
  <c r="C328" i="5" s="1"/>
  <c r="C329" i="5" s="1"/>
  <c r="C330" i="5" s="1"/>
  <c r="C331" i="5" s="1"/>
  <c r="C332" i="5" s="1"/>
  <c r="C333" i="5" s="1"/>
  <c r="C334" i="5" s="1"/>
  <c r="C335" i="5" s="1"/>
  <c r="C336" i="5" s="1"/>
  <c r="C337" i="5" s="1"/>
  <c r="C338" i="5" s="1"/>
  <c r="C339" i="5" s="1"/>
  <c r="C340" i="5" s="1"/>
  <c r="C341" i="5" s="1"/>
  <c r="C342" i="5" s="1"/>
  <c r="C343" i="5" s="1"/>
  <c r="C344" i="5" s="1"/>
  <c r="BC323" i="5"/>
  <c r="BA323" i="5"/>
  <c r="AZ323" i="5"/>
  <c r="J323" i="5"/>
  <c r="C323" i="5"/>
  <c r="BA322" i="5"/>
  <c r="BC322" i="5" s="1"/>
  <c r="AZ322" i="5"/>
  <c r="J322" i="5"/>
  <c r="BA321" i="5"/>
  <c r="BC321" i="5" s="1"/>
  <c r="AZ321" i="5"/>
  <c r="J321" i="5"/>
  <c r="BA320" i="5"/>
  <c r="BC320" i="5" s="1"/>
  <c r="AZ320" i="5"/>
  <c r="BD320" i="5" s="1"/>
  <c r="J320" i="5"/>
  <c r="BC319" i="5"/>
  <c r="BD319" i="5" s="1"/>
  <c r="BB319" i="5"/>
  <c r="BA319" i="5"/>
  <c r="AZ319" i="5"/>
  <c r="J319" i="5"/>
  <c r="C319" i="5"/>
  <c r="C320" i="5" s="1"/>
  <c r="C321" i="5" s="1"/>
  <c r="BC318" i="5"/>
  <c r="BD318" i="5" s="1"/>
  <c r="BA318" i="5"/>
  <c r="AZ318" i="5"/>
  <c r="BB318" i="5" s="1"/>
  <c r="J318" i="5"/>
  <c r="C318" i="5"/>
  <c r="BZ317" i="5"/>
  <c r="BV317" i="5"/>
  <c r="BR317" i="5"/>
  <c r="BC317" i="5"/>
  <c r="BA317" i="5"/>
  <c r="AZ317" i="5"/>
  <c r="J317" i="5"/>
  <c r="AY315" i="5"/>
  <c r="AX315" i="5"/>
  <c r="AW315" i="5"/>
  <c r="AU315" i="5"/>
  <c r="AT315" i="5"/>
  <c r="AS315" i="5"/>
  <c r="AY314" i="5"/>
  <c r="AX314" i="5"/>
  <c r="AW314" i="5"/>
  <c r="AU314" i="5"/>
  <c r="AT314" i="5"/>
  <c r="AS314" i="5"/>
  <c r="AY313" i="5"/>
  <c r="AX313" i="5"/>
  <c r="AW313" i="5"/>
  <c r="AU313" i="5"/>
  <c r="AT313" i="5"/>
  <c r="AS313" i="5"/>
  <c r="AY312" i="5"/>
  <c r="AX312" i="5"/>
  <c r="AW312" i="5"/>
  <c r="AU312" i="5"/>
  <c r="AT312" i="5"/>
  <c r="AS312" i="5"/>
  <c r="AY311" i="5"/>
  <c r="AX311" i="5"/>
  <c r="AW311" i="5"/>
  <c r="AU311" i="5"/>
  <c r="AT311" i="5"/>
  <c r="AS311" i="5"/>
  <c r="AY310" i="5"/>
  <c r="AX310" i="5"/>
  <c r="AW310" i="5"/>
  <c r="AU310" i="5"/>
  <c r="AT310" i="5"/>
  <c r="AS310" i="5"/>
  <c r="AY309" i="5"/>
  <c r="AX309" i="5"/>
  <c r="AW309" i="5"/>
  <c r="AU309" i="5"/>
  <c r="AT309" i="5"/>
  <c r="AS309" i="5"/>
  <c r="AY308" i="5"/>
  <c r="AX308" i="5"/>
  <c r="AW308" i="5"/>
  <c r="AU308" i="5"/>
  <c r="AT308" i="5"/>
  <c r="AS308" i="5"/>
  <c r="AY307" i="5"/>
  <c r="AX307" i="5"/>
  <c r="AW307" i="5"/>
  <c r="AU307" i="5"/>
  <c r="AT307" i="5"/>
  <c r="AS307" i="5"/>
  <c r="AY306" i="5"/>
  <c r="AY305" i="5" s="1"/>
  <c r="AX306" i="5"/>
  <c r="AX305" i="5" s="1"/>
  <c r="AW306" i="5"/>
  <c r="AU306" i="5"/>
  <c r="AT306" i="5"/>
  <c r="AS306" i="5"/>
  <c r="AW305" i="5"/>
  <c r="AU305" i="5"/>
  <c r="F305" i="5"/>
  <c r="E305" i="5"/>
  <c r="D305" i="5"/>
  <c r="N303" i="5"/>
  <c r="J303" i="5"/>
  <c r="N302" i="5"/>
  <c r="J302" i="5"/>
  <c r="N301" i="5"/>
  <c r="J301" i="5"/>
  <c r="BT300" i="5"/>
  <c r="BR300" i="5"/>
  <c r="N300" i="5"/>
  <c r="J300" i="5"/>
  <c r="BT299" i="5"/>
  <c r="BR299" i="5"/>
  <c r="N299" i="5"/>
  <c r="J299" i="5"/>
  <c r="N298" i="5"/>
  <c r="J298" i="5"/>
  <c r="N297" i="5"/>
  <c r="J297" i="5"/>
  <c r="N296" i="5"/>
  <c r="J296" i="5"/>
  <c r="N295" i="5"/>
  <c r="J295" i="5"/>
  <c r="N294" i="5"/>
  <c r="J294" i="5"/>
  <c r="N293" i="5"/>
  <c r="J293" i="5"/>
  <c r="N292" i="5"/>
  <c r="J292" i="5"/>
  <c r="N291" i="5"/>
  <c r="J291" i="5"/>
  <c r="N290" i="5"/>
  <c r="J290" i="5"/>
  <c r="N289" i="5"/>
  <c r="J289" i="5"/>
  <c r="N288" i="5"/>
  <c r="J288" i="5"/>
  <c r="C288" i="5"/>
  <c r="C289" i="5" s="1"/>
  <c r="C290" i="5" s="1"/>
  <c r="C291" i="5" s="1"/>
  <c r="C292" i="5" s="1"/>
  <c r="C293" i="5" s="1"/>
  <c r="C294" i="5" s="1"/>
  <c r="C295" i="5" s="1"/>
  <c r="C296" i="5" s="1"/>
  <c r="C297" i="5" s="1"/>
  <c r="C298" i="5" s="1"/>
  <c r="C299" i="5" s="1"/>
  <c r="C300" i="5" s="1"/>
  <c r="C301" i="5" s="1"/>
  <c r="C302" i="5" s="1"/>
  <c r="C303" i="5" s="1"/>
  <c r="N287" i="5"/>
  <c r="J287" i="5"/>
  <c r="N286" i="5"/>
  <c r="J286" i="5"/>
  <c r="N285" i="5"/>
  <c r="J285" i="5"/>
  <c r="N284" i="5"/>
  <c r="J284" i="5"/>
  <c r="N283" i="5"/>
  <c r="J283" i="5"/>
  <c r="N282" i="5"/>
  <c r="J282" i="5"/>
  <c r="N281" i="5"/>
  <c r="J281" i="5"/>
  <c r="J280" i="5"/>
  <c r="N279" i="5"/>
  <c r="J279" i="5"/>
  <c r="N278" i="5"/>
  <c r="J278" i="5"/>
  <c r="N277" i="5"/>
  <c r="J277" i="5"/>
  <c r="N276" i="5"/>
  <c r="J276" i="5"/>
  <c r="N275" i="5"/>
  <c r="J275" i="5"/>
  <c r="N274" i="5"/>
  <c r="J274" i="5"/>
  <c r="N273" i="5"/>
  <c r="J273" i="5"/>
  <c r="BD272" i="5"/>
  <c r="AE272" i="5"/>
  <c r="N272" i="5"/>
  <c r="J272" i="5"/>
  <c r="BD271" i="5"/>
  <c r="AE271" i="5"/>
  <c r="J271" i="5"/>
  <c r="BD270" i="5"/>
  <c r="AE270" i="5"/>
  <c r="N270" i="5"/>
  <c r="J270" i="5"/>
  <c r="BD269" i="5"/>
  <c r="AE269" i="5"/>
  <c r="N269" i="5"/>
  <c r="J269" i="5"/>
  <c r="BD268" i="5"/>
  <c r="AE268" i="5"/>
  <c r="N268" i="5"/>
  <c r="J268" i="5"/>
  <c r="BD267" i="5"/>
  <c r="AE267" i="5"/>
  <c r="N267" i="5"/>
  <c r="J267" i="5"/>
  <c r="BD266" i="5"/>
  <c r="AE266" i="5"/>
  <c r="N266" i="5"/>
  <c r="J266" i="5"/>
  <c r="BD265" i="5"/>
  <c r="AE265" i="5"/>
  <c r="N265" i="5"/>
  <c r="J265" i="5"/>
  <c r="J264" i="5"/>
  <c r="N263" i="5"/>
  <c r="J263" i="5"/>
  <c r="BP262" i="5"/>
  <c r="N262" i="5"/>
  <c r="J262" i="5"/>
  <c r="N261" i="5"/>
  <c r="N260" i="5"/>
  <c r="J260" i="5"/>
  <c r="N259" i="5"/>
  <c r="J259" i="5"/>
  <c r="N258" i="5"/>
  <c r="J258" i="5"/>
  <c r="N257" i="5"/>
  <c r="J257" i="5"/>
  <c r="C257" i="5"/>
  <c r="C258" i="5" s="1"/>
  <c r="C259" i="5" s="1"/>
  <c r="C260" i="5" s="1"/>
  <c r="C261" i="5" s="1"/>
  <c r="C262" i="5" s="1"/>
  <c r="C263" i="5" s="1"/>
  <c r="C264" i="5" s="1"/>
  <c r="C265" i="5" s="1"/>
  <c r="C266" i="5" s="1"/>
  <c r="C267" i="5" s="1"/>
  <c r="C268" i="5" s="1"/>
  <c r="C269" i="5" s="1"/>
  <c r="C270" i="5" s="1"/>
  <c r="C271" i="5" s="1"/>
  <c r="C272" i="5" s="1"/>
  <c r="C273" i="5" s="1"/>
  <c r="C274" i="5" s="1"/>
  <c r="C275" i="5" s="1"/>
  <c r="C276" i="5" s="1"/>
  <c r="C277" i="5" s="1"/>
  <c r="C278" i="5" s="1"/>
  <c r="C279" i="5" s="1"/>
  <c r="C280" i="5" s="1"/>
  <c r="C281" i="5" s="1"/>
  <c r="C282" i="5" s="1"/>
  <c r="C283" i="5" s="1"/>
  <c r="C284" i="5" s="1"/>
  <c r="C285" i="5" s="1"/>
  <c r="C286" i="5" s="1"/>
  <c r="N256" i="5"/>
  <c r="J256" i="5"/>
  <c r="N255" i="5"/>
  <c r="J255" i="5"/>
  <c r="N254" i="5"/>
  <c r="J254" i="5"/>
  <c r="N253" i="5"/>
  <c r="J253" i="5"/>
  <c r="J252" i="5"/>
  <c r="BC251" i="5"/>
  <c r="N251" i="5"/>
  <c r="J251" i="5"/>
  <c r="N250" i="5"/>
  <c r="J250" i="5"/>
  <c r="N249" i="5"/>
  <c r="J249" i="5"/>
  <c r="C249" i="5"/>
  <c r="C250" i="5" s="1"/>
  <c r="C251" i="5" s="1"/>
  <c r="C252" i="5" s="1"/>
  <c r="C253" i="5" s="1"/>
  <c r="C254" i="5" s="1"/>
  <c r="C255" i="5" s="1"/>
  <c r="C256" i="5" s="1"/>
  <c r="N248" i="5"/>
  <c r="J248" i="5"/>
  <c r="CS247" i="5"/>
  <c r="BO247" i="5"/>
  <c r="BJ247" i="5"/>
  <c r="BI247" i="5"/>
  <c r="BA247" i="5"/>
  <c r="AZ247" i="5"/>
  <c r="BB247" i="5" s="1"/>
  <c r="J247" i="5"/>
  <c r="CV246" i="5"/>
  <c r="CT246" i="5"/>
  <c r="CS246" i="5"/>
  <c r="BP246" i="5"/>
  <c r="BO246" i="5"/>
  <c r="BJ246" i="5"/>
  <c r="BI246" i="5"/>
  <c r="BA246" i="5"/>
  <c r="AZ246" i="5"/>
  <c r="BB246" i="5" s="1"/>
  <c r="CU246" i="5" s="1"/>
  <c r="N246" i="5"/>
  <c r="J246" i="5"/>
  <c r="CS245" i="5"/>
  <c r="N245" i="5"/>
  <c r="J245" i="5"/>
  <c r="CV244" i="5"/>
  <c r="CS244" i="5"/>
  <c r="BD244" i="5"/>
  <c r="AE244" i="5"/>
  <c r="N244" i="5"/>
  <c r="J244" i="5"/>
  <c r="CV243" i="5"/>
  <c r="CS243" i="5"/>
  <c r="N243" i="5"/>
  <c r="J243" i="5"/>
  <c r="CV242" i="5"/>
  <c r="CS242" i="5"/>
  <c r="N242" i="5"/>
  <c r="J242" i="5"/>
  <c r="CV241" i="5"/>
  <c r="CS241" i="5"/>
  <c r="N241" i="5"/>
  <c r="J241" i="5"/>
  <c r="CV240" i="5"/>
  <c r="CS240" i="5"/>
  <c r="N240" i="5"/>
  <c r="J240" i="5"/>
  <c r="CV239" i="5"/>
  <c r="CS239" i="5"/>
  <c r="BP239" i="5"/>
  <c r="BO239" i="5"/>
  <c r="BD239" i="5"/>
  <c r="BI239" i="5" s="1"/>
  <c r="BA239" i="5"/>
  <c r="BB239" i="5" s="1"/>
  <c r="AZ239" i="5"/>
  <c r="AE239" i="5"/>
  <c r="N239" i="5"/>
  <c r="J239" i="5"/>
  <c r="CV238" i="5"/>
  <c r="CU238" i="5"/>
  <c r="CT238" i="5"/>
  <c r="CS238" i="5"/>
  <c r="BP238" i="5"/>
  <c r="BO238" i="5"/>
  <c r="BJ238" i="5"/>
  <c r="BI238" i="5"/>
  <c r="BA238" i="5"/>
  <c r="AZ238" i="5"/>
  <c r="BB238" i="5" s="1"/>
  <c r="AE238" i="5"/>
  <c r="N238" i="5"/>
  <c r="J238" i="5"/>
  <c r="CV237" i="5"/>
  <c r="CU237" i="5"/>
  <c r="CT237" i="5"/>
  <c r="CS237" i="5"/>
  <c r="BP237" i="5"/>
  <c r="BO237" i="5"/>
  <c r="BJ237" i="5"/>
  <c r="BI237" i="5"/>
  <c r="BA237" i="5"/>
  <c r="AZ237" i="5"/>
  <c r="BB237" i="5" s="1"/>
  <c r="N237" i="5"/>
  <c r="J237" i="5"/>
  <c r="CV236" i="5"/>
  <c r="CU236" i="5"/>
  <c r="CT236" i="5"/>
  <c r="CS236" i="5"/>
  <c r="BP236" i="5"/>
  <c r="BO236" i="5"/>
  <c r="BJ236" i="5"/>
  <c r="BI236" i="5"/>
  <c r="BB236" i="5"/>
  <c r="BA236" i="5"/>
  <c r="AZ236" i="5"/>
  <c r="AE236" i="5"/>
  <c r="N236" i="5"/>
  <c r="J236" i="5"/>
  <c r="CV235" i="5"/>
  <c r="CU235" i="5"/>
  <c r="CT235" i="5"/>
  <c r="CS235" i="5"/>
  <c r="BP235" i="5"/>
  <c r="BO235" i="5"/>
  <c r="BJ235" i="5"/>
  <c r="BI235" i="5"/>
  <c r="BA235" i="5"/>
  <c r="AZ235" i="5"/>
  <c r="BB235" i="5" s="1"/>
  <c r="AE235" i="5"/>
  <c r="N235" i="5"/>
  <c r="J235" i="5"/>
  <c r="CV234" i="5"/>
  <c r="CU234" i="5"/>
  <c r="CT234" i="5"/>
  <c r="CS234" i="5"/>
  <c r="BP234" i="5"/>
  <c r="BO234" i="5"/>
  <c r="BJ234" i="5"/>
  <c r="BI234" i="5"/>
  <c r="BA234" i="5"/>
  <c r="AZ234" i="5"/>
  <c r="BB234" i="5" s="1"/>
  <c r="AE234" i="5"/>
  <c r="N234" i="5"/>
  <c r="J234" i="5"/>
  <c r="CV233" i="5"/>
  <c r="CU233" i="5"/>
  <c r="CT233" i="5"/>
  <c r="CS233" i="5"/>
  <c r="BP233" i="5"/>
  <c r="BO233" i="5"/>
  <c r="BJ233" i="5"/>
  <c r="BI233" i="5"/>
  <c r="BB233" i="5"/>
  <c r="BA233" i="5"/>
  <c r="AZ233" i="5"/>
  <c r="AE233" i="5"/>
  <c r="N233" i="5"/>
  <c r="J233" i="5"/>
  <c r="CV232" i="5"/>
  <c r="CU232" i="5"/>
  <c r="CT232" i="5"/>
  <c r="CS232" i="5"/>
  <c r="BP232" i="5"/>
  <c r="BO232" i="5"/>
  <c r="BJ232" i="5"/>
  <c r="BI232" i="5"/>
  <c r="BA232" i="5"/>
  <c r="BB232" i="5" s="1"/>
  <c r="AZ232" i="5"/>
  <c r="AE232" i="5"/>
  <c r="N232" i="5"/>
  <c r="J232" i="5"/>
  <c r="CV231" i="5"/>
  <c r="CU231" i="5"/>
  <c r="CT231" i="5"/>
  <c r="CS231" i="5"/>
  <c r="BP231" i="5"/>
  <c r="BO231" i="5"/>
  <c r="BJ231" i="5"/>
  <c r="BI231" i="5"/>
  <c r="BA231" i="5"/>
  <c r="AZ231" i="5"/>
  <c r="BB231" i="5" s="1"/>
  <c r="AE231" i="5"/>
  <c r="N231" i="5"/>
  <c r="J231" i="5"/>
  <c r="CV230" i="5"/>
  <c r="CU230" i="5"/>
  <c r="CT230" i="5"/>
  <c r="CS230" i="5"/>
  <c r="BP230" i="5"/>
  <c r="BO230" i="5"/>
  <c r="BJ230" i="5"/>
  <c r="BI230" i="5"/>
  <c r="BA230" i="5"/>
  <c r="AZ230" i="5"/>
  <c r="BB230" i="5" s="1"/>
  <c r="AE230" i="5"/>
  <c r="N230" i="5"/>
  <c r="J230" i="5"/>
  <c r="CV229" i="5"/>
  <c r="CS229" i="5"/>
  <c r="BP229" i="5"/>
  <c r="BJ229" i="5"/>
  <c r="BI229" i="5"/>
  <c r="BD229" i="5"/>
  <c r="BO229" i="5" s="1"/>
  <c r="BA229" i="5"/>
  <c r="AZ229" i="5"/>
  <c r="BB229" i="5" s="1"/>
  <c r="AE229" i="5"/>
  <c r="N229" i="5"/>
  <c r="J229" i="5"/>
  <c r="CV228" i="5"/>
  <c r="CS228" i="5"/>
  <c r="BP228" i="5"/>
  <c r="BJ228" i="5"/>
  <c r="BI228" i="5"/>
  <c r="BD228" i="5"/>
  <c r="BO228" i="5" s="1"/>
  <c r="BA228" i="5"/>
  <c r="AZ228" i="5"/>
  <c r="BB228" i="5" s="1"/>
  <c r="AE228" i="5"/>
  <c r="N228" i="5"/>
  <c r="J228" i="5"/>
  <c r="CV227" i="5"/>
  <c r="CU227" i="5"/>
  <c r="CT227" i="5"/>
  <c r="CS227" i="5"/>
  <c r="BP227" i="5"/>
  <c r="BO227" i="5"/>
  <c r="BJ227" i="5"/>
  <c r="BI227" i="5"/>
  <c r="BB227" i="5"/>
  <c r="BA227" i="5"/>
  <c r="AZ227" i="5"/>
  <c r="AE227" i="5"/>
  <c r="N227" i="5"/>
  <c r="J227" i="5"/>
  <c r="CV226" i="5"/>
  <c r="CS226" i="5"/>
  <c r="BP226" i="5"/>
  <c r="BJ226" i="5"/>
  <c r="BD226" i="5"/>
  <c r="BB226" i="5"/>
  <c r="BA226" i="5"/>
  <c r="AZ226" i="5"/>
  <c r="AE226" i="5"/>
  <c r="N226" i="5"/>
  <c r="J226" i="5"/>
  <c r="CV225" i="5"/>
  <c r="CS225" i="5"/>
  <c r="BP225" i="5"/>
  <c r="BJ225" i="5"/>
  <c r="BD225" i="5"/>
  <c r="BB225" i="5"/>
  <c r="BA225" i="5"/>
  <c r="AZ225" i="5"/>
  <c r="AE225" i="5"/>
  <c r="N225" i="5"/>
  <c r="J225" i="5"/>
  <c r="CV224" i="5"/>
  <c r="CU224" i="5"/>
  <c r="CT224" i="5"/>
  <c r="CS224" i="5"/>
  <c r="BP224" i="5"/>
  <c r="BO224" i="5"/>
  <c r="BJ224" i="5"/>
  <c r="BI224" i="5"/>
  <c r="BA224" i="5"/>
  <c r="BB224" i="5" s="1"/>
  <c r="AZ224" i="5"/>
  <c r="AE224" i="5"/>
  <c r="N224" i="5"/>
  <c r="J224" i="5"/>
  <c r="CV223" i="5"/>
  <c r="CS223" i="5"/>
  <c r="BP223" i="5"/>
  <c r="BJ223" i="5"/>
  <c r="BA223" i="5"/>
  <c r="BB223" i="5" s="1"/>
  <c r="AZ223" i="5"/>
  <c r="BD223" i="5" s="1"/>
  <c r="AE223" i="5"/>
  <c r="N223" i="5"/>
  <c r="J223" i="5"/>
  <c r="CV222" i="5"/>
  <c r="CT222" i="5"/>
  <c r="CS222" i="5"/>
  <c r="BP222" i="5"/>
  <c r="BJ222" i="5"/>
  <c r="BA222" i="5"/>
  <c r="BB222" i="5" s="1"/>
  <c r="CU222" i="5" s="1"/>
  <c r="AZ222" i="5"/>
  <c r="BD222" i="5" s="1"/>
  <c r="AE222" i="5"/>
  <c r="N222" i="5"/>
  <c r="J222" i="5"/>
  <c r="CV221" i="5"/>
  <c r="CS221" i="5"/>
  <c r="BP221" i="5"/>
  <c r="BJ221" i="5"/>
  <c r="BB221" i="5"/>
  <c r="BA221" i="5"/>
  <c r="AZ221" i="5"/>
  <c r="BD221" i="5" s="1"/>
  <c r="AE221" i="5"/>
  <c r="N221" i="5"/>
  <c r="J221" i="5"/>
  <c r="CV220" i="5"/>
  <c r="CS220" i="5"/>
  <c r="BP220" i="5"/>
  <c r="BJ220" i="5"/>
  <c r="BA220" i="5"/>
  <c r="BB220" i="5" s="1"/>
  <c r="AZ220" i="5"/>
  <c r="BD220" i="5" s="1"/>
  <c r="AE220" i="5"/>
  <c r="N220" i="5"/>
  <c r="J220" i="5"/>
  <c r="CV219" i="5"/>
  <c r="CS219" i="5"/>
  <c r="BP219" i="5"/>
  <c r="BJ219" i="5"/>
  <c r="BA219" i="5"/>
  <c r="BB219" i="5" s="1"/>
  <c r="AZ219" i="5"/>
  <c r="BD219" i="5" s="1"/>
  <c r="AE219" i="5"/>
  <c r="N219" i="5"/>
  <c r="J219" i="5"/>
  <c r="CV218" i="5"/>
  <c r="CU218" i="5"/>
  <c r="CS218" i="5"/>
  <c r="BP218" i="5"/>
  <c r="BJ218" i="5"/>
  <c r="BA218" i="5"/>
  <c r="BB218" i="5" s="1"/>
  <c r="CT218" i="5" s="1"/>
  <c r="AZ218" i="5"/>
  <c r="BD218" i="5" s="1"/>
  <c r="AE218" i="5"/>
  <c r="N218" i="5"/>
  <c r="J218" i="5"/>
  <c r="CV217" i="5"/>
  <c r="CS217" i="5"/>
  <c r="BP217" i="5"/>
  <c r="BJ217" i="5"/>
  <c r="BA217" i="5"/>
  <c r="BB217" i="5" s="1"/>
  <c r="AZ217" i="5"/>
  <c r="BD217" i="5" s="1"/>
  <c r="AE217" i="5"/>
  <c r="N217" i="5"/>
  <c r="J217" i="5"/>
  <c r="CV216" i="5"/>
  <c r="CU216" i="5"/>
  <c r="CT216" i="5"/>
  <c r="CS216" i="5"/>
  <c r="BP216" i="5"/>
  <c r="BO216" i="5"/>
  <c r="BJ216" i="5"/>
  <c r="BI216" i="5"/>
  <c r="BA216" i="5"/>
  <c r="AZ216" i="5"/>
  <c r="AE216" i="5"/>
  <c r="N216" i="5"/>
  <c r="J216" i="5"/>
  <c r="CV215" i="5"/>
  <c r="CS215" i="5"/>
  <c r="CB215" i="5"/>
  <c r="BZ215" i="5"/>
  <c r="BX215" i="5"/>
  <c r="BA215" i="5" s="1"/>
  <c r="BV215" i="5"/>
  <c r="AZ215" i="5" s="1"/>
  <c r="BT215" i="5"/>
  <c r="BR215" i="5"/>
  <c r="BP215" i="5"/>
  <c r="BJ215" i="5"/>
  <c r="AE215" i="5"/>
  <c r="N215" i="5"/>
  <c r="J215" i="5"/>
  <c r="CV214" i="5"/>
  <c r="CU214" i="5"/>
  <c r="CT214" i="5"/>
  <c r="CS214" i="5"/>
  <c r="BP214" i="5"/>
  <c r="BO214" i="5"/>
  <c r="BJ214" i="5"/>
  <c r="BI214" i="5"/>
  <c r="BA214" i="5"/>
  <c r="BB214" i="5" s="1"/>
  <c r="AZ214" i="5"/>
  <c r="AE214" i="5"/>
  <c r="N214" i="5"/>
  <c r="J214" i="5"/>
  <c r="CV213" i="5"/>
  <c r="CS213" i="5"/>
  <c r="BP213" i="5"/>
  <c r="BO213" i="5"/>
  <c r="BJ213" i="5"/>
  <c r="BD213" i="5"/>
  <c r="BI213" i="5" s="1"/>
  <c r="BA213" i="5"/>
  <c r="BB213" i="5" s="1"/>
  <c r="AZ213" i="5"/>
  <c r="AE213" i="5"/>
  <c r="N213" i="5"/>
  <c r="J213" i="5"/>
  <c r="CV212" i="5"/>
  <c r="CS212" i="5"/>
  <c r="BP212" i="5"/>
  <c r="BO212" i="5"/>
  <c r="BJ212" i="5"/>
  <c r="BD212" i="5"/>
  <c r="BI212" i="5" s="1"/>
  <c r="BA212" i="5"/>
  <c r="BB212" i="5" s="1"/>
  <c r="AZ212" i="5"/>
  <c r="AE212" i="5"/>
  <c r="N212" i="5"/>
  <c r="J212" i="5"/>
  <c r="CV211" i="5"/>
  <c r="CS211" i="5"/>
  <c r="BP211" i="5"/>
  <c r="BO211" i="5"/>
  <c r="BJ211" i="5"/>
  <c r="BD211" i="5"/>
  <c r="BI211" i="5" s="1"/>
  <c r="BA211" i="5"/>
  <c r="BB211" i="5" s="1"/>
  <c r="AZ211" i="5"/>
  <c r="AE211" i="5"/>
  <c r="N211" i="5"/>
  <c r="J211" i="5"/>
  <c r="CV210" i="5"/>
  <c r="CU210" i="5"/>
  <c r="CT210" i="5"/>
  <c r="CS210" i="5"/>
  <c r="BP210" i="5"/>
  <c r="BO210" i="5"/>
  <c r="BJ210" i="5"/>
  <c r="BI210" i="5"/>
  <c r="BA210" i="5"/>
  <c r="AZ210" i="5"/>
  <c r="BB210" i="5" s="1"/>
  <c r="AE210" i="5"/>
  <c r="N210" i="5"/>
  <c r="J210" i="5"/>
  <c r="CV209" i="5"/>
  <c r="CS209" i="5"/>
  <c r="BP209" i="5"/>
  <c r="BJ209" i="5"/>
  <c r="BA209" i="5"/>
  <c r="AZ209" i="5"/>
  <c r="BD209" i="5" s="1"/>
  <c r="BO209" i="5" s="1"/>
  <c r="AE209" i="5"/>
  <c r="N209" i="5"/>
  <c r="J209" i="5"/>
  <c r="CV208" i="5"/>
  <c r="CU208" i="5"/>
  <c r="CT208" i="5"/>
  <c r="CS208" i="5"/>
  <c r="BP208" i="5"/>
  <c r="BO208" i="5"/>
  <c r="BJ208" i="5"/>
  <c r="BI208" i="5"/>
  <c r="BA208" i="5"/>
  <c r="AZ208" i="5"/>
  <c r="BB208" i="5" s="1"/>
  <c r="AE208" i="5"/>
  <c r="N208" i="5"/>
  <c r="J208" i="5"/>
  <c r="CV207" i="5"/>
  <c r="CS207" i="5"/>
  <c r="BP207" i="5"/>
  <c r="BO207" i="5"/>
  <c r="BJ207" i="5"/>
  <c r="BI207" i="5"/>
  <c r="BB207" i="5"/>
  <c r="BA207" i="5"/>
  <c r="AZ207" i="5"/>
  <c r="AE207" i="5"/>
  <c r="N207" i="5"/>
  <c r="J207" i="5"/>
  <c r="CV206" i="5"/>
  <c r="CS206" i="5"/>
  <c r="BP206" i="5"/>
  <c r="BJ206" i="5"/>
  <c r="BD206" i="5"/>
  <c r="BB206" i="5"/>
  <c r="BA206" i="5"/>
  <c r="AZ206" i="5"/>
  <c r="AE206" i="5"/>
  <c r="N206" i="5"/>
  <c r="J206" i="5"/>
  <c r="CV205" i="5"/>
  <c r="CU205" i="5"/>
  <c r="CT205" i="5"/>
  <c r="CS205" i="5"/>
  <c r="BP205" i="5"/>
  <c r="BO205" i="5"/>
  <c r="BJ205" i="5"/>
  <c r="BI205" i="5"/>
  <c r="BB205" i="5"/>
  <c r="BA205" i="5"/>
  <c r="AZ205" i="5"/>
  <c r="AE205" i="5"/>
  <c r="N205" i="5"/>
  <c r="J205" i="5"/>
  <c r="CV204" i="5"/>
  <c r="CU204" i="5"/>
  <c r="CT204" i="5"/>
  <c r="CS204" i="5"/>
  <c r="BP204" i="5"/>
  <c r="BJ204" i="5"/>
  <c r="BI204" i="5"/>
  <c r="BD204" i="5"/>
  <c r="BO204" i="5" s="1"/>
  <c r="BA204" i="5"/>
  <c r="BB204" i="5" s="1"/>
  <c r="AZ204" i="5"/>
  <c r="AE204" i="5"/>
  <c r="N204" i="5"/>
  <c r="J204" i="5"/>
  <c r="CV203" i="5"/>
  <c r="CU203" i="5"/>
  <c r="CT203" i="5"/>
  <c r="CS203" i="5"/>
  <c r="CR203" i="5"/>
  <c r="BP203" i="5"/>
  <c r="BO203" i="5"/>
  <c r="BJ203" i="5"/>
  <c r="BI203" i="5"/>
  <c r="BB203" i="5"/>
  <c r="BA203" i="5"/>
  <c r="AZ203" i="5"/>
  <c r="AE203" i="5"/>
  <c r="J203" i="5"/>
  <c r="CV202" i="5"/>
  <c r="CU202" i="5"/>
  <c r="CT202" i="5"/>
  <c r="CS202" i="5"/>
  <c r="CR202" i="5"/>
  <c r="BP202" i="5"/>
  <c r="BO202" i="5"/>
  <c r="BJ202" i="5"/>
  <c r="BI202" i="5"/>
  <c r="BA202" i="5"/>
  <c r="AZ202" i="5"/>
  <c r="AE202" i="5"/>
  <c r="J202" i="5"/>
  <c r="CV201" i="5"/>
  <c r="CU201" i="5"/>
  <c r="CT201" i="5"/>
  <c r="CS201" i="5"/>
  <c r="BP201" i="5"/>
  <c r="BO201" i="5"/>
  <c r="BJ201" i="5"/>
  <c r="BI201" i="5"/>
  <c r="BB201" i="5"/>
  <c r="BA201" i="5"/>
  <c r="AZ201" i="5"/>
  <c r="AE201" i="5"/>
  <c r="N201" i="5"/>
  <c r="J201" i="5"/>
  <c r="CV200" i="5"/>
  <c r="CU200" i="5"/>
  <c r="CT200" i="5"/>
  <c r="CS200" i="5"/>
  <c r="BP200" i="5"/>
  <c r="BO200" i="5"/>
  <c r="BJ200" i="5"/>
  <c r="BB200" i="5"/>
  <c r="BA200" i="5"/>
  <c r="AZ200" i="5"/>
  <c r="BD200" i="5" s="1"/>
  <c r="BI200" i="5" s="1"/>
  <c r="AE200" i="5"/>
  <c r="N200" i="5"/>
  <c r="J200" i="5"/>
  <c r="CV199" i="5"/>
  <c r="CS199" i="5"/>
  <c r="BP199" i="5"/>
  <c r="BJ199" i="5"/>
  <c r="BB199" i="5"/>
  <c r="CU199" i="5" s="1"/>
  <c r="BA199" i="5"/>
  <c r="BD199" i="5" s="1"/>
  <c r="AZ199" i="5"/>
  <c r="AE199" i="5"/>
  <c r="N199" i="5"/>
  <c r="J199" i="5"/>
  <c r="CV198" i="5"/>
  <c r="CU198" i="5"/>
  <c r="CT198" i="5"/>
  <c r="CS198" i="5"/>
  <c r="BZ198" i="5"/>
  <c r="BV198" i="5"/>
  <c r="BR198" i="5"/>
  <c r="BP198" i="5"/>
  <c r="BO198" i="5"/>
  <c r="BJ198" i="5"/>
  <c r="BI198" i="5"/>
  <c r="BA198" i="5"/>
  <c r="AZ198" i="5"/>
  <c r="BB198" i="5" s="1"/>
  <c r="AE198" i="5"/>
  <c r="N198" i="5"/>
  <c r="J198" i="5"/>
  <c r="CV197" i="5"/>
  <c r="CS197" i="5"/>
  <c r="BP197" i="5"/>
  <c r="BJ197" i="5"/>
  <c r="BA197" i="5"/>
  <c r="AZ197" i="5"/>
  <c r="AE197" i="5"/>
  <c r="N197" i="5"/>
  <c r="J197" i="5"/>
  <c r="CV196" i="5"/>
  <c r="CT196" i="5"/>
  <c r="CS196" i="5"/>
  <c r="BO196" i="5"/>
  <c r="BJ196" i="5"/>
  <c r="BI196" i="5"/>
  <c r="BB196" i="5"/>
  <c r="CU196" i="5" s="1"/>
  <c r="BA196" i="5"/>
  <c r="AZ196" i="5"/>
  <c r="N196" i="5"/>
  <c r="J196" i="5"/>
  <c r="CV195" i="5"/>
  <c r="CU195" i="5"/>
  <c r="CT195" i="5"/>
  <c r="CS195" i="5"/>
  <c r="BP195" i="5"/>
  <c r="BO195" i="5"/>
  <c r="BJ195" i="5"/>
  <c r="BI195" i="5"/>
  <c r="BA195" i="5"/>
  <c r="AZ195" i="5"/>
  <c r="BB195" i="5" s="1"/>
  <c r="AE195" i="5"/>
  <c r="N195" i="5"/>
  <c r="J195" i="5"/>
  <c r="CV194" i="5"/>
  <c r="CU194" i="5"/>
  <c r="CT194" i="5"/>
  <c r="CS194" i="5"/>
  <c r="BP194" i="5"/>
  <c r="BJ194" i="5"/>
  <c r="BA194" i="5"/>
  <c r="AZ194" i="5"/>
  <c r="AE194" i="5"/>
  <c r="N194" i="5"/>
  <c r="J194" i="5"/>
  <c r="CV193" i="5"/>
  <c r="CU193" i="5"/>
  <c r="CT193" i="5"/>
  <c r="CS193" i="5"/>
  <c r="BP193" i="5"/>
  <c r="BJ193" i="5"/>
  <c r="BA193" i="5"/>
  <c r="AZ193" i="5"/>
  <c r="AE193" i="5"/>
  <c r="N193" i="5"/>
  <c r="J193" i="5"/>
  <c r="CV192" i="5"/>
  <c r="CU192" i="5"/>
  <c r="CT192" i="5"/>
  <c r="CS192" i="5"/>
  <c r="BP192" i="5"/>
  <c r="BJ192" i="5"/>
  <c r="BA192" i="5"/>
  <c r="AZ192" i="5"/>
  <c r="AE192" i="5"/>
  <c r="N192" i="5"/>
  <c r="J192" i="5"/>
  <c r="CV191" i="5"/>
  <c r="CU191" i="5"/>
  <c r="CT191" i="5"/>
  <c r="CS191" i="5"/>
  <c r="BP191" i="5"/>
  <c r="BJ191" i="5"/>
  <c r="BA191" i="5"/>
  <c r="AZ191" i="5"/>
  <c r="AE191" i="5"/>
  <c r="N191" i="5"/>
  <c r="J191" i="5"/>
  <c r="CV190" i="5"/>
  <c r="CU190" i="5"/>
  <c r="CT190" i="5"/>
  <c r="CS190" i="5"/>
  <c r="BP190" i="5"/>
  <c r="BJ190" i="5"/>
  <c r="BA190" i="5"/>
  <c r="AZ190" i="5"/>
  <c r="AE190" i="5"/>
  <c r="N190" i="5"/>
  <c r="J190" i="5"/>
  <c r="CV189" i="5"/>
  <c r="CU189" i="5"/>
  <c r="CT189" i="5"/>
  <c r="CS189" i="5"/>
  <c r="BP189" i="5"/>
  <c r="BJ189" i="5"/>
  <c r="BA189" i="5"/>
  <c r="AZ189" i="5"/>
  <c r="AE189" i="5"/>
  <c r="N189" i="5"/>
  <c r="J189" i="5"/>
  <c r="CV188" i="5"/>
  <c r="CU188" i="5"/>
  <c r="CT188" i="5"/>
  <c r="CS188" i="5"/>
  <c r="BP188" i="5"/>
  <c r="BJ188" i="5"/>
  <c r="BA188" i="5"/>
  <c r="AZ188" i="5"/>
  <c r="AE188" i="5"/>
  <c r="N188" i="5"/>
  <c r="J188" i="5"/>
  <c r="CV187" i="5"/>
  <c r="CS187" i="5"/>
  <c r="BP187" i="5"/>
  <c r="BJ187" i="5"/>
  <c r="BA187" i="5"/>
  <c r="AZ187" i="5"/>
  <c r="AE187" i="5"/>
  <c r="N187" i="5"/>
  <c r="J187" i="5"/>
  <c r="CV186" i="5"/>
  <c r="CS186" i="5"/>
  <c r="BP186" i="5"/>
  <c r="BJ186" i="5"/>
  <c r="BA186" i="5"/>
  <c r="AZ186" i="5"/>
  <c r="AE186" i="5"/>
  <c r="N186" i="5"/>
  <c r="J186" i="5"/>
  <c r="CV185" i="5"/>
  <c r="CU185" i="5"/>
  <c r="CT185" i="5"/>
  <c r="CS185" i="5"/>
  <c r="BZ185" i="5"/>
  <c r="BV185" i="5"/>
  <c r="BT185" i="5"/>
  <c r="BA185" i="5" s="1"/>
  <c r="BR185" i="5"/>
  <c r="AZ185" i="5" s="1"/>
  <c r="BB185" i="5" s="1"/>
  <c r="BP185" i="5"/>
  <c r="BO185" i="5"/>
  <c r="BJ185" i="5"/>
  <c r="BI185" i="5"/>
  <c r="AE185" i="5"/>
  <c r="J185" i="5"/>
  <c r="CV184" i="5"/>
  <c r="CU184" i="5"/>
  <c r="CT184" i="5"/>
  <c r="CS184" i="5"/>
  <c r="BP184" i="5"/>
  <c r="BO184" i="5"/>
  <c r="BJ184" i="5"/>
  <c r="BI184" i="5"/>
  <c r="BA184" i="5"/>
  <c r="BB184" i="5" s="1"/>
  <c r="AZ184" i="5"/>
  <c r="AE184" i="5"/>
  <c r="N184" i="5"/>
  <c r="J184" i="5"/>
  <c r="CV183" i="5"/>
  <c r="CT183" i="5"/>
  <c r="CS183" i="5"/>
  <c r="BP183" i="5"/>
  <c r="BO183" i="5"/>
  <c r="BJ183" i="5"/>
  <c r="BA183" i="5"/>
  <c r="BB183" i="5" s="1"/>
  <c r="CU183" i="5" s="1"/>
  <c r="AZ183" i="5"/>
  <c r="BD183" i="5" s="1"/>
  <c r="BI183" i="5" s="1"/>
  <c r="AE183" i="5"/>
  <c r="N183" i="5"/>
  <c r="J183" i="5"/>
  <c r="CV182" i="5"/>
  <c r="CT182" i="5"/>
  <c r="CS182" i="5"/>
  <c r="BP182" i="5"/>
  <c r="BJ182" i="5"/>
  <c r="BA182" i="5"/>
  <c r="BB182" i="5" s="1"/>
  <c r="AZ182" i="5"/>
  <c r="BD182" i="5" s="1"/>
  <c r="AE182" i="5"/>
  <c r="N182" i="5"/>
  <c r="J182" i="5"/>
  <c r="CV181" i="5"/>
  <c r="CS181" i="5"/>
  <c r="BP181" i="5"/>
  <c r="BO181" i="5"/>
  <c r="BJ181" i="5"/>
  <c r="BA181" i="5"/>
  <c r="BB181" i="5" s="1"/>
  <c r="AZ181" i="5"/>
  <c r="BD181" i="5" s="1"/>
  <c r="BI181" i="5" s="1"/>
  <c r="AE181" i="5"/>
  <c r="N181" i="5"/>
  <c r="J181" i="5"/>
  <c r="CV180" i="5"/>
  <c r="CT180" i="5"/>
  <c r="CS180" i="5"/>
  <c r="BP180" i="5"/>
  <c r="BO180" i="5"/>
  <c r="BJ180" i="5"/>
  <c r="BA180" i="5"/>
  <c r="BB180" i="5" s="1"/>
  <c r="AZ180" i="5"/>
  <c r="BD180" i="5" s="1"/>
  <c r="BI180" i="5" s="1"/>
  <c r="AE180" i="5"/>
  <c r="N180" i="5"/>
  <c r="J180" i="5"/>
  <c r="CV179" i="5"/>
  <c r="CU179" i="5"/>
  <c r="CT179" i="5"/>
  <c r="CS179" i="5"/>
  <c r="BP179" i="5"/>
  <c r="BO179" i="5"/>
  <c r="BJ179" i="5"/>
  <c r="BI179" i="5"/>
  <c r="BA179" i="5"/>
  <c r="AZ179" i="5"/>
  <c r="BB179" i="5" s="1"/>
  <c r="AE179" i="5"/>
  <c r="N179" i="5"/>
  <c r="J179" i="5"/>
  <c r="CV178" i="5"/>
  <c r="CU178" i="5"/>
  <c r="CT178" i="5"/>
  <c r="CS178" i="5"/>
  <c r="BP178" i="5"/>
  <c r="BO178" i="5"/>
  <c r="BJ178" i="5"/>
  <c r="BI178" i="5"/>
  <c r="BA178" i="5"/>
  <c r="AZ178" i="5"/>
  <c r="BB178" i="5" s="1"/>
  <c r="AE178" i="5"/>
  <c r="N178" i="5"/>
  <c r="J178" i="5"/>
  <c r="CV177" i="5"/>
  <c r="CS177" i="5"/>
  <c r="BP177" i="5"/>
  <c r="BJ177" i="5"/>
  <c r="BI177" i="5"/>
  <c r="BD177" i="5"/>
  <c r="BO177" i="5" s="1"/>
  <c r="BA177" i="5"/>
  <c r="AZ177" i="5"/>
  <c r="BB177" i="5" s="1"/>
  <c r="AE177" i="5"/>
  <c r="N177" i="5"/>
  <c r="J177" i="5"/>
  <c r="CV176" i="5"/>
  <c r="CU176" i="5"/>
  <c r="CT176" i="5"/>
  <c r="CS176" i="5"/>
  <c r="BP176" i="5"/>
  <c r="BO176" i="5"/>
  <c r="BJ176" i="5"/>
  <c r="BI176" i="5"/>
  <c r="BB176" i="5"/>
  <c r="BA176" i="5"/>
  <c r="AZ176" i="5"/>
  <c r="AE176" i="5"/>
  <c r="N176" i="5"/>
  <c r="J176" i="5"/>
  <c r="CV175" i="5"/>
  <c r="CU175" i="5"/>
  <c r="CS175" i="5"/>
  <c r="BP175" i="5"/>
  <c r="BJ175" i="5"/>
  <c r="BD175" i="5"/>
  <c r="BI175" i="5" s="1"/>
  <c r="BB175" i="5"/>
  <c r="BA175" i="5"/>
  <c r="AZ175" i="5"/>
  <c r="AE175" i="5"/>
  <c r="N175" i="5"/>
  <c r="J175" i="5"/>
  <c r="CV174" i="5"/>
  <c r="CU174" i="5"/>
  <c r="CT174" i="5"/>
  <c r="CS174" i="5"/>
  <c r="BP174" i="5"/>
  <c r="BO174" i="5"/>
  <c r="BJ174" i="5"/>
  <c r="BI174" i="5"/>
  <c r="BA174" i="5"/>
  <c r="BB174" i="5" s="1"/>
  <c r="AZ174" i="5"/>
  <c r="AE174" i="5"/>
  <c r="N174" i="5"/>
  <c r="J174" i="5"/>
  <c r="CV173" i="5"/>
  <c r="CS173" i="5"/>
  <c r="BP173" i="5"/>
  <c r="BJ173" i="5"/>
  <c r="BA173" i="5"/>
  <c r="BB173" i="5" s="1"/>
  <c r="AZ173" i="5"/>
  <c r="BD173" i="5" s="1"/>
  <c r="AE173" i="5"/>
  <c r="N173" i="5"/>
  <c r="J173" i="5"/>
  <c r="CV172" i="5"/>
  <c r="CU172" i="5"/>
  <c r="CT172" i="5"/>
  <c r="CS172" i="5"/>
  <c r="BP172" i="5"/>
  <c r="BO172" i="5"/>
  <c r="BJ172" i="5"/>
  <c r="BI172" i="5"/>
  <c r="BA172" i="5"/>
  <c r="AZ172" i="5"/>
  <c r="BB172" i="5" s="1"/>
  <c r="N172" i="5"/>
  <c r="J172" i="5"/>
  <c r="CV171" i="5"/>
  <c r="CS171" i="5"/>
  <c r="BP171" i="5"/>
  <c r="BJ171" i="5"/>
  <c r="BA171" i="5"/>
  <c r="AZ171" i="5"/>
  <c r="N171" i="5"/>
  <c r="J171" i="5"/>
  <c r="CV170" i="5"/>
  <c r="CS170" i="5"/>
  <c r="BP170" i="5"/>
  <c r="BO170" i="5"/>
  <c r="BJ170" i="5"/>
  <c r="BD170" i="5"/>
  <c r="BI170" i="5" s="1"/>
  <c r="BB170" i="5"/>
  <c r="BA170" i="5"/>
  <c r="AZ170" i="5"/>
  <c r="N170" i="5"/>
  <c r="J170" i="5"/>
  <c r="CV169" i="5"/>
  <c r="CS169" i="5"/>
  <c r="BP169" i="5"/>
  <c r="BJ169" i="5"/>
  <c r="BA169" i="5"/>
  <c r="AZ169" i="5"/>
  <c r="N169" i="5"/>
  <c r="J169" i="5"/>
  <c r="CV168" i="5"/>
  <c r="CU168" i="5"/>
  <c r="CT168" i="5"/>
  <c r="CS168" i="5"/>
  <c r="BP168" i="5"/>
  <c r="BO168" i="5"/>
  <c r="BJ168" i="5"/>
  <c r="BI168" i="5"/>
  <c r="BA168" i="5"/>
  <c r="AZ168" i="5"/>
  <c r="BB168" i="5" s="1"/>
  <c r="AE168" i="5"/>
  <c r="N168" i="5"/>
  <c r="J168" i="5"/>
  <c r="CV167" i="5"/>
  <c r="CU167" i="5"/>
  <c r="CT167" i="5"/>
  <c r="CS167" i="5"/>
  <c r="BP167" i="5"/>
  <c r="BO167" i="5"/>
  <c r="BJ167" i="5"/>
  <c r="BI167" i="5"/>
  <c r="BA167" i="5"/>
  <c r="AZ167" i="5"/>
  <c r="BB167" i="5" s="1"/>
  <c r="AE167" i="5"/>
  <c r="N167" i="5"/>
  <c r="J167" i="5"/>
  <c r="CV166" i="5"/>
  <c r="CS166" i="5"/>
  <c r="BP166" i="5"/>
  <c r="BJ166" i="5"/>
  <c r="BA166" i="5"/>
  <c r="AZ166" i="5"/>
  <c r="BD166" i="5" s="1"/>
  <c r="BO166" i="5" s="1"/>
  <c r="AE166" i="5"/>
  <c r="N166" i="5"/>
  <c r="J166" i="5"/>
  <c r="CV165" i="5"/>
  <c r="CS165" i="5"/>
  <c r="CB165" i="5"/>
  <c r="BZ165" i="5"/>
  <c r="BX165" i="5"/>
  <c r="BV165" i="5"/>
  <c r="AZ165" i="5" s="1"/>
  <c r="BP165" i="5"/>
  <c r="BJ165" i="5"/>
  <c r="BA165" i="5"/>
  <c r="AE165" i="5"/>
  <c r="N165" i="5"/>
  <c r="J165" i="5"/>
  <c r="CV164" i="5"/>
  <c r="CS164" i="5"/>
  <c r="CB164" i="5"/>
  <c r="BZ164" i="5"/>
  <c r="BX164" i="5"/>
  <c r="BV164" i="5"/>
  <c r="BP164" i="5"/>
  <c r="BJ164" i="5"/>
  <c r="BI164" i="5"/>
  <c r="BA164" i="5"/>
  <c r="AZ164" i="5"/>
  <c r="BD164" i="5" s="1"/>
  <c r="BO164" i="5" s="1"/>
  <c r="AE164" i="5"/>
  <c r="N164" i="5"/>
  <c r="J164" i="5"/>
  <c r="CV163" i="5"/>
  <c r="CS163" i="5"/>
  <c r="CB163" i="5"/>
  <c r="BZ163" i="5"/>
  <c r="BX163" i="5"/>
  <c r="BA163" i="5" s="1"/>
  <c r="BV163" i="5"/>
  <c r="AZ163" i="5" s="1"/>
  <c r="BP163" i="5"/>
  <c r="BJ163" i="5"/>
  <c r="AE163" i="5"/>
  <c r="N163" i="5"/>
  <c r="J163" i="5"/>
  <c r="CV162" i="5"/>
  <c r="CS162" i="5"/>
  <c r="CB162" i="5"/>
  <c r="BZ162" i="5"/>
  <c r="BX162" i="5"/>
  <c r="BV162" i="5"/>
  <c r="BP162" i="5"/>
  <c r="BJ162" i="5"/>
  <c r="BA162" i="5"/>
  <c r="AZ162" i="5"/>
  <c r="BD162" i="5" s="1"/>
  <c r="AE162" i="5"/>
  <c r="N162" i="5"/>
  <c r="J162" i="5"/>
  <c r="CV161" i="5"/>
  <c r="CS161" i="5"/>
  <c r="CB161" i="5"/>
  <c r="BZ161" i="5"/>
  <c r="AZ161" i="5" s="1"/>
  <c r="BX161" i="5"/>
  <c r="BA161" i="5" s="1"/>
  <c r="BV161" i="5"/>
  <c r="BP161" i="5"/>
  <c r="BJ161" i="5"/>
  <c r="AE161" i="5"/>
  <c r="N161" i="5"/>
  <c r="J161" i="5"/>
  <c r="CV160" i="5"/>
  <c r="CS160" i="5"/>
  <c r="BP160" i="5"/>
  <c r="BJ160" i="5"/>
  <c r="BA160" i="5"/>
  <c r="AZ160" i="5"/>
  <c r="N160" i="5"/>
  <c r="J160" i="5"/>
  <c r="CV159" i="5"/>
  <c r="CS159" i="5"/>
  <c r="BP159" i="5"/>
  <c r="BJ159" i="5"/>
  <c r="BA159" i="5"/>
  <c r="AZ159" i="5"/>
  <c r="AE159" i="5"/>
  <c r="N159" i="5"/>
  <c r="J159" i="5"/>
  <c r="CV158" i="5"/>
  <c r="CS158" i="5"/>
  <c r="BP158" i="5"/>
  <c r="BJ158" i="5"/>
  <c r="BA158" i="5"/>
  <c r="AZ158" i="5"/>
  <c r="AE158" i="5"/>
  <c r="N158" i="5"/>
  <c r="J158" i="5"/>
  <c r="CV157" i="5"/>
  <c r="CU157" i="5"/>
  <c r="CT157" i="5"/>
  <c r="CS157" i="5"/>
  <c r="BP157" i="5"/>
  <c r="BO157" i="5"/>
  <c r="BJ157" i="5"/>
  <c r="BI157" i="5"/>
  <c r="BA157" i="5"/>
  <c r="AZ157" i="5"/>
  <c r="BB157" i="5" s="1"/>
  <c r="AE157" i="5"/>
  <c r="N157" i="5"/>
  <c r="J157" i="5"/>
  <c r="CV156" i="5"/>
  <c r="CS156" i="5"/>
  <c r="BP156" i="5"/>
  <c r="BJ156" i="5"/>
  <c r="BA156" i="5"/>
  <c r="AZ156" i="5"/>
  <c r="BD156" i="5" s="1"/>
  <c r="BO156" i="5" s="1"/>
  <c r="AE156" i="5"/>
  <c r="N156" i="5"/>
  <c r="J156" i="5"/>
  <c r="CV155" i="5"/>
  <c r="CS155" i="5"/>
  <c r="BP155" i="5"/>
  <c r="BO155" i="5"/>
  <c r="BJ155" i="5"/>
  <c r="BI155" i="5"/>
  <c r="BA155" i="5"/>
  <c r="AZ155" i="5"/>
  <c r="BD155" i="5" s="1"/>
  <c r="AE155" i="5"/>
  <c r="N155" i="5"/>
  <c r="J155" i="5"/>
  <c r="CV154" i="5"/>
  <c r="CU154" i="5"/>
  <c r="CT154" i="5"/>
  <c r="CS154" i="5"/>
  <c r="BP154" i="5"/>
  <c r="BO154" i="5"/>
  <c r="BJ154" i="5"/>
  <c r="BI154" i="5"/>
  <c r="BA154" i="5"/>
  <c r="AZ154" i="5"/>
  <c r="BB154" i="5" s="1"/>
  <c r="AE154" i="5"/>
  <c r="N154" i="5"/>
  <c r="J154" i="5"/>
  <c r="CV153" i="5"/>
  <c r="CS153" i="5"/>
  <c r="BP153" i="5"/>
  <c r="BO153" i="5"/>
  <c r="BJ153" i="5"/>
  <c r="BD153" i="5"/>
  <c r="BI153" i="5" s="1"/>
  <c r="BA153" i="5"/>
  <c r="AZ153" i="5"/>
  <c r="BB153" i="5" s="1"/>
  <c r="AE153" i="5"/>
  <c r="N153" i="5"/>
  <c r="J153" i="5"/>
  <c r="CV152" i="5"/>
  <c r="CS152" i="5"/>
  <c r="BT152" i="5"/>
  <c r="BP152" i="5"/>
  <c r="BO152" i="5"/>
  <c r="BJ152" i="5"/>
  <c r="BI152" i="5"/>
  <c r="BA152" i="5"/>
  <c r="AZ152" i="5"/>
  <c r="BD152" i="5" s="1"/>
  <c r="AE152" i="5"/>
  <c r="N152" i="5"/>
  <c r="J152" i="5"/>
  <c r="CV151" i="5"/>
  <c r="CS151" i="5"/>
  <c r="BP151" i="5"/>
  <c r="BJ151" i="5"/>
  <c r="BA151" i="5"/>
  <c r="AZ151" i="5"/>
  <c r="BD151" i="5" s="1"/>
  <c r="BO151" i="5" s="1"/>
  <c r="AE151" i="5"/>
  <c r="N151" i="5"/>
  <c r="J151" i="5"/>
  <c r="CV150" i="5"/>
  <c r="CU150" i="5"/>
  <c r="CT150" i="5"/>
  <c r="CS150" i="5"/>
  <c r="BZ150" i="5"/>
  <c r="BV150" i="5"/>
  <c r="BT150" i="5"/>
  <c r="BR150" i="5"/>
  <c r="BP150" i="5"/>
  <c r="BO150" i="5"/>
  <c r="BJ150" i="5"/>
  <c r="BI150" i="5"/>
  <c r="BA150" i="5"/>
  <c r="AZ150" i="5"/>
  <c r="AE150" i="5"/>
  <c r="N150" i="5"/>
  <c r="J150" i="5"/>
  <c r="CV149" i="5"/>
  <c r="CU149" i="5"/>
  <c r="CT149" i="5"/>
  <c r="CS149" i="5"/>
  <c r="BP149" i="5"/>
  <c r="BO149" i="5"/>
  <c r="BJ149" i="5"/>
  <c r="BI149" i="5"/>
  <c r="BA149" i="5"/>
  <c r="AZ149" i="5"/>
  <c r="AE149" i="5"/>
  <c r="N149" i="5"/>
  <c r="J149" i="5"/>
  <c r="CV148" i="5"/>
  <c r="CS148" i="5"/>
  <c r="BP148" i="5"/>
  <c r="BJ148" i="5"/>
  <c r="BA148" i="5"/>
  <c r="AZ148" i="5"/>
  <c r="AE148" i="5"/>
  <c r="N148" i="5"/>
  <c r="J148" i="5"/>
  <c r="CV147" i="5"/>
  <c r="CS147" i="5"/>
  <c r="BX147" i="5"/>
  <c r="BA147" i="5" s="1"/>
  <c r="BB147" i="5" s="1"/>
  <c r="BV147" i="5"/>
  <c r="BP147" i="5"/>
  <c r="BJ147" i="5"/>
  <c r="BD147" i="5"/>
  <c r="AE147" i="5"/>
  <c r="N147" i="5"/>
  <c r="J147" i="5"/>
  <c r="CV146" i="5"/>
  <c r="CS146" i="5"/>
  <c r="BP146" i="5"/>
  <c r="BJ146" i="5"/>
  <c r="BB146" i="5"/>
  <c r="BA146" i="5"/>
  <c r="AZ146" i="5"/>
  <c r="BD146" i="5" s="1"/>
  <c r="AE146" i="5"/>
  <c r="N146" i="5"/>
  <c r="J146" i="5"/>
  <c r="CV145" i="5"/>
  <c r="CS145" i="5"/>
  <c r="BT145" i="5"/>
  <c r="BP145" i="5"/>
  <c r="BJ145" i="5"/>
  <c r="BA145" i="5"/>
  <c r="AZ145" i="5"/>
  <c r="AE145" i="5"/>
  <c r="N145" i="5"/>
  <c r="J145" i="5"/>
  <c r="CV144" i="5"/>
  <c r="CS144" i="5"/>
  <c r="BP144" i="5"/>
  <c r="BJ144" i="5"/>
  <c r="BA144" i="5"/>
  <c r="AZ144" i="5"/>
  <c r="BD144" i="5" s="1"/>
  <c r="AE144" i="5"/>
  <c r="N144" i="5"/>
  <c r="J144" i="5"/>
  <c r="CV143" i="5"/>
  <c r="CS143" i="5"/>
  <c r="BP143" i="5"/>
  <c r="BJ143" i="5"/>
  <c r="BD143" i="5"/>
  <c r="BB143" i="5"/>
  <c r="BA143" i="5"/>
  <c r="AZ143" i="5"/>
  <c r="AE143" i="5"/>
  <c r="N143" i="5"/>
  <c r="J143" i="5"/>
  <c r="CV142" i="5"/>
  <c r="CS142" i="5"/>
  <c r="BP142" i="5"/>
  <c r="BJ142" i="5"/>
  <c r="BB142" i="5"/>
  <c r="BA142" i="5"/>
  <c r="AZ142" i="5"/>
  <c r="BD142" i="5" s="1"/>
  <c r="CT142" i="5" s="1"/>
  <c r="AE142" i="5"/>
  <c r="N142" i="5"/>
  <c r="J142" i="5"/>
  <c r="CV141" i="5"/>
  <c r="CS141" i="5"/>
  <c r="BP141" i="5"/>
  <c r="BJ141" i="5"/>
  <c r="BD141" i="5"/>
  <c r="BA141" i="5"/>
  <c r="AZ141" i="5"/>
  <c r="BB141" i="5" s="1"/>
  <c r="AE141" i="5"/>
  <c r="N141" i="5"/>
  <c r="J141" i="5"/>
  <c r="CV140" i="5"/>
  <c r="CS140" i="5"/>
  <c r="BP140" i="5"/>
  <c r="BJ140" i="5"/>
  <c r="BA140" i="5"/>
  <c r="AZ140" i="5"/>
  <c r="AE140" i="5"/>
  <c r="N140" i="5"/>
  <c r="J140" i="5"/>
  <c r="CV139" i="5"/>
  <c r="CU139" i="5"/>
  <c r="CT139" i="5"/>
  <c r="CS139" i="5"/>
  <c r="BP139" i="5"/>
  <c r="BO139" i="5"/>
  <c r="BJ139" i="5"/>
  <c r="BI139" i="5"/>
  <c r="BB139" i="5"/>
  <c r="BA139" i="5"/>
  <c r="AZ139" i="5"/>
  <c r="AE139" i="5"/>
  <c r="N139" i="5"/>
  <c r="J139" i="5"/>
  <c r="CV138" i="5"/>
  <c r="CU138" i="5"/>
  <c r="CT138" i="5"/>
  <c r="CS138" i="5"/>
  <c r="BP138" i="5"/>
  <c r="BO138" i="5"/>
  <c r="BJ138" i="5"/>
  <c r="BI138" i="5"/>
  <c r="BA138" i="5"/>
  <c r="AZ138" i="5"/>
  <c r="BB138" i="5" s="1"/>
  <c r="AE138" i="5"/>
  <c r="N138" i="5"/>
  <c r="J138" i="5"/>
  <c r="CV137" i="5"/>
  <c r="CS137" i="5"/>
  <c r="BP137" i="5"/>
  <c r="BJ137" i="5"/>
  <c r="BA137" i="5"/>
  <c r="AZ137" i="5"/>
  <c r="AE137" i="5"/>
  <c r="N137" i="5"/>
  <c r="J137" i="5"/>
  <c r="CV136" i="5"/>
  <c r="CU136" i="5"/>
  <c r="CT136" i="5"/>
  <c r="CS136" i="5"/>
  <c r="BT136" i="5"/>
  <c r="BP136" i="5"/>
  <c r="BO136" i="5"/>
  <c r="BI136" i="5"/>
  <c r="BA136" i="5"/>
  <c r="BE136" i="5" s="1"/>
  <c r="BJ136" i="5" s="1"/>
  <c r="AZ136" i="5"/>
  <c r="BB136" i="5" s="1"/>
  <c r="AE136" i="5"/>
  <c r="N136" i="5"/>
  <c r="J136" i="5"/>
  <c r="CV135" i="5"/>
  <c r="CS135" i="5"/>
  <c r="BP135" i="5"/>
  <c r="BO135" i="5"/>
  <c r="BJ135" i="5"/>
  <c r="BI135" i="5"/>
  <c r="BA135" i="5"/>
  <c r="AZ135" i="5"/>
  <c r="AE135" i="5"/>
  <c r="N135" i="5"/>
  <c r="J135" i="5"/>
  <c r="CV134" i="5"/>
  <c r="CU134" i="5"/>
  <c r="CT134" i="5"/>
  <c r="CS134" i="5"/>
  <c r="BP134" i="5"/>
  <c r="BO134" i="5"/>
  <c r="BJ134" i="5"/>
  <c r="BI134" i="5"/>
  <c r="BA134" i="5"/>
  <c r="AZ134" i="5"/>
  <c r="BB134" i="5" s="1"/>
  <c r="AE134" i="5"/>
  <c r="N134" i="5"/>
  <c r="J134" i="5"/>
  <c r="CV133" i="5"/>
  <c r="CU133" i="5"/>
  <c r="CT133" i="5"/>
  <c r="CS133" i="5"/>
  <c r="BP133" i="5"/>
  <c r="BO133" i="5"/>
  <c r="BJ133" i="5"/>
  <c r="BI133" i="5"/>
  <c r="BA133" i="5"/>
  <c r="AZ133" i="5"/>
  <c r="BB133" i="5" s="1"/>
  <c r="AE133" i="5"/>
  <c r="N133" i="5"/>
  <c r="J133" i="5"/>
  <c r="CV132" i="5"/>
  <c r="CS132" i="5"/>
  <c r="BT132" i="5"/>
  <c r="BA132" i="5" s="1"/>
  <c r="BP132" i="5"/>
  <c r="BJ132" i="5"/>
  <c r="AZ132" i="5"/>
  <c r="AE132" i="5"/>
  <c r="N132" i="5"/>
  <c r="J132" i="5"/>
  <c r="CV131" i="5"/>
  <c r="CU131" i="5"/>
  <c r="CT131" i="5"/>
  <c r="CS131" i="5"/>
  <c r="BV131" i="5"/>
  <c r="BP131" i="5"/>
  <c r="BO131" i="5"/>
  <c r="BJ131" i="5"/>
  <c r="BI131" i="5"/>
  <c r="BA131" i="5"/>
  <c r="AZ131" i="5"/>
  <c r="BB131" i="5" s="1"/>
  <c r="AE131" i="5"/>
  <c r="N131" i="5"/>
  <c r="J131" i="5"/>
  <c r="CV130" i="5"/>
  <c r="CU130" i="5"/>
  <c r="CT130" i="5"/>
  <c r="CS130" i="5"/>
  <c r="BP130" i="5"/>
  <c r="BO130" i="5"/>
  <c r="BJ130" i="5"/>
  <c r="BI130" i="5"/>
  <c r="BA130" i="5"/>
  <c r="AZ130" i="5"/>
  <c r="BB130" i="5" s="1"/>
  <c r="AE130" i="5"/>
  <c r="N130" i="5"/>
  <c r="J130" i="5"/>
  <c r="CV129" i="5"/>
  <c r="CU129" i="5"/>
  <c r="CT129" i="5"/>
  <c r="CS129" i="5"/>
  <c r="BT129" i="5"/>
  <c r="BA129" i="5" s="1"/>
  <c r="BP129" i="5"/>
  <c r="BO129" i="5"/>
  <c r="BJ129" i="5"/>
  <c r="BI129" i="5"/>
  <c r="AZ129" i="5"/>
  <c r="BB129" i="5" s="1"/>
  <c r="AE129" i="5"/>
  <c r="N129" i="5"/>
  <c r="J129" i="5"/>
  <c r="CV128" i="5"/>
  <c r="CS128" i="5"/>
  <c r="BP128" i="5"/>
  <c r="BO128" i="5"/>
  <c r="BJ128" i="5"/>
  <c r="BA128" i="5"/>
  <c r="AZ128" i="5"/>
  <c r="BD128" i="5" s="1"/>
  <c r="BI128" i="5" s="1"/>
  <c r="AE128" i="5"/>
  <c r="N128" i="5"/>
  <c r="J128" i="5"/>
  <c r="CV127" i="5"/>
  <c r="CU127" i="5"/>
  <c r="CT127" i="5"/>
  <c r="CS127" i="5"/>
  <c r="BP127" i="5"/>
  <c r="BO127" i="5"/>
  <c r="BJ127" i="5"/>
  <c r="BI127" i="5"/>
  <c r="BA127" i="5"/>
  <c r="AZ127" i="5"/>
  <c r="BB127" i="5" s="1"/>
  <c r="BE127" i="5" s="1"/>
  <c r="AE127" i="5"/>
  <c r="N127" i="5"/>
  <c r="J127" i="5"/>
  <c r="CV126" i="5"/>
  <c r="CU126" i="5"/>
  <c r="CT126" i="5"/>
  <c r="CS126" i="5"/>
  <c r="BO126" i="5"/>
  <c r="BI126" i="5"/>
  <c r="BA126" i="5"/>
  <c r="AZ126" i="5"/>
  <c r="BB126" i="5" s="1"/>
  <c r="BE126" i="5" s="1"/>
  <c r="AE126" i="5"/>
  <c r="N126" i="5"/>
  <c r="J126" i="5"/>
  <c r="CV125" i="5"/>
  <c r="CU125" i="5"/>
  <c r="CT125" i="5"/>
  <c r="CS125" i="5"/>
  <c r="BP125" i="5"/>
  <c r="BO125" i="5"/>
  <c r="BI125" i="5"/>
  <c r="BA125" i="5"/>
  <c r="AZ125" i="5"/>
  <c r="BB125" i="5" s="1"/>
  <c r="BE125" i="5" s="1"/>
  <c r="BJ125" i="5" s="1"/>
  <c r="AE125" i="5"/>
  <c r="N125" i="5"/>
  <c r="J125" i="5"/>
  <c r="CV124" i="5"/>
  <c r="CU124" i="5"/>
  <c r="CT124" i="5"/>
  <c r="CS124" i="5"/>
  <c r="BO124" i="5"/>
  <c r="BJ124" i="5"/>
  <c r="BI124" i="5"/>
  <c r="BA124" i="5"/>
  <c r="AZ124" i="5"/>
  <c r="BB124" i="5" s="1"/>
  <c r="BE124" i="5" s="1"/>
  <c r="BP124" i="5" s="1"/>
  <c r="AE124" i="5"/>
  <c r="N124" i="5"/>
  <c r="J124" i="5"/>
  <c r="C124" i="5"/>
  <c r="C125" i="5" s="1"/>
  <c r="C126" i="5" s="1"/>
  <c r="C127" i="5" s="1"/>
  <c r="C128" i="5" s="1"/>
  <c r="C129" i="5" s="1"/>
  <c r="C130" i="5" s="1"/>
  <c r="C131" i="5" s="1"/>
  <c r="C132" i="5" s="1"/>
  <c r="C133" i="5" s="1"/>
  <c r="C134" i="5" s="1"/>
  <c r="C135" i="5" s="1"/>
  <c r="C136" i="5" s="1"/>
  <c r="C137" i="5" s="1"/>
  <c r="C138" i="5" s="1"/>
  <c r="C139" i="5" s="1"/>
  <c r="C140" i="5" s="1"/>
  <c r="C141" i="5" s="1"/>
  <c r="C142" i="5" s="1"/>
  <c r="C143" i="5" s="1"/>
  <c r="C144" i="5" s="1"/>
  <c r="C145" i="5" s="1"/>
  <c r="C146" i="5" s="1"/>
  <c r="C147" i="5" s="1"/>
  <c r="C148" i="5" s="1"/>
  <c r="C149" i="5" s="1"/>
  <c r="C150" i="5" s="1"/>
  <c r="C151" i="5" s="1"/>
  <c r="C152" i="5" s="1"/>
  <c r="C153" i="5" s="1"/>
  <c r="C154" i="5" s="1"/>
  <c r="C155" i="5" s="1"/>
  <c r="C156" i="5" s="1"/>
  <c r="C157" i="5" s="1"/>
  <c r="C158" i="5" s="1"/>
  <c r="C159" i="5" s="1"/>
  <c r="C160" i="5" s="1"/>
  <c r="C161" i="5" s="1"/>
  <c r="C162" i="5" s="1"/>
  <c r="C163" i="5" s="1"/>
  <c r="C164" i="5" s="1"/>
  <c r="C165" i="5" s="1"/>
  <c r="C166" i="5" s="1"/>
  <c r="C167" i="5" s="1"/>
  <c r="C168" i="5" s="1"/>
  <c r="C169" i="5" s="1"/>
  <c r="C170" i="5" s="1"/>
  <c r="C171" i="5" s="1"/>
  <c r="C172" i="5" s="1"/>
  <c r="C173" i="5" s="1"/>
  <c r="C174" i="5" s="1"/>
  <c r="C175" i="5" s="1"/>
  <c r="C176" i="5" s="1"/>
  <c r="C177" i="5" s="1"/>
  <c r="C178" i="5" s="1"/>
  <c r="C179" i="5" s="1"/>
  <c r="C180" i="5" s="1"/>
  <c r="C181" i="5" s="1"/>
  <c r="C182" i="5" s="1"/>
  <c r="C183" i="5" s="1"/>
  <c r="C184" i="5" s="1"/>
  <c r="C185" i="5" s="1"/>
  <c r="C186" i="5" s="1"/>
  <c r="C187" i="5" s="1"/>
  <c r="C188" i="5" s="1"/>
  <c r="C189" i="5" s="1"/>
  <c r="C190" i="5" s="1"/>
  <c r="C191" i="5" s="1"/>
  <c r="C192" i="5" s="1"/>
  <c r="C193" i="5" s="1"/>
  <c r="C194" i="5" s="1"/>
  <c r="C195" i="5" s="1"/>
  <c r="C196" i="5" s="1"/>
  <c r="C197" i="5" s="1"/>
  <c r="C198" i="5" s="1"/>
  <c r="C199" i="5" s="1"/>
  <c r="C200" i="5" s="1"/>
  <c r="C201" i="5" s="1"/>
  <c r="C202" i="5" s="1"/>
  <c r="C203" i="5" s="1"/>
  <c r="C204" i="5" s="1"/>
  <c r="C205" i="5" s="1"/>
  <c r="C206" i="5" s="1"/>
  <c r="C207" i="5" s="1"/>
  <c r="C208" i="5" s="1"/>
  <c r="C209" i="5" s="1"/>
  <c r="C210" i="5" s="1"/>
  <c r="C211" i="5" s="1"/>
  <c r="C212" i="5" s="1"/>
  <c r="C213" i="5" s="1"/>
  <c r="C214" i="5" s="1"/>
  <c r="C215" i="5" s="1"/>
  <c r="C216" i="5" s="1"/>
  <c r="C217" i="5" s="1"/>
  <c r="C218" i="5" s="1"/>
  <c r="C219" i="5" s="1"/>
  <c r="C220" i="5" s="1"/>
  <c r="C221" i="5" s="1"/>
  <c r="C222" i="5" s="1"/>
  <c r="C223" i="5" s="1"/>
  <c r="C224" i="5" s="1"/>
  <c r="C225" i="5" s="1"/>
  <c r="C226" i="5" s="1"/>
  <c r="C227" i="5" s="1"/>
  <c r="C228" i="5" s="1"/>
  <c r="C229" i="5" s="1"/>
  <c r="C230" i="5" s="1"/>
  <c r="C231" i="5" s="1"/>
  <c r="C232" i="5" s="1"/>
  <c r="C233" i="5" s="1"/>
  <c r="C234" i="5" s="1"/>
  <c r="C235" i="5" s="1"/>
  <c r="C236" i="5" s="1"/>
  <c r="C237" i="5" s="1"/>
  <c r="C238" i="5" s="1"/>
  <c r="C239" i="5" s="1"/>
  <c r="C240" i="5" s="1"/>
  <c r="C241" i="5" s="1"/>
  <c r="C242" i="5" s="1"/>
  <c r="C243" i="5" s="1"/>
  <c r="C244" i="5" s="1"/>
  <c r="C245" i="5" s="1"/>
  <c r="C246" i="5" s="1"/>
  <c r="C247" i="5" s="1"/>
  <c r="CV123" i="5"/>
  <c r="CU123" i="5"/>
  <c r="CT123" i="5"/>
  <c r="CS123" i="5"/>
  <c r="BP123" i="5"/>
  <c r="BO123" i="5"/>
  <c r="BJ123" i="5"/>
  <c r="BI123" i="5"/>
  <c r="BA123" i="5"/>
  <c r="AZ123" i="5"/>
  <c r="BB123" i="5" s="1"/>
  <c r="BE123" i="5" s="1"/>
  <c r="AE123" i="5"/>
  <c r="N123" i="5"/>
  <c r="J123" i="5"/>
  <c r="CV122" i="5"/>
  <c r="CS122" i="5"/>
  <c r="BP122" i="5"/>
  <c r="BJ122" i="5"/>
  <c r="BA122" i="5"/>
  <c r="AZ122" i="5"/>
  <c r="BD122" i="5" s="1"/>
  <c r="BO122" i="5" s="1"/>
  <c r="N122" i="5"/>
  <c r="J122" i="5"/>
  <c r="CV121" i="5"/>
  <c r="CU121" i="5"/>
  <c r="CT121" i="5"/>
  <c r="CS121" i="5"/>
  <c r="BP121" i="5"/>
  <c r="BO121" i="5"/>
  <c r="BJ121" i="5"/>
  <c r="BI121" i="5"/>
  <c r="BB121" i="5"/>
  <c r="BA121" i="5"/>
  <c r="AZ121" i="5"/>
  <c r="AE121" i="5"/>
  <c r="N121" i="5"/>
  <c r="J121" i="5"/>
  <c r="CV120" i="5"/>
  <c r="CU120" i="5"/>
  <c r="CT120" i="5"/>
  <c r="CS120" i="5"/>
  <c r="BP120" i="5"/>
  <c r="BO120" i="5"/>
  <c r="BJ120" i="5"/>
  <c r="BI120" i="5"/>
  <c r="BB120" i="5"/>
  <c r="BA120" i="5"/>
  <c r="AZ120" i="5"/>
  <c r="AE120" i="5"/>
  <c r="N120" i="5"/>
  <c r="J120" i="5"/>
  <c r="CV119" i="5"/>
  <c r="CS119" i="5"/>
  <c r="BP119" i="5"/>
  <c r="BO119" i="5"/>
  <c r="BJ119" i="5"/>
  <c r="BI119" i="5"/>
  <c r="BA119" i="5"/>
  <c r="BB119" i="5" s="1"/>
  <c r="AZ119" i="5"/>
  <c r="AE119" i="5"/>
  <c r="N119" i="5"/>
  <c r="J119" i="5"/>
  <c r="CV118" i="5"/>
  <c r="CS118" i="5"/>
  <c r="BT118" i="5"/>
  <c r="BP118" i="5"/>
  <c r="BO118" i="5"/>
  <c r="BJ118" i="5"/>
  <c r="BI118" i="5"/>
  <c r="BD118" i="5"/>
  <c r="BB118" i="5"/>
  <c r="CU118" i="5" s="1"/>
  <c r="BA118" i="5"/>
  <c r="AZ118" i="5"/>
  <c r="AE118" i="5"/>
  <c r="N118" i="5"/>
  <c r="J118" i="5"/>
  <c r="C118" i="5"/>
  <c r="C119" i="5" s="1"/>
  <c r="C120" i="5" s="1"/>
  <c r="C121" i="5" s="1"/>
  <c r="C122" i="5" s="1"/>
  <c r="C123" i="5" s="1"/>
  <c r="CV117" i="5"/>
  <c r="CU117" i="5"/>
  <c r="CT117" i="5"/>
  <c r="CS117" i="5"/>
  <c r="BP117" i="5"/>
  <c r="BO117" i="5"/>
  <c r="BJ117" i="5"/>
  <c r="BI117" i="5"/>
  <c r="BA117" i="5"/>
  <c r="AZ117" i="5"/>
  <c r="BB117" i="5" s="1"/>
  <c r="AE117" i="5"/>
  <c r="N117" i="5"/>
  <c r="J117" i="5"/>
  <c r="CV116" i="5"/>
  <c r="CU116" i="5"/>
  <c r="CT116" i="5"/>
  <c r="CS116" i="5"/>
  <c r="BP116" i="5"/>
  <c r="BO116" i="5"/>
  <c r="BJ116" i="5"/>
  <c r="BI116" i="5"/>
  <c r="BB116" i="5"/>
  <c r="BA116" i="5"/>
  <c r="AZ116" i="5"/>
  <c r="AE116" i="5"/>
  <c r="N116" i="5"/>
  <c r="J116" i="5"/>
  <c r="C116" i="5"/>
  <c r="C117" i="5" s="1"/>
  <c r="CV115" i="5"/>
  <c r="CS115" i="5"/>
  <c r="BP115" i="5"/>
  <c r="BJ115" i="5"/>
  <c r="BA115" i="5"/>
  <c r="AZ115" i="5"/>
  <c r="BD115" i="5" s="1"/>
  <c r="BO115" i="5" s="1"/>
  <c r="AE115" i="5"/>
  <c r="N115" i="5"/>
  <c r="J115" i="5"/>
  <c r="CV114" i="5"/>
  <c r="CU114" i="5"/>
  <c r="CT114" i="5"/>
  <c r="CS114" i="5"/>
  <c r="BP114" i="5"/>
  <c r="BO114" i="5"/>
  <c r="BJ114" i="5"/>
  <c r="BI114" i="5"/>
  <c r="BB114" i="5"/>
  <c r="BA114" i="5"/>
  <c r="AZ114" i="5"/>
  <c r="N114" i="5"/>
  <c r="J114" i="5"/>
  <c r="CV113" i="5"/>
  <c r="CU113" i="5"/>
  <c r="CT113" i="5"/>
  <c r="CS113" i="5"/>
  <c r="BP113" i="5"/>
  <c r="BO113" i="5"/>
  <c r="BJ113" i="5"/>
  <c r="BI113" i="5"/>
  <c r="BA113" i="5"/>
  <c r="AZ113" i="5"/>
  <c r="BB113" i="5" s="1"/>
  <c r="N113" i="5"/>
  <c r="J113" i="5"/>
  <c r="CV112" i="5"/>
  <c r="CU112" i="5"/>
  <c r="CT112" i="5"/>
  <c r="CS112" i="5"/>
  <c r="BP112" i="5"/>
  <c r="BO112" i="5"/>
  <c r="BJ112" i="5"/>
  <c r="BI112" i="5"/>
  <c r="BA112" i="5"/>
  <c r="BB112" i="5" s="1"/>
  <c r="AZ112" i="5"/>
  <c r="N112" i="5"/>
  <c r="J112" i="5"/>
  <c r="CV111" i="5"/>
  <c r="CS111" i="5"/>
  <c r="BP111" i="5"/>
  <c r="BI111" i="5"/>
  <c r="BD111" i="5"/>
  <c r="BO111" i="5" s="1"/>
  <c r="BB111" i="5"/>
  <c r="BA111" i="5"/>
  <c r="AZ111" i="5"/>
  <c r="N111" i="5"/>
  <c r="J111" i="5"/>
  <c r="CV110" i="5"/>
  <c r="CS110" i="5"/>
  <c r="BP110" i="5"/>
  <c r="BA110" i="5"/>
  <c r="AZ110" i="5"/>
  <c r="BD110" i="5" s="1"/>
  <c r="BI110" i="5" s="1"/>
  <c r="N110" i="5"/>
  <c r="J110" i="5"/>
  <c r="CV109" i="5"/>
  <c r="CS109" i="5"/>
  <c r="BP109" i="5"/>
  <c r="BD109" i="5"/>
  <c r="BB109" i="5"/>
  <c r="BA109" i="5"/>
  <c r="AZ109" i="5"/>
  <c r="N109" i="5"/>
  <c r="J109" i="5"/>
  <c r="CV108" i="5"/>
  <c r="CS108" i="5"/>
  <c r="BP108" i="5"/>
  <c r="BA108" i="5"/>
  <c r="AZ108" i="5"/>
  <c r="N108" i="5"/>
  <c r="J108" i="5"/>
  <c r="CV107" i="5"/>
  <c r="CS107" i="5"/>
  <c r="BP107" i="5"/>
  <c r="BO107" i="5"/>
  <c r="BA107" i="5"/>
  <c r="AZ107" i="5"/>
  <c r="BD107" i="5" s="1"/>
  <c r="BI107" i="5" s="1"/>
  <c r="AE107" i="5"/>
  <c r="N107" i="5"/>
  <c r="J107" i="5"/>
  <c r="CV106" i="5"/>
  <c r="CS106" i="5"/>
  <c r="BP106" i="5"/>
  <c r="BO106" i="5"/>
  <c r="BI106" i="5"/>
  <c r="BD106" i="5"/>
  <c r="BB106" i="5"/>
  <c r="BA106" i="5"/>
  <c r="AZ106" i="5"/>
  <c r="AE106" i="5"/>
  <c r="N106" i="5"/>
  <c r="J106" i="5"/>
  <c r="CV105" i="5"/>
  <c r="CS105" i="5"/>
  <c r="BP105" i="5"/>
  <c r="BD105" i="5"/>
  <c r="BO105" i="5" s="1"/>
  <c r="BB105" i="5"/>
  <c r="BA105" i="5"/>
  <c r="AZ105" i="5"/>
  <c r="AE105" i="5"/>
  <c r="N105" i="5"/>
  <c r="J105" i="5"/>
  <c r="CV104" i="5"/>
  <c r="CS104" i="5"/>
  <c r="BP104" i="5"/>
  <c r="BO104" i="5"/>
  <c r="BJ104" i="5"/>
  <c r="BD104" i="5"/>
  <c r="BI104" i="5" s="1"/>
  <c r="BB104" i="5"/>
  <c r="CU104" i="5" s="1"/>
  <c r="BA104" i="5"/>
  <c r="AZ104" i="5"/>
  <c r="AE104" i="5"/>
  <c r="N104" i="5"/>
  <c r="J104" i="5"/>
  <c r="CV103" i="5"/>
  <c r="CS103" i="5"/>
  <c r="BP103" i="5"/>
  <c r="BO103" i="5"/>
  <c r="BJ103" i="5"/>
  <c r="BD103" i="5"/>
  <c r="BI103" i="5" s="1"/>
  <c r="BB103" i="5"/>
  <c r="CU103" i="5" s="1"/>
  <c r="BA103" i="5"/>
  <c r="AZ103" i="5"/>
  <c r="AE103" i="5"/>
  <c r="N103" i="5"/>
  <c r="J103" i="5"/>
  <c r="CV102" i="5"/>
  <c r="CS102" i="5"/>
  <c r="BP102" i="5"/>
  <c r="BO102" i="5"/>
  <c r="BJ102" i="5"/>
  <c r="BD102" i="5"/>
  <c r="BI102" i="5" s="1"/>
  <c r="BB102" i="5"/>
  <c r="CU102" i="5" s="1"/>
  <c r="BA102" i="5"/>
  <c r="AZ102" i="5"/>
  <c r="AE102" i="5"/>
  <c r="N102" i="5"/>
  <c r="J102" i="5"/>
  <c r="CV101" i="5"/>
  <c r="CS101" i="5"/>
  <c r="BP101" i="5"/>
  <c r="BO101" i="5"/>
  <c r="BJ101" i="5"/>
  <c r="BD101" i="5"/>
  <c r="BI101" i="5" s="1"/>
  <c r="BB101" i="5"/>
  <c r="CU101" i="5" s="1"/>
  <c r="BA101" i="5"/>
  <c r="AZ101" i="5"/>
  <c r="AE101" i="5"/>
  <c r="N101" i="5"/>
  <c r="J101" i="5"/>
  <c r="CV100" i="5"/>
  <c r="CS100" i="5"/>
  <c r="BP100" i="5"/>
  <c r="BO100" i="5"/>
  <c r="BJ100" i="5"/>
  <c r="BD100" i="5"/>
  <c r="BI100" i="5" s="1"/>
  <c r="BB100" i="5"/>
  <c r="CU100" i="5" s="1"/>
  <c r="BA100" i="5"/>
  <c r="AZ100" i="5"/>
  <c r="AE100" i="5"/>
  <c r="N100" i="5"/>
  <c r="J100" i="5"/>
  <c r="CV99" i="5"/>
  <c r="CS99" i="5"/>
  <c r="BP99" i="5"/>
  <c r="BO99" i="5"/>
  <c r="BJ99" i="5"/>
  <c r="BD99" i="5"/>
  <c r="BI99" i="5" s="1"/>
  <c r="BB99" i="5"/>
  <c r="CU99" i="5" s="1"/>
  <c r="BA99" i="5"/>
  <c r="AZ99" i="5"/>
  <c r="AE99" i="5"/>
  <c r="N99" i="5"/>
  <c r="J99" i="5"/>
  <c r="CV98" i="5"/>
  <c r="CS98" i="5"/>
  <c r="BP98" i="5"/>
  <c r="BO98" i="5"/>
  <c r="BJ98" i="5"/>
  <c r="BD98" i="5"/>
  <c r="BI98" i="5" s="1"/>
  <c r="BB98" i="5"/>
  <c r="CU98" i="5" s="1"/>
  <c r="BA98" i="5"/>
  <c r="AZ98" i="5"/>
  <c r="AE98" i="5"/>
  <c r="N98" i="5"/>
  <c r="J98" i="5"/>
  <c r="CV97" i="5"/>
  <c r="CS97" i="5"/>
  <c r="BP97" i="5"/>
  <c r="BO97" i="5"/>
  <c r="BJ97" i="5"/>
  <c r="BD97" i="5"/>
  <c r="BI97" i="5" s="1"/>
  <c r="BB97" i="5"/>
  <c r="CU97" i="5" s="1"/>
  <c r="BA97" i="5"/>
  <c r="AZ97" i="5"/>
  <c r="AE97" i="5"/>
  <c r="N97" i="5"/>
  <c r="J97" i="5"/>
  <c r="CV96" i="5"/>
  <c r="CS96" i="5"/>
  <c r="BP96" i="5"/>
  <c r="BO96" i="5"/>
  <c r="BJ96" i="5"/>
  <c r="BI96" i="5"/>
  <c r="BA96" i="5"/>
  <c r="AZ96" i="5"/>
  <c r="BB96" i="5" s="1"/>
  <c r="AE96" i="5"/>
  <c r="N96" i="5"/>
  <c r="J96" i="5"/>
  <c r="CV95" i="5"/>
  <c r="CS95" i="5"/>
  <c r="BX95" i="5"/>
  <c r="BV95" i="5"/>
  <c r="BT95" i="5"/>
  <c r="BA95" i="5" s="1"/>
  <c r="BR95" i="5"/>
  <c r="BP95" i="5"/>
  <c r="BO95" i="5"/>
  <c r="BJ95" i="5"/>
  <c r="BI95" i="5"/>
  <c r="AZ95" i="5"/>
  <c r="N95" i="5"/>
  <c r="J95" i="5"/>
  <c r="CV94" i="5"/>
  <c r="CS94" i="5"/>
  <c r="BX94" i="5"/>
  <c r="BA94" i="5" s="1"/>
  <c r="BV94" i="5"/>
  <c r="BT94" i="5"/>
  <c r="BR94" i="5"/>
  <c r="AZ94" i="5" s="1"/>
  <c r="BP94" i="5"/>
  <c r="BO94" i="5"/>
  <c r="BJ94" i="5"/>
  <c r="BI94" i="5"/>
  <c r="BB94" i="5"/>
  <c r="N94" i="5"/>
  <c r="J94" i="5"/>
  <c r="C94" i="5"/>
  <c r="C95" i="5" s="1"/>
  <c r="C96" i="5" s="1"/>
  <c r="C97" i="5" s="1"/>
  <c r="C98" i="5" s="1"/>
  <c r="C99" i="5" s="1"/>
  <c r="C100" i="5" s="1"/>
  <c r="C101" i="5" s="1"/>
  <c r="C102" i="5" s="1"/>
  <c r="C103" i="5" s="1"/>
  <c r="C104" i="5" s="1"/>
  <c r="C105" i="5" s="1"/>
  <c r="C106" i="5" s="1"/>
  <c r="C107" i="5" s="1"/>
  <c r="C108" i="5" s="1"/>
  <c r="C109" i="5" s="1"/>
  <c r="C110" i="5" s="1"/>
  <c r="C111" i="5" s="1"/>
  <c r="C112" i="5" s="1"/>
  <c r="C113" i="5" s="1"/>
  <c r="C114" i="5" s="1"/>
  <c r="CV93" i="5"/>
  <c r="CS93" i="5"/>
  <c r="BX93" i="5"/>
  <c r="BV93" i="5"/>
  <c r="BT93" i="5"/>
  <c r="BA93" i="5" s="1"/>
  <c r="BR93" i="5"/>
  <c r="BP93" i="5"/>
  <c r="BO93" i="5"/>
  <c r="BJ93" i="5"/>
  <c r="BI93" i="5"/>
  <c r="AZ93" i="5"/>
  <c r="N93" i="5"/>
  <c r="J93" i="5"/>
  <c r="CV92" i="5"/>
  <c r="CU92" i="5"/>
  <c r="CS92" i="5"/>
  <c r="BX92" i="5"/>
  <c r="BV92" i="5"/>
  <c r="AZ92" i="5" s="1"/>
  <c r="BB92" i="5" s="1"/>
  <c r="CT92" i="5" s="1"/>
  <c r="BT92" i="5"/>
  <c r="BR92" i="5"/>
  <c r="BP92" i="5"/>
  <c r="BO92" i="5"/>
  <c r="BJ92" i="5"/>
  <c r="BI92" i="5"/>
  <c r="BA92" i="5"/>
  <c r="N92" i="5"/>
  <c r="J92" i="5"/>
  <c r="CV91" i="5"/>
  <c r="CS91" i="5"/>
  <c r="BX91" i="5"/>
  <c r="BA91" i="5" s="1"/>
  <c r="BV91" i="5"/>
  <c r="BT91" i="5"/>
  <c r="BR91" i="5"/>
  <c r="AZ91" i="5" s="1"/>
  <c r="BB91" i="5" s="1"/>
  <c r="BP91" i="5"/>
  <c r="BO91" i="5"/>
  <c r="BJ91" i="5"/>
  <c r="BI91" i="5"/>
  <c r="N91" i="5"/>
  <c r="J91" i="5"/>
  <c r="CV90" i="5"/>
  <c r="CS90" i="5"/>
  <c r="BP90" i="5"/>
  <c r="BN90" i="5"/>
  <c r="BH90" i="5"/>
  <c r="BD90" i="5"/>
  <c r="BO90" i="5" s="1"/>
  <c r="BB90" i="5"/>
  <c r="BA90" i="5"/>
  <c r="AZ90" i="5"/>
  <c r="N90" i="5"/>
  <c r="J90" i="5"/>
  <c r="CV89" i="5"/>
  <c r="CU89" i="5"/>
  <c r="CT89" i="5"/>
  <c r="CS89" i="5"/>
  <c r="BP89" i="5"/>
  <c r="BO89" i="5"/>
  <c r="BJ89" i="5"/>
  <c r="BI89" i="5"/>
  <c r="BA89" i="5"/>
  <c r="AZ89" i="5"/>
  <c r="BB89" i="5" s="1"/>
  <c r="N89" i="5"/>
  <c r="J89" i="5"/>
  <c r="CV88" i="5"/>
  <c r="CU88" i="5"/>
  <c r="CT88" i="5"/>
  <c r="CS88" i="5"/>
  <c r="BP88" i="5"/>
  <c r="BO88" i="5"/>
  <c r="BJ88" i="5"/>
  <c r="BI88" i="5"/>
  <c r="BB88" i="5"/>
  <c r="BA88" i="5"/>
  <c r="AZ88" i="5"/>
  <c r="N88" i="5"/>
  <c r="J88" i="5"/>
  <c r="CV87" i="5"/>
  <c r="CS87" i="5"/>
  <c r="BN87" i="5"/>
  <c r="BH87" i="5"/>
  <c r="BC87" i="5"/>
  <c r="BD87" i="5" s="1"/>
  <c r="BB87" i="5"/>
  <c r="BA87" i="5"/>
  <c r="AZ87" i="5"/>
  <c r="N87" i="5"/>
  <c r="J87" i="5"/>
  <c r="CV86" i="5"/>
  <c r="CS86" i="5"/>
  <c r="BN86" i="5"/>
  <c r="BB86" i="5"/>
  <c r="BA86" i="5"/>
  <c r="BC86" i="5" s="1"/>
  <c r="AZ86" i="5"/>
  <c r="BH86" i="5" s="1"/>
  <c r="N86" i="5"/>
  <c r="J86" i="5"/>
  <c r="CV85" i="5"/>
  <c r="CS85" i="5"/>
  <c r="BN85" i="5"/>
  <c r="BH85" i="5"/>
  <c r="BC85" i="5"/>
  <c r="BD85" i="5" s="1"/>
  <c r="BB85" i="5"/>
  <c r="BA85" i="5"/>
  <c r="AZ85" i="5"/>
  <c r="N85" i="5"/>
  <c r="J85" i="5"/>
  <c r="CV84" i="5"/>
  <c r="CU84" i="5"/>
  <c r="CT84" i="5"/>
  <c r="CS84" i="5"/>
  <c r="BP84" i="5"/>
  <c r="BO84" i="5"/>
  <c r="BJ84" i="5"/>
  <c r="BI84" i="5"/>
  <c r="BB84" i="5"/>
  <c r="BA84" i="5"/>
  <c r="BC84" i="5" s="1"/>
  <c r="AZ84" i="5"/>
  <c r="N84" i="5"/>
  <c r="J84" i="5"/>
  <c r="CV83" i="5"/>
  <c r="CS83" i="5"/>
  <c r="BP83" i="5"/>
  <c r="BJ83" i="5"/>
  <c r="BA83" i="5"/>
  <c r="AZ83" i="5"/>
  <c r="N83" i="5"/>
  <c r="J83" i="5"/>
  <c r="CV82" i="5"/>
  <c r="CS82" i="5"/>
  <c r="BP82" i="5"/>
  <c r="BJ82" i="5"/>
  <c r="BA82" i="5"/>
  <c r="AZ82" i="5"/>
  <c r="N82" i="5"/>
  <c r="J82" i="5"/>
  <c r="CV81" i="5"/>
  <c r="CS81" i="5"/>
  <c r="CB81" i="5"/>
  <c r="BA81" i="5" s="1"/>
  <c r="BZ81" i="5"/>
  <c r="BP81" i="5"/>
  <c r="BJ81" i="5"/>
  <c r="AZ81" i="5"/>
  <c r="N81" i="5"/>
  <c r="J81" i="5"/>
  <c r="CV80" i="5"/>
  <c r="CU80" i="5"/>
  <c r="CT80" i="5"/>
  <c r="CS80" i="5"/>
  <c r="BP80" i="5"/>
  <c r="BO80" i="5"/>
  <c r="BJ80" i="5"/>
  <c r="BI80" i="5"/>
  <c r="BB80" i="5"/>
  <c r="BA80" i="5"/>
  <c r="AZ80" i="5"/>
  <c r="N80" i="5"/>
  <c r="J80" i="5"/>
  <c r="CV79" i="5"/>
  <c r="CS79" i="5"/>
  <c r="CB79" i="5"/>
  <c r="BZ79" i="5"/>
  <c r="BX79" i="5"/>
  <c r="BV79" i="5"/>
  <c r="AZ79" i="5" s="1"/>
  <c r="BT79" i="5"/>
  <c r="BR79" i="5"/>
  <c r="BA79" i="5"/>
  <c r="BC79" i="5" s="1"/>
  <c r="N79" i="5"/>
  <c r="J79" i="5"/>
  <c r="CV78" i="5"/>
  <c r="CS78" i="5"/>
  <c r="CB78" i="5"/>
  <c r="BZ78" i="5"/>
  <c r="BX78" i="5"/>
  <c r="BA78" i="5" s="1"/>
  <c r="BC78" i="5" s="1"/>
  <c r="BV78" i="5"/>
  <c r="BT78" i="5"/>
  <c r="BR78" i="5"/>
  <c r="AZ78" i="5" s="1"/>
  <c r="N78" i="5"/>
  <c r="J78" i="5"/>
  <c r="CV77" i="5"/>
  <c r="CS77" i="5"/>
  <c r="CB77" i="5"/>
  <c r="BZ77" i="5"/>
  <c r="BX77" i="5"/>
  <c r="BV77" i="5"/>
  <c r="BT77" i="5"/>
  <c r="BR77" i="5"/>
  <c r="BH77" i="5"/>
  <c r="AZ77" i="5"/>
  <c r="N77" i="5"/>
  <c r="J77" i="5"/>
  <c r="CV76" i="5"/>
  <c r="CU76" i="5"/>
  <c r="CT76" i="5"/>
  <c r="CS76" i="5"/>
  <c r="BP76" i="5"/>
  <c r="BO76" i="5"/>
  <c r="BJ76" i="5"/>
  <c r="BI76" i="5"/>
  <c r="BB76" i="5"/>
  <c r="BA76" i="5"/>
  <c r="AZ76" i="5"/>
  <c r="N76" i="5"/>
  <c r="J76" i="5"/>
  <c r="CV75" i="5"/>
  <c r="CS75" i="5"/>
  <c r="BN75" i="5"/>
  <c r="BA75" i="5"/>
  <c r="AZ75" i="5"/>
  <c r="BH75" i="5" s="1"/>
  <c r="N75" i="5"/>
  <c r="J75" i="5"/>
  <c r="C75" i="5"/>
  <c r="C76" i="5" s="1"/>
  <c r="C77" i="5" s="1"/>
  <c r="C78" i="5" s="1"/>
  <c r="C79" i="5" s="1"/>
  <c r="C80" i="5" s="1"/>
  <c r="C81" i="5" s="1"/>
  <c r="C82" i="5" s="1"/>
  <c r="C83" i="5" s="1"/>
  <c r="C84" i="5" s="1"/>
  <c r="C85" i="5" s="1"/>
  <c r="C86" i="5" s="1"/>
  <c r="C87" i="5" s="1"/>
  <c r="C88" i="5" s="1"/>
  <c r="C89" i="5" s="1"/>
  <c r="C90" i="5" s="1"/>
  <c r="CV74" i="5"/>
  <c r="CS74" i="5"/>
  <c r="BN74" i="5"/>
  <c r="BH74" i="5"/>
  <c r="BB74" i="5"/>
  <c r="BA74" i="5"/>
  <c r="BC74" i="5" s="1"/>
  <c r="BD74" i="5" s="1"/>
  <c r="AZ74" i="5"/>
  <c r="N74" i="5"/>
  <c r="J74" i="5"/>
  <c r="CV73" i="5"/>
  <c r="CS73" i="5"/>
  <c r="BN73" i="5"/>
  <c r="BH73" i="5"/>
  <c r="BA73" i="5"/>
  <c r="BC73" i="5" s="1"/>
  <c r="AZ73" i="5"/>
  <c r="N73" i="5"/>
  <c r="J73" i="5"/>
  <c r="C73" i="5"/>
  <c r="C74" i="5" s="1"/>
  <c r="CV72" i="5"/>
  <c r="CS72" i="5"/>
  <c r="BN72" i="5"/>
  <c r="BH72" i="5"/>
  <c r="BA72" i="5"/>
  <c r="AZ72" i="5"/>
  <c r="N72" i="5"/>
  <c r="J72" i="5"/>
  <c r="C72" i="5"/>
  <c r="CV71" i="5"/>
  <c r="CS71" i="5"/>
  <c r="BN71" i="5"/>
  <c r="BH71" i="5"/>
  <c r="BA71" i="5"/>
  <c r="BC71" i="5" s="1"/>
  <c r="AZ71" i="5"/>
  <c r="N71" i="5"/>
  <c r="J71" i="5"/>
  <c r="CV70" i="5"/>
  <c r="CS70" i="5"/>
  <c r="BP70" i="5"/>
  <c r="BO70" i="5"/>
  <c r="BJ70" i="5"/>
  <c r="BI70" i="5"/>
  <c r="BH70" i="5"/>
  <c r="BA70" i="5"/>
  <c r="AZ70" i="5"/>
  <c r="BB70" i="5" s="1"/>
  <c r="N70" i="5"/>
  <c r="J70" i="5"/>
  <c r="CV69" i="5"/>
  <c r="CS69" i="5"/>
  <c r="BX69" i="5"/>
  <c r="BV69" i="5"/>
  <c r="BT69" i="5"/>
  <c r="BA69" i="5" s="1"/>
  <c r="BR69" i="5"/>
  <c r="AZ69" i="5" s="1"/>
  <c r="BD69" i="5" s="1"/>
  <c r="N69" i="5"/>
  <c r="J69" i="5"/>
  <c r="CV68" i="5"/>
  <c r="CU68" i="5"/>
  <c r="CT68" i="5"/>
  <c r="CS68" i="5"/>
  <c r="BP68" i="5"/>
  <c r="BO68" i="5"/>
  <c r="BJ68" i="5"/>
  <c r="BI68" i="5"/>
  <c r="BA68" i="5"/>
  <c r="AZ68" i="5"/>
  <c r="BB68" i="5" s="1"/>
  <c r="N68" i="5"/>
  <c r="J68" i="5"/>
  <c r="CV67" i="5"/>
  <c r="CS67" i="5"/>
  <c r="BH67" i="5"/>
  <c r="BD67" i="5"/>
  <c r="BA67" i="5"/>
  <c r="BC67" i="5" s="1"/>
  <c r="AZ67" i="5"/>
  <c r="BB67" i="5" s="1"/>
  <c r="N67" i="5"/>
  <c r="J67" i="5"/>
  <c r="CV66" i="5"/>
  <c r="CS66" i="5"/>
  <c r="BA66" i="5"/>
  <c r="BC66" i="5" s="1"/>
  <c r="AZ66" i="5"/>
  <c r="N66" i="5"/>
  <c r="J66" i="5"/>
  <c r="CV65" i="5"/>
  <c r="CS65" i="5"/>
  <c r="BH65" i="5"/>
  <c r="BD65" i="5"/>
  <c r="BA65" i="5"/>
  <c r="BC65" i="5" s="1"/>
  <c r="AZ65" i="5"/>
  <c r="BB65" i="5" s="1"/>
  <c r="N65" i="5"/>
  <c r="J65" i="5"/>
  <c r="CV64" i="5"/>
  <c r="CU64" i="5"/>
  <c r="CT64" i="5"/>
  <c r="CS64" i="5"/>
  <c r="BP64" i="5"/>
  <c r="BO64" i="5"/>
  <c r="BJ64" i="5"/>
  <c r="BI64" i="5"/>
  <c r="BB64" i="5"/>
  <c r="BA64" i="5"/>
  <c r="AZ64" i="5"/>
  <c r="N64" i="5"/>
  <c r="J64" i="5"/>
  <c r="CV63" i="5"/>
  <c r="CS63" i="5"/>
  <c r="BP63" i="5"/>
  <c r="BO63" i="5"/>
  <c r="BN63" i="5"/>
  <c r="BJ63" i="5"/>
  <c r="BI63" i="5"/>
  <c r="BH63" i="5"/>
  <c r="BB63" i="5"/>
  <c r="CU63" i="5" s="1"/>
  <c r="BA63" i="5"/>
  <c r="N63" i="5"/>
  <c r="J63" i="5"/>
  <c r="CV62" i="5"/>
  <c r="CU62" i="5"/>
  <c r="CT62" i="5"/>
  <c r="CS62" i="5"/>
  <c r="BP62" i="5"/>
  <c r="BJ62" i="5"/>
  <c r="BO62" i="5" s="1"/>
  <c r="BI62" i="5"/>
  <c r="BB62" i="5"/>
  <c r="N62" i="5"/>
  <c r="J62" i="5"/>
  <c r="CV61" i="5"/>
  <c r="CS61" i="5"/>
  <c r="BP61" i="5"/>
  <c r="BO61" i="5"/>
  <c r="BJ61" i="5"/>
  <c r="BI61" i="5"/>
  <c r="BA61" i="5"/>
  <c r="AZ61" i="5"/>
  <c r="N61" i="5"/>
  <c r="J61" i="5"/>
  <c r="CV60" i="5"/>
  <c r="CS60" i="5"/>
  <c r="BP60" i="5"/>
  <c r="BO60" i="5"/>
  <c r="BJ60" i="5"/>
  <c r="BI60" i="5"/>
  <c r="BB60" i="5"/>
  <c r="BA60" i="5"/>
  <c r="AZ60" i="5"/>
  <c r="N60" i="5"/>
  <c r="J60" i="5"/>
  <c r="CV59" i="5"/>
  <c r="CS59" i="5"/>
  <c r="BP59" i="5"/>
  <c r="BO59" i="5"/>
  <c r="BJ59" i="5"/>
  <c r="BI59" i="5"/>
  <c r="BA59" i="5"/>
  <c r="BB59" i="5" s="1"/>
  <c r="AZ59" i="5"/>
  <c r="N59" i="5"/>
  <c r="J59" i="5"/>
  <c r="B59" i="5"/>
  <c r="B60" i="5" s="1"/>
  <c r="CV58" i="5"/>
  <c r="CS58" i="5"/>
  <c r="BP58" i="5"/>
  <c r="BO58" i="5"/>
  <c r="BJ58" i="5"/>
  <c r="BI58" i="5"/>
  <c r="BA58" i="5"/>
  <c r="AZ58" i="5"/>
  <c r="N58" i="5"/>
  <c r="J58" i="5"/>
  <c r="CV57" i="5"/>
  <c r="CS57" i="5"/>
  <c r="BP57" i="5"/>
  <c r="BO57" i="5"/>
  <c r="BJ57" i="5"/>
  <c r="BI57" i="5"/>
  <c r="BB57" i="5"/>
  <c r="BA57" i="5"/>
  <c r="AZ57" i="5"/>
  <c r="N57" i="5"/>
  <c r="J57" i="5"/>
  <c r="CV56" i="5"/>
  <c r="CS56" i="5"/>
  <c r="CB56" i="5"/>
  <c r="BZ56" i="5"/>
  <c r="BX56" i="5"/>
  <c r="BV56" i="5"/>
  <c r="AZ56" i="5" s="1"/>
  <c r="BT56" i="5"/>
  <c r="BR56" i="5"/>
  <c r="N56" i="5"/>
  <c r="J56" i="5"/>
  <c r="CV55" i="5"/>
  <c r="CS55" i="5"/>
  <c r="BJ55" i="5"/>
  <c r="BD55" i="5"/>
  <c r="BI55" i="5" s="1"/>
  <c r="BA55" i="5"/>
  <c r="BC55" i="5" s="1"/>
  <c r="AZ55" i="5"/>
  <c r="BB55" i="5" s="1"/>
  <c r="N55" i="5"/>
  <c r="J55" i="5"/>
  <c r="CV54" i="5"/>
  <c r="CS54" i="5"/>
  <c r="BP54" i="5"/>
  <c r="BO54" i="5"/>
  <c r="BJ54" i="5"/>
  <c r="BI54" i="5"/>
  <c r="BB54" i="5"/>
  <c r="BA54" i="5"/>
  <c r="AZ54" i="5"/>
  <c r="N54" i="5"/>
  <c r="J54" i="5"/>
  <c r="CV53" i="5"/>
  <c r="CS53" i="5"/>
  <c r="BP53" i="5"/>
  <c r="BO53" i="5"/>
  <c r="BJ53" i="5"/>
  <c r="BI53" i="5"/>
  <c r="BB53" i="5"/>
  <c r="BA53" i="5"/>
  <c r="AZ53" i="5"/>
  <c r="BH53" i="5" s="1"/>
  <c r="N53" i="5"/>
  <c r="J53" i="5"/>
  <c r="CV52" i="5"/>
  <c r="CT52" i="5"/>
  <c r="CS52" i="5"/>
  <c r="BP52" i="5"/>
  <c r="BO52" i="5"/>
  <c r="BJ52" i="5"/>
  <c r="BI52" i="5"/>
  <c r="BA52" i="5"/>
  <c r="AZ52" i="5"/>
  <c r="BB52" i="5" s="1"/>
  <c r="CU52" i="5" s="1"/>
  <c r="N52" i="5"/>
  <c r="J52" i="5"/>
  <c r="CV51" i="5"/>
  <c r="CS51" i="5"/>
  <c r="BJ51" i="5"/>
  <c r="BH51" i="5"/>
  <c r="BA51" i="5"/>
  <c r="BC51" i="5" s="1"/>
  <c r="AZ51" i="5"/>
  <c r="BD51" i="5" s="1"/>
  <c r="BI51" i="5" s="1"/>
  <c r="N51" i="5"/>
  <c r="J51" i="5"/>
  <c r="CV50" i="5"/>
  <c r="CS50" i="5"/>
  <c r="BP50" i="5"/>
  <c r="BO50" i="5"/>
  <c r="BJ50" i="5"/>
  <c r="BI50" i="5"/>
  <c r="BA50" i="5"/>
  <c r="AZ50" i="5"/>
  <c r="BB50" i="5" s="1"/>
  <c r="N50" i="5"/>
  <c r="J50" i="5"/>
  <c r="CV49" i="5"/>
  <c r="CS49" i="5"/>
  <c r="BC49" i="5"/>
  <c r="BA49" i="5"/>
  <c r="AZ49" i="5"/>
  <c r="N49" i="5"/>
  <c r="J49" i="5"/>
  <c r="CV48" i="5"/>
  <c r="CS48" i="5"/>
  <c r="BP48" i="5"/>
  <c r="BO48" i="5"/>
  <c r="BJ48" i="5"/>
  <c r="BI48" i="5"/>
  <c r="BA48" i="5"/>
  <c r="AZ48" i="5"/>
  <c r="BB48" i="5" s="1"/>
  <c r="CT48" i="5" s="1"/>
  <c r="N48" i="5"/>
  <c r="J48" i="5"/>
  <c r="C48" i="5"/>
  <c r="C49" i="5" s="1"/>
  <c r="C50" i="5" s="1"/>
  <c r="C51" i="5" s="1"/>
  <c r="C52" i="5" s="1"/>
  <c r="C53" i="5" s="1"/>
  <c r="C54" i="5" s="1"/>
  <c r="C55" i="5" s="1"/>
  <c r="C56" i="5" s="1"/>
  <c r="C57" i="5" s="1"/>
  <c r="C58" i="5" s="1"/>
  <c r="C59" i="5" s="1"/>
  <c r="C60" i="5" s="1"/>
  <c r="C61" i="5" s="1"/>
  <c r="C62" i="5" s="1"/>
  <c r="C63" i="5" s="1"/>
  <c r="C64" i="5" s="1"/>
  <c r="C65" i="5" s="1"/>
  <c r="C66" i="5" s="1"/>
  <c r="C67" i="5" s="1"/>
  <c r="C68" i="5" s="1"/>
  <c r="C69" i="5" s="1"/>
  <c r="C70" i="5" s="1"/>
  <c r="CV47" i="5"/>
  <c r="CS47" i="5"/>
  <c r="BJ47" i="5"/>
  <c r="BC47" i="5"/>
  <c r="BD47" i="5" s="1"/>
  <c r="BI47" i="5" s="1"/>
  <c r="BA47" i="5"/>
  <c r="AZ47" i="5"/>
  <c r="BB47" i="5" s="1"/>
  <c r="N47" i="5"/>
  <c r="J47" i="5"/>
  <c r="CV46" i="5"/>
  <c r="CS46" i="5"/>
  <c r="BC46" i="5"/>
  <c r="BA46" i="5"/>
  <c r="AZ46" i="5"/>
  <c r="N46" i="5"/>
  <c r="J46" i="5"/>
  <c r="CV45" i="5"/>
  <c r="CS45" i="5"/>
  <c r="BP45" i="5"/>
  <c r="BO45" i="5"/>
  <c r="BJ45" i="5"/>
  <c r="BI45" i="5"/>
  <c r="BA45" i="5"/>
  <c r="AZ45" i="5"/>
  <c r="BB45" i="5" s="1"/>
  <c r="N45" i="5"/>
  <c r="J45" i="5"/>
  <c r="C45" i="5"/>
  <c r="C46" i="5" s="1"/>
  <c r="C47" i="5" s="1"/>
  <c r="CV44" i="5"/>
  <c r="CS44" i="5"/>
  <c r="BH44" i="5"/>
  <c r="BA44" i="5"/>
  <c r="BC44" i="5" s="1"/>
  <c r="BD44" i="5" s="1"/>
  <c r="AZ44" i="5"/>
  <c r="BN44" i="5" s="1"/>
  <c r="N44" i="5"/>
  <c r="J44" i="5"/>
  <c r="CV43" i="5"/>
  <c r="CS43" i="5"/>
  <c r="BT43" i="5"/>
  <c r="BP43" i="5"/>
  <c r="BO43" i="5"/>
  <c r="BJ43" i="5"/>
  <c r="BI43" i="5"/>
  <c r="BA43" i="5"/>
  <c r="AZ43" i="5"/>
  <c r="N43" i="5"/>
  <c r="J43" i="5"/>
  <c r="CV42" i="5"/>
  <c r="CS42" i="5"/>
  <c r="BT42" i="5"/>
  <c r="BN42" i="5"/>
  <c r="BH42" i="5"/>
  <c r="BA42" i="5"/>
  <c r="BC42" i="5" s="1"/>
  <c r="AZ42" i="5"/>
  <c r="BD42" i="5" s="1"/>
  <c r="N42" i="5"/>
  <c r="J42" i="5"/>
  <c r="CV41" i="5"/>
  <c r="CS41" i="5"/>
  <c r="BJ41" i="5"/>
  <c r="BC41" i="5"/>
  <c r="BD41" i="5" s="1"/>
  <c r="BI41" i="5" s="1"/>
  <c r="BA41" i="5"/>
  <c r="AZ41" i="5"/>
  <c r="BB41" i="5" s="1"/>
  <c r="N41" i="5"/>
  <c r="J41" i="5"/>
  <c r="CV40" i="5"/>
  <c r="CS40" i="5"/>
  <c r="BJ40" i="5"/>
  <c r="BH40" i="5"/>
  <c r="BB40" i="5"/>
  <c r="BA40" i="5"/>
  <c r="BC40" i="5" s="1"/>
  <c r="BD40" i="5" s="1"/>
  <c r="BI40" i="5" s="1"/>
  <c r="AZ40" i="5"/>
  <c r="BN40" i="5" s="1"/>
  <c r="N40" i="5"/>
  <c r="J40" i="5"/>
  <c r="CV39" i="5"/>
  <c r="CU39" i="5"/>
  <c r="CT39" i="5"/>
  <c r="CS39" i="5"/>
  <c r="BT39" i="5"/>
  <c r="BR39" i="5"/>
  <c r="BP39" i="5"/>
  <c r="BO39" i="5"/>
  <c r="BJ39" i="5"/>
  <c r="BI39" i="5"/>
  <c r="BB39" i="5"/>
  <c r="BA39" i="5"/>
  <c r="AZ39" i="5"/>
  <c r="N39" i="5"/>
  <c r="J39" i="5"/>
  <c r="CV38" i="5"/>
  <c r="CU38" i="5"/>
  <c r="CT38" i="5"/>
  <c r="CS38" i="5"/>
  <c r="BZ38" i="5"/>
  <c r="BV38" i="5"/>
  <c r="BT38" i="5"/>
  <c r="BA38" i="5" s="1"/>
  <c r="BR38" i="5"/>
  <c r="AZ38" i="5" s="1"/>
  <c r="BB38" i="5" s="1"/>
  <c r="BP38" i="5"/>
  <c r="BO38" i="5"/>
  <c r="BJ38" i="5"/>
  <c r="BI38" i="5"/>
  <c r="N38" i="5"/>
  <c r="J38" i="5"/>
  <c r="CV37" i="5"/>
  <c r="CS37" i="5"/>
  <c r="BP37" i="5"/>
  <c r="BJ37" i="5"/>
  <c r="BA37" i="5"/>
  <c r="AZ37" i="5"/>
  <c r="BB37" i="5" s="1"/>
  <c r="CT37" i="5" s="1"/>
  <c r="N37" i="5"/>
  <c r="J37" i="5"/>
  <c r="CV36" i="5"/>
  <c r="CS36" i="5"/>
  <c r="BP36" i="5"/>
  <c r="BO36" i="5"/>
  <c r="BJ36" i="5"/>
  <c r="BI36" i="5"/>
  <c r="BA36" i="5"/>
  <c r="AZ36" i="5"/>
  <c r="BB36" i="5" s="1"/>
  <c r="CT36" i="5" s="1"/>
  <c r="N36" i="5"/>
  <c r="J36" i="5"/>
  <c r="CV35" i="5"/>
  <c r="CS35" i="5"/>
  <c r="BD35" i="5"/>
  <c r="BB35" i="5"/>
  <c r="BA35" i="5"/>
  <c r="AZ35" i="5"/>
  <c r="N35" i="5"/>
  <c r="J35" i="5"/>
  <c r="CV34" i="5"/>
  <c r="CS34" i="5"/>
  <c r="BN34" i="5"/>
  <c r="BH34" i="5"/>
  <c r="BB34" i="5"/>
  <c r="BA34" i="5"/>
  <c r="BC34" i="5" s="1"/>
  <c r="AZ34" i="5"/>
  <c r="BD34" i="5" s="1"/>
  <c r="N34" i="5"/>
  <c r="J34" i="5"/>
  <c r="CV33" i="5"/>
  <c r="CS33" i="5"/>
  <c r="BP33" i="5"/>
  <c r="BO33" i="5"/>
  <c r="BJ33" i="5"/>
  <c r="BI33" i="5"/>
  <c r="BA33" i="5"/>
  <c r="AZ33" i="5"/>
  <c r="BB33" i="5" s="1"/>
  <c r="CU33" i="5" s="1"/>
  <c r="N33" i="5"/>
  <c r="J33" i="5"/>
  <c r="CV32" i="5"/>
  <c r="CS32" i="5"/>
  <c r="BD32" i="5"/>
  <c r="BA32" i="5"/>
  <c r="BC32" i="5" s="1"/>
  <c r="AZ32" i="5"/>
  <c r="N32" i="5"/>
  <c r="J32" i="5"/>
  <c r="CV31" i="5"/>
  <c r="CS31" i="5"/>
  <c r="BH31" i="5"/>
  <c r="BD31" i="5"/>
  <c r="BA31" i="5"/>
  <c r="BC31" i="5" s="1"/>
  <c r="AZ31" i="5"/>
  <c r="N31" i="5"/>
  <c r="J31" i="5"/>
  <c r="CV30" i="5"/>
  <c r="CS30" i="5"/>
  <c r="BD30" i="5"/>
  <c r="BA30" i="5"/>
  <c r="BC30" i="5" s="1"/>
  <c r="AZ30" i="5"/>
  <c r="N30" i="5"/>
  <c r="J30" i="5"/>
  <c r="CV29" i="5"/>
  <c r="CS29" i="5"/>
  <c r="BP29" i="5"/>
  <c r="BO29" i="5"/>
  <c r="BJ29" i="5"/>
  <c r="BI29" i="5"/>
  <c r="BB29" i="5"/>
  <c r="BA29" i="5"/>
  <c r="AZ29" i="5"/>
  <c r="N29" i="5"/>
  <c r="J29" i="5"/>
  <c r="CV28" i="5"/>
  <c r="CS28" i="5"/>
  <c r="BP28" i="5"/>
  <c r="BO28" i="5"/>
  <c r="BJ28" i="5"/>
  <c r="BI28" i="5"/>
  <c r="BA28" i="5"/>
  <c r="AZ28" i="5"/>
  <c r="BB28" i="5" s="1"/>
  <c r="N28" i="5"/>
  <c r="J28" i="5"/>
  <c r="CV27" i="5"/>
  <c r="CS27" i="5"/>
  <c r="BA27" i="5"/>
  <c r="BC27" i="5" s="1"/>
  <c r="AZ27" i="5"/>
  <c r="N27" i="5"/>
  <c r="J27" i="5"/>
  <c r="CV26" i="5"/>
  <c r="CS26" i="5"/>
  <c r="BA26" i="5"/>
  <c r="BC26" i="5" s="1"/>
  <c r="AZ26" i="5"/>
  <c r="N26" i="5"/>
  <c r="J26" i="5"/>
  <c r="CV25" i="5"/>
  <c r="CS25" i="5"/>
  <c r="BT25" i="5"/>
  <c r="BR25" i="5"/>
  <c r="AZ25" i="5" s="1"/>
  <c r="BN25" i="5"/>
  <c r="BC25" i="5"/>
  <c r="BA25" i="5"/>
  <c r="N25" i="5"/>
  <c r="J25" i="5"/>
  <c r="CV24" i="5"/>
  <c r="CS24" i="5"/>
  <c r="BT24" i="5"/>
  <c r="BA24" i="5" s="1"/>
  <c r="BC24" i="5" s="1"/>
  <c r="BD24" i="5" s="1"/>
  <c r="BR24" i="5"/>
  <c r="AZ24" i="5"/>
  <c r="N24" i="5"/>
  <c r="J24" i="5"/>
  <c r="CV23" i="5"/>
  <c r="CS23" i="5"/>
  <c r="CB23" i="5"/>
  <c r="BZ23" i="5"/>
  <c r="AZ23" i="5" s="1"/>
  <c r="BX23" i="5"/>
  <c r="BV23" i="5"/>
  <c r="BT23" i="5"/>
  <c r="BR23" i="5"/>
  <c r="BN23" i="5"/>
  <c r="BA23" i="5"/>
  <c r="N23" i="5"/>
  <c r="J23" i="5"/>
  <c r="CV22" i="5"/>
  <c r="CU22" i="5"/>
  <c r="CT22" i="5"/>
  <c r="CS22" i="5"/>
  <c r="BP22" i="5"/>
  <c r="BO22" i="5"/>
  <c r="BJ22" i="5"/>
  <c r="BI22" i="5"/>
  <c r="BC22" i="5"/>
  <c r="BA22" i="5"/>
  <c r="AZ22" i="5"/>
  <c r="BB22" i="5" s="1"/>
  <c r="N22" i="5"/>
  <c r="J22" i="5"/>
  <c r="CV21" i="5"/>
  <c r="CU21" i="5"/>
  <c r="CT21" i="5"/>
  <c r="CS21" i="5"/>
  <c r="BP21" i="5"/>
  <c r="BO21" i="5"/>
  <c r="BJ21" i="5"/>
  <c r="BI21" i="5"/>
  <c r="BB21" i="5"/>
  <c r="BA21" i="5"/>
  <c r="BC21" i="5" s="1"/>
  <c r="AZ21" i="5"/>
  <c r="N21" i="5"/>
  <c r="J21" i="5"/>
  <c r="CV20" i="5"/>
  <c r="CU20" i="5"/>
  <c r="CT20" i="5"/>
  <c r="CS20" i="5"/>
  <c r="BP20" i="5"/>
  <c r="BO20" i="5"/>
  <c r="BJ20" i="5"/>
  <c r="BI20" i="5"/>
  <c r="BA20" i="5"/>
  <c r="BC20" i="5" s="1"/>
  <c r="AZ20" i="5"/>
  <c r="BB20" i="5" s="1"/>
  <c r="N20" i="5"/>
  <c r="J20" i="5"/>
  <c r="CV19" i="5"/>
  <c r="CU19" i="5"/>
  <c r="CT19" i="5"/>
  <c r="CS19" i="5"/>
  <c r="BP19" i="5"/>
  <c r="BO19" i="5"/>
  <c r="BJ19" i="5"/>
  <c r="BI19" i="5"/>
  <c r="BA19" i="5"/>
  <c r="BC19" i="5" s="1"/>
  <c r="AZ19" i="5"/>
  <c r="BB19" i="5" s="1"/>
  <c r="N19" i="5"/>
  <c r="J19" i="5"/>
  <c r="CV18" i="5"/>
  <c r="CS18" i="5"/>
  <c r="BD18" i="5"/>
  <c r="BA18" i="5"/>
  <c r="BC18" i="5" s="1"/>
  <c r="AZ18" i="5"/>
  <c r="N18" i="5"/>
  <c r="J18" i="5"/>
  <c r="CV17" i="5"/>
  <c r="CS17" i="5"/>
  <c r="BJ17" i="5"/>
  <c r="BH17" i="5"/>
  <c r="BA17" i="5"/>
  <c r="BC17" i="5" s="1"/>
  <c r="AZ17" i="5"/>
  <c r="BD17" i="5" s="1"/>
  <c r="N17" i="5"/>
  <c r="J17" i="5"/>
  <c r="CV16" i="5"/>
  <c r="CU16" i="5"/>
  <c r="CT16" i="5"/>
  <c r="CS16" i="5"/>
  <c r="BP16" i="5"/>
  <c r="BO16" i="5"/>
  <c r="BJ16" i="5"/>
  <c r="BI16" i="5"/>
  <c r="BA16" i="5"/>
  <c r="AZ16" i="5"/>
  <c r="BB16" i="5" s="1"/>
  <c r="N16" i="5"/>
  <c r="J16" i="5"/>
  <c r="CV15" i="5"/>
  <c r="CS15" i="5"/>
  <c r="BT15" i="5"/>
  <c r="BA15" i="5" s="1"/>
  <c r="BR15" i="5"/>
  <c r="AZ15" i="5" s="1"/>
  <c r="BP15" i="5"/>
  <c r="BO15" i="5"/>
  <c r="BJ15" i="5"/>
  <c r="BI15" i="5"/>
  <c r="N15" i="5"/>
  <c r="J15" i="5"/>
  <c r="CV14" i="5"/>
  <c r="CU14" i="5"/>
  <c r="CT14" i="5"/>
  <c r="CS14" i="5"/>
  <c r="BZ14" i="5"/>
  <c r="BV14" i="5"/>
  <c r="BT14" i="5"/>
  <c r="BA14" i="5" s="1"/>
  <c r="BR14" i="5"/>
  <c r="BP14" i="5"/>
  <c r="BO14" i="5"/>
  <c r="BJ14" i="5"/>
  <c r="AZ14" i="5"/>
  <c r="BB14" i="5" s="1"/>
  <c r="N14" i="5"/>
  <c r="J14" i="5"/>
  <c r="CV13" i="5"/>
  <c r="CS13" i="5"/>
  <c r="BJ13" i="5"/>
  <c r="BH13" i="5"/>
  <c r="BB13" i="5"/>
  <c r="BA13" i="5"/>
  <c r="BC13" i="5" s="1"/>
  <c r="BD13" i="5" s="1"/>
  <c r="AZ13" i="5"/>
  <c r="BN13" i="5" s="1"/>
  <c r="N13" i="5"/>
  <c r="J13" i="5"/>
  <c r="CV12" i="5"/>
  <c r="CS12" i="5"/>
  <c r="BP12" i="5"/>
  <c r="BO12" i="5"/>
  <c r="BJ12" i="5"/>
  <c r="BI12" i="5"/>
  <c r="BA12" i="5"/>
  <c r="AZ12" i="5"/>
  <c r="BB12" i="5" s="1"/>
  <c r="N12" i="5"/>
  <c r="J12" i="5"/>
  <c r="CV11" i="5"/>
  <c r="CS11" i="5"/>
  <c r="BP11" i="5"/>
  <c r="BO11" i="5"/>
  <c r="BJ11" i="5"/>
  <c r="BI11" i="5"/>
  <c r="BA11" i="5"/>
  <c r="AZ11" i="5"/>
  <c r="N11" i="5"/>
  <c r="J11" i="5"/>
  <c r="CV10" i="5"/>
  <c r="CS10" i="5"/>
  <c r="BP10" i="5"/>
  <c r="BO10" i="5"/>
  <c r="BJ10" i="5"/>
  <c r="BI10" i="5"/>
  <c r="BB10" i="5"/>
  <c r="CU10" i="5" s="1"/>
  <c r="BA10" i="5"/>
  <c r="AZ10" i="5"/>
  <c r="N10" i="5"/>
  <c r="J10" i="5"/>
  <c r="CV9" i="5"/>
  <c r="CS9" i="5"/>
  <c r="BC9" i="5"/>
  <c r="BA9" i="5"/>
  <c r="AZ9" i="5"/>
  <c r="N9" i="5"/>
  <c r="J9" i="5"/>
  <c r="CV8" i="5"/>
  <c r="CS8" i="5"/>
  <c r="BP8" i="5"/>
  <c r="BO8" i="5"/>
  <c r="BJ8" i="5"/>
  <c r="BA8" i="5"/>
  <c r="BD8" i="5" s="1"/>
  <c r="BI8" i="5" s="1"/>
  <c r="AZ8" i="5"/>
  <c r="N8" i="5"/>
  <c r="J8" i="5"/>
  <c r="CV7" i="5"/>
  <c r="CU7" i="5"/>
  <c r="CT7" i="5"/>
  <c r="CS7" i="5"/>
  <c r="BZ7" i="5"/>
  <c r="BV7" i="5"/>
  <c r="BT7" i="5"/>
  <c r="BR7" i="5"/>
  <c r="BP7" i="5"/>
  <c r="BO7" i="5"/>
  <c r="BJ7" i="5"/>
  <c r="BI7" i="5"/>
  <c r="BA7" i="5"/>
  <c r="AZ7" i="5"/>
  <c r="N7" i="5"/>
  <c r="J7" i="5"/>
  <c r="CV6" i="5"/>
  <c r="CS6" i="5"/>
  <c r="BH6" i="5"/>
  <c r="BA6" i="5"/>
  <c r="AZ6" i="5"/>
  <c r="N6" i="5"/>
  <c r="J6" i="5"/>
  <c r="CV5" i="5"/>
  <c r="CS5" i="5"/>
  <c r="BC5" i="5"/>
  <c r="BD5" i="5" s="1"/>
  <c r="BA5" i="5"/>
  <c r="AZ5" i="5"/>
  <c r="N5" i="5"/>
  <c r="J5" i="5"/>
  <c r="CV4" i="5"/>
  <c r="CU4" i="5"/>
  <c r="CT4" i="5"/>
  <c r="CS4" i="5"/>
  <c r="BP4" i="5"/>
  <c r="BO4" i="5"/>
  <c r="BJ4" i="5"/>
  <c r="BI4" i="5"/>
  <c r="BA4" i="5"/>
  <c r="BB4" i="5" s="1"/>
  <c r="AZ4" i="5"/>
  <c r="N4" i="5"/>
  <c r="J4" i="5"/>
  <c r="CV3" i="5"/>
  <c r="CS3" i="5"/>
  <c r="BN3" i="5"/>
  <c r="BH3" i="5"/>
  <c r="BC3" i="5"/>
  <c r="BB3" i="5"/>
  <c r="BA3" i="5"/>
  <c r="AZ3" i="5"/>
  <c r="N3" i="5"/>
  <c r="J3" i="5"/>
  <c r="C3" i="5"/>
  <c r="C4" i="5" s="1"/>
  <c r="C5" i="5" s="1"/>
  <c r="C6" i="5" s="1"/>
  <c r="C7" i="5" s="1"/>
  <c r="C8" i="5" s="1"/>
  <c r="C9" i="5" s="1"/>
  <c r="C10" i="5" s="1"/>
  <c r="C11" i="5" s="1"/>
  <c r="C12" i="5" s="1"/>
  <c r="C13" i="5" s="1"/>
  <c r="C14" i="5" s="1"/>
  <c r="C15" i="5" s="1"/>
  <c r="C16" i="5" s="1"/>
  <c r="C17" i="5" s="1"/>
  <c r="C18" i="5" s="1"/>
  <c r="C19" i="5" s="1"/>
  <c r="C20" i="5" s="1"/>
  <c r="C21" i="5" s="1"/>
  <c r="C22" i="5" s="1"/>
  <c r="C23" i="5" s="1"/>
  <c r="C24" i="5" s="1"/>
  <c r="C25" i="5" s="1"/>
  <c r="C26" i="5" s="1"/>
  <c r="C27" i="5" s="1"/>
  <c r="C28" i="5" s="1"/>
  <c r="C29" i="5" s="1"/>
  <c r="C30" i="5" s="1"/>
  <c r="C31" i="5" s="1"/>
  <c r="C32" i="5" s="1"/>
  <c r="C33" i="5" s="1"/>
  <c r="C34" i="5" s="1"/>
  <c r="C35" i="5" s="1"/>
  <c r="C36" i="5" s="1"/>
  <c r="C37" i="5" s="1"/>
  <c r="C38" i="5" s="1"/>
  <c r="C39" i="5" s="1"/>
  <c r="C40" i="5" s="1"/>
  <c r="C41" i="5" s="1"/>
  <c r="C42" i="5" s="1"/>
  <c r="C43" i="5" s="1"/>
  <c r="C44" i="5" s="1"/>
  <c r="CV2" i="5"/>
  <c r="CS2" i="5"/>
  <c r="BA2" i="5"/>
  <c r="AZ2" i="5"/>
  <c r="N2" i="5"/>
  <c r="J2" i="5"/>
  <c r="E267" i="4"/>
  <c r="E266" i="4"/>
  <c r="F265" i="4"/>
  <c r="E265" i="4"/>
  <c r="E264" i="4"/>
  <c r="E263" i="4"/>
  <c r="F261" i="4"/>
  <c r="F260" i="4"/>
  <c r="H253" i="4"/>
  <c r="G253" i="4"/>
  <c r="D253" i="4"/>
  <c r="D243" i="4"/>
  <c r="D242" i="4"/>
  <c r="D241" i="4"/>
  <c r="D240" i="4"/>
  <c r="D236" i="4"/>
  <c r="K230" i="4"/>
  <c r="K229" i="4"/>
  <c r="K228" i="4"/>
  <c r="K222" i="4"/>
  <c r="K217" i="4"/>
  <c r="K215" i="4"/>
  <c r="K214" i="4"/>
  <c r="K213" i="4"/>
  <c r="K212" i="4"/>
  <c r="K211" i="4"/>
  <c r="K210" i="4"/>
  <c r="K209" i="4"/>
  <c r="K208" i="4"/>
  <c r="I208" i="4"/>
  <c r="K207" i="4"/>
  <c r="K206" i="4"/>
  <c r="K205" i="4"/>
  <c r="K204" i="4"/>
  <c r="K203" i="4"/>
  <c r="K202" i="4"/>
  <c r="K201" i="4"/>
  <c r="K200" i="4"/>
  <c r="K199" i="4"/>
  <c r="K198" i="4"/>
  <c r="K197" i="4"/>
  <c r="K196" i="4"/>
  <c r="K195" i="4"/>
  <c r="K194" i="4"/>
  <c r="K193" i="4"/>
  <c r="K192" i="4"/>
  <c r="K191" i="4"/>
  <c r="K190" i="4"/>
  <c r="K189" i="4"/>
  <c r="K188" i="4"/>
  <c r="K187" i="4"/>
  <c r="K185" i="4"/>
  <c r="K184" i="4"/>
  <c r="K183" i="4"/>
  <c r="K178" i="4"/>
  <c r="K174" i="4"/>
  <c r="K172" i="4"/>
  <c r="K171" i="4"/>
  <c r="K170" i="4"/>
  <c r="K169" i="4"/>
  <c r="K168" i="4"/>
  <c r="K167" i="4"/>
  <c r="K166" i="4"/>
  <c r="K165" i="4"/>
  <c r="I165" i="4"/>
  <c r="K164" i="4"/>
  <c r="K163" i="4"/>
  <c r="K162" i="4"/>
  <c r="K161" i="4"/>
  <c r="K160" i="4"/>
  <c r="K159" i="4"/>
  <c r="K158" i="4"/>
  <c r="K157" i="4"/>
  <c r="K156" i="4"/>
  <c r="K155" i="4"/>
  <c r="K154" i="4"/>
  <c r="K153" i="4"/>
  <c r="K152" i="4"/>
  <c r="K151" i="4"/>
  <c r="K150" i="4"/>
  <c r="K149" i="4"/>
  <c r="K148" i="4"/>
  <c r="K147" i="4"/>
  <c r="K146" i="4"/>
  <c r="K145" i="4"/>
  <c r="K144" i="4"/>
  <c r="K143" i="4"/>
  <c r="K140" i="4"/>
  <c r="K138" i="4"/>
  <c r="K136" i="4"/>
  <c r="K133" i="4"/>
  <c r="K132" i="4"/>
  <c r="K129" i="4"/>
  <c r="K128" i="4"/>
  <c r="K127" i="4"/>
  <c r="I127" i="4"/>
  <c r="K126" i="4"/>
  <c r="K125" i="4"/>
  <c r="K124" i="4"/>
  <c r="I123" i="4"/>
  <c r="K123" i="4" s="1"/>
  <c r="I122" i="4"/>
  <c r="K122" i="4" s="1"/>
  <c r="K121" i="4"/>
  <c r="I121" i="4"/>
  <c r="K120" i="4"/>
  <c r="K119" i="4"/>
  <c r="K118" i="4"/>
  <c r="K117" i="4"/>
  <c r="K116" i="4"/>
  <c r="K115" i="4"/>
  <c r="I114" i="4"/>
  <c r="K114" i="4" s="1"/>
  <c r="I113" i="4"/>
  <c r="K113" i="4" s="1"/>
  <c r="K112" i="4"/>
  <c r="K111" i="4"/>
  <c r="K110" i="4"/>
  <c r="K109" i="4"/>
  <c r="K108" i="4"/>
  <c r="I107" i="4"/>
  <c r="K107" i="4" s="1"/>
  <c r="K106" i="4"/>
  <c r="A106" i="4"/>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K105" i="4"/>
  <c r="A105" i="4"/>
  <c r="K104" i="4"/>
  <c r="K101" i="4"/>
  <c r="K96" i="4"/>
  <c r="G96" i="4"/>
  <c r="K95" i="4"/>
  <c r="G95" i="4"/>
  <c r="G94" i="4"/>
  <c r="K94" i="4" s="1"/>
  <c r="G93" i="4"/>
  <c r="K93" i="4" s="1"/>
  <c r="G92" i="4"/>
  <c r="K92" i="4" s="1"/>
  <c r="K91" i="4"/>
  <c r="G91" i="4"/>
  <c r="G90" i="4"/>
  <c r="K90" i="4" s="1"/>
  <c r="K89" i="4"/>
  <c r="G89" i="4"/>
  <c r="K88" i="4"/>
  <c r="G88" i="4"/>
  <c r="K87" i="4"/>
  <c r="G87" i="4"/>
  <c r="G86" i="4"/>
  <c r="K86" i="4" s="1"/>
  <c r="G85" i="4"/>
  <c r="K85" i="4" s="1"/>
  <c r="G84" i="4"/>
  <c r="K84" i="4" s="1"/>
  <c r="G83" i="4"/>
  <c r="K83" i="4" s="1"/>
  <c r="G82" i="4"/>
  <c r="K82" i="4" s="1"/>
  <c r="K81" i="4"/>
  <c r="G81" i="4"/>
  <c r="K80" i="4"/>
  <c r="G80" i="4"/>
  <c r="K79" i="4"/>
  <c r="G79" i="4"/>
  <c r="G78" i="4"/>
  <c r="K78" i="4" s="1"/>
  <c r="K77" i="4"/>
  <c r="K76" i="4"/>
  <c r="G76" i="4"/>
  <c r="G75" i="4"/>
  <c r="K75" i="4" s="1"/>
  <c r="G74" i="4"/>
  <c r="K74" i="4" s="1"/>
  <c r="G73" i="4"/>
  <c r="K73" i="4" s="1"/>
  <c r="K72" i="4"/>
  <c r="G72" i="4"/>
  <c r="G71" i="4"/>
  <c r="K71" i="4" s="1"/>
  <c r="K70" i="4"/>
  <c r="G70" i="4"/>
  <c r="K69" i="4"/>
  <c r="K68" i="4"/>
  <c r="G68" i="4"/>
  <c r="K67" i="4"/>
  <c r="G67" i="4"/>
  <c r="K66" i="4"/>
  <c r="G66" i="4"/>
  <c r="K65" i="4"/>
  <c r="G65" i="4"/>
  <c r="G64" i="4"/>
  <c r="K64" i="4" s="1"/>
  <c r="G63" i="4"/>
  <c r="K63" i="4" s="1"/>
  <c r="G62" i="4"/>
  <c r="K62" i="4" s="1"/>
  <c r="K61" i="4"/>
  <c r="G61" i="4"/>
  <c r="G60" i="4"/>
  <c r="K60" i="4" s="1"/>
  <c r="K59" i="4"/>
  <c r="G59" i="4"/>
  <c r="K58" i="4"/>
  <c r="G58" i="4"/>
  <c r="K57" i="4"/>
  <c r="G57" i="4"/>
  <c r="G56" i="4"/>
  <c r="K56" i="4" s="1"/>
  <c r="G55" i="4"/>
  <c r="K55" i="4" s="1"/>
  <c r="G54" i="4"/>
  <c r="K54" i="4" s="1"/>
  <c r="G53" i="4"/>
  <c r="K53" i="4" s="1"/>
  <c r="G52" i="4"/>
  <c r="K52" i="4" s="1"/>
  <c r="K51" i="4"/>
  <c r="G51" i="4"/>
  <c r="K50" i="4"/>
  <c r="G50" i="4"/>
  <c r="K49" i="4"/>
  <c r="G49" i="4"/>
  <c r="G48" i="4"/>
  <c r="K48" i="4" s="1"/>
  <c r="G47" i="4"/>
  <c r="K47" i="4" s="1"/>
  <c r="G46" i="4"/>
  <c r="K46" i="4" s="1"/>
  <c r="G45" i="4"/>
  <c r="K45" i="4" s="1"/>
  <c r="G44" i="4"/>
  <c r="K44" i="4" s="1"/>
  <c r="K43" i="4"/>
  <c r="G43" i="4"/>
  <c r="K42" i="4"/>
  <c r="G42" i="4"/>
  <c r="K41" i="4"/>
  <c r="G41" i="4"/>
  <c r="G40" i="4"/>
  <c r="K40" i="4" s="1"/>
  <c r="G39" i="4"/>
  <c r="K39" i="4" s="1"/>
  <c r="G38" i="4"/>
  <c r="K38" i="4" s="1"/>
  <c r="G37" i="4"/>
  <c r="K37" i="4" s="1"/>
  <c r="G36" i="4"/>
  <c r="K36" i="4" s="1"/>
  <c r="K35" i="4"/>
  <c r="G35" i="4"/>
  <c r="K34" i="4"/>
  <c r="G34" i="4"/>
  <c r="K33" i="4"/>
  <c r="G33" i="4"/>
  <c r="G32" i="4"/>
  <c r="K32" i="4" s="1"/>
  <c r="G31" i="4"/>
  <c r="K31" i="4" s="1"/>
  <c r="G30" i="4"/>
  <c r="K30" i="4" s="1"/>
  <c r="G29" i="4"/>
  <c r="K29" i="4" s="1"/>
  <c r="G28" i="4"/>
  <c r="K28" i="4" s="1"/>
  <c r="K27" i="4"/>
  <c r="G27" i="4"/>
  <c r="K26" i="4"/>
  <c r="G26" i="4"/>
  <c r="K25" i="4"/>
  <c r="G25" i="4"/>
  <c r="G24" i="4"/>
  <c r="K24" i="4" s="1"/>
  <c r="G23" i="4"/>
  <c r="K23" i="4" s="1"/>
  <c r="G22" i="4"/>
  <c r="K22" i="4" s="1"/>
  <c r="G21" i="4"/>
  <c r="K21" i="4" s="1"/>
  <c r="G20" i="4"/>
  <c r="K20" i="4" s="1"/>
  <c r="K19" i="4"/>
  <c r="G19" i="4"/>
  <c r="K18" i="4"/>
  <c r="G18" i="4"/>
  <c r="A18" i="4"/>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K17" i="4"/>
  <c r="G17" i="4"/>
  <c r="K16" i="4"/>
  <c r="G16" i="4"/>
  <c r="G15" i="4"/>
  <c r="K15" i="4" s="1"/>
  <c r="K9" i="4"/>
  <c r="K8" i="4"/>
  <c r="K7" i="4"/>
  <c r="D239" i="4" s="1"/>
  <c r="E3" i="4"/>
  <c r="E328" i="3"/>
  <c r="E327" i="3"/>
  <c r="F326" i="3"/>
  <c r="E326" i="3"/>
  <c r="E325" i="3"/>
  <c r="E324" i="3"/>
  <c r="F322" i="3"/>
  <c r="F321" i="3"/>
  <c r="H314" i="3"/>
  <c r="G314" i="3"/>
  <c r="D314" i="3"/>
  <c r="D309" i="3"/>
  <c r="D308" i="3"/>
  <c r="D307" i="3"/>
  <c r="D302" i="3"/>
  <c r="K297" i="3"/>
  <c r="K295" i="3"/>
  <c r="K294" i="3"/>
  <c r="K290" i="3"/>
  <c r="K283" i="3"/>
  <c r="K282" i="3"/>
  <c r="K281" i="3"/>
  <c r="K280" i="3"/>
  <c r="K279" i="3"/>
  <c r="K278" i="3"/>
  <c r="K277" i="3"/>
  <c r="K276" i="3"/>
  <c r="K275" i="3"/>
  <c r="K274" i="3"/>
  <c r="K273" i="3"/>
  <c r="K272" i="3"/>
  <c r="K271" i="3"/>
  <c r="K270" i="3"/>
  <c r="K269" i="3"/>
  <c r="K268" i="3"/>
  <c r="I268" i="3"/>
  <c r="K267" i="3"/>
  <c r="K266" i="3"/>
  <c r="K265" i="3"/>
  <c r="K264" i="3"/>
  <c r="I263" i="3"/>
  <c r="K263" i="3" s="1"/>
  <c r="K262" i="3"/>
  <c r="K261" i="3"/>
  <c r="K260" i="3"/>
  <c r="K259" i="3"/>
  <c r="K258" i="3"/>
  <c r="K257" i="3"/>
  <c r="I257" i="3"/>
  <c r="K256" i="3"/>
  <c r="K255" i="3"/>
  <c r="K254" i="3"/>
  <c r="K253" i="3"/>
  <c r="K252" i="3"/>
  <c r="K251" i="3"/>
  <c r="K247" i="3"/>
  <c r="K245" i="3"/>
  <c r="K242" i="3"/>
  <c r="K241" i="3"/>
  <c r="K240" i="3"/>
  <c r="K239" i="3"/>
  <c r="K238" i="3"/>
  <c r="K237" i="3"/>
  <c r="K236" i="3"/>
  <c r="K235" i="3"/>
  <c r="K234" i="3"/>
  <c r="K233" i="3"/>
  <c r="K232" i="3"/>
  <c r="K231" i="3"/>
  <c r="K230" i="3"/>
  <c r="K229" i="3"/>
  <c r="K228" i="3"/>
  <c r="K227" i="3"/>
  <c r="K226" i="3"/>
  <c r="I225" i="3"/>
  <c r="K225" i="3" s="1"/>
  <c r="I224" i="3"/>
  <c r="K224" i="3" s="1"/>
  <c r="K223" i="3"/>
  <c r="K222" i="3"/>
  <c r="K221" i="3"/>
  <c r="K220" i="3"/>
  <c r="K219" i="3"/>
  <c r="I218" i="3"/>
  <c r="K218" i="3" s="1"/>
  <c r="K217" i="3"/>
  <c r="K216" i="3"/>
  <c r="K215" i="3"/>
  <c r="K213" i="3"/>
  <c r="K212" i="3"/>
  <c r="K211" i="3"/>
  <c r="K206" i="3"/>
  <c r="K202" i="3"/>
  <c r="K200" i="3"/>
  <c r="K199" i="3"/>
  <c r="K198" i="3"/>
  <c r="K197" i="3"/>
  <c r="K196" i="3"/>
  <c r="K195" i="3"/>
  <c r="K194" i="3"/>
  <c r="K193" i="3"/>
  <c r="I193" i="3"/>
  <c r="K192" i="3"/>
  <c r="K191" i="3"/>
  <c r="K190" i="3"/>
  <c r="K189" i="3"/>
  <c r="K188" i="3"/>
  <c r="K187" i="3"/>
  <c r="K186" i="3"/>
  <c r="K185" i="3"/>
  <c r="K184" i="3"/>
  <c r="K183" i="3"/>
  <c r="K182" i="3"/>
  <c r="K181" i="3"/>
  <c r="K180" i="3"/>
  <c r="K179" i="3"/>
  <c r="K178" i="3"/>
  <c r="K177" i="3"/>
  <c r="K176" i="3"/>
  <c r="K175" i="3"/>
  <c r="K174" i="3"/>
  <c r="K173" i="3"/>
  <c r="K172" i="3"/>
  <c r="K171" i="3"/>
  <c r="K168" i="3"/>
  <c r="K166" i="3"/>
  <c r="K164" i="3"/>
  <c r="K161" i="3"/>
  <c r="K160" i="3"/>
  <c r="K157" i="3"/>
  <c r="K156" i="3"/>
  <c r="K155" i="3"/>
  <c r="I155" i="3"/>
  <c r="K154" i="3"/>
  <c r="K153" i="3"/>
  <c r="K152" i="3"/>
  <c r="I151" i="3"/>
  <c r="K151" i="3" s="1"/>
  <c r="I150" i="3"/>
  <c r="K150" i="3" s="1"/>
  <c r="I149" i="3"/>
  <c r="K149" i="3" s="1"/>
  <c r="K148" i="3"/>
  <c r="K147" i="3"/>
  <c r="K146" i="3"/>
  <c r="K145" i="3"/>
  <c r="K144" i="3"/>
  <c r="K143" i="3"/>
  <c r="K142" i="3"/>
  <c r="I142" i="3"/>
  <c r="K141" i="3"/>
  <c r="I141" i="3"/>
  <c r="K140" i="3"/>
  <c r="K139" i="3"/>
  <c r="K138" i="3"/>
  <c r="K137" i="3"/>
  <c r="K136" i="3"/>
  <c r="K135" i="3"/>
  <c r="I135" i="3"/>
  <c r="K134" i="3"/>
  <c r="K133" i="3"/>
  <c r="A133" i="3"/>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K132" i="3"/>
  <c r="K298" i="3" s="1"/>
  <c r="K315" i="3" s="1"/>
  <c r="K129" i="3"/>
  <c r="K124" i="3"/>
  <c r="G124" i="3"/>
  <c r="G123" i="3"/>
  <c r="K123" i="3" s="1"/>
  <c r="K122" i="3"/>
  <c r="G122" i="3"/>
  <c r="K121" i="3"/>
  <c r="G121" i="3"/>
  <c r="G120" i="3"/>
  <c r="K120" i="3" s="1"/>
  <c r="G119" i="3"/>
  <c r="K119" i="3" s="1"/>
  <c r="G118" i="3"/>
  <c r="K118" i="3" s="1"/>
  <c r="G117" i="3"/>
  <c r="K117" i="3" s="1"/>
  <c r="G116" i="3"/>
  <c r="K116" i="3" s="1"/>
  <c r="G115" i="3"/>
  <c r="K115" i="3" s="1"/>
  <c r="K114" i="3"/>
  <c r="G114" i="3"/>
  <c r="K113" i="3"/>
  <c r="G113" i="3"/>
  <c r="G112" i="3"/>
  <c r="K112" i="3" s="1"/>
  <c r="G111" i="3"/>
  <c r="K111" i="3" s="1"/>
  <c r="G110" i="3"/>
  <c r="K110" i="3" s="1"/>
  <c r="G109" i="3"/>
  <c r="K109" i="3" s="1"/>
  <c r="G108" i="3"/>
  <c r="K108" i="3" s="1"/>
  <c r="G107" i="3"/>
  <c r="K107" i="3" s="1"/>
  <c r="K106" i="3"/>
  <c r="G106" i="3"/>
  <c r="K105" i="3"/>
  <c r="G104" i="3"/>
  <c r="K104" i="3" s="1"/>
  <c r="K103" i="3"/>
  <c r="G103" i="3"/>
  <c r="K102" i="3"/>
  <c r="G102" i="3"/>
  <c r="G101" i="3"/>
  <c r="K101" i="3" s="1"/>
  <c r="K100" i="3"/>
  <c r="G100" i="3"/>
  <c r="G99" i="3"/>
  <c r="K99" i="3" s="1"/>
  <c r="G98" i="3"/>
  <c r="K98" i="3" s="1"/>
  <c r="G97" i="3"/>
  <c r="K97" i="3" s="1"/>
  <c r="G96" i="3"/>
  <c r="K96" i="3" s="1"/>
  <c r="K95" i="3"/>
  <c r="G95" i="3"/>
  <c r="K94" i="3"/>
  <c r="G94" i="3"/>
  <c r="G93" i="3"/>
  <c r="K93" i="3" s="1"/>
  <c r="K92" i="3"/>
  <c r="G92" i="3"/>
  <c r="G91" i="3"/>
  <c r="K91" i="3" s="1"/>
  <c r="G90" i="3"/>
  <c r="K90" i="3" s="1"/>
  <c r="G89" i="3"/>
  <c r="K89" i="3" s="1"/>
  <c r="G88" i="3"/>
  <c r="K88" i="3" s="1"/>
  <c r="K87" i="3"/>
  <c r="G87" i="3"/>
  <c r="K86" i="3"/>
  <c r="G86" i="3"/>
  <c r="G85" i="3"/>
  <c r="K85" i="3" s="1"/>
  <c r="K84" i="3"/>
  <c r="G84" i="3"/>
  <c r="G83" i="3"/>
  <c r="K83" i="3" s="1"/>
  <c r="G82" i="3"/>
  <c r="K82" i="3" s="1"/>
  <c r="G81" i="3"/>
  <c r="K81" i="3" s="1"/>
  <c r="G80" i="3"/>
  <c r="K80" i="3" s="1"/>
  <c r="K79" i="3"/>
  <c r="G79" i="3"/>
  <c r="K78" i="3"/>
  <c r="G77" i="3"/>
  <c r="K77" i="3" s="1"/>
  <c r="K76" i="3"/>
  <c r="G76" i="3"/>
  <c r="K75" i="3"/>
  <c r="G75" i="3"/>
  <c r="G74" i="3"/>
  <c r="K74" i="3" s="1"/>
  <c r="K73" i="3"/>
  <c r="G73" i="3"/>
  <c r="G72" i="3"/>
  <c r="K72" i="3" s="1"/>
  <c r="K71" i="3"/>
  <c r="G71" i="3"/>
  <c r="G70" i="3"/>
  <c r="K70" i="3" s="1"/>
  <c r="K69" i="3"/>
  <c r="K68" i="3"/>
  <c r="G68" i="3"/>
  <c r="G67" i="3"/>
  <c r="K67" i="3" s="1"/>
  <c r="G66" i="3"/>
  <c r="K66" i="3" s="1"/>
  <c r="K65" i="3"/>
  <c r="G65" i="3"/>
  <c r="K64" i="3"/>
  <c r="G64" i="3"/>
  <c r="G63" i="3"/>
  <c r="K63" i="3" s="1"/>
  <c r="K62" i="3"/>
  <c r="G62" i="3"/>
  <c r="G61" i="3"/>
  <c r="K61" i="3" s="1"/>
  <c r="G60" i="3"/>
  <c r="K60" i="3" s="1"/>
  <c r="G59" i="3"/>
  <c r="K59" i="3" s="1"/>
  <c r="G58" i="3"/>
  <c r="K58" i="3" s="1"/>
  <c r="K57" i="3"/>
  <c r="G57" i="3"/>
  <c r="K56" i="3"/>
  <c r="G56" i="3"/>
  <c r="G55" i="3"/>
  <c r="K55" i="3" s="1"/>
  <c r="K54" i="3"/>
  <c r="G54" i="3"/>
  <c r="G53" i="3"/>
  <c r="K53" i="3" s="1"/>
  <c r="K52" i="3"/>
  <c r="G52" i="3"/>
  <c r="G51" i="3"/>
  <c r="K51" i="3" s="1"/>
  <c r="G50" i="3"/>
  <c r="K50" i="3" s="1"/>
  <c r="K49" i="3"/>
  <c r="G49" i="3"/>
  <c r="K48" i="3"/>
  <c r="G48" i="3"/>
  <c r="G47" i="3"/>
  <c r="K47" i="3" s="1"/>
  <c r="K46" i="3"/>
  <c r="G46" i="3"/>
  <c r="G45" i="3"/>
  <c r="K45" i="3" s="1"/>
  <c r="G44" i="3"/>
  <c r="K44" i="3" s="1"/>
  <c r="G43" i="3"/>
  <c r="K43" i="3" s="1"/>
  <c r="G42" i="3"/>
  <c r="K42" i="3" s="1"/>
  <c r="K41" i="3"/>
  <c r="G41" i="3"/>
  <c r="K40" i="3"/>
  <c r="G40" i="3"/>
  <c r="G39" i="3"/>
  <c r="K39" i="3" s="1"/>
  <c r="K38" i="3"/>
  <c r="G38" i="3"/>
  <c r="G37" i="3"/>
  <c r="K37" i="3" s="1"/>
  <c r="K36" i="3"/>
  <c r="G36" i="3"/>
  <c r="G35" i="3"/>
  <c r="K35" i="3" s="1"/>
  <c r="G34" i="3"/>
  <c r="K34" i="3" s="1"/>
  <c r="K33" i="3"/>
  <c r="G33" i="3"/>
  <c r="K32" i="3"/>
  <c r="G32" i="3"/>
  <c r="G31" i="3"/>
  <c r="K31" i="3" s="1"/>
  <c r="K30" i="3"/>
  <c r="G30" i="3"/>
  <c r="G29" i="3"/>
  <c r="K29" i="3" s="1"/>
  <c r="G28" i="3"/>
  <c r="K28" i="3" s="1"/>
  <c r="G27" i="3"/>
  <c r="K27" i="3" s="1"/>
  <c r="G26" i="3"/>
  <c r="K26" i="3" s="1"/>
  <c r="K25" i="3"/>
  <c r="G25" i="3"/>
  <c r="K24" i="3"/>
  <c r="G24" i="3"/>
  <c r="G23" i="3"/>
  <c r="K23" i="3" s="1"/>
  <c r="K22" i="3"/>
  <c r="G22" i="3"/>
  <c r="G21" i="3"/>
  <c r="K21" i="3" s="1"/>
  <c r="K20" i="3"/>
  <c r="G20" i="3"/>
  <c r="G19" i="3"/>
  <c r="K19" i="3" s="1"/>
  <c r="G18" i="3"/>
  <c r="K18" i="3" s="1"/>
  <c r="A18" i="3"/>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K17" i="3"/>
  <c r="G17" i="3"/>
  <c r="G16" i="3"/>
  <c r="K16" i="3" s="1"/>
  <c r="G15" i="3"/>
  <c r="K15" i="3" s="1"/>
  <c r="K9" i="3"/>
  <c r="K8" i="3"/>
  <c r="D306" i="3" s="1"/>
  <c r="K7" i="3"/>
  <c r="D305" i="3" s="1"/>
  <c r="E3" i="3"/>
  <c r="E265" i="2"/>
  <c r="E264" i="2"/>
  <c r="F263" i="2"/>
  <c r="E263" i="2"/>
  <c r="E262" i="2"/>
  <c r="E261" i="2"/>
  <c r="F259" i="2"/>
  <c r="F258" i="2"/>
  <c r="H251" i="2"/>
  <c r="G251" i="2"/>
  <c r="D251" i="2"/>
  <c r="D246" i="2"/>
  <c r="D245" i="2"/>
  <c r="D239" i="2"/>
  <c r="K233" i="2"/>
  <c r="A232" i="2"/>
  <c r="K231" i="2"/>
  <c r="A230" i="2"/>
  <c r="K229" i="2"/>
  <c r="K227" i="2"/>
  <c r="K222" i="2"/>
  <c r="K221" i="2"/>
  <c r="K220" i="2"/>
  <c r="K219" i="2"/>
  <c r="K218" i="2"/>
  <c r="K217" i="2"/>
  <c r="K216" i="2"/>
  <c r="K215" i="2"/>
  <c r="K214" i="2"/>
  <c r="K213" i="2"/>
  <c r="A213" i="2"/>
  <c r="A214" i="2" s="1"/>
  <c r="A215" i="2" s="1"/>
  <c r="A216" i="2" s="1"/>
  <c r="A217" i="2" s="1"/>
  <c r="A218" i="2" s="1"/>
  <c r="A219" i="2" s="1"/>
  <c r="A220" i="2" s="1"/>
  <c r="A221" i="2" s="1"/>
  <c r="A222" i="2" s="1"/>
  <c r="A223" i="2" s="1"/>
  <c r="A224" i="2" s="1"/>
  <c r="A225" i="2" s="1"/>
  <c r="A226" i="2" s="1"/>
  <c r="A227" i="2" s="1"/>
  <c r="A228" i="2" s="1"/>
  <c r="K212" i="2"/>
  <c r="K211" i="2"/>
  <c r="K210" i="2"/>
  <c r="K209" i="2"/>
  <c r="A209" i="2"/>
  <c r="A210" i="2" s="1"/>
  <c r="A211" i="2" s="1"/>
  <c r="A212" i="2" s="1"/>
  <c r="K208" i="2"/>
  <c r="A208" i="2"/>
  <c r="K207" i="2"/>
  <c r="K206" i="2"/>
  <c r="I206" i="2"/>
  <c r="K205" i="2"/>
  <c r="K204" i="2"/>
  <c r="I204" i="2"/>
  <c r="I203" i="2"/>
  <c r="K203" i="2" s="1"/>
  <c r="K202" i="2"/>
  <c r="K201" i="2"/>
  <c r="K200" i="2"/>
  <c r="K199" i="2"/>
  <c r="K198" i="2"/>
  <c r="I197" i="2"/>
  <c r="K197" i="2" s="1"/>
  <c r="K196" i="2"/>
  <c r="I196" i="2"/>
  <c r="K195" i="2"/>
  <c r="K194" i="2"/>
  <c r="A194" i="2"/>
  <c r="A195" i="2" s="1"/>
  <c r="A196" i="2" s="1"/>
  <c r="A198" i="2" s="1"/>
  <c r="A199" i="2" s="1"/>
  <c r="A200" i="2" s="1"/>
  <c r="A201" i="2" s="1"/>
  <c r="A202" i="2" s="1"/>
  <c r="A203" i="2" s="1"/>
  <c r="A204" i="2" s="1"/>
  <c r="A205" i="2" s="1"/>
  <c r="K193" i="2"/>
  <c r="A191" i="2"/>
  <c r="K190" i="2"/>
  <c r="A189" i="2"/>
  <c r="A188" i="2"/>
  <c r="K187" i="2"/>
  <c r="A186" i="2"/>
  <c r="K184" i="2"/>
  <c r="A183" i="2"/>
  <c r="A182" i="2"/>
  <c r="K178" i="2"/>
  <c r="K177" i="2"/>
  <c r="K176" i="2"/>
  <c r="K175" i="2"/>
  <c r="K174" i="2"/>
  <c r="K173" i="2"/>
  <c r="K172" i="2"/>
  <c r="K171" i="2"/>
  <c r="I170" i="2"/>
  <c r="K170" i="2" s="1"/>
  <c r="K169" i="2"/>
  <c r="K168" i="2"/>
  <c r="K167" i="2"/>
  <c r="K166" i="2"/>
  <c r="K165" i="2"/>
  <c r="K164" i="2"/>
  <c r="I163" i="2"/>
  <c r="K163" i="2" s="1"/>
  <c r="K162" i="2"/>
  <c r="K161" i="2"/>
  <c r="I160" i="2"/>
  <c r="K160" i="2" s="1"/>
  <c r="K159" i="2"/>
  <c r="K158" i="2"/>
  <c r="K157" i="2"/>
  <c r="K156" i="2"/>
  <c r="K155" i="2"/>
  <c r="I154" i="2"/>
  <c r="K154" i="2" s="1"/>
  <c r="K153" i="2"/>
  <c r="K152" i="2"/>
  <c r="K151" i="2"/>
  <c r="K150" i="2"/>
  <c r="K148" i="2"/>
  <c r="K145" i="2"/>
  <c r="K144" i="2"/>
  <c r="K143" i="2"/>
  <c r="K142" i="2"/>
  <c r="K141" i="2"/>
  <c r="K138" i="2"/>
  <c r="K137" i="2"/>
  <c r="K136" i="2"/>
  <c r="K134" i="2"/>
  <c r="K133" i="2"/>
  <c r="K132" i="2"/>
  <c r="K131" i="2"/>
  <c r="K130" i="2"/>
  <c r="K129" i="2"/>
  <c r="K128" i="2"/>
  <c r="K127" i="2"/>
  <c r="I127" i="2"/>
  <c r="K126" i="2"/>
  <c r="K125" i="2"/>
  <c r="K124" i="2"/>
  <c r="K123" i="2"/>
  <c r="K122" i="2"/>
  <c r="K121" i="2"/>
  <c r="K120" i="2"/>
  <c r="I119" i="2"/>
  <c r="K119" i="2" s="1"/>
  <c r="I118" i="2"/>
  <c r="K118" i="2" s="1"/>
  <c r="K117" i="2"/>
  <c r="K116" i="2"/>
  <c r="K115" i="2"/>
  <c r="K114" i="2"/>
  <c r="K113" i="2"/>
  <c r="I112" i="2"/>
  <c r="K112" i="2" s="1"/>
  <c r="K111" i="2"/>
  <c r="K235" i="2" s="1"/>
  <c r="K252" i="2" s="1"/>
  <c r="K110" i="2"/>
  <c r="K109" i="2"/>
  <c r="K106" i="2"/>
  <c r="G101" i="2"/>
  <c r="K101" i="2" s="1"/>
  <c r="G100" i="2"/>
  <c r="K100" i="2" s="1"/>
  <c r="K99" i="2"/>
  <c r="G99" i="2"/>
  <c r="G98" i="2"/>
  <c r="K98" i="2" s="1"/>
  <c r="G97" i="2"/>
  <c r="K97" i="2" s="1"/>
  <c r="G96" i="2"/>
  <c r="K96" i="2" s="1"/>
  <c r="K95" i="2"/>
  <c r="G95" i="2"/>
  <c r="G94" i="2"/>
  <c r="K94" i="2" s="1"/>
  <c r="G93" i="2"/>
  <c r="K93" i="2" s="1"/>
  <c r="G92" i="2"/>
  <c r="K92" i="2" s="1"/>
  <c r="K91" i="2"/>
  <c r="G91" i="2"/>
  <c r="G90" i="2"/>
  <c r="K90" i="2" s="1"/>
  <c r="G89" i="2"/>
  <c r="K89" i="2" s="1"/>
  <c r="G88" i="2"/>
  <c r="K88" i="2" s="1"/>
  <c r="K87" i="2"/>
  <c r="G87" i="2"/>
  <c r="G86" i="2"/>
  <c r="K86" i="2" s="1"/>
  <c r="G85" i="2"/>
  <c r="K85" i="2" s="1"/>
  <c r="G84" i="2"/>
  <c r="K84" i="2" s="1"/>
  <c r="K83" i="2"/>
  <c r="G83" i="2"/>
  <c r="G82" i="2"/>
  <c r="K82" i="2" s="1"/>
  <c r="K81" i="2"/>
  <c r="K80" i="2"/>
  <c r="G80" i="2"/>
  <c r="K79" i="2"/>
  <c r="G79" i="2"/>
  <c r="K78" i="2"/>
  <c r="G78" i="2"/>
  <c r="K77" i="2"/>
  <c r="G77" i="2"/>
  <c r="K76" i="2"/>
  <c r="G76" i="2"/>
  <c r="K75" i="2"/>
  <c r="G75" i="2"/>
  <c r="K74" i="2"/>
  <c r="G74" i="2"/>
  <c r="K73" i="2"/>
  <c r="G73" i="2"/>
  <c r="K72" i="2"/>
  <c r="G72" i="2"/>
  <c r="K71" i="2"/>
  <c r="K70" i="2"/>
  <c r="G70" i="2"/>
  <c r="G69" i="2"/>
  <c r="K69" i="2" s="1"/>
  <c r="G68" i="2"/>
  <c r="K68" i="2" s="1"/>
  <c r="G67" i="2"/>
  <c r="K67" i="2" s="1"/>
  <c r="K66" i="2"/>
  <c r="G66" i="2"/>
  <c r="G65" i="2"/>
  <c r="K65" i="2" s="1"/>
  <c r="G64" i="2"/>
  <c r="K64" i="2" s="1"/>
  <c r="G63" i="2"/>
  <c r="K63" i="2" s="1"/>
  <c r="K62" i="2"/>
  <c r="G62" i="2"/>
  <c r="G61" i="2"/>
  <c r="K61" i="2" s="1"/>
  <c r="G60" i="2"/>
  <c r="K60" i="2" s="1"/>
  <c r="G59" i="2"/>
  <c r="K59" i="2" s="1"/>
  <c r="K58" i="2"/>
  <c r="G58" i="2"/>
  <c r="G57" i="2"/>
  <c r="K57" i="2" s="1"/>
  <c r="G56" i="2"/>
  <c r="K56" i="2" s="1"/>
  <c r="G55" i="2"/>
  <c r="K55" i="2" s="1"/>
  <c r="K54" i="2"/>
  <c r="G54" i="2"/>
  <c r="G53" i="2"/>
  <c r="K53" i="2" s="1"/>
  <c r="G52" i="2"/>
  <c r="K52" i="2" s="1"/>
  <c r="G51" i="2"/>
  <c r="K51" i="2" s="1"/>
  <c r="K50" i="2"/>
  <c r="G50" i="2"/>
  <c r="G49" i="2"/>
  <c r="K49" i="2" s="1"/>
  <c r="G48" i="2"/>
  <c r="K48" i="2" s="1"/>
  <c r="G47" i="2"/>
  <c r="K47" i="2" s="1"/>
  <c r="K46" i="2"/>
  <c r="G46" i="2"/>
  <c r="G45" i="2"/>
  <c r="K45" i="2" s="1"/>
  <c r="G44" i="2"/>
  <c r="K44" i="2" s="1"/>
  <c r="G43" i="2"/>
  <c r="K43" i="2" s="1"/>
  <c r="K42" i="2"/>
  <c r="G42" i="2"/>
  <c r="G41" i="2"/>
  <c r="K41" i="2" s="1"/>
  <c r="G40" i="2"/>
  <c r="K40" i="2" s="1"/>
  <c r="G39" i="2"/>
  <c r="K39" i="2" s="1"/>
  <c r="K38" i="2"/>
  <c r="G38" i="2"/>
  <c r="G37" i="2"/>
  <c r="K37" i="2" s="1"/>
  <c r="G36" i="2"/>
  <c r="K36" i="2" s="1"/>
  <c r="G35" i="2"/>
  <c r="K35" i="2" s="1"/>
  <c r="K34" i="2"/>
  <c r="G34" i="2"/>
  <c r="G33" i="2"/>
  <c r="K33" i="2" s="1"/>
  <c r="G32" i="2"/>
  <c r="K32" i="2" s="1"/>
  <c r="G31" i="2"/>
  <c r="K31" i="2" s="1"/>
  <c r="K30" i="2"/>
  <c r="G30" i="2"/>
  <c r="G29" i="2"/>
  <c r="K29" i="2" s="1"/>
  <c r="G28" i="2"/>
  <c r="K28" i="2" s="1"/>
  <c r="G27" i="2"/>
  <c r="K27" i="2" s="1"/>
  <c r="K26" i="2"/>
  <c r="G26" i="2"/>
  <c r="G25" i="2"/>
  <c r="K25" i="2" s="1"/>
  <c r="G24" i="2"/>
  <c r="K24" i="2" s="1"/>
  <c r="G23" i="2"/>
  <c r="K23" i="2" s="1"/>
  <c r="K22" i="2"/>
  <c r="G22" i="2"/>
  <c r="G21" i="2"/>
  <c r="K21" i="2" s="1"/>
  <c r="G20" i="2"/>
  <c r="K20" i="2" s="1"/>
  <c r="G19" i="2"/>
  <c r="K19" i="2" s="1"/>
  <c r="K18" i="2"/>
  <c r="G18" i="2"/>
  <c r="G17" i="2"/>
  <c r="K17" i="2" s="1"/>
  <c r="G16" i="2"/>
  <c r="K16" i="2" s="1"/>
  <c r="G15" i="2"/>
  <c r="K15" i="2" s="1"/>
  <c r="K9" i="2"/>
  <c r="D244" i="2" s="1"/>
  <c r="K8" i="2"/>
  <c r="D243" i="2" s="1"/>
  <c r="K7" i="2"/>
  <c r="D242" i="2" s="1"/>
  <c r="E3" i="2"/>
  <c r="DF648" i="1"/>
  <c r="DE648" i="1"/>
  <c r="DB648" i="1"/>
  <c r="CA648" i="1"/>
  <c r="BJ648" i="1"/>
  <c r="AE648" i="1"/>
  <c r="J648" i="1"/>
  <c r="CA647" i="1"/>
  <c r="BJ647" i="1"/>
  <c r="J647" i="1"/>
  <c r="BZ646" i="1"/>
  <c r="BJ646" i="1"/>
  <c r="J646" i="1"/>
  <c r="CA645" i="1"/>
  <c r="BJ645" i="1"/>
  <c r="J645" i="1"/>
  <c r="BZ644" i="1"/>
  <c r="BR644" i="1"/>
  <c r="BL644" i="1"/>
  <c r="BJ644" i="1"/>
  <c r="BI644" i="1"/>
  <c r="J644" i="1"/>
  <c r="CA643" i="1"/>
  <c r="BJ643" i="1"/>
  <c r="J643" i="1"/>
  <c r="CA642" i="1"/>
  <c r="BJ642" i="1"/>
  <c r="J642" i="1"/>
  <c r="CA641" i="1"/>
  <c r="BJ641" i="1"/>
  <c r="J641" i="1"/>
  <c r="CA640" i="1"/>
  <c r="BJ640" i="1"/>
  <c r="J640" i="1"/>
  <c r="CA639" i="1"/>
  <c r="BJ639" i="1"/>
  <c r="J639" i="1"/>
  <c r="CA638" i="1"/>
  <c r="BJ638" i="1"/>
  <c r="J638" i="1"/>
  <c r="CA637" i="1"/>
  <c r="BJ637" i="1"/>
  <c r="J637" i="1"/>
  <c r="CA636" i="1"/>
  <c r="BJ636" i="1"/>
  <c r="J636" i="1"/>
  <c r="CA635" i="1"/>
  <c r="BJ635" i="1"/>
  <c r="J635" i="1"/>
  <c r="CA634" i="1"/>
  <c r="BJ634" i="1"/>
  <c r="J634" i="1"/>
  <c r="CA633" i="1"/>
  <c r="BR633" i="1"/>
  <c r="BL633" i="1"/>
  <c r="BJ633" i="1"/>
  <c r="BI633" i="1"/>
  <c r="J633" i="1"/>
  <c r="CA632" i="1"/>
  <c r="BJ632" i="1"/>
  <c r="J632" i="1"/>
  <c r="CA631" i="1"/>
  <c r="BJ631" i="1"/>
  <c r="J631" i="1"/>
  <c r="CA630" i="1"/>
  <c r="BJ630" i="1"/>
  <c r="J630" i="1"/>
  <c r="CA629" i="1"/>
  <c r="BJ629" i="1"/>
  <c r="J629" i="1"/>
  <c r="CA628" i="1"/>
  <c r="BJ628" i="1"/>
  <c r="J628" i="1"/>
  <c r="CA627" i="1"/>
  <c r="BJ627" i="1"/>
  <c r="J627" i="1"/>
  <c r="CA626" i="1"/>
  <c r="BJ626" i="1"/>
  <c r="J626" i="1"/>
  <c r="CA625" i="1"/>
  <c r="BJ625" i="1"/>
  <c r="J625" i="1"/>
  <c r="CA624" i="1"/>
  <c r="BR624" i="1"/>
  <c r="BL624" i="1"/>
  <c r="BJ624" i="1"/>
  <c r="BI624" i="1"/>
  <c r="J624" i="1"/>
  <c r="CA623" i="1"/>
  <c r="BJ623" i="1"/>
  <c r="J623" i="1"/>
  <c r="CA622" i="1"/>
  <c r="BJ622" i="1"/>
  <c r="J622" i="1"/>
  <c r="CA621" i="1"/>
  <c r="BJ621" i="1"/>
  <c r="J621" i="1"/>
  <c r="CA620" i="1"/>
  <c r="BR620" i="1"/>
  <c r="BL620" i="1"/>
  <c r="BI620" i="1"/>
  <c r="BJ620" i="1" s="1"/>
  <c r="BH620" i="1"/>
  <c r="J620" i="1"/>
  <c r="CA619" i="1"/>
  <c r="BJ619" i="1"/>
  <c r="J619" i="1"/>
  <c r="CA618" i="1"/>
  <c r="BI618" i="1"/>
  <c r="BJ618" i="1" s="1"/>
  <c r="BH618" i="1"/>
  <c r="J618" i="1"/>
  <c r="BL617" i="1"/>
  <c r="CA617" i="1" s="1"/>
  <c r="BJ617" i="1"/>
  <c r="BI617" i="1"/>
  <c r="BH617" i="1"/>
  <c r="J617" i="1"/>
  <c r="CA616" i="1"/>
  <c r="BJ616" i="1"/>
  <c r="J616" i="1"/>
  <c r="CA615" i="1"/>
  <c r="BJ615" i="1"/>
  <c r="J615" i="1"/>
  <c r="CA614" i="1"/>
  <c r="BJ614" i="1"/>
  <c r="J614" i="1"/>
  <c r="CA613" i="1"/>
  <c r="BJ613" i="1"/>
  <c r="J613" i="1"/>
  <c r="CA612" i="1"/>
  <c r="BJ612" i="1"/>
  <c r="J612" i="1"/>
  <c r="CA611" i="1"/>
  <c r="BJ611" i="1"/>
  <c r="J611" i="1"/>
  <c r="CA610" i="1"/>
  <c r="BJ610" i="1"/>
  <c r="J610" i="1"/>
  <c r="CA609" i="1"/>
  <c r="BJ609" i="1"/>
  <c r="J609" i="1"/>
  <c r="CA608" i="1"/>
  <c r="BJ608" i="1"/>
  <c r="J608" i="1"/>
  <c r="CA607" i="1"/>
  <c r="BJ607" i="1"/>
  <c r="J607" i="1"/>
  <c r="CA606" i="1"/>
  <c r="BJ606" i="1"/>
  <c r="J606" i="1"/>
  <c r="CA605" i="1"/>
  <c r="BJ605" i="1"/>
  <c r="J605" i="1"/>
  <c r="CA604" i="1"/>
  <c r="BJ604" i="1"/>
  <c r="J604" i="1"/>
  <c r="CA603" i="1"/>
  <c r="BJ603" i="1"/>
  <c r="J603" i="1"/>
  <c r="CA602" i="1"/>
  <c r="BJ602" i="1"/>
  <c r="J602" i="1"/>
  <c r="CA601" i="1"/>
  <c r="BL601" i="1"/>
  <c r="BJ601" i="1"/>
  <c r="BI601" i="1"/>
  <c r="J601" i="1"/>
  <c r="CA600" i="1"/>
  <c r="BI600" i="1"/>
  <c r="BJ600" i="1" s="1"/>
  <c r="BH600" i="1"/>
  <c r="J600" i="1"/>
  <c r="CA599" i="1"/>
  <c r="BI599" i="1"/>
  <c r="BH599" i="1"/>
  <c r="BJ599" i="1" s="1"/>
  <c r="J599" i="1"/>
  <c r="CA598" i="1"/>
  <c r="BJ598" i="1"/>
  <c r="BI598" i="1"/>
  <c r="BH598" i="1"/>
  <c r="J598" i="1"/>
  <c r="CA597" i="1"/>
  <c r="BI597" i="1"/>
  <c r="BH597" i="1"/>
  <c r="J597" i="1"/>
  <c r="CA596" i="1"/>
  <c r="BI596" i="1"/>
  <c r="BH596" i="1"/>
  <c r="BJ596" i="1" s="1"/>
  <c r="J596" i="1"/>
  <c r="CA595" i="1"/>
  <c r="BJ595" i="1"/>
  <c r="J595" i="1"/>
  <c r="CA594" i="1"/>
  <c r="BI594" i="1"/>
  <c r="BH594" i="1"/>
  <c r="BJ594" i="1" s="1"/>
  <c r="J594" i="1"/>
  <c r="CA593" i="1"/>
  <c r="BJ593" i="1"/>
  <c r="BI593" i="1"/>
  <c r="BH593" i="1"/>
  <c r="J593" i="1"/>
  <c r="CA592" i="1"/>
  <c r="BJ592" i="1"/>
  <c r="J592" i="1"/>
  <c r="CA591" i="1"/>
  <c r="BJ591" i="1"/>
  <c r="BI591" i="1"/>
  <c r="BH591" i="1"/>
  <c r="J591" i="1"/>
  <c r="CA590" i="1"/>
  <c r="BI590" i="1"/>
  <c r="BH590" i="1"/>
  <c r="BJ590" i="1" s="1"/>
  <c r="J590" i="1"/>
  <c r="CA589" i="1"/>
  <c r="BI589" i="1"/>
  <c r="BJ589" i="1" s="1"/>
  <c r="BH589" i="1"/>
  <c r="J589" i="1"/>
  <c r="CA588" i="1"/>
  <c r="BJ588" i="1"/>
  <c r="BI588" i="1"/>
  <c r="BH588" i="1"/>
  <c r="J588" i="1"/>
  <c r="CA587" i="1"/>
  <c r="BL587" i="1"/>
  <c r="BJ587" i="1"/>
  <c r="BI587" i="1"/>
  <c r="AE587" i="1"/>
  <c r="J587" i="1"/>
  <c r="CA586" i="1"/>
  <c r="BI586" i="1"/>
  <c r="BJ586" i="1" s="1"/>
  <c r="BH586" i="1"/>
  <c r="AE586" i="1"/>
  <c r="J586" i="1"/>
  <c r="BL585" i="1"/>
  <c r="CA585" i="1" s="1"/>
  <c r="BJ585" i="1"/>
  <c r="BI585" i="1"/>
  <c r="AE585" i="1"/>
  <c r="J585" i="1"/>
  <c r="CA584" i="1"/>
  <c r="BI584" i="1"/>
  <c r="BH584" i="1"/>
  <c r="BJ584" i="1" s="1"/>
  <c r="AE584" i="1"/>
  <c r="J584" i="1"/>
  <c r="CA583" i="1"/>
  <c r="BI583" i="1"/>
  <c r="BH583" i="1"/>
  <c r="BJ583" i="1" s="1"/>
  <c r="AE583" i="1"/>
  <c r="J583" i="1"/>
  <c r="CA582" i="1"/>
  <c r="BI582" i="1"/>
  <c r="BJ582" i="1" s="1"/>
  <c r="BH582" i="1"/>
  <c r="AE582" i="1"/>
  <c r="J582" i="1"/>
  <c r="CA581" i="1"/>
  <c r="BL581" i="1"/>
  <c r="BJ581" i="1"/>
  <c r="BI581" i="1"/>
  <c r="AE581" i="1"/>
  <c r="J581" i="1"/>
  <c r="BJ580" i="1"/>
  <c r="BI580" i="1"/>
  <c r="BH580" i="1"/>
  <c r="BL580" i="1" s="1"/>
  <c r="CA580" i="1" s="1"/>
  <c r="AE580" i="1"/>
  <c r="J580" i="1"/>
  <c r="CA579" i="1"/>
  <c r="BI579" i="1"/>
  <c r="BH579" i="1"/>
  <c r="BJ579" i="1" s="1"/>
  <c r="AE579" i="1"/>
  <c r="J579" i="1"/>
  <c r="CA578" i="1"/>
  <c r="BI578" i="1"/>
  <c r="BH578" i="1"/>
  <c r="BJ578" i="1" s="1"/>
  <c r="AE578" i="1"/>
  <c r="J578" i="1"/>
  <c r="CA577" i="1"/>
  <c r="BR577" i="1"/>
  <c r="BI577" i="1"/>
  <c r="BH577" i="1"/>
  <c r="BL577" i="1" s="1"/>
  <c r="AE577" i="1"/>
  <c r="J577" i="1"/>
  <c r="CA576" i="1"/>
  <c r="BL576" i="1"/>
  <c r="BI576" i="1"/>
  <c r="BJ576" i="1" s="1"/>
  <c r="BH576" i="1"/>
  <c r="AE576" i="1"/>
  <c r="J576" i="1"/>
  <c r="CA575" i="1"/>
  <c r="BK575" i="1"/>
  <c r="BJ575" i="1"/>
  <c r="BI575" i="1"/>
  <c r="BH575" i="1"/>
  <c r="AE575" i="1"/>
  <c r="J575" i="1"/>
  <c r="CI574" i="1"/>
  <c r="BI574" i="1"/>
  <c r="AE574" i="1"/>
  <c r="J574" i="1"/>
  <c r="BZ573" i="1"/>
  <c r="BJ573" i="1"/>
  <c r="BI573" i="1"/>
  <c r="BH573" i="1"/>
  <c r="AE573" i="1"/>
  <c r="J573" i="1"/>
  <c r="BZ572" i="1"/>
  <c r="BJ572" i="1"/>
  <c r="AE572" i="1"/>
  <c r="J572" i="1"/>
  <c r="BI571" i="1"/>
  <c r="BH571" i="1"/>
  <c r="BZ571" i="1" s="1"/>
  <c r="AE571" i="1"/>
  <c r="J571" i="1"/>
  <c r="BZ570" i="1"/>
  <c r="BJ570" i="1"/>
  <c r="BI570" i="1"/>
  <c r="BH570" i="1"/>
  <c r="AE570" i="1"/>
  <c r="J570" i="1"/>
  <c r="BI569" i="1"/>
  <c r="BH569" i="1"/>
  <c r="BZ569" i="1" s="1"/>
  <c r="AE569" i="1"/>
  <c r="J569" i="1"/>
  <c r="BZ568" i="1"/>
  <c r="BJ568" i="1"/>
  <c r="AE568" i="1"/>
  <c r="J568" i="1"/>
  <c r="BZ567" i="1"/>
  <c r="BJ567" i="1"/>
  <c r="BI567" i="1"/>
  <c r="BH567" i="1"/>
  <c r="AE567" i="1"/>
  <c r="J567" i="1"/>
  <c r="BI566" i="1"/>
  <c r="BH566" i="1"/>
  <c r="BZ566" i="1" s="1"/>
  <c r="AE566" i="1"/>
  <c r="J566" i="1"/>
  <c r="DF565" i="1"/>
  <c r="DE565" i="1"/>
  <c r="DC565" i="1"/>
  <c r="CB565" i="1"/>
  <c r="CA565" i="1"/>
  <c r="BJ565" i="1"/>
  <c r="BI565" i="1"/>
  <c r="BH565" i="1"/>
  <c r="AE565" i="1"/>
  <c r="N565" i="1"/>
  <c r="J565" i="1"/>
  <c r="DF564" i="1"/>
  <c r="DE564" i="1"/>
  <c r="DC564" i="1"/>
  <c r="CB564" i="1"/>
  <c r="BT564" i="1"/>
  <c r="BL564" i="1"/>
  <c r="BI564" i="1"/>
  <c r="BJ564" i="1" s="1"/>
  <c r="BH564" i="1"/>
  <c r="AE564" i="1"/>
  <c r="N564" i="1"/>
  <c r="J564" i="1"/>
  <c r="DF563" i="1"/>
  <c r="DE563" i="1"/>
  <c r="DC563" i="1"/>
  <c r="CB563" i="1"/>
  <c r="CA563" i="1"/>
  <c r="BI563" i="1"/>
  <c r="BH563" i="1"/>
  <c r="AE563" i="1"/>
  <c r="N563" i="1"/>
  <c r="J563" i="1"/>
  <c r="DF562" i="1"/>
  <c r="DE562" i="1"/>
  <c r="DC562" i="1"/>
  <c r="CB562" i="1"/>
  <c r="BT562" i="1"/>
  <c r="BI562" i="1"/>
  <c r="BH562" i="1"/>
  <c r="AE562" i="1"/>
  <c r="N562" i="1"/>
  <c r="J562" i="1"/>
  <c r="DF561" i="1"/>
  <c r="DE561" i="1"/>
  <c r="DC561" i="1"/>
  <c r="CB561" i="1"/>
  <c r="CA561" i="1"/>
  <c r="BI561" i="1"/>
  <c r="BH561" i="1"/>
  <c r="BJ561" i="1" s="1"/>
  <c r="AE561" i="1"/>
  <c r="N561" i="1"/>
  <c r="J561" i="1"/>
  <c r="DF560" i="1"/>
  <c r="DE560" i="1"/>
  <c r="DC560" i="1"/>
  <c r="CB560" i="1"/>
  <c r="CA560" i="1"/>
  <c r="BI560" i="1"/>
  <c r="BH560" i="1"/>
  <c r="BJ560" i="1" s="1"/>
  <c r="AE560" i="1"/>
  <c r="N560" i="1"/>
  <c r="J560" i="1"/>
  <c r="DF559" i="1"/>
  <c r="DE559" i="1"/>
  <c r="DC559" i="1"/>
  <c r="CB559" i="1"/>
  <c r="BT559" i="1"/>
  <c r="BL559" i="1"/>
  <c r="CA559" i="1" s="1"/>
  <c r="BI559" i="1"/>
  <c r="BJ559" i="1" s="1"/>
  <c r="BH559" i="1"/>
  <c r="AE559" i="1"/>
  <c r="N559" i="1"/>
  <c r="J559" i="1"/>
  <c r="DF558" i="1"/>
  <c r="DE558" i="1"/>
  <c r="DC558" i="1"/>
  <c r="CB558" i="1"/>
  <c r="CA558" i="1"/>
  <c r="BI558" i="1"/>
  <c r="BH558" i="1"/>
  <c r="AE558" i="1"/>
  <c r="N558" i="1"/>
  <c r="J558" i="1"/>
  <c r="DF557" i="1"/>
  <c r="DE557" i="1"/>
  <c r="DC557" i="1"/>
  <c r="CB557" i="1"/>
  <c r="BT557" i="1"/>
  <c r="BI557" i="1"/>
  <c r="BH557" i="1"/>
  <c r="BL557" i="1" s="1"/>
  <c r="BS557" i="1" s="1"/>
  <c r="AE557" i="1"/>
  <c r="N557" i="1"/>
  <c r="J557" i="1"/>
  <c r="DF556" i="1"/>
  <c r="DE556" i="1"/>
  <c r="DC556" i="1"/>
  <c r="CB556" i="1"/>
  <c r="CA556" i="1"/>
  <c r="BT556" i="1"/>
  <c r="BL556" i="1"/>
  <c r="BS556" i="1" s="1"/>
  <c r="BI556" i="1"/>
  <c r="BH556" i="1"/>
  <c r="AE556" i="1"/>
  <c r="N556" i="1"/>
  <c r="J556" i="1"/>
  <c r="DC555" i="1"/>
  <c r="CB555" i="1"/>
  <c r="CA555" i="1"/>
  <c r="BI555" i="1"/>
  <c r="BH555" i="1"/>
  <c r="AE555" i="1"/>
  <c r="N555" i="1"/>
  <c r="J555" i="1"/>
  <c r="DF554" i="1"/>
  <c r="DE554" i="1"/>
  <c r="DC554" i="1"/>
  <c r="CB554" i="1"/>
  <c r="CA554" i="1"/>
  <c r="BI554" i="1"/>
  <c r="BJ554" i="1" s="1"/>
  <c r="BH554" i="1"/>
  <c r="AE554" i="1"/>
  <c r="N554" i="1"/>
  <c r="J554" i="1"/>
  <c r="DF553" i="1"/>
  <c r="DE553" i="1"/>
  <c r="DC553" i="1"/>
  <c r="CB553" i="1"/>
  <c r="CA553" i="1"/>
  <c r="BI553" i="1"/>
  <c r="BH553" i="1"/>
  <c r="AE553" i="1"/>
  <c r="N553" i="1"/>
  <c r="J553" i="1"/>
  <c r="DF552" i="1"/>
  <c r="DE552" i="1"/>
  <c r="DC552" i="1"/>
  <c r="CB552" i="1"/>
  <c r="CA552" i="1"/>
  <c r="BT552" i="1"/>
  <c r="BS552" i="1"/>
  <c r="BJ552" i="1"/>
  <c r="BI552" i="1"/>
  <c r="BH552" i="1"/>
  <c r="BL552" i="1" s="1"/>
  <c r="AE552" i="1"/>
  <c r="N552" i="1"/>
  <c r="J552" i="1"/>
  <c r="DF551" i="1"/>
  <c r="DE551" i="1"/>
  <c r="DC551" i="1"/>
  <c r="CB551" i="1"/>
  <c r="BT551" i="1"/>
  <c r="BL551" i="1"/>
  <c r="BS551" i="1" s="1"/>
  <c r="BI551" i="1"/>
  <c r="BH551" i="1"/>
  <c r="AE551" i="1"/>
  <c r="N551" i="1"/>
  <c r="J551" i="1"/>
  <c r="DF550" i="1"/>
  <c r="DE550" i="1"/>
  <c r="DC550" i="1"/>
  <c r="CB550" i="1"/>
  <c r="CA550" i="1"/>
  <c r="BJ550" i="1"/>
  <c r="BI550" i="1"/>
  <c r="BH550" i="1"/>
  <c r="AE550" i="1"/>
  <c r="N550" i="1"/>
  <c r="J550" i="1"/>
  <c r="DF549" i="1"/>
  <c r="DE549" i="1"/>
  <c r="DC549" i="1"/>
  <c r="CB549" i="1"/>
  <c r="BT549" i="1"/>
  <c r="BI549" i="1"/>
  <c r="BH549" i="1"/>
  <c r="BL549" i="1" s="1"/>
  <c r="CA549" i="1" s="1"/>
  <c r="AE549" i="1"/>
  <c r="N549" i="1"/>
  <c r="J549" i="1"/>
  <c r="DF548" i="1"/>
  <c r="DE548" i="1"/>
  <c r="DC548" i="1"/>
  <c r="CB548" i="1"/>
  <c r="CA548" i="1"/>
  <c r="BI548" i="1"/>
  <c r="BH548" i="1"/>
  <c r="BJ548" i="1" s="1"/>
  <c r="AE548" i="1"/>
  <c r="N548" i="1"/>
  <c r="J548" i="1"/>
  <c r="DF547" i="1"/>
  <c r="DE547" i="1"/>
  <c r="DC547" i="1"/>
  <c r="CB547" i="1"/>
  <c r="CA547" i="1"/>
  <c r="BI547" i="1"/>
  <c r="BH547" i="1"/>
  <c r="BJ547" i="1" s="1"/>
  <c r="AE547" i="1"/>
  <c r="N547" i="1"/>
  <c r="J547" i="1"/>
  <c r="DF546" i="1"/>
  <c r="DE546" i="1"/>
  <c r="DC546" i="1"/>
  <c r="CB546" i="1"/>
  <c r="CA546" i="1"/>
  <c r="BI546" i="1"/>
  <c r="BH546" i="1"/>
  <c r="BJ546" i="1" s="1"/>
  <c r="AE546" i="1"/>
  <c r="N546" i="1"/>
  <c r="J546" i="1"/>
  <c r="DF545" i="1"/>
  <c r="DE545" i="1"/>
  <c r="DC545" i="1"/>
  <c r="CB545" i="1"/>
  <c r="CA545" i="1"/>
  <c r="BI545" i="1"/>
  <c r="BH545" i="1"/>
  <c r="BJ545" i="1" s="1"/>
  <c r="AE545" i="1"/>
  <c r="N545" i="1"/>
  <c r="J545" i="1"/>
  <c r="DF544" i="1"/>
  <c r="DE544" i="1"/>
  <c r="DC544" i="1"/>
  <c r="CB544" i="1"/>
  <c r="BT544" i="1"/>
  <c r="BI544" i="1"/>
  <c r="BH544" i="1"/>
  <c r="BJ544" i="1" s="1"/>
  <c r="AE544" i="1"/>
  <c r="N544" i="1"/>
  <c r="J544" i="1"/>
  <c r="DF543" i="1"/>
  <c r="DE543" i="1"/>
  <c r="DC543" i="1"/>
  <c r="CB543" i="1"/>
  <c r="BT543" i="1"/>
  <c r="BJ543" i="1"/>
  <c r="BI543" i="1"/>
  <c r="BH543" i="1"/>
  <c r="BL543" i="1" s="1"/>
  <c r="CA543" i="1" s="1"/>
  <c r="AE543" i="1"/>
  <c r="N543" i="1"/>
  <c r="J543" i="1"/>
  <c r="DF542" i="1"/>
  <c r="DE542" i="1"/>
  <c r="DC542" i="1"/>
  <c r="CB542" i="1"/>
  <c r="CA542" i="1"/>
  <c r="BI542" i="1"/>
  <c r="BH542" i="1"/>
  <c r="BJ542" i="1" s="1"/>
  <c r="AE542" i="1"/>
  <c r="N542" i="1"/>
  <c r="J542" i="1"/>
  <c r="DF541" i="1"/>
  <c r="DE541" i="1"/>
  <c r="DC541" i="1"/>
  <c r="CB541" i="1"/>
  <c r="CA541" i="1"/>
  <c r="BJ541" i="1"/>
  <c r="BI541" i="1"/>
  <c r="BH541" i="1"/>
  <c r="AE541" i="1"/>
  <c r="N541" i="1"/>
  <c r="J541" i="1"/>
  <c r="DF540" i="1"/>
  <c r="DE540" i="1"/>
  <c r="DC540" i="1"/>
  <c r="CB540" i="1"/>
  <c r="CA540" i="1"/>
  <c r="BI540" i="1"/>
  <c r="BH540" i="1"/>
  <c r="BJ540" i="1" s="1"/>
  <c r="AE540" i="1"/>
  <c r="N540" i="1"/>
  <c r="J540" i="1"/>
  <c r="DF539" i="1"/>
  <c r="DE539" i="1"/>
  <c r="DC539" i="1"/>
  <c r="CB539" i="1"/>
  <c r="BT539" i="1"/>
  <c r="BL539" i="1"/>
  <c r="BJ539" i="1"/>
  <c r="BI539" i="1"/>
  <c r="BH539" i="1"/>
  <c r="AE539" i="1"/>
  <c r="N539" i="1"/>
  <c r="J539" i="1"/>
  <c r="DF538" i="1"/>
  <c r="DE538" i="1"/>
  <c r="DC538" i="1"/>
  <c r="CB538" i="1"/>
  <c r="BT538" i="1"/>
  <c r="BI538" i="1"/>
  <c r="BH538" i="1"/>
  <c r="BL538" i="1" s="1"/>
  <c r="CA538" i="1" s="1"/>
  <c r="AE538" i="1"/>
  <c r="N538" i="1"/>
  <c r="J538" i="1"/>
  <c r="DF537" i="1"/>
  <c r="DE537" i="1"/>
  <c r="DC537" i="1"/>
  <c r="CB537" i="1"/>
  <c r="BT537" i="1"/>
  <c r="BL537" i="1"/>
  <c r="BI537" i="1"/>
  <c r="BH537" i="1"/>
  <c r="BJ537" i="1" s="1"/>
  <c r="AE537" i="1"/>
  <c r="N537" i="1"/>
  <c r="J537" i="1"/>
  <c r="DF536" i="1"/>
  <c r="DE536" i="1"/>
  <c r="DC536" i="1"/>
  <c r="CB536" i="1"/>
  <c r="CA536" i="1"/>
  <c r="BI536" i="1"/>
  <c r="BJ536" i="1" s="1"/>
  <c r="BH536" i="1"/>
  <c r="AE536" i="1"/>
  <c r="N536" i="1"/>
  <c r="J536" i="1"/>
  <c r="DF535" i="1"/>
  <c r="DE535" i="1"/>
  <c r="DC535" i="1"/>
  <c r="CB535" i="1"/>
  <c r="BT535" i="1"/>
  <c r="BS535" i="1"/>
  <c r="BL535" i="1"/>
  <c r="CA535" i="1" s="1"/>
  <c r="BI535" i="1"/>
  <c r="BH535" i="1"/>
  <c r="BJ535" i="1" s="1"/>
  <c r="AE535" i="1"/>
  <c r="N535" i="1"/>
  <c r="J535" i="1"/>
  <c r="DF534" i="1"/>
  <c r="DE534" i="1"/>
  <c r="DC534" i="1"/>
  <c r="CB534" i="1"/>
  <c r="CA534" i="1"/>
  <c r="BI534" i="1"/>
  <c r="BH534" i="1"/>
  <c r="BJ534" i="1" s="1"/>
  <c r="AE534" i="1"/>
  <c r="N534" i="1"/>
  <c r="J534" i="1"/>
  <c r="DF533" i="1"/>
  <c r="DE533" i="1"/>
  <c r="DC533" i="1"/>
  <c r="CB533" i="1"/>
  <c r="CA533" i="1"/>
  <c r="BI533" i="1"/>
  <c r="BH533" i="1"/>
  <c r="BJ533" i="1" s="1"/>
  <c r="AE533" i="1"/>
  <c r="N533" i="1"/>
  <c r="J533" i="1"/>
  <c r="DF532" i="1"/>
  <c r="DE532" i="1"/>
  <c r="DC532" i="1"/>
  <c r="CB532" i="1"/>
  <c r="CA532" i="1"/>
  <c r="BI532" i="1"/>
  <c r="BH532" i="1"/>
  <c r="BJ532" i="1" s="1"/>
  <c r="AE532" i="1"/>
  <c r="N532" i="1"/>
  <c r="J532" i="1"/>
  <c r="DF531" i="1"/>
  <c r="DE531" i="1"/>
  <c r="DC531" i="1"/>
  <c r="CB531" i="1"/>
  <c r="CA531" i="1"/>
  <c r="BT531" i="1"/>
  <c r="BL531" i="1"/>
  <c r="BS531" i="1" s="1"/>
  <c r="BI531" i="1"/>
  <c r="BH531" i="1"/>
  <c r="BJ531" i="1" s="1"/>
  <c r="AE531" i="1"/>
  <c r="N531" i="1"/>
  <c r="J531" i="1"/>
  <c r="DF530" i="1"/>
  <c r="DE530" i="1"/>
  <c r="DC530" i="1"/>
  <c r="CB530" i="1"/>
  <c r="CA530" i="1"/>
  <c r="BI530" i="1"/>
  <c r="BJ530" i="1" s="1"/>
  <c r="BH530" i="1"/>
  <c r="AE530" i="1"/>
  <c r="N530" i="1"/>
  <c r="J530" i="1"/>
  <c r="C530" i="1"/>
  <c r="C531" i="1" s="1"/>
  <c r="C532" i="1" s="1"/>
  <c r="C533" i="1" s="1"/>
  <c r="C534" i="1" s="1"/>
  <c r="C535" i="1" s="1"/>
  <c r="C536" i="1" s="1"/>
  <c r="C537" i="1" s="1"/>
  <c r="C538" i="1" s="1"/>
  <c r="C539" i="1" s="1"/>
  <c r="C540" i="1" s="1"/>
  <c r="C541" i="1" s="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DF529" i="1"/>
  <c r="DE529" i="1"/>
  <c r="DC529" i="1"/>
  <c r="CB529" i="1"/>
  <c r="CA529" i="1"/>
  <c r="BI529" i="1"/>
  <c r="BH529" i="1"/>
  <c r="BJ529" i="1" s="1"/>
  <c r="AE529" i="1"/>
  <c r="N529" i="1"/>
  <c r="J529" i="1"/>
  <c r="DF528" i="1"/>
  <c r="DE528" i="1"/>
  <c r="BJ528" i="1"/>
  <c r="BI528" i="1"/>
  <c r="BK528" i="1" s="1"/>
  <c r="BL528" i="1" s="1"/>
  <c r="BH528" i="1"/>
  <c r="J528" i="1"/>
  <c r="C528" i="1"/>
  <c r="DF527" i="1"/>
  <c r="DE527" i="1"/>
  <c r="CL527" i="1"/>
  <c r="CI527" i="1"/>
  <c r="CF527" i="1"/>
  <c r="CA527" i="1"/>
  <c r="BS527" i="1"/>
  <c r="BI527" i="1"/>
  <c r="J527" i="1"/>
  <c r="BI526" i="1"/>
  <c r="BK526" i="1" s="1"/>
  <c r="BH526" i="1"/>
  <c r="J526" i="1"/>
  <c r="C526" i="1"/>
  <c r="C527" i="1" s="1"/>
  <c r="BZ525" i="1"/>
  <c r="BL525" i="1"/>
  <c r="BI525" i="1"/>
  <c r="BK525" i="1" s="1"/>
  <c r="BH525" i="1"/>
  <c r="BR525" i="1" s="1"/>
  <c r="J525" i="1"/>
  <c r="C525" i="1"/>
  <c r="BR524" i="1"/>
  <c r="BJ524" i="1"/>
  <c r="BI524" i="1"/>
  <c r="BH524" i="1"/>
  <c r="J524" i="1"/>
  <c r="C524" i="1"/>
  <c r="BJ523" i="1"/>
  <c r="BI523" i="1"/>
  <c r="BK523" i="1" s="1"/>
  <c r="BH523" i="1"/>
  <c r="BR523" i="1" s="1"/>
  <c r="J523" i="1"/>
  <c r="BI522" i="1"/>
  <c r="BK522" i="1" s="1"/>
  <c r="BH522" i="1"/>
  <c r="BR522" i="1" s="1"/>
  <c r="J522" i="1"/>
  <c r="C522" i="1"/>
  <c r="C523" i="1" s="1"/>
  <c r="BR521" i="1"/>
  <c r="BI521" i="1"/>
  <c r="BK521" i="1" s="1"/>
  <c r="BL521" i="1" s="1"/>
  <c r="BH521" i="1"/>
  <c r="BZ521" i="1" s="1"/>
  <c r="J521" i="1"/>
  <c r="C521" i="1"/>
  <c r="BK520" i="1"/>
  <c r="BJ520" i="1"/>
  <c r="BI520" i="1"/>
  <c r="BH520" i="1"/>
  <c r="BZ520" i="1" s="1"/>
  <c r="J520" i="1"/>
  <c r="BZ519" i="1"/>
  <c r="BR519" i="1"/>
  <c r="BK519" i="1"/>
  <c r="BL519" i="1" s="1"/>
  <c r="BI519" i="1"/>
  <c r="BJ519" i="1" s="1"/>
  <c r="BH519" i="1"/>
  <c r="J519" i="1"/>
  <c r="BJ518" i="1"/>
  <c r="BI518" i="1"/>
  <c r="BK518" i="1" s="1"/>
  <c r="BL518" i="1" s="1"/>
  <c r="BH518" i="1"/>
  <c r="BZ518" i="1" s="1"/>
  <c r="J518" i="1"/>
  <c r="BI517" i="1"/>
  <c r="BK517" i="1" s="1"/>
  <c r="BH517" i="1"/>
  <c r="J517" i="1"/>
  <c r="BI516" i="1"/>
  <c r="BK516" i="1" s="1"/>
  <c r="BH516" i="1"/>
  <c r="BR516" i="1" s="1"/>
  <c r="J516" i="1"/>
  <c r="BI515" i="1"/>
  <c r="BK515" i="1" s="1"/>
  <c r="BH515" i="1"/>
  <c r="J515" i="1"/>
  <c r="BZ514" i="1"/>
  <c r="BI514" i="1"/>
  <c r="BK514" i="1" s="1"/>
  <c r="BH514" i="1"/>
  <c r="BR514" i="1" s="1"/>
  <c r="J514" i="1"/>
  <c r="BI513" i="1"/>
  <c r="BK513" i="1" s="1"/>
  <c r="BH513" i="1"/>
  <c r="BZ513" i="1" s="1"/>
  <c r="J513" i="1"/>
  <c r="BI512" i="1"/>
  <c r="BK512" i="1" s="1"/>
  <c r="BH512" i="1"/>
  <c r="BZ512" i="1" s="1"/>
  <c r="J512" i="1"/>
  <c r="BJ511" i="1"/>
  <c r="BI511" i="1"/>
  <c r="BK511" i="1" s="1"/>
  <c r="BH511" i="1"/>
  <c r="BZ511" i="1" s="1"/>
  <c r="J511" i="1"/>
  <c r="BZ510" i="1"/>
  <c r="BR510" i="1"/>
  <c r="BK510" i="1"/>
  <c r="BL510" i="1" s="1"/>
  <c r="BJ510" i="1"/>
  <c r="BI510" i="1"/>
  <c r="BH510" i="1"/>
  <c r="J510" i="1"/>
  <c r="BZ509" i="1"/>
  <c r="BR509" i="1"/>
  <c r="BL509" i="1"/>
  <c r="BK509" i="1"/>
  <c r="BJ509" i="1"/>
  <c r="BI509" i="1"/>
  <c r="BH509" i="1"/>
  <c r="J509" i="1"/>
  <c r="C509" i="1"/>
  <c r="C510" i="1" s="1"/>
  <c r="C511" i="1" s="1"/>
  <c r="C512" i="1" s="1"/>
  <c r="C513" i="1" s="1"/>
  <c r="C514" i="1" s="1"/>
  <c r="C515" i="1" s="1"/>
  <c r="C516" i="1" s="1"/>
  <c r="C517" i="1" s="1"/>
  <c r="C518" i="1" s="1"/>
  <c r="C519" i="1" s="1"/>
  <c r="C520" i="1" s="1"/>
  <c r="BZ508" i="1"/>
  <c r="BR508" i="1"/>
  <c r="BL508" i="1"/>
  <c r="BK508" i="1"/>
  <c r="BI508" i="1"/>
  <c r="BH508" i="1"/>
  <c r="BJ508" i="1" s="1"/>
  <c r="J508" i="1"/>
  <c r="CA507" i="1"/>
  <c r="BS507" i="1"/>
  <c r="BK507" i="1"/>
  <c r="BJ507" i="1"/>
  <c r="BI507" i="1"/>
  <c r="BH507" i="1"/>
  <c r="J507" i="1"/>
  <c r="BS506" i="1"/>
  <c r="BL506" i="1"/>
  <c r="CA506" i="1" s="1"/>
  <c r="BK506" i="1"/>
  <c r="BI506" i="1"/>
  <c r="BH506" i="1"/>
  <c r="BJ506" i="1" s="1"/>
  <c r="J506" i="1"/>
  <c r="BI505" i="1"/>
  <c r="BK505" i="1" s="1"/>
  <c r="BL505" i="1" s="1"/>
  <c r="BH505" i="1"/>
  <c r="BJ505" i="1" s="1"/>
  <c r="J505" i="1"/>
  <c r="CA504" i="1"/>
  <c r="BS504" i="1"/>
  <c r="BI504" i="1"/>
  <c r="BK504" i="1" s="1"/>
  <c r="BH504" i="1"/>
  <c r="BJ504" i="1" s="1"/>
  <c r="J504" i="1"/>
  <c r="C504" i="1"/>
  <c r="C505" i="1" s="1"/>
  <c r="C506" i="1" s="1"/>
  <c r="C507" i="1" s="1"/>
  <c r="CA503" i="1"/>
  <c r="BS503" i="1"/>
  <c r="BI503" i="1"/>
  <c r="BK503" i="1" s="1"/>
  <c r="BH503" i="1"/>
  <c r="BJ503" i="1" s="1"/>
  <c r="J503" i="1"/>
  <c r="BF501" i="1"/>
  <c r="BE501" i="1"/>
  <c r="BD501" i="1"/>
  <c r="BB501" i="1"/>
  <c r="BA501" i="1"/>
  <c r="AZ501" i="1"/>
  <c r="DG500" i="1"/>
  <c r="BF500" i="1"/>
  <c r="BE500" i="1"/>
  <c r="BD500" i="1"/>
  <c r="BB500" i="1"/>
  <c r="BA500" i="1"/>
  <c r="AZ500" i="1"/>
  <c r="DG499" i="1"/>
  <c r="BF499" i="1"/>
  <c r="BE499" i="1"/>
  <c r="BD499" i="1"/>
  <c r="BB499" i="1"/>
  <c r="BA499" i="1"/>
  <c r="AZ499" i="1"/>
  <c r="AX499" i="1"/>
  <c r="AW499" i="1"/>
  <c r="AV499" i="1"/>
  <c r="AT499" i="1"/>
  <c r="AS499" i="1"/>
  <c r="AR499" i="1"/>
  <c r="DG498" i="1"/>
  <c r="BF498" i="1"/>
  <c r="BE498" i="1"/>
  <c r="BD498" i="1"/>
  <c r="BB498" i="1"/>
  <c r="BA498" i="1"/>
  <c r="AZ498" i="1"/>
  <c r="AX498" i="1"/>
  <c r="AW498" i="1"/>
  <c r="AV498" i="1"/>
  <c r="AT498" i="1"/>
  <c r="AS498" i="1"/>
  <c r="AR498" i="1"/>
  <c r="DG497" i="1"/>
  <c r="BF497" i="1"/>
  <c r="BE497" i="1"/>
  <c r="BD497" i="1"/>
  <c r="BB497" i="1"/>
  <c r="BA497" i="1"/>
  <c r="AZ497" i="1"/>
  <c r="AX497" i="1"/>
  <c r="AW497" i="1"/>
  <c r="AV497" i="1"/>
  <c r="AT497" i="1"/>
  <c r="AS497" i="1"/>
  <c r="AR497" i="1"/>
  <c r="DG496" i="1"/>
  <c r="BF496" i="1"/>
  <c r="BE496" i="1"/>
  <c r="BD496" i="1"/>
  <c r="BB496" i="1"/>
  <c r="BA496" i="1"/>
  <c r="AZ496" i="1"/>
  <c r="AX496" i="1"/>
  <c r="AW496" i="1"/>
  <c r="AV496" i="1"/>
  <c r="AT496" i="1"/>
  <c r="AS496" i="1"/>
  <c r="AR496" i="1"/>
  <c r="DG495" i="1"/>
  <c r="DD495" i="1"/>
  <c r="BF495" i="1"/>
  <c r="BE495" i="1"/>
  <c r="BD495" i="1"/>
  <c r="BB495" i="1"/>
  <c r="BA495" i="1"/>
  <c r="AZ495" i="1"/>
  <c r="AX495" i="1"/>
  <c r="AW495" i="1"/>
  <c r="AV495" i="1"/>
  <c r="AT495" i="1"/>
  <c r="AS495" i="1"/>
  <c r="AR495" i="1"/>
  <c r="DG494" i="1"/>
  <c r="DD494" i="1"/>
  <c r="BF494" i="1"/>
  <c r="BE494" i="1"/>
  <c r="BD494" i="1"/>
  <c r="BB494" i="1"/>
  <c r="BA494" i="1"/>
  <c r="AZ494" i="1"/>
  <c r="AX494" i="1"/>
  <c r="AW494" i="1"/>
  <c r="AV494" i="1"/>
  <c r="AT494" i="1"/>
  <c r="AS494" i="1"/>
  <c r="AR494" i="1"/>
  <c r="DG493" i="1"/>
  <c r="DD493" i="1"/>
  <c r="BF493" i="1"/>
  <c r="BE493" i="1"/>
  <c r="BD493" i="1"/>
  <c r="BB493" i="1"/>
  <c r="BA493" i="1"/>
  <c r="AZ493" i="1"/>
  <c r="AX493" i="1"/>
  <c r="AW493" i="1"/>
  <c r="AV493" i="1"/>
  <c r="AT493" i="1"/>
  <c r="AS493" i="1"/>
  <c r="AR493" i="1"/>
  <c r="DG492" i="1"/>
  <c r="DD492" i="1"/>
  <c r="BF492" i="1"/>
  <c r="BE492" i="1"/>
  <c r="BD492" i="1"/>
  <c r="BB492" i="1"/>
  <c r="BA492" i="1"/>
  <c r="AZ492" i="1"/>
  <c r="AX492" i="1"/>
  <c r="AW492" i="1"/>
  <c r="AV492" i="1"/>
  <c r="AT492" i="1"/>
  <c r="AS492" i="1"/>
  <c r="AR492" i="1"/>
  <c r="DG491" i="1"/>
  <c r="DD491" i="1"/>
  <c r="F491" i="1"/>
  <c r="E491" i="1"/>
  <c r="D491" i="1"/>
  <c r="DG490" i="1"/>
  <c r="DD490" i="1"/>
  <c r="DG67" i="1"/>
  <c r="DF67" i="1"/>
  <c r="DE67" i="1"/>
  <c r="DD67" i="1"/>
  <c r="DB67" i="1"/>
  <c r="CD67" i="1"/>
  <c r="CC67" i="1"/>
  <c r="BV67" i="1"/>
  <c r="BU67" i="1"/>
  <c r="J67" i="1"/>
  <c r="DG92" i="1"/>
  <c r="DF92" i="1"/>
  <c r="DE92" i="1"/>
  <c r="DD92" i="1"/>
  <c r="DB92" i="1"/>
  <c r="CD92" i="1"/>
  <c r="CC92" i="1"/>
  <c r="BV92" i="1"/>
  <c r="BU92" i="1"/>
  <c r="J92" i="1"/>
  <c r="DG487" i="1"/>
  <c r="DF487" i="1"/>
  <c r="DE487" i="1"/>
  <c r="DD487" i="1"/>
  <c r="DB487" i="1"/>
  <c r="CD487" i="1"/>
  <c r="CC487" i="1"/>
  <c r="BV487" i="1"/>
  <c r="BU487" i="1"/>
  <c r="J487" i="1"/>
  <c r="DG268" i="1"/>
  <c r="DF268" i="1"/>
  <c r="DE268" i="1"/>
  <c r="DD268" i="1"/>
  <c r="DB268" i="1"/>
  <c r="CD268" i="1"/>
  <c r="CC268" i="1"/>
  <c r="BV268" i="1"/>
  <c r="BU268" i="1"/>
  <c r="J268" i="1"/>
  <c r="DG217" i="1"/>
  <c r="DF217" i="1"/>
  <c r="DE217" i="1"/>
  <c r="DD217" i="1"/>
  <c r="DB217" i="1"/>
  <c r="CD217" i="1"/>
  <c r="CC217" i="1"/>
  <c r="BV217" i="1"/>
  <c r="BU217" i="1"/>
  <c r="J217" i="1"/>
  <c r="DG257" i="1"/>
  <c r="DF257" i="1"/>
  <c r="DE257" i="1"/>
  <c r="DD257" i="1"/>
  <c r="DB257" i="1"/>
  <c r="CD257" i="1"/>
  <c r="CC257" i="1"/>
  <c r="BV257" i="1"/>
  <c r="BU257" i="1"/>
  <c r="J257" i="1"/>
  <c r="DG70" i="1"/>
  <c r="DF70" i="1"/>
  <c r="DE70" i="1"/>
  <c r="DD70" i="1"/>
  <c r="CD70" i="1"/>
  <c r="CC70" i="1"/>
  <c r="BV70" i="1"/>
  <c r="BU70" i="1"/>
  <c r="J70" i="1"/>
  <c r="DG482" i="1"/>
  <c r="DF482" i="1"/>
  <c r="DE482" i="1"/>
  <c r="DD482" i="1"/>
  <c r="DB482" i="1"/>
  <c r="CD482" i="1"/>
  <c r="CC482" i="1"/>
  <c r="BV482" i="1"/>
  <c r="BU482" i="1"/>
  <c r="J482" i="1"/>
  <c r="DG68" i="1"/>
  <c r="DF68" i="1"/>
  <c r="DE68" i="1"/>
  <c r="DD68" i="1"/>
  <c r="DB68" i="1"/>
  <c r="CD68" i="1"/>
  <c r="CC68" i="1"/>
  <c r="BV68" i="1"/>
  <c r="BU68" i="1"/>
  <c r="J68" i="1"/>
  <c r="DG455" i="1"/>
  <c r="DF455" i="1"/>
  <c r="DE455" i="1"/>
  <c r="DD455" i="1"/>
  <c r="DB455" i="1"/>
  <c r="CD455" i="1"/>
  <c r="CC455" i="1"/>
  <c r="BV455" i="1"/>
  <c r="BU455" i="1"/>
  <c r="J455" i="1"/>
  <c r="DG483" i="1"/>
  <c r="DF483" i="1"/>
  <c r="DE483" i="1"/>
  <c r="DD483" i="1"/>
  <c r="DB483" i="1"/>
  <c r="CD483" i="1"/>
  <c r="CC483" i="1"/>
  <c r="BV483" i="1"/>
  <c r="BU483" i="1"/>
  <c r="J483" i="1"/>
  <c r="DG478" i="1"/>
  <c r="DF478" i="1"/>
  <c r="DE478" i="1"/>
  <c r="DD478" i="1"/>
  <c r="DB478" i="1"/>
  <c r="CD478" i="1"/>
  <c r="CC478" i="1"/>
  <c r="BV478" i="1"/>
  <c r="BU478" i="1"/>
  <c r="J478" i="1"/>
  <c r="DG477" i="1"/>
  <c r="DF477" i="1"/>
  <c r="DE477" i="1"/>
  <c r="DD477" i="1"/>
  <c r="DB477" i="1"/>
  <c r="CD477" i="1"/>
  <c r="CC477" i="1"/>
  <c r="BV477" i="1"/>
  <c r="BU477" i="1"/>
  <c r="J477" i="1"/>
  <c r="DG21" i="1"/>
  <c r="DF21" i="1"/>
  <c r="DE21" i="1"/>
  <c r="DD21" i="1"/>
  <c r="DB21" i="1"/>
  <c r="CD21" i="1"/>
  <c r="CC21" i="1"/>
  <c r="BV21" i="1"/>
  <c r="BU21" i="1"/>
  <c r="J21" i="1"/>
  <c r="DG167" i="1"/>
  <c r="DF167" i="1"/>
  <c r="DE167" i="1"/>
  <c r="DD167" i="1"/>
  <c r="DB167" i="1"/>
  <c r="CD167" i="1"/>
  <c r="CC167" i="1"/>
  <c r="BV167" i="1"/>
  <c r="BU167" i="1"/>
  <c r="J167" i="1"/>
  <c r="DG474" i="1"/>
  <c r="DF474" i="1"/>
  <c r="DE474" i="1"/>
  <c r="DD474" i="1"/>
  <c r="DB474" i="1"/>
  <c r="BH474" i="1"/>
  <c r="J474" i="1"/>
  <c r="DG473" i="1"/>
  <c r="DF473" i="1"/>
  <c r="DE473" i="1"/>
  <c r="DD473" i="1"/>
  <c r="DB473" i="1"/>
  <c r="CD473" i="1"/>
  <c r="CC473" i="1"/>
  <c r="BV473" i="1"/>
  <c r="BU473" i="1"/>
  <c r="BR473" i="1"/>
  <c r="AE473" i="1"/>
  <c r="J473" i="1"/>
  <c r="DG300" i="1"/>
  <c r="DF300" i="1"/>
  <c r="DE300" i="1"/>
  <c r="DD300" i="1"/>
  <c r="CD300" i="1"/>
  <c r="CC300" i="1"/>
  <c r="BV300" i="1"/>
  <c r="BU300" i="1"/>
  <c r="BR300" i="1"/>
  <c r="AE300" i="1"/>
  <c r="J300" i="1"/>
  <c r="DG428" i="1"/>
  <c r="DF428" i="1"/>
  <c r="DE428" i="1"/>
  <c r="DD428" i="1"/>
  <c r="DB428" i="1"/>
  <c r="CD428" i="1"/>
  <c r="CC428" i="1"/>
  <c r="BV428" i="1"/>
  <c r="BU428" i="1"/>
  <c r="J428" i="1"/>
  <c r="DG20" i="1"/>
  <c r="DF20" i="1"/>
  <c r="DE20" i="1"/>
  <c r="DD20" i="1"/>
  <c r="DB20" i="1"/>
  <c r="CD20" i="1"/>
  <c r="CC20" i="1"/>
  <c r="BV20" i="1"/>
  <c r="BU20" i="1"/>
  <c r="J20" i="1"/>
  <c r="DG406" i="1"/>
  <c r="DF406" i="1"/>
  <c r="DE406" i="1"/>
  <c r="DD406" i="1"/>
  <c r="DB406" i="1"/>
  <c r="CD406" i="1"/>
  <c r="CC406" i="1"/>
  <c r="BV406" i="1"/>
  <c r="BU406" i="1"/>
  <c r="J406" i="1"/>
  <c r="DG203" i="1"/>
  <c r="DF203" i="1"/>
  <c r="DE203" i="1"/>
  <c r="DD203" i="1"/>
  <c r="DB203" i="1"/>
  <c r="CD203" i="1"/>
  <c r="BV203" i="1"/>
  <c r="BH203" i="1"/>
  <c r="J203" i="1"/>
  <c r="DG467" i="1"/>
  <c r="DF467" i="1"/>
  <c r="DE467" i="1"/>
  <c r="DD467" i="1"/>
  <c r="DB467" i="1"/>
  <c r="CD467" i="1"/>
  <c r="CC467" i="1"/>
  <c r="BV467" i="1"/>
  <c r="BU467" i="1"/>
  <c r="J467" i="1"/>
  <c r="DG82" i="1"/>
  <c r="DF82" i="1"/>
  <c r="DE82" i="1"/>
  <c r="DD82" i="1"/>
  <c r="DB82" i="1"/>
  <c r="CD82" i="1"/>
  <c r="BV82" i="1"/>
  <c r="J82" i="1"/>
  <c r="DG465" i="1"/>
  <c r="DF465" i="1"/>
  <c r="DE465" i="1"/>
  <c r="DD465" i="1"/>
  <c r="DB465" i="1"/>
  <c r="CD465" i="1"/>
  <c r="CC465" i="1"/>
  <c r="BV465" i="1"/>
  <c r="BU465" i="1"/>
  <c r="J465" i="1"/>
  <c r="DG211" i="1"/>
  <c r="DF211" i="1"/>
  <c r="DE211" i="1"/>
  <c r="DD211" i="1"/>
  <c r="DB211" i="1"/>
  <c r="CD211" i="1"/>
  <c r="CC211" i="1"/>
  <c r="BV211" i="1"/>
  <c r="BU211" i="1"/>
  <c r="J211" i="1"/>
  <c r="DG463" i="1"/>
  <c r="DF463" i="1"/>
  <c r="DE463" i="1"/>
  <c r="DD463" i="1"/>
  <c r="DB463" i="1"/>
  <c r="CD463" i="1"/>
  <c r="CC463" i="1"/>
  <c r="BV463" i="1"/>
  <c r="BU463" i="1"/>
  <c r="BH463" i="1"/>
  <c r="J463" i="1"/>
  <c r="DG99" i="1"/>
  <c r="DF99" i="1"/>
  <c r="DE99" i="1"/>
  <c r="DD99" i="1"/>
  <c r="DB99" i="1"/>
  <c r="CD99" i="1"/>
  <c r="CC99" i="1"/>
  <c r="BV99" i="1"/>
  <c r="BU99" i="1"/>
  <c r="J99" i="1"/>
  <c r="DG461" i="1"/>
  <c r="DF461" i="1"/>
  <c r="DE461" i="1"/>
  <c r="DD461" i="1"/>
  <c r="DB461" i="1"/>
  <c r="CD461" i="1"/>
  <c r="CC461" i="1"/>
  <c r="BV461" i="1"/>
  <c r="BU461" i="1"/>
  <c r="J461" i="1"/>
  <c r="DG460" i="1"/>
  <c r="DF460" i="1"/>
  <c r="DE460" i="1"/>
  <c r="DD460" i="1"/>
  <c r="DB460" i="1"/>
  <c r="CD460" i="1"/>
  <c r="CC460" i="1"/>
  <c r="BV460" i="1"/>
  <c r="BU460" i="1"/>
  <c r="J460" i="1"/>
  <c r="DG59" i="1"/>
  <c r="DF59" i="1"/>
  <c r="DE59" i="1"/>
  <c r="DD59" i="1"/>
  <c r="DB59" i="1"/>
  <c r="CD59" i="1"/>
  <c r="CC59" i="1"/>
  <c r="BV59" i="1"/>
  <c r="BU59" i="1"/>
  <c r="J59" i="1"/>
  <c r="DG309" i="1"/>
  <c r="DF309" i="1"/>
  <c r="DE309" i="1"/>
  <c r="DD309" i="1"/>
  <c r="DB309" i="1"/>
  <c r="CD309" i="1"/>
  <c r="BV309" i="1"/>
  <c r="BH309" i="1"/>
  <c r="J309" i="1"/>
  <c r="DG457" i="1"/>
  <c r="DF457" i="1"/>
  <c r="DE457" i="1"/>
  <c r="DD457" i="1"/>
  <c r="DB457" i="1"/>
  <c r="CD457" i="1"/>
  <c r="CC457" i="1"/>
  <c r="BV457" i="1"/>
  <c r="BU457" i="1"/>
  <c r="J457" i="1"/>
  <c r="DG134" i="1"/>
  <c r="DF134" i="1"/>
  <c r="DE134" i="1"/>
  <c r="DD134" i="1"/>
  <c r="DB134" i="1"/>
  <c r="CD134" i="1"/>
  <c r="CC134" i="1"/>
  <c r="BV134" i="1"/>
  <c r="BU134" i="1"/>
  <c r="J134" i="1"/>
  <c r="DG306" i="1"/>
  <c r="DF306" i="1"/>
  <c r="DE306" i="1"/>
  <c r="DD306" i="1"/>
  <c r="DB306" i="1"/>
  <c r="CD306" i="1"/>
  <c r="CC306" i="1"/>
  <c r="BV306" i="1"/>
  <c r="BU306" i="1"/>
  <c r="J306" i="1"/>
  <c r="DG65" i="1"/>
  <c r="DF65" i="1"/>
  <c r="DE65" i="1"/>
  <c r="DD65" i="1"/>
  <c r="CD65" i="1"/>
  <c r="CC65" i="1"/>
  <c r="BV65" i="1"/>
  <c r="BU65" i="1"/>
  <c r="J65" i="1"/>
  <c r="DG453" i="1"/>
  <c r="DF453" i="1"/>
  <c r="DE453" i="1"/>
  <c r="DD453" i="1"/>
  <c r="DB453" i="1"/>
  <c r="CD453" i="1"/>
  <c r="CC453" i="1"/>
  <c r="BV453" i="1"/>
  <c r="BU453" i="1"/>
  <c r="J453" i="1"/>
  <c r="DG434" i="1"/>
  <c r="DF434" i="1"/>
  <c r="DE434" i="1"/>
  <c r="DD434" i="1"/>
  <c r="DB434" i="1"/>
  <c r="CD434" i="1"/>
  <c r="CC434" i="1"/>
  <c r="CB434" i="1"/>
  <c r="BV434" i="1"/>
  <c r="BU434" i="1"/>
  <c r="BH434" i="1"/>
  <c r="J434" i="1"/>
  <c r="DG324" i="1"/>
  <c r="DF324" i="1"/>
  <c r="DE324" i="1"/>
  <c r="DD324" i="1"/>
  <c r="DB324" i="1"/>
  <c r="CD324" i="1"/>
  <c r="CC324" i="1"/>
  <c r="CB324" i="1"/>
  <c r="BV324" i="1"/>
  <c r="BU324" i="1"/>
  <c r="BH324" i="1"/>
  <c r="J324" i="1"/>
  <c r="DG314" i="1"/>
  <c r="DF314" i="1"/>
  <c r="DE314" i="1"/>
  <c r="DD314" i="1"/>
  <c r="DB314" i="1"/>
  <c r="CD314" i="1"/>
  <c r="CC314" i="1"/>
  <c r="CB314" i="1"/>
  <c r="BV314" i="1"/>
  <c r="BU314" i="1"/>
  <c r="BH314" i="1"/>
  <c r="J314" i="1"/>
  <c r="DG449" i="1"/>
  <c r="DF449" i="1"/>
  <c r="DE449" i="1"/>
  <c r="DD449" i="1"/>
  <c r="DB449" i="1"/>
  <c r="CD449" i="1"/>
  <c r="CC449" i="1"/>
  <c r="CB449" i="1"/>
  <c r="BV449" i="1"/>
  <c r="BU449" i="1"/>
  <c r="J449" i="1"/>
  <c r="DG304" i="1"/>
  <c r="DF304" i="1"/>
  <c r="DE304" i="1"/>
  <c r="DD304" i="1"/>
  <c r="DB304" i="1"/>
  <c r="CD304" i="1"/>
  <c r="CC304" i="1"/>
  <c r="CB304" i="1"/>
  <c r="BV304" i="1"/>
  <c r="BU304" i="1"/>
  <c r="BH304" i="1"/>
  <c r="J304" i="1"/>
  <c r="DG447" i="1"/>
  <c r="DF447" i="1"/>
  <c r="DE447" i="1"/>
  <c r="DD447" i="1"/>
  <c r="DB447" i="1"/>
  <c r="CD447" i="1"/>
  <c r="CC447" i="1"/>
  <c r="CB447" i="1"/>
  <c r="BV447" i="1"/>
  <c r="BU447" i="1"/>
  <c r="BH447" i="1"/>
  <c r="J447" i="1"/>
  <c r="DG446" i="1"/>
  <c r="DF446" i="1"/>
  <c r="DE446" i="1"/>
  <c r="DD446" i="1"/>
  <c r="DB446" i="1"/>
  <c r="CD446" i="1"/>
  <c r="CC446" i="1"/>
  <c r="CB446" i="1"/>
  <c r="BV446" i="1"/>
  <c r="BU446" i="1"/>
  <c r="BH446" i="1"/>
  <c r="J446" i="1"/>
  <c r="DG337" i="1"/>
  <c r="DF337" i="1"/>
  <c r="DE337" i="1"/>
  <c r="DD337" i="1"/>
  <c r="DB337" i="1"/>
  <c r="CD337" i="1"/>
  <c r="BV337" i="1"/>
  <c r="BH337" i="1"/>
  <c r="J337" i="1"/>
  <c r="DG444" i="1"/>
  <c r="DF444" i="1"/>
  <c r="DE444" i="1"/>
  <c r="DD444" i="1"/>
  <c r="DB444" i="1"/>
  <c r="CD444" i="1"/>
  <c r="BV444" i="1"/>
  <c r="BH444" i="1"/>
  <c r="J444" i="1"/>
  <c r="DG63" i="1"/>
  <c r="DF63" i="1"/>
  <c r="DE63" i="1"/>
  <c r="DD63" i="1"/>
  <c r="DB63" i="1"/>
  <c r="CD63" i="1"/>
  <c r="CC63" i="1"/>
  <c r="BV63" i="1"/>
  <c r="BU63" i="1"/>
  <c r="BH63" i="1"/>
  <c r="J63" i="1"/>
  <c r="DB442" i="1"/>
  <c r="J442" i="1"/>
  <c r="DG214" i="1"/>
  <c r="DF214" i="1"/>
  <c r="DE214" i="1"/>
  <c r="DD214" i="1"/>
  <c r="DB214" i="1"/>
  <c r="CD214" i="1"/>
  <c r="BV214" i="1"/>
  <c r="BH214" i="1"/>
  <c r="J214" i="1"/>
  <c r="DG440" i="1"/>
  <c r="DF440" i="1"/>
  <c r="DE440" i="1"/>
  <c r="DD440" i="1"/>
  <c r="DB440" i="1"/>
  <c r="CD440" i="1"/>
  <c r="CC440" i="1"/>
  <c r="BV440" i="1"/>
  <c r="BU440" i="1"/>
  <c r="J440" i="1"/>
  <c r="DG404" i="1"/>
  <c r="DF404" i="1"/>
  <c r="DE404" i="1"/>
  <c r="DD404" i="1"/>
  <c r="DB404" i="1"/>
  <c r="CD404" i="1"/>
  <c r="CC404" i="1"/>
  <c r="BV404" i="1"/>
  <c r="BU404" i="1"/>
  <c r="J404" i="1"/>
  <c r="DG335" i="1"/>
  <c r="DF335" i="1"/>
  <c r="DE335" i="1"/>
  <c r="DD335" i="1"/>
  <c r="DB335" i="1"/>
  <c r="CD335" i="1"/>
  <c r="CC335" i="1"/>
  <c r="BV335" i="1"/>
  <c r="BU335" i="1"/>
  <c r="J335" i="1"/>
  <c r="DG437" i="1"/>
  <c r="DF437" i="1"/>
  <c r="DE437" i="1"/>
  <c r="DD437" i="1"/>
  <c r="DB437" i="1"/>
  <c r="CD437" i="1"/>
  <c r="BV437" i="1"/>
  <c r="BH437" i="1"/>
  <c r="J437" i="1"/>
  <c r="DG436" i="1"/>
  <c r="DF436" i="1"/>
  <c r="DE436" i="1"/>
  <c r="DD436" i="1"/>
  <c r="DB436" i="1"/>
  <c r="CD436" i="1"/>
  <c r="CC436" i="1"/>
  <c r="BV436" i="1"/>
  <c r="BU436" i="1"/>
  <c r="J436" i="1"/>
  <c r="DG435" i="1"/>
  <c r="DF435" i="1"/>
  <c r="DE435" i="1"/>
  <c r="DD435" i="1"/>
  <c r="CD435" i="1"/>
  <c r="CC435" i="1"/>
  <c r="BV435" i="1"/>
  <c r="BU435" i="1"/>
  <c r="J435" i="1"/>
  <c r="DG294" i="1"/>
  <c r="DF294" i="1"/>
  <c r="DE294" i="1"/>
  <c r="DD294" i="1"/>
  <c r="DB294" i="1"/>
  <c r="CD294" i="1"/>
  <c r="BV294" i="1"/>
  <c r="BH294" i="1"/>
  <c r="J294" i="1"/>
  <c r="DG433" i="1"/>
  <c r="DF433" i="1"/>
  <c r="DE433" i="1"/>
  <c r="DD433" i="1"/>
  <c r="DB433" i="1"/>
  <c r="CD433" i="1"/>
  <c r="CC433" i="1"/>
  <c r="CB433" i="1"/>
  <c r="BV433" i="1"/>
  <c r="BU433" i="1"/>
  <c r="J433" i="1"/>
  <c r="DG407" i="1"/>
  <c r="DF407" i="1"/>
  <c r="DE407" i="1"/>
  <c r="DD407" i="1"/>
  <c r="DB407" i="1"/>
  <c r="CD407" i="1"/>
  <c r="CC407" i="1"/>
  <c r="BV407" i="1"/>
  <c r="BU407" i="1"/>
  <c r="J407" i="1"/>
  <c r="DG431" i="1"/>
  <c r="DF431" i="1"/>
  <c r="DE431" i="1"/>
  <c r="DD431" i="1"/>
  <c r="DB431" i="1"/>
  <c r="CD431" i="1"/>
  <c r="CC431" i="1"/>
  <c r="CB431" i="1"/>
  <c r="BV431" i="1"/>
  <c r="BU431" i="1"/>
  <c r="BH431" i="1"/>
  <c r="J431" i="1"/>
  <c r="DG316" i="1"/>
  <c r="DF316" i="1"/>
  <c r="DE316" i="1"/>
  <c r="DD316" i="1"/>
  <c r="DB316" i="1"/>
  <c r="CD316" i="1"/>
  <c r="CC316" i="1"/>
  <c r="BV316" i="1"/>
  <c r="BU316" i="1"/>
  <c r="J316" i="1"/>
  <c r="DG429" i="1"/>
  <c r="DF429" i="1"/>
  <c r="DE429" i="1"/>
  <c r="DD429" i="1"/>
  <c r="CD429" i="1"/>
  <c r="CC429" i="1"/>
  <c r="CB429" i="1"/>
  <c r="BV429" i="1"/>
  <c r="BU429" i="1"/>
  <c r="AE429" i="1"/>
  <c r="J429" i="1"/>
  <c r="DG253" i="1"/>
  <c r="DF253" i="1"/>
  <c r="DE253" i="1"/>
  <c r="DD253" i="1"/>
  <c r="DB253" i="1"/>
  <c r="CD253" i="1"/>
  <c r="CC253" i="1"/>
  <c r="CB253" i="1"/>
  <c r="BV253" i="1"/>
  <c r="BU253" i="1"/>
  <c r="BH253" i="1"/>
  <c r="AE253" i="1"/>
  <c r="J253" i="1"/>
  <c r="DG427" i="1"/>
  <c r="DF427" i="1"/>
  <c r="DE427" i="1"/>
  <c r="DD427" i="1"/>
  <c r="DB427" i="1"/>
  <c r="CD427" i="1"/>
  <c r="CC427" i="1"/>
  <c r="CB427" i="1"/>
  <c r="BV427" i="1"/>
  <c r="BU427" i="1"/>
  <c r="AE427" i="1"/>
  <c r="J427" i="1"/>
  <c r="DG151" i="1"/>
  <c r="DF151" i="1"/>
  <c r="DE151" i="1"/>
  <c r="DD151" i="1"/>
  <c r="DB151" i="1"/>
  <c r="CD151" i="1"/>
  <c r="CC151" i="1"/>
  <c r="CB151" i="1"/>
  <c r="BV151" i="1"/>
  <c r="BU151" i="1"/>
  <c r="BH151" i="1"/>
  <c r="J151" i="1"/>
  <c r="DG293" i="1"/>
  <c r="DF293" i="1"/>
  <c r="DE293" i="1"/>
  <c r="DD293" i="1"/>
  <c r="DB293" i="1"/>
  <c r="CD293" i="1"/>
  <c r="CC293" i="1"/>
  <c r="CB293" i="1"/>
  <c r="BV293" i="1"/>
  <c r="BU293" i="1"/>
  <c r="BH293" i="1"/>
  <c r="J293" i="1"/>
  <c r="DG229" i="1"/>
  <c r="DF229" i="1"/>
  <c r="DE229" i="1"/>
  <c r="DD229" i="1"/>
  <c r="DB229" i="1"/>
  <c r="CD229" i="1"/>
  <c r="CC229" i="1"/>
  <c r="CB229" i="1"/>
  <c r="BV229" i="1"/>
  <c r="BU229" i="1"/>
  <c r="BH229" i="1"/>
  <c r="AE229" i="1"/>
  <c r="J229" i="1"/>
  <c r="DG423" i="1"/>
  <c r="DF423" i="1"/>
  <c r="DE423" i="1"/>
  <c r="DD423" i="1"/>
  <c r="DB423" i="1"/>
  <c r="CD423" i="1"/>
  <c r="CC423" i="1"/>
  <c r="CB423" i="1"/>
  <c r="BV423" i="1"/>
  <c r="BU423" i="1"/>
  <c r="BH423" i="1"/>
  <c r="AE423" i="1"/>
  <c r="J423" i="1"/>
  <c r="DF422" i="1"/>
  <c r="DE422" i="1"/>
  <c r="DB422" i="1"/>
  <c r="CD422" i="1"/>
  <c r="CC422" i="1"/>
  <c r="BV422" i="1"/>
  <c r="BU422" i="1"/>
  <c r="BH422" i="1"/>
  <c r="J422" i="1"/>
  <c r="DG421" i="1"/>
  <c r="DF421" i="1"/>
  <c r="DE421" i="1"/>
  <c r="DD421" i="1"/>
  <c r="DB421" i="1"/>
  <c r="CD421" i="1"/>
  <c r="CC421" i="1"/>
  <c r="CB421" i="1"/>
  <c r="BV421" i="1"/>
  <c r="BU421" i="1"/>
  <c r="BH421" i="1"/>
  <c r="AE421" i="1"/>
  <c r="J421" i="1"/>
  <c r="DG138" i="1"/>
  <c r="DF138" i="1"/>
  <c r="DE138" i="1"/>
  <c r="DD138" i="1"/>
  <c r="DB138" i="1"/>
  <c r="CD138" i="1"/>
  <c r="CC138" i="1"/>
  <c r="CB138" i="1"/>
  <c r="BV138" i="1"/>
  <c r="BU138" i="1"/>
  <c r="BH138" i="1"/>
  <c r="AE138" i="1"/>
  <c r="J138" i="1"/>
  <c r="DG136" i="1"/>
  <c r="DF136" i="1"/>
  <c r="DE136" i="1"/>
  <c r="DD136" i="1"/>
  <c r="DB136" i="1"/>
  <c r="CD136" i="1"/>
  <c r="CC136" i="1"/>
  <c r="CB136" i="1"/>
  <c r="BV136" i="1"/>
  <c r="BU136" i="1"/>
  <c r="BH136" i="1"/>
  <c r="AE136" i="1"/>
  <c r="J136" i="1"/>
  <c r="DG418" i="1"/>
  <c r="DF418" i="1"/>
  <c r="DE418" i="1"/>
  <c r="DD418" i="1"/>
  <c r="DB418" i="1"/>
  <c r="CD418" i="1"/>
  <c r="CC418" i="1"/>
  <c r="CB418" i="1"/>
  <c r="BV418" i="1"/>
  <c r="BU418" i="1"/>
  <c r="BH418" i="1"/>
  <c r="AE418" i="1"/>
  <c r="J418" i="1"/>
  <c r="DB93" i="1"/>
  <c r="CD93" i="1"/>
  <c r="CC93" i="1"/>
  <c r="BV93" i="1"/>
  <c r="BU93" i="1"/>
  <c r="BI93" i="1"/>
  <c r="BH93" i="1"/>
  <c r="J93" i="1"/>
  <c r="DB75" i="1"/>
  <c r="CD75" i="1"/>
  <c r="CC75" i="1"/>
  <c r="BV75" i="1"/>
  <c r="BU75" i="1"/>
  <c r="BI75" i="1"/>
  <c r="BH75" i="1"/>
  <c r="J75" i="1"/>
  <c r="DG172" i="1"/>
  <c r="DD172" i="1"/>
  <c r="DB172" i="1"/>
  <c r="CD172" i="1"/>
  <c r="CC172" i="1"/>
  <c r="BV172" i="1"/>
  <c r="BU172" i="1"/>
  <c r="BI172" i="1"/>
  <c r="BH172" i="1"/>
  <c r="J172" i="1"/>
  <c r="DG414" i="1"/>
  <c r="DF414" i="1"/>
  <c r="DE414" i="1"/>
  <c r="DD414" i="1"/>
  <c r="CD414" i="1"/>
  <c r="CC414" i="1"/>
  <c r="BV414" i="1"/>
  <c r="BU414" i="1"/>
  <c r="BI414" i="1"/>
  <c r="BH414" i="1"/>
  <c r="J414" i="1"/>
  <c r="DG413" i="1"/>
  <c r="DF413" i="1"/>
  <c r="DE413" i="1"/>
  <c r="DD413" i="1"/>
  <c r="CD413" i="1"/>
  <c r="CC413" i="1"/>
  <c r="BV413" i="1"/>
  <c r="BU413" i="1"/>
  <c r="BI413" i="1"/>
  <c r="BH413" i="1"/>
  <c r="J413" i="1"/>
  <c r="DG412" i="1"/>
  <c r="DD412" i="1"/>
  <c r="DB412" i="1"/>
  <c r="CD412" i="1"/>
  <c r="CC412" i="1"/>
  <c r="BV412" i="1"/>
  <c r="BU412" i="1"/>
  <c r="BI412" i="1"/>
  <c r="BH412" i="1"/>
  <c r="J412" i="1"/>
  <c r="DG411" i="1"/>
  <c r="DD411" i="1"/>
  <c r="DB411" i="1"/>
  <c r="CD411" i="1"/>
  <c r="CC411" i="1"/>
  <c r="BV411" i="1"/>
  <c r="BU411" i="1"/>
  <c r="BI411" i="1"/>
  <c r="BH411" i="1"/>
  <c r="J411" i="1"/>
  <c r="DG410" i="1"/>
  <c r="DF410" i="1"/>
  <c r="DE410" i="1"/>
  <c r="DD410" i="1"/>
  <c r="DB410" i="1"/>
  <c r="CI410" i="1"/>
  <c r="BH410" i="1" s="1"/>
  <c r="CH410" i="1"/>
  <c r="CF410" i="1"/>
  <c r="CD410" i="1"/>
  <c r="CC410" i="1"/>
  <c r="BV410" i="1"/>
  <c r="BU410" i="1"/>
  <c r="BO410" i="1"/>
  <c r="BI410" i="1"/>
  <c r="J410" i="1"/>
  <c r="DG409" i="1"/>
  <c r="DF409" i="1"/>
  <c r="DE409" i="1"/>
  <c r="DD409" i="1"/>
  <c r="DB409" i="1"/>
  <c r="CI409" i="1"/>
  <c r="CH409" i="1"/>
  <c r="CF409" i="1"/>
  <c r="BH409" i="1" s="1"/>
  <c r="CC409" i="1"/>
  <c r="BU409" i="1"/>
  <c r="BO409" i="1"/>
  <c r="BI409" i="1"/>
  <c r="J409" i="1"/>
  <c r="DG408" i="1"/>
  <c r="DF408" i="1"/>
  <c r="DE408" i="1"/>
  <c r="DD408" i="1"/>
  <c r="DB408" i="1"/>
  <c r="CD408" i="1"/>
  <c r="CC408" i="1"/>
  <c r="CB408" i="1"/>
  <c r="CA408" i="1"/>
  <c r="BV408" i="1"/>
  <c r="BU408" i="1"/>
  <c r="BT408" i="1"/>
  <c r="BS408" i="1"/>
  <c r="BI408" i="1"/>
  <c r="BH408" i="1"/>
  <c r="J408" i="1"/>
  <c r="DG441" i="1"/>
  <c r="DF441" i="1"/>
  <c r="DE441" i="1"/>
  <c r="DD441" i="1"/>
  <c r="DB441" i="1"/>
  <c r="CD441" i="1"/>
  <c r="CC441" i="1"/>
  <c r="CB441" i="1"/>
  <c r="CA441" i="1"/>
  <c r="BV441" i="1"/>
  <c r="BU441" i="1"/>
  <c r="BT441" i="1"/>
  <c r="BS441" i="1"/>
  <c r="BI441" i="1"/>
  <c r="BH441" i="1"/>
  <c r="J441" i="1"/>
  <c r="DG163" i="1"/>
  <c r="DF163" i="1"/>
  <c r="DE163" i="1"/>
  <c r="DD163" i="1"/>
  <c r="DB163" i="1"/>
  <c r="CD163" i="1"/>
  <c r="CC163" i="1"/>
  <c r="CB163" i="1"/>
  <c r="CA163" i="1"/>
  <c r="BV163" i="1"/>
  <c r="BU163" i="1"/>
  <c r="BT163" i="1"/>
  <c r="BS163" i="1"/>
  <c r="BI163" i="1"/>
  <c r="BH163" i="1"/>
  <c r="J163" i="1"/>
  <c r="DG456" i="1"/>
  <c r="DD456" i="1"/>
  <c r="DB456" i="1"/>
  <c r="CD456" i="1"/>
  <c r="CC456" i="1"/>
  <c r="CB456" i="1"/>
  <c r="CA456" i="1"/>
  <c r="BV456" i="1"/>
  <c r="BU456" i="1"/>
  <c r="BT456" i="1"/>
  <c r="BS456" i="1"/>
  <c r="BI456" i="1"/>
  <c r="BH456" i="1"/>
  <c r="J456" i="1"/>
  <c r="DG128" i="1"/>
  <c r="DD128" i="1"/>
  <c r="DB128" i="1"/>
  <c r="CD128" i="1"/>
  <c r="CC128" i="1"/>
  <c r="CB128" i="1"/>
  <c r="CA128" i="1"/>
  <c r="BV128" i="1"/>
  <c r="BU128" i="1"/>
  <c r="BT128" i="1"/>
  <c r="BS128" i="1"/>
  <c r="BI128" i="1"/>
  <c r="BH128" i="1"/>
  <c r="J128" i="1"/>
  <c r="DG403" i="1"/>
  <c r="DD403" i="1"/>
  <c r="DB403" i="1"/>
  <c r="CD403" i="1"/>
  <c r="CC403" i="1"/>
  <c r="CB403" i="1"/>
  <c r="CA403" i="1"/>
  <c r="BV403" i="1"/>
  <c r="BU403" i="1"/>
  <c r="BT403" i="1"/>
  <c r="BS403" i="1"/>
  <c r="BI403" i="1"/>
  <c r="BH403" i="1"/>
  <c r="J403" i="1"/>
  <c r="DG402" i="1"/>
  <c r="DD402" i="1"/>
  <c r="DB402" i="1"/>
  <c r="CD402" i="1"/>
  <c r="CC402" i="1"/>
  <c r="CB402" i="1"/>
  <c r="CA402" i="1"/>
  <c r="BV402" i="1"/>
  <c r="BU402" i="1"/>
  <c r="BT402" i="1"/>
  <c r="BS402" i="1"/>
  <c r="BI402" i="1"/>
  <c r="BH402" i="1"/>
  <c r="J402" i="1"/>
  <c r="DG333" i="1"/>
  <c r="DD333" i="1"/>
  <c r="DB333" i="1"/>
  <c r="CD333" i="1"/>
  <c r="CC333" i="1"/>
  <c r="CB333" i="1"/>
  <c r="CA333" i="1"/>
  <c r="BV333" i="1"/>
  <c r="BU333" i="1"/>
  <c r="BT333" i="1"/>
  <c r="BS333" i="1"/>
  <c r="BI333" i="1"/>
  <c r="BH333" i="1"/>
  <c r="J333" i="1"/>
  <c r="DG488" i="1"/>
  <c r="DD488" i="1"/>
  <c r="DB488" i="1"/>
  <c r="CD488" i="1"/>
  <c r="CC488" i="1"/>
  <c r="CB488" i="1"/>
  <c r="CA488" i="1"/>
  <c r="BV488" i="1"/>
  <c r="BU488" i="1"/>
  <c r="BT488" i="1"/>
  <c r="BS488" i="1"/>
  <c r="BI488" i="1"/>
  <c r="BH488" i="1"/>
  <c r="J488" i="1"/>
  <c r="DG399" i="1"/>
  <c r="DF399" i="1"/>
  <c r="DE399" i="1"/>
  <c r="DD399" i="1"/>
  <c r="DB399" i="1"/>
  <c r="CI399" i="1"/>
  <c r="CH399" i="1"/>
  <c r="BI399" i="1" s="1"/>
  <c r="CF399" i="1"/>
  <c r="CD399" i="1"/>
  <c r="CC399" i="1"/>
  <c r="CB399" i="1"/>
  <c r="CA399" i="1"/>
  <c r="BV399" i="1"/>
  <c r="BU399" i="1"/>
  <c r="BT399" i="1"/>
  <c r="BS399" i="1"/>
  <c r="BH399" i="1"/>
  <c r="J399" i="1"/>
  <c r="DG398" i="1"/>
  <c r="DF398" i="1"/>
  <c r="DE398" i="1"/>
  <c r="DD398" i="1"/>
  <c r="DB398" i="1"/>
  <c r="CI398" i="1"/>
  <c r="CH398" i="1"/>
  <c r="CF398" i="1"/>
  <c r="BH398" i="1" s="1"/>
  <c r="CD398" i="1"/>
  <c r="CC398" i="1"/>
  <c r="CB398" i="1"/>
  <c r="CA398" i="1"/>
  <c r="BV398" i="1"/>
  <c r="BU398" i="1"/>
  <c r="BT398" i="1"/>
  <c r="BS398" i="1"/>
  <c r="BI398" i="1"/>
  <c r="J398" i="1"/>
  <c r="DG397" i="1"/>
  <c r="DF397" i="1"/>
  <c r="DE397" i="1"/>
  <c r="DD397" i="1"/>
  <c r="DB397" i="1"/>
  <c r="CI397" i="1"/>
  <c r="BH397" i="1" s="1"/>
  <c r="CH397" i="1"/>
  <c r="BI397" i="1" s="1"/>
  <c r="CF397" i="1"/>
  <c r="CD397" i="1"/>
  <c r="CC397" i="1"/>
  <c r="CB397" i="1"/>
  <c r="CA397" i="1"/>
  <c r="BV397" i="1"/>
  <c r="BU397" i="1"/>
  <c r="BT397" i="1"/>
  <c r="BS397" i="1"/>
  <c r="J397" i="1"/>
  <c r="DG485" i="1"/>
  <c r="DD485" i="1"/>
  <c r="DB485" i="1"/>
  <c r="CD485" i="1"/>
  <c r="CC485" i="1"/>
  <c r="CB485" i="1"/>
  <c r="CA485" i="1"/>
  <c r="BV485" i="1"/>
  <c r="BU485" i="1"/>
  <c r="BT485" i="1"/>
  <c r="BS485" i="1"/>
  <c r="BI485" i="1"/>
  <c r="BH485" i="1"/>
  <c r="J485" i="1"/>
  <c r="DG395" i="1"/>
  <c r="DF395" i="1"/>
  <c r="DE395" i="1"/>
  <c r="DD395" i="1"/>
  <c r="DB395" i="1"/>
  <c r="CD395" i="1"/>
  <c r="CC395" i="1"/>
  <c r="CB395" i="1"/>
  <c r="CA395" i="1"/>
  <c r="BV395" i="1"/>
  <c r="BU395" i="1"/>
  <c r="BT395" i="1"/>
  <c r="BS395" i="1"/>
  <c r="BI395" i="1"/>
  <c r="BH395" i="1"/>
  <c r="J395" i="1"/>
  <c r="DG468" i="1"/>
  <c r="DF468" i="1"/>
  <c r="DE468" i="1"/>
  <c r="DD468" i="1"/>
  <c r="DB468" i="1"/>
  <c r="CD468" i="1"/>
  <c r="CC468" i="1"/>
  <c r="CB468" i="1"/>
  <c r="CA468" i="1"/>
  <c r="BV468" i="1"/>
  <c r="BU468" i="1"/>
  <c r="BT468" i="1"/>
  <c r="BS468" i="1"/>
  <c r="BI468" i="1"/>
  <c r="BH468" i="1"/>
  <c r="J468" i="1"/>
  <c r="DG393" i="1"/>
  <c r="DF393" i="1"/>
  <c r="DE393" i="1"/>
  <c r="DD393" i="1"/>
  <c r="DB393" i="1"/>
  <c r="CD393" i="1"/>
  <c r="CC393" i="1"/>
  <c r="CB393" i="1"/>
  <c r="CA393" i="1"/>
  <c r="BV393" i="1"/>
  <c r="BU393" i="1"/>
  <c r="BI393" i="1"/>
  <c r="BH393" i="1"/>
  <c r="J393" i="1"/>
  <c r="DG392" i="1"/>
  <c r="DF392" i="1"/>
  <c r="DE392" i="1"/>
  <c r="DD392" i="1"/>
  <c r="DB392" i="1"/>
  <c r="CD392" i="1"/>
  <c r="CC392" i="1"/>
  <c r="CB392" i="1"/>
  <c r="CA392" i="1"/>
  <c r="BV392" i="1"/>
  <c r="BU392" i="1"/>
  <c r="BI392" i="1"/>
  <c r="BH392" i="1"/>
  <c r="J392" i="1"/>
  <c r="DG391" i="1"/>
  <c r="DF391" i="1"/>
  <c r="DE391" i="1"/>
  <c r="DD391" i="1"/>
  <c r="DB391" i="1"/>
  <c r="CD391" i="1"/>
  <c r="CC391" i="1"/>
  <c r="CB391" i="1"/>
  <c r="CA391" i="1"/>
  <c r="BV391" i="1"/>
  <c r="BU391" i="1"/>
  <c r="BI391" i="1"/>
  <c r="BH391" i="1"/>
  <c r="J391" i="1"/>
  <c r="DG390" i="1"/>
  <c r="DF390" i="1"/>
  <c r="DE390" i="1"/>
  <c r="DD390" i="1"/>
  <c r="DB390" i="1"/>
  <c r="CD390" i="1"/>
  <c r="CC390" i="1"/>
  <c r="CB390" i="1"/>
  <c r="CA390" i="1"/>
  <c r="BV390" i="1"/>
  <c r="BU390" i="1"/>
  <c r="BI390" i="1"/>
  <c r="BH390" i="1"/>
  <c r="J390" i="1"/>
  <c r="DG458" i="1"/>
  <c r="DF458" i="1"/>
  <c r="DE458" i="1"/>
  <c r="DD458" i="1"/>
  <c r="DB458" i="1"/>
  <c r="CD458" i="1"/>
  <c r="CC458" i="1"/>
  <c r="CB458" i="1"/>
  <c r="CA458" i="1"/>
  <c r="BV458" i="1"/>
  <c r="BU458" i="1"/>
  <c r="BT458" i="1"/>
  <c r="BS458" i="1"/>
  <c r="BI458" i="1"/>
  <c r="BJ458" i="1" s="1"/>
  <c r="J458" i="1"/>
  <c r="DG388" i="1"/>
  <c r="DF388" i="1"/>
  <c r="DE388" i="1"/>
  <c r="DD388" i="1"/>
  <c r="DB388" i="1"/>
  <c r="CD388" i="1"/>
  <c r="CC388" i="1"/>
  <c r="CB388" i="1"/>
  <c r="CA388" i="1"/>
  <c r="BV388" i="1"/>
  <c r="BU388" i="1"/>
  <c r="BT388" i="1"/>
  <c r="BS388" i="1"/>
  <c r="BI388" i="1"/>
  <c r="BH388" i="1"/>
  <c r="J388" i="1"/>
  <c r="DG387" i="1"/>
  <c r="DF387" i="1"/>
  <c r="DE387" i="1"/>
  <c r="DD387" i="1"/>
  <c r="DB387" i="1"/>
  <c r="CD387" i="1"/>
  <c r="CC387" i="1"/>
  <c r="CB387" i="1"/>
  <c r="CA387" i="1"/>
  <c r="BV387" i="1"/>
  <c r="BU387" i="1"/>
  <c r="BT387" i="1"/>
  <c r="BS387" i="1"/>
  <c r="BI387" i="1"/>
  <c r="BH387" i="1"/>
  <c r="J387" i="1"/>
  <c r="DG386" i="1"/>
  <c r="DF386" i="1"/>
  <c r="DE386" i="1"/>
  <c r="DD386" i="1"/>
  <c r="DB386" i="1"/>
  <c r="CD386" i="1"/>
  <c r="CC386" i="1"/>
  <c r="CB386" i="1"/>
  <c r="CA386" i="1"/>
  <c r="BV386" i="1"/>
  <c r="BU386" i="1"/>
  <c r="BT386" i="1"/>
  <c r="BS386" i="1"/>
  <c r="BI386" i="1"/>
  <c r="BH386" i="1"/>
  <c r="J386" i="1"/>
  <c r="DG385" i="1"/>
  <c r="DF385" i="1"/>
  <c r="DE385" i="1"/>
  <c r="DD385" i="1"/>
  <c r="DB385" i="1"/>
  <c r="CD385" i="1"/>
  <c r="CC385" i="1"/>
  <c r="CB385" i="1"/>
  <c r="CA385" i="1"/>
  <c r="BV385" i="1"/>
  <c r="BU385" i="1"/>
  <c r="BT385" i="1"/>
  <c r="BS385" i="1"/>
  <c r="BI385" i="1"/>
  <c r="BH385" i="1"/>
  <c r="J385" i="1"/>
  <c r="DG443" i="1"/>
  <c r="DD443" i="1"/>
  <c r="DB443" i="1"/>
  <c r="CD443" i="1"/>
  <c r="CC443" i="1"/>
  <c r="BV443" i="1"/>
  <c r="BU443" i="1"/>
  <c r="BT443" i="1"/>
  <c r="BS443" i="1"/>
  <c r="BI443" i="1"/>
  <c r="BH443" i="1"/>
  <c r="J443" i="1"/>
  <c r="DG383" i="1"/>
  <c r="DF383" i="1"/>
  <c r="DE383" i="1"/>
  <c r="DD383" i="1"/>
  <c r="DB383" i="1"/>
  <c r="CF383" i="1"/>
  <c r="BH383" i="1" s="1"/>
  <c r="CD383" i="1"/>
  <c r="CC383" i="1"/>
  <c r="CB383" i="1"/>
  <c r="CA383" i="1"/>
  <c r="BV383" i="1"/>
  <c r="BU383" i="1"/>
  <c r="BT383" i="1"/>
  <c r="BS383" i="1"/>
  <c r="BI383" i="1"/>
  <c r="J383" i="1"/>
  <c r="DG382" i="1"/>
  <c r="DF382" i="1"/>
  <c r="DE382" i="1"/>
  <c r="DD382" i="1"/>
  <c r="DB382" i="1"/>
  <c r="CF382" i="1"/>
  <c r="BH382" i="1" s="1"/>
  <c r="CD382" i="1"/>
  <c r="CC382" i="1"/>
  <c r="CB382" i="1"/>
  <c r="CA382" i="1"/>
  <c r="BV382" i="1"/>
  <c r="BU382" i="1"/>
  <c r="BT382" i="1"/>
  <c r="BS382" i="1"/>
  <c r="BI382" i="1"/>
  <c r="J382" i="1"/>
  <c r="DG381" i="1"/>
  <c r="DF381" i="1"/>
  <c r="DE381" i="1"/>
  <c r="DD381" i="1"/>
  <c r="CD381" i="1"/>
  <c r="CC381" i="1"/>
  <c r="CB381" i="1"/>
  <c r="CA381" i="1"/>
  <c r="BV381" i="1"/>
  <c r="BU381" i="1"/>
  <c r="BT381" i="1"/>
  <c r="BS381" i="1"/>
  <c r="BI381" i="1"/>
  <c r="BH381" i="1"/>
  <c r="J381" i="1"/>
  <c r="DG380" i="1"/>
  <c r="DF380" i="1"/>
  <c r="DE380" i="1"/>
  <c r="DD380" i="1"/>
  <c r="DB380" i="1"/>
  <c r="CD380" i="1"/>
  <c r="CC380" i="1"/>
  <c r="CB380" i="1"/>
  <c r="CA380" i="1"/>
  <c r="BV380" i="1"/>
  <c r="BU380" i="1"/>
  <c r="BT380" i="1"/>
  <c r="BS380" i="1"/>
  <c r="BI380" i="1"/>
  <c r="BH380" i="1"/>
  <c r="J380" i="1"/>
  <c r="DG430" i="1"/>
  <c r="DF430" i="1"/>
  <c r="DE430" i="1"/>
  <c r="DD430" i="1"/>
  <c r="DB430" i="1"/>
  <c r="CI430" i="1"/>
  <c r="CH430" i="1"/>
  <c r="CF430" i="1"/>
  <c r="BH430" i="1" s="1"/>
  <c r="CD430" i="1"/>
  <c r="CC430" i="1"/>
  <c r="CB430" i="1"/>
  <c r="CA430" i="1"/>
  <c r="BV430" i="1"/>
  <c r="BU430" i="1"/>
  <c r="BT430" i="1"/>
  <c r="BS430" i="1"/>
  <c r="BI430" i="1"/>
  <c r="J430" i="1"/>
  <c r="DG378" i="1"/>
  <c r="DF378" i="1"/>
  <c r="DE378" i="1"/>
  <c r="DD378" i="1"/>
  <c r="DB378" i="1"/>
  <c r="CD378" i="1"/>
  <c r="CC378" i="1"/>
  <c r="CB378" i="1"/>
  <c r="CA378" i="1"/>
  <c r="BV378" i="1"/>
  <c r="BU378" i="1"/>
  <c r="BT378" i="1"/>
  <c r="BS378" i="1"/>
  <c r="BI378" i="1"/>
  <c r="BH378" i="1"/>
  <c r="J378" i="1"/>
  <c r="DG377" i="1"/>
  <c r="DF377" i="1"/>
  <c r="DE377" i="1"/>
  <c r="DD377" i="1"/>
  <c r="DB377" i="1"/>
  <c r="CI377" i="1"/>
  <c r="BH377" i="1" s="1"/>
  <c r="CH377" i="1"/>
  <c r="CF377" i="1"/>
  <c r="CD377" i="1"/>
  <c r="CC377" i="1"/>
  <c r="BV377" i="1"/>
  <c r="BU377" i="1"/>
  <c r="BI377" i="1"/>
  <c r="J377" i="1"/>
  <c r="DG376" i="1"/>
  <c r="DF376" i="1"/>
  <c r="DE376" i="1"/>
  <c r="DD376" i="1"/>
  <c r="DB376" i="1"/>
  <c r="CD376" i="1"/>
  <c r="CC376" i="1"/>
  <c r="CB376" i="1"/>
  <c r="CA376" i="1"/>
  <c r="BV376" i="1"/>
  <c r="BU376" i="1"/>
  <c r="BT376" i="1"/>
  <c r="BS376" i="1"/>
  <c r="BI376" i="1"/>
  <c r="BH376" i="1"/>
  <c r="J376" i="1"/>
  <c r="DG375" i="1"/>
  <c r="DF375" i="1"/>
  <c r="DE375" i="1"/>
  <c r="DD375" i="1"/>
  <c r="DB375" i="1"/>
  <c r="CD375" i="1"/>
  <c r="CC375" i="1"/>
  <c r="CB375" i="1"/>
  <c r="CA375" i="1"/>
  <c r="BV375" i="1"/>
  <c r="BU375" i="1"/>
  <c r="BT375" i="1"/>
  <c r="BS375" i="1"/>
  <c r="BI375" i="1"/>
  <c r="BH375" i="1"/>
  <c r="J375" i="1"/>
  <c r="DG374" i="1"/>
  <c r="DF374" i="1"/>
  <c r="DE374" i="1"/>
  <c r="DD374" i="1"/>
  <c r="DB374" i="1"/>
  <c r="CD374" i="1"/>
  <c r="CC374" i="1"/>
  <c r="CB374" i="1"/>
  <c r="CA374" i="1"/>
  <c r="BV374" i="1"/>
  <c r="BU374" i="1"/>
  <c r="BT374" i="1"/>
  <c r="BS374" i="1"/>
  <c r="BI374" i="1"/>
  <c r="BH374" i="1"/>
  <c r="J374" i="1"/>
  <c r="DG373" i="1"/>
  <c r="DF373" i="1"/>
  <c r="DE373" i="1"/>
  <c r="DD373" i="1"/>
  <c r="CD373" i="1"/>
  <c r="CC373" i="1"/>
  <c r="CB373" i="1"/>
  <c r="CA373" i="1"/>
  <c r="BV373" i="1"/>
  <c r="BU373" i="1"/>
  <c r="BT373" i="1"/>
  <c r="BS373" i="1"/>
  <c r="BI373" i="1"/>
  <c r="BH373" i="1"/>
  <c r="J373" i="1"/>
  <c r="DG247" i="1"/>
  <c r="DF247" i="1"/>
  <c r="DE247" i="1"/>
  <c r="DD247" i="1"/>
  <c r="CD247" i="1"/>
  <c r="CC247" i="1"/>
  <c r="CB247" i="1"/>
  <c r="CA247" i="1"/>
  <c r="BV247" i="1"/>
  <c r="BU247" i="1"/>
  <c r="BT247" i="1"/>
  <c r="BS247" i="1"/>
  <c r="BI247" i="1"/>
  <c r="BH247" i="1"/>
  <c r="J247" i="1"/>
  <c r="DG371" i="1"/>
  <c r="DF371" i="1"/>
  <c r="DE371" i="1"/>
  <c r="DD371" i="1"/>
  <c r="DB371" i="1"/>
  <c r="CD371" i="1"/>
  <c r="CC371" i="1"/>
  <c r="CB371" i="1"/>
  <c r="CA371" i="1"/>
  <c r="BV371" i="1"/>
  <c r="BU371" i="1"/>
  <c r="BT371" i="1"/>
  <c r="BS371" i="1"/>
  <c r="BI371" i="1"/>
  <c r="BH371" i="1"/>
  <c r="J371" i="1"/>
  <c r="DG370" i="1"/>
  <c r="DF370" i="1"/>
  <c r="DE370" i="1"/>
  <c r="DD370" i="1"/>
  <c r="DB370" i="1"/>
  <c r="CL370" i="1"/>
  <c r="CI370" i="1"/>
  <c r="CH370" i="1"/>
  <c r="BI370" i="1" s="1"/>
  <c r="CF370" i="1"/>
  <c r="BH370" i="1" s="1"/>
  <c r="CD370" i="1"/>
  <c r="CC370" i="1"/>
  <c r="CB370" i="1"/>
  <c r="CA370" i="1"/>
  <c r="BV370" i="1"/>
  <c r="BU370" i="1"/>
  <c r="BT370" i="1"/>
  <c r="BS370" i="1"/>
  <c r="J370" i="1"/>
  <c r="DG369" i="1"/>
  <c r="DF369" i="1"/>
  <c r="DE369" i="1"/>
  <c r="DD369" i="1"/>
  <c r="DB369" i="1"/>
  <c r="CC369" i="1"/>
  <c r="CB369" i="1"/>
  <c r="CA369" i="1"/>
  <c r="BV369" i="1"/>
  <c r="BU369" i="1"/>
  <c r="BT369" i="1"/>
  <c r="BS369" i="1"/>
  <c r="BO369" i="1"/>
  <c r="CD369" i="1" s="1"/>
  <c r="BI369" i="1"/>
  <c r="BH369" i="1"/>
  <c r="J369" i="1"/>
  <c r="DG368" i="1"/>
  <c r="DF368" i="1"/>
  <c r="DE368" i="1"/>
  <c r="DD368" i="1"/>
  <c r="DB368" i="1"/>
  <c r="CD368" i="1"/>
  <c r="CC368" i="1"/>
  <c r="CB368" i="1"/>
  <c r="CA368" i="1"/>
  <c r="BV368" i="1"/>
  <c r="BU368" i="1"/>
  <c r="BT368" i="1"/>
  <c r="BS368" i="1"/>
  <c r="BI368" i="1"/>
  <c r="BH368" i="1"/>
  <c r="J368" i="1"/>
  <c r="DG367" i="1"/>
  <c r="DF367" i="1"/>
  <c r="DE367" i="1"/>
  <c r="DD367" i="1"/>
  <c r="DB367" i="1"/>
  <c r="CL367" i="1"/>
  <c r="CI367" i="1"/>
  <c r="CH367" i="1"/>
  <c r="BI367" i="1" s="1"/>
  <c r="CF367" i="1"/>
  <c r="CD367" i="1"/>
  <c r="CC367" i="1"/>
  <c r="CB367" i="1"/>
  <c r="CA367" i="1"/>
  <c r="BV367" i="1"/>
  <c r="BU367" i="1"/>
  <c r="BT367" i="1"/>
  <c r="BS367" i="1"/>
  <c r="J367" i="1"/>
  <c r="DG396" i="1"/>
  <c r="DD396" i="1"/>
  <c r="CD396" i="1"/>
  <c r="CC396" i="1"/>
  <c r="CB396" i="1"/>
  <c r="CA396" i="1"/>
  <c r="BV396" i="1"/>
  <c r="BU396" i="1"/>
  <c r="BT396" i="1"/>
  <c r="BS396" i="1"/>
  <c r="BI396" i="1"/>
  <c r="BH396" i="1"/>
  <c r="J396" i="1"/>
  <c r="DG365" i="1"/>
  <c r="DF365" i="1"/>
  <c r="DE365" i="1"/>
  <c r="DD365" i="1"/>
  <c r="DB365" i="1"/>
  <c r="CD365" i="1"/>
  <c r="CC365" i="1"/>
  <c r="CB365" i="1"/>
  <c r="CA365" i="1"/>
  <c r="BV365" i="1"/>
  <c r="BU365" i="1"/>
  <c r="BT365" i="1"/>
  <c r="BS365" i="1"/>
  <c r="BI365" i="1"/>
  <c r="BH365" i="1"/>
  <c r="J365" i="1"/>
  <c r="DG364" i="1"/>
  <c r="DF364" i="1"/>
  <c r="DE364" i="1"/>
  <c r="DD364" i="1"/>
  <c r="DB364" i="1"/>
  <c r="CD364" i="1"/>
  <c r="CC364" i="1"/>
  <c r="CB364" i="1"/>
  <c r="CA364" i="1"/>
  <c r="BV364" i="1"/>
  <c r="BU364" i="1"/>
  <c r="BT364" i="1"/>
  <c r="BS364" i="1"/>
  <c r="BI364" i="1"/>
  <c r="BH364" i="1"/>
  <c r="J364" i="1"/>
  <c r="DG389" i="1"/>
  <c r="DD389" i="1"/>
  <c r="DB389" i="1"/>
  <c r="CD389" i="1"/>
  <c r="CC389" i="1"/>
  <c r="CB389" i="1"/>
  <c r="CA389" i="1"/>
  <c r="BV389" i="1"/>
  <c r="BU389" i="1"/>
  <c r="BT389" i="1"/>
  <c r="BS389" i="1"/>
  <c r="BI389" i="1"/>
  <c r="BH389" i="1"/>
  <c r="J389" i="1"/>
  <c r="DG384" i="1"/>
  <c r="DD384" i="1"/>
  <c r="CD384" i="1"/>
  <c r="CC384" i="1"/>
  <c r="CB384" i="1"/>
  <c r="CA384" i="1"/>
  <c r="BV384" i="1"/>
  <c r="BU384" i="1"/>
  <c r="BT384" i="1"/>
  <c r="BS384" i="1"/>
  <c r="BI384" i="1"/>
  <c r="BH384" i="1"/>
  <c r="J384" i="1"/>
  <c r="DG361" i="1"/>
  <c r="DF361" i="1"/>
  <c r="DE361" i="1"/>
  <c r="DD361" i="1"/>
  <c r="CD361" i="1"/>
  <c r="CC361" i="1"/>
  <c r="CB361" i="1"/>
  <c r="CA361" i="1"/>
  <c r="BV361" i="1"/>
  <c r="BU361" i="1"/>
  <c r="BT361" i="1"/>
  <c r="BS361" i="1"/>
  <c r="BI361" i="1"/>
  <c r="BH361" i="1"/>
  <c r="J361" i="1"/>
  <c r="DG360" i="1"/>
  <c r="DF360" i="1"/>
  <c r="DE360" i="1"/>
  <c r="DD360" i="1"/>
  <c r="CD360" i="1"/>
  <c r="CC360" i="1"/>
  <c r="CB360" i="1"/>
  <c r="CA360" i="1"/>
  <c r="BV360" i="1"/>
  <c r="BU360" i="1"/>
  <c r="BT360" i="1"/>
  <c r="BS360" i="1"/>
  <c r="BI360" i="1"/>
  <c r="BH360" i="1"/>
  <c r="J360" i="1"/>
  <c r="DG359" i="1"/>
  <c r="DF359" i="1"/>
  <c r="DE359" i="1"/>
  <c r="DD359" i="1"/>
  <c r="CD359" i="1"/>
  <c r="CC359" i="1"/>
  <c r="CB359" i="1"/>
  <c r="CA359" i="1"/>
  <c r="BV359" i="1"/>
  <c r="BU359" i="1"/>
  <c r="BT359" i="1"/>
  <c r="BS359" i="1"/>
  <c r="BI359" i="1"/>
  <c r="BH359" i="1"/>
  <c r="J359" i="1"/>
  <c r="DG358" i="1"/>
  <c r="DF358" i="1"/>
  <c r="DE358" i="1"/>
  <c r="DD358" i="1"/>
  <c r="DB358" i="1"/>
  <c r="CD358" i="1"/>
  <c r="CC358" i="1"/>
  <c r="CB358" i="1"/>
  <c r="CA358" i="1"/>
  <c r="BV358" i="1"/>
  <c r="BU358" i="1"/>
  <c r="BT358" i="1"/>
  <c r="BS358" i="1"/>
  <c r="BI358" i="1"/>
  <c r="BH358" i="1"/>
  <c r="J358" i="1"/>
  <c r="DG372" i="1"/>
  <c r="DD372" i="1"/>
  <c r="DB372" i="1"/>
  <c r="CD372" i="1"/>
  <c r="CC372" i="1"/>
  <c r="CB372" i="1"/>
  <c r="CA372" i="1"/>
  <c r="BV372" i="1"/>
  <c r="BU372" i="1"/>
  <c r="BT372" i="1"/>
  <c r="BS372" i="1"/>
  <c r="BI372" i="1"/>
  <c r="BH372" i="1"/>
  <c r="J372" i="1"/>
  <c r="DG357" i="1"/>
  <c r="DF357" i="1"/>
  <c r="DE357" i="1"/>
  <c r="DD357" i="1"/>
  <c r="DB357" i="1"/>
  <c r="CD357" i="1"/>
  <c r="CC357" i="1"/>
  <c r="CB357" i="1"/>
  <c r="CA357" i="1"/>
  <c r="BV357" i="1"/>
  <c r="BU357" i="1"/>
  <c r="BT357" i="1"/>
  <c r="BS357" i="1"/>
  <c r="BI357" i="1"/>
  <c r="BH357" i="1"/>
  <c r="J357" i="1"/>
  <c r="DG462" i="1"/>
  <c r="DD462" i="1"/>
  <c r="DB462" i="1"/>
  <c r="CD462" i="1"/>
  <c r="CC462" i="1"/>
  <c r="CB462" i="1"/>
  <c r="CA462" i="1"/>
  <c r="BV462" i="1"/>
  <c r="BU462" i="1"/>
  <c r="BT462" i="1"/>
  <c r="BS462" i="1"/>
  <c r="BI462" i="1"/>
  <c r="BH462" i="1"/>
  <c r="J462" i="1"/>
  <c r="DG354" i="1"/>
  <c r="DD354" i="1"/>
  <c r="DB354" i="1"/>
  <c r="CD354" i="1"/>
  <c r="CC354" i="1"/>
  <c r="CB354" i="1"/>
  <c r="CA354" i="1"/>
  <c r="BV354" i="1"/>
  <c r="BU354" i="1"/>
  <c r="BT354" i="1"/>
  <c r="BS354" i="1"/>
  <c r="BI354" i="1"/>
  <c r="BH354" i="1"/>
  <c r="J354" i="1"/>
  <c r="DG353" i="1"/>
  <c r="DF353" i="1"/>
  <c r="DE353" i="1"/>
  <c r="DD353" i="1"/>
  <c r="DB353" i="1"/>
  <c r="CD353" i="1"/>
  <c r="CC353" i="1"/>
  <c r="CB353" i="1"/>
  <c r="CA353" i="1"/>
  <c r="BV353" i="1"/>
  <c r="BU353" i="1"/>
  <c r="BT353" i="1"/>
  <c r="BS353" i="1"/>
  <c r="BI353" i="1"/>
  <c r="BH353" i="1"/>
  <c r="J353" i="1"/>
  <c r="DG352" i="1"/>
  <c r="DF352" i="1"/>
  <c r="DE352" i="1"/>
  <c r="DD352" i="1"/>
  <c r="DB352" i="1"/>
  <c r="CD352" i="1"/>
  <c r="CC352" i="1"/>
  <c r="CB352" i="1"/>
  <c r="CA352" i="1"/>
  <c r="BV352" i="1"/>
  <c r="BU352" i="1"/>
  <c r="BT352" i="1"/>
  <c r="BS352" i="1"/>
  <c r="BI352" i="1"/>
  <c r="BH352" i="1"/>
  <c r="J352" i="1"/>
  <c r="DG351" i="1"/>
  <c r="DF351" i="1"/>
  <c r="DE351" i="1"/>
  <c r="DD351" i="1"/>
  <c r="DB351" i="1"/>
  <c r="CD351" i="1"/>
  <c r="CC351" i="1"/>
  <c r="CB351" i="1"/>
  <c r="CA351" i="1"/>
  <c r="BV351" i="1"/>
  <c r="BU351" i="1"/>
  <c r="BT351" i="1"/>
  <c r="BS351" i="1"/>
  <c r="BI351" i="1"/>
  <c r="BH351" i="1"/>
  <c r="J351" i="1"/>
  <c r="DG348" i="1"/>
  <c r="DD348" i="1"/>
  <c r="DB348" i="1"/>
  <c r="CH348" i="1"/>
  <c r="CF348" i="1"/>
  <c r="BH348" i="1" s="1"/>
  <c r="CD348" i="1"/>
  <c r="CB348" i="1"/>
  <c r="CA348" i="1"/>
  <c r="BV348" i="1"/>
  <c r="BT348" i="1"/>
  <c r="BS348" i="1"/>
  <c r="BN348" i="1"/>
  <c r="BU348" i="1" s="1"/>
  <c r="BI348" i="1"/>
  <c r="J348" i="1"/>
  <c r="DG338" i="1"/>
  <c r="DD338" i="1"/>
  <c r="DB338" i="1"/>
  <c r="CD338" i="1"/>
  <c r="CC338" i="1"/>
  <c r="CB338" i="1"/>
  <c r="CA338" i="1"/>
  <c r="BV338" i="1"/>
  <c r="BU338" i="1"/>
  <c r="BT338" i="1"/>
  <c r="BS338" i="1"/>
  <c r="BI338" i="1"/>
  <c r="BH338" i="1"/>
  <c r="J338" i="1"/>
  <c r="DG330" i="1"/>
  <c r="DD330" i="1"/>
  <c r="DB330" i="1"/>
  <c r="CD330" i="1"/>
  <c r="CC330" i="1"/>
  <c r="CB330" i="1"/>
  <c r="CA330" i="1"/>
  <c r="BV330" i="1"/>
  <c r="BU330" i="1"/>
  <c r="BT330" i="1"/>
  <c r="BS330" i="1"/>
  <c r="BI330" i="1"/>
  <c r="BH330" i="1"/>
  <c r="J330" i="1"/>
  <c r="DG347" i="1"/>
  <c r="DF347" i="1"/>
  <c r="DE347" i="1"/>
  <c r="DD347" i="1"/>
  <c r="DB347" i="1"/>
  <c r="CD347" i="1"/>
  <c r="CC347" i="1"/>
  <c r="CB347" i="1"/>
  <c r="CA347" i="1"/>
  <c r="BV347" i="1"/>
  <c r="BU347" i="1"/>
  <c r="BT347" i="1"/>
  <c r="BS347" i="1"/>
  <c r="BI347" i="1"/>
  <c r="BH347" i="1"/>
  <c r="J347" i="1"/>
  <c r="DG346" i="1"/>
  <c r="DF346" i="1"/>
  <c r="DE346" i="1"/>
  <c r="DD346" i="1"/>
  <c r="DB346" i="1"/>
  <c r="CD346" i="1"/>
  <c r="CC346" i="1"/>
  <c r="CB346" i="1"/>
  <c r="CA346" i="1"/>
  <c r="BV346" i="1"/>
  <c r="BU346" i="1"/>
  <c r="BT346" i="1"/>
  <c r="BS346" i="1"/>
  <c r="BI346" i="1"/>
  <c r="BH346" i="1"/>
  <c r="J346" i="1"/>
  <c r="DG345" i="1"/>
  <c r="DF345" i="1"/>
  <c r="DE345" i="1"/>
  <c r="DD345" i="1"/>
  <c r="DB345" i="1"/>
  <c r="CD345" i="1"/>
  <c r="CC345" i="1"/>
  <c r="CB345" i="1"/>
  <c r="CA345" i="1"/>
  <c r="BV345" i="1"/>
  <c r="BU345" i="1"/>
  <c r="BT345" i="1"/>
  <c r="BS345" i="1"/>
  <c r="BI345" i="1"/>
  <c r="BH345" i="1"/>
  <c r="J345" i="1"/>
  <c r="DG344" i="1"/>
  <c r="DF344" i="1"/>
  <c r="DE344" i="1"/>
  <c r="DD344" i="1"/>
  <c r="DB344" i="1"/>
  <c r="J344" i="1"/>
  <c r="DG343" i="1"/>
  <c r="DF343" i="1"/>
  <c r="DE343" i="1"/>
  <c r="DD343" i="1"/>
  <c r="DB343" i="1"/>
  <c r="CD343" i="1"/>
  <c r="CC343" i="1"/>
  <c r="CB343" i="1"/>
  <c r="CA343" i="1"/>
  <c r="BV343" i="1"/>
  <c r="BU343" i="1"/>
  <c r="BT343" i="1"/>
  <c r="BS343" i="1"/>
  <c r="BI343" i="1"/>
  <c r="BH343" i="1"/>
  <c r="J343" i="1"/>
  <c r="DG342" i="1"/>
  <c r="DF342" i="1"/>
  <c r="DE342" i="1"/>
  <c r="DD342" i="1"/>
  <c r="DB342" i="1"/>
  <c r="CD342" i="1"/>
  <c r="CC342" i="1"/>
  <c r="CB342" i="1"/>
  <c r="CA342" i="1"/>
  <c r="BV342" i="1"/>
  <c r="BU342" i="1"/>
  <c r="BT342" i="1"/>
  <c r="BS342" i="1"/>
  <c r="BI342" i="1"/>
  <c r="BH342" i="1"/>
  <c r="J342" i="1"/>
  <c r="DG341" i="1"/>
  <c r="DD341" i="1"/>
  <c r="DB341" i="1"/>
  <c r="CD341" i="1"/>
  <c r="CB341" i="1"/>
  <c r="CA341" i="1"/>
  <c r="BV341" i="1"/>
  <c r="CC341" i="1" s="1"/>
  <c r="BU341" i="1"/>
  <c r="BT341" i="1"/>
  <c r="BS341" i="1"/>
  <c r="BI341" i="1"/>
  <c r="BH341" i="1"/>
  <c r="J341" i="1"/>
  <c r="DG340" i="1"/>
  <c r="DF340" i="1"/>
  <c r="DE340" i="1"/>
  <c r="DD340" i="1"/>
  <c r="DB340" i="1"/>
  <c r="CD340" i="1"/>
  <c r="CC340" i="1"/>
  <c r="CB340" i="1"/>
  <c r="CA340" i="1"/>
  <c r="BV340" i="1"/>
  <c r="BU340" i="1"/>
  <c r="BT340" i="1"/>
  <c r="BS340" i="1"/>
  <c r="BI340" i="1"/>
  <c r="BH340" i="1"/>
  <c r="J340" i="1"/>
  <c r="DG339" i="1"/>
  <c r="DF339" i="1"/>
  <c r="DE339" i="1"/>
  <c r="DD339" i="1"/>
  <c r="DB339" i="1"/>
  <c r="CI339" i="1"/>
  <c r="CH339" i="1"/>
  <c r="BI339" i="1" s="1"/>
  <c r="CF339" i="1"/>
  <c r="CC339" i="1"/>
  <c r="CB339" i="1"/>
  <c r="CA339" i="1"/>
  <c r="BV339" i="1"/>
  <c r="BU339" i="1"/>
  <c r="BT339" i="1"/>
  <c r="BS339" i="1"/>
  <c r="BO339" i="1"/>
  <c r="CD339" i="1" s="1"/>
  <c r="BH339" i="1"/>
  <c r="J339" i="1"/>
  <c r="DG296" i="1"/>
  <c r="DD296" i="1"/>
  <c r="DB296" i="1"/>
  <c r="CN296" i="1"/>
  <c r="CL296" i="1"/>
  <c r="CK296" i="1"/>
  <c r="CI296" i="1"/>
  <c r="BH296" i="1" s="1"/>
  <c r="CH296" i="1"/>
  <c r="BI296" i="1" s="1"/>
  <c r="CF296" i="1"/>
  <c r="CD296" i="1"/>
  <c r="CC296" i="1"/>
  <c r="CB296" i="1"/>
  <c r="CA296" i="1"/>
  <c r="BV296" i="1"/>
  <c r="BU296" i="1"/>
  <c r="BT296" i="1"/>
  <c r="BS296" i="1"/>
  <c r="J296" i="1"/>
  <c r="DG291" i="1"/>
  <c r="DD291" i="1"/>
  <c r="DB291" i="1"/>
  <c r="CI291" i="1"/>
  <c r="CH291" i="1"/>
  <c r="CF291" i="1"/>
  <c r="BH291" i="1" s="1"/>
  <c r="CD291" i="1"/>
  <c r="CC291" i="1"/>
  <c r="CB291" i="1"/>
  <c r="CA291" i="1"/>
  <c r="BV291" i="1"/>
  <c r="BU291" i="1"/>
  <c r="BT291" i="1"/>
  <c r="BS291" i="1"/>
  <c r="BI291" i="1"/>
  <c r="J291" i="1"/>
  <c r="DG336" i="1"/>
  <c r="DF336" i="1"/>
  <c r="DE336" i="1"/>
  <c r="DD336" i="1"/>
  <c r="DB336" i="1"/>
  <c r="CL336" i="1"/>
  <c r="CI336" i="1"/>
  <c r="BH336" i="1" s="1"/>
  <c r="CH336" i="1"/>
  <c r="CF336" i="1"/>
  <c r="CC336" i="1"/>
  <c r="CB336" i="1"/>
  <c r="CA336" i="1"/>
  <c r="BV336" i="1"/>
  <c r="BU336" i="1"/>
  <c r="BT336" i="1"/>
  <c r="BS336" i="1"/>
  <c r="BO336" i="1"/>
  <c r="CD336" i="1" s="1"/>
  <c r="BI336" i="1"/>
  <c r="J336" i="1"/>
  <c r="DG355" i="1"/>
  <c r="DF355" i="1"/>
  <c r="DE355" i="1"/>
  <c r="DD355" i="1"/>
  <c r="DB355" i="1"/>
  <c r="CD355" i="1"/>
  <c r="CC355" i="1"/>
  <c r="CB355" i="1"/>
  <c r="CA355" i="1"/>
  <c r="BV355" i="1"/>
  <c r="BU355" i="1"/>
  <c r="BT355" i="1"/>
  <c r="BS355" i="1"/>
  <c r="BI355" i="1"/>
  <c r="BH355" i="1"/>
  <c r="J355" i="1"/>
  <c r="DG288" i="1"/>
  <c r="DF288" i="1"/>
  <c r="DE288" i="1"/>
  <c r="DD288" i="1"/>
  <c r="DB288" i="1"/>
  <c r="CD288" i="1"/>
  <c r="CC288" i="1"/>
  <c r="CB288" i="1"/>
  <c r="CA288" i="1"/>
  <c r="BV288" i="1"/>
  <c r="BU288" i="1"/>
  <c r="BT288" i="1"/>
  <c r="BS288" i="1"/>
  <c r="BI288" i="1"/>
  <c r="BH288" i="1"/>
  <c r="J288" i="1"/>
  <c r="DG287" i="1"/>
  <c r="DD287" i="1"/>
  <c r="DB287" i="1"/>
  <c r="CN287" i="1"/>
  <c r="CL287" i="1"/>
  <c r="BH287" i="1" s="1"/>
  <c r="CK287" i="1"/>
  <c r="CI287" i="1"/>
  <c r="CH287" i="1"/>
  <c r="CF287" i="1"/>
  <c r="CD287" i="1"/>
  <c r="CC287" i="1"/>
  <c r="CB287" i="1"/>
  <c r="CA287" i="1"/>
  <c r="BV287" i="1"/>
  <c r="BU287" i="1"/>
  <c r="BT287" i="1"/>
  <c r="BS287" i="1"/>
  <c r="BI287" i="1"/>
  <c r="J287" i="1"/>
  <c r="DG332" i="1"/>
  <c r="DF332" i="1"/>
  <c r="DE332" i="1"/>
  <c r="DD332" i="1"/>
  <c r="CD332" i="1"/>
  <c r="CC332" i="1"/>
  <c r="CB332" i="1"/>
  <c r="CA332" i="1"/>
  <c r="BV332" i="1"/>
  <c r="BU332" i="1"/>
  <c r="BT332" i="1"/>
  <c r="BS332" i="1"/>
  <c r="BI332" i="1"/>
  <c r="BH332" i="1"/>
  <c r="J332" i="1"/>
  <c r="DG331" i="1"/>
  <c r="DF331" i="1"/>
  <c r="DE331" i="1"/>
  <c r="DD331" i="1"/>
  <c r="DB331" i="1"/>
  <c r="CD331" i="1"/>
  <c r="CC331" i="1"/>
  <c r="CB331" i="1"/>
  <c r="CA331" i="1"/>
  <c r="BV331" i="1"/>
  <c r="BU331" i="1"/>
  <c r="BT331" i="1"/>
  <c r="BS331" i="1"/>
  <c r="BI331" i="1"/>
  <c r="BH331" i="1"/>
  <c r="J331" i="1"/>
  <c r="DG281" i="1"/>
  <c r="DD281" i="1"/>
  <c r="DB281" i="1"/>
  <c r="CD281" i="1"/>
  <c r="CC281" i="1"/>
  <c r="CB281" i="1"/>
  <c r="CA281" i="1"/>
  <c r="BV281" i="1"/>
  <c r="BU281" i="1"/>
  <c r="BT281" i="1"/>
  <c r="BS281" i="1"/>
  <c r="BI281" i="1"/>
  <c r="BJ281" i="1" s="1"/>
  <c r="BH281" i="1"/>
  <c r="J281" i="1"/>
  <c r="DG280" i="1"/>
  <c r="DF280" i="1"/>
  <c r="DE280" i="1"/>
  <c r="DD280" i="1"/>
  <c r="DB280" i="1"/>
  <c r="CD280" i="1"/>
  <c r="CC280" i="1"/>
  <c r="CB280" i="1"/>
  <c r="CA280" i="1"/>
  <c r="BV280" i="1"/>
  <c r="BU280" i="1"/>
  <c r="BT280" i="1"/>
  <c r="BS280" i="1"/>
  <c r="BI280" i="1"/>
  <c r="BH280" i="1"/>
  <c r="J280" i="1"/>
  <c r="DG328" i="1"/>
  <c r="DF328" i="1"/>
  <c r="DE328" i="1"/>
  <c r="DD328" i="1"/>
  <c r="DB328" i="1"/>
  <c r="CD328" i="1"/>
  <c r="CC328" i="1"/>
  <c r="CB328" i="1"/>
  <c r="CA328" i="1"/>
  <c r="BV328" i="1"/>
  <c r="BU328" i="1"/>
  <c r="BT328" i="1"/>
  <c r="BS328" i="1"/>
  <c r="BI328" i="1"/>
  <c r="BH328" i="1"/>
  <c r="J328" i="1"/>
  <c r="DG327" i="1"/>
  <c r="DF327" i="1"/>
  <c r="DE327" i="1"/>
  <c r="DD327" i="1"/>
  <c r="DB327" i="1"/>
  <c r="CD327" i="1"/>
  <c r="CC327" i="1"/>
  <c r="CB327" i="1"/>
  <c r="CA327" i="1"/>
  <c r="BV327" i="1"/>
  <c r="BU327" i="1"/>
  <c r="BT327" i="1"/>
  <c r="BS327" i="1"/>
  <c r="BI327" i="1"/>
  <c r="BH327" i="1"/>
  <c r="J327" i="1"/>
  <c r="DG326" i="1"/>
  <c r="DF326" i="1"/>
  <c r="DE326" i="1"/>
  <c r="DD326" i="1"/>
  <c r="DB326" i="1"/>
  <c r="CD326" i="1"/>
  <c r="CC326" i="1"/>
  <c r="CB326" i="1"/>
  <c r="CA326" i="1"/>
  <c r="BV326" i="1"/>
  <c r="BU326" i="1"/>
  <c r="BT326" i="1"/>
  <c r="BS326" i="1"/>
  <c r="BI326" i="1"/>
  <c r="BH326" i="1"/>
  <c r="J326" i="1"/>
  <c r="DG325" i="1"/>
  <c r="DF325" i="1"/>
  <c r="DE325" i="1"/>
  <c r="DD325" i="1"/>
  <c r="DB325" i="1"/>
  <c r="CD325" i="1"/>
  <c r="CC325" i="1"/>
  <c r="CB325" i="1"/>
  <c r="CA325" i="1"/>
  <c r="BV325" i="1"/>
  <c r="BU325" i="1"/>
  <c r="BT325" i="1"/>
  <c r="BS325" i="1"/>
  <c r="BI325" i="1"/>
  <c r="BH325" i="1"/>
  <c r="J325" i="1"/>
  <c r="DG260" i="1"/>
  <c r="DF260" i="1"/>
  <c r="DE260" i="1"/>
  <c r="DD260" i="1"/>
  <c r="DB260" i="1"/>
  <c r="CD260" i="1"/>
  <c r="CC260" i="1"/>
  <c r="CB260" i="1"/>
  <c r="CA260" i="1"/>
  <c r="BV260" i="1"/>
  <c r="BU260" i="1"/>
  <c r="BT260" i="1"/>
  <c r="BS260" i="1"/>
  <c r="BI260" i="1"/>
  <c r="BH260" i="1"/>
  <c r="J260" i="1"/>
  <c r="DG323" i="1"/>
  <c r="DF323" i="1"/>
  <c r="DE323" i="1"/>
  <c r="DD323" i="1"/>
  <c r="DB323" i="1"/>
  <c r="CI323" i="1"/>
  <c r="CH323" i="1"/>
  <c r="BI323" i="1" s="1"/>
  <c r="CF323" i="1"/>
  <c r="BH323" i="1" s="1"/>
  <c r="CD323" i="1"/>
  <c r="CC323" i="1"/>
  <c r="CB323" i="1"/>
  <c r="CA323" i="1"/>
  <c r="BV323" i="1"/>
  <c r="BU323" i="1"/>
  <c r="BT323" i="1"/>
  <c r="BS323" i="1"/>
  <c r="J323" i="1"/>
  <c r="DG322" i="1"/>
  <c r="DF322" i="1"/>
  <c r="DE322" i="1"/>
  <c r="DD322" i="1"/>
  <c r="DB322" i="1"/>
  <c r="CD322" i="1"/>
  <c r="CC322" i="1"/>
  <c r="CB322" i="1"/>
  <c r="CA322" i="1"/>
  <c r="BV322" i="1"/>
  <c r="BU322" i="1"/>
  <c r="BT322" i="1"/>
  <c r="BS322" i="1"/>
  <c r="BI322" i="1"/>
  <c r="BH322" i="1"/>
  <c r="J322" i="1"/>
  <c r="DG248" i="1"/>
  <c r="DD248" i="1"/>
  <c r="DB248" i="1"/>
  <c r="CD248" i="1"/>
  <c r="BV248" i="1"/>
  <c r="BN248" i="1"/>
  <c r="BN490" i="1" s="1"/>
  <c r="K2" i="2" s="1"/>
  <c r="BI248" i="1"/>
  <c r="BJ248" i="1" s="1"/>
  <c r="J248" i="1"/>
  <c r="DG320" i="1"/>
  <c r="DF320" i="1"/>
  <c r="DE320" i="1"/>
  <c r="DD320" i="1"/>
  <c r="DB320" i="1"/>
  <c r="CD320" i="1"/>
  <c r="CC320" i="1"/>
  <c r="CB320" i="1"/>
  <c r="CA320" i="1"/>
  <c r="BV320" i="1"/>
  <c r="BU320" i="1"/>
  <c r="BT320" i="1"/>
  <c r="BS320" i="1"/>
  <c r="BI320" i="1"/>
  <c r="BH320" i="1"/>
  <c r="J320" i="1"/>
  <c r="DG319" i="1"/>
  <c r="DF319" i="1"/>
  <c r="DE319" i="1"/>
  <c r="DD319" i="1"/>
  <c r="DB319" i="1"/>
  <c r="CD319" i="1"/>
  <c r="CC319" i="1"/>
  <c r="CB319" i="1"/>
  <c r="CA319" i="1"/>
  <c r="BV319" i="1"/>
  <c r="BU319" i="1"/>
  <c r="BT319" i="1"/>
  <c r="BS319" i="1"/>
  <c r="BI319" i="1"/>
  <c r="BH319" i="1"/>
  <c r="J319" i="1"/>
  <c r="DG318" i="1"/>
  <c r="DF318" i="1"/>
  <c r="DE318" i="1"/>
  <c r="DD318" i="1"/>
  <c r="DB318" i="1"/>
  <c r="CD318" i="1"/>
  <c r="CC318" i="1"/>
  <c r="CB318" i="1"/>
  <c r="CA318" i="1"/>
  <c r="BV318" i="1"/>
  <c r="BU318" i="1"/>
  <c r="BT318" i="1"/>
  <c r="BS318" i="1"/>
  <c r="BI318" i="1"/>
  <c r="BH318" i="1"/>
  <c r="J318" i="1"/>
  <c r="DG317" i="1"/>
  <c r="DF317" i="1"/>
  <c r="DE317" i="1"/>
  <c r="DD317" i="1"/>
  <c r="DB317" i="1"/>
  <c r="CD317" i="1"/>
  <c r="CC317" i="1"/>
  <c r="CB317" i="1"/>
  <c r="CA317" i="1"/>
  <c r="BV317" i="1"/>
  <c r="BU317" i="1"/>
  <c r="BT317" i="1"/>
  <c r="BS317" i="1"/>
  <c r="BI317" i="1"/>
  <c r="BH317" i="1"/>
  <c r="J317" i="1"/>
  <c r="DG210" i="1"/>
  <c r="DD210" i="1"/>
  <c r="DB210" i="1"/>
  <c r="CD210" i="1"/>
  <c r="CC210" i="1"/>
  <c r="CB210" i="1"/>
  <c r="CA210" i="1"/>
  <c r="BV210" i="1"/>
  <c r="BU210" i="1"/>
  <c r="BT210" i="1"/>
  <c r="BS210" i="1"/>
  <c r="BI210" i="1"/>
  <c r="BH210" i="1"/>
  <c r="J210" i="1"/>
  <c r="DG270" i="1"/>
  <c r="DD270" i="1"/>
  <c r="DB270" i="1"/>
  <c r="CD270" i="1"/>
  <c r="CC270" i="1"/>
  <c r="CB270" i="1"/>
  <c r="CA270" i="1"/>
  <c r="BV270" i="1"/>
  <c r="BU270" i="1"/>
  <c r="BT270" i="1"/>
  <c r="BS270" i="1"/>
  <c r="BI270" i="1"/>
  <c r="BH270" i="1"/>
  <c r="J270" i="1"/>
  <c r="DG208" i="1"/>
  <c r="DD208" i="1"/>
  <c r="DB208" i="1"/>
  <c r="CD208" i="1"/>
  <c r="CC208" i="1"/>
  <c r="CB208" i="1"/>
  <c r="CA208" i="1"/>
  <c r="BV208" i="1"/>
  <c r="BU208" i="1"/>
  <c r="BT208" i="1"/>
  <c r="BS208" i="1"/>
  <c r="BI208" i="1"/>
  <c r="BH208" i="1"/>
  <c r="J208" i="1"/>
  <c r="DG313" i="1"/>
  <c r="DF313" i="1"/>
  <c r="DE313" i="1"/>
  <c r="DD313" i="1"/>
  <c r="DB313" i="1"/>
  <c r="CD313" i="1"/>
  <c r="CC313" i="1"/>
  <c r="CB313" i="1"/>
  <c r="CA313" i="1"/>
  <c r="BV313" i="1"/>
  <c r="BU313" i="1"/>
  <c r="BT313" i="1"/>
  <c r="BS313" i="1"/>
  <c r="BI313" i="1"/>
  <c r="BH313" i="1"/>
  <c r="J313" i="1"/>
  <c r="DG312" i="1"/>
  <c r="DF312" i="1"/>
  <c r="DE312" i="1"/>
  <c r="DD312" i="1"/>
  <c r="DB312" i="1"/>
  <c r="CD312" i="1"/>
  <c r="CC312" i="1"/>
  <c r="CB312" i="1"/>
  <c r="CA312" i="1"/>
  <c r="BV312" i="1"/>
  <c r="BU312" i="1"/>
  <c r="BT312" i="1"/>
  <c r="BS312" i="1"/>
  <c r="BI312" i="1"/>
  <c r="BH312" i="1"/>
  <c r="J312" i="1"/>
  <c r="DG311" i="1"/>
  <c r="DF311" i="1"/>
  <c r="DE311" i="1"/>
  <c r="DD311" i="1"/>
  <c r="DB311" i="1"/>
  <c r="CD311" i="1"/>
  <c r="CC311" i="1"/>
  <c r="CB311" i="1"/>
  <c r="CA311" i="1"/>
  <c r="BV311" i="1"/>
  <c r="BU311" i="1"/>
  <c r="BT311" i="1"/>
  <c r="BS311" i="1"/>
  <c r="BI311" i="1"/>
  <c r="BH311" i="1"/>
  <c r="J311" i="1"/>
  <c r="DG310" i="1"/>
  <c r="DF310" i="1"/>
  <c r="DE310" i="1"/>
  <c r="DD310" i="1"/>
  <c r="DB310" i="1"/>
  <c r="CL310" i="1"/>
  <c r="CI310" i="1"/>
  <c r="CF310" i="1"/>
  <c r="CD310" i="1"/>
  <c r="CC310" i="1"/>
  <c r="CB310" i="1"/>
  <c r="CA310" i="1"/>
  <c r="BV310" i="1"/>
  <c r="BU310" i="1"/>
  <c r="BT310" i="1"/>
  <c r="BS310" i="1"/>
  <c r="BI310" i="1"/>
  <c r="BH310" i="1"/>
  <c r="J310" i="1"/>
  <c r="DG165" i="1"/>
  <c r="DD165" i="1"/>
  <c r="DB165" i="1"/>
  <c r="CD165" i="1"/>
  <c r="CC165" i="1"/>
  <c r="CB165" i="1"/>
  <c r="CA165" i="1"/>
  <c r="BV165" i="1"/>
  <c r="BU165" i="1"/>
  <c r="BT165" i="1"/>
  <c r="BS165" i="1"/>
  <c r="BI165" i="1"/>
  <c r="BH165" i="1"/>
  <c r="J165" i="1"/>
  <c r="DG448" i="1"/>
  <c r="DF448" i="1"/>
  <c r="DE448" i="1"/>
  <c r="DD448" i="1"/>
  <c r="CD448" i="1"/>
  <c r="CC448" i="1"/>
  <c r="CB448" i="1"/>
  <c r="CA448" i="1"/>
  <c r="BV448" i="1"/>
  <c r="BU448" i="1"/>
  <c r="BT448" i="1"/>
  <c r="BS448" i="1"/>
  <c r="BI448" i="1"/>
  <c r="BH448" i="1"/>
  <c r="J448" i="1"/>
  <c r="DG356" i="1"/>
  <c r="DD356" i="1"/>
  <c r="CD356" i="1"/>
  <c r="CC356" i="1"/>
  <c r="CB356" i="1"/>
  <c r="CA356" i="1"/>
  <c r="BV356" i="1"/>
  <c r="BU356" i="1"/>
  <c r="BT356" i="1"/>
  <c r="BS356" i="1"/>
  <c r="BI356" i="1"/>
  <c r="BH356" i="1"/>
  <c r="J356" i="1"/>
  <c r="DG146" i="1"/>
  <c r="DD146" i="1"/>
  <c r="CD146" i="1"/>
  <c r="CC146" i="1"/>
  <c r="CB146" i="1"/>
  <c r="CA146" i="1"/>
  <c r="BV146" i="1"/>
  <c r="BU146" i="1"/>
  <c r="BT146" i="1"/>
  <c r="BS146" i="1"/>
  <c r="BI146" i="1"/>
  <c r="BH146" i="1"/>
  <c r="J146" i="1"/>
  <c r="DG305" i="1"/>
  <c r="DF305" i="1"/>
  <c r="DE305" i="1"/>
  <c r="DD305" i="1"/>
  <c r="DB305" i="1"/>
  <c r="CD305" i="1"/>
  <c r="CC305" i="1"/>
  <c r="CB305" i="1"/>
  <c r="CA305" i="1"/>
  <c r="BV305" i="1"/>
  <c r="BU305" i="1"/>
  <c r="BT305" i="1"/>
  <c r="BS305" i="1"/>
  <c r="BI305" i="1"/>
  <c r="BH305" i="1"/>
  <c r="J305" i="1"/>
  <c r="DG140" i="1"/>
  <c r="DD140" i="1"/>
  <c r="DB140" i="1"/>
  <c r="CI140" i="1"/>
  <c r="BH140" i="1" s="1"/>
  <c r="CH140" i="1"/>
  <c r="CF140" i="1"/>
  <c r="CD140" i="1"/>
  <c r="CC140" i="1"/>
  <c r="CB140" i="1"/>
  <c r="CA140" i="1"/>
  <c r="BV140" i="1"/>
  <c r="BU140" i="1"/>
  <c r="BT140" i="1"/>
  <c r="BS140" i="1"/>
  <c r="J140" i="1"/>
  <c r="DG303" i="1"/>
  <c r="DF303" i="1"/>
  <c r="DE303" i="1"/>
  <c r="DD303" i="1"/>
  <c r="DB303" i="1"/>
  <c r="CD303" i="1"/>
  <c r="CC303" i="1"/>
  <c r="CB303" i="1"/>
  <c r="CA303" i="1"/>
  <c r="BV303" i="1"/>
  <c r="BU303" i="1"/>
  <c r="BT303" i="1"/>
  <c r="BS303" i="1"/>
  <c r="BI303" i="1"/>
  <c r="BH303" i="1"/>
  <c r="J303" i="1"/>
  <c r="DG302" i="1"/>
  <c r="DF302" i="1"/>
  <c r="DE302" i="1"/>
  <c r="DD302" i="1"/>
  <c r="DB302" i="1"/>
  <c r="CI302" i="1"/>
  <c r="CH302" i="1"/>
  <c r="BI302" i="1" s="1"/>
  <c r="CF302" i="1"/>
  <c r="BH302" i="1" s="1"/>
  <c r="CC302" i="1"/>
  <c r="CB302" i="1"/>
  <c r="CA302" i="1"/>
  <c r="BU302" i="1"/>
  <c r="BT302" i="1"/>
  <c r="BS302" i="1"/>
  <c r="BO302" i="1"/>
  <c r="BV302" i="1" s="1"/>
  <c r="J302" i="1"/>
  <c r="DG301" i="1"/>
  <c r="DF301" i="1"/>
  <c r="DE301" i="1"/>
  <c r="DD301" i="1"/>
  <c r="DB301" i="1"/>
  <c r="CI301" i="1"/>
  <c r="CH301" i="1"/>
  <c r="CF301" i="1"/>
  <c r="CC301" i="1"/>
  <c r="CB301" i="1"/>
  <c r="CA301" i="1"/>
  <c r="BV301" i="1"/>
  <c r="BU301" i="1"/>
  <c r="BT301" i="1"/>
  <c r="BS301" i="1"/>
  <c r="BO301" i="1"/>
  <c r="CD301" i="1" s="1"/>
  <c r="BI301" i="1"/>
  <c r="BH301" i="1"/>
  <c r="J301" i="1"/>
  <c r="DG475" i="1"/>
  <c r="DD475" i="1"/>
  <c r="DB475" i="1"/>
  <c r="CD475" i="1"/>
  <c r="CC475" i="1"/>
  <c r="CB475" i="1"/>
  <c r="CA475" i="1"/>
  <c r="BV475" i="1"/>
  <c r="BU475" i="1"/>
  <c r="BT475" i="1"/>
  <c r="BS475" i="1"/>
  <c r="BI475" i="1"/>
  <c r="BH475" i="1"/>
  <c r="J475" i="1"/>
  <c r="DG299" i="1"/>
  <c r="DF299" i="1"/>
  <c r="DE299" i="1"/>
  <c r="DD299" i="1"/>
  <c r="DB299" i="1"/>
  <c r="CD299" i="1"/>
  <c r="CC299" i="1"/>
  <c r="CB299" i="1"/>
  <c r="CA299" i="1"/>
  <c r="BV299" i="1"/>
  <c r="BU299" i="1"/>
  <c r="BT299" i="1"/>
  <c r="BS299" i="1"/>
  <c r="BI299" i="1"/>
  <c r="BH299" i="1"/>
  <c r="J299" i="1"/>
  <c r="DG298" i="1"/>
  <c r="DF298" i="1"/>
  <c r="DE298" i="1"/>
  <c r="DD298" i="1"/>
  <c r="DB298" i="1"/>
  <c r="CD298" i="1"/>
  <c r="CC298" i="1"/>
  <c r="CB298" i="1"/>
  <c r="CA298" i="1"/>
  <c r="BV298" i="1"/>
  <c r="BU298" i="1"/>
  <c r="BT298" i="1"/>
  <c r="BS298" i="1"/>
  <c r="BI298" i="1"/>
  <c r="BH298" i="1"/>
  <c r="J298" i="1"/>
  <c r="DG125" i="1"/>
  <c r="DD125" i="1"/>
  <c r="DB125" i="1"/>
  <c r="CD125" i="1"/>
  <c r="CC125" i="1"/>
  <c r="CB125" i="1"/>
  <c r="CA125" i="1"/>
  <c r="BV125" i="1"/>
  <c r="BU125" i="1"/>
  <c r="BT125" i="1"/>
  <c r="BS125" i="1"/>
  <c r="BI125" i="1"/>
  <c r="BH125" i="1"/>
  <c r="J125" i="1"/>
  <c r="DG123" i="1"/>
  <c r="DD123" i="1"/>
  <c r="CD123" i="1"/>
  <c r="CC123" i="1"/>
  <c r="CB123" i="1"/>
  <c r="CA123" i="1"/>
  <c r="BV123" i="1"/>
  <c r="BU123" i="1"/>
  <c r="BT123" i="1"/>
  <c r="BS123" i="1"/>
  <c r="BI123" i="1"/>
  <c r="BH123" i="1"/>
  <c r="J123" i="1"/>
  <c r="DG454" i="1"/>
  <c r="DD454" i="1"/>
  <c r="DB454" i="1"/>
  <c r="CD454" i="1"/>
  <c r="CC454" i="1"/>
  <c r="CB454" i="1"/>
  <c r="CA454" i="1"/>
  <c r="BV454" i="1"/>
  <c r="BU454" i="1"/>
  <c r="BT454" i="1"/>
  <c r="BS454" i="1"/>
  <c r="BI454" i="1"/>
  <c r="BH454" i="1"/>
  <c r="J454" i="1"/>
  <c r="DG424" i="1"/>
  <c r="DD424" i="1"/>
  <c r="DB424" i="1"/>
  <c r="CD424" i="1"/>
  <c r="CC424" i="1"/>
  <c r="CB424" i="1"/>
  <c r="CA424" i="1"/>
  <c r="BV424" i="1"/>
  <c r="BU424" i="1"/>
  <c r="BT424" i="1"/>
  <c r="BS424" i="1"/>
  <c r="BI424" i="1"/>
  <c r="BH424" i="1"/>
  <c r="J424" i="1"/>
  <c r="DG321" i="1"/>
  <c r="DF321" i="1"/>
  <c r="DE321" i="1"/>
  <c r="DD321" i="1"/>
  <c r="DB321" i="1"/>
  <c r="CD321" i="1"/>
  <c r="CC321" i="1"/>
  <c r="CB321" i="1"/>
  <c r="CA321" i="1"/>
  <c r="BV321" i="1"/>
  <c r="BU321" i="1"/>
  <c r="BT321" i="1"/>
  <c r="BS321" i="1"/>
  <c r="BI321" i="1"/>
  <c r="BH321" i="1"/>
  <c r="J321" i="1"/>
  <c r="DG307" i="1"/>
  <c r="DD307" i="1"/>
  <c r="DB307" i="1"/>
  <c r="CD307" i="1"/>
  <c r="CC307" i="1"/>
  <c r="CB307" i="1"/>
  <c r="CA307" i="1"/>
  <c r="BV307" i="1"/>
  <c r="BU307" i="1"/>
  <c r="BT307" i="1"/>
  <c r="BS307" i="1"/>
  <c r="BI307" i="1"/>
  <c r="BH307" i="1"/>
  <c r="J307" i="1"/>
  <c r="DG185" i="1"/>
  <c r="DD185" i="1"/>
  <c r="DB185" i="1"/>
  <c r="CD185" i="1"/>
  <c r="CC185" i="1"/>
  <c r="CB185" i="1"/>
  <c r="CA185" i="1"/>
  <c r="BV185" i="1"/>
  <c r="BU185" i="1"/>
  <c r="BT185" i="1"/>
  <c r="BS185" i="1"/>
  <c r="BI185" i="1"/>
  <c r="BH185" i="1"/>
  <c r="J185" i="1"/>
  <c r="DG122" i="1"/>
  <c r="DD122" i="1"/>
  <c r="DB122" i="1"/>
  <c r="CD122" i="1"/>
  <c r="CC122" i="1"/>
  <c r="CB122" i="1"/>
  <c r="CA122" i="1"/>
  <c r="BV122" i="1"/>
  <c r="BU122" i="1"/>
  <c r="BT122" i="1"/>
  <c r="BS122" i="1"/>
  <c r="BI122" i="1"/>
  <c r="BH122" i="1"/>
  <c r="J122" i="1"/>
  <c r="DG289" i="1"/>
  <c r="DF289" i="1"/>
  <c r="DE289" i="1"/>
  <c r="DD289" i="1"/>
  <c r="DB289" i="1"/>
  <c r="CD289" i="1"/>
  <c r="CC289" i="1"/>
  <c r="CB289" i="1"/>
  <c r="CA289" i="1"/>
  <c r="BV289" i="1"/>
  <c r="BU289" i="1"/>
  <c r="BT289" i="1"/>
  <c r="BS289" i="1"/>
  <c r="BI289" i="1"/>
  <c r="BH289" i="1"/>
  <c r="J289" i="1"/>
  <c r="DG47" i="1"/>
  <c r="DD47" i="1"/>
  <c r="DB47" i="1"/>
  <c r="CD47" i="1"/>
  <c r="CC47" i="1"/>
  <c r="CB47" i="1"/>
  <c r="CA47" i="1"/>
  <c r="BV47" i="1"/>
  <c r="BU47" i="1"/>
  <c r="BT47" i="1"/>
  <c r="BS47" i="1"/>
  <c r="BI47" i="1"/>
  <c r="BH47" i="1"/>
  <c r="J47" i="1"/>
  <c r="DG117" i="1"/>
  <c r="DD117" i="1"/>
  <c r="DB117" i="1"/>
  <c r="CD117" i="1"/>
  <c r="CC117" i="1"/>
  <c r="CB117" i="1"/>
  <c r="CA117" i="1"/>
  <c r="BV117" i="1"/>
  <c r="BU117" i="1"/>
  <c r="BT117" i="1"/>
  <c r="BS117" i="1"/>
  <c r="BI117" i="1"/>
  <c r="BH117" i="1"/>
  <c r="J117" i="1"/>
  <c r="DG254" i="1"/>
  <c r="DD254" i="1"/>
  <c r="CD254" i="1"/>
  <c r="CC254" i="1"/>
  <c r="CB254" i="1"/>
  <c r="CA254" i="1"/>
  <c r="BV254" i="1"/>
  <c r="BU254" i="1"/>
  <c r="BT254" i="1"/>
  <c r="BS254" i="1"/>
  <c r="BI254" i="1"/>
  <c r="BH254" i="1"/>
  <c r="J254" i="1"/>
  <c r="DG486" i="1"/>
  <c r="DD486" i="1"/>
  <c r="DB486" i="1"/>
  <c r="CD486" i="1"/>
  <c r="CC486" i="1"/>
  <c r="CB486" i="1"/>
  <c r="CA486" i="1"/>
  <c r="BV486" i="1"/>
  <c r="BU486" i="1"/>
  <c r="BT486" i="1"/>
  <c r="BS486" i="1"/>
  <c r="BI486" i="1"/>
  <c r="BH486" i="1"/>
  <c r="J486" i="1"/>
  <c r="DG116" i="1"/>
  <c r="DD116" i="1"/>
  <c r="DB116" i="1"/>
  <c r="CD116" i="1"/>
  <c r="CC116" i="1"/>
  <c r="CB116" i="1"/>
  <c r="CA116" i="1"/>
  <c r="BV116" i="1"/>
  <c r="BU116" i="1"/>
  <c r="BT116" i="1"/>
  <c r="BS116" i="1"/>
  <c r="BI116" i="1"/>
  <c r="BH116" i="1"/>
  <c r="J116" i="1"/>
  <c r="DG115" i="1"/>
  <c r="DD115" i="1"/>
  <c r="DB115" i="1"/>
  <c r="CD115" i="1"/>
  <c r="CC115" i="1"/>
  <c r="CB115" i="1"/>
  <c r="CA115" i="1"/>
  <c r="BV115" i="1"/>
  <c r="BU115" i="1"/>
  <c r="BT115" i="1"/>
  <c r="BS115" i="1"/>
  <c r="BI115" i="1"/>
  <c r="BH115" i="1"/>
  <c r="J115" i="1"/>
  <c r="DG282" i="1"/>
  <c r="DF282" i="1"/>
  <c r="DE282" i="1"/>
  <c r="DD282" i="1"/>
  <c r="DB282" i="1"/>
  <c r="CI282" i="1"/>
  <c r="CH282" i="1"/>
  <c r="BI282" i="1" s="1"/>
  <c r="CF282" i="1"/>
  <c r="BH282" i="1" s="1"/>
  <c r="CC282" i="1"/>
  <c r="CB282" i="1"/>
  <c r="CA282" i="1"/>
  <c r="BV282" i="1"/>
  <c r="BU282" i="1"/>
  <c r="BT282" i="1"/>
  <c r="BS282" i="1"/>
  <c r="BO282" i="1"/>
  <c r="CD282" i="1" s="1"/>
  <c r="J282" i="1"/>
  <c r="DG113" i="1"/>
  <c r="DD113" i="1"/>
  <c r="DB113" i="1"/>
  <c r="CN113" i="1"/>
  <c r="CL113" i="1"/>
  <c r="CI113" i="1"/>
  <c r="CH113" i="1"/>
  <c r="BI113" i="1" s="1"/>
  <c r="CF113" i="1"/>
  <c r="CD113" i="1"/>
  <c r="CC113" i="1"/>
  <c r="CB113" i="1"/>
  <c r="CA113" i="1"/>
  <c r="BV113" i="1"/>
  <c r="BU113" i="1"/>
  <c r="BT113" i="1"/>
  <c r="BS113" i="1"/>
  <c r="BH113" i="1"/>
  <c r="J113" i="1"/>
  <c r="DG112" i="1"/>
  <c r="DD112" i="1"/>
  <c r="DB112" i="1"/>
  <c r="CD112" i="1"/>
  <c r="CC112" i="1"/>
  <c r="CB112" i="1"/>
  <c r="CA112" i="1"/>
  <c r="BV112" i="1"/>
  <c r="BU112" i="1"/>
  <c r="BT112" i="1"/>
  <c r="BS112" i="1"/>
  <c r="BI112" i="1"/>
  <c r="BH112" i="1"/>
  <c r="J112" i="1"/>
  <c r="DG279" i="1"/>
  <c r="DF279" i="1"/>
  <c r="DE279" i="1"/>
  <c r="DD279" i="1"/>
  <c r="DB279" i="1"/>
  <c r="CI279" i="1"/>
  <c r="BH279" i="1" s="1"/>
  <c r="CH279" i="1"/>
  <c r="CF279" i="1"/>
  <c r="CC279" i="1"/>
  <c r="CB279" i="1"/>
  <c r="CA279" i="1"/>
  <c r="BV279" i="1"/>
  <c r="BU279" i="1"/>
  <c r="BT279" i="1"/>
  <c r="BS279" i="1"/>
  <c r="BO279" i="1"/>
  <c r="CD279" i="1" s="1"/>
  <c r="BI279" i="1"/>
  <c r="J279" i="1"/>
  <c r="DG278" i="1"/>
  <c r="DD278" i="1"/>
  <c r="DB278" i="1"/>
  <c r="CD278" i="1"/>
  <c r="CC278" i="1"/>
  <c r="CB278" i="1"/>
  <c r="CA278" i="1"/>
  <c r="BV278" i="1"/>
  <c r="BU278" i="1"/>
  <c r="BT278" i="1"/>
  <c r="BS278" i="1"/>
  <c r="BI278" i="1"/>
  <c r="BH278" i="1"/>
  <c r="J278" i="1"/>
  <c r="DG277" i="1"/>
  <c r="DF277" i="1"/>
  <c r="DE277" i="1"/>
  <c r="DD277" i="1"/>
  <c r="DB277" i="1"/>
  <c r="CD277" i="1"/>
  <c r="CC277" i="1"/>
  <c r="CB277" i="1"/>
  <c r="CA277" i="1"/>
  <c r="BV277" i="1"/>
  <c r="BU277" i="1"/>
  <c r="BT277" i="1"/>
  <c r="BS277" i="1"/>
  <c r="BI277" i="1"/>
  <c r="BH277" i="1"/>
  <c r="J277" i="1"/>
  <c r="DG276" i="1"/>
  <c r="DF276" i="1"/>
  <c r="DE276" i="1"/>
  <c r="DD276" i="1"/>
  <c r="DB276" i="1"/>
  <c r="CD276" i="1"/>
  <c r="CC276" i="1"/>
  <c r="CB276" i="1"/>
  <c r="CA276" i="1"/>
  <c r="BV276" i="1"/>
  <c r="BU276" i="1"/>
  <c r="BT276" i="1"/>
  <c r="BS276" i="1"/>
  <c r="BI276" i="1"/>
  <c r="BH276" i="1"/>
  <c r="DG275" i="1"/>
  <c r="DF275" i="1"/>
  <c r="DE275" i="1"/>
  <c r="DD275" i="1"/>
  <c r="DB275" i="1"/>
  <c r="CD275" i="1"/>
  <c r="CC275" i="1"/>
  <c r="CB275" i="1"/>
  <c r="CA275" i="1"/>
  <c r="BV275" i="1"/>
  <c r="BU275" i="1"/>
  <c r="BT275" i="1"/>
  <c r="BS275" i="1"/>
  <c r="BI275" i="1"/>
  <c r="BH275" i="1"/>
  <c r="DG362" i="1"/>
  <c r="DF362" i="1"/>
  <c r="DE362" i="1"/>
  <c r="DD362" i="1"/>
  <c r="DB362" i="1"/>
  <c r="CN362" i="1"/>
  <c r="CL362" i="1"/>
  <c r="CK362" i="1"/>
  <c r="CI362" i="1"/>
  <c r="CH362" i="1"/>
  <c r="CF362" i="1"/>
  <c r="BH362" i="1" s="1"/>
  <c r="CD362" i="1"/>
  <c r="CC362" i="1"/>
  <c r="CB362" i="1"/>
  <c r="CA362" i="1"/>
  <c r="BV362" i="1"/>
  <c r="BU362" i="1"/>
  <c r="BT362" i="1"/>
  <c r="BS362" i="1"/>
  <c r="BI362" i="1"/>
  <c r="J362" i="1"/>
  <c r="DG100" i="1"/>
  <c r="DF100" i="1"/>
  <c r="DE100" i="1"/>
  <c r="DD100" i="1"/>
  <c r="DB100" i="1"/>
  <c r="CN100" i="1"/>
  <c r="CL100" i="1"/>
  <c r="CK100" i="1"/>
  <c r="BI100" i="1" s="1"/>
  <c r="CI100" i="1"/>
  <c r="CH100" i="1"/>
  <c r="CF100" i="1"/>
  <c r="CD100" i="1"/>
  <c r="CC100" i="1"/>
  <c r="CB100" i="1"/>
  <c r="CA100" i="1"/>
  <c r="BV100" i="1"/>
  <c r="BU100" i="1"/>
  <c r="BT100" i="1"/>
  <c r="BS100" i="1"/>
  <c r="BH100" i="1"/>
  <c r="J100" i="1"/>
  <c r="DG91" i="1"/>
  <c r="DD91" i="1"/>
  <c r="DB91" i="1"/>
  <c r="CD91" i="1"/>
  <c r="CC91" i="1"/>
  <c r="CB91" i="1"/>
  <c r="CA91" i="1"/>
  <c r="BV91" i="1"/>
  <c r="BU91" i="1"/>
  <c r="BT91" i="1"/>
  <c r="BS91" i="1"/>
  <c r="BI91" i="1"/>
  <c r="BH91" i="1"/>
  <c r="J91" i="1"/>
  <c r="DG271" i="1"/>
  <c r="DF271" i="1"/>
  <c r="DE271" i="1"/>
  <c r="DD271" i="1"/>
  <c r="BV271" i="1"/>
  <c r="BU271" i="1"/>
  <c r="BT271" i="1"/>
  <c r="BS271" i="1"/>
  <c r="BI271" i="1"/>
  <c r="BH271" i="1"/>
  <c r="J271" i="1"/>
  <c r="DG84" i="1"/>
  <c r="DF84" i="1"/>
  <c r="DE84" i="1"/>
  <c r="DD84" i="1"/>
  <c r="DB84" i="1"/>
  <c r="CD84" i="1"/>
  <c r="CC84" i="1"/>
  <c r="CB84" i="1"/>
  <c r="CA84" i="1"/>
  <c r="BV84" i="1"/>
  <c r="BU84" i="1"/>
  <c r="BT84" i="1"/>
  <c r="BS84" i="1"/>
  <c r="BI84" i="1"/>
  <c r="BH84" i="1"/>
  <c r="J84" i="1"/>
  <c r="DG269" i="1"/>
  <c r="DF269" i="1"/>
  <c r="DE269" i="1"/>
  <c r="DD269" i="1"/>
  <c r="CD269" i="1"/>
  <c r="CC269" i="1"/>
  <c r="CB269" i="1"/>
  <c r="CA269" i="1"/>
  <c r="BV269" i="1"/>
  <c r="BU269" i="1"/>
  <c r="BT269" i="1"/>
  <c r="BS269" i="1"/>
  <c r="BI269" i="1"/>
  <c r="BH269" i="1"/>
  <c r="J269" i="1"/>
  <c r="DG79" i="1"/>
  <c r="DD79" i="1"/>
  <c r="DB79" i="1"/>
  <c r="CD79" i="1"/>
  <c r="CC79" i="1"/>
  <c r="CB79" i="1"/>
  <c r="CA79" i="1"/>
  <c r="BV79" i="1"/>
  <c r="BU79" i="1"/>
  <c r="BT79" i="1"/>
  <c r="BS79" i="1"/>
  <c r="BI79" i="1"/>
  <c r="BH79" i="1"/>
  <c r="J79" i="1"/>
  <c r="DG267" i="1"/>
  <c r="DF267" i="1"/>
  <c r="DE267" i="1"/>
  <c r="DD267" i="1"/>
  <c r="DB267" i="1"/>
  <c r="CD267" i="1"/>
  <c r="CC267" i="1"/>
  <c r="CB267" i="1"/>
  <c r="CA267" i="1"/>
  <c r="BV267" i="1"/>
  <c r="BU267" i="1"/>
  <c r="BT267" i="1"/>
  <c r="BS267" i="1"/>
  <c r="BI267" i="1"/>
  <c r="BH267" i="1"/>
  <c r="J267" i="1"/>
  <c r="DG266" i="1"/>
  <c r="DF266" i="1"/>
  <c r="DE266" i="1"/>
  <c r="DD266" i="1"/>
  <c r="DB266" i="1"/>
  <c r="CD266" i="1"/>
  <c r="CC266" i="1"/>
  <c r="CB266" i="1"/>
  <c r="CA266" i="1"/>
  <c r="BU266" i="1"/>
  <c r="BT266" i="1"/>
  <c r="BS266" i="1"/>
  <c r="BO266" i="1"/>
  <c r="BI266" i="1"/>
  <c r="BH266" i="1"/>
  <c r="J266" i="1"/>
  <c r="DG265" i="1"/>
  <c r="DF265" i="1"/>
  <c r="DE265" i="1"/>
  <c r="DD265" i="1"/>
  <c r="DB265" i="1"/>
  <c r="CL265" i="1"/>
  <c r="CI265" i="1"/>
  <c r="BH265" i="1" s="1"/>
  <c r="CF265" i="1"/>
  <c r="CD265" i="1"/>
  <c r="CC265" i="1"/>
  <c r="CB265" i="1"/>
  <c r="CA265" i="1"/>
  <c r="BV265" i="1"/>
  <c r="BU265" i="1"/>
  <c r="BT265" i="1"/>
  <c r="BS265" i="1"/>
  <c r="BI265" i="1"/>
  <c r="J265" i="1"/>
  <c r="DG264" i="1"/>
  <c r="DF264" i="1"/>
  <c r="DE264" i="1"/>
  <c r="DD264" i="1"/>
  <c r="DB264" i="1"/>
  <c r="CL264" i="1"/>
  <c r="CI264" i="1"/>
  <c r="CF264" i="1"/>
  <c r="BH264" i="1" s="1"/>
  <c r="CD264" i="1"/>
  <c r="CC264" i="1"/>
  <c r="CB264" i="1"/>
  <c r="CA264" i="1"/>
  <c r="BV264" i="1"/>
  <c r="BU264" i="1"/>
  <c r="BT264" i="1"/>
  <c r="BS264" i="1"/>
  <c r="BI264" i="1"/>
  <c r="J264" i="1"/>
  <c r="DG263" i="1"/>
  <c r="DF263" i="1"/>
  <c r="DE263" i="1"/>
  <c r="DD263" i="1"/>
  <c r="DB263" i="1"/>
  <c r="CD263" i="1"/>
  <c r="CC263" i="1"/>
  <c r="CB263" i="1"/>
  <c r="CA263" i="1"/>
  <c r="BV263" i="1"/>
  <c r="BU263" i="1"/>
  <c r="BT263" i="1"/>
  <c r="BS263" i="1"/>
  <c r="BI263" i="1"/>
  <c r="BH263" i="1"/>
  <c r="J263" i="1"/>
  <c r="DG262" i="1"/>
  <c r="DF262" i="1"/>
  <c r="DE262" i="1"/>
  <c r="DD262" i="1"/>
  <c r="CD262" i="1"/>
  <c r="CC262" i="1"/>
  <c r="CB262" i="1"/>
  <c r="CA262" i="1"/>
  <c r="BV262" i="1"/>
  <c r="BU262" i="1"/>
  <c r="BT262" i="1"/>
  <c r="BS262" i="1"/>
  <c r="BI262" i="1"/>
  <c r="BH262" i="1"/>
  <c r="J262" i="1"/>
  <c r="DG53" i="1"/>
  <c r="DD53" i="1"/>
  <c r="CD53" i="1"/>
  <c r="CC53" i="1"/>
  <c r="CB53" i="1"/>
  <c r="CA53" i="1"/>
  <c r="BV53" i="1"/>
  <c r="BU53" i="1"/>
  <c r="BT53" i="1"/>
  <c r="BS53" i="1"/>
  <c r="BI53" i="1"/>
  <c r="BH53" i="1"/>
  <c r="J53" i="1"/>
  <c r="DG48" i="1"/>
  <c r="DD48" i="1"/>
  <c r="CN48" i="1"/>
  <c r="CL48" i="1"/>
  <c r="BH48" i="1" s="1"/>
  <c r="CI48" i="1"/>
  <c r="CH48" i="1"/>
  <c r="BI48" i="1" s="1"/>
  <c r="CF48" i="1"/>
  <c r="CD48" i="1"/>
  <c r="CC48" i="1"/>
  <c r="CB48" i="1"/>
  <c r="CA48" i="1"/>
  <c r="BV48" i="1"/>
  <c r="BU48" i="1"/>
  <c r="BT48" i="1"/>
  <c r="BS48" i="1"/>
  <c r="J48" i="1"/>
  <c r="DG259" i="1"/>
  <c r="DF259" i="1"/>
  <c r="DE259" i="1"/>
  <c r="DD259" i="1"/>
  <c r="DB259" i="1"/>
  <c r="CD259" i="1"/>
  <c r="CC259" i="1"/>
  <c r="CB259" i="1"/>
  <c r="CA259" i="1"/>
  <c r="BV259" i="1"/>
  <c r="BU259" i="1"/>
  <c r="BT259" i="1"/>
  <c r="BS259" i="1"/>
  <c r="BI259" i="1"/>
  <c r="BH259" i="1"/>
  <c r="J259" i="1"/>
  <c r="DG258" i="1"/>
  <c r="DD258" i="1"/>
  <c r="DB258" i="1"/>
  <c r="CD258" i="1"/>
  <c r="CC258" i="1"/>
  <c r="CB258" i="1"/>
  <c r="CA258" i="1"/>
  <c r="BV258" i="1"/>
  <c r="BU258" i="1"/>
  <c r="BT258" i="1"/>
  <c r="BS258" i="1"/>
  <c r="BI258" i="1"/>
  <c r="BH258" i="1"/>
  <c r="J258" i="1"/>
  <c r="DG349" i="1"/>
  <c r="DD349" i="1"/>
  <c r="DB349" i="1"/>
  <c r="CD349" i="1"/>
  <c r="CC349" i="1"/>
  <c r="CB349" i="1"/>
  <c r="CA349" i="1"/>
  <c r="BV349" i="1"/>
  <c r="BU349" i="1"/>
  <c r="BT349" i="1"/>
  <c r="BS349" i="1"/>
  <c r="BI349" i="1"/>
  <c r="BH349" i="1"/>
  <c r="J349" i="1"/>
  <c r="DG43" i="1"/>
  <c r="DD43" i="1"/>
  <c r="DB43" i="1"/>
  <c r="CD43" i="1"/>
  <c r="CC43" i="1"/>
  <c r="CB43" i="1"/>
  <c r="CA43" i="1"/>
  <c r="BV43" i="1"/>
  <c r="BU43" i="1"/>
  <c r="BT43" i="1"/>
  <c r="BS43" i="1"/>
  <c r="BI43" i="1"/>
  <c r="BH43" i="1"/>
  <c r="J43" i="1"/>
  <c r="DG255" i="1"/>
  <c r="DF255" i="1"/>
  <c r="DE255" i="1"/>
  <c r="DD255" i="1"/>
  <c r="DB255" i="1"/>
  <c r="CD255" i="1"/>
  <c r="CC255" i="1"/>
  <c r="CB255" i="1"/>
  <c r="CA255" i="1"/>
  <c r="BV255" i="1"/>
  <c r="BU255" i="1"/>
  <c r="BT255" i="1"/>
  <c r="BS255" i="1"/>
  <c r="BI255" i="1"/>
  <c r="BH255" i="1"/>
  <c r="J255" i="1"/>
  <c r="DG37" i="1"/>
  <c r="DD37" i="1"/>
  <c r="DB37" i="1"/>
  <c r="CN37" i="1"/>
  <c r="BI37" i="1" s="1"/>
  <c r="CL37" i="1"/>
  <c r="CI37" i="1"/>
  <c r="CH37" i="1"/>
  <c r="CF37" i="1"/>
  <c r="BH37" i="1" s="1"/>
  <c r="CD37" i="1"/>
  <c r="CC37" i="1"/>
  <c r="CB37" i="1"/>
  <c r="CA37" i="1"/>
  <c r="BV37" i="1"/>
  <c r="BU37" i="1"/>
  <c r="BT37" i="1"/>
  <c r="BS37" i="1"/>
  <c r="J37" i="1"/>
  <c r="DG32" i="1"/>
  <c r="DD32" i="1"/>
  <c r="DB32" i="1"/>
  <c r="CD32" i="1"/>
  <c r="CC32" i="1"/>
  <c r="CB32" i="1"/>
  <c r="CA32" i="1"/>
  <c r="BV32" i="1"/>
  <c r="BU32" i="1"/>
  <c r="BT32" i="1"/>
  <c r="BS32" i="1"/>
  <c r="BI32" i="1"/>
  <c r="BH32" i="1"/>
  <c r="J32" i="1"/>
  <c r="DG57" i="1"/>
  <c r="DD57" i="1"/>
  <c r="DB57" i="1"/>
  <c r="CD57" i="1"/>
  <c r="CC57" i="1"/>
  <c r="CB57" i="1"/>
  <c r="CA57" i="1"/>
  <c r="BV57" i="1"/>
  <c r="BU57" i="1"/>
  <c r="BT57" i="1"/>
  <c r="BS57" i="1"/>
  <c r="BI57" i="1"/>
  <c r="BH57" i="1"/>
  <c r="J57" i="1"/>
  <c r="DG251" i="1"/>
  <c r="DF251" i="1"/>
  <c r="DE251" i="1"/>
  <c r="DD251" i="1"/>
  <c r="DB251" i="1"/>
  <c r="CD251" i="1"/>
  <c r="CC251" i="1"/>
  <c r="CB251" i="1"/>
  <c r="CA251" i="1"/>
  <c r="BV251" i="1"/>
  <c r="BU251" i="1"/>
  <c r="BT251" i="1"/>
  <c r="BS251" i="1"/>
  <c r="BI251" i="1"/>
  <c r="BH251" i="1"/>
  <c r="J251" i="1"/>
  <c r="DG250" i="1"/>
  <c r="DD250" i="1"/>
  <c r="DB250" i="1"/>
  <c r="CD250" i="1"/>
  <c r="CC250" i="1"/>
  <c r="CB250" i="1"/>
  <c r="CA250" i="1"/>
  <c r="BV250" i="1"/>
  <c r="BU250" i="1"/>
  <c r="BT250" i="1"/>
  <c r="BS250" i="1"/>
  <c r="BI250" i="1"/>
  <c r="BH250" i="1"/>
  <c r="J250" i="1"/>
  <c r="DG481" i="1"/>
  <c r="DD481" i="1"/>
  <c r="DB481" i="1"/>
  <c r="CD481" i="1"/>
  <c r="CC481" i="1"/>
  <c r="CB481" i="1"/>
  <c r="CA481" i="1"/>
  <c r="BV481" i="1"/>
  <c r="BU481" i="1"/>
  <c r="BT481" i="1"/>
  <c r="BS481" i="1"/>
  <c r="BI481" i="1"/>
  <c r="BH481" i="1"/>
  <c r="J481" i="1"/>
  <c r="DG31" i="1"/>
  <c r="DD31" i="1"/>
  <c r="DB31" i="1"/>
  <c r="CD31" i="1"/>
  <c r="CC31" i="1"/>
  <c r="CB31" i="1"/>
  <c r="CA31" i="1"/>
  <c r="BV31" i="1"/>
  <c r="BU31" i="1"/>
  <c r="BT31" i="1"/>
  <c r="BS31" i="1"/>
  <c r="BI31" i="1"/>
  <c r="BH31" i="1"/>
  <c r="J31" i="1"/>
  <c r="DG425" i="1"/>
  <c r="DD425" i="1"/>
  <c r="DB425" i="1"/>
  <c r="CD425" i="1"/>
  <c r="CC425" i="1"/>
  <c r="CB425" i="1"/>
  <c r="CA425" i="1"/>
  <c r="BV425" i="1"/>
  <c r="BU425" i="1"/>
  <c r="BT425" i="1"/>
  <c r="BS425" i="1"/>
  <c r="BI425" i="1"/>
  <c r="BH425" i="1"/>
  <c r="J425" i="1"/>
  <c r="DG246" i="1"/>
  <c r="DF246" i="1"/>
  <c r="DE246" i="1"/>
  <c r="DD246" i="1"/>
  <c r="DB246" i="1"/>
  <c r="CD246" i="1"/>
  <c r="CC246" i="1"/>
  <c r="CB246" i="1"/>
  <c r="CA246" i="1"/>
  <c r="BV246" i="1"/>
  <c r="BU246" i="1"/>
  <c r="BT246" i="1"/>
  <c r="BS246" i="1"/>
  <c r="BI246" i="1"/>
  <c r="BH246" i="1"/>
  <c r="J246" i="1"/>
  <c r="DG416" i="1"/>
  <c r="DD416" i="1"/>
  <c r="DB416" i="1"/>
  <c r="CD416" i="1"/>
  <c r="CC416" i="1"/>
  <c r="CB416" i="1"/>
  <c r="CA416" i="1"/>
  <c r="BV416" i="1"/>
  <c r="BU416" i="1"/>
  <c r="BT416" i="1"/>
  <c r="BS416" i="1"/>
  <c r="BI416" i="1"/>
  <c r="BJ416" i="1" s="1"/>
  <c r="J416" i="1"/>
  <c r="DG244" i="1"/>
  <c r="DF244" i="1"/>
  <c r="DE244" i="1"/>
  <c r="DD244" i="1"/>
  <c r="DB244" i="1"/>
  <c r="CD244" i="1"/>
  <c r="CC244" i="1"/>
  <c r="CB244" i="1"/>
  <c r="CA244" i="1"/>
  <c r="BV244" i="1"/>
  <c r="BU244" i="1"/>
  <c r="BT244" i="1"/>
  <c r="BS244" i="1"/>
  <c r="BI244" i="1"/>
  <c r="BH244" i="1"/>
  <c r="J244" i="1"/>
  <c r="DG24" i="1"/>
  <c r="DD24" i="1"/>
  <c r="DB24" i="1"/>
  <c r="CD24" i="1"/>
  <c r="CC24" i="1"/>
  <c r="CB24" i="1"/>
  <c r="CA24" i="1"/>
  <c r="BV24" i="1"/>
  <c r="BU24" i="1"/>
  <c r="BT24" i="1"/>
  <c r="BS24" i="1"/>
  <c r="BI24" i="1"/>
  <c r="BH24" i="1"/>
  <c r="J24" i="1"/>
  <c r="DG242" i="1"/>
  <c r="DF242" i="1"/>
  <c r="DE242" i="1"/>
  <c r="DD242" i="1"/>
  <c r="DB242" i="1"/>
  <c r="CD242" i="1"/>
  <c r="CC242" i="1"/>
  <c r="CB242" i="1"/>
  <c r="CA242" i="1"/>
  <c r="BV242" i="1"/>
  <c r="BU242" i="1"/>
  <c r="BT242" i="1"/>
  <c r="BS242" i="1"/>
  <c r="BI242" i="1"/>
  <c r="BH242" i="1"/>
  <c r="J242" i="1"/>
  <c r="DG241" i="1"/>
  <c r="DF241" i="1"/>
  <c r="DE241" i="1"/>
  <c r="DD241" i="1"/>
  <c r="DB241" i="1"/>
  <c r="CI241" i="1"/>
  <c r="CH241" i="1"/>
  <c r="CF241" i="1"/>
  <c r="CD241" i="1"/>
  <c r="CC241" i="1"/>
  <c r="CB241" i="1"/>
  <c r="CA241" i="1"/>
  <c r="BV241" i="1"/>
  <c r="BU241" i="1"/>
  <c r="BT241" i="1"/>
  <c r="BS241" i="1"/>
  <c r="BI241" i="1"/>
  <c r="BH241" i="1"/>
  <c r="J241" i="1"/>
  <c r="DG256" i="1"/>
  <c r="DD256" i="1"/>
  <c r="DB256" i="1"/>
  <c r="CD256" i="1"/>
  <c r="CC256" i="1"/>
  <c r="CB256" i="1"/>
  <c r="CA256" i="1"/>
  <c r="BV256" i="1"/>
  <c r="BU256" i="1"/>
  <c r="BT256" i="1"/>
  <c r="BS256" i="1"/>
  <c r="BI256" i="1"/>
  <c r="BH256" i="1"/>
  <c r="J256" i="1"/>
  <c r="DG239" i="1"/>
  <c r="DF239" i="1"/>
  <c r="DE239" i="1"/>
  <c r="DD239" i="1"/>
  <c r="DB239" i="1"/>
  <c r="CD239" i="1"/>
  <c r="CC239" i="1"/>
  <c r="CB239" i="1"/>
  <c r="CA239" i="1"/>
  <c r="BV239" i="1"/>
  <c r="BU239" i="1"/>
  <c r="BT239" i="1"/>
  <c r="BS239" i="1"/>
  <c r="BI239" i="1"/>
  <c r="BH239" i="1"/>
  <c r="J239" i="1"/>
  <c r="DG238" i="1"/>
  <c r="DF238" i="1"/>
  <c r="DE238" i="1"/>
  <c r="DD238" i="1"/>
  <c r="DB238" i="1"/>
  <c r="CO238" i="1"/>
  <c r="CL238" i="1"/>
  <c r="BH238" i="1" s="1"/>
  <c r="CI238" i="1"/>
  <c r="CF238" i="1"/>
  <c r="CD238" i="1"/>
  <c r="CC238" i="1"/>
  <c r="CB238" i="1"/>
  <c r="CA238" i="1"/>
  <c r="BV238" i="1"/>
  <c r="BU238" i="1"/>
  <c r="BT238" i="1"/>
  <c r="BS238" i="1"/>
  <c r="BI238" i="1"/>
  <c r="J238" i="1"/>
  <c r="DG237" i="1"/>
  <c r="DF237" i="1"/>
  <c r="DE237" i="1"/>
  <c r="DD237" i="1"/>
  <c r="DB237" i="1"/>
  <c r="CO237" i="1"/>
  <c r="CL237" i="1"/>
  <c r="CI237" i="1"/>
  <c r="CF237" i="1"/>
  <c r="BH237" i="1" s="1"/>
  <c r="CD237" i="1"/>
  <c r="CC237" i="1"/>
  <c r="CB237" i="1"/>
  <c r="CA237" i="1"/>
  <c r="BV237" i="1"/>
  <c r="BU237" i="1"/>
  <c r="BT237" i="1"/>
  <c r="BS237" i="1"/>
  <c r="BI237" i="1"/>
  <c r="J237" i="1"/>
  <c r="DG236" i="1"/>
  <c r="DF236" i="1"/>
  <c r="DE236" i="1"/>
  <c r="DD236" i="1"/>
  <c r="DB236" i="1"/>
  <c r="CO236" i="1"/>
  <c r="CL236" i="1"/>
  <c r="CI236" i="1"/>
  <c r="CF236" i="1"/>
  <c r="CD236" i="1"/>
  <c r="CC236" i="1"/>
  <c r="CB236" i="1"/>
  <c r="CA236" i="1"/>
  <c r="BV236" i="1"/>
  <c r="BU236" i="1"/>
  <c r="BT236" i="1"/>
  <c r="BS236" i="1"/>
  <c r="BI236" i="1"/>
  <c r="BH236" i="1"/>
  <c r="J236" i="1"/>
  <c r="DG235" i="1"/>
  <c r="DF235" i="1"/>
  <c r="DE235" i="1"/>
  <c r="DD235" i="1"/>
  <c r="DB235" i="1"/>
  <c r="CO235" i="1"/>
  <c r="CL235" i="1"/>
  <c r="CI235" i="1"/>
  <c r="BH235" i="1" s="1"/>
  <c r="CF235" i="1"/>
  <c r="CD235" i="1"/>
  <c r="CC235" i="1"/>
  <c r="CB235" i="1"/>
  <c r="CA235" i="1"/>
  <c r="BV235" i="1"/>
  <c r="BU235" i="1"/>
  <c r="BT235" i="1"/>
  <c r="BS235" i="1"/>
  <c r="BI235" i="1"/>
  <c r="J235" i="1"/>
  <c r="DG234" i="1"/>
  <c r="DF234" i="1"/>
  <c r="DE234" i="1"/>
  <c r="DD234" i="1"/>
  <c r="DB234" i="1"/>
  <c r="CD234" i="1"/>
  <c r="CC234" i="1"/>
  <c r="CB234" i="1"/>
  <c r="CA234" i="1"/>
  <c r="BV234" i="1"/>
  <c r="BU234" i="1"/>
  <c r="BT234" i="1"/>
  <c r="BS234" i="1"/>
  <c r="BI234" i="1"/>
  <c r="BH234" i="1"/>
  <c r="J234" i="1"/>
  <c r="DG233" i="1"/>
  <c r="DF233" i="1"/>
  <c r="DE233" i="1"/>
  <c r="DD233" i="1"/>
  <c r="DB233" i="1"/>
  <c r="CD233" i="1"/>
  <c r="CC233" i="1"/>
  <c r="CB233" i="1"/>
  <c r="CA233" i="1"/>
  <c r="BV233" i="1"/>
  <c r="BU233" i="1"/>
  <c r="BT233" i="1"/>
  <c r="BS233" i="1"/>
  <c r="BI233" i="1"/>
  <c r="BH233" i="1"/>
  <c r="J233" i="1"/>
  <c r="DG232" i="1"/>
  <c r="DF232" i="1"/>
  <c r="DE232" i="1"/>
  <c r="DD232" i="1"/>
  <c r="DB232" i="1"/>
  <c r="CD232" i="1"/>
  <c r="CC232" i="1"/>
  <c r="CB232" i="1"/>
  <c r="CA232" i="1"/>
  <c r="BV232" i="1"/>
  <c r="BU232" i="1"/>
  <c r="BT232" i="1"/>
  <c r="BS232" i="1"/>
  <c r="BI232" i="1"/>
  <c r="BH232" i="1"/>
  <c r="J232" i="1"/>
  <c r="DG231" i="1"/>
  <c r="DF231" i="1"/>
  <c r="DE231" i="1"/>
  <c r="DD231" i="1"/>
  <c r="DB231" i="1"/>
  <c r="CD231" i="1"/>
  <c r="CC231" i="1"/>
  <c r="CB231" i="1"/>
  <c r="CA231" i="1"/>
  <c r="BV231" i="1"/>
  <c r="BU231" i="1"/>
  <c r="BT231" i="1"/>
  <c r="BS231" i="1"/>
  <c r="BI231" i="1"/>
  <c r="BH231" i="1"/>
  <c r="J231" i="1"/>
  <c r="DG230" i="1"/>
  <c r="DF230" i="1"/>
  <c r="DE230" i="1"/>
  <c r="DD230" i="1"/>
  <c r="DB230" i="1"/>
  <c r="CD230" i="1"/>
  <c r="CC230" i="1"/>
  <c r="CB230" i="1"/>
  <c r="CA230" i="1"/>
  <c r="BV230" i="1"/>
  <c r="BU230" i="1"/>
  <c r="BT230" i="1"/>
  <c r="BS230" i="1"/>
  <c r="BI230" i="1"/>
  <c r="BH230" i="1"/>
  <c r="J230" i="1"/>
  <c r="DG14" i="1"/>
  <c r="DD14" i="1"/>
  <c r="DB14" i="1"/>
  <c r="CD14" i="1"/>
  <c r="CC14" i="1"/>
  <c r="CB14" i="1"/>
  <c r="CA14" i="1"/>
  <c r="BV14" i="1"/>
  <c r="BU14" i="1"/>
  <c r="BT14" i="1"/>
  <c r="BS14" i="1"/>
  <c r="BI14" i="1"/>
  <c r="BH14" i="1"/>
  <c r="J14" i="1"/>
  <c r="DG228" i="1"/>
  <c r="DF228" i="1"/>
  <c r="DE228" i="1"/>
  <c r="DD228" i="1"/>
  <c r="DB228" i="1"/>
  <c r="CD228" i="1"/>
  <c r="CC228" i="1"/>
  <c r="CB228" i="1"/>
  <c r="CA228" i="1"/>
  <c r="BV228" i="1"/>
  <c r="BU228" i="1"/>
  <c r="BT228" i="1"/>
  <c r="BS228" i="1"/>
  <c r="BI228" i="1"/>
  <c r="BH228" i="1"/>
  <c r="J228" i="1"/>
  <c r="DG227" i="1"/>
  <c r="DF227" i="1"/>
  <c r="DE227" i="1"/>
  <c r="DD227" i="1"/>
  <c r="DB227" i="1"/>
  <c r="CD227" i="1"/>
  <c r="CC227" i="1"/>
  <c r="CB227" i="1"/>
  <c r="CA227" i="1"/>
  <c r="BV227" i="1"/>
  <c r="BU227" i="1"/>
  <c r="BT227" i="1"/>
  <c r="BS227" i="1"/>
  <c r="BI227" i="1"/>
  <c r="BH227" i="1"/>
  <c r="J227" i="1"/>
  <c r="DG226" i="1"/>
  <c r="DF226" i="1"/>
  <c r="DE226" i="1"/>
  <c r="DD226" i="1"/>
  <c r="DB226" i="1"/>
  <c r="CL226" i="1"/>
  <c r="CI226" i="1"/>
  <c r="CH226" i="1"/>
  <c r="BI226" i="1" s="1"/>
  <c r="CF226" i="1"/>
  <c r="BH226" i="1" s="1"/>
  <c r="CD226" i="1"/>
  <c r="CC226" i="1"/>
  <c r="CB226" i="1"/>
  <c r="CA226" i="1"/>
  <c r="BV226" i="1"/>
  <c r="BU226" i="1"/>
  <c r="BT226" i="1"/>
  <c r="BS226" i="1"/>
  <c r="J226" i="1"/>
  <c r="DG225" i="1"/>
  <c r="DF225" i="1"/>
  <c r="DE225" i="1"/>
  <c r="DD225" i="1"/>
  <c r="DB225" i="1"/>
  <c r="CL225" i="1"/>
  <c r="BH225" i="1" s="1"/>
  <c r="CI225" i="1"/>
  <c r="CH225" i="1"/>
  <c r="CF225" i="1"/>
  <c r="CD225" i="1"/>
  <c r="CC225" i="1"/>
  <c r="CB225" i="1"/>
  <c r="CA225" i="1"/>
  <c r="BV225" i="1"/>
  <c r="BU225" i="1"/>
  <c r="BT225" i="1"/>
  <c r="BS225" i="1"/>
  <c r="BI225" i="1"/>
  <c r="J225" i="1"/>
  <c r="DG224" i="1"/>
  <c r="DD224" i="1"/>
  <c r="DB224" i="1"/>
  <c r="CD224" i="1"/>
  <c r="CC224" i="1"/>
  <c r="CB224" i="1"/>
  <c r="CA224" i="1"/>
  <c r="BV224" i="1"/>
  <c r="BU224" i="1"/>
  <c r="BT224" i="1"/>
  <c r="BS224" i="1"/>
  <c r="BI224" i="1"/>
  <c r="BH224" i="1"/>
  <c r="J224" i="1"/>
  <c r="DG223" i="1"/>
  <c r="DF223" i="1"/>
  <c r="DE223" i="1"/>
  <c r="DD223" i="1"/>
  <c r="DB223" i="1"/>
  <c r="CD223" i="1"/>
  <c r="CC223" i="1"/>
  <c r="CB223" i="1"/>
  <c r="CA223" i="1"/>
  <c r="BV223" i="1"/>
  <c r="BU223" i="1"/>
  <c r="BT223" i="1"/>
  <c r="BS223" i="1"/>
  <c r="BI223" i="1"/>
  <c r="BH223" i="1"/>
  <c r="J223" i="1"/>
  <c r="DG222" i="1"/>
  <c r="DD222" i="1"/>
  <c r="DB222" i="1"/>
  <c r="CD222" i="1"/>
  <c r="CC222" i="1"/>
  <c r="CB222" i="1"/>
  <c r="CA222" i="1"/>
  <c r="BV222" i="1"/>
  <c r="BU222" i="1"/>
  <c r="BT222" i="1"/>
  <c r="BS222" i="1"/>
  <c r="BI222" i="1"/>
  <c r="BH222" i="1"/>
  <c r="J222" i="1"/>
  <c r="DG221" i="1"/>
  <c r="DF221" i="1"/>
  <c r="DE221" i="1"/>
  <c r="DD221" i="1"/>
  <c r="DB221" i="1"/>
  <c r="CD221" i="1"/>
  <c r="CC221" i="1"/>
  <c r="CB221" i="1"/>
  <c r="CA221" i="1"/>
  <c r="BV221" i="1"/>
  <c r="BU221" i="1"/>
  <c r="BT221" i="1"/>
  <c r="BS221" i="1"/>
  <c r="BI221" i="1"/>
  <c r="BH221" i="1"/>
  <c r="J221" i="1"/>
  <c r="DG220" i="1"/>
  <c r="DF220" i="1"/>
  <c r="DE220" i="1"/>
  <c r="DD220" i="1"/>
  <c r="DB220" i="1"/>
  <c r="CD220" i="1"/>
  <c r="CC220" i="1"/>
  <c r="CB220" i="1"/>
  <c r="CA220" i="1"/>
  <c r="BV220" i="1"/>
  <c r="BU220" i="1"/>
  <c r="BT220" i="1"/>
  <c r="BS220" i="1"/>
  <c r="BI220" i="1"/>
  <c r="BH220" i="1"/>
  <c r="J220" i="1"/>
  <c r="DG212" i="1"/>
  <c r="DF212" i="1"/>
  <c r="DE212" i="1"/>
  <c r="DD212" i="1"/>
  <c r="DB212" i="1"/>
  <c r="CD212" i="1"/>
  <c r="BV212" i="1"/>
  <c r="CC212" i="1" s="1"/>
  <c r="BU212" i="1"/>
  <c r="BI212" i="1"/>
  <c r="BH212" i="1"/>
  <c r="J212" i="1"/>
  <c r="DG101" i="1"/>
  <c r="DF101" i="1"/>
  <c r="DE101" i="1"/>
  <c r="DD101" i="1"/>
  <c r="DB101" i="1"/>
  <c r="CD101" i="1"/>
  <c r="CC101" i="1"/>
  <c r="BV101" i="1"/>
  <c r="BU101" i="1"/>
  <c r="BI101" i="1"/>
  <c r="BH101" i="1"/>
  <c r="J101" i="1"/>
  <c r="DG366" i="1"/>
  <c r="DD366" i="1"/>
  <c r="DB366" i="1"/>
  <c r="CD366" i="1"/>
  <c r="BV366" i="1"/>
  <c r="CC366" i="1" s="1"/>
  <c r="BU366" i="1"/>
  <c r="BI366" i="1"/>
  <c r="BH366" i="1"/>
  <c r="J366" i="1"/>
  <c r="DG153" i="1"/>
  <c r="DD153" i="1"/>
  <c r="DB153" i="1"/>
  <c r="CD153" i="1"/>
  <c r="BV153" i="1"/>
  <c r="CC153" i="1" s="1"/>
  <c r="BU153" i="1"/>
  <c r="BI153" i="1"/>
  <c r="BH153" i="1"/>
  <c r="J153" i="1"/>
  <c r="DG419" i="1"/>
  <c r="DD419" i="1"/>
  <c r="DB419" i="1"/>
  <c r="CD419" i="1"/>
  <c r="BV419" i="1"/>
  <c r="CC419" i="1" s="1"/>
  <c r="BU419" i="1"/>
  <c r="BI419" i="1"/>
  <c r="BH419" i="1"/>
  <c r="J419" i="1"/>
  <c r="DG261" i="1"/>
  <c r="DD261" i="1"/>
  <c r="DB261" i="1"/>
  <c r="CD261" i="1"/>
  <c r="BV261" i="1"/>
  <c r="CC261" i="1" s="1"/>
  <c r="BU261" i="1"/>
  <c r="BI261" i="1"/>
  <c r="BH261" i="1"/>
  <c r="J261" i="1"/>
  <c r="DG329" i="1"/>
  <c r="DD329" i="1"/>
  <c r="DB329" i="1"/>
  <c r="CD329" i="1"/>
  <c r="BV329" i="1"/>
  <c r="CC329" i="1" s="1"/>
  <c r="BU329" i="1"/>
  <c r="BI329" i="1"/>
  <c r="BH329" i="1"/>
  <c r="J329" i="1"/>
  <c r="DG480" i="1"/>
  <c r="DD480" i="1"/>
  <c r="DB480" i="1"/>
  <c r="CD480" i="1"/>
  <c r="BV480" i="1"/>
  <c r="CC480" i="1" s="1"/>
  <c r="BU480" i="1"/>
  <c r="BI480" i="1"/>
  <c r="BH480" i="1"/>
  <c r="J480" i="1"/>
  <c r="DG295" i="1"/>
  <c r="DD295" i="1"/>
  <c r="DB295" i="1"/>
  <c r="CD295" i="1"/>
  <c r="BV295" i="1"/>
  <c r="CC295" i="1" s="1"/>
  <c r="BU295" i="1"/>
  <c r="BI295" i="1"/>
  <c r="BH295" i="1"/>
  <c r="J295" i="1"/>
  <c r="DG334" i="1"/>
  <c r="DD334" i="1"/>
  <c r="DB334" i="1"/>
  <c r="CD334" i="1"/>
  <c r="BV334" i="1"/>
  <c r="CC334" i="1" s="1"/>
  <c r="BU334" i="1"/>
  <c r="BI334" i="1"/>
  <c r="BH334" i="1"/>
  <c r="J334" i="1"/>
  <c r="DG96" i="1"/>
  <c r="DD96" i="1"/>
  <c r="DB96" i="1"/>
  <c r="CD96" i="1"/>
  <c r="BV96" i="1"/>
  <c r="CC96" i="1" s="1"/>
  <c r="BU96" i="1"/>
  <c r="BI96" i="1"/>
  <c r="BH96" i="1"/>
  <c r="J96" i="1"/>
  <c r="DG479" i="1"/>
  <c r="DF479" i="1"/>
  <c r="DE479" i="1"/>
  <c r="DD479" i="1"/>
  <c r="DB479" i="1"/>
  <c r="CD479" i="1"/>
  <c r="CC479" i="1"/>
  <c r="CB479" i="1"/>
  <c r="CA479" i="1"/>
  <c r="BV479" i="1"/>
  <c r="BU479" i="1"/>
  <c r="BT479" i="1"/>
  <c r="BS479" i="1"/>
  <c r="AE479" i="1"/>
  <c r="J479" i="1"/>
  <c r="DG207" i="1"/>
  <c r="DF207" i="1"/>
  <c r="DE207" i="1"/>
  <c r="DD207" i="1"/>
  <c r="DB207" i="1"/>
  <c r="CD207" i="1"/>
  <c r="CC207" i="1"/>
  <c r="CB207" i="1"/>
  <c r="CA207" i="1"/>
  <c r="BV207" i="1"/>
  <c r="BU207" i="1"/>
  <c r="BT207" i="1"/>
  <c r="BS207" i="1"/>
  <c r="BI207" i="1"/>
  <c r="BH207" i="1"/>
  <c r="AE207" i="1"/>
  <c r="J207" i="1"/>
  <c r="DG206" i="1"/>
  <c r="DF206" i="1"/>
  <c r="DE206" i="1"/>
  <c r="DD206" i="1"/>
  <c r="DB206" i="1"/>
  <c r="CD206" i="1"/>
  <c r="CC206" i="1"/>
  <c r="CB206" i="1"/>
  <c r="CA206" i="1"/>
  <c r="BV206" i="1"/>
  <c r="BU206" i="1"/>
  <c r="BT206" i="1"/>
  <c r="BS206" i="1"/>
  <c r="BI206" i="1"/>
  <c r="BH206" i="1"/>
  <c r="AE206" i="1"/>
  <c r="J206" i="1"/>
  <c r="DG205" i="1"/>
  <c r="DF205" i="1"/>
  <c r="DE205" i="1"/>
  <c r="DD205" i="1"/>
  <c r="DB205" i="1"/>
  <c r="CD205" i="1"/>
  <c r="CC205" i="1"/>
  <c r="CB205" i="1"/>
  <c r="CA205" i="1"/>
  <c r="BV205" i="1"/>
  <c r="BU205" i="1"/>
  <c r="BT205" i="1"/>
  <c r="BS205" i="1"/>
  <c r="BI205" i="1"/>
  <c r="BH205" i="1"/>
  <c r="AE205" i="1"/>
  <c r="J205" i="1"/>
  <c r="DG204" i="1"/>
  <c r="DF204" i="1"/>
  <c r="DE204" i="1"/>
  <c r="DD204" i="1"/>
  <c r="DB204" i="1"/>
  <c r="CD204" i="1"/>
  <c r="CC204" i="1"/>
  <c r="CB204" i="1"/>
  <c r="CA204" i="1"/>
  <c r="BV204" i="1"/>
  <c r="BU204" i="1"/>
  <c r="BT204" i="1"/>
  <c r="BS204" i="1"/>
  <c r="BI204" i="1"/>
  <c r="BH204" i="1"/>
  <c r="AE204" i="1"/>
  <c r="J204" i="1"/>
  <c r="DG438" i="1"/>
  <c r="DF438" i="1"/>
  <c r="DE438" i="1"/>
  <c r="DD438" i="1"/>
  <c r="CD438" i="1"/>
  <c r="CC438" i="1"/>
  <c r="CB438" i="1"/>
  <c r="BV438" i="1"/>
  <c r="BU438" i="1"/>
  <c r="BT438" i="1"/>
  <c r="BI438" i="1"/>
  <c r="BH438" i="1"/>
  <c r="BL438" i="1" s="1"/>
  <c r="AE438" i="1"/>
  <c r="J438" i="1"/>
  <c r="DG202" i="1"/>
  <c r="DF202" i="1"/>
  <c r="DE202" i="1"/>
  <c r="DD202" i="1"/>
  <c r="DB202" i="1"/>
  <c r="CD202" i="1"/>
  <c r="CC202" i="1"/>
  <c r="CB202" i="1"/>
  <c r="CA202" i="1"/>
  <c r="BV202" i="1"/>
  <c r="BU202" i="1"/>
  <c r="BT202" i="1"/>
  <c r="BS202" i="1"/>
  <c r="BI202" i="1"/>
  <c r="BH202" i="1"/>
  <c r="AE202" i="1"/>
  <c r="J202" i="1"/>
  <c r="DG201" i="1"/>
  <c r="DF201" i="1"/>
  <c r="DE201" i="1"/>
  <c r="DD201" i="1"/>
  <c r="DB201" i="1"/>
  <c r="CD201" i="1"/>
  <c r="CC201" i="1"/>
  <c r="CB201" i="1"/>
  <c r="CA201" i="1"/>
  <c r="BV201" i="1"/>
  <c r="BU201" i="1"/>
  <c r="BT201" i="1"/>
  <c r="BS201" i="1"/>
  <c r="BI201" i="1"/>
  <c r="BJ201" i="1" s="1"/>
  <c r="AE201" i="1"/>
  <c r="J201" i="1"/>
  <c r="DG350" i="1"/>
  <c r="DF350" i="1"/>
  <c r="DE350" i="1"/>
  <c r="DD350" i="1"/>
  <c r="DB350" i="1"/>
  <c r="CD350" i="1"/>
  <c r="CC350" i="1"/>
  <c r="CB350" i="1"/>
  <c r="CA350" i="1"/>
  <c r="BV350" i="1"/>
  <c r="BU350" i="1"/>
  <c r="BT350" i="1"/>
  <c r="BS350" i="1"/>
  <c r="BI350" i="1"/>
  <c r="BH350" i="1"/>
  <c r="AE350" i="1"/>
  <c r="J350" i="1"/>
  <c r="DG199" i="1"/>
  <c r="DF199" i="1"/>
  <c r="DE199" i="1"/>
  <c r="DD199" i="1"/>
  <c r="DB199" i="1"/>
  <c r="CD199" i="1"/>
  <c r="CC199" i="1"/>
  <c r="CB199" i="1"/>
  <c r="CA199" i="1"/>
  <c r="BV199" i="1"/>
  <c r="BU199" i="1"/>
  <c r="BT199" i="1"/>
  <c r="BS199" i="1"/>
  <c r="BI199" i="1"/>
  <c r="BH199" i="1"/>
  <c r="AE199" i="1"/>
  <c r="J199" i="1"/>
  <c r="DG297" i="1"/>
  <c r="DF297" i="1"/>
  <c r="DE297" i="1"/>
  <c r="DD297" i="1"/>
  <c r="DB297" i="1"/>
  <c r="CD297" i="1"/>
  <c r="CC297" i="1"/>
  <c r="CB297" i="1"/>
  <c r="BV297" i="1"/>
  <c r="BU297" i="1"/>
  <c r="BT297" i="1"/>
  <c r="BI297" i="1"/>
  <c r="BH297" i="1"/>
  <c r="BL297" i="1" s="1"/>
  <c r="BS297" i="1" s="1"/>
  <c r="AE297" i="1"/>
  <c r="J297" i="1"/>
  <c r="DG197" i="1"/>
  <c r="DF197" i="1"/>
  <c r="DE197" i="1"/>
  <c r="DD197" i="1"/>
  <c r="DB197" i="1"/>
  <c r="CD197" i="1"/>
  <c r="CC197" i="1"/>
  <c r="CB197" i="1"/>
  <c r="CA197" i="1"/>
  <c r="BV197" i="1"/>
  <c r="BU197" i="1"/>
  <c r="BT197" i="1"/>
  <c r="BS197" i="1"/>
  <c r="BI197" i="1"/>
  <c r="BH197" i="1"/>
  <c r="AE197" i="1"/>
  <c r="J197" i="1"/>
  <c r="DG196" i="1"/>
  <c r="DF196" i="1"/>
  <c r="DE196" i="1"/>
  <c r="DD196" i="1"/>
  <c r="DB196" i="1"/>
  <c r="CD196" i="1"/>
  <c r="CC196" i="1"/>
  <c r="CB196" i="1"/>
  <c r="BV196" i="1"/>
  <c r="BU196" i="1"/>
  <c r="BT196" i="1"/>
  <c r="BI196" i="1"/>
  <c r="BH196" i="1"/>
  <c r="BL196" i="1" s="1"/>
  <c r="CA196" i="1" s="1"/>
  <c r="AE196" i="1"/>
  <c r="J196" i="1"/>
  <c r="DG195" i="1"/>
  <c r="DF195" i="1"/>
  <c r="DE195" i="1"/>
  <c r="DD195" i="1"/>
  <c r="DB195" i="1"/>
  <c r="CD195" i="1"/>
  <c r="CC195" i="1"/>
  <c r="CB195" i="1"/>
  <c r="CA195" i="1"/>
  <c r="BV195" i="1"/>
  <c r="BU195" i="1"/>
  <c r="BT195" i="1"/>
  <c r="BS195" i="1"/>
  <c r="BI195" i="1"/>
  <c r="BH195" i="1"/>
  <c r="AE195" i="1"/>
  <c r="J195" i="1"/>
  <c r="DG194" i="1"/>
  <c r="DF194" i="1"/>
  <c r="DE194" i="1"/>
  <c r="DD194" i="1"/>
  <c r="DB194" i="1"/>
  <c r="CD194" i="1"/>
  <c r="CC194" i="1"/>
  <c r="CB194" i="1"/>
  <c r="BV194" i="1"/>
  <c r="BU194" i="1"/>
  <c r="BT194" i="1"/>
  <c r="BI194" i="1"/>
  <c r="BH194" i="1"/>
  <c r="BL194" i="1" s="1"/>
  <c r="AE194" i="1"/>
  <c r="J194" i="1"/>
  <c r="DG245" i="1"/>
  <c r="DF245" i="1"/>
  <c r="DE245" i="1"/>
  <c r="DD245" i="1"/>
  <c r="DB245" i="1"/>
  <c r="CI245" i="1"/>
  <c r="CK245" i="1" s="1"/>
  <c r="CH245" i="1"/>
  <c r="CF245" i="1"/>
  <c r="CD245" i="1"/>
  <c r="CC245" i="1"/>
  <c r="CB245" i="1"/>
  <c r="CA245" i="1"/>
  <c r="BV245" i="1"/>
  <c r="BU245" i="1"/>
  <c r="BT245" i="1"/>
  <c r="BS245" i="1"/>
  <c r="AE245" i="1"/>
  <c r="J245" i="1"/>
  <c r="DG192" i="1"/>
  <c r="DF192" i="1"/>
  <c r="DE192" i="1"/>
  <c r="DD192" i="1"/>
  <c r="DB192" i="1"/>
  <c r="CD192" i="1"/>
  <c r="CC192" i="1"/>
  <c r="CB192" i="1"/>
  <c r="CA192" i="1"/>
  <c r="BV192" i="1"/>
  <c r="BU192" i="1"/>
  <c r="BT192" i="1"/>
  <c r="BS192" i="1"/>
  <c r="BI192" i="1"/>
  <c r="BH192" i="1"/>
  <c r="AE192" i="1"/>
  <c r="J192" i="1"/>
  <c r="DG191" i="1"/>
  <c r="DF191" i="1"/>
  <c r="DE191" i="1"/>
  <c r="DD191" i="1"/>
  <c r="DB191" i="1"/>
  <c r="CD191" i="1"/>
  <c r="CC191" i="1"/>
  <c r="CB191" i="1"/>
  <c r="CA191" i="1"/>
  <c r="BV191" i="1"/>
  <c r="BU191" i="1"/>
  <c r="BT191" i="1"/>
  <c r="BS191" i="1"/>
  <c r="BI191" i="1"/>
  <c r="BH191" i="1"/>
  <c r="AE191" i="1"/>
  <c r="J191" i="1"/>
  <c r="DG173" i="1"/>
  <c r="DF173" i="1"/>
  <c r="DE173" i="1"/>
  <c r="DD173" i="1"/>
  <c r="DB173" i="1"/>
  <c r="CD173" i="1"/>
  <c r="CC173" i="1"/>
  <c r="CB173" i="1"/>
  <c r="BV173" i="1"/>
  <c r="BU173" i="1"/>
  <c r="BT173" i="1"/>
  <c r="BI173" i="1"/>
  <c r="BH173" i="1"/>
  <c r="AE173" i="1"/>
  <c r="J173" i="1"/>
  <c r="DG189" i="1"/>
  <c r="DF189" i="1"/>
  <c r="DE189" i="1"/>
  <c r="DD189" i="1"/>
  <c r="DB189" i="1"/>
  <c r="CD189" i="1"/>
  <c r="CC189" i="1"/>
  <c r="CB189" i="1"/>
  <c r="CA189" i="1"/>
  <c r="BV189" i="1"/>
  <c r="BU189" i="1"/>
  <c r="BT189" i="1"/>
  <c r="BS189" i="1"/>
  <c r="BI189" i="1"/>
  <c r="BH189" i="1"/>
  <c r="AE189" i="1"/>
  <c r="J189" i="1"/>
  <c r="DG188" i="1"/>
  <c r="DF188" i="1"/>
  <c r="DE188" i="1"/>
  <c r="DD188" i="1"/>
  <c r="DB188" i="1"/>
  <c r="CD188" i="1"/>
  <c r="CC188" i="1"/>
  <c r="CB188" i="1"/>
  <c r="BV188" i="1"/>
  <c r="BU188" i="1"/>
  <c r="BT188" i="1"/>
  <c r="BI188" i="1"/>
  <c r="BH188" i="1"/>
  <c r="AE188" i="1"/>
  <c r="J188" i="1"/>
  <c r="DG187" i="1"/>
  <c r="DF187" i="1"/>
  <c r="DE187" i="1"/>
  <c r="DD187" i="1"/>
  <c r="DB187" i="1"/>
  <c r="CD187" i="1"/>
  <c r="CC187" i="1"/>
  <c r="CB187" i="1"/>
  <c r="CA187" i="1"/>
  <c r="BV187" i="1"/>
  <c r="BU187" i="1"/>
  <c r="BT187" i="1"/>
  <c r="BS187" i="1"/>
  <c r="BI187" i="1"/>
  <c r="BH187" i="1"/>
  <c r="AE187" i="1"/>
  <c r="J187" i="1"/>
  <c r="DG186" i="1"/>
  <c r="DD186" i="1"/>
  <c r="CD186" i="1"/>
  <c r="CC186" i="1"/>
  <c r="CB186" i="1"/>
  <c r="BV186" i="1"/>
  <c r="BU186" i="1"/>
  <c r="BT186" i="1"/>
  <c r="BI186" i="1"/>
  <c r="BH186" i="1"/>
  <c r="CA186" i="1" s="1"/>
  <c r="AE186" i="1"/>
  <c r="J186" i="1"/>
  <c r="DG56" i="1"/>
  <c r="DF56" i="1"/>
  <c r="DE56" i="1"/>
  <c r="DD56" i="1"/>
  <c r="DB56" i="1"/>
  <c r="CD56" i="1"/>
  <c r="CC56" i="1"/>
  <c r="CB56" i="1"/>
  <c r="BV56" i="1"/>
  <c r="BU56" i="1"/>
  <c r="BT56" i="1"/>
  <c r="BI56" i="1"/>
  <c r="BH56" i="1"/>
  <c r="BL56" i="1" s="1"/>
  <c r="CA56" i="1" s="1"/>
  <c r="AE56" i="1"/>
  <c r="J56" i="1"/>
  <c r="DG184" i="1"/>
  <c r="DF184" i="1"/>
  <c r="DE184" i="1"/>
  <c r="DD184" i="1"/>
  <c r="DB184" i="1"/>
  <c r="CD184" i="1"/>
  <c r="CC184" i="1"/>
  <c r="CB184" i="1"/>
  <c r="CA184" i="1"/>
  <c r="BV184" i="1"/>
  <c r="BU184" i="1"/>
  <c r="BT184" i="1"/>
  <c r="BS184" i="1"/>
  <c r="BI184" i="1"/>
  <c r="BH184" i="1"/>
  <c r="AE184" i="1"/>
  <c r="J184" i="1"/>
  <c r="DG183" i="1"/>
  <c r="DF183" i="1"/>
  <c r="DE183" i="1"/>
  <c r="DD183" i="1"/>
  <c r="DB183" i="1"/>
  <c r="CD183" i="1"/>
  <c r="CC183" i="1"/>
  <c r="CB183" i="1"/>
  <c r="CA183" i="1"/>
  <c r="BV183" i="1"/>
  <c r="BU183" i="1"/>
  <c r="BT183" i="1"/>
  <c r="BS183" i="1"/>
  <c r="BI183" i="1"/>
  <c r="BH183" i="1"/>
  <c r="AE183" i="1"/>
  <c r="J183" i="1"/>
  <c r="DG182" i="1"/>
  <c r="DF182" i="1"/>
  <c r="DE182" i="1"/>
  <c r="DD182" i="1"/>
  <c r="DB182" i="1"/>
  <c r="CD182" i="1"/>
  <c r="CC182" i="1"/>
  <c r="CB182" i="1"/>
  <c r="CA182" i="1"/>
  <c r="BV182" i="1"/>
  <c r="BU182" i="1"/>
  <c r="BT182" i="1"/>
  <c r="BS182" i="1"/>
  <c r="AE182" i="1"/>
  <c r="J182" i="1"/>
  <c r="DG181" i="1"/>
  <c r="DF181" i="1"/>
  <c r="DE181" i="1"/>
  <c r="DD181" i="1"/>
  <c r="DB181" i="1"/>
  <c r="CD181" i="1"/>
  <c r="CC181" i="1"/>
  <c r="CB181" i="1"/>
  <c r="CA181" i="1"/>
  <c r="BV181" i="1"/>
  <c r="BU181" i="1"/>
  <c r="BT181" i="1"/>
  <c r="BS181" i="1"/>
  <c r="BI181" i="1"/>
  <c r="BH181" i="1"/>
  <c r="AE181" i="1"/>
  <c r="J181" i="1"/>
  <c r="DG180" i="1"/>
  <c r="DF180" i="1"/>
  <c r="DE180" i="1"/>
  <c r="DD180" i="1"/>
  <c r="DB180" i="1"/>
  <c r="CD180" i="1"/>
  <c r="CC180" i="1"/>
  <c r="CB180" i="1"/>
  <c r="CA180" i="1"/>
  <c r="BV180" i="1"/>
  <c r="BU180" i="1"/>
  <c r="BT180" i="1"/>
  <c r="BS180" i="1"/>
  <c r="BI180" i="1"/>
  <c r="BH180" i="1"/>
  <c r="AE180" i="1"/>
  <c r="J180" i="1"/>
  <c r="DG179" i="1"/>
  <c r="DF179" i="1"/>
  <c r="DE179" i="1"/>
  <c r="DD179" i="1"/>
  <c r="DB179" i="1"/>
  <c r="CD179" i="1"/>
  <c r="CC179" i="1"/>
  <c r="CB179" i="1"/>
  <c r="CA179" i="1"/>
  <c r="BV179" i="1"/>
  <c r="BU179" i="1"/>
  <c r="BT179" i="1"/>
  <c r="BS179" i="1"/>
  <c r="BI179" i="1"/>
  <c r="BH179" i="1"/>
  <c r="AE179" i="1"/>
  <c r="J179" i="1"/>
  <c r="DG178" i="1"/>
  <c r="DF178" i="1"/>
  <c r="DE178" i="1"/>
  <c r="DD178" i="1"/>
  <c r="DB178" i="1"/>
  <c r="CD178" i="1"/>
  <c r="CC178" i="1"/>
  <c r="CB178" i="1"/>
  <c r="CA178" i="1"/>
  <c r="BV178" i="1"/>
  <c r="BU178" i="1"/>
  <c r="BT178" i="1"/>
  <c r="BS178" i="1"/>
  <c r="BI178" i="1"/>
  <c r="BH178" i="1"/>
  <c r="AE178" i="1"/>
  <c r="J178" i="1"/>
  <c r="DG177" i="1"/>
  <c r="DF177" i="1"/>
  <c r="DE177" i="1"/>
  <c r="DD177" i="1"/>
  <c r="DB177" i="1"/>
  <c r="CD177" i="1"/>
  <c r="CC177" i="1"/>
  <c r="CB177" i="1"/>
  <c r="CA177" i="1"/>
  <c r="BV177" i="1"/>
  <c r="BU177" i="1"/>
  <c r="BT177" i="1"/>
  <c r="BS177" i="1"/>
  <c r="BI177" i="1"/>
  <c r="BH177" i="1"/>
  <c r="AE177" i="1"/>
  <c r="J177" i="1"/>
  <c r="DG176" i="1"/>
  <c r="DF176" i="1"/>
  <c r="DE176" i="1"/>
  <c r="DD176" i="1"/>
  <c r="DB176" i="1"/>
  <c r="CD176" i="1"/>
  <c r="CC176" i="1"/>
  <c r="CB176" i="1"/>
  <c r="CA176" i="1"/>
  <c r="BV176" i="1"/>
  <c r="BU176" i="1"/>
  <c r="BT176" i="1"/>
  <c r="BS176" i="1"/>
  <c r="BI176" i="1"/>
  <c r="BH176" i="1"/>
  <c r="AE176" i="1"/>
  <c r="J176" i="1"/>
  <c r="DG175" i="1"/>
  <c r="DF175" i="1"/>
  <c r="DE175" i="1"/>
  <c r="DD175" i="1"/>
  <c r="DB175" i="1"/>
  <c r="CD175" i="1"/>
  <c r="CC175" i="1"/>
  <c r="CB175" i="1"/>
  <c r="CA175" i="1"/>
  <c r="BV175" i="1"/>
  <c r="BU175" i="1"/>
  <c r="BT175" i="1"/>
  <c r="BS175" i="1"/>
  <c r="BI175" i="1"/>
  <c r="BH175" i="1"/>
  <c r="AE175" i="1"/>
  <c r="J175" i="1"/>
  <c r="DG102" i="1"/>
  <c r="DF102" i="1"/>
  <c r="DE102" i="1"/>
  <c r="DD102" i="1"/>
  <c r="DB102" i="1"/>
  <c r="CD102" i="1"/>
  <c r="CC102" i="1"/>
  <c r="CB102" i="1"/>
  <c r="BV102" i="1"/>
  <c r="BU102" i="1"/>
  <c r="BI102" i="1"/>
  <c r="BH102" i="1"/>
  <c r="AE102" i="1"/>
  <c r="J102" i="1"/>
  <c r="DG106" i="1"/>
  <c r="DF106" i="1"/>
  <c r="DE106" i="1"/>
  <c r="DD106" i="1"/>
  <c r="DB106" i="1"/>
  <c r="CD106" i="1"/>
  <c r="CC106" i="1"/>
  <c r="CB106" i="1"/>
  <c r="BV106" i="1"/>
  <c r="BU106" i="1"/>
  <c r="BI106" i="1"/>
  <c r="BH106" i="1"/>
  <c r="BL106" i="1" s="1"/>
  <c r="AE106" i="1"/>
  <c r="J106" i="1"/>
  <c r="DG274" i="1"/>
  <c r="DF274" i="1"/>
  <c r="DE274" i="1"/>
  <c r="DD274" i="1"/>
  <c r="DB274" i="1"/>
  <c r="CD274" i="1"/>
  <c r="CC274" i="1"/>
  <c r="CB274" i="1"/>
  <c r="BV274" i="1"/>
  <c r="BU274" i="1"/>
  <c r="BI274" i="1"/>
  <c r="BH274" i="1"/>
  <c r="BL274" i="1" s="1"/>
  <c r="AE274" i="1"/>
  <c r="J274" i="1"/>
  <c r="DG171" i="1"/>
  <c r="DF171" i="1"/>
  <c r="DE171" i="1"/>
  <c r="DD171" i="1"/>
  <c r="DB171" i="1"/>
  <c r="CD171" i="1"/>
  <c r="CC171" i="1"/>
  <c r="CB171" i="1"/>
  <c r="BV171" i="1"/>
  <c r="BU171" i="1"/>
  <c r="BT171" i="1"/>
  <c r="BI171" i="1"/>
  <c r="BH171" i="1"/>
  <c r="BS171" i="1" s="1"/>
  <c r="AE171" i="1"/>
  <c r="J171" i="1"/>
  <c r="DG170" i="1"/>
  <c r="DF170" i="1"/>
  <c r="DE170" i="1"/>
  <c r="DD170" i="1"/>
  <c r="DB170" i="1"/>
  <c r="CD170" i="1"/>
  <c r="CC170" i="1"/>
  <c r="CB170" i="1"/>
  <c r="CA170" i="1"/>
  <c r="BV170" i="1"/>
  <c r="BU170" i="1"/>
  <c r="BT170" i="1"/>
  <c r="BS170" i="1"/>
  <c r="BI170" i="1"/>
  <c r="BH170" i="1"/>
  <c r="AE170" i="1"/>
  <c r="J170" i="1"/>
  <c r="DG23" i="1"/>
  <c r="DF23" i="1"/>
  <c r="DE23" i="1"/>
  <c r="DD23" i="1"/>
  <c r="DB23" i="1"/>
  <c r="CD23" i="1"/>
  <c r="CC23" i="1"/>
  <c r="CB23" i="1"/>
  <c r="CA23" i="1"/>
  <c r="BV23" i="1"/>
  <c r="BU23" i="1"/>
  <c r="BT23" i="1"/>
  <c r="BS23" i="1"/>
  <c r="BI23" i="1"/>
  <c r="BH23" i="1"/>
  <c r="AE23" i="1"/>
  <c r="J23" i="1"/>
  <c r="DG168" i="1"/>
  <c r="DF168" i="1"/>
  <c r="DE168" i="1"/>
  <c r="DD168" i="1"/>
  <c r="DB168" i="1"/>
  <c r="CD168" i="1"/>
  <c r="CC168" i="1"/>
  <c r="CB168" i="1"/>
  <c r="CA168" i="1"/>
  <c r="BV168" i="1"/>
  <c r="BU168" i="1"/>
  <c r="BT168" i="1"/>
  <c r="BS168" i="1"/>
  <c r="BI168" i="1"/>
  <c r="BH168" i="1"/>
  <c r="AE168" i="1"/>
  <c r="J168" i="1"/>
  <c r="DG484" i="1"/>
  <c r="DF484" i="1"/>
  <c r="DE484" i="1"/>
  <c r="DD484" i="1"/>
  <c r="DB484" i="1"/>
  <c r="CD484" i="1"/>
  <c r="CC484" i="1"/>
  <c r="CB484" i="1"/>
  <c r="CA484" i="1"/>
  <c r="BZ484" i="1"/>
  <c r="BV484" i="1"/>
  <c r="BU484" i="1"/>
  <c r="BT484" i="1"/>
  <c r="BS484" i="1"/>
  <c r="BR484" i="1"/>
  <c r="AE484" i="1"/>
  <c r="J484" i="1"/>
  <c r="DG60" i="1"/>
  <c r="DF60" i="1"/>
  <c r="DE60" i="1"/>
  <c r="DD60" i="1"/>
  <c r="DB60" i="1"/>
  <c r="CD60" i="1"/>
  <c r="CC60" i="1"/>
  <c r="CB60" i="1"/>
  <c r="BV60" i="1"/>
  <c r="BU60" i="1"/>
  <c r="BT60" i="1"/>
  <c r="BI60" i="1"/>
  <c r="BH60" i="1"/>
  <c r="CA60" i="1" s="1"/>
  <c r="AE60" i="1"/>
  <c r="J60" i="1"/>
  <c r="DG469" i="1"/>
  <c r="DF469" i="1"/>
  <c r="DE469" i="1"/>
  <c r="DD469" i="1"/>
  <c r="DB469" i="1"/>
  <c r="CD469" i="1"/>
  <c r="CC469" i="1"/>
  <c r="CB469" i="1"/>
  <c r="BV469" i="1"/>
  <c r="BU469" i="1"/>
  <c r="BT469" i="1"/>
  <c r="BI469" i="1"/>
  <c r="BH469" i="1"/>
  <c r="BS469" i="1" s="1"/>
  <c r="AE469" i="1"/>
  <c r="J469" i="1"/>
  <c r="DG164" i="1"/>
  <c r="DF164" i="1"/>
  <c r="DE164" i="1"/>
  <c r="DD164" i="1"/>
  <c r="DB164" i="1"/>
  <c r="CD164" i="1"/>
  <c r="CC164" i="1"/>
  <c r="CB164" i="1"/>
  <c r="CA164" i="1"/>
  <c r="BV164" i="1"/>
  <c r="BU164" i="1"/>
  <c r="BT164" i="1"/>
  <c r="BS164" i="1"/>
  <c r="BI164" i="1"/>
  <c r="BH164" i="1"/>
  <c r="AE164" i="1"/>
  <c r="J164" i="1"/>
  <c r="DG445" i="1"/>
  <c r="DF445" i="1"/>
  <c r="DE445" i="1"/>
  <c r="DD445" i="1"/>
  <c r="DB445" i="1"/>
  <c r="CD445" i="1"/>
  <c r="CC445" i="1"/>
  <c r="CB445" i="1"/>
  <c r="BV445" i="1"/>
  <c r="BU445" i="1"/>
  <c r="BI445" i="1"/>
  <c r="BK445" i="1" s="1"/>
  <c r="BH445" i="1"/>
  <c r="AE445" i="1"/>
  <c r="J445" i="1"/>
  <c r="DG162" i="1"/>
  <c r="DF162" i="1"/>
  <c r="DE162" i="1"/>
  <c r="DD162" i="1"/>
  <c r="DB162" i="1"/>
  <c r="CD162" i="1"/>
  <c r="CC162" i="1"/>
  <c r="CB162" i="1"/>
  <c r="CA162" i="1"/>
  <c r="BV162" i="1"/>
  <c r="BU162" i="1"/>
  <c r="BT162" i="1"/>
  <c r="BS162" i="1"/>
  <c r="BI162" i="1"/>
  <c r="BH162" i="1"/>
  <c r="AE162" i="1"/>
  <c r="J162" i="1"/>
  <c r="DG161" i="1"/>
  <c r="DF161" i="1"/>
  <c r="DE161" i="1"/>
  <c r="DD161" i="1"/>
  <c r="DB161" i="1"/>
  <c r="CD161" i="1"/>
  <c r="CC161" i="1"/>
  <c r="CB161" i="1"/>
  <c r="BV161" i="1"/>
  <c r="BU161" i="1"/>
  <c r="BT161" i="1"/>
  <c r="CA161" i="1" s="1"/>
  <c r="BS161" i="1"/>
  <c r="BI161" i="1"/>
  <c r="BH161" i="1"/>
  <c r="AE161" i="1"/>
  <c r="J161" i="1"/>
  <c r="DG160" i="1"/>
  <c r="DF160" i="1"/>
  <c r="DE160" i="1"/>
  <c r="DD160" i="1"/>
  <c r="DB160" i="1"/>
  <c r="CD160" i="1"/>
  <c r="CC160" i="1"/>
  <c r="CB160" i="1"/>
  <c r="BV160" i="1"/>
  <c r="BU160" i="1"/>
  <c r="BI160" i="1"/>
  <c r="BH160" i="1"/>
  <c r="BL160" i="1" s="1"/>
  <c r="CA160" i="1" s="1"/>
  <c r="AE160" i="1"/>
  <c r="J160" i="1"/>
  <c r="DG159" i="1"/>
  <c r="DF159" i="1"/>
  <c r="DE159" i="1"/>
  <c r="DD159" i="1"/>
  <c r="DB159" i="1"/>
  <c r="CH159" i="1"/>
  <c r="CF159" i="1"/>
  <c r="CD159" i="1"/>
  <c r="CC159" i="1"/>
  <c r="CB159" i="1"/>
  <c r="CA159" i="1"/>
  <c r="BV159" i="1"/>
  <c r="BU159" i="1"/>
  <c r="BT159" i="1"/>
  <c r="BS159" i="1"/>
  <c r="BI159" i="1"/>
  <c r="BH159" i="1"/>
  <c r="AE159" i="1"/>
  <c r="J159" i="1"/>
  <c r="DG158" i="1"/>
  <c r="DF158" i="1"/>
  <c r="DE158" i="1"/>
  <c r="DD158" i="1"/>
  <c r="DB158" i="1"/>
  <c r="CD158" i="1"/>
  <c r="CC158" i="1"/>
  <c r="CB158" i="1"/>
  <c r="CA158" i="1"/>
  <c r="BV158" i="1"/>
  <c r="BU158" i="1"/>
  <c r="BT158" i="1"/>
  <c r="BS158" i="1"/>
  <c r="BI158" i="1"/>
  <c r="BK158" i="1" s="1"/>
  <c r="BH158" i="1"/>
  <c r="AE158" i="1"/>
  <c r="J158" i="1"/>
  <c r="DG157" i="1"/>
  <c r="DF157" i="1"/>
  <c r="DE157" i="1"/>
  <c r="DD157" i="1"/>
  <c r="DB157" i="1"/>
  <c r="CD157" i="1"/>
  <c r="CC157" i="1"/>
  <c r="CB157" i="1"/>
  <c r="CA157" i="1"/>
  <c r="BV157" i="1"/>
  <c r="BU157" i="1"/>
  <c r="BT157" i="1"/>
  <c r="BS157" i="1"/>
  <c r="BI157" i="1"/>
  <c r="BH157" i="1"/>
  <c r="AE157" i="1"/>
  <c r="J157" i="1"/>
  <c r="DG156" i="1"/>
  <c r="DF156" i="1"/>
  <c r="DE156" i="1"/>
  <c r="DD156" i="1"/>
  <c r="DB156" i="1"/>
  <c r="CD156" i="1"/>
  <c r="CC156" i="1"/>
  <c r="CB156" i="1"/>
  <c r="CA156" i="1"/>
  <c r="BV156" i="1"/>
  <c r="BU156" i="1"/>
  <c r="BT156" i="1"/>
  <c r="BS156" i="1"/>
  <c r="BI156" i="1"/>
  <c r="BH156" i="1"/>
  <c r="AE156" i="1"/>
  <c r="J156" i="1"/>
  <c r="DG155" i="1"/>
  <c r="DF155" i="1"/>
  <c r="DE155" i="1"/>
  <c r="DD155" i="1"/>
  <c r="DB155" i="1"/>
  <c r="CD155" i="1"/>
  <c r="CC155" i="1"/>
  <c r="CB155" i="1"/>
  <c r="BV155" i="1"/>
  <c r="BU155" i="1"/>
  <c r="BI155" i="1"/>
  <c r="BK155" i="1" s="1"/>
  <c r="BH155" i="1"/>
  <c r="BZ155" i="1" s="1"/>
  <c r="AE155" i="1"/>
  <c r="J155" i="1"/>
  <c r="DG154" i="1"/>
  <c r="DF154" i="1"/>
  <c r="DE154" i="1"/>
  <c r="DD154" i="1"/>
  <c r="DB154" i="1"/>
  <c r="CD154" i="1"/>
  <c r="CC154" i="1"/>
  <c r="CB154" i="1"/>
  <c r="CA154" i="1"/>
  <c r="BV154" i="1"/>
  <c r="BU154" i="1"/>
  <c r="BT154" i="1"/>
  <c r="BS154" i="1"/>
  <c r="BI154" i="1"/>
  <c r="BH154" i="1"/>
  <c r="AE154" i="1"/>
  <c r="J154" i="1"/>
  <c r="DG69" i="1"/>
  <c r="DF69" i="1"/>
  <c r="DE69" i="1"/>
  <c r="DD69" i="1"/>
  <c r="DB69" i="1"/>
  <c r="CD69" i="1"/>
  <c r="CC69" i="1"/>
  <c r="CB69" i="1"/>
  <c r="BV69" i="1"/>
  <c r="BU69" i="1"/>
  <c r="BI69" i="1"/>
  <c r="BK69" i="1" s="1"/>
  <c r="BH69" i="1"/>
  <c r="BZ69" i="1" s="1"/>
  <c r="AE69" i="1"/>
  <c r="J69" i="1"/>
  <c r="DG152" i="1"/>
  <c r="DF152" i="1"/>
  <c r="DE152" i="1"/>
  <c r="DD152" i="1"/>
  <c r="DB152" i="1"/>
  <c r="CH152" i="1"/>
  <c r="BI152" i="1" s="1"/>
  <c r="CF152" i="1"/>
  <c r="BH152" i="1" s="1"/>
  <c r="CD152" i="1"/>
  <c r="CC152" i="1"/>
  <c r="CB152" i="1"/>
  <c r="CA152" i="1"/>
  <c r="BV152" i="1"/>
  <c r="BU152" i="1"/>
  <c r="BT152" i="1"/>
  <c r="BS152" i="1"/>
  <c r="AE152" i="1"/>
  <c r="J152" i="1"/>
  <c r="DG29" i="1"/>
  <c r="DF29" i="1"/>
  <c r="DE29" i="1"/>
  <c r="DD29" i="1"/>
  <c r="DB29" i="1"/>
  <c r="CD29" i="1"/>
  <c r="CC29" i="1"/>
  <c r="CB29" i="1"/>
  <c r="BV29" i="1"/>
  <c r="BU29" i="1"/>
  <c r="BI29" i="1"/>
  <c r="BH29" i="1"/>
  <c r="BK29" i="1" s="1"/>
  <c r="AE29" i="1"/>
  <c r="J29" i="1"/>
  <c r="DG190" i="1"/>
  <c r="DD190" i="1"/>
  <c r="CD190" i="1"/>
  <c r="CC190" i="1"/>
  <c r="BV190" i="1"/>
  <c r="BU190" i="1"/>
  <c r="BI190" i="1"/>
  <c r="BJ190" i="1" s="1"/>
  <c r="J190" i="1"/>
  <c r="DG394" i="1"/>
  <c r="DD394" i="1"/>
  <c r="DB394" i="1"/>
  <c r="CD394" i="1"/>
  <c r="CC394" i="1"/>
  <c r="BV394" i="1"/>
  <c r="BU394" i="1"/>
  <c r="BI394" i="1"/>
  <c r="BJ394" i="1" s="1"/>
  <c r="J394" i="1"/>
  <c r="DG470" i="1"/>
  <c r="DD470" i="1"/>
  <c r="DB470" i="1"/>
  <c r="CD470" i="1"/>
  <c r="CC470" i="1"/>
  <c r="BV470" i="1"/>
  <c r="BU470" i="1"/>
  <c r="BI470" i="1"/>
  <c r="BH470" i="1"/>
  <c r="J470" i="1"/>
  <c r="DG292" i="1"/>
  <c r="DF292" i="1"/>
  <c r="DE292" i="1"/>
  <c r="DD292" i="1"/>
  <c r="DB292" i="1"/>
  <c r="CD292" i="1"/>
  <c r="BV292" i="1"/>
  <c r="J292" i="1"/>
  <c r="DG240" i="1"/>
  <c r="DF240" i="1"/>
  <c r="DE240" i="1"/>
  <c r="DD240" i="1"/>
  <c r="DB240" i="1"/>
  <c r="CD240" i="1"/>
  <c r="BV240" i="1"/>
  <c r="J240" i="1"/>
  <c r="DG145" i="1"/>
  <c r="DF145" i="1"/>
  <c r="DE145" i="1"/>
  <c r="DD145" i="1"/>
  <c r="DB145" i="1"/>
  <c r="CF145" i="1"/>
  <c r="CD145" i="1"/>
  <c r="CC145" i="1"/>
  <c r="CB145" i="1"/>
  <c r="CA145" i="1"/>
  <c r="BV145" i="1"/>
  <c r="BU145" i="1"/>
  <c r="BT145" i="1"/>
  <c r="BS145" i="1"/>
  <c r="BI145" i="1"/>
  <c r="BJ145" i="1" s="1"/>
  <c r="AE145" i="1"/>
  <c r="J145" i="1"/>
  <c r="DG144" i="1"/>
  <c r="DF144" i="1"/>
  <c r="DE144" i="1"/>
  <c r="DD144" i="1"/>
  <c r="DB144" i="1"/>
  <c r="CF144" i="1"/>
  <c r="CD144" i="1"/>
  <c r="CC144" i="1"/>
  <c r="CB144" i="1"/>
  <c r="CA144" i="1"/>
  <c r="BV144" i="1"/>
  <c r="BU144" i="1"/>
  <c r="BT144" i="1"/>
  <c r="BS144" i="1"/>
  <c r="BI144" i="1"/>
  <c r="BJ144" i="1" s="1"/>
  <c r="AE144" i="1"/>
  <c r="J144" i="1"/>
  <c r="DG143" i="1"/>
  <c r="DF143" i="1"/>
  <c r="DE143" i="1"/>
  <c r="DD143" i="1"/>
  <c r="DB143" i="1"/>
  <c r="CF143" i="1"/>
  <c r="CD143" i="1"/>
  <c r="CC143" i="1"/>
  <c r="CB143" i="1"/>
  <c r="CA143" i="1"/>
  <c r="BV143" i="1"/>
  <c r="BU143" i="1"/>
  <c r="BT143" i="1"/>
  <c r="BS143" i="1"/>
  <c r="BI143" i="1"/>
  <c r="BJ143" i="1" s="1"/>
  <c r="AE143" i="1"/>
  <c r="J143" i="1"/>
  <c r="DG142" i="1"/>
  <c r="DF142" i="1"/>
  <c r="DE142" i="1"/>
  <c r="DD142" i="1"/>
  <c r="DB142" i="1"/>
  <c r="CD142" i="1"/>
  <c r="CC142" i="1"/>
  <c r="BV142" i="1"/>
  <c r="BU142" i="1"/>
  <c r="BR142" i="1"/>
  <c r="BI142" i="1"/>
  <c r="BJ142" i="1" s="1"/>
  <c r="AE142" i="1"/>
  <c r="J142" i="1"/>
  <c r="DG272" i="1"/>
  <c r="DD272" i="1"/>
  <c r="DB272" i="1"/>
  <c r="CD272" i="1"/>
  <c r="CC272" i="1"/>
  <c r="BV272" i="1"/>
  <c r="BU272" i="1"/>
  <c r="BI272" i="1"/>
  <c r="BH272" i="1"/>
  <c r="J272" i="1"/>
  <c r="DG200" i="1"/>
  <c r="DF200" i="1"/>
  <c r="DE200" i="1"/>
  <c r="DD200" i="1"/>
  <c r="DB200" i="1"/>
  <c r="CD200" i="1"/>
  <c r="CC200" i="1"/>
  <c r="CB200" i="1"/>
  <c r="BV200" i="1"/>
  <c r="BU200" i="1"/>
  <c r="BT200" i="1"/>
  <c r="BI200" i="1"/>
  <c r="BH200" i="1"/>
  <c r="AE200" i="1"/>
  <c r="J200" i="1"/>
  <c r="DG139" i="1"/>
  <c r="DF139" i="1"/>
  <c r="DE139" i="1"/>
  <c r="DD139" i="1"/>
  <c r="DB139" i="1"/>
  <c r="CD139" i="1"/>
  <c r="CC139" i="1"/>
  <c r="BV139" i="1"/>
  <c r="BU139" i="1"/>
  <c r="BM139" i="1"/>
  <c r="BM490" i="1" s="1"/>
  <c r="AE139" i="1"/>
  <c r="J139" i="1"/>
  <c r="DG137" i="1"/>
  <c r="DD137" i="1"/>
  <c r="DB137" i="1"/>
  <c r="CD137" i="1"/>
  <c r="CC137" i="1"/>
  <c r="CB137" i="1"/>
  <c r="BV137" i="1"/>
  <c r="BU137" i="1"/>
  <c r="BT137" i="1"/>
  <c r="BI137" i="1"/>
  <c r="BH137" i="1"/>
  <c r="AE137" i="1"/>
  <c r="J137" i="1"/>
  <c r="DG476" i="1"/>
  <c r="DF476" i="1"/>
  <c r="DE476" i="1"/>
  <c r="DD476" i="1"/>
  <c r="DB476" i="1"/>
  <c r="CD476" i="1"/>
  <c r="CC476" i="1"/>
  <c r="CB476" i="1"/>
  <c r="BV476" i="1"/>
  <c r="BU476" i="1"/>
  <c r="BT476" i="1"/>
  <c r="BI476" i="1"/>
  <c r="BH476" i="1"/>
  <c r="AE476" i="1"/>
  <c r="J476" i="1"/>
  <c r="DG472" i="1"/>
  <c r="DD472" i="1"/>
  <c r="DB472" i="1"/>
  <c r="CN472" i="1"/>
  <c r="CL472" i="1"/>
  <c r="CK472" i="1"/>
  <c r="BI472" i="1" s="1"/>
  <c r="CI472" i="1"/>
  <c r="CH472" i="1"/>
  <c r="CF472" i="1"/>
  <c r="CD472" i="1"/>
  <c r="CC472" i="1"/>
  <c r="CB472" i="1"/>
  <c r="BV472" i="1"/>
  <c r="BU472" i="1"/>
  <c r="BT472" i="1"/>
  <c r="AE472" i="1"/>
  <c r="J472" i="1"/>
  <c r="DG471" i="1"/>
  <c r="DD471" i="1"/>
  <c r="DB471" i="1"/>
  <c r="CD471" i="1"/>
  <c r="CC471" i="1"/>
  <c r="CB471" i="1"/>
  <c r="BV471" i="1"/>
  <c r="BU471" i="1"/>
  <c r="BT471" i="1"/>
  <c r="BI471" i="1"/>
  <c r="BH471" i="1"/>
  <c r="AE471" i="1"/>
  <c r="J471" i="1"/>
  <c r="DG464" i="1"/>
  <c r="DD464" i="1"/>
  <c r="DB464" i="1"/>
  <c r="CD464" i="1"/>
  <c r="CC464" i="1"/>
  <c r="CB464" i="1"/>
  <c r="BV464" i="1"/>
  <c r="BU464" i="1"/>
  <c r="BT464" i="1"/>
  <c r="BI464" i="1"/>
  <c r="BH464" i="1"/>
  <c r="AE464" i="1"/>
  <c r="J464" i="1"/>
  <c r="DG466" i="1"/>
  <c r="DD466" i="1"/>
  <c r="DB466" i="1"/>
  <c r="CD466" i="1"/>
  <c r="CC466" i="1"/>
  <c r="CB466" i="1"/>
  <c r="BV466" i="1"/>
  <c r="BU466" i="1"/>
  <c r="BT466" i="1"/>
  <c r="BI466" i="1"/>
  <c r="BH466" i="1"/>
  <c r="AE466" i="1"/>
  <c r="J466" i="1"/>
  <c r="DG459" i="1"/>
  <c r="DF459" i="1"/>
  <c r="DE459" i="1"/>
  <c r="DD459" i="1"/>
  <c r="DB459" i="1"/>
  <c r="CD459" i="1"/>
  <c r="CC459" i="1"/>
  <c r="CB459" i="1"/>
  <c r="BV459" i="1"/>
  <c r="BU459" i="1"/>
  <c r="BT459" i="1"/>
  <c r="BI459" i="1"/>
  <c r="BH459" i="1"/>
  <c r="AE459" i="1"/>
  <c r="J459" i="1"/>
  <c r="DG131" i="1"/>
  <c r="DF131" i="1"/>
  <c r="DE131" i="1"/>
  <c r="DD131" i="1"/>
  <c r="DB131" i="1"/>
  <c r="CD131" i="1"/>
  <c r="CC131" i="1"/>
  <c r="CB131" i="1"/>
  <c r="BV131" i="1"/>
  <c r="BU131" i="1"/>
  <c r="BT131" i="1"/>
  <c r="BI131" i="1"/>
  <c r="BH131" i="1"/>
  <c r="AE131" i="1"/>
  <c r="J131" i="1"/>
  <c r="DG130" i="1"/>
  <c r="DF130" i="1"/>
  <c r="DE130" i="1"/>
  <c r="DD130" i="1"/>
  <c r="DB130" i="1"/>
  <c r="CD130" i="1"/>
  <c r="CC130" i="1"/>
  <c r="CB130" i="1"/>
  <c r="BV130" i="1"/>
  <c r="BU130" i="1"/>
  <c r="BT130" i="1"/>
  <c r="BI130" i="1"/>
  <c r="BH130" i="1"/>
  <c r="AE130" i="1"/>
  <c r="J130" i="1"/>
  <c r="DG452" i="1"/>
  <c r="DD452" i="1"/>
  <c r="DB452" i="1"/>
  <c r="CD452" i="1"/>
  <c r="CC452" i="1"/>
  <c r="CB452" i="1"/>
  <c r="BV452" i="1"/>
  <c r="BU452" i="1"/>
  <c r="BT452" i="1"/>
  <c r="BI452" i="1"/>
  <c r="BH452" i="1"/>
  <c r="AE452" i="1"/>
  <c r="J452" i="1"/>
  <c r="DG450" i="1"/>
  <c r="DD450" i="1"/>
  <c r="DB450" i="1"/>
  <c r="CD450" i="1"/>
  <c r="CB450" i="1"/>
  <c r="BV450" i="1"/>
  <c r="BT450" i="1"/>
  <c r="BI450" i="1"/>
  <c r="BH450" i="1"/>
  <c r="AE450" i="1"/>
  <c r="J450" i="1"/>
  <c r="DG127" i="1"/>
  <c r="DF127" i="1"/>
  <c r="DE127" i="1"/>
  <c r="DD127" i="1"/>
  <c r="DB127" i="1"/>
  <c r="CD127" i="1"/>
  <c r="CC127" i="1"/>
  <c r="CB127" i="1"/>
  <c r="BV127" i="1"/>
  <c r="BU127" i="1"/>
  <c r="BT127" i="1"/>
  <c r="BI127" i="1"/>
  <c r="BH127" i="1"/>
  <c r="AE127" i="1"/>
  <c r="J127" i="1"/>
  <c r="DG126" i="1"/>
  <c r="DF126" i="1"/>
  <c r="DE126" i="1"/>
  <c r="DD126" i="1"/>
  <c r="DB126" i="1"/>
  <c r="CD126" i="1"/>
  <c r="CC126" i="1"/>
  <c r="CB126" i="1"/>
  <c r="BV126" i="1"/>
  <c r="BU126" i="1"/>
  <c r="BT126" i="1"/>
  <c r="BI126" i="1"/>
  <c r="BH126" i="1"/>
  <c r="AE126" i="1"/>
  <c r="J126" i="1"/>
  <c r="DG426" i="1"/>
  <c r="DD426" i="1"/>
  <c r="DB426" i="1"/>
  <c r="CD426" i="1"/>
  <c r="CC426" i="1"/>
  <c r="CB426" i="1"/>
  <c r="BV426" i="1"/>
  <c r="BU426" i="1"/>
  <c r="BT426" i="1"/>
  <c r="BI426" i="1"/>
  <c r="BH426" i="1"/>
  <c r="AE426" i="1"/>
  <c r="J426" i="1"/>
  <c r="DG420" i="1"/>
  <c r="DF420" i="1"/>
  <c r="DE420" i="1"/>
  <c r="DD420" i="1"/>
  <c r="DB420" i="1"/>
  <c r="CD420" i="1"/>
  <c r="CC420" i="1"/>
  <c r="CB420" i="1"/>
  <c r="BV420" i="1"/>
  <c r="BU420" i="1"/>
  <c r="BT420" i="1"/>
  <c r="BI420" i="1"/>
  <c r="BH420" i="1"/>
  <c r="AE420" i="1"/>
  <c r="J420" i="1"/>
  <c r="DG216" i="1"/>
  <c r="DD216" i="1"/>
  <c r="DB216" i="1"/>
  <c r="CI216" i="1"/>
  <c r="CH216" i="1"/>
  <c r="BI216" i="1" s="1"/>
  <c r="CF216" i="1"/>
  <c r="CD216" i="1"/>
  <c r="CC216" i="1"/>
  <c r="BV216" i="1"/>
  <c r="BU216" i="1"/>
  <c r="BH216" i="1"/>
  <c r="J216" i="1"/>
  <c r="DG417" i="1"/>
  <c r="DD417" i="1"/>
  <c r="DB417" i="1"/>
  <c r="CD417" i="1"/>
  <c r="CC417" i="1"/>
  <c r="CB417" i="1"/>
  <c r="BV417" i="1"/>
  <c r="BU417" i="1"/>
  <c r="BT417" i="1"/>
  <c r="BI417" i="1"/>
  <c r="BH417" i="1"/>
  <c r="AE417" i="1"/>
  <c r="J417" i="1"/>
  <c r="DG415" i="1"/>
  <c r="DD415" i="1"/>
  <c r="DB415" i="1"/>
  <c r="CD415" i="1"/>
  <c r="CC415" i="1"/>
  <c r="CB415" i="1"/>
  <c r="BV415" i="1"/>
  <c r="BU415" i="1"/>
  <c r="BT415" i="1"/>
  <c r="BI415" i="1"/>
  <c r="BH415" i="1"/>
  <c r="AE415" i="1"/>
  <c r="J415" i="1"/>
  <c r="DG120" i="1"/>
  <c r="DF120" i="1"/>
  <c r="DE120" i="1"/>
  <c r="DD120" i="1"/>
  <c r="DB120" i="1"/>
  <c r="CD120" i="1"/>
  <c r="CC120" i="1"/>
  <c r="CB120" i="1"/>
  <c r="BV120" i="1"/>
  <c r="BU120" i="1"/>
  <c r="BT120" i="1"/>
  <c r="BI120" i="1"/>
  <c r="BH120" i="1"/>
  <c r="AE120" i="1"/>
  <c r="J120" i="1"/>
  <c r="DG119" i="1"/>
  <c r="DF119" i="1"/>
  <c r="DE119" i="1"/>
  <c r="DD119" i="1"/>
  <c r="DB119" i="1"/>
  <c r="CH119" i="1"/>
  <c r="CF119" i="1"/>
  <c r="BH119" i="1" s="1"/>
  <c r="CD119" i="1"/>
  <c r="CC119" i="1"/>
  <c r="CB119" i="1"/>
  <c r="BV119" i="1"/>
  <c r="BU119" i="1"/>
  <c r="BT119" i="1"/>
  <c r="BI119" i="1"/>
  <c r="AE119" i="1"/>
  <c r="J119" i="1"/>
  <c r="DG118" i="1"/>
  <c r="DF118" i="1"/>
  <c r="DE118" i="1"/>
  <c r="DD118" i="1"/>
  <c r="DB118" i="1"/>
  <c r="CD118" i="1"/>
  <c r="CC118" i="1"/>
  <c r="CB118" i="1"/>
  <c r="BV118" i="1"/>
  <c r="BU118" i="1"/>
  <c r="BT118" i="1"/>
  <c r="BI118" i="1"/>
  <c r="BH118" i="1"/>
  <c r="AE118" i="1"/>
  <c r="J118" i="1"/>
  <c r="DG405" i="1"/>
  <c r="DD405" i="1"/>
  <c r="DB405" i="1"/>
  <c r="CD405" i="1"/>
  <c r="CC405" i="1"/>
  <c r="CB405" i="1"/>
  <c r="BV405" i="1"/>
  <c r="BU405" i="1"/>
  <c r="BT405" i="1"/>
  <c r="BI405" i="1"/>
  <c r="BH405" i="1"/>
  <c r="AE405" i="1"/>
  <c r="J405" i="1"/>
  <c r="DG401" i="1"/>
  <c r="DF401" i="1"/>
  <c r="DE401" i="1"/>
  <c r="DD401" i="1"/>
  <c r="DB401" i="1"/>
  <c r="CD401" i="1"/>
  <c r="CC401" i="1"/>
  <c r="CB401" i="1"/>
  <c r="BV401" i="1"/>
  <c r="BU401" i="1"/>
  <c r="BT401" i="1"/>
  <c r="BI401" i="1"/>
  <c r="BH401" i="1"/>
  <c r="AE401" i="1"/>
  <c r="J401" i="1"/>
  <c r="DG400" i="1"/>
  <c r="DD400" i="1"/>
  <c r="CO400" i="1"/>
  <c r="CN400" i="1"/>
  <c r="CL400" i="1"/>
  <c r="CK400" i="1"/>
  <c r="CI400" i="1"/>
  <c r="CF400" i="1"/>
  <c r="CD400" i="1"/>
  <c r="CC400" i="1"/>
  <c r="CB400" i="1"/>
  <c r="BV400" i="1"/>
  <c r="BU400" i="1"/>
  <c r="BT400" i="1"/>
  <c r="BI400" i="1"/>
  <c r="BJ400" i="1" s="1"/>
  <c r="AE400" i="1"/>
  <c r="J400" i="1"/>
  <c r="DG114" i="1"/>
  <c r="DF114" i="1"/>
  <c r="DE114" i="1"/>
  <c r="DD114" i="1"/>
  <c r="DB114" i="1"/>
  <c r="CD114" i="1"/>
  <c r="CC114" i="1"/>
  <c r="CB114" i="1"/>
  <c r="BV114" i="1"/>
  <c r="BU114" i="1"/>
  <c r="BT114" i="1"/>
  <c r="BI114" i="1"/>
  <c r="BH114" i="1"/>
  <c r="AE114" i="1"/>
  <c r="J114" i="1"/>
  <c r="DG379" i="1"/>
  <c r="DF379" i="1"/>
  <c r="DE379" i="1"/>
  <c r="DD379" i="1"/>
  <c r="DB379" i="1"/>
  <c r="CN379" i="1"/>
  <c r="CL379" i="1"/>
  <c r="CK379" i="1"/>
  <c r="CI379" i="1"/>
  <c r="CF379" i="1"/>
  <c r="CD379" i="1"/>
  <c r="CC379" i="1"/>
  <c r="CB379" i="1"/>
  <c r="BV379" i="1"/>
  <c r="BU379" i="1"/>
  <c r="BT379" i="1"/>
  <c r="AE379" i="1"/>
  <c r="J379" i="1"/>
  <c r="DG64" i="1"/>
  <c r="DF64" i="1"/>
  <c r="DE64" i="1"/>
  <c r="DD64" i="1"/>
  <c r="DB64" i="1"/>
  <c r="CD64" i="1"/>
  <c r="CC64" i="1"/>
  <c r="CB64" i="1"/>
  <c r="BV64" i="1"/>
  <c r="BU64" i="1"/>
  <c r="BT64" i="1"/>
  <c r="BI64" i="1"/>
  <c r="BH64" i="1"/>
  <c r="AE64" i="1"/>
  <c r="J64" i="1"/>
  <c r="DG111" i="1"/>
  <c r="DF111" i="1"/>
  <c r="DE111" i="1"/>
  <c r="DD111" i="1"/>
  <c r="DB111" i="1"/>
  <c r="CD111" i="1"/>
  <c r="CC111" i="1"/>
  <c r="CB111" i="1"/>
  <c r="BV111" i="1"/>
  <c r="BU111" i="1"/>
  <c r="BT111" i="1"/>
  <c r="BI111" i="1"/>
  <c r="BH111" i="1"/>
  <c r="AE111" i="1"/>
  <c r="J111" i="1"/>
  <c r="DG110" i="1"/>
  <c r="DF110" i="1"/>
  <c r="DE110" i="1"/>
  <c r="DD110" i="1"/>
  <c r="DB110" i="1"/>
  <c r="CD110" i="1"/>
  <c r="CC110" i="1"/>
  <c r="CB110" i="1"/>
  <c r="BV110" i="1"/>
  <c r="BU110" i="1"/>
  <c r="BT110" i="1"/>
  <c r="BI110" i="1"/>
  <c r="BH110" i="1"/>
  <c r="AE110" i="1"/>
  <c r="J110" i="1"/>
  <c r="DG109" i="1"/>
  <c r="DF109" i="1"/>
  <c r="DE109" i="1"/>
  <c r="DD109" i="1"/>
  <c r="DB109" i="1"/>
  <c r="CD109" i="1"/>
  <c r="CC109" i="1"/>
  <c r="CB109" i="1"/>
  <c r="BV109" i="1"/>
  <c r="BU109" i="1"/>
  <c r="BT109" i="1"/>
  <c r="BI109" i="1"/>
  <c r="BH109" i="1"/>
  <c r="AE109" i="1"/>
  <c r="J109" i="1"/>
  <c r="DG108" i="1"/>
  <c r="DF108" i="1"/>
  <c r="DE108" i="1"/>
  <c r="DD108" i="1"/>
  <c r="DB108" i="1"/>
  <c r="CD108" i="1"/>
  <c r="CC108" i="1"/>
  <c r="CB108" i="1"/>
  <c r="BV108" i="1"/>
  <c r="BU108" i="1"/>
  <c r="BT108" i="1"/>
  <c r="AE108" i="1"/>
  <c r="J108" i="1"/>
  <c r="DG107" i="1"/>
  <c r="DF107" i="1"/>
  <c r="DE107" i="1"/>
  <c r="DD107" i="1"/>
  <c r="DB107" i="1"/>
  <c r="CD107" i="1"/>
  <c r="CC107" i="1"/>
  <c r="CB107" i="1"/>
  <c r="BV107" i="1"/>
  <c r="BU107" i="1"/>
  <c r="BT107" i="1"/>
  <c r="BI107" i="1"/>
  <c r="BH107" i="1"/>
  <c r="AE107" i="1"/>
  <c r="J107" i="1"/>
  <c r="DG315" i="1"/>
  <c r="DD315" i="1"/>
  <c r="DB315" i="1"/>
  <c r="CD315" i="1"/>
  <c r="CB315" i="1"/>
  <c r="BV315" i="1"/>
  <c r="BT315" i="1"/>
  <c r="BI315" i="1"/>
  <c r="BH315" i="1"/>
  <c r="AE315" i="1"/>
  <c r="J315" i="1"/>
  <c r="DG105" i="1"/>
  <c r="DD105" i="1"/>
  <c r="CK105" i="1"/>
  <c r="CI105" i="1"/>
  <c r="CF105" i="1"/>
  <c r="BH105" i="1" s="1"/>
  <c r="CD105" i="1"/>
  <c r="CC105" i="1"/>
  <c r="CB105" i="1"/>
  <c r="BV105" i="1"/>
  <c r="BU105" i="1"/>
  <c r="BT105" i="1"/>
  <c r="BI105" i="1"/>
  <c r="AE105" i="1"/>
  <c r="J105" i="1"/>
  <c r="DG104" i="1"/>
  <c r="DF104" i="1"/>
  <c r="DE104" i="1"/>
  <c r="DD104" i="1"/>
  <c r="DB104" i="1"/>
  <c r="CD104" i="1"/>
  <c r="CC104" i="1"/>
  <c r="CB104" i="1"/>
  <c r="BV104" i="1"/>
  <c r="BU104" i="1"/>
  <c r="BT104" i="1"/>
  <c r="BI104" i="1"/>
  <c r="BH104" i="1"/>
  <c r="AE104" i="1"/>
  <c r="J104" i="1"/>
  <c r="DG103" i="1"/>
  <c r="DF103" i="1"/>
  <c r="DE103" i="1"/>
  <c r="DD103" i="1"/>
  <c r="DB103" i="1"/>
  <c r="CD103" i="1"/>
  <c r="CC103" i="1"/>
  <c r="CB103" i="1"/>
  <c r="BV103" i="1"/>
  <c r="BU103" i="1"/>
  <c r="BT103" i="1"/>
  <c r="BI103" i="1"/>
  <c r="BJ103" i="1" s="1"/>
  <c r="AE103" i="1"/>
  <c r="J103" i="1"/>
  <c r="DG148" i="1"/>
  <c r="DF148" i="1"/>
  <c r="DE148" i="1"/>
  <c r="DD148" i="1"/>
  <c r="DB148" i="1"/>
  <c r="CK148" i="1"/>
  <c r="CI148" i="1"/>
  <c r="CH148" i="1"/>
  <c r="CF148" i="1"/>
  <c r="CD148" i="1"/>
  <c r="CC148" i="1"/>
  <c r="CB148" i="1"/>
  <c r="BV148" i="1"/>
  <c r="BU148" i="1"/>
  <c r="BT148" i="1"/>
  <c r="BI148" i="1"/>
  <c r="BJ148" i="1" s="1"/>
  <c r="AE148" i="1"/>
  <c r="J148" i="1"/>
  <c r="DG489" i="1"/>
  <c r="DF489" i="1"/>
  <c r="DE489" i="1"/>
  <c r="DD489" i="1"/>
  <c r="DB489" i="1"/>
  <c r="CK489" i="1"/>
  <c r="CI489" i="1"/>
  <c r="CH489" i="1"/>
  <c r="BI489" i="1" s="1"/>
  <c r="BJ489" i="1" s="1"/>
  <c r="CF489" i="1"/>
  <c r="CD489" i="1"/>
  <c r="CC489" i="1"/>
  <c r="CB489" i="1"/>
  <c r="BV489" i="1"/>
  <c r="BU489" i="1"/>
  <c r="BT489" i="1"/>
  <c r="AE489" i="1"/>
  <c r="J489" i="1"/>
  <c r="DG451" i="1"/>
  <c r="DF451" i="1"/>
  <c r="DE451" i="1"/>
  <c r="DD451" i="1"/>
  <c r="DB451" i="1"/>
  <c r="CK451" i="1"/>
  <c r="CI451" i="1"/>
  <c r="CH451" i="1"/>
  <c r="BI451" i="1" s="1"/>
  <c r="BJ451" i="1" s="1"/>
  <c r="CF451" i="1"/>
  <c r="CD451" i="1"/>
  <c r="CC451" i="1"/>
  <c r="CB451" i="1"/>
  <c r="BV451" i="1"/>
  <c r="BU451" i="1"/>
  <c r="BT451" i="1"/>
  <c r="AE451" i="1"/>
  <c r="J451" i="1"/>
  <c r="DG308" i="1"/>
  <c r="DF308" i="1"/>
  <c r="DE308" i="1"/>
  <c r="DD308" i="1"/>
  <c r="DB308" i="1"/>
  <c r="CK308" i="1"/>
  <c r="CI308" i="1"/>
  <c r="CH308" i="1"/>
  <c r="CF308" i="1"/>
  <c r="CD308" i="1"/>
  <c r="CC308" i="1"/>
  <c r="CB308" i="1"/>
  <c r="BV308" i="1"/>
  <c r="BU308" i="1"/>
  <c r="BT308" i="1"/>
  <c r="AE308" i="1"/>
  <c r="J308" i="1"/>
  <c r="DG98" i="1"/>
  <c r="DF98" i="1"/>
  <c r="DE98" i="1"/>
  <c r="DD98" i="1"/>
  <c r="DB98" i="1"/>
  <c r="CD98" i="1"/>
  <c r="CC98" i="1"/>
  <c r="CB98" i="1"/>
  <c r="BV98" i="1"/>
  <c r="BU98" i="1"/>
  <c r="BT98" i="1"/>
  <c r="BI98" i="1"/>
  <c r="BH98" i="1"/>
  <c r="AE98" i="1"/>
  <c r="J98" i="1"/>
  <c r="DG97" i="1"/>
  <c r="DF97" i="1"/>
  <c r="DE97" i="1"/>
  <c r="DD97" i="1"/>
  <c r="DB97" i="1"/>
  <c r="CH97" i="1"/>
  <c r="CF97" i="1"/>
  <c r="BH97" i="1" s="1"/>
  <c r="CD97" i="1"/>
  <c r="CC97" i="1"/>
  <c r="CB97" i="1"/>
  <c r="BV97" i="1"/>
  <c r="BU97" i="1"/>
  <c r="BT97" i="1"/>
  <c r="BI97" i="1"/>
  <c r="AE97" i="1"/>
  <c r="J97" i="1"/>
  <c r="DG290" i="1"/>
  <c r="DD290" i="1"/>
  <c r="DB290" i="1"/>
  <c r="CK290" i="1"/>
  <c r="CI290" i="1"/>
  <c r="CF290" i="1"/>
  <c r="CD290" i="1"/>
  <c r="CC290" i="1"/>
  <c r="CB290" i="1"/>
  <c r="BV290" i="1"/>
  <c r="BU290" i="1"/>
  <c r="BT290" i="1"/>
  <c r="BI290" i="1"/>
  <c r="BH290" i="1"/>
  <c r="AE290" i="1"/>
  <c r="J290" i="1"/>
  <c r="DG286" i="1"/>
  <c r="DD286" i="1"/>
  <c r="DB286" i="1"/>
  <c r="CD286" i="1"/>
  <c r="CC286" i="1"/>
  <c r="CB286" i="1"/>
  <c r="BV286" i="1"/>
  <c r="BU286" i="1"/>
  <c r="BT286" i="1"/>
  <c r="BI286" i="1"/>
  <c r="BH286" i="1"/>
  <c r="AE286" i="1"/>
  <c r="J286" i="1"/>
  <c r="DG94" i="1"/>
  <c r="DF94" i="1"/>
  <c r="DE94" i="1"/>
  <c r="DD94" i="1"/>
  <c r="DB94" i="1"/>
  <c r="CD94" i="1"/>
  <c r="CC94" i="1"/>
  <c r="CB94" i="1"/>
  <c r="BV94" i="1"/>
  <c r="BU94" i="1"/>
  <c r="BT94" i="1"/>
  <c r="BI94" i="1"/>
  <c r="BH94" i="1"/>
  <c r="AE94" i="1"/>
  <c r="J94" i="1"/>
  <c r="DG284" i="1"/>
  <c r="DF284" i="1"/>
  <c r="DE284" i="1"/>
  <c r="DD284" i="1"/>
  <c r="DB284" i="1"/>
  <c r="CD284" i="1"/>
  <c r="CC284" i="1"/>
  <c r="CB284" i="1"/>
  <c r="BV284" i="1"/>
  <c r="BU284" i="1"/>
  <c r="BT284" i="1"/>
  <c r="BI284" i="1"/>
  <c r="BH284" i="1"/>
  <c r="AE284" i="1"/>
  <c r="J284" i="1"/>
  <c r="DG273" i="1"/>
  <c r="DF273" i="1"/>
  <c r="DE273" i="1"/>
  <c r="DD273" i="1"/>
  <c r="CD273" i="1"/>
  <c r="CC273" i="1"/>
  <c r="CB273" i="1"/>
  <c r="BV273" i="1"/>
  <c r="BU273" i="1"/>
  <c r="BT273" i="1"/>
  <c r="BI273" i="1"/>
  <c r="BH273" i="1"/>
  <c r="AE273" i="1"/>
  <c r="J273" i="1"/>
  <c r="DG285" i="1"/>
  <c r="DD285" i="1"/>
  <c r="DB285" i="1"/>
  <c r="CD285" i="1"/>
  <c r="CC285" i="1"/>
  <c r="CB285" i="1"/>
  <c r="BV285" i="1"/>
  <c r="BU285" i="1"/>
  <c r="BT285" i="1"/>
  <c r="BI285" i="1"/>
  <c r="BH285" i="1"/>
  <c r="AE285" i="1"/>
  <c r="J285" i="1"/>
  <c r="DG90" i="1"/>
  <c r="DF90" i="1"/>
  <c r="DE90" i="1"/>
  <c r="DD90" i="1"/>
  <c r="DB90" i="1"/>
  <c r="CD90" i="1"/>
  <c r="CC90" i="1"/>
  <c r="CB90" i="1"/>
  <c r="BV90" i="1"/>
  <c r="BU90" i="1"/>
  <c r="BT90" i="1"/>
  <c r="BI90" i="1"/>
  <c r="BH90" i="1"/>
  <c r="AE90" i="1"/>
  <c r="J90" i="1"/>
  <c r="DG89" i="1"/>
  <c r="DF89" i="1"/>
  <c r="DE89" i="1"/>
  <c r="DD89" i="1"/>
  <c r="DB89" i="1"/>
  <c r="CD89" i="1"/>
  <c r="CC89" i="1"/>
  <c r="CB89" i="1"/>
  <c r="BV89" i="1"/>
  <c r="BU89" i="1"/>
  <c r="BT89" i="1"/>
  <c r="BI89" i="1"/>
  <c r="BH89" i="1"/>
  <c r="AE89" i="1"/>
  <c r="J89" i="1"/>
  <c r="DG88" i="1"/>
  <c r="DF88" i="1"/>
  <c r="DE88" i="1"/>
  <c r="DD88" i="1"/>
  <c r="DB88" i="1"/>
  <c r="CD88" i="1"/>
  <c r="CC88" i="1"/>
  <c r="CB88" i="1"/>
  <c r="BV88" i="1"/>
  <c r="BU88" i="1"/>
  <c r="BT88" i="1"/>
  <c r="BI88" i="1"/>
  <c r="BH88" i="1"/>
  <c r="AE88" i="1"/>
  <c r="J88" i="1"/>
  <c r="DG87" i="1"/>
  <c r="DF87" i="1"/>
  <c r="DE87" i="1"/>
  <c r="DD87" i="1"/>
  <c r="DB87" i="1"/>
  <c r="CD87" i="1"/>
  <c r="CC87" i="1"/>
  <c r="CB87" i="1"/>
  <c r="BV87" i="1"/>
  <c r="BU87" i="1"/>
  <c r="BT87" i="1"/>
  <c r="BI87" i="1"/>
  <c r="BH87" i="1"/>
  <c r="AE87" i="1"/>
  <c r="J87" i="1"/>
  <c r="DG86" i="1"/>
  <c r="DF86" i="1"/>
  <c r="DE86" i="1"/>
  <c r="DD86" i="1"/>
  <c r="DB86" i="1"/>
  <c r="CD86" i="1"/>
  <c r="CC86" i="1"/>
  <c r="CB86" i="1"/>
  <c r="BV86" i="1"/>
  <c r="BU86" i="1"/>
  <c r="BT86" i="1"/>
  <c r="BI86" i="1"/>
  <c r="BH86" i="1"/>
  <c r="AE86" i="1"/>
  <c r="J86" i="1"/>
  <c r="DG85" i="1"/>
  <c r="DF85" i="1"/>
  <c r="DE85" i="1"/>
  <c r="DD85" i="1"/>
  <c r="DB85" i="1"/>
  <c r="CD85" i="1"/>
  <c r="CC85" i="1"/>
  <c r="CB85" i="1"/>
  <c r="BV85" i="1"/>
  <c r="BU85" i="1"/>
  <c r="BT85" i="1"/>
  <c r="BI85" i="1"/>
  <c r="BH85" i="1"/>
  <c r="AE85" i="1"/>
  <c r="J85" i="1"/>
  <c r="DG252" i="1"/>
  <c r="DF252" i="1"/>
  <c r="DE252" i="1"/>
  <c r="DD252" i="1"/>
  <c r="DB252" i="1"/>
  <c r="CD252" i="1"/>
  <c r="CC252" i="1"/>
  <c r="CB252" i="1"/>
  <c r="BV252" i="1"/>
  <c r="BU252" i="1"/>
  <c r="BT252" i="1"/>
  <c r="J252" i="1"/>
  <c r="DG249" i="1"/>
  <c r="DF249" i="1"/>
  <c r="DE249" i="1"/>
  <c r="DD249" i="1"/>
  <c r="DB249" i="1"/>
  <c r="CD249" i="1"/>
  <c r="CC249" i="1"/>
  <c r="BV249" i="1"/>
  <c r="BU249" i="1"/>
  <c r="BT249" i="1"/>
  <c r="BI249" i="1"/>
  <c r="BH249" i="1"/>
  <c r="AE249" i="1"/>
  <c r="J249" i="1"/>
  <c r="DG243" i="1"/>
  <c r="DD243" i="1"/>
  <c r="DB243" i="1"/>
  <c r="CD243" i="1"/>
  <c r="CC243" i="1"/>
  <c r="CB243" i="1"/>
  <c r="BV243" i="1"/>
  <c r="BU243" i="1"/>
  <c r="BT243" i="1"/>
  <c r="BI243" i="1"/>
  <c r="BH243" i="1"/>
  <c r="AE243" i="1"/>
  <c r="J243" i="1"/>
  <c r="DG81" i="1"/>
  <c r="DF81" i="1"/>
  <c r="DE81" i="1"/>
  <c r="DD81" i="1"/>
  <c r="DB81" i="1"/>
  <c r="CD81" i="1"/>
  <c r="CC81" i="1"/>
  <c r="CB81" i="1"/>
  <c r="BV81" i="1"/>
  <c r="BU81" i="1"/>
  <c r="BT81" i="1"/>
  <c r="BI81" i="1"/>
  <c r="BH81" i="1"/>
  <c r="AE81" i="1"/>
  <c r="J81" i="1"/>
  <c r="DG80" i="1"/>
  <c r="DF80" i="1"/>
  <c r="DE80" i="1"/>
  <c r="DD80" i="1"/>
  <c r="DB80" i="1"/>
  <c r="CD80" i="1"/>
  <c r="CC80" i="1"/>
  <c r="CB80" i="1"/>
  <c r="BV80" i="1"/>
  <c r="BU80" i="1"/>
  <c r="BT80" i="1"/>
  <c r="BI80" i="1"/>
  <c r="BH80" i="1"/>
  <c r="AE80" i="1"/>
  <c r="J80" i="1"/>
  <c r="DG219" i="1"/>
  <c r="DD219" i="1"/>
  <c r="DB219" i="1"/>
  <c r="CD219" i="1"/>
  <c r="CC219" i="1"/>
  <c r="CB219" i="1"/>
  <c r="BV219" i="1"/>
  <c r="BU219" i="1"/>
  <c r="BT219" i="1"/>
  <c r="BI219" i="1"/>
  <c r="BH219" i="1"/>
  <c r="AE219" i="1"/>
  <c r="J219" i="1"/>
  <c r="DG218" i="1"/>
  <c r="DF218" i="1"/>
  <c r="DE218" i="1"/>
  <c r="DD218" i="1"/>
  <c r="DB218" i="1"/>
  <c r="CD218" i="1"/>
  <c r="CC218" i="1"/>
  <c r="CB218" i="1"/>
  <c r="BV218" i="1"/>
  <c r="BU218" i="1"/>
  <c r="BT218" i="1"/>
  <c r="BI218" i="1"/>
  <c r="BH218" i="1"/>
  <c r="AE218" i="1"/>
  <c r="J218" i="1"/>
  <c r="DG77" i="1"/>
  <c r="DF77" i="1"/>
  <c r="DE77" i="1"/>
  <c r="DD77" i="1"/>
  <c r="DB77" i="1"/>
  <c r="CH77" i="1"/>
  <c r="BI77" i="1" s="1"/>
  <c r="CF77" i="1"/>
  <c r="CD77" i="1"/>
  <c r="CC77" i="1"/>
  <c r="CB77" i="1"/>
  <c r="BV77" i="1"/>
  <c r="BU77" i="1"/>
  <c r="BT77" i="1"/>
  <c r="BH77" i="1"/>
  <c r="AE77" i="1"/>
  <c r="J77" i="1"/>
  <c r="DG76" i="1"/>
  <c r="DF76" i="1"/>
  <c r="DE76" i="1"/>
  <c r="DD76" i="1"/>
  <c r="DB76" i="1"/>
  <c r="CH76" i="1"/>
  <c r="BI76" i="1" s="1"/>
  <c r="CF76" i="1"/>
  <c r="CD76" i="1"/>
  <c r="CC76" i="1"/>
  <c r="CB76" i="1"/>
  <c r="BV76" i="1"/>
  <c r="BU76" i="1"/>
  <c r="BT76" i="1"/>
  <c r="BH76" i="1"/>
  <c r="AE76" i="1"/>
  <c r="J76" i="1"/>
  <c r="DG215" i="1"/>
  <c r="DD215" i="1"/>
  <c r="DB215" i="1"/>
  <c r="CD215" i="1"/>
  <c r="CC215" i="1"/>
  <c r="CB215" i="1"/>
  <c r="BV215" i="1"/>
  <c r="BU215" i="1"/>
  <c r="BT215" i="1"/>
  <c r="BI215" i="1"/>
  <c r="BH215" i="1"/>
  <c r="AE215" i="1"/>
  <c r="J215" i="1"/>
  <c r="DG74" i="1"/>
  <c r="DD74" i="1"/>
  <c r="DB74" i="1"/>
  <c r="CD74" i="1"/>
  <c r="CC74" i="1"/>
  <c r="CB74" i="1"/>
  <c r="BV74" i="1"/>
  <c r="BU74" i="1"/>
  <c r="BT74" i="1"/>
  <c r="BI74" i="1"/>
  <c r="BH74" i="1"/>
  <c r="AE74" i="1"/>
  <c r="J74" i="1"/>
  <c r="DG73" i="1"/>
  <c r="DF73" i="1"/>
  <c r="DE73" i="1"/>
  <c r="DD73" i="1"/>
  <c r="DB73" i="1"/>
  <c r="CD73" i="1"/>
  <c r="CC73" i="1"/>
  <c r="CB73" i="1"/>
  <c r="BV73" i="1"/>
  <c r="BU73" i="1"/>
  <c r="BT73" i="1"/>
  <c r="BI73" i="1"/>
  <c r="BH73" i="1"/>
  <c r="AE73" i="1"/>
  <c r="J73" i="1"/>
  <c r="DG72" i="1"/>
  <c r="DF72" i="1"/>
  <c r="DE72" i="1"/>
  <c r="DD72" i="1"/>
  <c r="DB72" i="1"/>
  <c r="CD72" i="1"/>
  <c r="CC72" i="1"/>
  <c r="CB72" i="1"/>
  <c r="BV72" i="1"/>
  <c r="BU72" i="1"/>
  <c r="BT72" i="1"/>
  <c r="BI72" i="1"/>
  <c r="BH72" i="1"/>
  <c r="AE72" i="1"/>
  <c r="J72" i="1"/>
  <c r="DG71" i="1"/>
  <c r="DF71" i="1"/>
  <c r="DE71" i="1"/>
  <c r="DD71" i="1"/>
  <c r="DB71" i="1"/>
  <c r="CD71" i="1"/>
  <c r="CC71" i="1"/>
  <c r="CB71" i="1"/>
  <c r="BV71" i="1"/>
  <c r="BU71" i="1"/>
  <c r="BT71" i="1"/>
  <c r="BI71" i="1"/>
  <c r="BH71" i="1"/>
  <c r="AE71" i="1"/>
  <c r="J71" i="1"/>
  <c r="DG213" i="1"/>
  <c r="DD213" i="1"/>
  <c r="CD213" i="1"/>
  <c r="CC213" i="1"/>
  <c r="CB213" i="1"/>
  <c r="BV213" i="1"/>
  <c r="BU213" i="1"/>
  <c r="BT213" i="1"/>
  <c r="BI213" i="1"/>
  <c r="BH213" i="1"/>
  <c r="AE213" i="1"/>
  <c r="J213" i="1"/>
  <c r="DG209" i="1"/>
  <c r="DD209" i="1"/>
  <c r="DB209" i="1"/>
  <c r="CD209" i="1"/>
  <c r="CB209" i="1"/>
  <c r="BV209" i="1"/>
  <c r="BT209" i="1"/>
  <c r="BI209" i="1"/>
  <c r="BH209" i="1"/>
  <c r="AE209" i="1"/>
  <c r="J209" i="1"/>
  <c r="DG198" i="1"/>
  <c r="DD198" i="1"/>
  <c r="DB198" i="1"/>
  <c r="CD198" i="1"/>
  <c r="CC198" i="1"/>
  <c r="CB198" i="1"/>
  <c r="BV198" i="1"/>
  <c r="BU198" i="1"/>
  <c r="BT198" i="1"/>
  <c r="BI198" i="1"/>
  <c r="BH198" i="1"/>
  <c r="AE198" i="1"/>
  <c r="J198" i="1"/>
  <c r="DG193" i="1"/>
  <c r="DF193" i="1"/>
  <c r="DE193" i="1"/>
  <c r="DD193" i="1"/>
  <c r="DB193" i="1"/>
  <c r="CD193" i="1"/>
  <c r="CC193" i="1"/>
  <c r="CB193" i="1"/>
  <c r="BV193" i="1"/>
  <c r="BU193" i="1"/>
  <c r="BT193" i="1"/>
  <c r="AE193" i="1"/>
  <c r="J193" i="1"/>
  <c r="DG66" i="1"/>
  <c r="DF66" i="1"/>
  <c r="DE66" i="1"/>
  <c r="DD66" i="1"/>
  <c r="DB66" i="1"/>
  <c r="CD66" i="1"/>
  <c r="CC66" i="1"/>
  <c r="CB66" i="1"/>
  <c r="BV66" i="1"/>
  <c r="BU66" i="1"/>
  <c r="BT66" i="1"/>
  <c r="BI66" i="1"/>
  <c r="BH66" i="1"/>
  <c r="AE66" i="1"/>
  <c r="J66" i="1"/>
  <c r="DG174" i="1"/>
  <c r="DD174" i="1"/>
  <c r="DB174" i="1"/>
  <c r="CD174" i="1"/>
  <c r="CC174" i="1"/>
  <c r="CB174" i="1"/>
  <c r="BV174" i="1"/>
  <c r="BU174" i="1"/>
  <c r="BT174" i="1"/>
  <c r="BI174" i="1"/>
  <c r="BH174" i="1"/>
  <c r="AE174" i="1"/>
  <c r="J174" i="1"/>
  <c r="DG169" i="1"/>
  <c r="DF169" i="1"/>
  <c r="DE169" i="1"/>
  <c r="DD169" i="1"/>
  <c r="DB169" i="1"/>
  <c r="CN169" i="1"/>
  <c r="CL169" i="1"/>
  <c r="CK169" i="1"/>
  <c r="CI169" i="1"/>
  <c r="CH169" i="1"/>
  <c r="CF169" i="1"/>
  <c r="CD169" i="1"/>
  <c r="CC169" i="1"/>
  <c r="CB169" i="1"/>
  <c r="BV169" i="1"/>
  <c r="BU169" i="1"/>
  <c r="BT169" i="1"/>
  <c r="AE169" i="1"/>
  <c r="J169" i="1"/>
  <c r="DG166" i="1"/>
  <c r="DD166" i="1"/>
  <c r="DB166" i="1"/>
  <c r="CD166" i="1"/>
  <c r="CC166" i="1"/>
  <c r="CB166" i="1"/>
  <c r="BV166" i="1"/>
  <c r="BU166" i="1"/>
  <c r="BT166" i="1"/>
  <c r="BI166" i="1"/>
  <c r="BH166" i="1"/>
  <c r="AE166" i="1"/>
  <c r="J166" i="1"/>
  <c r="DG62" i="1"/>
  <c r="DF62" i="1"/>
  <c r="DE62" i="1"/>
  <c r="DD62" i="1"/>
  <c r="DB62" i="1"/>
  <c r="CD62" i="1"/>
  <c r="CC62" i="1"/>
  <c r="CB62" i="1"/>
  <c r="BV62" i="1"/>
  <c r="BU62" i="1"/>
  <c r="BT62" i="1"/>
  <c r="BI62" i="1"/>
  <c r="BH62" i="1"/>
  <c r="AE62" i="1"/>
  <c r="J62" i="1"/>
  <c r="DG150" i="1"/>
  <c r="DD150" i="1"/>
  <c r="DB150" i="1"/>
  <c r="CD150" i="1"/>
  <c r="CC150" i="1"/>
  <c r="CB150" i="1"/>
  <c r="BV150" i="1"/>
  <c r="BU150" i="1"/>
  <c r="BT150" i="1"/>
  <c r="BI150" i="1"/>
  <c r="BH150" i="1"/>
  <c r="AE150" i="1"/>
  <c r="J150" i="1"/>
  <c r="DG149" i="1"/>
  <c r="DF149" i="1"/>
  <c r="DE149" i="1"/>
  <c r="DD149" i="1"/>
  <c r="DB149" i="1"/>
  <c r="CD149" i="1"/>
  <c r="CC149" i="1"/>
  <c r="CB149" i="1"/>
  <c r="BV149" i="1"/>
  <c r="BU149" i="1"/>
  <c r="BT149" i="1"/>
  <c r="BI149" i="1"/>
  <c r="BH149" i="1"/>
  <c r="AE149" i="1"/>
  <c r="J149" i="1"/>
  <c r="DG147" i="1"/>
  <c r="DD147" i="1"/>
  <c r="DB147" i="1"/>
  <c r="CD147" i="1"/>
  <c r="CB147" i="1"/>
  <c r="BV147" i="1"/>
  <c r="BT147" i="1"/>
  <c r="BI147" i="1"/>
  <c r="BH147" i="1"/>
  <c r="AE147" i="1"/>
  <c r="J147" i="1"/>
  <c r="DG58" i="1"/>
  <c r="DD58" i="1"/>
  <c r="DB58" i="1"/>
  <c r="CD58" i="1"/>
  <c r="CC58" i="1"/>
  <c r="CB58" i="1"/>
  <c r="BV58" i="1"/>
  <c r="BU58" i="1"/>
  <c r="BT58" i="1"/>
  <c r="BI58" i="1"/>
  <c r="BH58" i="1"/>
  <c r="AE58" i="1"/>
  <c r="J58" i="1"/>
  <c r="DG141" i="1"/>
  <c r="DD141" i="1"/>
  <c r="DB141" i="1"/>
  <c r="CD141" i="1"/>
  <c r="CB141" i="1"/>
  <c r="BV141" i="1"/>
  <c r="BT141" i="1"/>
  <c r="BI141" i="1"/>
  <c r="BH141" i="1"/>
  <c r="AE141" i="1"/>
  <c r="J141" i="1"/>
  <c r="DG135" i="1"/>
  <c r="DF135" i="1"/>
  <c r="DE135" i="1"/>
  <c r="DD135" i="1"/>
  <c r="DB135" i="1"/>
  <c r="CN135" i="1"/>
  <c r="BI135" i="1" s="1"/>
  <c r="CL135" i="1"/>
  <c r="CK135" i="1"/>
  <c r="CI135" i="1"/>
  <c r="CF135" i="1"/>
  <c r="BH135" i="1" s="1"/>
  <c r="CD135" i="1"/>
  <c r="CC135" i="1"/>
  <c r="CB135" i="1"/>
  <c r="BV135" i="1"/>
  <c r="BU135" i="1"/>
  <c r="BT135" i="1"/>
  <c r="AE135" i="1"/>
  <c r="J135" i="1"/>
  <c r="DG55" i="1"/>
  <c r="DD55" i="1"/>
  <c r="DB55" i="1"/>
  <c r="CD55" i="1"/>
  <c r="CC55" i="1"/>
  <c r="CB55" i="1"/>
  <c r="BV55" i="1"/>
  <c r="BU55" i="1"/>
  <c r="BT55" i="1"/>
  <c r="BI55" i="1"/>
  <c r="BJ55" i="1" s="1"/>
  <c r="AE55" i="1"/>
  <c r="J55" i="1"/>
  <c r="DG54" i="1"/>
  <c r="DF54" i="1"/>
  <c r="DE54" i="1"/>
  <c r="DD54" i="1"/>
  <c r="DB54" i="1"/>
  <c r="CD54" i="1"/>
  <c r="CC54" i="1"/>
  <c r="CB54" i="1"/>
  <c r="BV54" i="1"/>
  <c r="BU54" i="1"/>
  <c r="BT54" i="1"/>
  <c r="BI54" i="1"/>
  <c r="BH54" i="1"/>
  <c r="AE54" i="1"/>
  <c r="J54" i="1"/>
  <c r="DG133" i="1"/>
  <c r="DF133" i="1"/>
  <c r="DE133" i="1"/>
  <c r="DD133" i="1"/>
  <c r="DB133" i="1"/>
  <c r="CN133" i="1"/>
  <c r="CL133" i="1"/>
  <c r="CK133" i="1"/>
  <c r="CI133" i="1"/>
  <c r="BH133" i="1" s="1"/>
  <c r="CH133" i="1"/>
  <c r="BI133" i="1" s="1"/>
  <c r="CF133" i="1"/>
  <c r="CD133" i="1"/>
  <c r="CC133" i="1"/>
  <c r="CB133" i="1"/>
  <c r="BV133" i="1"/>
  <c r="BU133" i="1"/>
  <c r="BT133" i="1"/>
  <c r="AE133" i="1"/>
  <c r="J133" i="1"/>
  <c r="DG52" i="1"/>
  <c r="DF52" i="1"/>
  <c r="DE52" i="1"/>
  <c r="DD52" i="1"/>
  <c r="DB52" i="1"/>
  <c r="CD52" i="1"/>
  <c r="CC52" i="1"/>
  <c r="CB52" i="1"/>
  <c r="BV52" i="1"/>
  <c r="BU52" i="1"/>
  <c r="BT52" i="1"/>
  <c r="BI52" i="1"/>
  <c r="BH52" i="1"/>
  <c r="AE52" i="1"/>
  <c r="J52" i="1"/>
  <c r="DG51" i="1"/>
  <c r="DF51" i="1"/>
  <c r="DE51" i="1"/>
  <c r="DD51" i="1"/>
  <c r="DB51" i="1"/>
  <c r="CD51" i="1"/>
  <c r="CC51" i="1"/>
  <c r="CB51" i="1"/>
  <c r="BV51" i="1"/>
  <c r="BU51" i="1"/>
  <c r="BT51" i="1"/>
  <c r="BI51" i="1"/>
  <c r="BH51" i="1"/>
  <c r="AE51" i="1"/>
  <c r="J51" i="1"/>
  <c r="DG50" i="1"/>
  <c r="DF50" i="1"/>
  <c r="DE50" i="1"/>
  <c r="DD50" i="1"/>
  <c r="DB50" i="1"/>
  <c r="CD50" i="1"/>
  <c r="CC50" i="1"/>
  <c r="CB50" i="1"/>
  <c r="BV50" i="1"/>
  <c r="BU50" i="1"/>
  <c r="BT50" i="1"/>
  <c r="BI50" i="1"/>
  <c r="BH50" i="1"/>
  <c r="AE50" i="1"/>
  <c r="J50" i="1"/>
  <c r="DG49" i="1"/>
  <c r="DF49" i="1"/>
  <c r="DE49" i="1"/>
  <c r="DD49" i="1"/>
  <c r="DB49" i="1"/>
  <c r="CD49" i="1"/>
  <c r="CC49" i="1"/>
  <c r="CB49" i="1"/>
  <c r="BV49" i="1"/>
  <c r="BU49" i="1"/>
  <c r="BT49" i="1"/>
  <c r="BI49" i="1"/>
  <c r="BH49" i="1"/>
  <c r="AE49" i="1"/>
  <c r="J49" i="1"/>
  <c r="DG132" i="1"/>
  <c r="DF132" i="1"/>
  <c r="DE132" i="1"/>
  <c r="DD132" i="1"/>
  <c r="DB132" i="1"/>
  <c r="CD132" i="1"/>
  <c r="CC132" i="1"/>
  <c r="CB132" i="1"/>
  <c r="BV132" i="1"/>
  <c r="BU132" i="1"/>
  <c r="BT132" i="1"/>
  <c r="BI132" i="1"/>
  <c r="BH132" i="1"/>
  <c r="AE132" i="1"/>
  <c r="J132" i="1"/>
  <c r="DG129" i="1"/>
  <c r="DF129" i="1"/>
  <c r="DE129" i="1"/>
  <c r="DD129" i="1"/>
  <c r="DB129" i="1"/>
  <c r="CD129" i="1"/>
  <c r="CC129" i="1"/>
  <c r="CB129" i="1"/>
  <c r="BV129" i="1"/>
  <c r="BU129" i="1"/>
  <c r="BT129" i="1"/>
  <c r="AE129" i="1"/>
  <c r="J129" i="1"/>
  <c r="DG46" i="1"/>
  <c r="DF46" i="1"/>
  <c r="DE46" i="1"/>
  <c r="DD46" i="1"/>
  <c r="DB46" i="1"/>
  <c r="CD46" i="1"/>
  <c r="CC46" i="1"/>
  <c r="CB46" i="1"/>
  <c r="BV46" i="1"/>
  <c r="BU46" i="1"/>
  <c r="BT46" i="1"/>
  <c r="BI46" i="1"/>
  <c r="BH46" i="1"/>
  <c r="AE46" i="1"/>
  <c r="J46" i="1"/>
  <c r="DG45" i="1"/>
  <c r="DF45" i="1"/>
  <c r="DE45" i="1"/>
  <c r="DD45" i="1"/>
  <c r="DB45" i="1"/>
  <c r="CD45" i="1"/>
  <c r="CC45" i="1"/>
  <c r="CB45" i="1"/>
  <c r="BV45" i="1"/>
  <c r="BU45" i="1"/>
  <c r="BT45" i="1"/>
  <c r="BI45" i="1"/>
  <c r="BH45" i="1"/>
  <c r="AE45" i="1"/>
  <c r="J45" i="1"/>
  <c r="DG44" i="1"/>
  <c r="DF44" i="1"/>
  <c r="DE44" i="1"/>
  <c r="DD44" i="1"/>
  <c r="DB44" i="1"/>
  <c r="CD44" i="1"/>
  <c r="CC44" i="1"/>
  <c r="CB44" i="1"/>
  <c r="BV44" i="1"/>
  <c r="BU44" i="1"/>
  <c r="BT44" i="1"/>
  <c r="BI44" i="1"/>
  <c r="BH44" i="1"/>
  <c r="AE44" i="1"/>
  <c r="J44" i="1"/>
  <c r="DG124" i="1"/>
  <c r="DF124" i="1"/>
  <c r="DE124" i="1"/>
  <c r="DD124" i="1"/>
  <c r="DB124" i="1"/>
  <c r="CD124" i="1"/>
  <c r="CC124" i="1"/>
  <c r="CB124" i="1"/>
  <c r="BV124" i="1"/>
  <c r="BU124" i="1"/>
  <c r="BT124" i="1"/>
  <c r="BI124" i="1"/>
  <c r="BH124" i="1"/>
  <c r="AE124" i="1"/>
  <c r="J124" i="1"/>
  <c r="DG42" i="1"/>
  <c r="DF42" i="1"/>
  <c r="DE42" i="1"/>
  <c r="DD42" i="1"/>
  <c r="DB42" i="1"/>
  <c r="CD42" i="1"/>
  <c r="CC42" i="1"/>
  <c r="CB42" i="1"/>
  <c r="BV42" i="1"/>
  <c r="BU42" i="1"/>
  <c r="BT42" i="1"/>
  <c r="BI42" i="1"/>
  <c r="BJ42" i="1" s="1"/>
  <c r="AE42" i="1"/>
  <c r="J42" i="1"/>
  <c r="DG121" i="1"/>
  <c r="DF121" i="1"/>
  <c r="DE121" i="1"/>
  <c r="DD121" i="1"/>
  <c r="DB121" i="1"/>
  <c r="CD121" i="1"/>
  <c r="CC121" i="1"/>
  <c r="CB121" i="1"/>
  <c r="BV121" i="1"/>
  <c r="BU121" i="1"/>
  <c r="BT121" i="1"/>
  <c r="AE121" i="1"/>
  <c r="J121" i="1"/>
  <c r="DG40" i="1"/>
  <c r="DF40" i="1"/>
  <c r="DE40" i="1"/>
  <c r="DD40" i="1"/>
  <c r="DB40" i="1"/>
  <c r="CD40" i="1"/>
  <c r="CC40" i="1"/>
  <c r="CB40" i="1"/>
  <c r="BV40" i="1"/>
  <c r="BU40" i="1"/>
  <c r="BT40" i="1"/>
  <c r="BI40" i="1"/>
  <c r="BH40" i="1"/>
  <c r="AE40" i="1"/>
  <c r="J40" i="1"/>
  <c r="DG39" i="1"/>
  <c r="DD39" i="1"/>
  <c r="DB39" i="1"/>
  <c r="CD39" i="1"/>
  <c r="CC39" i="1"/>
  <c r="CB39" i="1"/>
  <c r="BV39" i="1"/>
  <c r="BU39" i="1"/>
  <c r="BT39" i="1"/>
  <c r="BI39" i="1"/>
  <c r="BH39" i="1"/>
  <c r="AE39" i="1"/>
  <c r="J39" i="1"/>
  <c r="DG38" i="1"/>
  <c r="DF38" i="1"/>
  <c r="DE38" i="1"/>
  <c r="DD38" i="1"/>
  <c r="DB38" i="1"/>
  <c r="CD38" i="1"/>
  <c r="CC38" i="1"/>
  <c r="CB38" i="1"/>
  <c r="BV38" i="1"/>
  <c r="BU38" i="1"/>
  <c r="BT38" i="1"/>
  <c r="BI38" i="1"/>
  <c r="BH38" i="1"/>
  <c r="AE38" i="1"/>
  <c r="J38" i="1"/>
  <c r="DG95" i="1"/>
  <c r="DF95" i="1"/>
  <c r="DE95" i="1"/>
  <c r="DD95" i="1"/>
  <c r="DB95" i="1"/>
  <c r="CD95" i="1"/>
  <c r="CC95" i="1"/>
  <c r="CB95" i="1"/>
  <c r="BV95" i="1"/>
  <c r="BU95" i="1"/>
  <c r="BT95" i="1"/>
  <c r="AE95" i="1"/>
  <c r="J95" i="1"/>
  <c r="DG36" i="1"/>
  <c r="DF36" i="1"/>
  <c r="DE36" i="1"/>
  <c r="DD36" i="1"/>
  <c r="DB36" i="1"/>
  <c r="CD36" i="1"/>
  <c r="CC36" i="1"/>
  <c r="CB36" i="1"/>
  <c r="BV36" i="1"/>
  <c r="BU36" i="1"/>
  <c r="BT36" i="1"/>
  <c r="BI36" i="1"/>
  <c r="BH36" i="1"/>
  <c r="AE36" i="1"/>
  <c r="J36" i="1"/>
  <c r="DG35" i="1"/>
  <c r="DD35" i="1"/>
  <c r="DB35" i="1"/>
  <c r="CD35" i="1"/>
  <c r="CC35" i="1"/>
  <c r="CB35" i="1"/>
  <c r="BV35" i="1"/>
  <c r="BU35" i="1"/>
  <c r="BT35" i="1"/>
  <c r="BI35" i="1"/>
  <c r="BH35" i="1"/>
  <c r="AE35" i="1"/>
  <c r="J35" i="1"/>
  <c r="DG34" i="1"/>
  <c r="DF34" i="1"/>
  <c r="DE34" i="1"/>
  <c r="DD34" i="1"/>
  <c r="DB34" i="1"/>
  <c r="CD34" i="1"/>
  <c r="CC34" i="1"/>
  <c r="CB34" i="1"/>
  <c r="BV34" i="1"/>
  <c r="BU34" i="1"/>
  <c r="BT34" i="1"/>
  <c r="BI34" i="1"/>
  <c r="BH34" i="1"/>
  <c r="AE34" i="1"/>
  <c r="J34" i="1"/>
  <c r="DG33" i="1"/>
  <c r="DF33" i="1"/>
  <c r="DE33" i="1"/>
  <c r="DD33" i="1"/>
  <c r="DB33" i="1"/>
  <c r="CD33" i="1"/>
  <c r="CC33" i="1"/>
  <c r="CB33" i="1"/>
  <c r="BV33" i="1"/>
  <c r="BU33" i="1"/>
  <c r="BT33" i="1"/>
  <c r="BI33" i="1"/>
  <c r="BH33" i="1"/>
  <c r="AE33" i="1"/>
  <c r="J33" i="1"/>
  <c r="DG83" i="1"/>
  <c r="DD83" i="1"/>
  <c r="DB83" i="1"/>
  <c r="CD83" i="1"/>
  <c r="CC83" i="1"/>
  <c r="CB83" i="1"/>
  <c r="BV83" i="1"/>
  <c r="BU83" i="1"/>
  <c r="BT83" i="1"/>
  <c r="BI83" i="1"/>
  <c r="BH83" i="1"/>
  <c r="AE83" i="1"/>
  <c r="J83" i="1"/>
  <c r="DG78" i="1"/>
  <c r="DF78" i="1"/>
  <c r="DE78" i="1"/>
  <c r="DD78" i="1"/>
  <c r="DB78" i="1"/>
  <c r="CD78" i="1"/>
  <c r="CC78" i="1"/>
  <c r="CB78" i="1"/>
  <c r="BV78" i="1"/>
  <c r="BU78" i="1"/>
  <c r="BT78" i="1"/>
  <c r="BI78" i="1"/>
  <c r="BH78" i="1"/>
  <c r="AE78" i="1"/>
  <c r="J78" i="1"/>
  <c r="DG30" i="1"/>
  <c r="DF30" i="1"/>
  <c r="DE30" i="1"/>
  <c r="DD30" i="1"/>
  <c r="DB30" i="1"/>
  <c r="CH30" i="1"/>
  <c r="BI30" i="1" s="1"/>
  <c r="CF30" i="1"/>
  <c r="CD30" i="1"/>
  <c r="CC30" i="1"/>
  <c r="CB30" i="1"/>
  <c r="BV30" i="1"/>
  <c r="BU30" i="1"/>
  <c r="BT30" i="1"/>
  <c r="BH30" i="1"/>
  <c r="AE30" i="1"/>
  <c r="J30" i="1"/>
  <c r="DG61" i="1"/>
  <c r="DD61" i="1"/>
  <c r="DB61" i="1"/>
  <c r="CD61" i="1"/>
  <c r="CC61" i="1"/>
  <c r="CB61" i="1"/>
  <c r="BV61" i="1"/>
  <c r="BU61" i="1"/>
  <c r="BT61" i="1"/>
  <c r="BI61" i="1"/>
  <c r="BH61" i="1"/>
  <c r="AE61" i="1"/>
  <c r="J61" i="1"/>
  <c r="DG28" i="1"/>
  <c r="DF28" i="1"/>
  <c r="DE28" i="1"/>
  <c r="DD28" i="1"/>
  <c r="DB28" i="1"/>
  <c r="CD28" i="1"/>
  <c r="CC28" i="1"/>
  <c r="CB28" i="1"/>
  <c r="BV28" i="1"/>
  <c r="BU28" i="1"/>
  <c r="BT28" i="1"/>
  <c r="BI28" i="1"/>
  <c r="BH28" i="1"/>
  <c r="AE28" i="1"/>
  <c r="J28" i="1"/>
  <c r="DG432" i="1"/>
  <c r="DD432" i="1"/>
  <c r="DB432" i="1"/>
  <c r="CD432" i="1"/>
  <c r="CB432" i="1"/>
  <c r="BV432" i="1"/>
  <c r="BT432" i="1"/>
  <c r="BI432" i="1"/>
  <c r="BH432" i="1"/>
  <c r="AE432" i="1"/>
  <c r="J432" i="1"/>
  <c r="DG26" i="1"/>
  <c r="DF26" i="1"/>
  <c r="DE26" i="1"/>
  <c r="DD26" i="1"/>
  <c r="DB26" i="1"/>
  <c r="CD26" i="1"/>
  <c r="CC26" i="1"/>
  <c r="CB26" i="1"/>
  <c r="BV26" i="1"/>
  <c r="BU26" i="1"/>
  <c r="BT26" i="1"/>
  <c r="BI26" i="1"/>
  <c r="BH26" i="1"/>
  <c r="AE26" i="1"/>
  <c r="J26" i="1"/>
  <c r="DG25" i="1"/>
  <c r="DF25" i="1"/>
  <c r="DE25" i="1"/>
  <c r="DD25" i="1"/>
  <c r="DB25" i="1"/>
  <c r="CD25" i="1"/>
  <c r="CC25" i="1"/>
  <c r="CB25" i="1"/>
  <c r="BV25" i="1"/>
  <c r="BU25" i="1"/>
  <c r="BT25" i="1"/>
  <c r="BI25" i="1"/>
  <c r="BH25" i="1"/>
  <c r="AE25" i="1"/>
  <c r="J25" i="1"/>
  <c r="DG439" i="1"/>
  <c r="DD439" i="1"/>
  <c r="DB439" i="1"/>
  <c r="CH439" i="1"/>
  <c r="BI439" i="1" s="1"/>
  <c r="CF439" i="1"/>
  <c r="CD439" i="1"/>
  <c r="CC439" i="1"/>
  <c r="CB439" i="1"/>
  <c r="BV439" i="1"/>
  <c r="BU439" i="1"/>
  <c r="BT439" i="1"/>
  <c r="BH439" i="1"/>
  <c r="AE439" i="1"/>
  <c r="J439" i="1"/>
  <c r="DG283" i="1"/>
  <c r="DD283" i="1"/>
  <c r="DB283" i="1"/>
  <c r="CH283" i="1"/>
  <c r="BI283" i="1" s="1"/>
  <c r="CF283" i="1"/>
  <c r="CD283" i="1"/>
  <c r="CC283" i="1"/>
  <c r="CB283" i="1"/>
  <c r="BV283" i="1"/>
  <c r="BU283" i="1"/>
  <c r="BT283" i="1"/>
  <c r="BH283" i="1"/>
  <c r="AE283" i="1"/>
  <c r="J283" i="1"/>
  <c r="DG41" i="1"/>
  <c r="DD41" i="1"/>
  <c r="DB41" i="1"/>
  <c r="CH41" i="1"/>
  <c r="BI41" i="1" s="1"/>
  <c r="CF41" i="1"/>
  <c r="CD41" i="1"/>
  <c r="CC41" i="1"/>
  <c r="CB41" i="1"/>
  <c r="BV41" i="1"/>
  <c r="BU41" i="1"/>
  <c r="BT41" i="1"/>
  <c r="BH41" i="1"/>
  <c r="AE41" i="1"/>
  <c r="J41" i="1"/>
  <c r="DG27" i="1"/>
  <c r="DD27" i="1"/>
  <c r="DB27" i="1"/>
  <c r="CD27" i="1"/>
  <c r="CC27" i="1"/>
  <c r="CB27" i="1"/>
  <c r="BV27" i="1"/>
  <c r="BU27" i="1"/>
  <c r="BT27" i="1"/>
  <c r="BI27" i="1"/>
  <c r="BH27" i="1"/>
  <c r="AE27" i="1"/>
  <c r="J27" i="1"/>
  <c r="DG22" i="1"/>
  <c r="DD22" i="1"/>
  <c r="DB22" i="1"/>
  <c r="CK22" i="1"/>
  <c r="CI22" i="1"/>
  <c r="CF22" i="1"/>
  <c r="BH22" i="1" s="1"/>
  <c r="CD22" i="1"/>
  <c r="CC22" i="1"/>
  <c r="DF22" i="1" s="1"/>
  <c r="CB22" i="1"/>
  <c r="BV22" i="1"/>
  <c r="BU22" i="1"/>
  <c r="DE22" i="1" s="1"/>
  <c r="BT22" i="1"/>
  <c r="BI22" i="1"/>
  <c r="AE22" i="1"/>
  <c r="J22" i="1"/>
  <c r="DG19" i="1"/>
  <c r="DD19" i="1"/>
  <c r="CD19" i="1"/>
  <c r="CC19" i="1"/>
  <c r="CB19" i="1"/>
  <c r="BV19" i="1"/>
  <c r="BU19" i="1"/>
  <c r="BT19" i="1"/>
  <c r="BI19" i="1"/>
  <c r="BH19" i="1"/>
  <c r="AE19" i="1"/>
  <c r="J19" i="1"/>
  <c r="DG18" i="1"/>
  <c r="DF18" i="1"/>
  <c r="DE18" i="1"/>
  <c r="DD18" i="1"/>
  <c r="DB18" i="1"/>
  <c r="CD18" i="1"/>
  <c r="CC18" i="1"/>
  <c r="CB18" i="1"/>
  <c r="BV18" i="1"/>
  <c r="BU18" i="1"/>
  <c r="BT18" i="1"/>
  <c r="BI18" i="1"/>
  <c r="BH18" i="1"/>
  <c r="AE18" i="1"/>
  <c r="J18" i="1"/>
  <c r="DG17" i="1"/>
  <c r="DF17" i="1"/>
  <c r="DE17" i="1"/>
  <c r="DD17" i="1"/>
  <c r="DB17" i="1"/>
  <c r="CD17" i="1"/>
  <c r="CC17" i="1"/>
  <c r="CB17" i="1"/>
  <c r="BV17" i="1"/>
  <c r="BU17" i="1"/>
  <c r="BT17" i="1"/>
  <c r="BI17" i="1"/>
  <c r="BH17" i="1"/>
  <c r="BJ17" i="1" s="1"/>
  <c r="AE17" i="1"/>
  <c r="J17" i="1"/>
  <c r="DG16" i="1"/>
  <c r="DF16" i="1"/>
  <c r="DE16" i="1"/>
  <c r="DD16" i="1"/>
  <c r="DB16" i="1"/>
  <c r="CD16" i="1"/>
  <c r="CC16" i="1"/>
  <c r="CB16" i="1"/>
  <c r="BV16" i="1"/>
  <c r="BU16" i="1"/>
  <c r="BT16" i="1"/>
  <c r="BI16" i="1"/>
  <c r="BH16" i="1"/>
  <c r="AE16" i="1"/>
  <c r="J16" i="1"/>
  <c r="DG15" i="1"/>
  <c r="DF15" i="1"/>
  <c r="DE15" i="1"/>
  <c r="DD15" i="1"/>
  <c r="DB15" i="1"/>
  <c r="CD15" i="1"/>
  <c r="CB15" i="1"/>
  <c r="BV15" i="1"/>
  <c r="BT15" i="1"/>
  <c r="BI15" i="1"/>
  <c r="BH15" i="1"/>
  <c r="AE15" i="1"/>
  <c r="J15" i="1"/>
  <c r="DG363" i="1"/>
  <c r="DF363" i="1"/>
  <c r="DE363" i="1"/>
  <c r="DD363" i="1"/>
  <c r="DB363" i="1"/>
  <c r="CD363" i="1"/>
  <c r="CC363" i="1"/>
  <c r="CB363" i="1"/>
  <c r="BV363" i="1"/>
  <c r="BU363" i="1"/>
  <c r="BT363" i="1"/>
  <c r="BI363" i="1"/>
  <c r="BH363" i="1"/>
  <c r="AE363" i="1"/>
  <c r="J363" i="1"/>
  <c r="DG13" i="1"/>
  <c r="DF13" i="1"/>
  <c r="DE13" i="1"/>
  <c r="DD13" i="1"/>
  <c r="CD13" i="1"/>
  <c r="CC13" i="1"/>
  <c r="CB13" i="1"/>
  <c r="BV13" i="1"/>
  <c r="BU13" i="1"/>
  <c r="BT13" i="1"/>
  <c r="AE13" i="1"/>
  <c r="J13" i="1"/>
  <c r="DM11" i="1"/>
  <c r="DH11" i="1"/>
  <c r="F11" i="1"/>
  <c r="E11" i="1"/>
  <c r="D11" i="1"/>
  <c r="BJ38" i="1" l="1"/>
  <c r="BJ286" i="1"/>
  <c r="DE286" i="1" s="1"/>
  <c r="BJ76" i="1"/>
  <c r="BA491" i="1"/>
  <c r="BJ374" i="1"/>
  <c r="BJ25" i="1"/>
  <c r="BJ410" i="1"/>
  <c r="BJ104" i="1"/>
  <c r="BJ137" i="1"/>
  <c r="DE137" i="1" s="1"/>
  <c r="BJ175" i="1"/>
  <c r="BJ91" i="1"/>
  <c r="DE91" i="1" s="1"/>
  <c r="BJ185" i="1"/>
  <c r="DF185" i="1" s="1"/>
  <c r="BJ338" i="1"/>
  <c r="DF338" i="1" s="1"/>
  <c r="BJ375" i="1"/>
  <c r="BJ366" i="1"/>
  <c r="DE366" i="1" s="1"/>
  <c r="BJ378" i="1"/>
  <c r="BJ430" i="1"/>
  <c r="BJ349" i="1"/>
  <c r="DE349" i="1" s="1"/>
  <c r="BJ362" i="1"/>
  <c r="BJ303" i="1"/>
  <c r="BJ443" i="1"/>
  <c r="DE443" i="1" s="1"/>
  <c r="BJ107" i="1"/>
  <c r="BJ301" i="1"/>
  <c r="AR491" i="1"/>
  <c r="BL445" i="1"/>
  <c r="BJ372" i="1"/>
  <c r="DF372" i="1" s="1"/>
  <c r="BJ289" i="1"/>
  <c r="BJ376" i="1"/>
  <c r="BJ334" i="1"/>
  <c r="DF334" i="1" s="1"/>
  <c r="BJ189" i="1"/>
  <c r="BJ191" i="1"/>
  <c r="BJ261" i="1"/>
  <c r="DF261" i="1" s="1"/>
  <c r="BJ37" i="1"/>
  <c r="DF37" i="1" s="1"/>
  <c r="BJ370" i="1"/>
  <c r="BJ381" i="1"/>
  <c r="BJ18" i="1"/>
  <c r="BJ26" i="1"/>
  <c r="BJ81" i="1"/>
  <c r="BJ272" i="1"/>
  <c r="DE272" i="1" s="1"/>
  <c r="BJ242" i="1"/>
  <c r="BJ24" i="1"/>
  <c r="BJ43" i="1"/>
  <c r="DF43" i="1" s="1"/>
  <c r="BJ331" i="1"/>
  <c r="BJ332" i="1"/>
  <c r="BJ359" i="1"/>
  <c r="BJ364" i="1"/>
  <c r="BJ365" i="1"/>
  <c r="BJ396" i="1"/>
  <c r="DE396" i="1" s="1"/>
  <c r="BJ163" i="1"/>
  <c r="BJ280" i="1"/>
  <c r="BJ221" i="1"/>
  <c r="BJ218" i="1"/>
  <c r="BJ86" i="1"/>
  <c r="BJ186" i="1"/>
  <c r="DF186" i="1" s="1"/>
  <c r="BJ196" i="1"/>
  <c r="BJ278" i="1"/>
  <c r="BJ28" i="1"/>
  <c r="BJ147" i="1"/>
  <c r="DF147" i="1" s="1"/>
  <c r="BJ74" i="1"/>
  <c r="DF74" i="1" s="1"/>
  <c r="BJ284" i="1"/>
  <c r="BJ94" i="1"/>
  <c r="BJ114" i="1"/>
  <c r="BJ401" i="1"/>
  <c r="BJ459" i="1"/>
  <c r="BJ200" i="1"/>
  <c r="BJ154" i="1"/>
  <c r="BJ177" i="1"/>
  <c r="BJ32" i="1"/>
  <c r="DE32" i="1" s="1"/>
  <c r="BJ279" i="1"/>
  <c r="BJ468" i="1"/>
  <c r="BJ97" i="1"/>
  <c r="BJ363" i="1"/>
  <c r="BJ78" i="1"/>
  <c r="BJ44" i="1"/>
  <c r="BJ50" i="1"/>
  <c r="BJ58" i="1"/>
  <c r="DF58" i="1" s="1"/>
  <c r="BJ149" i="1"/>
  <c r="BJ71" i="1"/>
  <c r="BJ315" i="1"/>
  <c r="DE315" i="1" s="1"/>
  <c r="BJ120" i="1"/>
  <c r="BJ161" i="1"/>
  <c r="BJ180" i="1"/>
  <c r="AX491" i="1"/>
  <c r="BJ183" i="1"/>
  <c r="BJ195" i="1"/>
  <c r="BJ112" i="1"/>
  <c r="DE112" i="1" s="1"/>
  <c r="AW491" i="1"/>
  <c r="BJ109" i="1"/>
  <c r="BJ450" i="1"/>
  <c r="BJ49" i="1"/>
  <c r="BJ445" i="1"/>
  <c r="BJ438" i="1"/>
  <c r="BJ96" i="1"/>
  <c r="DE96" i="1" s="1"/>
  <c r="BJ275" i="1"/>
  <c r="BJ441" i="1"/>
  <c r="BJ75" i="1"/>
  <c r="BJ93" i="1"/>
  <c r="BJ230" i="1"/>
  <c r="BJ246" i="1"/>
  <c r="BJ425" i="1"/>
  <c r="DE425" i="1" s="1"/>
  <c r="BJ251" i="1"/>
  <c r="BJ395" i="1"/>
  <c r="BR445" i="1"/>
  <c r="BJ181" i="1"/>
  <c r="BJ454" i="1"/>
  <c r="DE454" i="1" s="1"/>
  <c r="BJ385" i="1"/>
  <c r="BJ386" i="1"/>
  <c r="BJ388" i="1"/>
  <c r="BJ61" i="1"/>
  <c r="DF61" i="1" s="1"/>
  <c r="BJ33" i="1"/>
  <c r="BJ236" i="1"/>
  <c r="BJ486" i="1"/>
  <c r="DF486" i="1" s="1"/>
  <c r="BJ305" i="1"/>
  <c r="BJ393" i="1"/>
  <c r="BJ52" i="1"/>
  <c r="BJ216" i="1"/>
  <c r="DF216" i="1" s="1"/>
  <c r="BJ131" i="1"/>
  <c r="BJ471" i="1"/>
  <c r="DF471" i="1" s="1"/>
  <c r="BJ157" i="1"/>
  <c r="CA469" i="1"/>
  <c r="BJ202" i="1"/>
  <c r="BJ239" i="1"/>
  <c r="BJ256" i="1"/>
  <c r="DE256" i="1" s="1"/>
  <c r="BJ125" i="1"/>
  <c r="DE125" i="1" s="1"/>
  <c r="BJ448" i="1"/>
  <c r="BJ312" i="1"/>
  <c r="BJ313" i="1"/>
  <c r="BJ291" i="1"/>
  <c r="DF291" i="1" s="1"/>
  <c r="BJ351" i="1"/>
  <c r="BJ352" i="1"/>
  <c r="BJ353" i="1"/>
  <c r="BJ354" i="1"/>
  <c r="DF354" i="1" s="1"/>
  <c r="BJ488" i="1"/>
  <c r="DE488" i="1" s="1"/>
  <c r="BB491" i="1"/>
  <c r="BJ15" i="1"/>
  <c r="BJ133" i="1"/>
  <c r="BJ141" i="1"/>
  <c r="DF141" i="1" s="1"/>
  <c r="BJ62" i="1"/>
  <c r="BJ174" i="1"/>
  <c r="DF174" i="1" s="1"/>
  <c r="BJ198" i="1"/>
  <c r="DE198" i="1" s="1"/>
  <c r="BJ213" i="1"/>
  <c r="DF213" i="1" s="1"/>
  <c r="BJ80" i="1"/>
  <c r="BJ90" i="1"/>
  <c r="BJ290" i="1"/>
  <c r="BJ98" i="1"/>
  <c r="BJ110" i="1"/>
  <c r="BJ415" i="1"/>
  <c r="DF415" i="1" s="1"/>
  <c r="BJ152" i="1"/>
  <c r="BJ263" i="1"/>
  <c r="BJ264" i="1"/>
  <c r="BJ84" i="1"/>
  <c r="BJ271" i="1"/>
  <c r="BJ318" i="1"/>
  <c r="BJ320" i="1"/>
  <c r="BJ397" i="1"/>
  <c r="BJ402" i="1"/>
  <c r="DF402" i="1" s="1"/>
  <c r="BJ408" i="1"/>
  <c r="BJ413" i="1"/>
  <c r="BJ237" i="1"/>
  <c r="BJ260" i="1"/>
  <c r="BJ340" i="1"/>
  <c r="BJ341" i="1"/>
  <c r="BJ361" i="1"/>
  <c r="BJ399" i="1"/>
  <c r="BJ432" i="1"/>
  <c r="DE432" i="1" s="1"/>
  <c r="BJ83" i="1"/>
  <c r="DF83" i="1" s="1"/>
  <c r="BJ36" i="1"/>
  <c r="BJ40" i="1"/>
  <c r="BJ45" i="1"/>
  <c r="BJ51" i="1"/>
  <c r="BJ105" i="1"/>
  <c r="DF105" i="1" s="1"/>
  <c r="BJ127" i="1"/>
  <c r="BJ159" i="1"/>
  <c r="BJ176" i="1"/>
  <c r="BJ199" i="1"/>
  <c r="BJ350" i="1"/>
  <c r="BJ222" i="1"/>
  <c r="DF222" i="1" s="1"/>
  <c r="BJ14" i="1"/>
  <c r="DF14" i="1" s="1"/>
  <c r="BJ235" i="1"/>
  <c r="BJ47" i="1"/>
  <c r="DE47" i="1" s="1"/>
  <c r="BJ122" i="1"/>
  <c r="DF122" i="1" s="1"/>
  <c r="BJ298" i="1"/>
  <c r="BJ475" i="1"/>
  <c r="DF475" i="1" s="1"/>
  <c r="BJ288" i="1"/>
  <c r="BJ355" i="1"/>
  <c r="BJ456" i="1"/>
  <c r="DF456" i="1" s="1"/>
  <c r="BJ392" i="1"/>
  <c r="BJ409" i="1"/>
  <c r="BJ411" i="1"/>
  <c r="DF411" i="1" s="1"/>
  <c r="BJ207" i="1"/>
  <c r="CA171" i="1"/>
  <c r="BJ419" i="1"/>
  <c r="DF419" i="1" s="1"/>
  <c r="BJ241" i="1"/>
  <c r="BJ53" i="1"/>
  <c r="DF53" i="1" s="1"/>
  <c r="BJ276" i="1"/>
  <c r="BJ302" i="1"/>
  <c r="BJ369" i="1"/>
  <c r="BJ373" i="1"/>
  <c r="BJ380" i="1"/>
  <c r="BJ30" i="1"/>
  <c r="BJ16" i="1"/>
  <c r="BJ22" i="1"/>
  <c r="BJ39" i="1"/>
  <c r="DF39" i="1" s="1"/>
  <c r="BJ132" i="1"/>
  <c r="BJ417" i="1"/>
  <c r="DF417" i="1" s="1"/>
  <c r="BJ466" i="1"/>
  <c r="DF466" i="1" s="1"/>
  <c r="BJ470" i="1"/>
  <c r="DF470" i="1" s="1"/>
  <c r="BJ168" i="1"/>
  <c r="BJ23" i="1"/>
  <c r="BJ206" i="1"/>
  <c r="BJ250" i="1"/>
  <c r="DE250" i="1" s="1"/>
  <c r="BJ258" i="1"/>
  <c r="DE258" i="1" s="1"/>
  <c r="BJ115" i="1"/>
  <c r="DE115" i="1" s="1"/>
  <c r="BJ307" i="1"/>
  <c r="DF307" i="1" s="1"/>
  <c r="BJ345" i="1"/>
  <c r="BJ346" i="1"/>
  <c r="BJ347" i="1"/>
  <c r="BJ330" i="1"/>
  <c r="DE330" i="1" s="1"/>
  <c r="BJ371" i="1"/>
  <c r="CA274" i="1"/>
  <c r="BS274" i="1"/>
  <c r="DF248" i="1"/>
  <c r="DE248" i="1"/>
  <c r="DE190" i="1"/>
  <c r="DF190" i="1"/>
  <c r="BJ66" i="1"/>
  <c r="BJ209" i="1"/>
  <c r="DF209" i="1" s="1"/>
  <c r="DF286" i="1"/>
  <c r="BJ126" i="1"/>
  <c r="BJ452" i="1"/>
  <c r="DF452" i="1" s="1"/>
  <c r="BL29" i="1"/>
  <c r="BJ156" i="1"/>
  <c r="BJ160" i="1"/>
  <c r="BJ164" i="1"/>
  <c r="BJ274" i="1"/>
  <c r="BJ178" i="1"/>
  <c r="BS186" i="1"/>
  <c r="BJ480" i="1"/>
  <c r="DF480" i="1" s="1"/>
  <c r="BJ329" i="1"/>
  <c r="BJ223" i="1"/>
  <c r="BJ224" i="1"/>
  <c r="DF224" i="1" s="1"/>
  <c r="BJ255" i="1"/>
  <c r="BJ262" i="1"/>
  <c r="BJ269" i="1"/>
  <c r="BJ254" i="1"/>
  <c r="BJ299" i="1"/>
  <c r="BJ317" i="1"/>
  <c r="BJ462" i="1"/>
  <c r="DF462" i="1" s="1"/>
  <c r="AT491" i="1"/>
  <c r="BE491" i="1"/>
  <c r="BJ19" i="1"/>
  <c r="DF19" i="1" s="1"/>
  <c r="BJ124" i="1"/>
  <c r="BJ215" i="1"/>
  <c r="DF215" i="1" s="1"/>
  <c r="BJ243" i="1"/>
  <c r="DF243" i="1" s="1"/>
  <c r="BJ464" i="1"/>
  <c r="BR29" i="1"/>
  <c r="BJ155" i="1"/>
  <c r="BJ179" i="1"/>
  <c r="BJ238" i="1"/>
  <c r="BJ113" i="1"/>
  <c r="BJ310" i="1"/>
  <c r="BJ287" i="1"/>
  <c r="DF287" i="1" s="1"/>
  <c r="BJ384" i="1"/>
  <c r="DE384" i="1" s="1"/>
  <c r="BJ247" i="1"/>
  <c r="BJ390" i="1"/>
  <c r="BJ414" i="1"/>
  <c r="AS491" i="1"/>
  <c r="BD491" i="1"/>
  <c r="AV491" i="1"/>
  <c r="BF491" i="1"/>
  <c r="BJ166" i="1"/>
  <c r="DF166" i="1" s="1"/>
  <c r="BJ197" i="1"/>
  <c r="BJ101" i="1"/>
  <c r="BJ220" i="1"/>
  <c r="BJ231" i="1"/>
  <c r="BJ232" i="1"/>
  <c r="BJ233" i="1"/>
  <c r="BJ234" i="1"/>
  <c r="BJ244" i="1"/>
  <c r="BJ57" i="1"/>
  <c r="DF57" i="1" s="1"/>
  <c r="BJ259" i="1"/>
  <c r="BJ265" i="1"/>
  <c r="BJ266" i="1"/>
  <c r="BJ267" i="1"/>
  <c r="BJ79" i="1"/>
  <c r="DF79" i="1" s="1"/>
  <c r="BJ277" i="1"/>
  <c r="BJ123" i="1"/>
  <c r="DF123" i="1" s="1"/>
  <c r="BJ146" i="1"/>
  <c r="DF146" i="1" s="1"/>
  <c r="BJ210" i="1"/>
  <c r="DF210" i="1" s="1"/>
  <c r="BJ319" i="1"/>
  <c r="BJ426" i="1"/>
  <c r="DE426" i="1" s="1"/>
  <c r="BJ227" i="1"/>
  <c r="BJ228" i="1"/>
  <c r="BJ481" i="1"/>
  <c r="DE481" i="1" s="1"/>
  <c r="BJ165" i="1"/>
  <c r="DE165" i="1" s="1"/>
  <c r="BJ270" i="1"/>
  <c r="BJ322" i="1"/>
  <c r="BJ323" i="1"/>
  <c r="BJ360" i="1"/>
  <c r="BJ382" i="1"/>
  <c r="BJ383" i="1"/>
  <c r="BJ333" i="1"/>
  <c r="DF333" i="1" s="1"/>
  <c r="BJ64" i="1"/>
  <c r="BJ420" i="1"/>
  <c r="BS196" i="1"/>
  <c r="BJ27" i="1"/>
  <c r="DF27" i="1" s="1"/>
  <c r="BJ35" i="1"/>
  <c r="DE35" i="1" s="1"/>
  <c r="BJ54" i="1"/>
  <c r="BJ73" i="1"/>
  <c r="BJ88" i="1"/>
  <c r="BJ111" i="1"/>
  <c r="BJ130" i="1"/>
  <c r="BJ476" i="1"/>
  <c r="BJ170" i="1"/>
  <c r="BJ184" i="1"/>
  <c r="BJ173" i="1"/>
  <c r="BJ192" i="1"/>
  <c r="BJ204" i="1"/>
  <c r="BJ153" i="1"/>
  <c r="DE153" i="1" s="1"/>
  <c r="BJ31" i="1"/>
  <c r="DF31" i="1" s="1"/>
  <c r="BJ311" i="1"/>
  <c r="BJ326" i="1"/>
  <c r="BJ327" i="1"/>
  <c r="BJ328" i="1"/>
  <c r="BJ296" i="1"/>
  <c r="DE296" i="1" s="1"/>
  <c r="BJ339" i="1"/>
  <c r="BJ357" i="1"/>
  <c r="BJ368" i="1"/>
  <c r="BJ412" i="1"/>
  <c r="DF412" i="1" s="1"/>
  <c r="BJ172" i="1"/>
  <c r="DE172" i="1" s="1"/>
  <c r="BJ187" i="1"/>
  <c r="BJ439" i="1"/>
  <c r="DF439" i="1" s="1"/>
  <c r="BJ34" i="1"/>
  <c r="BJ46" i="1"/>
  <c r="BJ150" i="1"/>
  <c r="DF150" i="1" s="1"/>
  <c r="BJ72" i="1"/>
  <c r="BJ219" i="1"/>
  <c r="DE219" i="1" s="1"/>
  <c r="BJ249" i="1"/>
  <c r="BJ87" i="1"/>
  <c r="BJ119" i="1"/>
  <c r="BJ56" i="1"/>
  <c r="BJ212" i="1"/>
  <c r="BJ117" i="1"/>
  <c r="DE117" i="1" s="1"/>
  <c r="BJ321" i="1"/>
  <c r="BJ424" i="1"/>
  <c r="DF424" i="1" s="1"/>
  <c r="BJ342" i="1"/>
  <c r="BJ343" i="1"/>
  <c r="BJ389" i="1"/>
  <c r="DF389" i="1" s="1"/>
  <c r="BJ391" i="1"/>
  <c r="BJ128" i="1"/>
  <c r="AZ491" i="1"/>
  <c r="BJ283" i="1"/>
  <c r="K2" i="4"/>
  <c r="K2" i="3"/>
  <c r="BJ226" i="1"/>
  <c r="BJ41" i="1"/>
  <c r="DF400" i="1"/>
  <c r="DE400" i="1"/>
  <c r="DE55" i="1"/>
  <c r="DF55" i="1"/>
  <c r="CA106" i="1"/>
  <c r="BS106" i="1"/>
  <c r="BJ77" i="1"/>
  <c r="BJ135" i="1"/>
  <c r="DF450" i="1"/>
  <c r="DE450" i="1"/>
  <c r="BU490" i="1"/>
  <c r="F261" i="2" s="1"/>
  <c r="BJ285" i="1"/>
  <c r="BH472" i="1"/>
  <c r="BJ472" i="1" s="1"/>
  <c r="BK490" i="1"/>
  <c r="BJ162" i="1"/>
  <c r="BL188" i="1"/>
  <c r="BJ188" i="1"/>
  <c r="BJ205" i="1"/>
  <c r="BJ295" i="1"/>
  <c r="DF281" i="1"/>
  <c r="DE281" i="1"/>
  <c r="BJ348" i="1"/>
  <c r="BH367" i="1"/>
  <c r="BJ367" i="1" s="1"/>
  <c r="BJ485" i="1"/>
  <c r="BJ403" i="1"/>
  <c r="CD409" i="1"/>
  <c r="BV409" i="1"/>
  <c r="CB490" i="1"/>
  <c r="BJ89" i="1"/>
  <c r="BJ158" i="1"/>
  <c r="BS160" i="1"/>
  <c r="BS56" i="1"/>
  <c r="CA438" i="1"/>
  <c r="BS438" i="1"/>
  <c r="DF454" i="1"/>
  <c r="CK140" i="1"/>
  <c r="BI140" i="1" s="1"/>
  <c r="BJ398" i="1"/>
  <c r="A76" i="3"/>
  <c r="A77" i="3"/>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66" i="3"/>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165" i="3"/>
  <c r="BL69" i="1"/>
  <c r="BJ69" i="1"/>
  <c r="BL102" i="1"/>
  <c r="BJ102" i="1"/>
  <c r="BJ100" i="1"/>
  <c r="CA528" i="1"/>
  <c r="BS528" i="1"/>
  <c r="CU223" i="5"/>
  <c r="CT223" i="5"/>
  <c r="DF394" i="1"/>
  <c r="DE394" i="1"/>
  <c r="BS60" i="1"/>
  <c r="BJ60" i="1"/>
  <c r="BL173" i="1"/>
  <c r="DF416" i="1"/>
  <c r="DE416" i="1"/>
  <c r="BJ48" i="1"/>
  <c r="K4" i="2"/>
  <c r="F256" i="2"/>
  <c r="F265" i="2" s="1"/>
  <c r="K246" i="2" s="1"/>
  <c r="A138" i="4"/>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137" i="4"/>
  <c r="BI308" i="1"/>
  <c r="BJ308" i="1" s="1"/>
  <c r="BJ118" i="1"/>
  <c r="BR69" i="1"/>
  <c r="BR155" i="1"/>
  <c r="BL155" i="1"/>
  <c r="BJ469" i="1"/>
  <c r="BJ106" i="1"/>
  <c r="BJ225" i="1"/>
  <c r="DE43" i="1"/>
  <c r="DF349" i="1"/>
  <c r="BV266" i="1"/>
  <c r="BO490" i="1"/>
  <c r="BJ208" i="1"/>
  <c r="BJ336" i="1"/>
  <c r="BJ358" i="1"/>
  <c r="BJ85" i="1"/>
  <c r="BJ405" i="1"/>
  <c r="BJ282" i="1"/>
  <c r="BJ116" i="1"/>
  <c r="BJ356" i="1"/>
  <c r="BJ325" i="1"/>
  <c r="DF341" i="1"/>
  <c r="DE341" i="1"/>
  <c r="BJ377" i="1"/>
  <c r="BJ387" i="1"/>
  <c r="A89" i="4"/>
  <c r="A90" i="4" s="1"/>
  <c r="A91" i="4" s="1"/>
  <c r="A92" i="4" s="1"/>
  <c r="A88" i="4"/>
  <c r="BT490" i="1"/>
  <c r="BJ273" i="1"/>
  <c r="BS194" i="1"/>
  <c r="CA194" i="1"/>
  <c r="DF24" i="1"/>
  <c r="DE24" i="1"/>
  <c r="DF278" i="1"/>
  <c r="DE278" i="1"/>
  <c r="CA505" i="1"/>
  <c r="BS505" i="1"/>
  <c r="CD302" i="1"/>
  <c r="CC348" i="1"/>
  <c r="CC490" i="1" s="1"/>
  <c r="F262" i="2" s="1"/>
  <c r="BL517" i="1"/>
  <c r="BJ517" i="1"/>
  <c r="BJ551" i="1"/>
  <c r="K97" i="4"/>
  <c r="F257" i="4" s="1"/>
  <c r="CU28" i="5"/>
  <c r="CT28" i="5"/>
  <c r="BO109" i="5"/>
  <c r="BI109" i="5"/>
  <c r="CU143" i="5"/>
  <c r="CT143" i="5"/>
  <c r="CA539" i="1"/>
  <c r="BS539" i="1"/>
  <c r="BN9" i="5"/>
  <c r="BH9" i="5"/>
  <c r="BD9" i="5"/>
  <c r="BB9" i="5"/>
  <c r="BD140" i="5"/>
  <c r="BB140" i="5"/>
  <c r="CT225" i="5"/>
  <c r="CU225" i="5"/>
  <c r="BJ512" i="1"/>
  <c r="BZ515" i="1"/>
  <c r="BL515" i="1"/>
  <c r="BJ521" i="1"/>
  <c r="BJ522" i="1"/>
  <c r="BS543" i="1"/>
  <c r="BJ549" i="1"/>
  <c r="BJ553" i="1"/>
  <c r="BJ563" i="1"/>
  <c r="BN27" i="5"/>
  <c r="BH27" i="5"/>
  <c r="BB27" i="5"/>
  <c r="BD27" i="5"/>
  <c r="CT119" i="5"/>
  <c r="CU119" i="5"/>
  <c r="BZ29" i="1"/>
  <c r="BZ445" i="1"/>
  <c r="BJ194" i="1"/>
  <c r="CA297" i="1"/>
  <c r="BL511" i="1"/>
  <c r="BJ513" i="1"/>
  <c r="BJ516" i="1"/>
  <c r="BR517" i="1"/>
  <c r="BR518" i="1"/>
  <c r="BL520" i="1"/>
  <c r="BR526" i="1"/>
  <c r="BJ526" i="1"/>
  <c r="BJ538" i="1"/>
  <c r="BS549" i="1"/>
  <c r="BB15" i="5"/>
  <c r="CU96" i="5"/>
  <c r="CT96" i="5"/>
  <c r="BR511" i="1"/>
  <c r="BL512" i="1"/>
  <c r="BJ514" i="1"/>
  <c r="BJ515" i="1"/>
  <c r="BL516" i="1"/>
  <c r="BZ517" i="1"/>
  <c r="BR520" i="1"/>
  <c r="BL522" i="1"/>
  <c r="BH527" i="1"/>
  <c r="BJ527" i="1" s="1"/>
  <c r="BS538" i="1"/>
  <c r="CA551" i="1"/>
  <c r="BJ569" i="1"/>
  <c r="BJ597" i="1"/>
  <c r="K125" i="3"/>
  <c r="F318" i="3" s="1"/>
  <c r="K232" i="4"/>
  <c r="K254" i="4" s="1"/>
  <c r="AZ304" i="5"/>
  <c r="BN2" i="5"/>
  <c r="BH2" i="5"/>
  <c r="BD2" i="5"/>
  <c r="BB2" i="5"/>
  <c r="BB26" i="5"/>
  <c r="BN26" i="5"/>
  <c r="BH26" i="5"/>
  <c r="BD26" i="5"/>
  <c r="CT45" i="5"/>
  <c r="CU45" i="5"/>
  <c r="CT59" i="5"/>
  <c r="CU59" i="5"/>
  <c r="BN79" i="5"/>
  <c r="BH79" i="5"/>
  <c r="BD79" i="5"/>
  <c r="BB79" i="5"/>
  <c r="BD161" i="5"/>
  <c r="BB161" i="5"/>
  <c r="BD165" i="5"/>
  <c r="BB165" i="5"/>
  <c r="BJ29" i="1"/>
  <c r="BJ171" i="1"/>
  <c r="BJ297" i="1"/>
  <c r="BR512" i="1"/>
  <c r="BL513" i="1"/>
  <c r="BZ516" i="1"/>
  <c r="BZ522" i="1"/>
  <c r="BJ557" i="1"/>
  <c r="BS559" i="1"/>
  <c r="BJ566" i="1"/>
  <c r="BH574" i="1"/>
  <c r="CL574" i="1"/>
  <c r="BC2" i="5"/>
  <c r="CU12" i="5"/>
  <c r="CT12" i="5"/>
  <c r="BB44" i="5"/>
  <c r="BC72" i="5"/>
  <c r="BD72" i="5" s="1"/>
  <c r="BB72" i="5"/>
  <c r="BR513" i="1"/>
  <c r="BL514" i="1"/>
  <c r="BR515" i="1"/>
  <c r="BZ524" i="1"/>
  <c r="BL524" i="1"/>
  <c r="BJ525" i="1"/>
  <c r="BZ526" i="1"/>
  <c r="BL544" i="1"/>
  <c r="BL562" i="1"/>
  <c r="BJ562" i="1"/>
  <c r="K102" i="2"/>
  <c r="F255" i="2" s="1"/>
  <c r="BH23" i="5"/>
  <c r="BB23" i="5"/>
  <c r="BH25" i="5"/>
  <c r="BD25" i="5"/>
  <c r="BB25" i="5"/>
  <c r="CU53" i="5"/>
  <c r="CT53" i="5"/>
  <c r="BZ523" i="1"/>
  <c r="BL523" i="1"/>
  <c r="CA537" i="1"/>
  <c r="BS537" i="1"/>
  <c r="BJ555" i="1"/>
  <c r="BJ556" i="1"/>
  <c r="CA557" i="1"/>
  <c r="BJ558" i="1"/>
  <c r="CA564" i="1"/>
  <c r="BS564" i="1"/>
  <c r="BN78" i="5"/>
  <c r="BH78" i="5"/>
  <c r="BD78" i="5"/>
  <c r="BB78" i="5"/>
  <c r="CU111" i="5"/>
  <c r="CT111" i="5"/>
  <c r="CU146" i="5"/>
  <c r="CT146" i="5"/>
  <c r="BB150" i="5"/>
  <c r="CU36" i="5"/>
  <c r="BB43" i="5"/>
  <c r="BH55" i="5"/>
  <c r="BB69" i="5"/>
  <c r="BD73" i="5"/>
  <c r="BB95" i="5"/>
  <c r="CU141" i="5"/>
  <c r="CT141" i="5"/>
  <c r="BO144" i="5"/>
  <c r="BI144" i="5"/>
  <c r="BD148" i="5"/>
  <c r="BB148" i="5"/>
  <c r="CU219" i="5"/>
  <c r="CT219" i="5"/>
  <c r="CU37" i="5"/>
  <c r="BN46" i="5"/>
  <c r="BH46" i="5"/>
  <c r="BD46" i="5"/>
  <c r="BB46" i="5"/>
  <c r="CU48" i="5"/>
  <c r="BA56" i="5"/>
  <c r="BB56" i="5" s="1"/>
  <c r="CU60" i="5"/>
  <c r="CT60" i="5"/>
  <c r="BD81" i="5"/>
  <c r="BB81" i="5"/>
  <c r="BD145" i="5"/>
  <c r="BB145" i="5"/>
  <c r="BD169" i="5"/>
  <c r="BB169" i="5"/>
  <c r="BD191" i="5"/>
  <c r="BB191" i="5"/>
  <c r="CU220" i="5"/>
  <c r="CT220" i="5"/>
  <c r="BN331" i="5"/>
  <c r="BH331" i="5"/>
  <c r="BD331" i="5"/>
  <c r="BB331" i="5"/>
  <c r="I239" i="2"/>
  <c r="I302" i="3"/>
  <c r="BD3" i="5"/>
  <c r="BN5" i="5"/>
  <c r="BH5" i="5"/>
  <c r="BB5" i="5"/>
  <c r="BN18" i="5"/>
  <c r="BH18" i="5"/>
  <c r="BB18" i="5"/>
  <c r="BN24" i="5"/>
  <c r="BH24" i="5"/>
  <c r="BB24" i="5"/>
  <c r="CU35" i="5"/>
  <c r="CT35" i="5"/>
  <c r="BN55" i="5"/>
  <c r="BN56" i="5"/>
  <c r="BH56" i="5"/>
  <c r="CT63" i="5"/>
  <c r="BN69" i="5"/>
  <c r="BH69" i="5"/>
  <c r="CU70" i="5"/>
  <c r="CT70" i="5"/>
  <c r="BD108" i="5"/>
  <c r="BB108" i="5"/>
  <c r="BP126" i="5"/>
  <c r="BJ126" i="5"/>
  <c r="BO141" i="5"/>
  <c r="BI141" i="5"/>
  <c r="BO142" i="5"/>
  <c r="BI142" i="5"/>
  <c r="CU147" i="5"/>
  <c r="CT147" i="5"/>
  <c r="CU173" i="5"/>
  <c r="CT173" i="5"/>
  <c r="BD189" i="5"/>
  <c r="BB189" i="5"/>
  <c r="BC329" i="5"/>
  <c r="BB329" i="5"/>
  <c r="BJ571" i="1"/>
  <c r="BJ577" i="1"/>
  <c r="I236" i="4"/>
  <c r="BP304" i="5"/>
  <c r="BC6" i="5"/>
  <c r="BD6" i="5" s="1"/>
  <c r="BB6" i="5"/>
  <c r="BN6" i="5"/>
  <c r="BB7" i="5"/>
  <c r="BB11" i="5"/>
  <c r="CU29" i="5"/>
  <c r="CT29" i="5"/>
  <c r="CT33" i="5"/>
  <c r="BO35" i="5"/>
  <c r="BI35" i="5"/>
  <c r="CU54" i="5"/>
  <c r="CT54" i="5"/>
  <c r="BH61" i="5"/>
  <c r="BB61" i="5"/>
  <c r="BA77" i="5"/>
  <c r="BC77" i="5" s="1"/>
  <c r="BD77" i="5" s="1"/>
  <c r="BD82" i="5"/>
  <c r="BB82" i="5"/>
  <c r="BD83" i="5"/>
  <c r="BB83" i="5"/>
  <c r="BB93" i="5"/>
  <c r="CU94" i="5"/>
  <c r="CT94" i="5"/>
  <c r="BN30" i="5"/>
  <c r="BH30" i="5"/>
  <c r="BB30" i="5"/>
  <c r="BB31" i="5"/>
  <c r="BN31" i="5"/>
  <c r="BN32" i="5"/>
  <c r="BH32" i="5"/>
  <c r="BB32" i="5"/>
  <c r="CU50" i="5"/>
  <c r="CT50" i="5"/>
  <c r="CU57" i="5"/>
  <c r="CT57" i="5"/>
  <c r="CT118" i="5"/>
  <c r="CU142" i="5"/>
  <c r="BD163" i="5"/>
  <c r="BB163" i="5"/>
  <c r="BB8" i="5"/>
  <c r="BN49" i="5"/>
  <c r="BH49" i="5"/>
  <c r="BD49" i="5"/>
  <c r="BB49" i="5"/>
  <c r="BB58" i="5"/>
  <c r="BN66" i="5"/>
  <c r="BH66" i="5"/>
  <c r="BD66" i="5"/>
  <c r="BB66" i="5"/>
  <c r="BD71" i="5"/>
  <c r="CU91" i="5"/>
  <c r="CT91" i="5"/>
  <c r="CU109" i="5"/>
  <c r="CT109" i="5"/>
  <c r="BO162" i="5"/>
  <c r="BI162" i="5"/>
  <c r="CU217" i="5"/>
  <c r="CT217" i="5"/>
  <c r="BN17" i="5"/>
  <c r="BH41" i="5"/>
  <c r="BH47" i="5"/>
  <c r="BN65" i="5"/>
  <c r="BN67" i="5"/>
  <c r="BN77" i="5"/>
  <c r="BD132" i="5"/>
  <c r="BB132" i="5"/>
  <c r="BD137" i="5"/>
  <c r="BB137" i="5"/>
  <c r="BO143" i="5"/>
  <c r="BI143" i="5"/>
  <c r="BD187" i="5"/>
  <c r="BB187" i="5"/>
  <c r="BI199" i="5"/>
  <c r="BO199" i="5"/>
  <c r="BD215" i="5"/>
  <c r="BB215" i="5"/>
  <c r="BO218" i="5"/>
  <c r="BI218" i="5"/>
  <c r="CU239" i="5"/>
  <c r="CT239" i="5"/>
  <c r="BB360" i="5"/>
  <c r="BD360" i="5"/>
  <c r="BN388" i="5"/>
  <c r="BB388" i="5"/>
  <c r="BN51" i="5"/>
  <c r="CT97" i="5"/>
  <c r="CT98" i="5"/>
  <c r="CT99" i="5"/>
  <c r="CT100" i="5"/>
  <c r="CT101" i="5"/>
  <c r="CT102" i="5"/>
  <c r="CT103" i="5"/>
  <c r="CT104" i="5"/>
  <c r="BB149" i="5"/>
  <c r="BO173" i="5"/>
  <c r="BI173" i="5"/>
  <c r="BB216" i="5"/>
  <c r="CU228" i="5"/>
  <c r="CT228" i="5"/>
  <c r="CU153" i="5"/>
  <c r="CT153" i="5"/>
  <c r="BD158" i="5"/>
  <c r="BB158" i="5"/>
  <c r="BD192" i="5"/>
  <c r="BB192" i="5"/>
  <c r="BD194" i="5"/>
  <c r="BB194" i="5"/>
  <c r="CU212" i="5"/>
  <c r="CT212" i="5"/>
  <c r="CU221" i="5"/>
  <c r="CT221" i="5"/>
  <c r="BO222" i="5"/>
  <c r="BI222" i="5"/>
  <c r="BO319" i="5"/>
  <c r="BI319" i="5"/>
  <c r="BN322" i="5"/>
  <c r="BH322" i="5"/>
  <c r="BD322" i="5"/>
  <c r="BB322" i="5"/>
  <c r="CT10" i="5"/>
  <c r="BB17" i="5"/>
  <c r="BN41" i="5"/>
  <c r="BB42" i="5"/>
  <c r="BN47" i="5"/>
  <c r="BB51" i="5"/>
  <c r="BB71" i="5"/>
  <c r="BB73" i="5"/>
  <c r="BB75" i="5"/>
  <c r="BI122" i="5"/>
  <c r="BO147" i="5"/>
  <c r="BI147" i="5"/>
  <c r="BI151" i="5"/>
  <c r="BI156" i="5"/>
  <c r="BI166" i="5"/>
  <c r="CT170" i="5"/>
  <c r="CU170" i="5"/>
  <c r="BO226" i="5"/>
  <c r="BI226" i="5"/>
  <c r="CU226" i="5"/>
  <c r="BN338" i="5"/>
  <c r="BH338" i="5"/>
  <c r="BD338" i="5"/>
  <c r="BB338" i="5"/>
  <c r="BJ304" i="5"/>
  <c r="BD75" i="5"/>
  <c r="BD86" i="5"/>
  <c r="BI105" i="5"/>
  <c r="BB107" i="5"/>
  <c r="BB110" i="5"/>
  <c r="BB115" i="5"/>
  <c r="BB144" i="5"/>
  <c r="BD159" i="5"/>
  <c r="BB159" i="5"/>
  <c r="BB171" i="5"/>
  <c r="BD171" i="5"/>
  <c r="CU181" i="5"/>
  <c r="CT181" i="5"/>
  <c r="CT206" i="5"/>
  <c r="CU206" i="5"/>
  <c r="BO318" i="5"/>
  <c r="BI318" i="5"/>
  <c r="BO110" i="5"/>
  <c r="BI115" i="5"/>
  <c r="BE304" i="5"/>
  <c r="BB135" i="5"/>
  <c r="BO146" i="5"/>
  <c r="BI146" i="5"/>
  <c r="BD160" i="5"/>
  <c r="BB160" i="5"/>
  <c r="BI182" i="5"/>
  <c r="BO182" i="5"/>
  <c r="BO206" i="5"/>
  <c r="BI206" i="5"/>
  <c r="BO220" i="5"/>
  <c r="BI220" i="5"/>
  <c r="BD317" i="5"/>
  <c r="BB317" i="5"/>
  <c r="BD329" i="5"/>
  <c r="BB352" i="5"/>
  <c r="CT175" i="5"/>
  <c r="CU182" i="5"/>
  <c r="BD188" i="5"/>
  <c r="BB188" i="5"/>
  <c r="CU207" i="5"/>
  <c r="CT207" i="5"/>
  <c r="CU213" i="5"/>
  <c r="CT213" i="5"/>
  <c r="BO225" i="5"/>
  <c r="BI225" i="5"/>
  <c r="CU229" i="5"/>
  <c r="CT229" i="5"/>
  <c r="AS305" i="5"/>
  <c r="BO320" i="5"/>
  <c r="BI320" i="5"/>
  <c r="BN384" i="5"/>
  <c r="BB384" i="5"/>
  <c r="BD193" i="5"/>
  <c r="BB193" i="5"/>
  <c r="AT305" i="5"/>
  <c r="BN339" i="5"/>
  <c r="BH339" i="5"/>
  <c r="BD339" i="5"/>
  <c r="BB339" i="5"/>
  <c r="BB122" i="5"/>
  <c r="BB128" i="5"/>
  <c r="BB151" i="5"/>
  <c r="BB152" i="5"/>
  <c r="BB155" i="5"/>
  <c r="BB156" i="5"/>
  <c r="BB162" i="5"/>
  <c r="BB164" i="5"/>
  <c r="BB166" i="5"/>
  <c r="CU177" i="5"/>
  <c r="CT177" i="5"/>
  <c r="CU180" i="5"/>
  <c r="BD186" i="5"/>
  <c r="BB186" i="5"/>
  <c r="BD190" i="5"/>
  <c r="BB190" i="5"/>
  <c r="BB202" i="5"/>
  <c r="CU211" i="5"/>
  <c r="CT211" i="5"/>
  <c r="BB320" i="5"/>
  <c r="BB337" i="5"/>
  <c r="BI367" i="5"/>
  <c r="BO367" i="5"/>
  <c r="BO175" i="5"/>
  <c r="BD197" i="5"/>
  <c r="BB197" i="5"/>
  <c r="BI209" i="5"/>
  <c r="BO217" i="5"/>
  <c r="BI217" i="5"/>
  <c r="BO219" i="5"/>
  <c r="BI219" i="5"/>
  <c r="BO221" i="5"/>
  <c r="BI221" i="5"/>
  <c r="BO223" i="5"/>
  <c r="BI223" i="5"/>
  <c r="CT226" i="5"/>
  <c r="CU247" i="5"/>
  <c r="CT247" i="5"/>
  <c r="BN323" i="5"/>
  <c r="BH323" i="5"/>
  <c r="BD323" i="5"/>
  <c r="BB323" i="5"/>
  <c r="BN330" i="5"/>
  <c r="BH330" i="5"/>
  <c r="BD330" i="5"/>
  <c r="BB330" i="5"/>
  <c r="BD321" i="5"/>
  <c r="BB321" i="5"/>
  <c r="BN340" i="5"/>
  <c r="BH340" i="5"/>
  <c r="BD340" i="5"/>
  <c r="BB340" i="5"/>
  <c r="BN326" i="5"/>
  <c r="BN334" i="5"/>
  <c r="BO378" i="5"/>
  <c r="BI378" i="5"/>
  <c r="K90" i="6"/>
  <c r="F237" i="6" s="1"/>
  <c r="CT199" i="5"/>
  <c r="BN327" i="5"/>
  <c r="BN335" i="5"/>
  <c r="BB358" i="5"/>
  <c r="BB396" i="5"/>
  <c r="A125" i="6"/>
  <c r="A126" i="6" s="1"/>
  <c r="A127" i="6" s="1"/>
  <c r="A128" i="6" s="1"/>
  <c r="A129" i="6" s="1"/>
  <c r="A130" i="6" s="1"/>
  <c r="A131" i="6" s="1"/>
  <c r="A132" i="6" s="1"/>
  <c r="A124" i="6"/>
  <c r="BD355" i="5"/>
  <c r="BB355" i="5"/>
  <c r="BO375" i="5"/>
  <c r="BI375" i="5"/>
  <c r="K212" i="6"/>
  <c r="K234" i="6" s="1"/>
  <c r="BB325" i="5"/>
  <c r="BB333" i="5"/>
  <c r="BB344" i="5"/>
  <c r="BO368" i="5"/>
  <c r="BI368" i="5"/>
  <c r="BD373" i="5"/>
  <c r="BB373" i="5"/>
  <c r="BB209" i="5"/>
  <c r="BD324" i="5"/>
  <c r="BD332" i="5"/>
  <c r="BH341" i="5"/>
  <c r="BH391" i="5"/>
  <c r="BD391" i="5"/>
  <c r="BO391" i="5" s="1"/>
  <c r="BB391" i="5"/>
  <c r="BD397" i="5"/>
  <c r="BO397" i="5" s="1"/>
  <c r="BB397" i="5"/>
  <c r="BB399" i="5"/>
  <c r="BB415" i="5"/>
  <c r="BN382" i="5"/>
  <c r="BB387" i="5"/>
  <c r="BB394" i="5"/>
  <c r="AN128" i="8"/>
  <c r="AG128" i="8"/>
  <c r="AH128" i="8" s="1"/>
  <c r="AK128" i="8"/>
  <c r="AG138" i="8"/>
  <c r="AH138" i="8" s="1"/>
  <c r="AK138" i="8"/>
  <c r="AN138" i="8"/>
  <c r="AH144" i="8"/>
  <c r="AH162" i="8"/>
  <c r="AG83" i="8"/>
  <c r="AH83" i="8" s="1"/>
  <c r="AN83" i="8"/>
  <c r="AK83" i="8"/>
  <c r="AN104" i="8"/>
  <c r="AK104" i="8"/>
  <c r="F298" i="7"/>
  <c r="K274" i="7" s="1"/>
  <c r="K281" i="7" s="1"/>
  <c r="AN160" i="8"/>
  <c r="AK160" i="8"/>
  <c r="AG160" i="8"/>
  <c r="AK105" i="8"/>
  <c r="AN105" i="8"/>
  <c r="AG105" i="8"/>
  <c r="AH105" i="8" s="1"/>
  <c r="BB367" i="5"/>
  <c r="BD382" i="5"/>
  <c r="BI382" i="5" s="1"/>
  <c r="BB383" i="5"/>
  <c r="BB438" i="5"/>
  <c r="AH116" i="8"/>
  <c r="AG122" i="8"/>
  <c r="AH122" i="8" s="1"/>
  <c r="AK122" i="8"/>
  <c r="AN122" i="8"/>
  <c r="AK139" i="8"/>
  <c r="AN139" i="8"/>
  <c r="AG141" i="8"/>
  <c r="AH141" i="8" s="1"/>
  <c r="AK141" i="8"/>
  <c r="AN141" i="8"/>
  <c r="AN154" i="8"/>
  <c r="AG154" i="8"/>
  <c r="AH154" i="8" s="1"/>
  <c r="AK154" i="8"/>
  <c r="BD438" i="5"/>
  <c r="BO438" i="5" s="1"/>
  <c r="K264" i="7"/>
  <c r="K286" i="7" s="1"/>
  <c r="AH73" i="8"/>
  <c r="AN73" i="8"/>
  <c r="AF180" i="8"/>
  <c r="AK75" i="8"/>
  <c r="AG75" i="8"/>
  <c r="AH75" i="8" s="1"/>
  <c r="AN90" i="8"/>
  <c r="AK90" i="8"/>
  <c r="AK114" i="8"/>
  <c r="AN114" i="8"/>
  <c r="AG114" i="8"/>
  <c r="AH114" i="8" s="1"/>
  <c r="AN75" i="8"/>
  <c r="AH79" i="8"/>
  <c r="AN103" i="8"/>
  <c r="AK103" i="8"/>
  <c r="AG79" i="8"/>
  <c r="AK79" i="8"/>
  <c r="AK91" i="8"/>
  <c r="AN91" i="8"/>
  <c r="AG91" i="8"/>
  <c r="AH91" i="8" s="1"/>
  <c r="Y182" i="8"/>
  <c r="Y184" i="8"/>
  <c r="Y183" i="8"/>
  <c r="AG5" i="8"/>
  <c r="AG70" i="8"/>
  <c r="AH70" i="8" s="1"/>
  <c r="AG77" i="8"/>
  <c r="AH77" i="8" s="1"/>
  <c r="AN80" i="8"/>
  <c r="AG109" i="8"/>
  <c r="AH109" i="8" s="1"/>
  <c r="AN112" i="8"/>
  <c r="AG112" i="8"/>
  <c r="AH112" i="8" s="1"/>
  <c r="AG118" i="8"/>
  <c r="AN120" i="8"/>
  <c r="AG120" i="8"/>
  <c r="AH120" i="8" s="1"/>
  <c r="AN125" i="8"/>
  <c r="AG125" i="8"/>
  <c r="AH125" i="8" s="1"/>
  <c r="AH129" i="8"/>
  <c r="AN151" i="8"/>
  <c r="AG151" i="8"/>
  <c r="AH155" i="8"/>
  <c r="AH160" i="8"/>
  <c r="AN168" i="8"/>
  <c r="AG168" i="8"/>
  <c r="AH168" i="8" s="1"/>
  <c r="AN97" i="8"/>
  <c r="AG97" i="8"/>
  <c r="AH97" i="8" s="1"/>
  <c r="AG162" i="8"/>
  <c r="AK162" i="8"/>
  <c r="AG164" i="8"/>
  <c r="AH164" i="8" s="1"/>
  <c r="AK164" i="8"/>
  <c r="AG172" i="8"/>
  <c r="AH172" i="8" s="1"/>
  <c r="AK172" i="8"/>
  <c r="AN172" i="8"/>
  <c r="AK174" i="8"/>
  <c r="AN174" i="8"/>
  <c r="K285" i="7"/>
  <c r="AH88" i="8"/>
  <c r="AK94" i="8"/>
  <c r="AH102" i="8"/>
  <c r="AK108" i="8"/>
  <c r="AH113" i="8"/>
  <c r="AK117" i="8"/>
  <c r="AH121" i="8"/>
  <c r="AH126" i="8"/>
  <c r="AE139" i="8"/>
  <c r="AE180" i="8" s="1"/>
  <c r="AG145" i="8"/>
  <c r="AH145" i="8" s="1"/>
  <c r="AH152" i="8"/>
  <c r="AN162" i="8"/>
  <c r="AN164" i="8"/>
  <c r="AG174" i="8"/>
  <c r="AH174" i="8" s="1"/>
  <c r="AG176" i="8"/>
  <c r="AH176" i="8" s="1"/>
  <c r="AK176" i="8"/>
  <c r="AN178" i="8"/>
  <c r="AG178" i="8"/>
  <c r="AH178" i="8" s="1"/>
  <c r="AN94" i="8"/>
  <c r="AK97" i="8"/>
  <c r="AN108" i="8"/>
  <c r="AN117" i="8"/>
  <c r="AN136" i="8"/>
  <c r="AG136" i="8"/>
  <c r="AH136" i="8" s="1"/>
  <c r="AN145" i="8"/>
  <c r="F156" i="13"/>
  <c r="AK38" i="8"/>
  <c r="AN88" i="8"/>
  <c r="AN102" i="8"/>
  <c r="AK113" i="8"/>
  <c r="AH118" i="8"/>
  <c r="AN126" i="8"/>
  <c r="AG130" i="8"/>
  <c r="AH130" i="8" s="1"/>
  <c r="AK130" i="8"/>
  <c r="AK136" i="8"/>
  <c r="AN144" i="8"/>
  <c r="AG144" i="8"/>
  <c r="AN152" i="8"/>
  <c r="AG156" i="8"/>
  <c r="AH156" i="8" s="1"/>
  <c r="AK156" i="8"/>
  <c r="AN159" i="8"/>
  <c r="AG159" i="8"/>
  <c r="AH159" i="8" s="1"/>
  <c r="U186" i="8"/>
  <c r="U185" i="8"/>
  <c r="I11" i="13"/>
  <c r="AN133" i="8"/>
  <c r="AG133" i="8"/>
  <c r="AH133" i="8" s="1"/>
  <c r="AH137" i="8"/>
  <c r="AH140" i="8"/>
  <c r="AG148" i="8"/>
  <c r="AH148" i="8" s="1"/>
  <c r="AK148" i="8"/>
  <c r="AH151" i="8"/>
  <c r="AK159" i="8"/>
  <c r="D168" i="13"/>
  <c r="D165" i="13"/>
  <c r="Z182" i="8"/>
  <c r="P184" i="8"/>
  <c r="I6" i="13"/>
  <c r="I19" i="13"/>
  <c r="AK89" i="8"/>
  <c r="AK119" i="8"/>
  <c r="AK127" i="8"/>
  <c r="AK135" i="8"/>
  <c r="AK146" i="8"/>
  <c r="AK153" i="8"/>
  <c r="AK169" i="8"/>
  <c r="Q185" i="8"/>
  <c r="B266" i="11"/>
  <c r="B265" i="11"/>
  <c r="B267" i="11" s="1"/>
  <c r="B268" i="11" s="1"/>
  <c r="B269" i="11" s="1"/>
  <c r="B270" i="11" s="1"/>
  <c r="B271" i="11" s="1"/>
  <c r="B272" i="11" s="1"/>
  <c r="B273" i="11" s="1"/>
  <c r="B274" i="11" s="1"/>
  <c r="B275" i="11" s="1"/>
  <c r="B276" i="11" s="1"/>
  <c r="B277" i="11" s="1"/>
  <c r="B278" i="11" s="1"/>
  <c r="B279" i="11" s="1"/>
  <c r="B280" i="11" s="1"/>
  <c r="B281" i="11" s="1"/>
  <c r="B282" i="11" s="1"/>
  <c r="B283" i="11" s="1"/>
  <c r="B284" i="11" s="1"/>
  <c r="B285" i="11" s="1"/>
  <c r="B286" i="11" s="1"/>
  <c r="B287" i="11" s="1"/>
  <c r="B288" i="11" s="1"/>
  <c r="B289" i="11" s="1"/>
  <c r="B290" i="11" s="1"/>
  <c r="B291" i="11" s="1"/>
  <c r="B292" i="11" s="1"/>
  <c r="B293" i="11" s="1"/>
  <c r="B294" i="11" s="1"/>
  <c r="B295" i="11" s="1"/>
  <c r="B296" i="11" s="1"/>
  <c r="B297" i="11" s="1"/>
  <c r="B298" i="11" s="1"/>
  <c r="B299" i="11" s="1"/>
  <c r="B300" i="11" s="1"/>
  <c r="B301" i="11" s="1"/>
  <c r="B302" i="11" s="1"/>
  <c r="B303" i="11" s="1"/>
  <c r="B304" i="11" s="1"/>
  <c r="B305" i="11" s="1"/>
  <c r="B306" i="11" s="1"/>
  <c r="B307" i="11" s="1"/>
  <c r="B308" i="11" s="1"/>
  <c r="B309" i="11" s="1"/>
  <c r="B310" i="11" s="1"/>
  <c r="B311" i="11" s="1"/>
  <c r="B312" i="11" s="1"/>
  <c r="B313" i="11" s="1"/>
  <c r="B314" i="11" s="1"/>
  <c r="B315" i="11" s="1"/>
  <c r="B316" i="11" s="1"/>
  <c r="B317" i="11" s="1"/>
  <c r="B318" i="11" s="1"/>
  <c r="B319" i="11" s="1"/>
  <c r="B320" i="11" s="1"/>
  <c r="B321" i="11" s="1"/>
  <c r="B322" i="11" s="1"/>
  <c r="B323" i="11" s="1"/>
  <c r="B324" i="11" s="1"/>
  <c r="B325" i="11" s="1"/>
  <c r="B326" i="11" s="1"/>
  <c r="B327" i="11" s="1"/>
  <c r="B328" i="11" s="1"/>
  <c r="B329" i="11" s="1"/>
  <c r="B330" i="11" s="1"/>
  <c r="B331" i="11" s="1"/>
  <c r="B332" i="11" s="1"/>
  <c r="B333" i="11" s="1"/>
  <c r="B334" i="11" s="1"/>
  <c r="B335" i="11" s="1"/>
  <c r="B336" i="11" s="1"/>
  <c r="B337" i="11" s="1"/>
  <c r="B338" i="11" s="1"/>
  <c r="B339" i="11" s="1"/>
  <c r="B340" i="11" s="1"/>
  <c r="B341" i="11" s="1"/>
  <c r="B342" i="11" s="1"/>
  <c r="B343" i="11" s="1"/>
  <c r="I36" i="13"/>
  <c r="I7" i="13"/>
  <c r="I20" i="13"/>
  <c r="I22" i="13"/>
  <c r="I44" i="13"/>
  <c r="I46" i="13"/>
  <c r="I50" i="13" s="1"/>
  <c r="P183" i="8"/>
  <c r="Z183" i="8"/>
  <c r="R185" i="8"/>
  <c r="I27" i="13"/>
  <c r="AH165" i="8"/>
  <c r="AG166" i="8"/>
  <c r="AH166" i="8" s="1"/>
  <c r="AK167" i="8"/>
  <c r="DE37" i="1" l="1"/>
  <c r="DE456" i="1"/>
  <c r="DF137" i="1"/>
  <c r="DE14" i="1"/>
  <c r="DE372" i="1"/>
  <c r="DF91" i="1"/>
  <c r="DE419" i="1"/>
  <c r="DE185" i="1"/>
  <c r="DF366" i="1"/>
  <c r="DE338" i="1"/>
  <c r="DE147" i="1"/>
  <c r="DE334" i="1"/>
  <c r="DE53" i="1"/>
  <c r="DF112" i="1"/>
  <c r="DE389" i="1"/>
  <c r="DF488" i="1"/>
  <c r="DF443" i="1"/>
  <c r="DE215" i="1"/>
  <c r="DE471" i="1"/>
  <c r="DF96" i="1"/>
  <c r="DE291" i="1"/>
  <c r="F257" i="2"/>
  <c r="H239" i="2" s="1"/>
  <c r="K239" i="2" s="1"/>
  <c r="DF426" i="1"/>
  <c r="DE209" i="1"/>
  <c r="DE186" i="1"/>
  <c r="DE79" i="1"/>
  <c r="DF396" i="1"/>
  <c r="DE439" i="1"/>
  <c r="DF330" i="1"/>
  <c r="DE261" i="1"/>
  <c r="DE287" i="1"/>
  <c r="DE486" i="1"/>
  <c r="DF219" i="1"/>
  <c r="DE412" i="1"/>
  <c r="DE141" i="1"/>
  <c r="DE146" i="1"/>
  <c r="DE19" i="1"/>
  <c r="DE424" i="1"/>
  <c r="DE222" i="1"/>
  <c r="DF256" i="1"/>
  <c r="DE27" i="1"/>
  <c r="DF32" i="1"/>
  <c r="DF315" i="1"/>
  <c r="DF125" i="1"/>
  <c r="DF117" i="1"/>
  <c r="DF272" i="1"/>
  <c r="DE475" i="1"/>
  <c r="DE31" i="1"/>
  <c r="DF35" i="1"/>
  <c r="DE58" i="1"/>
  <c r="DE61" i="1"/>
  <c r="DE74" i="1"/>
  <c r="DF47" i="1"/>
  <c r="DE122" i="1"/>
  <c r="DE213" i="1"/>
  <c r="DE57" i="1"/>
  <c r="DF115" i="1"/>
  <c r="DF198" i="1"/>
  <c r="DF165" i="1"/>
  <c r="DF425" i="1"/>
  <c r="DE480" i="1"/>
  <c r="DF432" i="1"/>
  <c r="DE174" i="1"/>
  <c r="DE105" i="1"/>
  <c r="DE123" i="1"/>
  <c r="DE417" i="1"/>
  <c r="DF258" i="1"/>
  <c r="DF384" i="1"/>
  <c r="DE166" i="1"/>
  <c r="DE354" i="1"/>
  <c r="DE402" i="1"/>
  <c r="CD490" i="1"/>
  <c r="DF481" i="1"/>
  <c r="DE470" i="1"/>
  <c r="DE216" i="1"/>
  <c r="DE333" i="1"/>
  <c r="DF172" i="1"/>
  <c r="DE243" i="1"/>
  <c r="DF250" i="1"/>
  <c r="DE415" i="1"/>
  <c r="DE411" i="1"/>
  <c r="DE466" i="1"/>
  <c r="DE83" i="1"/>
  <c r="DE39" i="1"/>
  <c r="DE307" i="1"/>
  <c r="DE150" i="1"/>
  <c r="BV490" i="1"/>
  <c r="DF270" i="1"/>
  <c r="DE270" i="1"/>
  <c r="DF296" i="1"/>
  <c r="BR490" i="1"/>
  <c r="DE464" i="1"/>
  <c r="DF464" i="1"/>
  <c r="DF329" i="1"/>
  <c r="DE329" i="1"/>
  <c r="DF254" i="1"/>
  <c r="DE254" i="1"/>
  <c r="DE210" i="1"/>
  <c r="BL490" i="1"/>
  <c r="K2" i="6" s="1"/>
  <c r="F238" i="6" s="1"/>
  <c r="DF153" i="1"/>
  <c r="DE224" i="1"/>
  <c r="DE462" i="1"/>
  <c r="DE452" i="1"/>
  <c r="DF128" i="1"/>
  <c r="DE128" i="1"/>
  <c r="AH180" i="8"/>
  <c r="BJ140" i="1"/>
  <c r="BJ490" i="1" s="1"/>
  <c r="BI490" i="1"/>
  <c r="BI132" i="5"/>
  <c r="BO132" i="5"/>
  <c r="BO189" i="5"/>
  <c r="BI189" i="5"/>
  <c r="DF283" i="1"/>
  <c r="DE283" i="1"/>
  <c r="BO188" i="5"/>
  <c r="BI188" i="5"/>
  <c r="CU144" i="5"/>
  <c r="CT144" i="5"/>
  <c r="BO192" i="5"/>
  <c r="BI192" i="5"/>
  <c r="CU187" i="5"/>
  <c r="CT187" i="5"/>
  <c r="BO82" i="5"/>
  <c r="BI82" i="5"/>
  <c r="BB77" i="5"/>
  <c r="BZ490" i="1"/>
  <c r="DE208" i="1"/>
  <c r="DF208" i="1"/>
  <c r="BI159" i="5"/>
  <c r="BO159" i="5"/>
  <c r="DF356" i="1"/>
  <c r="DE356" i="1"/>
  <c r="CU151" i="5"/>
  <c r="CT151" i="5"/>
  <c r="AN180" i="8"/>
  <c r="AK180" i="8"/>
  <c r="CU197" i="5"/>
  <c r="CT197" i="5"/>
  <c r="CU128" i="5"/>
  <c r="CT128" i="5"/>
  <c r="BO193" i="5"/>
  <c r="BI193" i="5"/>
  <c r="CU135" i="5"/>
  <c r="CT135" i="5"/>
  <c r="CU115" i="5"/>
  <c r="CT115" i="5"/>
  <c r="CU158" i="5"/>
  <c r="CT158" i="5"/>
  <c r="BO187" i="5"/>
  <c r="BI187" i="5"/>
  <c r="CU8" i="5"/>
  <c r="CT8" i="5"/>
  <c r="BO191" i="5"/>
  <c r="BI191" i="5"/>
  <c r="CU95" i="5"/>
  <c r="CT95" i="5"/>
  <c r="CU165" i="5"/>
  <c r="CT165" i="5"/>
  <c r="BB304" i="5"/>
  <c r="CT15" i="5"/>
  <c r="CU15" i="5"/>
  <c r="A291" i="3"/>
  <c r="A292" i="3"/>
  <c r="D158" i="13"/>
  <c r="BO81" i="5"/>
  <c r="BO304" i="5" s="1"/>
  <c r="BI81" i="5"/>
  <c r="CU152" i="5"/>
  <c r="CT152" i="5"/>
  <c r="CU166" i="5"/>
  <c r="CT166" i="5"/>
  <c r="BH490" i="1"/>
  <c r="F264" i="4"/>
  <c r="F325" i="3"/>
  <c r="DE348" i="1"/>
  <c r="DF348" i="1"/>
  <c r="DF472" i="1"/>
  <c r="DE472" i="1"/>
  <c r="CU164" i="5"/>
  <c r="CT164" i="5"/>
  <c r="BO163" i="5"/>
  <c r="BI163" i="5"/>
  <c r="CT11" i="5"/>
  <c r="CU11" i="5"/>
  <c r="BO108" i="5"/>
  <c r="BI108" i="5"/>
  <c r="BO169" i="5"/>
  <c r="BI169" i="5"/>
  <c r="CU148" i="5"/>
  <c r="CT148" i="5"/>
  <c r="BC304" i="5"/>
  <c r="CU161" i="5"/>
  <c r="CT161" i="5"/>
  <c r="BH304" i="5"/>
  <c r="CT140" i="5"/>
  <c r="CU140" i="5"/>
  <c r="DF295" i="1"/>
  <c r="DE295" i="1"/>
  <c r="CU163" i="5"/>
  <c r="CT163" i="5"/>
  <c r="A122" i="3"/>
  <c r="A123" i="3" s="1"/>
  <c r="A124" i="3" s="1"/>
  <c r="A121" i="3"/>
  <c r="CU209" i="5"/>
  <c r="CT209" i="5"/>
  <c r="A133" i="6"/>
  <c r="A134" i="6" s="1"/>
  <c r="A135" i="6"/>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BO321" i="5"/>
  <c r="BI321" i="5"/>
  <c r="BO190" i="5"/>
  <c r="BI190" i="5"/>
  <c r="CU162" i="5"/>
  <c r="CT162" i="5"/>
  <c r="BO171" i="5"/>
  <c r="BI171" i="5"/>
  <c r="CU215" i="5"/>
  <c r="CT215" i="5"/>
  <c r="CU137" i="5"/>
  <c r="CT137" i="5"/>
  <c r="CU58" i="5"/>
  <c r="CT58" i="5"/>
  <c r="CT93" i="5"/>
  <c r="CU93" i="5"/>
  <c r="CU145" i="5"/>
  <c r="CT145" i="5"/>
  <c r="BI148" i="5"/>
  <c r="BO148" i="5"/>
  <c r="BA304" i="5"/>
  <c r="BO161" i="5"/>
  <c r="BI161" i="5"/>
  <c r="BN304" i="5"/>
  <c r="BO140" i="5"/>
  <c r="BI140" i="5"/>
  <c r="F263" i="4"/>
  <c r="F324" i="3"/>
  <c r="DE116" i="1"/>
  <c r="DF116" i="1"/>
  <c r="F264" i="2"/>
  <c r="K245" i="2" s="1"/>
  <c r="K251" i="2"/>
  <c r="DF285" i="1"/>
  <c r="DE285" i="1"/>
  <c r="CU82" i="5"/>
  <c r="CT82" i="5"/>
  <c r="BO197" i="5"/>
  <c r="BI197" i="5"/>
  <c r="CU122" i="5"/>
  <c r="CT122" i="5"/>
  <c r="CU110" i="5"/>
  <c r="CT110" i="5"/>
  <c r="BI158" i="5"/>
  <c r="BO158" i="5"/>
  <c r="CU61" i="5"/>
  <c r="CT61" i="5"/>
  <c r="CU186" i="5"/>
  <c r="CT186" i="5"/>
  <c r="CU156" i="5"/>
  <c r="CT156" i="5"/>
  <c r="CU171" i="5"/>
  <c r="CT171" i="5"/>
  <c r="BI215" i="5"/>
  <c r="BO215" i="5"/>
  <c r="BI137" i="5"/>
  <c r="BO137" i="5"/>
  <c r="CU83" i="5"/>
  <c r="CT83" i="5"/>
  <c r="BO145" i="5"/>
  <c r="BI145" i="5"/>
  <c r="CU43" i="5"/>
  <c r="CT43" i="5"/>
  <c r="CA562" i="1"/>
  <c r="BS562" i="1"/>
  <c r="DF405" i="1"/>
  <c r="DE405" i="1"/>
  <c r="BS173" i="1"/>
  <c r="CA173" i="1"/>
  <c r="BS102" i="1"/>
  <c r="CA102" i="1"/>
  <c r="DE403" i="1"/>
  <c r="DF403" i="1"/>
  <c r="DF41" i="1"/>
  <c r="DE41" i="1"/>
  <c r="K4" i="3"/>
  <c r="F319" i="3"/>
  <c r="AG180" i="8"/>
  <c r="AH5" i="8"/>
  <c r="BO355" i="5"/>
  <c r="BI355" i="5"/>
  <c r="CU108" i="5"/>
  <c r="CT108" i="5"/>
  <c r="CU169" i="5"/>
  <c r="CT169" i="5"/>
  <c r="BO165" i="5"/>
  <c r="BI165" i="5"/>
  <c r="BD304" i="5"/>
  <c r="F300" i="7"/>
  <c r="F301" i="7" s="1"/>
  <c r="BO373" i="5"/>
  <c r="BI373" i="5"/>
  <c r="BO186" i="5"/>
  <c r="BI186" i="5"/>
  <c r="CU155" i="5"/>
  <c r="CT155" i="5"/>
  <c r="BO317" i="5"/>
  <c r="BI317" i="5"/>
  <c r="BI160" i="5"/>
  <c r="BO160" i="5"/>
  <c r="CU159" i="5"/>
  <c r="CT159" i="5"/>
  <c r="BO194" i="5"/>
  <c r="BI194" i="5"/>
  <c r="BO360" i="5"/>
  <c r="BI360" i="5"/>
  <c r="CU132" i="5"/>
  <c r="CT132" i="5"/>
  <c r="BO83" i="5"/>
  <c r="BI83" i="5"/>
  <c r="CU81" i="5"/>
  <c r="CT81" i="5"/>
  <c r="CA544" i="1"/>
  <c r="BS544" i="1"/>
  <c r="BR574" i="1"/>
  <c r="BL574" i="1"/>
  <c r="CA574" i="1" s="1"/>
  <c r="BJ574" i="1"/>
  <c r="A94" i="4"/>
  <c r="A95" i="4" s="1"/>
  <c r="A96" i="4" s="1"/>
  <c r="A93" i="4"/>
  <c r="DE485" i="1"/>
  <c r="DF485" i="1"/>
  <c r="BS188" i="1"/>
  <c r="CA188" i="1"/>
  <c r="K4" i="4"/>
  <c r="F258" i="4"/>
  <c r="K4" i="6" l="1"/>
  <c r="BS490" i="1"/>
  <c r="F243" i="6" s="1"/>
  <c r="K247" i="2"/>
  <c r="F260" i="2"/>
  <c r="F266" i="2" s="1"/>
  <c r="F267" i="2" s="1"/>
  <c r="DF140" i="1"/>
  <c r="DF490" i="1" s="1"/>
  <c r="DE140" i="1"/>
  <c r="DE490" i="1" s="1"/>
  <c r="CA490" i="1"/>
  <c r="F244" i="6" s="1"/>
  <c r="A172" i="6"/>
  <c r="A173" i="6"/>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BI304" i="5"/>
  <c r="CT304" i="5"/>
  <c r="K233" i="6"/>
  <c r="F246" i="6"/>
  <c r="K222" i="6" s="1"/>
  <c r="F239" i="6"/>
  <c r="H216" i="6" s="1"/>
  <c r="K216" i="6" s="1"/>
  <c r="F249" i="6"/>
  <c r="F247" i="6"/>
  <c r="K223" i="6" s="1"/>
  <c r="CU304" i="5"/>
  <c r="F327" i="3"/>
  <c r="K308" i="3" s="1"/>
  <c r="K314" i="3"/>
  <c r="F320" i="3"/>
  <c r="H302" i="3" s="1"/>
  <c r="K302" i="3" s="1"/>
  <c r="F328" i="3"/>
  <c r="K309" i="3" s="1"/>
  <c r="D166" i="13"/>
  <c r="C159" i="13"/>
  <c r="F267" i="4"/>
  <c r="K243" i="4" s="1"/>
  <c r="K253" i="4"/>
  <c r="F266" i="4"/>
  <c r="K242" i="4" s="1"/>
  <c r="F259" i="4"/>
  <c r="H236" i="4" s="1"/>
  <c r="K236" i="4" s="1"/>
  <c r="A294" i="3"/>
  <c r="A295" i="3" s="1"/>
  <c r="A293" i="3"/>
  <c r="F242" i="6" l="1"/>
  <c r="F248" i="6" s="1"/>
  <c r="K229" i="6"/>
  <c r="K310" i="3"/>
  <c r="F323" i="3"/>
  <c r="F329" i="3" s="1"/>
  <c r="F330" i="3" s="1"/>
  <c r="K249" i="4"/>
  <c r="F262" i="4"/>
  <c r="F268" i="4" s="1"/>
  <c r="F269" i="4" s="1"/>
  <c r="A297" i="3"/>
  <c r="A296" i="3"/>
  <c r="A203" i="6"/>
  <c r="A204" i="6" s="1"/>
  <c r="A205" i="6" s="1"/>
  <c r="A206" i="6" s="1"/>
  <c r="A207" i="6" s="1"/>
  <c r="A208" i="6" s="1"/>
  <c r="A209" i="6" s="1"/>
  <c r="A210" i="6" s="1"/>
  <c r="A211" i="6" s="1"/>
  <c r="A202"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A12" authorId="0" shapeId="0" xr:uid="{00000000-0006-0000-0000-000001000000}">
      <text>
        <r>
          <rPr>
            <sz val="10"/>
            <color rgb="FF000000"/>
            <rFont val="Calibri"/>
            <scheme val="minor"/>
          </rPr>
          <t>INSERIRE MANUALMENTE
======</t>
        </r>
      </text>
    </comment>
    <comment ref="DB12" authorId="0" shapeId="0" xr:uid="{00000000-0006-0000-0000-000002000000}">
      <text>
        <r>
          <rPr>
            <sz val="10"/>
            <color rgb="FF000000"/>
            <rFont val="Calibri"/>
            <scheme val="minor"/>
          </rPr>
          <t>FORMULA
======</t>
        </r>
      </text>
    </comment>
    <comment ref="DD12" authorId="0" shapeId="0" xr:uid="{00000000-0006-0000-0000-000003000000}">
      <text>
        <r>
          <rPr>
            <sz val="10"/>
            <color rgb="FF000000"/>
            <rFont val="Calibri"/>
            <scheme val="minor"/>
          </rPr>
          <t>FORMULA
======</t>
        </r>
      </text>
    </comment>
    <comment ref="DG12" authorId="0" shapeId="0" xr:uid="{00000000-0006-0000-0000-000004000000}">
      <text>
        <r>
          <rPr>
            <sz val="10"/>
            <color rgb="FF000000"/>
            <rFont val="Calibri"/>
            <scheme val="minor"/>
          </rPr>
          <t>FORMULA
======</t>
        </r>
      </text>
    </comment>
    <comment ref="DI12" authorId="0" shapeId="0" xr:uid="{00000000-0006-0000-0000-000005000000}">
      <text>
        <r>
          <rPr>
            <sz val="10"/>
            <color rgb="FF000000"/>
            <rFont val="Calibri"/>
            <scheme val="minor"/>
          </rPr>
          <t>inserire SI se si vuole che venga fatto il badge altrimenti NO. non lasciare celle VUOTE
======</t>
        </r>
      </text>
    </comment>
    <comment ref="DM12" authorId="0" shapeId="0" xr:uid="{00000000-0006-0000-0000-000006000000}">
      <text>
        <r>
          <rPr>
            <sz val="10"/>
            <color rgb="FF000000"/>
            <rFont val="Calibri"/>
            <scheme val="minor"/>
          </rPr>
          <t>METTERE 1 se hanno campus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P26" authorId="0" shapeId="0" xr:uid="{00000000-0006-0000-0400-000001000000}">
      <text>
        <r>
          <rPr>
            <sz val="10"/>
            <color rgb="FF000000"/>
            <rFont val="Calibri"/>
            <scheme val="minor"/>
          </rPr>
          <t>no venerdì pomeriggio
======</t>
        </r>
      </text>
    </comment>
    <comment ref="AU42" authorId="0" shapeId="0" xr:uid="{00000000-0006-0000-0400-000002000000}">
      <text>
        <r>
          <rPr>
            <sz val="10"/>
            <color rgb="FF000000"/>
            <rFont val="Calibri"/>
            <scheme val="minor"/>
          </rPr>
          <t>NEGOZIAZIONE NEL 2023
======</t>
        </r>
      </text>
    </comment>
    <comment ref="AY42" authorId="0" shapeId="0" xr:uid="{00000000-0006-0000-0400-000003000000}">
      <text>
        <r>
          <rPr>
            <sz val="10"/>
            <color rgb="FF000000"/>
            <rFont val="Calibri"/>
            <scheme val="minor"/>
          </rPr>
          <t>NEGOZIAZIONE NEL 2023
======</t>
        </r>
      </text>
    </comment>
    <comment ref="AS73" authorId="0" shapeId="0" xr:uid="{00000000-0006-0000-0400-000004000000}">
      <text>
        <r>
          <rPr>
            <sz val="10"/>
            <color rgb="FF000000"/>
            <rFont val="Calibri"/>
            <scheme val="minor"/>
          </rPr>
          <t>ammalata
======</t>
        </r>
      </text>
    </comment>
    <comment ref="BL220" authorId="0" shapeId="0" xr:uid="{00000000-0006-0000-0400-000005000000}">
      <text>
        <r>
          <rPr>
            <sz val="10"/>
            <color rgb="FF000000"/>
            <rFont val="Calibri"/>
            <scheme val="minor"/>
          </rPr>
          <t>riconosciuto a Marco perchè gestita da lui
======</t>
        </r>
      </text>
    </comment>
    <comment ref="AT221" authorId="0" shapeId="0" xr:uid="{00000000-0006-0000-0400-000006000000}">
      <text>
        <r>
          <rPr>
            <sz val="10"/>
            <color rgb="FF000000"/>
            <rFont val="Calibri"/>
            <scheme val="minor"/>
          </rPr>
          <t>assente domenica 6/11
======</t>
        </r>
      </text>
    </comment>
    <comment ref="AS268" authorId="0" shapeId="0" xr:uid="{00000000-0006-0000-0400-000007000000}">
      <text>
        <r>
          <rPr>
            <sz val="10"/>
            <color rgb="FF000000"/>
            <rFont val="Calibri"/>
            <scheme val="minor"/>
          </rPr>
          <t>NO VENERD'
======</t>
        </r>
      </text>
    </comment>
    <comment ref="AS272" authorId="0" shapeId="0" xr:uid="{00000000-0006-0000-0400-000008000000}">
      <text>
        <r>
          <rPr>
            <sz val="10"/>
            <color rgb="FF000000"/>
            <rFont val="Calibri"/>
            <scheme val="minor"/>
          </rPr>
          <t>NO DOMENICA
======</t>
        </r>
      </text>
    </comment>
    <comment ref="AS274" authorId="0" shapeId="0" xr:uid="{00000000-0006-0000-0400-000009000000}">
      <text>
        <r>
          <rPr>
            <sz val="10"/>
            <color rgb="FF000000"/>
            <rFont val="Calibri"/>
            <scheme val="minor"/>
          </rPr>
          <t>SOLO VENERD'
======</t>
        </r>
      </text>
    </comment>
    <comment ref="AS284" authorId="0" shapeId="0" xr:uid="{00000000-0006-0000-0400-00000A000000}">
      <text>
        <r>
          <rPr>
            <sz val="10"/>
            <color rgb="FF000000"/>
            <rFont val="Calibri"/>
            <scheme val="minor"/>
          </rPr>
          <t>NO DOMENICA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I36" authorId="0" shapeId="0" xr:uid="{00000000-0006-0000-0C00-000001000000}">
      <text>
        <r>
          <rPr>
            <sz val="10"/>
            <color rgb="FF000000"/>
            <rFont val="Calibri"/>
            <scheme val="minor"/>
          </rPr>
          <t>======
ID#AAAAVm3HtNc
Katiu    (2022-02-17 14:33:48)
SA € 11.800 VT € 11.950 VS € 12.400
N   €   8.650</t>
        </r>
      </text>
    </comment>
  </commentList>
  <extLst>
    <ext xmlns:r="http://schemas.openxmlformats.org/officeDocument/2006/relationships" uri="GoogleSheetsCustomDataVersion2">
      <go:sheetsCustomData xmlns:go="http://customooxmlschemas.google.com/" r:id="rId1" roundtripDataSignature="AMtx7mh6N57VgTVKPffjnJNov8vQrGKOng=="/>
    </ext>
  </extLst>
</comments>
</file>

<file path=xl/sharedStrings.xml><?xml version="1.0" encoding="utf-8"?>
<sst xmlns="http://schemas.openxmlformats.org/spreadsheetml/2006/main" count="28643" uniqueCount="6443">
  <si>
    <t>LEGENDA (evidenziazione del Nome e Cognome)</t>
  </si>
  <si>
    <t>LEGENDA (evidenziazione nella cella VT, VS e N)</t>
  </si>
  <si>
    <t>Iscritti da VB2B mar 23</t>
  </si>
  <si>
    <t>Confermata presenza al modulo</t>
  </si>
  <si>
    <t>Iscritti da VB2B set 22</t>
  </si>
  <si>
    <t>Da contattare e gestire</t>
  </si>
  <si>
    <t>Iscritti da VB2B mar 22</t>
  </si>
  <si>
    <t>Pagamento in ritardo o da monitorare</t>
  </si>
  <si>
    <t>Nuovi iscritti Primavera 23, fuori da VB2B</t>
  </si>
  <si>
    <t>SE NON HA PAGATO o Pagato Acconto ma "scomparsi" METTIAMO C</t>
  </si>
  <si>
    <t>Nuovi iscritti Autunno 22, fuori da VB2B</t>
  </si>
  <si>
    <t>Se ha iniziato a pagare e sono "attivi" mettiamo P</t>
  </si>
  <si>
    <t>Nuovi iscritti Primavera 22, fuori da VB2B</t>
  </si>
  <si>
    <t xml:space="preserve">SE HA PAGATO E NON HA DETTO QUANDO PARTECIPA METTIAMO F?  </t>
  </si>
  <si>
    <t xml:space="preserve">PROVENIENZA </t>
  </si>
  <si>
    <t>#</t>
  </si>
  <si>
    <t>Presente VT</t>
  </si>
  <si>
    <t>Presente VS</t>
  </si>
  <si>
    <t>Presente N</t>
  </si>
  <si>
    <t>NOME</t>
  </si>
  <si>
    <t>COGNOME</t>
  </si>
  <si>
    <t>Mail</t>
  </si>
  <si>
    <t>Nome e Cognome</t>
  </si>
  <si>
    <t>Telefono</t>
  </si>
  <si>
    <t>NOTE</t>
  </si>
  <si>
    <t>Ruolo</t>
  </si>
  <si>
    <t>Azienda K-Chain</t>
  </si>
  <si>
    <t>CF</t>
  </si>
  <si>
    <t>PI</t>
  </si>
  <si>
    <t>AZIENDA</t>
  </si>
  <si>
    <t>INDIRIZZO</t>
  </si>
  <si>
    <t>CAP</t>
  </si>
  <si>
    <t>PAESE</t>
  </si>
  <si>
    <t>PROVINCIA</t>
  </si>
  <si>
    <t xml:space="preserve">ANCODLIN
</t>
  </si>
  <si>
    <t>EMAIL</t>
  </si>
  <si>
    <t>ANCONSUP</t>
  </si>
  <si>
    <t>ANCOGNOM</t>
  </si>
  <si>
    <t>AN__NOME</t>
  </si>
  <si>
    <t>SDI</t>
  </si>
  <si>
    <t>Indirizzo PEC</t>
  </si>
  <si>
    <t>Fattura Inviata</t>
  </si>
  <si>
    <t>NOTE MASTER</t>
  </si>
  <si>
    <t>VS 20</t>
  </si>
  <si>
    <t>N 20</t>
  </si>
  <si>
    <t>VT 21</t>
  </si>
  <si>
    <t>VS 21</t>
  </si>
  <si>
    <t>N 21</t>
  </si>
  <si>
    <t>VT 22-1</t>
  </si>
  <si>
    <t>VS 22-1</t>
  </si>
  <si>
    <t>N 22-1</t>
  </si>
  <si>
    <t>VT 22-2</t>
  </si>
  <si>
    <t>VS 22-2</t>
  </si>
  <si>
    <t>N 22-2</t>
  </si>
  <si>
    <t>VT 23-1</t>
  </si>
  <si>
    <t>VS 23-1</t>
  </si>
  <si>
    <t>N 23-1</t>
  </si>
  <si>
    <t>VT 23-2</t>
  </si>
  <si>
    <t>VS 23-2</t>
  </si>
  <si>
    <t>N 23-2</t>
  </si>
  <si>
    <t>VT 24-1</t>
  </si>
  <si>
    <t>VS 24-1</t>
  </si>
  <si>
    <t>N 24-1</t>
  </si>
  <si>
    <t>Prezzo (IVA esclusa)</t>
  </si>
  <si>
    <t>Pagamenti Tot. (IVA esclusa)</t>
  </si>
  <si>
    <t>Da saldare (IVA esclusa)</t>
  </si>
  <si>
    <t>Prezzo Da Imputare nel Consuntivatore MiV 22-1
(VT 900 Euro - VS 1.340 Euro - N 757 Euro)</t>
  </si>
  <si>
    <t>Prezzo Da Imputare nel Consuntivatore MiV 22-2
(VT 900 Euro - VS 1.340 Euro - N 757 Euro)</t>
  </si>
  <si>
    <t>Prezzo Da Imputare nel Consuntivatore  MiV 23-1
(VT 900 Euro - VS 1.340 Euro - N 757 Euro)</t>
  </si>
  <si>
    <t>Prezzo Da Imputare nel Consuntivatore  MiV 23-2
(VT 900 Euro - VS 1.340 Euro - N 757 Euro)</t>
  </si>
  <si>
    <t>Prezzo Da Imputare nel Consuntivatore  MiV 24-1
(VT 900 Euro - VS 1.340 Euro - N 757 Euro)</t>
  </si>
  <si>
    <t>SOURCE</t>
  </si>
  <si>
    <t>Provvigioni SOURCE (%)</t>
  </si>
  <si>
    <t>Provvigioni SOURCE (€) da Imputare nel Consuntivatore dell'Evento o MiV in Corso</t>
  </si>
  <si>
    <t>Provvigioni SOURCE (€) da Imputare nel CE Miv 23-2</t>
  </si>
  <si>
    <t>Provvigioni SOURCE (€) da Imputare nel Prossimo Evento o MiV</t>
  </si>
  <si>
    <t>Note Pagamento alla SOURCE</t>
  </si>
  <si>
    <t>Trattativa e Chiusura
ACCOUNT blackship</t>
  </si>
  <si>
    <t>Provvigioni Trattativa e Chiusura ACCOUNT (%)</t>
  </si>
  <si>
    <t>Provvigioni ACCOUNT  (€) da Imputare nel Consuntivatore dell'Evento o MiV in Corso</t>
  </si>
  <si>
    <t>Provvigioni ACCOUNT (€) da Imputare nel Consuntivatore dell'Evento o MiV in Corso</t>
  </si>
  <si>
    <t>Provvigioni ACCOUNT (€) da Imputare nel Prossimo Evento o MiV</t>
  </si>
  <si>
    <t>Note Pagamento all'Account</t>
  </si>
  <si>
    <t>Pagamento Tranche I (IVA esclusa)</t>
  </si>
  <si>
    <t>Entro (Data)</t>
  </si>
  <si>
    <t>Pagato (IVA esclusa)</t>
  </si>
  <si>
    <t>Pagamento Tranche II (IVA esclusa)</t>
  </si>
  <si>
    <t>Pagamento Tranche III (IVA esclusa)</t>
  </si>
  <si>
    <t>Pagamento Tranche IV (IVA esclusa)</t>
  </si>
  <si>
    <t>Pagamento Tranche V (IVA esclusa)</t>
  </si>
  <si>
    <t>Diritto al Sales Attitude (1 Sì - 0 NO)</t>
  </si>
  <si>
    <t>Note del Sales Attitude</t>
  </si>
  <si>
    <t>Canale Acquisizione</t>
  </si>
  <si>
    <t>*Canale Acquisizione Dettaglio</t>
  </si>
  <si>
    <t>CONSEGNARE PRIVACY (X chi L'HA CONSEGNATA)</t>
  </si>
  <si>
    <t>Dentro al SB (Diritto alla Rifrequenza)</t>
  </si>
  <si>
    <t>Settore Appartenenza x Tabelau</t>
  </si>
  <si>
    <t>Società Etichetta x Tableau</t>
  </si>
  <si>
    <t>CITTA'  per Tableau</t>
  </si>
  <si>
    <t>Provvigioni SOURCE (€) da PAGARE</t>
  </si>
  <si>
    <t>Provvigioni ACCOUNT (€) da PAGARE</t>
  </si>
  <si>
    <t>ACCOUNT</t>
  </si>
  <si>
    <t>Partecipa Speed Date</t>
  </si>
  <si>
    <t>ESPORTARE</t>
  </si>
  <si>
    <t>ESPORTATO</t>
  </si>
  <si>
    <t>Check Source</t>
  </si>
  <si>
    <t>Check Account</t>
  </si>
  <si>
    <t>CAMPUS</t>
  </si>
  <si>
    <t>VB2B mar 23</t>
  </si>
  <si>
    <t>Ada</t>
  </si>
  <si>
    <t>Garombo</t>
  </si>
  <si>
    <t>info@design-iam.com</t>
  </si>
  <si>
    <t>Titolare</t>
  </si>
  <si>
    <t>IAM - INTERNI e DESIGN</t>
  </si>
  <si>
    <t>513/MA-23</t>
  </si>
  <si>
    <t>F</t>
  </si>
  <si>
    <t>R</t>
  </si>
  <si>
    <t>blackship</t>
  </si>
  <si>
    <t>-</t>
  </si>
  <si>
    <t>Raffaella</t>
  </si>
  <si>
    <t>Pagata tutta a maggio 2023</t>
  </si>
  <si>
    <t>HA CONFERMATO SA 23</t>
  </si>
  <si>
    <t>x</t>
  </si>
  <si>
    <t>Interior Design</t>
  </si>
  <si>
    <t>Iam - Interni e Design</t>
  </si>
  <si>
    <t>TORINO</t>
  </si>
  <si>
    <t>SI</t>
  </si>
  <si>
    <t>Nicola</t>
  </si>
  <si>
    <t>Larcher</t>
  </si>
  <si>
    <t>nlarcher@opt-ita.com</t>
  </si>
  <si>
    <t>Direttore di produzione</t>
  </si>
  <si>
    <t>OPT SURGISYSTEMS</t>
  </si>
  <si>
    <t>596/MA-23</t>
  </si>
  <si>
    <t>Cristian B</t>
  </si>
  <si>
    <t>Medicale (vendita tavoli operatori, passamalati, lampade scialitiche e pensili)</t>
  </si>
  <si>
    <t>Alessandro</t>
  </si>
  <si>
    <t>D’Amico</t>
  </si>
  <si>
    <t>alessandro.damico@ribesolutions.it</t>
  </si>
  <si>
    <t>CEO</t>
  </si>
  <si>
    <t>RIBES SOLUTIONS</t>
  </si>
  <si>
    <t>510/MA-23</t>
  </si>
  <si>
    <t>Daniele</t>
  </si>
  <si>
    <t>Pagata tutta a luglio 2023</t>
  </si>
  <si>
    <t>Servizi e Consulenza IT</t>
  </si>
  <si>
    <t xml:space="preserve">TORINO </t>
  </si>
  <si>
    <t>Franceschini</t>
  </si>
  <si>
    <t>alessandrofranceschini.info@gmail.com</t>
  </si>
  <si>
    <t>3911128863</t>
  </si>
  <si>
    <t>Detto anche che essendo una StartUp non avevano comunque a budget l'investimento, poi detto che non era un tema di investimento</t>
  </si>
  <si>
    <t xml:space="preserve">Sales &amp; logistic manager </t>
  </si>
  <si>
    <t>SQUP</t>
  </si>
  <si>
    <t>C</t>
  </si>
  <si>
    <t>Client Angel</t>
  </si>
  <si>
    <t>??</t>
  </si>
  <si>
    <t>NO</t>
  </si>
  <si>
    <t>Marchesi</t>
  </si>
  <si>
    <t>alessandro.marchesi@globalutilities.it</t>
  </si>
  <si>
    <t>NON risponde</t>
  </si>
  <si>
    <t>Responsabile Commerciale/Responsabile tecnico</t>
  </si>
  <si>
    <t>GLOBAL UTILITIES</t>
  </si>
  <si>
    <t>Gianluca</t>
  </si>
  <si>
    <t>Volpe</t>
  </si>
  <si>
    <t>ale_fox97@hotmail.it</t>
  </si>
  <si>
    <t>3313266473</t>
  </si>
  <si>
    <t>V MEDIA</t>
  </si>
  <si>
    <t>D</t>
  </si>
  <si>
    <t>Matteo</t>
  </si>
  <si>
    <t>Alessia</t>
  </si>
  <si>
    <t>Passarini</t>
  </si>
  <si>
    <t>alessia.passarini.ap@gmail.com</t>
  </si>
  <si>
    <t>+41 787512310</t>
  </si>
  <si>
    <t>Project Manager</t>
  </si>
  <si>
    <t>Città di Lugano</t>
  </si>
  <si>
    <t>552/MA-23</t>
  </si>
  <si>
    <t>Pagata tutta a giugno 2023</t>
  </si>
  <si>
    <t>Edilizia Pubblica</t>
  </si>
  <si>
    <t>VIGANELLO (SVIZZERA)</t>
  </si>
  <si>
    <t>Ambra</t>
  </si>
  <si>
    <t>Guasconi</t>
  </si>
  <si>
    <t>guasconi.ambra@gmail.com</t>
  </si>
  <si>
    <t>faremo entrambi un bonifico di 200€ e poi Luigi salderà ad Ottobre ed io prima dell'estate va bene</t>
  </si>
  <si>
    <t>Consulente aziendale</t>
  </si>
  <si>
    <t>GOLDEN GROUP</t>
  </si>
  <si>
    <t>520/MA-23 - 1330/MA-23</t>
  </si>
  <si>
    <t>Cristian A</t>
  </si>
  <si>
    <t>Pagata tutta a ottobre 2023</t>
  </si>
  <si>
    <t>Consulenza e Finanza Agevolata</t>
  </si>
  <si>
    <t>FIRENZE</t>
  </si>
  <si>
    <t>Andrea</t>
  </si>
  <si>
    <t>Bono</t>
  </si>
  <si>
    <t>bonoandrea04@gmail.com</t>
  </si>
  <si>
    <t>Non indicare i nomi dei partecipanti in fattura</t>
  </si>
  <si>
    <t>DEPUR-VEBO</t>
  </si>
  <si>
    <t>537/MA-23</t>
  </si>
  <si>
    <t>FD</t>
  </si>
  <si>
    <t>Depurazione Acqua</t>
  </si>
  <si>
    <t>RODENGO SAIANO (BS)</t>
  </si>
  <si>
    <t>Laurini</t>
  </si>
  <si>
    <t>andrea.laurini@nomblindature.com</t>
  </si>
  <si>
    <t xml:space="preserve">SALES MANAGER </t>
  </si>
  <si>
    <t>VEICOLI BLINDATI NOM</t>
  </si>
  <si>
    <t>685/MA-23 - 1472/MA-23</t>
  </si>
  <si>
    <t>Allestimento Veicoli</t>
  </si>
  <si>
    <t>CASIER (TV)</t>
  </si>
  <si>
    <t>Luca</t>
  </si>
  <si>
    <t>Guerretta</t>
  </si>
  <si>
    <t>luca.guerretta@nomblindature.com</t>
  </si>
  <si>
    <t>685/MA-23</t>
  </si>
  <si>
    <t>Sara</t>
  </si>
  <si>
    <t>sara.guerretta@nomblindature.com</t>
  </si>
  <si>
    <t>Silvestri</t>
  </si>
  <si>
    <t>a.silvestri@rigsavecapital.com</t>
  </si>
  <si>
    <t>Fatturazione a Matteo Limenta, pagamento il ???</t>
  </si>
  <si>
    <t>Relationship associate</t>
  </si>
  <si>
    <t>RIGSAVE CAPITAL</t>
  </si>
  <si>
    <t>X</t>
  </si>
  <si>
    <t>Giulia</t>
  </si>
  <si>
    <t>Moraglia</t>
  </si>
  <si>
    <t>g.moraglia@rigsavecapital.com</t>
  </si>
  <si>
    <t>Relationship Manager</t>
  </si>
  <si>
    <t>Sabrina</t>
  </si>
  <si>
    <t>Rudino</t>
  </si>
  <si>
    <t>sabrina.rudino@ribesolutions.it</t>
  </si>
  <si>
    <t>Andrea Carlo Carena, sostituito in data 06/10/2023 con Sabrina Rudino</t>
  </si>
  <si>
    <t xml:space="preserve">510/MA-23 </t>
  </si>
  <si>
    <t>Julius Andreas</t>
  </si>
  <si>
    <t>Bergman</t>
  </si>
  <si>
    <t>andreas.bergman@eurocomponents.eu</t>
  </si>
  <si>
    <t>opzione di pagamento e date da confermare. Momento di difficoltà aziendale, stanno facendo tagli anche su altre cose e quindi problema economico.</t>
  </si>
  <si>
    <t>EUROCOMPONENTS</t>
  </si>
  <si>
    <t>Annachiara</t>
  </si>
  <si>
    <t>Dodini</t>
  </si>
  <si>
    <t>nanna.dodini@hotmail.it</t>
  </si>
  <si>
    <t>NON INDICARE NOME PARTECIPANTE IN FATTURA</t>
  </si>
  <si>
    <t>Social Media 
Manager 
e Copywriter</t>
  </si>
  <si>
    <t>535/MA-23</t>
  </si>
  <si>
    <t>Comunicazione e Marketing Digitale</t>
  </si>
  <si>
    <t>PADOVA</t>
  </si>
  <si>
    <t>Carlo</t>
  </si>
  <si>
    <t>Bonanno</t>
  </si>
  <si>
    <t>carlo.bonanno@paghera.com</t>
  </si>
  <si>
    <t>30.09.23 Marco - Difficoltà economiche. Rinviato ad edizione 2024</t>
  </si>
  <si>
    <t>General Sales Manager</t>
  </si>
  <si>
    <t>PAGHERA ECOPROJECT GROUP</t>
  </si>
  <si>
    <t>550/MA-23</t>
  </si>
  <si>
    <t>P</t>
  </si>
  <si>
    <t>Marco</t>
  </si>
  <si>
    <t>DA DEFINIRE IL SALDO</t>
  </si>
  <si>
    <t>Progettazione e realizzazione paesaggio</t>
  </si>
  <si>
    <t>Bonati</t>
  </si>
  <si>
    <t>carlo.bonati84@gmail.com</t>
  </si>
  <si>
    <t>Area Manager</t>
  </si>
  <si>
    <t>TRAVAGLINI</t>
  </si>
  <si>
    <t>591/MA-23</t>
  </si>
  <si>
    <t>Metalmeccanico a servizio dell'alimentare</t>
  </si>
  <si>
    <t>CINISELLO BALSAMO (MI)</t>
  </si>
  <si>
    <t>Carlo Roberto</t>
  </si>
  <si>
    <t>Mariano</t>
  </si>
  <si>
    <t>carlo@3msolutions.it</t>
  </si>
  <si>
    <t>Amministratore</t>
  </si>
  <si>
    <t>3MSOLUTIONS</t>
  </si>
  <si>
    <t>509/MA-23</t>
  </si>
  <si>
    <t>Pacci</t>
  </si>
  <si>
    <t>Connettività e Servizi Informatici</t>
  </si>
  <si>
    <t>MILANO</t>
  </si>
  <si>
    <t>Carlotta</t>
  </si>
  <si>
    <t>Corrias</t>
  </si>
  <si>
    <t>1996carlotta@gmail.com</t>
  </si>
  <si>
    <t>3491086526</t>
  </si>
  <si>
    <t>CI FA SAPERE ENTRO 24/3</t>
  </si>
  <si>
    <t>VALDERA COLOR</t>
  </si>
  <si>
    <t>Clementina</t>
  </si>
  <si>
    <t>clementinacorrias99@gmail.com</t>
  </si>
  <si>
    <t>3428038476</t>
  </si>
  <si>
    <t>CI FA SAPERE ENTRO 24/3. Disdetta</t>
  </si>
  <si>
    <t>Chiara</t>
  </si>
  <si>
    <t>Alzati</t>
  </si>
  <si>
    <t>chiara@chiaraalzatisrl.it</t>
  </si>
  <si>
    <t>CEO &amp; Founder</t>
  </si>
  <si>
    <t>645/MA-23</t>
  </si>
  <si>
    <t>Consulenza e Formazione</t>
  </si>
  <si>
    <t>ABBIATEGRASSO (MI)</t>
  </si>
  <si>
    <t>Invernizzi</t>
  </si>
  <si>
    <t>chiara@invernizziass.it</t>
  </si>
  <si>
    <t>Agente e direttore commerciale</t>
  </si>
  <si>
    <t>INVERNIZZI ASSICURAZIONI</t>
  </si>
  <si>
    <t>544/MA-23</t>
  </si>
  <si>
    <t>Riccardo</t>
  </si>
  <si>
    <t>Assicurazione</t>
  </si>
  <si>
    <t>LECCO</t>
  </si>
  <si>
    <t>Claudio</t>
  </si>
  <si>
    <t>Ghilardini</t>
  </si>
  <si>
    <t>claudio.ghilardini@gmail.com</t>
  </si>
  <si>
    <t>non indicare nome partecipante</t>
  </si>
  <si>
    <t>Sales Agent</t>
  </si>
  <si>
    <t>MOVEO RENT</t>
  </si>
  <si>
    <t>531/MA-23</t>
  </si>
  <si>
    <t>RD</t>
  </si>
  <si>
    <t>Noleggio Auto Medio Lungo Termine</t>
  </si>
  <si>
    <t>CASTEL GOFFREDO (MN)</t>
  </si>
  <si>
    <t>Cristina</t>
  </si>
  <si>
    <t>Pasqualotto</t>
  </si>
  <si>
    <t>cristina@hypatia.consulting</t>
  </si>
  <si>
    <t>3479087515</t>
  </si>
  <si>
    <t>A.D.</t>
  </si>
  <si>
    <t>HYPATIA CONSULTING</t>
  </si>
  <si>
    <t>583/MA-23</t>
  </si>
  <si>
    <t>Consulenza HR</t>
  </si>
  <si>
    <t>Trombetta</t>
  </si>
  <si>
    <t>cristina.trombetta@gmail.com</t>
  </si>
  <si>
    <t>+41 793109058</t>
  </si>
  <si>
    <t>Engineering 
Consultant</t>
  </si>
  <si>
    <t>CC4U</t>
  </si>
  <si>
    <t>533/MA-23</t>
  </si>
  <si>
    <t>Engineering &amp; PM</t>
  </si>
  <si>
    <t>TORNO (CO)</t>
  </si>
  <si>
    <t>Lombardi</t>
  </si>
  <si>
    <t>daniele.lombardi84@gmail.com</t>
  </si>
  <si>
    <t>DEVE PARLARE CON L'AZIENDA. Vorrebbe portare tutto il Team Commerciale (sono in 3). Invitato Titolare e direttore Commerciale al Tour di Giugno 23. Ci sentiamo il 4 maggio per aggiornamenti su partecipazione e budget con HR per MiV. Dopo Tour applicato metodologia, trattiva da 8Milioni sta girando bene (è 1/3 del loro fatturato).</t>
  </si>
  <si>
    <t>Sales Engineer</t>
  </si>
  <si>
    <t>NOVASTILMEC</t>
  </si>
  <si>
    <t>Davide</t>
  </si>
  <si>
    <t>Tisato</t>
  </si>
  <si>
    <t>davide.tisato@areaseb.it</t>
  </si>
  <si>
    <t>Socio Titolare, consulente web, commerciale</t>
  </si>
  <si>
    <t>AREASEB</t>
  </si>
  <si>
    <t>534/MA-23</t>
  </si>
  <si>
    <t>IT, Web Agency e Software</t>
  </si>
  <si>
    <t>BASSANO DEL GRAPPA (VI)</t>
  </si>
  <si>
    <t>Diego</t>
  </si>
  <si>
    <t>Brunelli</t>
  </si>
  <si>
    <t>vendite@ellepack.it</t>
  </si>
  <si>
    <t>Fatto cambio nome da Diego che aveva acquistato il master da VB2B mar 23 a Simonetta Isella, acquistato invece da VB2B set 23</t>
  </si>
  <si>
    <t>Responsabile Commerciale</t>
  </si>
  <si>
    <t>ELLEPACK</t>
  </si>
  <si>
    <t>P?</t>
  </si>
  <si>
    <t>Gomma plastica</t>
  </si>
  <si>
    <t>Ravenna</t>
  </si>
  <si>
    <t>diego.ravenna@gmail.com</t>
  </si>
  <si>
    <t>Fotografo</t>
  </si>
  <si>
    <t>569/MA-23 / 647/MA-23 / NC 649/MA-23</t>
  </si>
  <si>
    <t>Fotografia</t>
  </si>
  <si>
    <t xml:space="preserve">SAN GENESIO ED UNITI (PV) </t>
  </si>
  <si>
    <t>Domenico</t>
  </si>
  <si>
    <t>De Vito</t>
  </si>
  <si>
    <t>devdom66@gmail.com</t>
  </si>
  <si>
    <t>FORSE X 3 PARTECIPANTI. se porta 3 persone allora sconto di 200+iva nel totale: Forse vengono ad ottobre se Pacci li convince</t>
  </si>
  <si>
    <t>Amministratore Unico</t>
  </si>
  <si>
    <t>MEDICALTOOLS</t>
  </si>
  <si>
    <t>Partecipante 1 Domenico De Vito</t>
  </si>
  <si>
    <t>Partecipante 2 Domenico De Vito</t>
  </si>
  <si>
    <t>Dipinto</t>
  </si>
  <si>
    <t>dom.dip@live.com</t>
  </si>
  <si>
    <t>3484704935</t>
  </si>
  <si>
    <t>CONFERMATO PRESENZA AL MIV 25/9 ORE 14,12</t>
  </si>
  <si>
    <t>Amministratore Delegato</t>
  </si>
  <si>
    <t>DIPINTOSUCCI</t>
  </si>
  <si>
    <t>530/MA-23</t>
  </si>
  <si>
    <t>pagata tutta a giugno 2023</t>
  </si>
  <si>
    <t>Architettura del Paesaggio</t>
  </si>
  <si>
    <t>FORLI' (FC)</t>
  </si>
  <si>
    <t>Vettorello</t>
  </si>
  <si>
    <t>domenicovettorello@vettorellosrl.it</t>
  </si>
  <si>
    <t>3355801310</t>
  </si>
  <si>
    <t>General Manager</t>
  </si>
  <si>
    <t>VETTORELLO</t>
  </si>
  <si>
    <t>526/MA-23</t>
  </si>
  <si>
    <t>Metalmeccanico</t>
  </si>
  <si>
    <t>Eddy</t>
  </si>
  <si>
    <t>Gemin</t>
  </si>
  <si>
    <t>egemin@emergo.srl</t>
  </si>
  <si>
    <t>3665707277</t>
  </si>
  <si>
    <t>Resp. commerciale - Divisione medicale</t>
  </si>
  <si>
    <t>IM GROUP</t>
  </si>
  <si>
    <t>715/MA-23</t>
  </si>
  <si>
    <t>Medicale</t>
  </si>
  <si>
    <t>Edo</t>
  </si>
  <si>
    <t>Falini</t>
  </si>
  <si>
    <t>edo.falini@itinerascuolaonline.it</t>
  </si>
  <si>
    <t>3204433229</t>
  </si>
  <si>
    <t>Consulente didattico</t>
  </si>
  <si>
    <t>ITINERA SCUOLA ON LINE</t>
  </si>
  <si>
    <t>GIulia</t>
  </si>
  <si>
    <t>Ricciarini</t>
  </si>
  <si>
    <t>giulia.ricciarini@itinerascuolaonline.it</t>
  </si>
  <si>
    <t>3487428109</t>
  </si>
  <si>
    <t>iscriviamo anche la sua collega (?!?!?)</t>
  </si>
  <si>
    <t>Tutor e Coordinamento</t>
  </si>
  <si>
    <t>Saverio</t>
  </si>
  <si>
    <t>Vitucci</t>
  </si>
  <si>
    <t>saverio.vitucci@itinerascuolaonline.it</t>
  </si>
  <si>
    <t>Consulente Didattico</t>
  </si>
  <si>
    <t>Elena</t>
  </si>
  <si>
    <t>Dossi</t>
  </si>
  <si>
    <t>info@rinchiudetely.it</t>
  </si>
  <si>
    <t>Professional organizer</t>
  </si>
  <si>
    <t xml:space="preserve">RINCHIUDETELY </t>
  </si>
  <si>
    <t>527/MA-23 - 743/MA-23 - 857/MA-23</t>
  </si>
  <si>
    <t>Arianna</t>
  </si>
  <si>
    <t>Servizi per la persona (decluttering e stile di vita organizzato)</t>
  </si>
  <si>
    <t>Eleonora</t>
  </si>
  <si>
    <t>Zeni</t>
  </si>
  <si>
    <t>ezeni@ellefree.com</t>
  </si>
  <si>
    <t>3357208627</t>
  </si>
  <si>
    <t>CONFERMA ENTRO IL 21/03/2023</t>
  </si>
  <si>
    <t>Co-founder</t>
  </si>
  <si>
    <t xml:space="preserve">ELLEFREE SRL </t>
  </si>
  <si>
    <t>Stefano</t>
  </si>
  <si>
    <t>Elia</t>
  </si>
  <si>
    <t>Cainarca</t>
  </si>
  <si>
    <t>eliacainarca00@gmail.com</t>
  </si>
  <si>
    <t>IN DATA 26/03 HA CHIESTO DI MODIFICARE P/TO IN 3 RATE</t>
  </si>
  <si>
    <t>MOLLFAM</t>
  </si>
  <si>
    <t>594/MA-23</t>
  </si>
  <si>
    <t>Barbara</t>
  </si>
  <si>
    <t>Mollificio</t>
  </si>
  <si>
    <t>CORNAREDO (MI)</t>
  </si>
  <si>
    <t>Elio</t>
  </si>
  <si>
    <t>Catarinella</t>
  </si>
  <si>
    <t>elio.catarinella@ca-indosuez.it</t>
  </si>
  <si>
    <t>Senior Wealth Manager</t>
  </si>
  <si>
    <t>CA INDOSUEZ WEALTH</t>
  </si>
  <si>
    <t>511/MA-23 - 736/MA-23 - 833/MA-23</t>
  </si>
  <si>
    <t>Finanza</t>
  </si>
  <si>
    <t>Emiliano</t>
  </si>
  <si>
    <t>Rabaglino</t>
  </si>
  <si>
    <t>emiliano.rabaglino@ribesolutions.it</t>
  </si>
  <si>
    <t>Sales director</t>
  </si>
  <si>
    <t>Enrico</t>
  </si>
  <si>
    <t>Benassuti</t>
  </si>
  <si>
    <t>enrico.benassuti@gmail.com</t>
  </si>
  <si>
    <t>TLC MB &amp; Web Sales Director</t>
  </si>
  <si>
    <t>BE-LAB - AXERA</t>
  </si>
  <si>
    <t>592/MA-23</t>
  </si>
  <si>
    <t>Telecomunication &amp; Information Technology</t>
  </si>
  <si>
    <t>MONTECCHIO MAGGIORE (VI)</t>
  </si>
  <si>
    <t>Rebuffo</t>
  </si>
  <si>
    <t>enrico.rebuffo@dgpro.it; enrico.rebuffo@gmail.com</t>
  </si>
  <si>
    <t>Partner</t>
  </si>
  <si>
    <t>DG PRO</t>
  </si>
  <si>
    <t>518/MA-23</t>
  </si>
  <si>
    <t>Consulenza e Servizi ICT</t>
  </si>
  <si>
    <t>GENOVA</t>
  </si>
  <si>
    <t>Fabiana</t>
  </si>
  <si>
    <t>Surace</t>
  </si>
  <si>
    <t>surace@cynomys.it</t>
  </si>
  <si>
    <t>da verificare intestazione fattura</t>
  </si>
  <si>
    <t>Co founder e KAM, sviluppo del mercato italiano, responsabile comunicazione e marketing</t>
  </si>
  <si>
    <t>CYNOMYS</t>
  </si>
  <si>
    <t>522/MA-23</t>
  </si>
  <si>
    <t>Terziario (Monitoraggio ambientale per la zootecnia)</t>
  </si>
  <si>
    <t>Fabio</t>
  </si>
  <si>
    <t>Buoncompagni</t>
  </si>
  <si>
    <t>info@fabiobuoncompagni.it</t>
  </si>
  <si>
    <t>Consulente finanziario</t>
  </si>
  <si>
    <t>512/MA-23 /648/MA-23 / NC 650/MA-23</t>
  </si>
  <si>
    <t>ROVATO (BS)</t>
  </si>
  <si>
    <t>Perozzo</t>
  </si>
  <si>
    <t>f.perozzo@centercoloreffe.it</t>
  </si>
  <si>
    <t>3284439297</t>
  </si>
  <si>
    <t>Probabile NO, perchè il collega ha confermato e lui no</t>
  </si>
  <si>
    <t>COLOR EFFE</t>
  </si>
  <si>
    <t>Fausto</t>
  </si>
  <si>
    <t>Mazzotti</t>
  </si>
  <si>
    <t>faustomazzotti@virgilio.it</t>
  </si>
  <si>
    <t>3311556143</t>
  </si>
  <si>
    <t>Amministratore Delegato e 
Socio di maggioranza</t>
  </si>
  <si>
    <t>RUSTICHELLI COLOR</t>
  </si>
  <si>
    <t>607/MA-23</t>
  </si>
  <si>
    <t>Distribuzione Pitture e Vernici</t>
  </si>
  <si>
    <t>LUGO (RA)</t>
  </si>
  <si>
    <t>Federico</t>
  </si>
  <si>
    <t>Schiavon</t>
  </si>
  <si>
    <t>federico-schiavon@alice.it</t>
  </si>
  <si>
    <t>525/MA-23 - 744/MA-23 - 856/MA-23</t>
  </si>
  <si>
    <t>Stampa, Cartotecnica e Packaging</t>
  </si>
  <si>
    <t>RUBANO (PD)</t>
  </si>
  <si>
    <t>Filippo</t>
  </si>
  <si>
    <t>Macchia</t>
  </si>
  <si>
    <t>filippomacchia.pet@gmail.com</t>
  </si>
  <si>
    <t>Agente di commercio plurimandatario</t>
  </si>
  <si>
    <t>521/MA-23</t>
  </si>
  <si>
    <t>Pet Food &amp; Pet Care</t>
  </si>
  <si>
    <t>RIMINI</t>
  </si>
  <si>
    <t>Scarabello</t>
  </si>
  <si>
    <t>scarabellofilippo@gmail.com</t>
  </si>
  <si>
    <t>CONFERMA A DANIELA ENTRO IL 24/03/2023</t>
  </si>
  <si>
    <t>Daniela</t>
  </si>
  <si>
    <t>Francesca</t>
  </si>
  <si>
    <t>Tonon</t>
  </si>
  <si>
    <t>f.tonon@prigen.it</t>
  </si>
  <si>
    <t>COO</t>
  </si>
  <si>
    <t>PRIGEN</t>
  </si>
  <si>
    <t>542/MA-23</t>
  </si>
  <si>
    <t>Cosmetica</t>
  </si>
  <si>
    <t>MONZA (MB)</t>
  </si>
  <si>
    <t>Zobbio</t>
  </si>
  <si>
    <t>francesca@zobbio.com</t>
  </si>
  <si>
    <t>Marketing &amp; Sales</t>
  </si>
  <si>
    <t>ZD ZOBBIO MACCHINE UTENSILI</t>
  </si>
  <si>
    <t>515/MA-23</t>
  </si>
  <si>
    <t>Metalmeccanica</t>
  </si>
  <si>
    <t>CASTEGNATO (BS)</t>
  </si>
  <si>
    <t>Franco</t>
  </si>
  <si>
    <t>Artifoni</t>
  </si>
  <si>
    <t>f.artifoni@studioap.eu</t>
  </si>
  <si>
    <t>3479018346</t>
  </si>
  <si>
    <t>Architetto 
e Amministratore</t>
  </si>
  <si>
    <t>STUDIO AP ARCHITETTI</t>
  </si>
  <si>
    <t>600/MA-23</t>
  </si>
  <si>
    <t>Architettura e Interior Design</t>
  </si>
  <si>
    <t>Gabriele</t>
  </si>
  <si>
    <t>Gnali</t>
  </si>
  <si>
    <t>gabriele.gnali@basecreativa.it</t>
  </si>
  <si>
    <t>Venditore</t>
  </si>
  <si>
    <t>GiBiLogic e Base Creativa</t>
  </si>
  <si>
    <t>504/MA-23</t>
  </si>
  <si>
    <t>Siti Web e Sviluppo Applicativi</t>
  </si>
  <si>
    <t>Gibilogic e Base Creativa</t>
  </si>
  <si>
    <t xml:space="preserve">BRESCIA </t>
  </si>
  <si>
    <t>Raimondo</t>
  </si>
  <si>
    <t>gabrieleraimondo9@gmail.com</t>
  </si>
  <si>
    <t>Proporre un pagamento: le date le confermerà entro fine aprile</t>
  </si>
  <si>
    <t>Nutrizionista</t>
  </si>
  <si>
    <t>GABRIELE RAIMONDI</t>
  </si>
  <si>
    <t>Bruno</t>
  </si>
  <si>
    <t>Rambaldi</t>
  </si>
  <si>
    <t>g.rambaldi@centercoloreffe.it</t>
  </si>
  <si>
    <t>051881697</t>
  </si>
  <si>
    <t>TELEFONATA DEL 17/10/23 HA UN TRASLOCO IN CORSO E FORSE SPOSTA TUTTA LA PARTECIPAZIONE ALLA PROX EDIZIONE</t>
  </si>
  <si>
    <t>506/MA-23</t>
  </si>
  <si>
    <t>Pitture/Vernici/Decorazioni/Cartongesso per Edilizia</t>
  </si>
  <si>
    <t>BOLOGNA</t>
  </si>
  <si>
    <t>Tomasello</t>
  </si>
  <si>
    <t>gabriele.tomasello@mirasolecoop.it</t>
  </si>
  <si>
    <t>In attesa di info per finanziabilità e capire come fare. Richiamare sett. del 15 maggio</t>
  </si>
  <si>
    <t>Presidente</t>
  </si>
  <si>
    <t>MIRASOLE</t>
  </si>
  <si>
    <t>Giacomo Antonio</t>
  </si>
  <si>
    <t>Macrì</t>
  </si>
  <si>
    <t>giacomo.macri@leanbit.it</t>
  </si>
  <si>
    <t>3480076657</t>
  </si>
  <si>
    <t>Founder &amp; Software Engineer</t>
  </si>
  <si>
    <t>LEANBIT</t>
  </si>
  <si>
    <t>551/MA-23</t>
  </si>
  <si>
    <t>Software e Consulenza IT</t>
  </si>
  <si>
    <t>VIGONZA (PD)</t>
  </si>
  <si>
    <t>info@depurvebo.it</t>
  </si>
  <si>
    <t>Lunardi</t>
  </si>
  <si>
    <t>gianlucalunardi@yahoo.it</t>
  </si>
  <si>
    <t>AVERE CONFERMA DA SUO AD ENTRO IL 24/03/2023. Sentito il 3.8 confermato e ci aggiorniamo per pagamento ad ottobre. DISDETTA PERCHé CAMBIA AZIENDA. Cell Old. 3470780910. Lavorava qui: RLG SYSTEMS ITALIA. da risentire se nella nuova azienda li invitiamo al Tour o cosa</t>
  </si>
  <si>
    <t>ECS Account Manager</t>
  </si>
  <si>
    <t>543/MA-23</t>
  </si>
  <si>
    <t>Gestione rifiuti da AEE, pile e accumulatori, imballaggi</t>
  </si>
  <si>
    <t>Sagone</t>
  </si>
  <si>
    <t>gianluca.sagone@gmail.com</t>
  </si>
  <si>
    <t>30.9.23 Gian - Difficoltà economiche verrà edizione 2024</t>
  </si>
  <si>
    <t>Sales Manager Italia</t>
  </si>
  <si>
    <t>MEDICOTOP</t>
  </si>
  <si>
    <t>618/MA-23</t>
  </si>
  <si>
    <t>P24-2</t>
  </si>
  <si>
    <t>DA DEFINIRE</t>
  </si>
  <si>
    <t>SE NON SALDA, NO SA</t>
  </si>
  <si>
    <t>Giorgio</t>
  </si>
  <si>
    <t>Paris</t>
  </si>
  <si>
    <t>giorgio@parissilvestro.it</t>
  </si>
  <si>
    <t>Quality Manager</t>
  </si>
  <si>
    <t>PARIS SILVESTRO</t>
  </si>
  <si>
    <t>644/MA-23</t>
  </si>
  <si>
    <t>Manifatturiero gomma (rubber valley)</t>
  </si>
  <si>
    <t>Giovanni</t>
  </si>
  <si>
    <t>Aiello</t>
  </si>
  <si>
    <t>segreteria@studiodentisticoaiello.com</t>
  </si>
  <si>
    <t>CONFERMA ENTRO IL 23/03</t>
  </si>
  <si>
    <t>Odontoiatra</t>
  </si>
  <si>
    <t xml:space="preserve">STUDIO MEDICO ODONTOIATRICO AIELLO </t>
  </si>
  <si>
    <t>541/MA-23</t>
  </si>
  <si>
    <t>Medico Odontoiatrico</t>
  </si>
  <si>
    <t>VIMODRONE (MI)</t>
  </si>
  <si>
    <t>Airaghi</t>
  </si>
  <si>
    <t>g.airaghi@mdsonline.it</t>
  </si>
  <si>
    <t>3408494413</t>
  </si>
  <si>
    <t>CONFERMA ENTRO IL 23/03. Marco Ago 23. Conferm NON ci sono</t>
  </si>
  <si>
    <t>Sales Department</t>
  </si>
  <si>
    <t>M.D.S. ELECTRONICS</t>
  </si>
  <si>
    <t>Fossati</t>
  </si>
  <si>
    <t>contattaenyo@gmail.com</t>
  </si>
  <si>
    <t>EnYo</t>
  </si>
  <si>
    <t>Gremasi</t>
  </si>
  <si>
    <t>giulia.gremasi@vielleacustica.it</t>
  </si>
  <si>
    <t>Commerciale, Tecnico</t>
  </si>
  <si>
    <t>VIELLE ACUSTICA</t>
  </si>
  <si>
    <t>532/MA-23</t>
  </si>
  <si>
    <t>Vielle Acustica</t>
  </si>
  <si>
    <t>BUSTO ARSIZIO (VA)</t>
  </si>
  <si>
    <t>Giuseppe</t>
  </si>
  <si>
    <t>D'Armento</t>
  </si>
  <si>
    <t>g.darmento@systemssafetysrl.it</t>
  </si>
  <si>
    <t>in data 12/5/23 ha comunicato che partecipa edizione autunnale</t>
  </si>
  <si>
    <t xml:space="preserve">SYSTEMS &amp; SAFETY </t>
  </si>
  <si>
    <t>514/MA-23</t>
  </si>
  <si>
    <t>Consulenza Aziendale ambito Risorse Umane, Formazione e Sicurezza</t>
  </si>
  <si>
    <t xml:space="preserve">VERONA </t>
  </si>
  <si>
    <t>Giudice</t>
  </si>
  <si>
    <t>g.giudice@emironet.it</t>
  </si>
  <si>
    <t>NEGOZIAZIONE SOLO SABATO</t>
  </si>
  <si>
    <t>Sales Account Manager</t>
  </si>
  <si>
    <t>EMIRONET</t>
  </si>
  <si>
    <t>584/MA-23</t>
  </si>
  <si>
    <t>IT e Telecomunicazioni</t>
  </si>
  <si>
    <t xml:space="preserve">PARMA </t>
  </si>
  <si>
    <t>EX - Joaquin Tomas Beaulieu (licenziato)</t>
  </si>
  <si>
    <t>Iscritto da GP Studio</t>
  </si>
  <si>
    <t xml:space="preserve">GP PRONTO STUDIO TECNICO ha un "buono" di 2.797 €, MASTER PAGATO MA PERSONA NON LAVORA PIU LI - Partecipazione al MiV annullata con mail del 17/05/2023. </t>
  </si>
  <si>
    <t>GR PRONTO STUDIO TECNICO</t>
  </si>
  <si>
    <t>547/MA-23</t>
  </si>
  <si>
    <t>Gian Luca Boarini</t>
  </si>
  <si>
    <t>Edilizia/certificazione energetica</t>
  </si>
  <si>
    <t>Ido</t>
  </si>
  <si>
    <t>Miglioranza</t>
  </si>
  <si>
    <t>imiglioranza@emergo.srl</t>
  </si>
  <si>
    <t>3665707282</t>
  </si>
  <si>
    <t>Laura</t>
  </si>
  <si>
    <t>Tellaroli</t>
  </si>
  <si>
    <t>laura.tellaroli@eurocomponents.eu</t>
  </si>
  <si>
    <t>opzione di pagamento e date da confermare</t>
  </si>
  <si>
    <t>Lidia</t>
  </si>
  <si>
    <t>Milesi</t>
  </si>
  <si>
    <t>lidi.milesi@gmail.com</t>
  </si>
  <si>
    <t>30.9.23 Gian - Ha già fatto Sales Attitude perchè deve pagare rateale. Forse pagamento Azienda, NO news</t>
  </si>
  <si>
    <t>LIDIA MILESI</t>
  </si>
  <si>
    <t>Lorenzo</t>
  </si>
  <si>
    <t>Rossetti</t>
  </si>
  <si>
    <t>lorenzo.rossetti@nippongases.com</t>
  </si>
  <si>
    <t>Deve avere conferma dal titolare. Risentire a fine maggio perchè stanno valutando il progetto, ma ancora no news. Potrebbe essere di coinvolgere anche altri, ma tempi lunghi.</t>
  </si>
  <si>
    <t>Servizio Vendite</t>
  </si>
  <si>
    <t>NIPPON GASES</t>
  </si>
  <si>
    <t>Zini</t>
  </si>
  <si>
    <t>lorenzo.zini@farco.it</t>
  </si>
  <si>
    <t>Marco - AGO 23 - Conferma che ci sarà</t>
  </si>
  <si>
    <t>AD</t>
  </si>
  <si>
    <t>FARCO GROUP</t>
  </si>
  <si>
    <t>516/MA-23</t>
  </si>
  <si>
    <t>Sicurezza e Benessere sul Lavoro</t>
  </si>
  <si>
    <t>TORBOLE CASAGLIA (BS)</t>
  </si>
  <si>
    <t>Vezzoli</t>
  </si>
  <si>
    <t>luca.vezzoli@farco.it</t>
  </si>
  <si>
    <t>Agente Commerciale</t>
  </si>
  <si>
    <t>Luana</t>
  </si>
  <si>
    <t>Bellotti</t>
  </si>
  <si>
    <t>bellotti.luana@gmail.com</t>
  </si>
  <si>
    <t>Ostetrica</t>
  </si>
  <si>
    <t>OSTETRICA A DOMICILIO</t>
  </si>
  <si>
    <t>538/MA-23</t>
  </si>
  <si>
    <t>Sanità</t>
  </si>
  <si>
    <t>Ostetica a Domicilio</t>
  </si>
  <si>
    <t>luca4lombardi@gmail.com</t>
  </si>
  <si>
    <t xml:space="preserve">Nella fattura indicare "Corso di formazione”
</t>
  </si>
  <si>
    <t>SANPAOLO INVEST - FIDEURAM</t>
  </si>
  <si>
    <t>548/MA-23</t>
  </si>
  <si>
    <t>Trivini Bellini</t>
  </si>
  <si>
    <t>l.trivini@mdsonline.it</t>
  </si>
  <si>
    <t>3400824122</t>
  </si>
  <si>
    <t>Volontieri</t>
  </si>
  <si>
    <t>luca.volontieri@vielleacustica.it</t>
  </si>
  <si>
    <t>Luigi</t>
  </si>
  <si>
    <t>Cataldi</t>
  </si>
  <si>
    <t>luigi.cataldi86@gmail.com</t>
  </si>
  <si>
    <t>Sales Executive Area Centro</t>
  </si>
  <si>
    <t>AIR</t>
  </si>
  <si>
    <t>540/MA-23 - 1706/MA-23</t>
  </si>
  <si>
    <t>Maela</t>
  </si>
  <si>
    <t>Gaggero</t>
  </si>
  <si>
    <t>maela.gaggero@rev-log.com</t>
  </si>
  <si>
    <t>3496115176</t>
  </si>
  <si>
    <t>Da confermare a seguito di colloquio con AD entro il 24/3</t>
  </si>
  <si>
    <t>RRT Account Manager</t>
  </si>
  <si>
    <t>RLG SYSTEMS ITALIA</t>
  </si>
  <si>
    <t>545/MA-23</t>
  </si>
  <si>
    <t>Marcello</t>
  </si>
  <si>
    <t>Presi</t>
  </si>
  <si>
    <t>marcellopresi@gmail.com</t>
  </si>
  <si>
    <t>3492900879</t>
  </si>
  <si>
    <t>dato la possibilità fino al 1 aprile di pensare e rivalutare la decisione di disdetta</t>
  </si>
  <si>
    <t>LENERGIA</t>
  </si>
  <si>
    <t>Zoccarato</t>
  </si>
  <si>
    <t>info@puligestservizi.it</t>
  </si>
  <si>
    <t>forse altri 4???!!! Cambiato opzione di pagamento in rateale</t>
  </si>
  <si>
    <t>PULI.GEST</t>
  </si>
  <si>
    <t>546/MA-23 - 773/MA-23 - 1901/MA-23</t>
  </si>
  <si>
    <t>MAW</t>
  </si>
  <si>
    <t>Igiene (Pulizie, disinfestazioni, derattizzazioni, sanificazioni)</t>
  </si>
  <si>
    <t>CAORLE (VE)</t>
  </si>
  <si>
    <t>Silvia</t>
  </si>
  <si>
    <t>Gusso</t>
  </si>
  <si>
    <t xml:space="preserve">gusso.silvia@gmail.com        </t>
  </si>
  <si>
    <t>Ylenia</t>
  </si>
  <si>
    <t>Bonaventura</t>
  </si>
  <si>
    <t>yleniabonaventura28@libero.it</t>
  </si>
  <si>
    <t>Impiegata</t>
  </si>
  <si>
    <t>Zambusi</t>
  </si>
  <si>
    <t>enricozambusi@gmail.com</t>
  </si>
  <si>
    <t>Commerciale</t>
  </si>
  <si>
    <t>Margherita</t>
  </si>
  <si>
    <t>Michelini</t>
  </si>
  <si>
    <t>avv.michelinimargherita@gmail.com</t>
  </si>
  <si>
    <t>p/to 12 mesi con bonifico bancario entro il 30 di ogni mese</t>
  </si>
  <si>
    <t>Avvocato</t>
  </si>
  <si>
    <t>742/MA-23</t>
  </si>
  <si>
    <t>Studio legale</t>
  </si>
  <si>
    <t>Mario</t>
  </si>
  <si>
    <t>Massardi</t>
  </si>
  <si>
    <t>m.massardi@abm-consulting.it</t>
  </si>
  <si>
    <t>ABM CONSULTING</t>
  </si>
  <si>
    <t>1591/MA-23</t>
  </si>
  <si>
    <t>GHEDI (BS)</t>
  </si>
  <si>
    <t>Mario Luis</t>
  </si>
  <si>
    <t>Bonito Alberto</t>
  </si>
  <si>
    <t>mario.bonito1@gmail.com</t>
  </si>
  <si>
    <t>Sales Manager</t>
  </si>
  <si>
    <t>LUX</t>
  </si>
  <si>
    <t>597/MA-23 - 714/MA-23</t>
  </si>
  <si>
    <t>Alimentare</t>
  </si>
  <si>
    <t>FUMANE (VR)</t>
  </si>
  <si>
    <t>Marta</t>
  </si>
  <si>
    <t>Nistico</t>
  </si>
  <si>
    <t>marta.nistico@ribesolutions.it</t>
  </si>
  <si>
    <t>Marcato</t>
  </si>
  <si>
    <t>matteo.m@parsifal.agency</t>
  </si>
  <si>
    <t>PARSIFAL</t>
  </si>
  <si>
    <t>Mauro</t>
  </si>
  <si>
    <t>Salvi</t>
  </si>
  <si>
    <t>mauro.salvi@gmail.com</t>
  </si>
  <si>
    <t>Titolare e operativo</t>
  </si>
  <si>
    <t>SMART</t>
  </si>
  <si>
    <t>523/MA-23</t>
  </si>
  <si>
    <t>IT, sviluppo siti web e consulenza informatica</t>
  </si>
  <si>
    <t>CASORATE SEMPIONE (VA)</t>
  </si>
  <si>
    <t>Melita</t>
  </si>
  <si>
    <t xml:space="preserve">Djordjevic </t>
  </si>
  <si>
    <t>melita.djordjevic@eurocomponents.eu</t>
  </si>
  <si>
    <t>Michele</t>
  </si>
  <si>
    <t>Molini</t>
  </si>
  <si>
    <t>molini.michele@libero.it</t>
  </si>
  <si>
    <t>3495288350</t>
  </si>
  <si>
    <t>Coach</t>
  </si>
  <si>
    <t>MICHELE MOLINI</t>
  </si>
  <si>
    <t>519/MA-23</t>
  </si>
  <si>
    <t>Mirko</t>
  </si>
  <si>
    <t>Allevi</t>
  </si>
  <si>
    <t>Info@teknoarreda.it</t>
  </si>
  <si>
    <t>Data la possibilità di prendersi fino a mercoledì 2/5/2023 per confermare la tua partecipazione e fare il bonifico</t>
  </si>
  <si>
    <t>Perito Industriale</t>
  </si>
  <si>
    <t>TEKNOARREDA</t>
  </si>
  <si>
    <t>Annalisa</t>
  </si>
  <si>
    <t>Pirondi</t>
  </si>
  <si>
    <t>a.pirondi@hegoone.it</t>
  </si>
  <si>
    <t>Customer Care &amp; Operations Team Leader</t>
  </si>
  <si>
    <t>HEGOONE</t>
  </si>
  <si>
    <t>739/MA-23</t>
  </si>
  <si>
    <t>Servizi</t>
  </si>
  <si>
    <t>Oscar</t>
  </si>
  <si>
    <t>Cordini</t>
  </si>
  <si>
    <t>oscar.cordini@gmail.com</t>
  </si>
  <si>
    <t>msg 23.10</t>
  </si>
  <si>
    <t>Assicuratore (subagente)</t>
  </si>
  <si>
    <t>APOL</t>
  </si>
  <si>
    <t>505/MA-23 - 737/MA-23 - 834/MA-23</t>
  </si>
  <si>
    <t>DESENZANO DEL GARDA (BS)</t>
  </si>
  <si>
    <t>Paolo</t>
  </si>
  <si>
    <t>Colombo</t>
  </si>
  <si>
    <t>p.colombo@mdsonline.it</t>
  </si>
  <si>
    <t>3516259644</t>
  </si>
  <si>
    <t>Mason</t>
  </si>
  <si>
    <t>paolomason@gmail.com</t>
  </si>
  <si>
    <t>p/to concordato con Matteo. 2997+iva con 200 acconto subito</t>
  </si>
  <si>
    <t>PiMason</t>
  </si>
  <si>
    <t>774/MA-23 - 684/MA-23 - NC 804/MA-23 - 774/MA-23</t>
  </si>
  <si>
    <t>Digital Marketing</t>
  </si>
  <si>
    <t>CASTELFRANCO VENETO (TV)</t>
  </si>
  <si>
    <t>Sanna</t>
  </si>
  <si>
    <t>paolosann@gmail.com</t>
  </si>
  <si>
    <t>ha chiamato il 16/10/2023 NON viene a VT forse sposta tutto il modulo in Estate (la madre grave)</t>
  </si>
  <si>
    <t>590/MA-23</t>
  </si>
  <si>
    <t>Produzione laser e diodi per l’industria e la chirurgia</t>
  </si>
  <si>
    <t>Patrizia</t>
  </si>
  <si>
    <t>Veneziani</t>
  </si>
  <si>
    <t>Peter</t>
  </si>
  <si>
    <t>Perrone</t>
  </si>
  <si>
    <t>documentivari@hotmail.it</t>
  </si>
  <si>
    <t>3923198998</t>
  </si>
  <si>
    <t>Raffaele</t>
  </si>
  <si>
    <t>Viscusi</t>
  </si>
  <si>
    <t>viscusi.raffaele90@gmail.com</t>
  </si>
  <si>
    <t>3444497370</t>
  </si>
  <si>
    <t>p/to € 200 da conto personale e saldo entro 3 settimane da conto aziendale (da aprile)</t>
  </si>
  <si>
    <t>Direttore</t>
  </si>
  <si>
    <t>DIRITTO DEBITORI</t>
  </si>
  <si>
    <t>581/MA-23 - NC 1770/MA-23</t>
  </si>
  <si>
    <t>Baldi</t>
  </si>
  <si>
    <t>riccardo@baldisrl.com</t>
  </si>
  <si>
    <t>0382554080</t>
  </si>
  <si>
    <t>BALDI</t>
  </si>
  <si>
    <t>Costanzi</t>
  </si>
  <si>
    <t>cost.riccardo@gmail.com</t>
  </si>
  <si>
    <t>3209461338</t>
  </si>
  <si>
    <t>OBIETTIVO MARKETING</t>
  </si>
  <si>
    <t>517/MA-23</t>
  </si>
  <si>
    <t>Marketing</t>
  </si>
  <si>
    <t>ROMA</t>
  </si>
  <si>
    <t>Toffolon</t>
  </si>
  <si>
    <t>commerciale@lacommercialecolori.it</t>
  </si>
  <si>
    <t>LA COMMERCIALE COLORI</t>
  </si>
  <si>
    <t>582/MA-23</t>
  </si>
  <si>
    <t>Industria e Nautica</t>
  </si>
  <si>
    <t>SAN DONA' DI PIAVE (VE)</t>
  </si>
  <si>
    <t>FUORI VB2B mar 23</t>
  </si>
  <si>
    <t>Gianmarco</t>
  </si>
  <si>
    <t>Rosani</t>
  </si>
  <si>
    <t>gianmarco@lacommercialecolori.it</t>
  </si>
  <si>
    <t>Rappresentante</t>
  </si>
  <si>
    <t>1823/MA-23</t>
  </si>
  <si>
    <t>Roberto</t>
  </si>
  <si>
    <t>Gemma</t>
  </si>
  <si>
    <t>robgemma81@gmail.com</t>
  </si>
  <si>
    <t>corrisponderà i l'importo totale del master entro la prima settimana di maggio</t>
  </si>
  <si>
    <t>AHG Hotel &amp; Resort</t>
  </si>
  <si>
    <t>767/MA-23</t>
  </si>
  <si>
    <t>Hospitality</t>
  </si>
  <si>
    <t>Ponte</t>
  </si>
  <si>
    <t>r.ponte@pglp.it</t>
  </si>
  <si>
    <t>Partner Area Legale</t>
  </si>
  <si>
    <t>EXOLVO</t>
  </si>
  <si>
    <t>529/MA-23</t>
  </si>
  <si>
    <t>Soluzione e consulenza debiti</t>
  </si>
  <si>
    <t>Samuel</t>
  </si>
  <si>
    <t>Lonero</t>
  </si>
  <si>
    <t>samuellonero.info@gmail.com</t>
  </si>
  <si>
    <t>applicando quanto visto al Tour e VB2B hanno già ottenuto il massimo, e quindi ora devono applicare e poi valuteranno ad ottobre.</t>
  </si>
  <si>
    <t>founder/sales</t>
  </si>
  <si>
    <t>HA CONFERMATO SA 23 - se paga master a SA VIENE GRATIS ANCHE LA MOGLIE</t>
  </si>
  <si>
    <t>Bertoldo</t>
  </si>
  <si>
    <t>barbara.bertoldo@simba.srl</t>
  </si>
  <si>
    <t>Agente</t>
  </si>
  <si>
    <t>SIMBA PAPER DESIGN</t>
  </si>
  <si>
    <t>606/MA-23</t>
  </si>
  <si>
    <t>Packaging</t>
  </si>
  <si>
    <t>ANGIARI (VR)</t>
  </si>
  <si>
    <t>Cordero</t>
  </si>
  <si>
    <t>silvia.cordero@ribesolutions.it</t>
  </si>
  <si>
    <t>Silvio</t>
  </si>
  <si>
    <t>Filippi</t>
  </si>
  <si>
    <t>silvio.filippi@cloudea.it</t>
  </si>
  <si>
    <t>A VS deve attivare SB, che terrà 6 mesi, per rifare Negoziazione</t>
  </si>
  <si>
    <t>CLOUDEA</t>
  </si>
  <si>
    <t>585/MA-23</t>
  </si>
  <si>
    <t>Consulenza Strategica</t>
  </si>
  <si>
    <t>Simona</t>
  </si>
  <si>
    <t>Giannini</t>
  </si>
  <si>
    <t>simona.giannini@eurocomponents.eu</t>
  </si>
  <si>
    <t>Sales Area Manager</t>
  </si>
  <si>
    <t>Simone</t>
  </si>
  <si>
    <t>Sottini</t>
  </si>
  <si>
    <t>info@prontoperlaffitto.it</t>
  </si>
  <si>
    <t>PRONTO ABITARE</t>
  </si>
  <si>
    <t>Beccaria</t>
  </si>
  <si>
    <t>s.beccaria@forsic.it</t>
  </si>
  <si>
    <t>SCRIVERE AD AMMINISTRAZIONE@FORSIC.IT</t>
  </si>
  <si>
    <t>Tecnico Commerciale</t>
  </si>
  <si>
    <t>FORSIC</t>
  </si>
  <si>
    <t>713/MA-23</t>
  </si>
  <si>
    <t>Formazione e Servizi in ambito Sicurezza e Igiene sul lavoro</t>
  </si>
  <si>
    <t>Storaci</t>
  </si>
  <si>
    <t>info@kcom.it</t>
  </si>
  <si>
    <t>3284067815</t>
  </si>
  <si>
    <t>Innovation Manager</t>
  </si>
  <si>
    <t>KCOM.IT</t>
  </si>
  <si>
    <t>589/MA-23</t>
  </si>
  <si>
    <t>Formazione e Consulenza</t>
  </si>
  <si>
    <t>ALBANO LAZIALE (RM)</t>
  </si>
  <si>
    <t>Stefano Pietro</t>
  </si>
  <si>
    <t>stefanopietroaiello@gmail.com</t>
  </si>
  <si>
    <t>3316430074</t>
  </si>
  <si>
    <t>Tommaso</t>
  </si>
  <si>
    <t>Braghini</t>
  </si>
  <si>
    <t>tommasob98@hotmail.com</t>
  </si>
  <si>
    <t>In fattura indicare"Corso Formazione blackship"</t>
  </si>
  <si>
    <t>619/MA-23</t>
  </si>
  <si>
    <t>Servizi ICT</t>
  </si>
  <si>
    <t>Magaletti</t>
  </si>
  <si>
    <t>info@topmarkitalia.it</t>
  </si>
  <si>
    <t>Mail con Dilazione Pagamento. Gestisce DANI e confermato</t>
  </si>
  <si>
    <t>TOP MARK</t>
  </si>
  <si>
    <t>588/MA-23 - 1768/MA-23</t>
  </si>
  <si>
    <t>Pubblicità, Grafica e Shooting</t>
  </si>
  <si>
    <t>Valentina</t>
  </si>
  <si>
    <t>587/MA-23</t>
  </si>
  <si>
    <t>CALCINATE (BG)</t>
  </si>
  <si>
    <t>Elisa</t>
  </si>
  <si>
    <t>De Anna</t>
  </si>
  <si>
    <t>amministrazione@3msolutions.it</t>
  </si>
  <si>
    <t>Responsabile Amministrativa</t>
  </si>
  <si>
    <t>FUORI VB2B Primavera 23</t>
  </si>
  <si>
    <t>Donatella</t>
  </si>
  <si>
    <t>Paoli Martorelli</t>
  </si>
  <si>
    <t>d.paolimartorelli@binnova.it</t>
  </si>
  <si>
    <t>VT Ott. 23 - Arriva Sabato</t>
  </si>
  <si>
    <t>Binnova</t>
  </si>
  <si>
    <t>771/MA-23</t>
  </si>
  <si>
    <t>Scalata 419,55€ dal ricavo MIV tutta a maggio 2023</t>
  </si>
  <si>
    <t>Scalata 139,85€ dal ricavo MIV tuttao a maggio 2023</t>
  </si>
  <si>
    <t>Consulenza e System Integrator</t>
  </si>
  <si>
    <t>Francesco</t>
  </si>
  <si>
    <t>Baglioni</t>
  </si>
  <si>
    <t xml:space="preserve">Francesco.baglioni@autind.com       </t>
  </si>
  <si>
    <t>OMAGGIO BLACKSHIP</t>
  </si>
  <si>
    <t>Automazioni Industriali</t>
  </si>
  <si>
    <t>NAVE (BS)</t>
  </si>
  <si>
    <t>Belleri</t>
  </si>
  <si>
    <t>l.belleri@gattifiltrazionilubrificanti.it; fabio@gattifiltrazionilubrificanti.it</t>
  </si>
  <si>
    <t>3293651581</t>
  </si>
  <si>
    <t>Gatti Filtrazioni Lubrificanti</t>
  </si>
  <si>
    <t>853/MA-23</t>
  </si>
  <si>
    <t>Filtrazione Lubrificanti</t>
  </si>
  <si>
    <t>BEDIZZOLE (BS)</t>
  </si>
  <si>
    <t>Yourbiz</t>
  </si>
  <si>
    <t>Web marketing &amp; Demand generation</t>
  </si>
  <si>
    <t>Partecipante 1 RADIO TICINO</t>
  </si>
  <si>
    <t>Radio Ticino</t>
  </si>
  <si>
    <t>ha CONFERMATO SA 23</t>
  </si>
  <si>
    <t>Stazione radio</t>
  </si>
  <si>
    <t>Partecipante 2 RADIO TICINO</t>
  </si>
  <si>
    <t>Partecipante 3 RADIO TICINO</t>
  </si>
  <si>
    <t>Materzanini</t>
  </si>
  <si>
    <t>Giovanni.Materzanini@it.ey.com</t>
  </si>
  <si>
    <t>SCAMBIO MERCE</t>
  </si>
  <si>
    <t>Senior Manager</t>
  </si>
  <si>
    <t>EY</t>
  </si>
  <si>
    <t>Consulenza</t>
  </si>
  <si>
    <t>Manuel</t>
  </si>
  <si>
    <t>Agnellini</t>
  </si>
  <si>
    <t>Manuel.Agnellini@it.ey.com</t>
  </si>
  <si>
    <t>Thierry</t>
  </si>
  <si>
    <t>Stroppa</t>
  </si>
  <si>
    <t>thierry.stroppa@cooperjob.eu</t>
  </si>
  <si>
    <t>Regional Account Manager</t>
  </si>
  <si>
    <t xml:space="preserve">Cooperjob </t>
  </si>
  <si>
    <t>1492/MA-23</t>
  </si>
  <si>
    <t>Agenzia per il Lavoro</t>
  </si>
  <si>
    <t>BIELLA</t>
  </si>
  <si>
    <t>Paola</t>
  </si>
  <si>
    <t>Pezzuto</t>
  </si>
  <si>
    <t>paola.pezzuto@cloudea.it</t>
  </si>
  <si>
    <t>1491/MA-23</t>
  </si>
  <si>
    <t>Flavio</t>
  </si>
  <si>
    <t>Valeri</t>
  </si>
  <si>
    <t>flavio.valeri@hardwareservizi.it</t>
  </si>
  <si>
    <t>Amministrazione</t>
  </si>
  <si>
    <t>HS</t>
  </si>
  <si>
    <t>1773/MA-23</t>
  </si>
  <si>
    <t>Soluzioni IT</t>
  </si>
  <si>
    <t>VB2B mar 22</t>
  </si>
  <si>
    <t>Bugatti</t>
  </si>
  <si>
    <t>andrea.bugatti@landa.it</t>
  </si>
  <si>
    <t>gli altri due colleghi hanno espresso la volontà di ritornare ma NON hanno il sb</t>
  </si>
  <si>
    <t>Landa Illuminotecnica</t>
  </si>
  <si>
    <t>LANDA ILLUMINOTECNICA SPA</t>
  </si>
  <si>
    <t>362/MA-22</t>
  </si>
  <si>
    <t>Pagata tutta a maggio 2022</t>
  </si>
  <si>
    <t>Clemente Bugatti</t>
  </si>
  <si>
    <t>Pozzetti</t>
  </si>
  <si>
    <t>andrea.pozzetti@biodry.eu</t>
  </si>
  <si>
    <t>MAIL DI CRI B: forse ANNULLA PARTECIPAZIONE . Per imprevisti lavorativi ha spostato la partecipazione alla sessione autunnale</t>
  </si>
  <si>
    <t>Andrea Pozzetti</t>
  </si>
  <si>
    <t>POZZETTI ANDREA</t>
  </si>
  <si>
    <t>355/MA-22</t>
  </si>
  <si>
    <t>Cristian Benzoni</t>
  </si>
  <si>
    <t>Antonio</t>
  </si>
  <si>
    <t>Sepe</t>
  </si>
  <si>
    <t>a.sepe@teamworkitalia.it</t>
  </si>
  <si>
    <t>Serin</t>
  </si>
  <si>
    <t>SERIN S.A.S. DI ANTONIO SEPE E C.</t>
  </si>
  <si>
    <t>343/MA-22</t>
  </si>
  <si>
    <t>Gianni Baldi (Bitagorà)</t>
  </si>
  <si>
    <t>EX - Domenico Vitale (licenziato)</t>
  </si>
  <si>
    <t>Iscritto EureWeb</t>
  </si>
  <si>
    <t xml:space="preserve">Sales Account </t>
  </si>
  <si>
    <t>Eureweb</t>
  </si>
  <si>
    <t>Digital KPI srl</t>
  </si>
  <si>
    <t>483/MA-22</t>
  </si>
  <si>
    <t>Bruno Galli</t>
  </si>
  <si>
    <t>Web &amp; Digital Marketing</t>
  </si>
  <si>
    <t>Emilio</t>
  </si>
  <si>
    <t>Pulli</t>
  </si>
  <si>
    <t>emilio.pulli@gmail.com</t>
  </si>
  <si>
    <t xml:space="preserve">KODAN </t>
  </si>
  <si>
    <t>KODAN s.r.l.</t>
  </si>
  <si>
    <t>438/MA-22</t>
  </si>
  <si>
    <t>Barbara Prati</t>
  </si>
  <si>
    <t>FITNESS</t>
  </si>
  <si>
    <t>EX - Gionatan Iovino (licenziato)</t>
  </si>
  <si>
    <t>Iscritto Hal Service</t>
  </si>
  <si>
    <t>lorenza.ferrari@halservice.it</t>
  </si>
  <si>
    <t>GIONATAN DIMESSO. IN ATTESA DI NUOVO NOMINATIVO</t>
  </si>
  <si>
    <t>Hal Service</t>
  </si>
  <si>
    <t>HAL SERVICE SPA</t>
  </si>
  <si>
    <t>361/MA-22</t>
  </si>
  <si>
    <t>Loriana Blando</t>
  </si>
  <si>
    <t>ICT</t>
  </si>
  <si>
    <t>Sartor</t>
  </si>
  <si>
    <t>filippo.sartor@jvinternational.com</t>
  </si>
  <si>
    <t>Jv International</t>
  </si>
  <si>
    <t>JV INTERNATIONAL SRL</t>
  </si>
  <si>
    <t>351/MA-22</t>
  </si>
  <si>
    <t>Morena Baleani</t>
  </si>
  <si>
    <t>CALZATURE</t>
  </si>
  <si>
    <t>Ubaldi</t>
  </si>
  <si>
    <t>f.ubaldi@gointernet.it</t>
  </si>
  <si>
    <r>
      <rPr>
        <sz val="11"/>
        <color theme="1"/>
        <rFont val="Calibri, sans-serif"/>
      </rPr>
      <t xml:space="preserve">Ci aggiorniamo a </t>
    </r>
    <r>
      <rPr>
        <b/>
        <sz val="11"/>
        <color theme="1"/>
        <rFont val="Calibri, sans-serif"/>
      </rPr>
      <t>metà maggio 2022</t>
    </r>
    <r>
      <rPr>
        <sz val="11"/>
        <color theme="1"/>
        <rFont val="Calibri, sans-serif"/>
      </rPr>
      <t xml:space="preserve"> così dare conferma del numero di persone che parteciperanno alla sessione autunnale del Master in Vendita.</t>
    </r>
  </si>
  <si>
    <t>GO Internet</t>
  </si>
  <si>
    <t>GO internet S.p.A.</t>
  </si>
  <si>
    <t>Pacci 10% Cristian A 5%</t>
  </si>
  <si>
    <t>Gianni</t>
  </si>
  <si>
    <t>Maspero</t>
  </si>
  <si>
    <t>g.maspero@gianmas.com</t>
  </si>
  <si>
    <t>MAIL DI CRI B: forse ANNULLA PARTECIPAZIONE .</t>
  </si>
  <si>
    <t>Truck One Uk</t>
  </si>
  <si>
    <t>TRUCK ONE UK LTD</t>
  </si>
  <si>
    <t>419/MA-22</t>
  </si>
  <si>
    <t>EX - Lucrezia Barzi (licenziata)</t>
  </si>
  <si>
    <t>Iscritto Digimax</t>
  </si>
  <si>
    <t>l.barzi@digimax.it</t>
  </si>
  <si>
    <t>DIGIMAX</t>
  </si>
  <si>
    <t>1317/MA-22</t>
  </si>
  <si>
    <t>Mirco Gasparotto (OSA)</t>
  </si>
  <si>
    <t>Pagata tutta a dicembre 2022</t>
  </si>
  <si>
    <t>Computer industriali / Elettronica industriale</t>
  </si>
  <si>
    <t>Marco Maria</t>
  </si>
  <si>
    <t>Ingrassia</t>
  </si>
  <si>
    <t>marco.ingrassia8@gmail.com</t>
  </si>
  <si>
    <t>Fatturato a Veronica Castelli - spostata partecipazione a Primavera 2023, poi ha ceduto la sua partecipazione a Marco Ingrassia</t>
  </si>
  <si>
    <t>Gestore / Proprietario</t>
  </si>
  <si>
    <t>Myapartmentforyou</t>
  </si>
  <si>
    <t>CASTELLI VERONICA</t>
  </si>
  <si>
    <t>360/MA-22</t>
  </si>
  <si>
    <t>Ambrogio Merlo</t>
  </si>
  <si>
    <t>Turismo / Casa Vacanze</t>
  </si>
  <si>
    <t>?</t>
  </si>
  <si>
    <t>Monica</t>
  </si>
  <si>
    <t>Fontana</t>
  </si>
  <si>
    <t>info@studiofontanamonica.com</t>
  </si>
  <si>
    <t>PORTATI DA MATTE</t>
  </si>
  <si>
    <t xml:space="preserve">Studio MF </t>
  </si>
  <si>
    <t>STUDIO MF SRLS</t>
  </si>
  <si>
    <t>460/MA-22</t>
  </si>
  <si>
    <t>Commercialista</t>
  </si>
  <si>
    <t>Sergio</t>
  </si>
  <si>
    <t>Prati</t>
  </si>
  <si>
    <t xml:space="preserve">sergio.prati@eticafinanziaria.it </t>
  </si>
  <si>
    <t>Etica Finanziaria</t>
  </si>
  <si>
    <t>Etica Finanziaria Consulting Srl</t>
  </si>
  <si>
    <t>525/MA-22</t>
  </si>
  <si>
    <t>Rapacioli</t>
  </si>
  <si>
    <t>silvia.rapacioli@bict.it</t>
  </si>
  <si>
    <t>Caviglia rotta rimanda VT e VS</t>
  </si>
  <si>
    <t xml:space="preserve">BICT </t>
  </si>
  <si>
    <t>BICT SRL</t>
  </si>
  <si>
    <t>477/MA-22</t>
  </si>
  <si>
    <t>Tecnologie per il settore farmaceutico, cosmetico, nutraceutico e della nutrizione degli animali e delle piante</t>
  </si>
  <si>
    <t>VILLANOVA DEL SILLARO (LO)</t>
  </si>
  <si>
    <t>Tania</t>
  </si>
  <si>
    <t>Marchina</t>
  </si>
  <si>
    <t>t.marchina@creditteam.eu</t>
  </si>
  <si>
    <t>Credit Team</t>
  </si>
  <si>
    <t>CREDIT TEAM</t>
  </si>
  <si>
    <t>833/MA-22</t>
  </si>
  <si>
    <t>Pagata tutta a ottobre 2022</t>
  </si>
  <si>
    <t>Cristian Acampora</t>
  </si>
  <si>
    <t>FUORI VB2B Primavera 22</t>
  </si>
  <si>
    <t>Anna Maria</t>
  </si>
  <si>
    <t>Barbieri</t>
  </si>
  <si>
    <t>a.barbieri@creditteam.eu</t>
  </si>
  <si>
    <t>VINCITORE QUIZZONE VB2B mar 22</t>
  </si>
  <si>
    <t>Valeria</t>
  </si>
  <si>
    <t>Cazzulani</t>
  </si>
  <si>
    <t>valeria@valeriacazzulani.it</t>
  </si>
  <si>
    <t>VINCITRICE QUIZZONE</t>
  </si>
  <si>
    <t>Beauty Business Coach</t>
  </si>
  <si>
    <t>partecipa all'edizione del 2023 in quanto impossiblitato nel 22</t>
  </si>
  <si>
    <t>Cosmetici e Benessere</t>
  </si>
  <si>
    <t xml:space="preserve">RIMINI </t>
  </si>
  <si>
    <t xml:space="preserve">Claudio </t>
  </si>
  <si>
    <t>Marino</t>
  </si>
  <si>
    <t>claudio@maior-group.com</t>
  </si>
  <si>
    <t>fatturazione mensile con importi ad hoc, anticipata, 1 settimana prima di inizo modulo</t>
  </si>
  <si>
    <t>Maior Group</t>
  </si>
  <si>
    <t>Maior Group S.r.l.</t>
  </si>
  <si>
    <t>Abbigliamento sportivo</t>
  </si>
  <si>
    <t>Andrigo</t>
  </si>
  <si>
    <t>andrea@maior-group.com</t>
  </si>
  <si>
    <t>524/MA-22 / 601/MA-22</t>
  </si>
  <si>
    <t>EX - Daniela Sardo (licenziata)</t>
  </si>
  <si>
    <t>Iscritto Primo Round</t>
  </si>
  <si>
    <t>daniela.sardo@primoround.com</t>
  </si>
  <si>
    <t>Licenziata e NON Farò il Master. Cercato Marco senza successo</t>
  </si>
  <si>
    <t>Primo Round</t>
  </si>
  <si>
    <t>PRIMO ROUND</t>
  </si>
  <si>
    <t>267/MA-22</t>
  </si>
  <si>
    <t>FUORI VB2B   Autunno 22</t>
  </si>
  <si>
    <t>Anton</t>
  </si>
  <si>
    <t>Krylov</t>
  </si>
  <si>
    <t>anton.krylov@fimimachinery.com; laura.pozzi@fimimachinery.com</t>
  </si>
  <si>
    <t>p/to 30-60 gg - fatturazione settembre, 1° pag. ottobre</t>
  </si>
  <si>
    <t>FIMI Group</t>
  </si>
  <si>
    <t>F.I.M.I. - FABBRICA IMPIANTI MACCHINE INDUSTRIALI</t>
  </si>
  <si>
    <t>1012/MA-22 - NC 1180/MA-22</t>
  </si>
  <si>
    <t>Settore metalmeccanico</t>
  </si>
  <si>
    <t>Ameli</t>
  </si>
  <si>
    <t>l.ameli@binnova.it</t>
  </si>
  <si>
    <t>Inserito Importo MiV (binnova paga già decurtate provvigioni Daniele)</t>
  </si>
  <si>
    <t>BINNOVA</t>
  </si>
  <si>
    <t>1159//MA-22</t>
  </si>
  <si>
    <t>Scalata dal ricavo MIV tutt ad ottobre 2022</t>
  </si>
  <si>
    <t>DIRITTO AL SA 2023</t>
  </si>
  <si>
    <t>Bettini</t>
  </si>
  <si>
    <t>d.bettini@binnova.it</t>
  </si>
  <si>
    <t>Andreani</t>
  </si>
  <si>
    <t>d.andreani@binnova.it</t>
  </si>
  <si>
    <t xml:space="preserve">Andrea </t>
  </si>
  <si>
    <t>Balducchi</t>
  </si>
  <si>
    <t>andrea.balducchi@zenitsicurezza.it</t>
  </si>
  <si>
    <t>Sentito amministrativa il 23.4 e devono pagare per gli altri 3</t>
  </si>
  <si>
    <t>Zenit Sicurezza</t>
  </si>
  <si>
    <t>Commercio di sistemi per impianti speciali di sicurezza</t>
  </si>
  <si>
    <t>Massimo</t>
  </si>
  <si>
    <t>Gaulli</t>
  </si>
  <si>
    <t>massimo.gaulli@zenitsicurezza.it</t>
  </si>
  <si>
    <t>766/MA-23</t>
  </si>
  <si>
    <t>GRUMELLO DEL MONTE (VI)</t>
  </si>
  <si>
    <t>VB2B set 22</t>
  </si>
  <si>
    <t>Berizzi</t>
  </si>
  <si>
    <t>a.berizzi@emironet.it</t>
  </si>
  <si>
    <t>3939792254</t>
  </si>
  <si>
    <t>DA Raffa il 13.10.22: ha capito l’importanza di farlo subito, deve organizzarsi: domani ora di pranzo last chance. In ogni caso lo fa, eventualmente a primavera.</t>
  </si>
  <si>
    <t>Emironet</t>
  </si>
  <si>
    <t>Cavuoto</t>
  </si>
  <si>
    <t>r.cavuoto@erretielle.it</t>
  </si>
  <si>
    <t>3296089970</t>
  </si>
  <si>
    <t>Imprenditore</t>
  </si>
  <si>
    <t>Erretielle</t>
  </si>
  <si>
    <t>1108/MA-22 / 1301/MA-22</t>
  </si>
  <si>
    <t>Telecomunicazione</t>
  </si>
  <si>
    <t>Alexandra Stefania</t>
  </si>
  <si>
    <t>Andras</t>
  </si>
  <si>
    <t>info@erretielle.it</t>
  </si>
  <si>
    <t>3203614795</t>
  </si>
  <si>
    <t>Telecomunicazioni</t>
  </si>
  <si>
    <t>Formaggi</t>
  </si>
  <si>
    <t>studioandrea.formaggi@gmail.com</t>
  </si>
  <si>
    <t>3382188351</t>
  </si>
  <si>
    <t xml:space="preserve">Concesso p/to in 2 tranche 200 + iva al 3/10 e saldo 31/03/2023 </t>
  </si>
  <si>
    <t>Terapista della riabilitazione</t>
  </si>
  <si>
    <t>Studio Fisioterapia Andrea Formaggi</t>
  </si>
  <si>
    <t>1160/MA-22</t>
  </si>
  <si>
    <t>matteoformaggi@icloud.com</t>
  </si>
  <si>
    <t>3459714886</t>
  </si>
  <si>
    <t>Fisioterapista</t>
  </si>
  <si>
    <t>Mugerli</t>
  </si>
  <si>
    <t>andrea.mugerli@gmail.com</t>
  </si>
  <si>
    <t>Trainer &amp; Coach LinkedIn</t>
  </si>
  <si>
    <t>1069/MA-22</t>
  </si>
  <si>
    <t>Training e Coaching</t>
  </si>
  <si>
    <t>RHO (MI)</t>
  </si>
  <si>
    <t>Salaris</t>
  </si>
  <si>
    <t>andreasalaris.beautech@gmail.com</t>
  </si>
  <si>
    <t>3471119826</t>
  </si>
  <si>
    <t>Condizioni pagamento concordate con Gluca 200 euro 30/9 - 1720 entro il 28/4/2023 e saldo entro il 13/05/2023</t>
  </si>
  <si>
    <t>Libero Professionista</t>
  </si>
  <si>
    <t>Andrea Salaris</t>
  </si>
  <si>
    <t>Andrew</t>
  </si>
  <si>
    <t>Boscaini</t>
  </si>
  <si>
    <t>a.boscaini@sales.cribis.com</t>
  </si>
  <si>
    <t>Condizioni pagamento concordate con Gluca 200 euro 30/9 - saldo entro 2023??? 09.10.23 Ha ancora in mente di farlo ma avuto problemi seri di salute. Appena uscito dalla situazione mi fa sapere. Tenere aggiornato</t>
  </si>
  <si>
    <t>Sale Account</t>
  </si>
  <si>
    <t>Cribis</t>
  </si>
  <si>
    <t>Angelo</t>
  </si>
  <si>
    <t>Piccoli</t>
  </si>
  <si>
    <t>a.piccoli@binnova.it</t>
  </si>
  <si>
    <t>Vincitore Quizzone VB2B Sett. 22</t>
  </si>
  <si>
    <t>Barbanti</t>
  </si>
  <si>
    <t>carlo.barbanti@albatros.ra.it</t>
  </si>
  <si>
    <t>ALBATROS ECOLOGIA AMBIENTE E SICUREZZA</t>
  </si>
  <si>
    <t>1112/MA-22</t>
  </si>
  <si>
    <t>Ecologia &amp; Ambiente</t>
  </si>
  <si>
    <t>Albatros Ecologia Ambiente e Sicurezza</t>
  </si>
  <si>
    <t>RAVENNA</t>
  </si>
  <si>
    <t>Cosa</t>
  </si>
  <si>
    <t>claudio.cosa@idopromotion.com</t>
  </si>
  <si>
    <t>GENERAL MANAGER</t>
  </si>
  <si>
    <t>Ido Promotion</t>
  </si>
  <si>
    <t>Promozionale</t>
  </si>
  <si>
    <t>Rocca</t>
  </si>
  <si>
    <t>daniele@nseled.eu</t>
  </si>
  <si>
    <t>NSE LED Europa</t>
  </si>
  <si>
    <t>1173/MA-22</t>
  </si>
  <si>
    <t>Pagata tutta a novembre 2022</t>
  </si>
  <si>
    <t>produzione e commercializzazione di LED display</t>
  </si>
  <si>
    <t>Datrino</t>
  </si>
  <si>
    <t>info@elenadatrino.it</t>
  </si>
  <si>
    <t>Elena Datrino Photographer</t>
  </si>
  <si>
    <t>Fotografa</t>
  </si>
  <si>
    <t>Egizii</t>
  </si>
  <si>
    <t>filippoegizii@gmail.com</t>
  </si>
  <si>
    <t>3461440364</t>
  </si>
  <si>
    <t>Manager</t>
  </si>
  <si>
    <t>Kearney</t>
  </si>
  <si>
    <t>1138/MA-22</t>
  </si>
  <si>
    <t>Puntin</t>
  </si>
  <si>
    <t>f.puntin@inoxking.biz</t>
  </si>
  <si>
    <t>INOXKING</t>
  </si>
  <si>
    <t>Navale</t>
  </si>
  <si>
    <t>Gaetano</t>
  </si>
  <si>
    <t>Biondo</t>
  </si>
  <si>
    <t xml:space="preserve">gaetano.biondo@linkfloyd.ch </t>
  </si>
  <si>
    <t>+41 766022370</t>
  </si>
  <si>
    <t>Linkloyd</t>
  </si>
  <si>
    <t>1126/MA-22</t>
  </si>
  <si>
    <t>Marketing / Formazione / Digital</t>
  </si>
  <si>
    <t>Magnani</t>
  </si>
  <si>
    <t>giulia.beautech@gmail.com</t>
  </si>
  <si>
    <t xml:space="preserve">CONFERMATO PRESENZA AL MIV 24/9 ORE 12,11 </t>
  </si>
  <si>
    <t>Agente di Commercio</t>
  </si>
  <si>
    <t>1091/MA-22 - 712/MA-23</t>
  </si>
  <si>
    <t>Cosmetici, Tecnologia e Servizi</t>
  </si>
  <si>
    <t>NOVI DI MODENA (MO)</t>
  </si>
  <si>
    <t>Iader</t>
  </si>
  <si>
    <t>Tosi</t>
  </si>
  <si>
    <t>jader.tosi@antincendiorsm.com</t>
  </si>
  <si>
    <t>Non si sono più fatti sentire e difficoltà a sentirli</t>
  </si>
  <si>
    <t>L'antincendio Sammarinese</t>
  </si>
  <si>
    <t>Antincendio/Sicurezza</t>
  </si>
  <si>
    <t>Ivan</t>
  </si>
  <si>
    <t>Bonacini</t>
  </si>
  <si>
    <t>ibonacini@global-com.it</t>
  </si>
  <si>
    <t>3240989298</t>
  </si>
  <si>
    <t>Sorta una causa in corso. Ha un casino (causa) in azienda e ora non riesce a confermare. Valuta per futuro</t>
  </si>
  <si>
    <t>Ivan Bonacini</t>
  </si>
  <si>
    <t>Telecomunicazioni / Energia</t>
  </si>
  <si>
    <t>Manuela</t>
  </si>
  <si>
    <t>Dazza</t>
  </si>
  <si>
    <t>mdazza@laemmegroup.it</t>
  </si>
  <si>
    <t>3484534665</t>
  </si>
  <si>
    <t xml:space="preserve">SE NON SI FA PERCORO IN AZIENDA, LEI VUOLE PAGARSELO DA SOLA - Interessati percorso in azienda, tenete in sospeso gli 8 Master </t>
  </si>
  <si>
    <t>LAEMMEGROUP</t>
  </si>
  <si>
    <t>Manuele</t>
  </si>
  <si>
    <t>Carra</t>
  </si>
  <si>
    <t>m.carra@isolutions.it</t>
  </si>
  <si>
    <t>Conferma entro il 30/9</t>
  </si>
  <si>
    <t>Direttore Commerciale</t>
  </si>
  <si>
    <t>iSolutions s.r.l.</t>
  </si>
  <si>
    <t>IT</t>
  </si>
  <si>
    <t>Ciotoli</t>
  </si>
  <si>
    <t>marco.ciotoli@kromin.it</t>
  </si>
  <si>
    <t>p/to 50% subito, saldo entro venerdì 28 ottobre</t>
  </si>
  <si>
    <t>Kromin</t>
  </si>
  <si>
    <t>1177/MA-22 - 1236/MA-22</t>
  </si>
  <si>
    <t>F?</t>
  </si>
  <si>
    <t>Marco Pietro</t>
  </si>
  <si>
    <t>marcopietrobellotti@gmail.com; mbellotti@larius-med.com</t>
  </si>
  <si>
    <t>3483054854</t>
  </si>
  <si>
    <t>Managing Director</t>
  </si>
  <si>
    <t>Larius Med</t>
  </si>
  <si>
    <t>Mirco</t>
  </si>
  <si>
    <t>Perini</t>
  </si>
  <si>
    <t>mirco@ceradinigroup.com</t>
  </si>
  <si>
    <t>a VT partecipato SABATO e DOMENICA, NO venerdì</t>
  </si>
  <si>
    <t>Ceradini Group - Kingfruit</t>
  </si>
  <si>
    <t>04668350236</t>
  </si>
  <si>
    <t>FRUTZY SOCIETA’ AGRICOLA COOPERATIVA</t>
  </si>
  <si>
    <t>VIA GARDESANE, 123</t>
  </si>
  <si>
    <t>VERONA</t>
  </si>
  <si>
    <t>VR</t>
  </si>
  <si>
    <t>info@ceradinigroup.com</t>
  </si>
  <si>
    <t>T04ZHR3</t>
  </si>
  <si>
    <t>frutzy@pec.it</t>
  </si>
  <si>
    <t>1084/MA-22</t>
  </si>
  <si>
    <t>Produzione e commercializzazione della frutta</t>
  </si>
  <si>
    <t>Bocca</t>
  </si>
  <si>
    <t>francesco@andreanispazidivalore.it</t>
  </si>
  <si>
    <t>STUDIO ANDREANI - SPAZI DI VALORE</t>
  </si>
  <si>
    <t>IMPIOMBATO ANDREANI ANDREA</t>
  </si>
  <si>
    <t>832/MA-23</t>
  </si>
  <si>
    <t>CONEGLIANO (TV)</t>
  </si>
  <si>
    <t>Rita Anna</t>
  </si>
  <si>
    <t>Galanto</t>
  </si>
  <si>
    <t>argalanto@gmail.com</t>
  </si>
  <si>
    <t>CONFERMA ENTRO IL 4/10/22</t>
  </si>
  <si>
    <t>Consulente Coach</t>
  </si>
  <si>
    <t>Anna Rita Galanto</t>
  </si>
  <si>
    <t>Samuele</t>
  </si>
  <si>
    <t>Miserocchi</t>
  </si>
  <si>
    <t>samuele.miserocchi@albatros.ra.it</t>
  </si>
  <si>
    <t>3392204519</t>
  </si>
  <si>
    <t>CONERMATO PRESEZA MIV AL 24/9 ORE 15,15</t>
  </si>
  <si>
    <t>Stefania</t>
  </si>
  <si>
    <t>Salvati</t>
  </si>
  <si>
    <t xml:space="preserve">salvati.stefania@gmail.com </t>
  </si>
  <si>
    <t>Alberto</t>
  </si>
  <si>
    <t>Andretta</t>
  </si>
  <si>
    <t>alberto.a@andrettaservice.it</t>
  </si>
  <si>
    <t>Concesso p/to in 2 tranche 200 + iva al 3/10 e saldo 15/12 - Fratello che decide viene a VB2B marzo e poi valuta</t>
  </si>
  <si>
    <t>Andretta Service</t>
  </si>
  <si>
    <t>Automotive</t>
  </si>
  <si>
    <t>Graziano</t>
  </si>
  <si>
    <t>graziano.a@andrettaservice.it</t>
  </si>
  <si>
    <t>3339063876/ 3339063894</t>
  </si>
  <si>
    <t>Concesso p/to in 2 tranche 200 + iva al 3/10 e saldo 15/12 -&gt; Fratello che decide viene a VB2B a Marzo per capire se confermano</t>
  </si>
  <si>
    <t>stefano.a@andrettaservice.it</t>
  </si>
  <si>
    <t>3486604363</t>
  </si>
  <si>
    <t>Delfino</t>
  </si>
  <si>
    <t>valentina.delfino@valehomedesign.it</t>
  </si>
  <si>
    <t>Architetto</t>
  </si>
  <si>
    <t>OPEN ARCHITECTURE STUDIO</t>
  </si>
  <si>
    <t>1085/MA-22</t>
  </si>
  <si>
    <t>Fuori VB2B set 23</t>
  </si>
  <si>
    <t>Corrado</t>
  </si>
  <si>
    <t>Bortolussi</t>
  </si>
  <si>
    <t>corrado.bortolussi@it.ey.com</t>
  </si>
  <si>
    <t>Fattura da emettere</t>
  </si>
  <si>
    <t>Bui</t>
  </si>
  <si>
    <t>mauro.bui@it.ey.com</t>
  </si>
  <si>
    <t>Cavagnini</t>
  </si>
  <si>
    <t>marco.cavagnini@it.ey.com</t>
  </si>
  <si>
    <t>Fantini</t>
  </si>
  <si>
    <t>valentina.fantini@it.ey.com</t>
  </si>
  <si>
    <t>NEGOZIAZIONE - SOLO DOMENICA</t>
  </si>
  <si>
    <t>Miele</t>
  </si>
  <si>
    <t>matteo.miele@it.ey.com</t>
  </si>
  <si>
    <t>Mura</t>
  </si>
  <si>
    <t>laura.mura@it.ey.com</t>
  </si>
  <si>
    <t>Roberta</t>
  </si>
  <si>
    <t>Rannisi</t>
  </si>
  <si>
    <t>roberta.rannisi@it.ey.com</t>
  </si>
  <si>
    <t>Tentori</t>
  </si>
  <si>
    <t>fabiotentori.ft@gmail.com</t>
  </si>
  <si>
    <t>Nicola Maria</t>
  </si>
  <si>
    <t>Villa</t>
  </si>
  <si>
    <t>nicola2707@hotmail.it</t>
  </si>
  <si>
    <t>Cibien</t>
  </si>
  <si>
    <t>d.cibien@nimwave.com</t>
  </si>
  <si>
    <t>NIM Wave</t>
  </si>
  <si>
    <t>1878/MA-23</t>
  </si>
  <si>
    <t>Hal Service 10% + Gianluca 5%</t>
  </si>
  <si>
    <t>Distributore di apparati di comunicazione</t>
  </si>
  <si>
    <t>Andreoli</t>
  </si>
  <si>
    <t>g.andreoli@hegoone.it</t>
  </si>
  <si>
    <t>1874/MA-23</t>
  </si>
  <si>
    <t>Servizi di e-commerce</t>
  </si>
  <si>
    <t>NOVELLARA (RE)</t>
  </si>
  <si>
    <t>VB2B set 23</t>
  </si>
  <si>
    <t>Algerini</t>
  </si>
  <si>
    <t>alberto@algerinigioielli.it</t>
  </si>
  <si>
    <t>SOLO VENDITA TATTICA</t>
  </si>
  <si>
    <t>ALGERINI GIOIELLI</t>
  </si>
  <si>
    <t>C?</t>
  </si>
  <si>
    <t>Gioielleria</t>
  </si>
  <si>
    <t>OK</t>
  </si>
  <si>
    <t>Milanesio</t>
  </si>
  <si>
    <t>a.milanesio@libellula.eu</t>
  </si>
  <si>
    <t>LIBELLULA</t>
  </si>
  <si>
    <t>1657/MA-23</t>
  </si>
  <si>
    <t>Software e Servizi</t>
  </si>
  <si>
    <t>CHERASCO (CN)</t>
  </si>
  <si>
    <t>Tesio</t>
  </si>
  <si>
    <t>f.tesio@libellula.eu</t>
  </si>
  <si>
    <t>Head of Sales</t>
  </si>
  <si>
    <t>Pilla</t>
  </si>
  <si>
    <t>g.pilla@sequar.com</t>
  </si>
  <si>
    <t>Cristian</t>
  </si>
  <si>
    <t>Pegorini</t>
  </si>
  <si>
    <t>c.pegorini@libellula.eu</t>
  </si>
  <si>
    <t>NON ERA PRESENTE A VB2B SET 23</t>
  </si>
  <si>
    <t>Alessandra</t>
  </si>
  <si>
    <t>Leonardi</t>
  </si>
  <si>
    <t>a.leonardi@studioceccarellileonardi.it</t>
  </si>
  <si>
    <t>STUDIO CECCARELLI LEONARDI</t>
  </si>
  <si>
    <t>1629/MA-23</t>
  </si>
  <si>
    <t>blackship omaggio</t>
  </si>
  <si>
    <t>Daniela Romano</t>
  </si>
  <si>
    <t>Legale</t>
  </si>
  <si>
    <t>Ceccarelli</t>
  </si>
  <si>
    <t>s.ceccarelli@studioceccarellileonardi.it</t>
  </si>
  <si>
    <t>1638/MA-23</t>
  </si>
  <si>
    <t>Sabaini</t>
  </si>
  <si>
    <t>alessandra.sabaini@primopromo.it</t>
  </si>
  <si>
    <t>MAIL GIAN .10.23. confermo che ho registrato la vostra rinuncia all'iscrizione al Master in Vendita - che sia NON in lista di PRIMOPROMO.IT?!?!?</t>
  </si>
  <si>
    <t>PRIMO PROMO ITALIA</t>
  </si>
  <si>
    <t>Commercio</t>
  </si>
  <si>
    <t>BRESCIA</t>
  </si>
  <si>
    <t>CHECK</t>
  </si>
  <si>
    <t>Camilla Andrea</t>
  </si>
  <si>
    <t>Polini</t>
  </si>
  <si>
    <t>camilla.polini@primopromo.it</t>
  </si>
  <si>
    <t>Bandiera</t>
  </si>
  <si>
    <t>info@fdesteel.com</t>
  </si>
  <si>
    <t>Socio</t>
  </si>
  <si>
    <t>FDESTEEL</t>
  </si>
  <si>
    <t>1630/MA-23</t>
  </si>
  <si>
    <t>Cartellino MiV</t>
  </si>
  <si>
    <t>Barbara Bertoldo</t>
  </si>
  <si>
    <t>Carpenteria Metallica e Ferro Battuto</t>
  </si>
  <si>
    <t>PAESE (TV)</t>
  </si>
  <si>
    <t>Cascone</t>
  </si>
  <si>
    <t>a.cascone@realiutensileria.com</t>
  </si>
  <si>
    <t>REALI UTENSILERIA</t>
  </si>
  <si>
    <t>1765/MA-23</t>
  </si>
  <si>
    <t>Utensileria Meccanica</t>
  </si>
  <si>
    <t>PADERNO DUGNANO (MI)</t>
  </si>
  <si>
    <t>CHECK MANUALE</t>
  </si>
  <si>
    <t>Reali</t>
  </si>
  <si>
    <t>daniela.reali@realiutensileria.com</t>
  </si>
  <si>
    <t>gianmarcoreali68@gmail.com</t>
  </si>
  <si>
    <t>Ripamonti</t>
  </si>
  <si>
    <t>info@realiutensileria.com</t>
  </si>
  <si>
    <t>Proni</t>
  </si>
  <si>
    <t>alessandro.proni@italsample.it</t>
  </si>
  <si>
    <t>NEL MODULO MIV: DA CONFERMARE</t>
  </si>
  <si>
    <t>ITALSAMPLE</t>
  </si>
  <si>
    <t>Villani</t>
  </si>
  <si>
    <t>avillani@explan.it</t>
  </si>
  <si>
    <t>PAGAMENTO 4 RATE da Gennaio 2024</t>
  </si>
  <si>
    <t>EXPLAN CONSULTING</t>
  </si>
  <si>
    <t>BOLLATE (MI)</t>
  </si>
  <si>
    <t>Giro</t>
  </si>
  <si>
    <t>dgiro@explan.it</t>
  </si>
  <si>
    <t>Soatin</t>
  </si>
  <si>
    <t>fsoatin@explan.it</t>
  </si>
  <si>
    <t>Marzia</t>
  </si>
  <si>
    <t>Achilli</t>
  </si>
  <si>
    <t>machilli@explan.it</t>
  </si>
  <si>
    <t>alessia.moraglia@gmail.com</t>
  </si>
  <si>
    <t>Pagherà acconto e poi farà MiV Estate. Inviare info contatto.</t>
  </si>
  <si>
    <t>HAPPILY</t>
  </si>
  <si>
    <t>Welfare e Buoni Pasto</t>
  </si>
  <si>
    <t>Kristiana</t>
  </si>
  <si>
    <t>Gjelaj</t>
  </si>
  <si>
    <t>kristiana@happily-welfare.it</t>
  </si>
  <si>
    <t>Sales Account</t>
  </si>
  <si>
    <t>1659/MA</t>
  </si>
  <si>
    <t>Alessio</t>
  </si>
  <si>
    <t>Castagno</t>
  </si>
  <si>
    <t>alecastag@gmail.com</t>
  </si>
  <si>
    <t>Fattura uscita a 2997 + IVA MA HA PAGATO 163,93+IVA</t>
  </si>
  <si>
    <t>1705/MA-23</t>
  </si>
  <si>
    <t>Aggio</t>
  </si>
  <si>
    <t>andreagavtv@gmail.com</t>
  </si>
  <si>
    <t>Protesi Acustiche</t>
  </si>
  <si>
    <t>Bonato</t>
  </si>
  <si>
    <t>andrea87bonato@gmail.com</t>
  </si>
  <si>
    <t>NEL MODULO MIV: CONFERMA ENTRO 30/9/2023</t>
  </si>
  <si>
    <t>Impiegato Commerciale</t>
  </si>
  <si>
    <t>FORGIA RAPIDA</t>
  </si>
  <si>
    <t>1688/MA-23</t>
  </si>
  <si>
    <t xml:space="preserve">BOLOGNA </t>
  </si>
  <si>
    <t>Zecchino</t>
  </si>
  <si>
    <t>zecchinodavide@gmail.com</t>
  </si>
  <si>
    <t>Per il momento lo fanno solo i colleghi</t>
  </si>
  <si>
    <t>Scozzai</t>
  </si>
  <si>
    <t>techdep@forgiarapida.com</t>
  </si>
  <si>
    <t>NEL MODULO MIV: CONFERMA ENTRO 30/9/2023 - HA PAGATO 2997 ANZICHè 2797 CHE è IL PREZZO CONCORDATO SE LO  FANNO TUTTI QUELLI DI FORGIA RAPIDA</t>
  </si>
  <si>
    <t>1649/MA-23</t>
  </si>
  <si>
    <t>Drago</t>
  </si>
  <si>
    <t>roberto.drago1865@gmail.com</t>
  </si>
  <si>
    <t>Pettinà</t>
  </si>
  <si>
    <t>roby9014@gmail.com</t>
  </si>
  <si>
    <t>1693/MA-23</t>
  </si>
  <si>
    <t>Cavina</t>
  </si>
  <si>
    <t>andrea@sall-lamiere.it</t>
  </si>
  <si>
    <t>NEL MODULO MIV: € 2797+IVA (SCRITTO DA ACCA) E DA DECIDERE PAGAMENTO</t>
  </si>
  <si>
    <t>Tecnico, Commerciale</t>
  </si>
  <si>
    <t>SALL</t>
  </si>
  <si>
    <t>1695/MA-23</t>
  </si>
  <si>
    <t>Lavorazione Lamiere</t>
  </si>
  <si>
    <t>Paganelli</t>
  </si>
  <si>
    <t>valentina@sall-lamiere.it</t>
  </si>
  <si>
    <t>Corbino</t>
  </si>
  <si>
    <t>andrea.corbino@iddefend.it</t>
  </si>
  <si>
    <t>NEL MODULO MIV: CHIEDE DI ESSERE CONTATTA PER MODALITà DI PAGMAENTO ED INIZIO PARTECIPAZIONE</t>
  </si>
  <si>
    <t>ID DEFEND</t>
  </si>
  <si>
    <t>1764/MA-23</t>
  </si>
  <si>
    <t>Cyber Security</t>
  </si>
  <si>
    <t>Crotti</t>
  </si>
  <si>
    <t>acrt0404@gmail.com</t>
  </si>
  <si>
    <t>NEL MODULO MIV: 2397+IVA soluzione unica oppure 2897 +IVA in tre tranche (200 entro 29/9 - 1720 entro 6/10 e 1614,34 entro 3/11)</t>
  </si>
  <si>
    <t>L'OFFICINA DELL'AUTO</t>
  </si>
  <si>
    <t>1690/MA-23</t>
  </si>
  <si>
    <t>Patrizia Sabatino</t>
  </si>
  <si>
    <t>CORREGGIO (RE)</t>
  </si>
  <si>
    <t>Rucci</t>
  </si>
  <si>
    <t>angelorucci82@gmail.com</t>
  </si>
  <si>
    <t>1658/MA-23</t>
  </si>
  <si>
    <t>De Santi</t>
  </si>
  <si>
    <t>andrea@logika.srl</t>
  </si>
  <si>
    <t>LOGIKA</t>
  </si>
  <si>
    <t>1825/MA-23 - nc 1872/MA - 1873/MA</t>
  </si>
  <si>
    <t>SCHIO (VI)</t>
  </si>
  <si>
    <t>studioafantini@tiscali.it</t>
  </si>
  <si>
    <t>Matte 04.10 - Paga Domani seconda Rata. Secondo partecipante è in ospedal e deve capire se riesce ad esserci</t>
  </si>
  <si>
    <t>STUDIO FANTINI</t>
  </si>
  <si>
    <t>1686/MA-23 - 1723/MA-23 + fattura da emettere</t>
  </si>
  <si>
    <t xml:space="preserve">Consulenza </t>
  </si>
  <si>
    <t>1 Partecipante di Andrea Fantini</t>
  </si>
  <si>
    <t>Pegoraro</t>
  </si>
  <si>
    <t>andrea.pegoraro@trytech.it</t>
  </si>
  <si>
    <t>Inviata mail con biglietto omaggio e richiesta iscrizione</t>
  </si>
  <si>
    <t>TRYTECH</t>
  </si>
  <si>
    <t>1692/MA-23</t>
  </si>
  <si>
    <t>Servizi IT</t>
  </si>
  <si>
    <t>CAMISANO VICENTINO (VI)</t>
  </si>
  <si>
    <t>Borella</t>
  </si>
  <si>
    <t>mirco.borella@trytech.it</t>
  </si>
  <si>
    <t>Ufficio Commerciale 
ed Amministrativo</t>
  </si>
  <si>
    <t>Simonato</t>
  </si>
  <si>
    <t>ict@steelformitalia.it; commerciale@steelformitalia.it</t>
  </si>
  <si>
    <t>STEELFORM</t>
  </si>
  <si>
    <t>1707/MA-23</t>
  </si>
  <si>
    <t>RIVIGNANO TEOR (UD)</t>
  </si>
  <si>
    <t>De Monte</t>
  </si>
  <si>
    <t>export@steelformitalia.it</t>
  </si>
  <si>
    <t>F 24-2</t>
  </si>
  <si>
    <t>Terranova</t>
  </si>
  <si>
    <t>info@soasemplice.it</t>
  </si>
  <si>
    <t>SOASEMPLICE</t>
  </si>
  <si>
    <t>1624/MA-23 - 1713/MA-23 - 1881/MA-23</t>
  </si>
  <si>
    <t>Attestazione SOA</t>
  </si>
  <si>
    <t>SOAsemplice</t>
  </si>
  <si>
    <t>FONTE NUOVA (RM)</t>
  </si>
  <si>
    <t>Vecchio</t>
  </si>
  <si>
    <t>a.vecchio@ecoimpianti.srl</t>
  </si>
  <si>
    <t>NEL MODULO MIV HA SCRITTO CHE FA SAPERE ENTRO MERCOLED' 30/09</t>
  </si>
  <si>
    <t>ECO IMPIANTI</t>
  </si>
  <si>
    <t>1627/MA-23</t>
  </si>
  <si>
    <t>Impiantistica</t>
  </si>
  <si>
    <t>ECO Impianti</t>
  </si>
  <si>
    <t>STRADELLA (PV)</t>
  </si>
  <si>
    <t>1 Partecipante Eco Impianti</t>
  </si>
  <si>
    <t>MAIL SIMONE DEL 09,10,2023 - NON VIENE - NEL MODULO MIV HA SCRITTO CHE FA SAPERE ENTRO MERCOLED' 30/09</t>
  </si>
  <si>
    <t>La Marca</t>
  </si>
  <si>
    <t>angelolamarca77@gmail.com</t>
  </si>
  <si>
    <t>martedì 17 ottobre 2023 Roberto lo risente perchè vuole convincere il suo titolare</t>
  </si>
  <si>
    <t>Commerciante</t>
  </si>
  <si>
    <t>LA MARCA &amp; FOOD</t>
  </si>
  <si>
    <t>Ingrosso Alimentari</t>
  </si>
  <si>
    <t>MONZA</t>
  </si>
  <si>
    <t>Arcangelo Davide</t>
  </si>
  <si>
    <t>Ascone</t>
  </si>
  <si>
    <t>davide.ascone@daendco.it</t>
  </si>
  <si>
    <t>DAENDCO</t>
  </si>
  <si>
    <t>Walter Klinkon</t>
  </si>
  <si>
    <t>Welness</t>
  </si>
  <si>
    <t>SALSOMAGGIORE TERME (PD)</t>
  </si>
  <si>
    <t>Concetta</t>
  </si>
  <si>
    <t>Sorriente</t>
  </si>
  <si>
    <t>concetta.sorriente@daendco.it</t>
  </si>
  <si>
    <t>WELLNESS TECHNOLOGY ACADEMY</t>
  </si>
  <si>
    <t>Arduino Enzo</t>
  </si>
  <si>
    <t>Zanelli</t>
  </si>
  <si>
    <t>ardu@mobyarredamenti.it</t>
  </si>
  <si>
    <t>STOCK MOBILI</t>
  </si>
  <si>
    <t>Prodability Academy</t>
  </si>
  <si>
    <t>Arredamento mobili</t>
  </si>
  <si>
    <t>GUSSAGO (BS)</t>
  </si>
  <si>
    <t>Castaldi</t>
  </si>
  <si>
    <t>carlocastaldi@gmail.com</t>
  </si>
  <si>
    <t>NON VUOLE RICEVERE MAIL</t>
  </si>
  <si>
    <t>1704/MA</t>
  </si>
  <si>
    <t>Faranda</t>
  </si>
  <si>
    <t>carlo.faranda@oto.agency</t>
  </si>
  <si>
    <t>OTO agency</t>
  </si>
  <si>
    <t>1642/MA-23</t>
  </si>
  <si>
    <t>VB2B Tour Ospite</t>
  </si>
  <si>
    <t>Giorgio Ghisalberti</t>
  </si>
  <si>
    <t>Marketing e Comunicazione</t>
  </si>
  <si>
    <t>VALBREMBO (BG)</t>
  </si>
  <si>
    <t>1  Partecipante di Carlo Faranda</t>
  </si>
  <si>
    <t>Carmen</t>
  </si>
  <si>
    <t>Bobbiesi</t>
  </si>
  <si>
    <t>carmen.bobbiesi@perseoweb.it</t>
  </si>
  <si>
    <t>Bonifico con Loredana Lissoni</t>
  </si>
  <si>
    <t>PERSEOWEB</t>
  </si>
  <si>
    <t>1640/MA-23</t>
  </si>
  <si>
    <t>1 Partecipante di Carmen Bobbiesi</t>
  </si>
  <si>
    <t>Carolina</t>
  </si>
  <si>
    <t>Vitali</t>
  </si>
  <si>
    <t>c.vitali@yellsol.it</t>
  </si>
  <si>
    <t>YELLOW SOLUTIONS</t>
  </si>
  <si>
    <t>y</t>
  </si>
  <si>
    <t>1654/MA-23</t>
  </si>
  <si>
    <t>Agenzia Promozionale</t>
  </si>
  <si>
    <t>GORGONZOLA (MI)</t>
  </si>
  <si>
    <t>Damiano</t>
  </si>
  <si>
    <t>Grandi</t>
  </si>
  <si>
    <t>damiano@sairavenna.it</t>
  </si>
  <si>
    <t>RASSICURA</t>
  </si>
  <si>
    <t>1696/MA-23 - 1769/MA</t>
  </si>
  <si>
    <t>Assicurativo</t>
  </si>
  <si>
    <t>nicola.grandi@sairavenna.it</t>
  </si>
  <si>
    <t>1696/MA-23 - 1777/MA-23</t>
  </si>
  <si>
    <t>Ranucci</t>
  </si>
  <si>
    <t xml:space="preserve">Martina </t>
  </si>
  <si>
    <t>Coppari</t>
  </si>
  <si>
    <t>Marigo</t>
  </si>
  <si>
    <t>danielamarigo.tga@gmail.com</t>
  </si>
  <si>
    <t>Matteo 04.10 - ora investe in altro. Si risentono a Maggio. Dubita che arriva</t>
  </si>
  <si>
    <t xml:space="preserve">MILANO </t>
  </si>
  <si>
    <t>Gavinelli</t>
  </si>
  <si>
    <t>daniele.gavinelli@deltapaghe.com</t>
  </si>
  <si>
    <t>Consulente del lavoro</t>
  </si>
  <si>
    <t>DELTA PAGHE</t>
  </si>
  <si>
    <t>1661/MA-23</t>
  </si>
  <si>
    <t>Daniele (7,5% Dani; 7,5% Simo)</t>
  </si>
  <si>
    <t>Consulenza del Lavoro</t>
  </si>
  <si>
    <t>Danilo</t>
  </si>
  <si>
    <t>Aprile</t>
  </si>
  <si>
    <t>daniloaprile@libero.it</t>
  </si>
  <si>
    <t>Libero Professionilsta</t>
  </si>
  <si>
    <t>Fisio4Wellness</t>
  </si>
  <si>
    <t>1700/MA-23</t>
  </si>
  <si>
    <t>Fisioterapia / Osteopatia</t>
  </si>
  <si>
    <t>VARESE</t>
  </si>
  <si>
    <t>Dell'Orto</t>
  </si>
  <si>
    <t>davide.dellorto@deletron.it</t>
  </si>
  <si>
    <t>DELETRON</t>
  </si>
  <si>
    <t>1641/MA-23</t>
  </si>
  <si>
    <t>Installazione impianti Videosorveglianza e TVCC</t>
  </si>
  <si>
    <t>ARCORE (MB)</t>
  </si>
  <si>
    <t>Gaglione</t>
  </si>
  <si>
    <t>d.gaglione@dgfly.eu</t>
  </si>
  <si>
    <t>Trainer e Amministratore Unico</t>
  </si>
  <si>
    <t>DGFLY</t>
  </si>
  <si>
    <t>16377/MA-23 - 1711/MA-23 - 1879/MA-23</t>
  </si>
  <si>
    <t>CASELLE TORINESE (TO)</t>
  </si>
  <si>
    <t>Gambarini</t>
  </si>
  <si>
    <t>davide.gambarini@yahoo.it</t>
  </si>
  <si>
    <t>1650/MA-23</t>
  </si>
  <si>
    <t>Pet</t>
  </si>
  <si>
    <t>BRESSO (MI)</t>
  </si>
  <si>
    <t>Gatti</t>
  </si>
  <si>
    <t>davidegattitrainer@gmail.com</t>
  </si>
  <si>
    <t xml:space="preserve">Personal trainer/founder
 </t>
  </si>
  <si>
    <t>Elevate</t>
  </si>
  <si>
    <t>1599/MA-23</t>
  </si>
  <si>
    <t>Personal Trainer</t>
  </si>
  <si>
    <t>Manni</t>
  </si>
  <si>
    <t>davide.manni@axure-broker.ch</t>
  </si>
  <si>
    <t>+41 763808106</t>
  </si>
  <si>
    <t>Socio e Gerente</t>
  </si>
  <si>
    <t>AXURE</t>
  </si>
  <si>
    <t>1634/MA-23</t>
  </si>
  <si>
    <t>Broker Assicurativo</t>
  </si>
  <si>
    <t>LUGANO (SVIZZERA)</t>
  </si>
  <si>
    <t>Veronica</t>
  </si>
  <si>
    <t>Zannoni</t>
  </si>
  <si>
    <t>berenice.z@outlook.com</t>
  </si>
  <si>
    <t>AXURE / CMO - Cassa Malati On-Line</t>
  </si>
  <si>
    <t>1646/MA-23 - 1697/MA-23 - NC 1771/MA-23</t>
  </si>
  <si>
    <t>Bernaschina</t>
  </si>
  <si>
    <t>ivan.bernaschina@cassamalati.online</t>
  </si>
  <si>
    <t>+41 7658200047</t>
  </si>
  <si>
    <t>Direttore e Fondatore</t>
  </si>
  <si>
    <t>CMO -  Cassa Malati On-Line</t>
  </si>
  <si>
    <t>1687/MA-23</t>
  </si>
  <si>
    <t>Poropat</t>
  </si>
  <si>
    <t>davide.poropat@elcom.to.it</t>
  </si>
  <si>
    <t>ELCOM</t>
  </si>
  <si>
    <t>1655/MA-23</t>
  </si>
  <si>
    <t>Impianti Industriali</t>
  </si>
  <si>
    <t>GRUGLIASCO (TO)</t>
  </si>
  <si>
    <t>andrea.poropat@elcom.to.it</t>
  </si>
  <si>
    <t>Debora</t>
  </si>
  <si>
    <t>Rotta</t>
  </si>
  <si>
    <t>Debora.rotta.personal@gmail.com</t>
  </si>
  <si>
    <t>9.10 - Messaggio Gianluca</t>
  </si>
  <si>
    <t xml:space="preserve">Beauty /Cosmetico </t>
  </si>
  <si>
    <t>Bottazzi</t>
  </si>
  <si>
    <t>diego.bottazzi@simplywater.it</t>
  </si>
  <si>
    <t>SIMPLY WATER</t>
  </si>
  <si>
    <t>1712/MA-23</t>
  </si>
  <si>
    <t>Agenti Prodotti Idraulici</t>
  </si>
  <si>
    <t xml:space="preserve">PIACENZA </t>
  </si>
  <si>
    <t>Nava</t>
  </si>
  <si>
    <t>filippo.nava@simplywater.it</t>
  </si>
  <si>
    <t>Zanini</t>
  </si>
  <si>
    <t>marco.zanini@simplywater.it</t>
  </si>
  <si>
    <t>Di Filippo</t>
  </si>
  <si>
    <t>massimo.difilippo@simplywater.it</t>
  </si>
  <si>
    <t>Pellicioli</t>
  </si>
  <si>
    <t>roberto.pellicioli@simplywater.it</t>
  </si>
  <si>
    <t>Guerra</t>
  </si>
  <si>
    <t>simone.guerra@ariston.com</t>
  </si>
  <si>
    <t>Guerrieri</t>
  </si>
  <si>
    <t>diego.guerrieri@serform.eu</t>
  </si>
  <si>
    <t>Direttore Tecnico e Commerciale</t>
  </si>
  <si>
    <t>1651/MA-23</t>
  </si>
  <si>
    <t>CHIASSO (SVIZZERA)</t>
  </si>
  <si>
    <t>Teoldi</t>
  </si>
  <si>
    <t>Teoldidiego@hotmail.it</t>
  </si>
  <si>
    <t>1598/MA-23</t>
  </si>
  <si>
    <t>BEMBRATE (BG)</t>
  </si>
  <si>
    <t>Arpino</t>
  </si>
  <si>
    <t>d.arpino@martinigruppo.com</t>
  </si>
  <si>
    <t>MAIL SIMO DEL 9.10.23: non viene NEL MODULO MIV: DEVE AVERE L'OK DELL'AZIENDA</t>
  </si>
  <si>
    <t>Key Account</t>
  </si>
  <si>
    <t>MARTINI GRUPPO</t>
  </si>
  <si>
    <t>Arrigoni</t>
  </si>
  <si>
    <t>domenico.arrigoni@nicro.it</t>
  </si>
  <si>
    <t>IN contatto con BRUNO per MiV</t>
  </si>
  <si>
    <t>NICRO</t>
  </si>
  <si>
    <t>VAILATE (CR)</t>
  </si>
  <si>
    <t>Ugo</t>
  </si>
  <si>
    <t>Berno</t>
  </si>
  <si>
    <t>ugo.berno@nicro.it</t>
  </si>
  <si>
    <t>1767/MA-23</t>
  </si>
  <si>
    <t>Dora</t>
  </si>
  <si>
    <t>Binnella</t>
  </si>
  <si>
    <t>dora@binnella.com</t>
  </si>
  <si>
    <t>STUDIO DORA BINNELLA</t>
  </si>
  <si>
    <t>1648/MA-23</t>
  </si>
  <si>
    <t xml:space="preserve">Consulenza Retail </t>
  </si>
  <si>
    <t>SENAGO (MI)</t>
  </si>
  <si>
    <t>Nicoletta</t>
  </si>
  <si>
    <t>Campi</t>
  </si>
  <si>
    <t>sales@binnella.com</t>
  </si>
  <si>
    <t>Elisabetta</t>
  </si>
  <si>
    <t>Presotto</t>
  </si>
  <si>
    <t>studio@epresotto.it</t>
  </si>
  <si>
    <t>NEL MODULO MIV: chiedere a BARBARA Pper pagamento (finanziamento fondo regione)</t>
  </si>
  <si>
    <t>STUDIO PRESOTTO</t>
  </si>
  <si>
    <t>Emanuela</t>
  </si>
  <si>
    <t>Nuzzo</t>
  </si>
  <si>
    <t>nuzzo.emanuela@gmail.com</t>
  </si>
  <si>
    <t>N.B. Nelibe e Seom sono 2 società</t>
  </si>
  <si>
    <t>Founder|CO-Founder 
&amp; CEO</t>
  </si>
  <si>
    <t>SEOM - NELIBE</t>
  </si>
  <si>
    <t>1625/MA-23 - 1875/MA-23</t>
  </si>
  <si>
    <t>Marketing &amp; Beauty Wellness</t>
  </si>
  <si>
    <t>COLLECCHIO (PR)</t>
  </si>
  <si>
    <t>Emil</t>
  </si>
  <si>
    <t>Cioban</t>
  </si>
  <si>
    <t>emil.cioban84@gmail.com</t>
  </si>
  <si>
    <t>WHOLE LOTTA HEMP</t>
  </si>
  <si>
    <t>Canapa Industriale</t>
  </si>
  <si>
    <t>Furgani</t>
  </si>
  <si>
    <t>enrico.furgani@albatros.ra.it</t>
  </si>
  <si>
    <t>Back office / Logistica</t>
  </si>
  <si>
    <t>1652/MA-23</t>
  </si>
  <si>
    <t>Nicholas</t>
  </si>
  <si>
    <t>Egidi</t>
  </si>
  <si>
    <t>nicholas.egidi@albatros.ra.it</t>
  </si>
  <si>
    <t>Dipendente</t>
  </si>
  <si>
    <t>Sprocati</t>
  </si>
  <si>
    <t>sergio.sprocati@albatros.ra.it</t>
  </si>
  <si>
    <t>Impiegato Tecnico REsponsabile di SEttore</t>
  </si>
  <si>
    <t>Fabrizio</t>
  </si>
  <si>
    <t>Oldrati</t>
  </si>
  <si>
    <t>fabrizio.oldrati@gmail.com</t>
  </si>
  <si>
    <t>Assistenza</t>
  </si>
  <si>
    <t>1645/MA-23</t>
  </si>
  <si>
    <t>Entertainment</t>
  </si>
  <si>
    <t>Federica</t>
  </si>
  <si>
    <t>Borsetti</t>
  </si>
  <si>
    <t>federicaborsetti001@gmail.com</t>
  </si>
  <si>
    <t>Figlia di Armando Borsetti</t>
  </si>
  <si>
    <t>Studente</t>
  </si>
  <si>
    <t>GIUSSANO (MB)</t>
  </si>
  <si>
    <t>Gaiotto</t>
  </si>
  <si>
    <t>fgaiotto2019@gmail.com</t>
  </si>
  <si>
    <t>IN ATTESA DI CONFRONTO CON L'AZIENDA- Chiama Simo</t>
  </si>
  <si>
    <t>GROSSO LEGNO</t>
  </si>
  <si>
    <t>Costruzioni in legno</t>
  </si>
  <si>
    <t>MEOLO (VE)</t>
  </si>
  <si>
    <t>Igor</t>
  </si>
  <si>
    <t>Marcon</t>
  </si>
  <si>
    <t>i.marcon@grossolegno.it</t>
  </si>
  <si>
    <t>Inguscio</t>
  </si>
  <si>
    <t>francesco.inguscio@rainmakers.it</t>
  </si>
  <si>
    <t>04.10 Matteo - Paga entro il 6..10 e lui viene ad Ottobre. Vedremo per altri. NEL MODULO MIV: da confermare, trattiva per date e numeri di posti in discussione con Matteo.</t>
  </si>
  <si>
    <t>RAINMAKERS</t>
  </si>
  <si>
    <t>Servizi Finanziari</t>
  </si>
  <si>
    <t>Valeriani</t>
  </si>
  <si>
    <t>francescovaleriani@icloud.com</t>
  </si>
  <si>
    <t>TUTTOGAS AUTOFFICINA</t>
  </si>
  <si>
    <t>1632/MA-23</t>
  </si>
  <si>
    <t>AutoriparazionI</t>
  </si>
  <si>
    <t>FERRARA</t>
  </si>
  <si>
    <t>Lorenza</t>
  </si>
  <si>
    <t>Domenicali</t>
  </si>
  <si>
    <t>lorenza.domenicali@gmail.com</t>
  </si>
  <si>
    <t>Segretaria</t>
  </si>
  <si>
    <t>Fulvio</t>
  </si>
  <si>
    <t>Angelillo</t>
  </si>
  <si>
    <t>triotek@triotek.org</t>
  </si>
  <si>
    <t>Triotek</t>
  </si>
  <si>
    <t>1628/MA-23</t>
  </si>
  <si>
    <t>Corriere Espresso - Logistica</t>
  </si>
  <si>
    <t>Gaspare</t>
  </si>
  <si>
    <t>Schillaci</t>
  </si>
  <si>
    <t>schillaci.gas@gmail.com</t>
  </si>
  <si>
    <t>CONFERMA ENTRO IL 30/10/2023, bloccato prezzo promozionale di 2.997+iva</t>
  </si>
  <si>
    <t>Carrara</t>
  </si>
  <si>
    <t>giorgio.carrara@studiocarrara.eu</t>
  </si>
  <si>
    <t>STUDIO CARRARA</t>
  </si>
  <si>
    <t>1626/MA-23</t>
  </si>
  <si>
    <t>Lorenzi</t>
  </si>
  <si>
    <t>giovanni.lorenzi@it.cobogroup.net</t>
  </si>
  <si>
    <t xml:space="preserve">mail di Stefano del 9/10/2023: •        Non ha ancora avuto modo di parlare con il suo capo, dobbiamo sentirci mercoledì mattina per capire se riesce a bloccare il prezzo lui con l’anticipo dei 200 euro.
Ti tengo aggiornato.
Comunque non partecipa sicuramente nel 2023
</t>
  </si>
  <si>
    <t>COBO GROUP</t>
  </si>
  <si>
    <t>LENO (BS)</t>
  </si>
  <si>
    <t>Salice</t>
  </si>
  <si>
    <t>info@sgbiosistemi.eu</t>
  </si>
  <si>
    <t>NEL MODULO MIV: DA CONFERMARE ENTR IL 29/9. 9.10 - Messaggio Gianluca</t>
  </si>
  <si>
    <t>SG BIOSISTEMI</t>
  </si>
  <si>
    <t>Giulio</t>
  </si>
  <si>
    <t>Palmitessa</t>
  </si>
  <si>
    <t>giuliopalmitessa@gmail.com</t>
  </si>
  <si>
    <t>1854/MA-23</t>
  </si>
  <si>
    <t>Scalata 419,55€ dal ricavo MIV tutta a novembre 2023</t>
  </si>
  <si>
    <t>Scalata 139,85€ dal ricavo MIV tuttao a novembre 2023</t>
  </si>
  <si>
    <t>Lara</t>
  </si>
  <si>
    <t>Iannuzzi</t>
  </si>
  <si>
    <t>lara.iannuzzi@mediafivesrl.com</t>
  </si>
  <si>
    <t>04.10 - Viene a Maggio e paga a Settembre - NEL MODULO MIV: DIPENDENTE, DA CONFERMARE ENTRO MERCOLEDI' 27/09</t>
  </si>
  <si>
    <t>MEDIAFIVE</t>
  </si>
  <si>
    <t>1774/MA-23</t>
  </si>
  <si>
    <t>Call Center</t>
  </si>
  <si>
    <t>MALNATE (VA)</t>
  </si>
  <si>
    <t>Guaitolini</t>
  </si>
  <si>
    <t>guaitolinilaura@gmail.com</t>
  </si>
  <si>
    <t>1647/MA-23</t>
  </si>
  <si>
    <t>SESTO CALENDE (VA)</t>
  </si>
  <si>
    <t>Maccapanni</t>
  </si>
  <si>
    <t>laura.maccapanni@creditspecialist.it</t>
  </si>
  <si>
    <t>CORPORATE AND FINANCE</t>
  </si>
  <si>
    <t>1701/MA-23</t>
  </si>
  <si>
    <t>Consulenza Aziendale / Finanza Agevolata</t>
  </si>
  <si>
    <t>CALLENZANO (BG)</t>
  </si>
  <si>
    <t>Mercati</t>
  </si>
  <si>
    <t>laura.mercati@ipkom.com</t>
  </si>
  <si>
    <t>La sente Cri per capire cosa è capitato</t>
  </si>
  <si>
    <t>IPKOM</t>
  </si>
  <si>
    <t>SAN SEPOLCRO (AR)</t>
  </si>
  <si>
    <t>1 Partecipante Ipkom</t>
  </si>
  <si>
    <t>2 Partecipante Ipkom</t>
  </si>
  <si>
    <t>3 Partecipante Ipkom</t>
  </si>
  <si>
    <t>Auciello</t>
  </si>
  <si>
    <t>luca.auciello91@gmail.com</t>
  </si>
  <si>
    <t>NEL MODULO MIV: CONFERMA ENTRO IL 10/10/2023</t>
  </si>
  <si>
    <t>B.FANCY</t>
  </si>
  <si>
    <t>1683/MA-23</t>
  </si>
  <si>
    <t>Ludico</t>
  </si>
  <si>
    <t>Bartoletti</t>
  </si>
  <si>
    <t>bartolettil@irecoop.it; bartoletti70@gmail.com</t>
  </si>
  <si>
    <t>NEL MODULO MIV: PREVIA VERIFICA E APPROVAZIONE AD E DIRETTORE. SE PAGA LUI SARA' a 100 euro+iva al Mese</t>
  </si>
  <si>
    <t>IRECOOP E.R.</t>
  </si>
  <si>
    <t>Formazione</t>
  </si>
  <si>
    <t>Vajani</t>
  </si>
  <si>
    <t>luca.vajani@ariestech.it</t>
  </si>
  <si>
    <t>NEL MODULO MIV:  CONFERMA ENTRO IL 30/9. CHIAMATO DAVIDE. NON riescono ora a fare questo investimento e quindi torneranno al Tour e poi vedranno il da farsi ;</t>
  </si>
  <si>
    <t>ARIES TECH</t>
  </si>
  <si>
    <t>Informatica</t>
  </si>
  <si>
    <t>1 Partecipante di Luca Vajani</t>
  </si>
  <si>
    <t>Zanni</t>
  </si>
  <si>
    <t>luca@integerfactory.com</t>
  </si>
  <si>
    <t>Ttitolare</t>
  </si>
  <si>
    <t>Integer Factory</t>
  </si>
  <si>
    <t>1709/MA-23 - 1775/MA-23 - 1902/MA-23</t>
  </si>
  <si>
    <t>Consulenza Aziendale</t>
  </si>
  <si>
    <t>Lucia</t>
  </si>
  <si>
    <t>Falasco</t>
  </si>
  <si>
    <t>moren72@libero.it</t>
  </si>
  <si>
    <t>AUTOFFICINA MECCANICA BROGLIONI</t>
  </si>
  <si>
    <t>1680/MA-23</t>
  </si>
  <si>
    <t>SPOLETO (PG)</t>
  </si>
  <si>
    <t>Moreno</t>
  </si>
  <si>
    <t>Broglioni</t>
  </si>
  <si>
    <t>Violi</t>
  </si>
  <si>
    <t>lucia.violi@gmail.com</t>
  </si>
  <si>
    <t>NEL MODULO MIV: dilazione particolare concessa da Gianluca</t>
  </si>
  <si>
    <t>Liberto Professionista</t>
  </si>
  <si>
    <t>1656/MA-23</t>
  </si>
  <si>
    <t>Psicologa</t>
  </si>
  <si>
    <t>CADORAGO (CO)</t>
  </si>
  <si>
    <t>Luisa Maria</t>
  </si>
  <si>
    <t>Beltre Perez</t>
  </si>
  <si>
    <t>elibelt.29@gmail.com</t>
  </si>
  <si>
    <t>Subagente assicurativo</t>
  </si>
  <si>
    <t>GENERALI ITALIA</t>
  </si>
  <si>
    <t>1699/MA-23</t>
  </si>
  <si>
    <t>AssicurazionI</t>
  </si>
  <si>
    <t>LONATO DEL GARDA (BS)</t>
  </si>
  <si>
    <t>Cernaz</t>
  </si>
  <si>
    <t>cernaz@libero.it</t>
  </si>
  <si>
    <t>CITY MEDIA</t>
  </si>
  <si>
    <t>1682/MA-23 - 1720/MA-23 - 1880/MA-23</t>
  </si>
  <si>
    <t>Editoria e Formazione</t>
  </si>
  <si>
    <t>TRIESTE</t>
  </si>
  <si>
    <t>Laghi</t>
  </si>
  <si>
    <t>mlaghi.vodafone@gmail.com</t>
  </si>
  <si>
    <t>NEL MODULO MIV: PREVIA CONFERMA DA PARTE DELLA MANDANTE</t>
  </si>
  <si>
    <t>1708/MA-23</t>
  </si>
  <si>
    <t>Maria Luisa</t>
  </si>
  <si>
    <t>Viggiano</t>
  </si>
  <si>
    <t>m.viggiano@ciclat.it</t>
  </si>
  <si>
    <t>Ciclat Trasporti Ambiente</t>
  </si>
  <si>
    <t>1643/MA-23</t>
  </si>
  <si>
    <t>Trasporti e Servizi Ambientali</t>
  </si>
  <si>
    <t>Valentini</t>
  </si>
  <si>
    <t>l.valentini@ciclat.it</t>
  </si>
  <si>
    <t>Maria Rita</t>
  </si>
  <si>
    <t>Grimaccia</t>
  </si>
  <si>
    <t>mritagrimaccia@gmail.com</t>
  </si>
  <si>
    <t>Naturopatia</t>
  </si>
  <si>
    <t>Bergamaschi</t>
  </si>
  <si>
    <t>marta.bergamaschi@ecologicanaviglio.it</t>
  </si>
  <si>
    <t>NEL MODULO MIV: MODALITA' DI PAGAMENTO NON ANCORA DEFINITA</t>
  </si>
  <si>
    <t>ECOLOGICA NAVIGLIO</t>
  </si>
  <si>
    <t>Servizio Terziario</t>
  </si>
  <si>
    <t>ROBECCHETTO CON INDUNO (MI)</t>
  </si>
  <si>
    <t>RIFREQUENTANTE</t>
  </si>
  <si>
    <t>Giusy</t>
  </si>
  <si>
    <t>Riina</t>
  </si>
  <si>
    <t>giusy.riina@ecologicanaviglio.it</t>
  </si>
  <si>
    <t>Baffigi</t>
  </si>
  <si>
    <t>matteo.baffigi@corismedica.it</t>
  </si>
  <si>
    <t>NEL MODULO MIV: CONFERMA ENTRO IL 29/09 - PAGAMENTO 5 GIORNI POST CONFERMA</t>
  </si>
  <si>
    <t>CORIS MEDICA</t>
  </si>
  <si>
    <t>Dispositivi Medici</t>
  </si>
  <si>
    <t>CORTONA (AR)</t>
  </si>
  <si>
    <t>Butti</t>
  </si>
  <si>
    <t>matteo.butti93@gmail.com</t>
  </si>
  <si>
    <t>NEL MODULO MIV: DA CONFERMARE MA EDIZIONE AUTUNNO 2024</t>
  </si>
  <si>
    <t>COLOR SERVICE MARKET</t>
  </si>
  <si>
    <t>C 24-2</t>
  </si>
  <si>
    <t>Roagna</t>
  </si>
  <si>
    <t>Sentito da Daniele, iscritto dal papà e sta ancora facendo IFTS, quindi per ora NO</t>
  </si>
  <si>
    <t>Mattia</t>
  </si>
  <si>
    <t>Bossi</t>
  </si>
  <si>
    <t>bossimattia@gmail.com</t>
  </si>
  <si>
    <t>SVILUPPO BUSINESS</t>
  </si>
  <si>
    <t>1631/MA-23</t>
  </si>
  <si>
    <t>Consulenza e Servizi Marketing</t>
  </si>
  <si>
    <t>L'AQUILA</t>
  </si>
  <si>
    <t>Prandelli</t>
  </si>
  <si>
    <t>ufficiotecnico.rizzi@gmail.com</t>
  </si>
  <si>
    <t>RIZZI FAUSTO &amp; C.</t>
  </si>
  <si>
    <t>1694/MA-23</t>
  </si>
  <si>
    <t>Elettristica e Sicurezza</t>
  </si>
  <si>
    <t>Mikhael</t>
  </si>
  <si>
    <t>Tommassoni</t>
  </si>
  <si>
    <t>mike@giemmetichette.it</t>
  </si>
  <si>
    <t>GIEMME ETICHETTE</t>
  </si>
  <si>
    <t>1644/MA-23</t>
  </si>
  <si>
    <t>Etichette e Servizi Stampa</t>
  </si>
  <si>
    <t>SALUDECIO (RN)</t>
  </si>
  <si>
    <t>Nerci</t>
  </si>
  <si>
    <t>monica@fitobucaneve.it</t>
  </si>
  <si>
    <t>FITOBUCANEVE</t>
  </si>
  <si>
    <t>1703/MA-23</t>
  </si>
  <si>
    <t>Fitofarmaceutico</t>
  </si>
  <si>
    <t>CASOREZZO (MI)</t>
  </si>
  <si>
    <t xml:space="preserve">Danilo </t>
  </si>
  <si>
    <t>Medici</t>
  </si>
  <si>
    <t>Monica Silvia</t>
  </si>
  <si>
    <t>Scolari</t>
  </si>
  <si>
    <t>monica.scolari@stamber.it</t>
  </si>
  <si>
    <t>STAMBER</t>
  </si>
  <si>
    <t>1691/MA-23</t>
  </si>
  <si>
    <t>Solution &amp; Innovation</t>
  </si>
  <si>
    <t>LUMEZZANE (BS)</t>
  </si>
  <si>
    <t>Stefano Domenico</t>
  </si>
  <si>
    <t>Bertoli</t>
  </si>
  <si>
    <t>stefano.bertoli@stamber.it</t>
  </si>
  <si>
    <t>Diretttore Generale</t>
  </si>
  <si>
    <t>Carnaroli</t>
  </si>
  <si>
    <t>nicola.carnaroli@pharmalabsrl.com</t>
  </si>
  <si>
    <t>PHARMA LAB</t>
  </si>
  <si>
    <t>1689/MA-23</t>
  </si>
  <si>
    <t>DOGNA (SAN MARINO)</t>
  </si>
  <si>
    <t>Matrangolo</t>
  </si>
  <si>
    <t>nicola@ildipintore.it</t>
  </si>
  <si>
    <t>IL DIPINTORE</t>
  </si>
  <si>
    <t>1597/MA-23</t>
  </si>
  <si>
    <t>Edilizia</t>
  </si>
  <si>
    <t>BUSNAGO (MB)</t>
  </si>
  <si>
    <t>Baravalle</t>
  </si>
  <si>
    <t>paola.bara22@gmail.com</t>
  </si>
  <si>
    <t>IN CONTATTO CON PACCI PER MIV. Forse Gratis per "Cambio Merce" con 2BeHappy</t>
  </si>
  <si>
    <t>gratis?</t>
  </si>
  <si>
    <t xml:space="preserve">Elena </t>
  </si>
  <si>
    <t>Tolone</t>
  </si>
  <si>
    <t>elena.tolone@errecompany.org</t>
  </si>
  <si>
    <t>In attesa di INFO da Paola Baravalle</t>
  </si>
  <si>
    <t>2 Partecipante di Paola Baravalle</t>
  </si>
  <si>
    <t>3 Partecipante di Paola Baravalle</t>
  </si>
  <si>
    <t>Mazzocchi</t>
  </si>
  <si>
    <t>Paolamzzcch@gmail.com</t>
  </si>
  <si>
    <t>Chief Business &amp; Revenue Officer</t>
  </si>
  <si>
    <t>TeamEQ</t>
  </si>
  <si>
    <t>1726/MA-23</t>
  </si>
  <si>
    <t>Piattaforma Team Analytics</t>
  </si>
  <si>
    <t>Mortara</t>
  </si>
  <si>
    <t>pmortara@fenixdigitalgroup.com</t>
  </si>
  <si>
    <t>DA GESTIRE MODALITA' PAGAMENTO</t>
  </si>
  <si>
    <t>FENIX DIGITAL GROUP</t>
  </si>
  <si>
    <t>1717/MA-23</t>
  </si>
  <si>
    <t>Macchine per Stampa</t>
  </si>
  <si>
    <t>SETTIMO MILANESE (MI)</t>
  </si>
  <si>
    <t>Biaggi</t>
  </si>
  <si>
    <t>NEL MODULO MIV: RICHIESTO INCONTRO IN AZIENDA</t>
  </si>
  <si>
    <t>TOGNELA GROUP</t>
  </si>
  <si>
    <t>Fiori</t>
  </si>
  <si>
    <t>paolo@eventsple.com</t>
  </si>
  <si>
    <t>FATTURA NEL 2023</t>
  </si>
  <si>
    <t>PLE EVENTS</t>
  </si>
  <si>
    <t>1639/MA-23</t>
  </si>
  <si>
    <t>Eventi</t>
  </si>
  <si>
    <t>BRUGERIO (MB)</t>
  </si>
  <si>
    <t>Fontolan</t>
  </si>
  <si>
    <t>fontolanpaolo@gmail.com</t>
  </si>
  <si>
    <t>FONTOLAN ALBERTO E PAOLO</t>
  </si>
  <si>
    <t>1714/MA-23</t>
  </si>
  <si>
    <t>Autoriparazioni</t>
  </si>
  <si>
    <t>Fontolan Alberto e Paolo</t>
  </si>
  <si>
    <t>SEVESO (MB)</t>
  </si>
  <si>
    <t>Mauri</t>
  </si>
  <si>
    <t>p.mauri@nordgas.it</t>
  </si>
  <si>
    <t>NEL MODULO: IN APPROVAZIONE DEL TITOLARE ENTRO IL 22/9 ????)</t>
  </si>
  <si>
    <t>NORDGAS</t>
  </si>
  <si>
    <t>1710/MA-23</t>
  </si>
  <si>
    <t>Elettronica</t>
  </si>
  <si>
    <t>COSTA MASNAGA (LC)</t>
  </si>
  <si>
    <t>Trucco</t>
  </si>
  <si>
    <t>paolo.trucco@blendit.it</t>
  </si>
  <si>
    <t>NEL MODULO MIV: CONFERMA DA PARTE DI DECISION MAKER - ENTRO 15/11/023</t>
  </si>
  <si>
    <t>BLEND IT</t>
  </si>
  <si>
    <t>Alberio</t>
  </si>
  <si>
    <t>Patrizia.alberio@icloud.com</t>
  </si>
  <si>
    <t>Centro Ufficio</t>
  </si>
  <si>
    <t>1660/MA-23</t>
  </si>
  <si>
    <t>Buffetti</t>
  </si>
  <si>
    <t>COMO</t>
  </si>
  <si>
    <t>Spirito</t>
  </si>
  <si>
    <t>patrizia.spirito@fastwebnet.it</t>
  </si>
  <si>
    <t>1716/MA-23</t>
  </si>
  <si>
    <t>Progettazione Eventi</t>
  </si>
  <si>
    <t>Philip</t>
  </si>
  <si>
    <t>Dall'Igna</t>
  </si>
  <si>
    <t>philip@prodability.com</t>
  </si>
  <si>
    <t>PRODABILITY ACADEMY</t>
  </si>
  <si>
    <t>1779/MA-23</t>
  </si>
  <si>
    <t>Bonotto</t>
  </si>
  <si>
    <t>giulio.b@testidimarketing.it</t>
  </si>
  <si>
    <t>Testi di marketing</t>
  </si>
  <si>
    <t>1778/MA-23</t>
  </si>
  <si>
    <t>Testi di Marketing</t>
  </si>
  <si>
    <t>VICENZA???</t>
  </si>
  <si>
    <t>Tobia</t>
  </si>
  <si>
    <t>Paoletto</t>
  </si>
  <si>
    <t>tobiapaoletto@gmail.com</t>
  </si>
  <si>
    <t>Pinna</t>
  </si>
  <si>
    <t>robipinnaor@gmail.com</t>
  </si>
  <si>
    <t>NEL MODULO MIV: CHIEDE DI ESSERE CHIAMATA PER VALUTARE SVILUPPO PROGETTO AD HOC (FIMRATO DA ACCA). Altri 3 potenziali sono rinviati ad altra edizione</t>
  </si>
  <si>
    <t>INFOMANAGER</t>
  </si>
  <si>
    <t>Gasparinetti</t>
  </si>
  <si>
    <t>roberto.gasparinetti@incrementoo.com</t>
  </si>
  <si>
    <t>13.10.23 - Barbara: parteciperanno Edizione Maggio 24</t>
  </si>
  <si>
    <t>STIAN GROUP</t>
  </si>
  <si>
    <t>Consulenza Imprenditoriale</t>
  </si>
  <si>
    <t>SARONNO (VA)</t>
  </si>
  <si>
    <t>Visconti</t>
  </si>
  <si>
    <t>stefano.visconti@incrementoo.com</t>
  </si>
  <si>
    <t>Cau</t>
  </si>
  <si>
    <t>stefano.cau@youandtech.it</t>
  </si>
  <si>
    <t>NEL MODULO MIV: concordato pagamento diverso (Gianluca)</t>
  </si>
  <si>
    <t>YOUANDTECH</t>
  </si>
  <si>
    <t>1685/MA-23</t>
  </si>
  <si>
    <t>VB2B Tour</t>
  </si>
  <si>
    <t xml:space="preserve">CAGLIARI </t>
  </si>
  <si>
    <t>Russo</t>
  </si>
  <si>
    <t>roberto.russo.bologna@gmail.com</t>
  </si>
  <si>
    <t>LINK PAGAMENTO CARTA DI CREDITO</t>
  </si>
  <si>
    <t>1785/MA-23</t>
  </si>
  <si>
    <t>Ruslan</t>
  </si>
  <si>
    <t>Barbaros</t>
  </si>
  <si>
    <t>barbarosruslan@gmail.com</t>
  </si>
  <si>
    <t>CHIAMATO 3.10 che farà il bonifico entro il 5.10 -  NEL MODULO MIV: 2397+IVA soluzione unica oppure 2897 +IVA in tre tranche (200 entro 29/9 - 1720 entro 6/10 e 1614,34 entro 3/11)</t>
  </si>
  <si>
    <t>MDS GOMME</t>
  </si>
  <si>
    <t>1826/MA-23</t>
  </si>
  <si>
    <t>Automobilistico</t>
  </si>
  <si>
    <t>SELVAZZANO DENTRO (PD)</t>
  </si>
  <si>
    <t>Salvatore</t>
  </si>
  <si>
    <t>Corvaglia</t>
  </si>
  <si>
    <t>salvatore.corvaglia@sysup.it</t>
  </si>
  <si>
    <t>Bonifico con Constantin Lazarica</t>
  </si>
  <si>
    <t>SYS UP</t>
  </si>
  <si>
    <t>1 Partecipante di Salvatore Corvaglia</t>
  </si>
  <si>
    <t>Tassielli</t>
  </si>
  <si>
    <t>samuele.tassielli@innovative-tech.it</t>
  </si>
  <si>
    <t>Source divisa fra Daniele e Simone - NEL MODULO: A CONFERMARE MODALITì E TEMPI DI PAGAMENTO</t>
  </si>
  <si>
    <t>Innovative Tech Systems</t>
  </si>
  <si>
    <t>Artigiano Metalmeccanico</t>
  </si>
  <si>
    <t>PAVIA</t>
  </si>
  <si>
    <t>Minchella</t>
  </si>
  <si>
    <t>sara.minchella@innovative-tech.it</t>
  </si>
  <si>
    <t>MAIL DI SIMONE DEL 09.10.23: Samuele Tassielli manderà entro fine mese l’acconto di 200€ (200 x 2 partecipanti) in modo da bloccare le condizioni e partecipare poi a maggio - Source divisa fra Daniele e Simone - NEL MODULO: A CONFERMARE MODALITì E TEMPI DI PAGAMENTO</t>
  </si>
  <si>
    <t>Serena</t>
  </si>
  <si>
    <t>Moro</t>
  </si>
  <si>
    <t>serena.moro@cikis.studio</t>
  </si>
  <si>
    <t>NEL MODULO MIV: Parlare con Matteo</t>
  </si>
  <si>
    <t>Founder &amp; CEO</t>
  </si>
  <si>
    <t>CIKIS STUDIO</t>
  </si>
  <si>
    <t>1877/MA-23</t>
  </si>
  <si>
    <t>Consulenza, Sostenibilità, Moda</t>
  </si>
  <si>
    <t>Spiga</t>
  </si>
  <si>
    <t>sergio.spiga@hotmail.it</t>
  </si>
  <si>
    <t xml:space="preserve">mail Stefano del 9/10/2023: •        Stracciare contratto, lo rifarà il prossimo anno, vuole coinvolgere anche il titolare che dovrebbe pagare lui e che non sapeva nulla.
Lo marco stretto, conto il prossimo anno di riprenderlo.
</t>
  </si>
  <si>
    <t>Iommi</t>
  </si>
  <si>
    <t>silvia.iommi13@gmail.com</t>
  </si>
  <si>
    <t>NEL MODULO MIV: SI PRENDE UN PAIO DI GIORNI PER DECIDERE. Moglie di Davide Mondaini Ex-Funnel Company</t>
  </si>
  <si>
    <t>TEAMWORK</t>
  </si>
  <si>
    <t>Stragapede</t>
  </si>
  <si>
    <t>silvio.straga@gmail.com</t>
  </si>
  <si>
    <t>NEL MODULO MIV: DA CONFERMARE DOPO ACCORDI AZIENDA E SE PERSONALE CONOCRDARE PAGAMENTO - MAIL DEL 27/9/2023 IN CUI COMUNICA LA DISDETTA</t>
  </si>
  <si>
    <t>LIFE HOME INTEGRATION</t>
  </si>
  <si>
    <t>Saletti</t>
  </si>
  <si>
    <t>saletti.simone@nuovasaimpa.it</t>
  </si>
  <si>
    <t>NUOVA S.A.I.M.P.A.</t>
  </si>
  <si>
    <t>1636/MA-23</t>
  </si>
  <si>
    <t>Manifatturiero</t>
  </si>
  <si>
    <t>BORGO CHIESE (TN)</t>
  </si>
  <si>
    <t>Simonetta</t>
  </si>
  <si>
    <t>Isella</t>
  </si>
  <si>
    <t>simonetta@ellepack.it</t>
  </si>
  <si>
    <t>Sistemi Integrati di Imballaggio</t>
  </si>
  <si>
    <t>sales@ellepack.it</t>
  </si>
  <si>
    <t>335 8499079</t>
  </si>
  <si>
    <t xml:space="preserve">NEL MODULO MIV: PAGAMENTO AD HOC (ACCA)  -Questi 5 frequenterebbero il master nel 2024. Nel frattempo sto cercando un bando per coprire l'investimento.
</t>
  </si>
  <si>
    <t>ATTESA FINANZIAMENTO</t>
  </si>
  <si>
    <t>Lozza</t>
  </si>
  <si>
    <t>marzia@ellepack.it</t>
  </si>
  <si>
    <t>Grigis</t>
  </si>
  <si>
    <t>francesca@ellepack.it</t>
  </si>
  <si>
    <t>Ravasio</t>
  </si>
  <si>
    <t>commerciale2@ellepack.it</t>
  </si>
  <si>
    <t>Tamponi</t>
  </si>
  <si>
    <t>stefano@stilooptical.com</t>
  </si>
  <si>
    <t>G: contattare omar@lagomconsulting.it</t>
  </si>
  <si>
    <t>STILO OPTICAL TECHNOLOGY</t>
  </si>
  <si>
    <t>1681/MA-23</t>
  </si>
  <si>
    <t>Occhialeria</t>
  </si>
  <si>
    <t>PEDEROBBA (TV)</t>
  </si>
  <si>
    <t>Millefanti</t>
  </si>
  <si>
    <t>INFO@ALMACERAMICHE.IT</t>
  </si>
  <si>
    <t>04.10 - Viene a Maggio e paga adesso - NEL MODULO MIV: DA CONFERMARE ENTRO IL 5/10/2023</t>
  </si>
  <si>
    <t>AL.MA.CERAMICHE</t>
  </si>
  <si>
    <t>1718/MA-23</t>
  </si>
  <si>
    <t>CASSINA RIZZARDI (CO)</t>
  </si>
  <si>
    <t>Vasile</t>
  </si>
  <si>
    <t>Curagau</t>
  </si>
  <si>
    <t>novotech.grafiche@gmail.com</t>
  </si>
  <si>
    <t xml:space="preserve">A VS NON ci sarà per la giornata di Venerdì, ACCORDO DI COLLABORAZIONE di Marco:  2397+iva p/to in 3 tranche - NEL MODULO MIV: 2397+IVA soluzione unica oppure 2897 +IVA in tre tranche (200 entro 29/9 - 1720 entro 6/10 e 1614,34 entro 3/11) - </t>
  </si>
  <si>
    <t>NOVOTECH GRAFICHE</t>
  </si>
  <si>
    <t>1727/MA-23</t>
  </si>
  <si>
    <t>Stampa Digitale e Serigrafia</t>
  </si>
  <si>
    <t>MONSELICE (PD)</t>
  </si>
  <si>
    <t>Vincenzo</t>
  </si>
  <si>
    <t>Rispoli</t>
  </si>
  <si>
    <t>Vincenzo.rispoli@studio-31.it</t>
  </si>
  <si>
    <t>STUDIO31</t>
  </si>
  <si>
    <t>1702/MA-23</t>
  </si>
  <si>
    <t>Ingegneria Elettrica</t>
  </si>
  <si>
    <t>ALBIOLO (CO)</t>
  </si>
  <si>
    <t>Bernadette</t>
  </si>
  <si>
    <t>Mercuri</t>
  </si>
  <si>
    <t>bernadette.studio31@gmail.com</t>
  </si>
  <si>
    <t>Vittorio</t>
  </si>
  <si>
    <t>Forbici</t>
  </si>
  <si>
    <t>info@leforbici.com</t>
  </si>
  <si>
    <t>NEL MODULO MIV: DA CONFERMARE ETNRO 27/9</t>
  </si>
  <si>
    <t>LE FORBICI</t>
  </si>
  <si>
    <t>1684/MA-23</t>
  </si>
  <si>
    <t>Walter</t>
  </si>
  <si>
    <t>Polonioli</t>
  </si>
  <si>
    <t>walter@compacsrl.com</t>
  </si>
  <si>
    <t>NEL MODULO MIV: CONFERMA IL NUMERO DI PARTECIPANTI ENTRO IL 28/9/2023</t>
  </si>
  <si>
    <t>Imprenditore, 
Direttore commerciale</t>
  </si>
  <si>
    <t>COM.PAC.</t>
  </si>
  <si>
    <t>1653/MA-23</t>
  </si>
  <si>
    <t>Automazione - Sicurezza - VideoControllo</t>
  </si>
  <si>
    <t>Maurizio</t>
  </si>
  <si>
    <t>Capello</t>
  </si>
  <si>
    <t>maurizio@compacsrl.com</t>
  </si>
  <si>
    <t>Testa</t>
  </si>
  <si>
    <t>giovanni@compacsrl.com</t>
  </si>
  <si>
    <t>Christian</t>
  </si>
  <si>
    <t>Tolini</t>
  </si>
  <si>
    <t>christian@compacsrl.com</t>
  </si>
  <si>
    <t>Trini</t>
  </si>
  <si>
    <t>diegotrini65@gmail.com</t>
  </si>
  <si>
    <t>Senici</t>
  </si>
  <si>
    <t>simone@compacsrl.com</t>
  </si>
  <si>
    <t>Locatelli</t>
  </si>
  <si>
    <t>fabrizio@compacsrl.com</t>
  </si>
  <si>
    <t>sara@compacsrl.com</t>
  </si>
  <si>
    <t>Yuri</t>
  </si>
  <si>
    <t>Venturini</t>
  </si>
  <si>
    <t>y.venturini@caen.it</t>
  </si>
  <si>
    <t xml:space="preserve">LEAN </t>
  </si>
  <si>
    <t>Fracassi</t>
  </si>
  <si>
    <t>a.fracassi@green-lab.it</t>
  </si>
  <si>
    <t xml:space="preserve">STUDIO ASSOCIATO FRACASSI SCARAMELLA </t>
  </si>
  <si>
    <t>1635/MA-23</t>
  </si>
  <si>
    <t>Isaac</t>
  </si>
  <si>
    <t>Scaramella</t>
  </si>
  <si>
    <t>i.scaramella@green-lab.it</t>
  </si>
  <si>
    <t>Crescini</t>
  </si>
  <si>
    <t>lucacrescini1504@gmail.com</t>
  </si>
  <si>
    <t>PUTELLI</t>
  </si>
  <si>
    <t>1725/MA-23</t>
  </si>
  <si>
    <t>Edilizia - Infissi</t>
  </si>
  <si>
    <t>PONCARALE (BS)</t>
  </si>
  <si>
    <t>Ilaria</t>
  </si>
  <si>
    <t>Pedretti</t>
  </si>
  <si>
    <t>ilaria.pedretti94@gmail.com</t>
  </si>
  <si>
    <t>EAGLE GHOST</t>
  </si>
  <si>
    <t>1724/MA-23</t>
  </si>
  <si>
    <t>Consulenza GDPR</t>
  </si>
  <si>
    <t>CORTE FRANCA (BS)</t>
  </si>
  <si>
    <t>Berti</t>
  </si>
  <si>
    <t>c.berti@adtel.it</t>
  </si>
  <si>
    <t xml:space="preserve">AD. TEL </t>
  </si>
  <si>
    <t>Robbiani</t>
  </si>
  <si>
    <t>a.robbiani@adtel.it</t>
  </si>
  <si>
    <t>Coggi</t>
  </si>
  <si>
    <t>filippo.coggi@emilianaserbatoi.it</t>
  </si>
  <si>
    <t>Export Sales Director</t>
  </si>
  <si>
    <t>EMILIANA SERBATOI</t>
  </si>
  <si>
    <t>1776/MA-23</t>
  </si>
  <si>
    <t>Handling Fuel Solution</t>
  </si>
  <si>
    <t>CAMPOGALLIANO (MO)</t>
  </si>
  <si>
    <t>Benedetta</t>
  </si>
  <si>
    <t>Pavanati</t>
  </si>
  <si>
    <t>b.pavanati@dotblue.it</t>
  </si>
  <si>
    <t>Dotblue</t>
  </si>
  <si>
    <t>NOCETO (PR)</t>
  </si>
  <si>
    <t>Sirocchi</t>
  </si>
  <si>
    <t>FUORI VB2B    Autunno 20</t>
  </si>
  <si>
    <t>Domeniconi</t>
  </si>
  <si>
    <t>daniele.domeniconi@nextmedia.it</t>
  </si>
  <si>
    <t>nel CE Miv 22 sono imputati 2997+iva rif. alla ft. 491/ma del 31/10/19 segnato come Autunno 2020</t>
  </si>
  <si>
    <t>Nextmedia</t>
  </si>
  <si>
    <t>03152330407</t>
  </si>
  <si>
    <t>Nextmedia Srl</t>
  </si>
  <si>
    <t>Via Quinto Bucci, 80 - 47521 Cesena (FC)</t>
  </si>
  <si>
    <t>SUMB70N</t>
  </si>
  <si>
    <t>nextmedia@pec.it</t>
  </si>
  <si>
    <t>491/MA-19</t>
  </si>
  <si>
    <t>VB2B set 20</t>
  </si>
  <si>
    <t>Amaducci</t>
  </si>
  <si>
    <t>amaducci.elisa@gmail.com; elisa@slownet.it</t>
  </si>
  <si>
    <t>Slow Net</t>
  </si>
  <si>
    <t>02536540392</t>
  </si>
  <si>
    <t xml:space="preserve">ELIOS DIGITAL PRINT DI ROSELLI MARCO &amp; C. SNC </t>
  </si>
  <si>
    <t>Via Guidone 25/27 - 48121 Ravenna - ra</t>
  </si>
  <si>
    <t>elisa@slownet.it</t>
  </si>
  <si>
    <t>5RUO82D</t>
  </si>
  <si>
    <t>heliosdigitalprint@pec.it</t>
  </si>
  <si>
    <t>LD</t>
  </si>
  <si>
    <t>Servizi Commerciali Outsourcing</t>
  </si>
  <si>
    <t>Sartorato</t>
  </si>
  <si>
    <t>maglieriamarchioro@gmail.com</t>
  </si>
  <si>
    <t>Maglieria Marchioro</t>
  </si>
  <si>
    <t>BERTIPAGLIA (PD)</t>
  </si>
  <si>
    <t>VB2B mar 19</t>
  </si>
  <si>
    <t>Manenti</t>
  </si>
  <si>
    <t>info@iecmanenti.it</t>
  </si>
  <si>
    <t>HA FATTO SOLO 1 MODULO (Risentito maggio 23 e vorrebbe ripartire con i corsi, dopo Laura della figlia ad Ottobre 23)</t>
  </si>
  <si>
    <t>I.E.C. MANENTI</t>
  </si>
  <si>
    <t>IEC Manenti  I.E.C. Manenti SRL</t>
  </si>
  <si>
    <t>140/MA-19</t>
  </si>
  <si>
    <t>AGNOSINE (BS)</t>
  </si>
  <si>
    <t>sara@iecmanenti.it</t>
  </si>
  <si>
    <t>162/MA-19</t>
  </si>
  <si>
    <t xml:space="preserve">Polo </t>
  </si>
  <si>
    <t>polo.giovanni@chimical.it</t>
  </si>
  <si>
    <t>CHIMICAL</t>
  </si>
  <si>
    <t>00401030176</t>
  </si>
  <si>
    <t>CHIMICAL SAS</t>
  </si>
  <si>
    <t>Via Giorgione 22- 25124 Brescia (BS)</t>
  </si>
  <si>
    <t>contabilita@chimical.it</t>
  </si>
  <si>
    <t>SUBM70N</t>
  </si>
  <si>
    <t>Giovi</t>
  </si>
  <si>
    <t>giovanni.giovi@autind.com</t>
  </si>
  <si>
    <t>marco.brunelli@autind.com</t>
  </si>
  <si>
    <t>Gregorelli</t>
  </si>
  <si>
    <t>fabio.gregorelli@autind.com</t>
  </si>
  <si>
    <t>D'Elia</t>
  </si>
  <si>
    <t>info@dggroupe.it</t>
  </si>
  <si>
    <t>HA CHIESTO DI POTER STARE NELLE FILE ESTERNE</t>
  </si>
  <si>
    <t>Dg Group</t>
  </si>
  <si>
    <t>DG GROUP</t>
  </si>
  <si>
    <t>HA CONFERMATO SA 22</t>
  </si>
  <si>
    <t>Tecnologia per Centri Estetici</t>
  </si>
  <si>
    <t>OSIO SOTTO (BG)</t>
  </si>
  <si>
    <t>Gloria</t>
  </si>
  <si>
    <t>Folli</t>
  </si>
  <si>
    <t>gloria.folli@autind.com</t>
  </si>
  <si>
    <t>Gianlorenzo</t>
  </si>
  <si>
    <t>Caccia</t>
  </si>
  <si>
    <t>gl.caccia@qsa.net</t>
  </si>
  <si>
    <t>CEO &amp; 
Innovation Manager</t>
  </si>
  <si>
    <t>Qsa.Net</t>
  </si>
  <si>
    <t>Innovation Management</t>
  </si>
  <si>
    <t>QSA.Net</t>
  </si>
  <si>
    <t>Confalonieri</t>
  </si>
  <si>
    <t>maxconfa@duplex.it</t>
  </si>
  <si>
    <t>HA CHIESTO SE POSSIBLE STARE SEDUTO VICINO A FLAVIO VALERI e ANDREA DE SANTI</t>
  </si>
  <si>
    <t>Duplex Brianza</t>
  </si>
  <si>
    <t>Gestione Stampa e Copia</t>
  </si>
  <si>
    <t>BRUGHERIO (MB)</t>
  </si>
  <si>
    <t>Venturuzzo</t>
  </si>
  <si>
    <t>nicola.venturuzzo@gocapital.it</t>
  </si>
  <si>
    <t>Go Capital</t>
  </si>
  <si>
    <t>Rachele</t>
  </si>
  <si>
    <t>Di Terlizzi</t>
  </si>
  <si>
    <t>rakelediterlizzi@hotmail.com</t>
  </si>
  <si>
    <t>PANTANI GROUP</t>
  </si>
  <si>
    <t>Tubi per scambiatori di calore</t>
  </si>
  <si>
    <t>Stillo</t>
  </si>
  <si>
    <t>a.stillo@switchup.it</t>
  </si>
  <si>
    <t>A VENDITA TATTICA VIENE DA SABATO</t>
  </si>
  <si>
    <t>SWITCH UP</t>
  </si>
  <si>
    <t>Digital Marketing &amp; Comunication</t>
  </si>
  <si>
    <t>FIDENZA (PR)</t>
  </si>
  <si>
    <t>Carovana</t>
  </si>
  <si>
    <t>carovana.marco@gmail.com</t>
  </si>
  <si>
    <t>YouTube Communication Strategist</t>
  </si>
  <si>
    <t>MARCO CAROVANA</t>
  </si>
  <si>
    <t>Web marketing</t>
  </si>
  <si>
    <t>Dottore</t>
  </si>
  <si>
    <t>a.dottore@gti.it</t>
  </si>
  <si>
    <t>GTI</t>
  </si>
  <si>
    <t>ICT e Cyber Security</t>
  </si>
  <si>
    <t>MODENA</t>
  </si>
  <si>
    <t xml:space="preserve">Daniela </t>
  </si>
  <si>
    <t>Merlini</t>
  </si>
  <si>
    <t>merlini.daniela@gmail.com</t>
  </si>
  <si>
    <t>PRIMADONNA</t>
  </si>
  <si>
    <t>Abbigliamento e Accessori Donna</t>
  </si>
  <si>
    <t>BUSSOLENGO (VR)</t>
  </si>
  <si>
    <t>Brizzi</t>
  </si>
  <si>
    <t>claudiobrizzi75@gmail.com</t>
  </si>
  <si>
    <t>SIENA</t>
  </si>
  <si>
    <t>Migliorati</t>
  </si>
  <si>
    <t>mauro1.migliorati@gmail.com</t>
  </si>
  <si>
    <t>Sabatino</t>
  </si>
  <si>
    <t>patriziasabatino8@gmail.com</t>
  </si>
  <si>
    <t>Event manager</t>
  </si>
  <si>
    <t>H&amp;A Motivation</t>
  </si>
  <si>
    <t>CR</t>
  </si>
  <si>
    <t xml:space="preserve"> Eventi - Fiere - Incentive</t>
  </si>
  <si>
    <t>Denis</t>
  </si>
  <si>
    <t>Porcinai</t>
  </si>
  <si>
    <t>denis.porcinai@cgmmovincar.it</t>
  </si>
  <si>
    <t>CGM - Compagnia Generale Macchine</t>
  </si>
  <si>
    <t>Vendita e Noleggo Carrelli Elevatori</t>
  </si>
  <si>
    <t>ZOLA PREDOSA (BO)</t>
  </si>
  <si>
    <t>Gian Luca</t>
  </si>
  <si>
    <t>Boarini</t>
  </si>
  <si>
    <t>boarini@switchup.it</t>
  </si>
  <si>
    <t>Switch Up</t>
  </si>
  <si>
    <t>Impiombato Andreani</t>
  </si>
  <si>
    <t>andrea@impiombatoandreani.it</t>
  </si>
  <si>
    <t>Artoni</t>
  </si>
  <si>
    <t>A.artoni@switchup.it</t>
  </si>
  <si>
    <t>Antignano</t>
  </si>
  <si>
    <t>m.antignano@switchup.it</t>
  </si>
  <si>
    <t>Mezzi</t>
  </si>
  <si>
    <t>michele.mezzi@gmail.com</t>
  </si>
  <si>
    <t>Business Development Manager</t>
  </si>
  <si>
    <t>RES Synesis</t>
  </si>
  <si>
    <t>Realizzazione di software</t>
  </si>
  <si>
    <t>Ketty Quabba -&gt; potrebbe diventare la nipote di Fulvio Manenti (sentito il 30.9.23)</t>
  </si>
  <si>
    <t>nel CE Miv 22 sono imputati 2997+iva rif. alla ft. 162/MA del 17/04/19 segnato come Autunno 2020</t>
  </si>
  <si>
    <t>Esposito</t>
  </si>
  <si>
    <t>esposito.lara.17@gmail.com</t>
  </si>
  <si>
    <t>335 6039317‬ oppure 327 2304456‬</t>
  </si>
  <si>
    <t>Chiede VS in remoto. Chiedere per Negoziaz</t>
  </si>
  <si>
    <t>11493880014</t>
  </si>
  <si>
    <t>WhiteLab snc (NON INDICARE NOME PARTECIPANTE)</t>
  </si>
  <si>
    <t>Via Montevecchio 28 - 10128 Torino (TO)</t>
  </si>
  <si>
    <t>amministrazione@whitelab.torino.it</t>
  </si>
  <si>
    <t>chiesto sdi</t>
  </si>
  <si>
    <t>whitelabsnc@pec.it</t>
  </si>
  <si>
    <t>CL</t>
  </si>
  <si>
    <t>VB2B set 21</t>
  </si>
  <si>
    <t>Regazzo</t>
  </si>
  <si>
    <t>marco@primoround.com</t>
  </si>
  <si>
    <t>04554800260</t>
  </si>
  <si>
    <t>Primo Round srl</t>
  </si>
  <si>
    <t>Via Copernico, 38 - 20125 Milano (MI)</t>
  </si>
  <si>
    <t>paola.luppino@primoround.com</t>
  </si>
  <si>
    <t>M5UXCR1</t>
  </si>
  <si>
    <t>Parmesani</t>
  </si>
  <si>
    <t>parme68@gmail.com</t>
  </si>
  <si>
    <t>Opsi</t>
  </si>
  <si>
    <t>Consulenza e System Integrationg</t>
  </si>
  <si>
    <t>NOVA MILANESE (MI)</t>
  </si>
  <si>
    <t>Marta Azzurra</t>
  </si>
  <si>
    <t>Brognoli</t>
  </si>
  <si>
    <t>martaazzurrabrognoli@gmail.com</t>
  </si>
  <si>
    <t>Vincitrice quizzone 20</t>
  </si>
  <si>
    <t>Marta Azzurra Brognoli</t>
  </si>
  <si>
    <t>GRATIS VINCITRICE QUIZZONE</t>
  </si>
  <si>
    <t>Canali</t>
  </si>
  <si>
    <t>matteo@quinto-elemento.it</t>
  </si>
  <si>
    <t>Matteo Canali</t>
  </si>
  <si>
    <t>03276170135</t>
  </si>
  <si>
    <t>QUINTO ELEMENTO SRL</t>
  </si>
  <si>
    <t>Via Viganò 15 - 22100 Como (CO)</t>
  </si>
  <si>
    <t>Samantha</t>
  </si>
  <si>
    <t>Cicchelero</t>
  </si>
  <si>
    <t>samantha.cicch@gmail.com</t>
  </si>
  <si>
    <t>Samantha Cicchelero</t>
  </si>
  <si>
    <t>Cicchelero Samantha</t>
  </si>
  <si>
    <t>Berrone</t>
  </si>
  <si>
    <t>andrea@berrone.ch</t>
  </si>
  <si>
    <t>Ingegneria Ambientale</t>
  </si>
  <si>
    <t>SVIZZERA</t>
  </si>
  <si>
    <t>Antonella</t>
  </si>
  <si>
    <t>Provasi</t>
  </si>
  <si>
    <t>antonella@ilcaneeilgallo.it</t>
  </si>
  <si>
    <t>hanno chiesto di stare vicini al master</t>
  </si>
  <si>
    <t>Founder</t>
  </si>
  <si>
    <t>Il cane e il gallo</t>
  </si>
  <si>
    <t>Grafica e Comunicazione</t>
  </si>
  <si>
    <t>Il Cane e il Gallo</t>
  </si>
  <si>
    <t>CESANO MADERNO (MB)</t>
  </si>
  <si>
    <t>Sciarratta</t>
  </si>
  <si>
    <t>marco.sciarratta@dataconnect.it</t>
  </si>
  <si>
    <t>A VS NOV 23 NO DOMENICA - hanno chiesto di stare vicini al master</t>
  </si>
  <si>
    <t>Dataconnect</t>
  </si>
  <si>
    <t>Soluzioni IT e Digitalizzazione</t>
  </si>
  <si>
    <t>PORDENONE (PN)</t>
  </si>
  <si>
    <t>Eliana</t>
  </si>
  <si>
    <t>Cattaneo</t>
  </si>
  <si>
    <t>e.cattaneo@briefinglab.com</t>
  </si>
  <si>
    <t>Briefing Lab</t>
  </si>
  <si>
    <t>Agenzia di comunicazione online e offline</t>
  </si>
  <si>
    <t>Loriana</t>
  </si>
  <si>
    <t>Blando</t>
  </si>
  <si>
    <t>loriana.blando@globalutilities.it</t>
  </si>
  <si>
    <t>Area Manager Italia</t>
  </si>
  <si>
    <t>Global Utilities</t>
  </si>
  <si>
    <t>Marilena</t>
  </si>
  <si>
    <t>Riello</t>
  </si>
  <si>
    <t>marilena.riello@studioriello.it</t>
  </si>
  <si>
    <t>Studio Riello</t>
  </si>
  <si>
    <t>Studio Commercialista</t>
  </si>
  <si>
    <t>Anna</t>
  </si>
  <si>
    <t>Bollini</t>
  </si>
  <si>
    <t>ababoveandbelow@gmail.com</t>
  </si>
  <si>
    <t>Louder Italia</t>
  </si>
  <si>
    <t>Comunicazione ed Eventi Sostenibili</t>
  </si>
  <si>
    <t>Mariani</t>
  </si>
  <si>
    <t>paola.mariani@compassosrl.it</t>
  </si>
  <si>
    <t>Compasso</t>
  </si>
  <si>
    <t>SEREGNO (MI)</t>
  </si>
  <si>
    <t>Sardena</t>
  </si>
  <si>
    <t>SSardena@tonucci.com</t>
  </si>
  <si>
    <t>NON</t>
  </si>
  <si>
    <t>Pezzaglia</t>
  </si>
  <si>
    <t>cp@cristinapezzaglia.com</t>
  </si>
  <si>
    <t xml:space="preserve">Riqualificazione Urbana e Immobiliare </t>
  </si>
  <si>
    <t xml:space="preserve">Stefano Paul </t>
  </si>
  <si>
    <t>Zanenga</t>
  </si>
  <si>
    <t>stefano_paul_zanenga@hotmail.com</t>
  </si>
  <si>
    <t>Porte per interni</t>
  </si>
  <si>
    <t>MAGLIANO ALPI (CN)</t>
  </si>
  <si>
    <t>Frescoso</t>
  </si>
  <si>
    <t>fulvio@soluzionilogistiche.it</t>
  </si>
  <si>
    <t>Soluzioni Logistiche</t>
  </si>
  <si>
    <t>Logistica di magazzino</t>
  </si>
  <si>
    <t>Inverardi</t>
  </si>
  <si>
    <t>info@stefanoinverardi.it</t>
  </si>
  <si>
    <t>Eagle Ghost</t>
  </si>
  <si>
    <t>Fasini</t>
  </si>
  <si>
    <t>carlo.fasini@itstrategy.it</t>
  </si>
  <si>
    <t>MAIL DEL 12/9/23 confermo la volontà di partecipare almeno a qualche giornata del Master in Vendita, secondo le disponibilità che avrò.</t>
  </si>
  <si>
    <t xml:space="preserve">It Strategy </t>
  </si>
  <si>
    <t>Consulenza e Servizi IT</t>
  </si>
  <si>
    <t>VICENZA</t>
  </si>
  <si>
    <t xml:space="preserve">Claudia </t>
  </si>
  <si>
    <t>Pelizzari</t>
  </si>
  <si>
    <t>claudia@in4tek.it</t>
  </si>
  <si>
    <t>IN4TEK</t>
  </si>
  <si>
    <t>Software House</t>
  </si>
  <si>
    <t>GRUMELLO DEL MONTE (BG)</t>
  </si>
  <si>
    <t>Bravin</t>
  </si>
  <si>
    <t>francesco@cominshop.it</t>
  </si>
  <si>
    <t>COMINshop</t>
  </si>
  <si>
    <t>Piergiorgio</t>
  </si>
  <si>
    <t>Ghidini</t>
  </si>
  <si>
    <t>piergiorgio@rcstecnoimpianti.it</t>
  </si>
  <si>
    <t>Responsabile commerciale</t>
  </si>
  <si>
    <t>RCS Tecnoimpianti</t>
  </si>
  <si>
    <t>ICT for Business</t>
  </si>
  <si>
    <t>Gigliotti</t>
  </si>
  <si>
    <t>gigliotti@globalcom.srl</t>
  </si>
  <si>
    <t>Global-Com</t>
  </si>
  <si>
    <t>Energia e Telecomunicazioni</t>
  </si>
  <si>
    <t>REGGIO EMILIA</t>
  </si>
  <si>
    <t>Romeo</t>
  </si>
  <si>
    <t>Carbone</t>
  </si>
  <si>
    <t>romeo.carbone@libero.it</t>
  </si>
  <si>
    <t>amministrazione@edilchic.it;</t>
  </si>
  <si>
    <t>Edil Chic</t>
  </si>
  <si>
    <t>Edilizia Leggera</t>
  </si>
  <si>
    <t>Gianesini</t>
  </si>
  <si>
    <t>marco_gianesini@libero.it</t>
  </si>
  <si>
    <t>A Vendita Strategica NOVEMBRE 23 sarà solo il venerdì (anche senza posto in sala)</t>
  </si>
  <si>
    <t>Addetto contrattualisitica e contabilità acquisti</t>
  </si>
  <si>
    <t>Università di Padova</t>
  </si>
  <si>
    <t>Didattica - Ricerca - Terza Missione</t>
  </si>
  <si>
    <t>Mondaini</t>
  </si>
  <si>
    <t>davidemondaini.work@gmail.com</t>
  </si>
  <si>
    <t>Marketing Turistico</t>
  </si>
  <si>
    <t>Almici</t>
  </si>
  <si>
    <t>matteo.almici@albaconsulting.it</t>
  </si>
  <si>
    <t>Musaio</t>
  </si>
  <si>
    <t>fmusaio@fenixdigitalgroup.com</t>
  </si>
  <si>
    <t>Mantovani</t>
  </si>
  <si>
    <t>amantovani@fenixdigitalgroup.com</t>
  </si>
  <si>
    <t>Avarino</t>
  </si>
  <si>
    <t>info@siegrenew.eu</t>
  </si>
  <si>
    <t>CONFERMATO PRESENZA AL MIV 22/09 ORE 10 - come anticipato al B2B, vorrei partecipare al master di ottobre e anche al Master Bonus "stile di vita".</t>
  </si>
  <si>
    <t>SIEG RENEW</t>
  </si>
  <si>
    <t>Riqualificazioni Immobiliari</t>
  </si>
  <si>
    <t>SARONNO (SA)</t>
  </si>
  <si>
    <t>Bonfanti</t>
  </si>
  <si>
    <t>immobiliare@garedilizia.it</t>
  </si>
  <si>
    <t>CONFERMATO PRESENZA AL MIV 29/9 ore 10</t>
  </si>
  <si>
    <t>GAR EDILIZIA</t>
  </si>
  <si>
    <t>Immobiliare</t>
  </si>
  <si>
    <t>ZOGNO (BG)</t>
  </si>
  <si>
    <t>Vavassori</t>
  </si>
  <si>
    <t>valentina.vavassori@sicurezzainforma.it</t>
  </si>
  <si>
    <t>SICUREZZA INFORMA</t>
  </si>
  <si>
    <t>Sicurezza sul Lavoro</t>
  </si>
  <si>
    <t>VILLA D'ALMÉ (BG)</t>
  </si>
  <si>
    <t>Nicolini</t>
  </si>
  <si>
    <t>simonik.nik1@gmail.com</t>
  </si>
  <si>
    <t>CONFERMATO PRESENZA AL MIV 23/9 ore 15,27</t>
  </si>
  <si>
    <t>Barbera</t>
  </si>
  <si>
    <t>antonio@ownideastudio.com</t>
  </si>
  <si>
    <t>CONFERMATO PRESENZA AL MIV 28/9 ore 10,18</t>
  </si>
  <si>
    <t>OWNIDEA STUDIO</t>
  </si>
  <si>
    <t>Video e Comunicazione</t>
  </si>
  <si>
    <t>Martini</t>
  </si>
  <si>
    <t>simonamartini1@gmail.com</t>
  </si>
  <si>
    <t>Simba Paper Design</t>
  </si>
  <si>
    <t>Bevilacqua</t>
  </si>
  <si>
    <t>laura.b@studioufficio.it</t>
  </si>
  <si>
    <t>STUDIO UFFICIO</t>
  </si>
  <si>
    <t>Prodotti per l'ufficio</t>
  </si>
  <si>
    <t>PESCARA</t>
  </si>
  <si>
    <t>Miatello</t>
  </si>
  <si>
    <t>gianni@cpparquet.it</t>
  </si>
  <si>
    <t>Direttore Commerciale Italia</t>
  </si>
  <si>
    <t>CP PARQUET</t>
  </si>
  <si>
    <t>Pavimenti in legno e Complementi d'arredo</t>
  </si>
  <si>
    <t>PIEVE DEL GRAPPA (TV)</t>
  </si>
  <si>
    <t>Tumiati</t>
  </si>
  <si>
    <t>laura.tumiati@gmail.com</t>
  </si>
  <si>
    <t>Banca, Investimenti, Assicurazioni</t>
  </si>
  <si>
    <t>Cabiati</t>
  </si>
  <si>
    <t>andrea.cabiati@res-it.com</t>
  </si>
  <si>
    <t>TECH STYLE</t>
  </si>
  <si>
    <t>Cesare</t>
  </si>
  <si>
    <t>Bagnari</t>
  </si>
  <si>
    <t>C.Bagnari@ciclat.ra.it</t>
  </si>
  <si>
    <t>Antonietta</t>
  </si>
  <si>
    <t>Mastrandrea</t>
  </si>
  <si>
    <t>antomastran@gmail.com</t>
  </si>
  <si>
    <t>antonietta.mastrandrea@allianzbankfa.it</t>
  </si>
  <si>
    <t>Allianz Bank</t>
  </si>
  <si>
    <t>(F) FREQUENTANTI Iscritti</t>
  </si>
  <si>
    <t>(R) RIFREQUENZA Iscritti</t>
  </si>
  <si>
    <t>(P) se HA INIZIATO A PAGARE</t>
  </si>
  <si>
    <t>(C) DA CONFERMARE, NON HA PAGATO</t>
  </si>
  <si>
    <t>(CF) Frequentanti che hanno PAGATO ma non hanno detto QUANDO VENGONO</t>
  </si>
  <si>
    <t>(CR) Rifrequentanti che avevano detto che venivano e devono ancora CONFERMARE</t>
  </si>
  <si>
    <t>R?</t>
  </si>
  <si>
    <t>(FD) Dato disdetta .... da CONTATTARE</t>
  </si>
  <si>
    <t>(D) Dato disdetta DEFINITIVA</t>
  </si>
  <si>
    <t>C? - Da DEFINIRE DATE-ISCRIZIONE o CONFERMARE ISCRIZIONE</t>
  </si>
  <si>
    <t>RFT - Rifrequentante che ha dato conferma fuori tempo limite</t>
  </si>
  <si>
    <t>REMINDER</t>
  </si>
  <si>
    <t>Novelli</t>
  </si>
  <si>
    <t>info@viralstudio.it</t>
  </si>
  <si>
    <t>DOTTOR. ALBERTO NOVELLI</t>
  </si>
  <si>
    <t>inviata in data 28.4 mail per sollecito bb acconto</t>
  </si>
  <si>
    <t>si</t>
  </si>
  <si>
    <t>Ciro Persiano</t>
  </si>
  <si>
    <t>Consulenza e Sicurezza sul Lavoro</t>
  </si>
  <si>
    <t>Alberto Novelli</t>
  </si>
  <si>
    <t>Marchi</t>
  </si>
  <si>
    <t>archicristinamarchi@gmail.com</t>
  </si>
  <si>
    <t>051/4122812</t>
  </si>
  <si>
    <t>ARCHITETTO MARCHI CRISTINA</t>
  </si>
  <si>
    <t>lo sta seguendo Stefano</t>
  </si>
  <si>
    <t>blackship Omaggio</t>
  </si>
  <si>
    <t>SValleriniGalan</t>
  </si>
  <si>
    <t>Buono</t>
  </si>
  <si>
    <t>davide.buono@profexional.it</t>
  </si>
  <si>
    <t>PROFEXIONAL SRL</t>
  </si>
  <si>
    <t>Gianluca: Aggiornamento con Valentina dopo il 10 maggio</t>
  </si>
  <si>
    <t>Andrea Cimmino</t>
  </si>
  <si>
    <t>Lissandrini</t>
  </si>
  <si>
    <t>francescalissandrini@saciproject.it</t>
  </si>
  <si>
    <t>Mail per MiV 22/2 risposto che non ci sono</t>
  </si>
  <si>
    <t>SACIPROJECT</t>
  </si>
  <si>
    <t>al 05.04.22 nessuna news in merito alla conferma. Chiamata 20.4 - sentire Mario, sono in difficoltà e cercano finanziamento</t>
  </si>
  <si>
    <t>Cartellini VB2B</t>
  </si>
  <si>
    <t>Giulia Gremasi</t>
  </si>
  <si>
    <t>Zanetti</t>
  </si>
  <si>
    <t>valentina.zanetti@profexional.it</t>
  </si>
  <si>
    <t>Gianluca: Da risentire per metà maggio. In forse</t>
  </si>
  <si>
    <t>Lisa Grosso</t>
  </si>
  <si>
    <t>Farina</t>
  </si>
  <si>
    <t>a.farina@dasu.tech</t>
  </si>
  <si>
    <t>DASU' SRL</t>
  </si>
  <si>
    <t>Daniele Zorzoli</t>
  </si>
  <si>
    <t>Garbi</t>
  </si>
  <si>
    <t>alessio.garbi@xonne.it</t>
  </si>
  <si>
    <t>XONNE SRL</t>
  </si>
  <si>
    <t>Todeschi</t>
  </si>
  <si>
    <t>comm@temaflux.com</t>
  </si>
  <si>
    <t>TEMAFLUX</t>
  </si>
  <si>
    <t>elenap412@gmail.com</t>
  </si>
  <si>
    <t>3P VERNICIATURE SRL</t>
  </si>
  <si>
    <t>Valentina Vavassori</t>
  </si>
  <si>
    <t>enrico.martini@invercolor.it</t>
  </si>
  <si>
    <t>INVER COLOR TREVISO SRL</t>
  </si>
  <si>
    <t>Enrico Mario</t>
  </si>
  <si>
    <t>Bulgaron</t>
  </si>
  <si>
    <t>enrico.bulgaron@gmail.com</t>
  </si>
  <si>
    <t>BULGARON ENRICO MARIO</t>
  </si>
  <si>
    <t>Boccardo</t>
  </si>
  <si>
    <t>francesco@klincontentmarketing.it</t>
  </si>
  <si>
    <t>RELOAD FC</t>
  </si>
  <si>
    <t>manda mail di conferma (vedi mail di Cri H del 5.04.2022 - Sollecito pagamento 22.4. Il 26.4 ha scritto che non viene</t>
  </si>
  <si>
    <t>Carriere.it</t>
  </si>
  <si>
    <t>Viola</t>
  </si>
  <si>
    <t>Giovanni.viola.1982@gmail.com</t>
  </si>
  <si>
    <t>INVESTIRE PRO</t>
  </si>
  <si>
    <t>lo sta segendo la Daniela, in attesa di un incontro il 20 aprile. Aggiornamento il 27.4</t>
  </si>
  <si>
    <t>Gianluca Bandini</t>
  </si>
  <si>
    <t>Maria</t>
  </si>
  <si>
    <t>Agazzi</t>
  </si>
  <si>
    <t>maria.agazzi1996@gmail.com</t>
  </si>
  <si>
    <t>DORATURA MANERBIESE DI AGAZZI MARCO E C. SNC</t>
  </si>
  <si>
    <t>al 05.04.22 nessuna news in merito alla conferma</t>
  </si>
  <si>
    <t>Baldo</t>
  </si>
  <si>
    <t>labcts@utr.it</t>
  </si>
  <si>
    <t>UTR</t>
  </si>
  <si>
    <t>NON VIENE</t>
  </si>
  <si>
    <t>Bersani</t>
  </si>
  <si>
    <t>mb3393419332@gmail.com</t>
  </si>
  <si>
    <t>LECTHLER SPA</t>
  </si>
  <si>
    <t>Silvio Serraino</t>
  </si>
  <si>
    <t>Alessandro Giaretto</t>
  </si>
  <si>
    <t>Riboli</t>
  </si>
  <si>
    <t>riboli.nicola@gmail.com</t>
  </si>
  <si>
    <t>RIBOLI NICOLA</t>
  </si>
  <si>
    <t>Oreste Alessandro</t>
  </si>
  <si>
    <t>Fagà</t>
  </si>
  <si>
    <t>o.faga@eureweb.com</t>
  </si>
  <si>
    <t>trattativa in corso Bruno</t>
  </si>
  <si>
    <t>Matteo Limenta</t>
  </si>
  <si>
    <t>Paganotti</t>
  </si>
  <si>
    <t>simone.paganotti@res-it.com</t>
  </si>
  <si>
    <t>RES SRL</t>
  </si>
  <si>
    <t>blackship a Pagamento Ospite</t>
  </si>
  <si>
    <t>Saleri</t>
  </si>
  <si>
    <t>stefano.saleri@fast3d.it</t>
  </si>
  <si>
    <t>Marito Savina Bugatti</t>
  </si>
  <si>
    <t>FA.ST 3D DI SALERI STEFANO FRANCESCO</t>
  </si>
  <si>
    <t>Migotto</t>
  </si>
  <si>
    <t>vittorio.migotto8@gmail.com</t>
  </si>
  <si>
    <t>Vigezzi</t>
  </si>
  <si>
    <t>vigezzi@prtgroup.eu</t>
  </si>
  <si>
    <t>PRT GROUP S.P.A.</t>
  </si>
  <si>
    <t>iscrizione per piu partecipanti</t>
  </si>
  <si>
    <t>Massimo di Filippo</t>
  </si>
  <si>
    <t>Susanna</t>
  </si>
  <si>
    <t>Salvador</t>
  </si>
  <si>
    <t>ssalvador@videlio-hms.com</t>
  </si>
  <si>
    <t>VIDELIO HMS OPERATIONS SRL</t>
  </si>
  <si>
    <t>Gianluca: Lunga Call. 22.4. Fa sapere entro il 6 maggio (ha incontro il 4). In forse</t>
  </si>
  <si>
    <t xml:space="preserve">Marco </t>
  </si>
  <si>
    <t>Liverani</t>
  </si>
  <si>
    <t>sales@ad2000.biz</t>
  </si>
  <si>
    <t>ad2000</t>
  </si>
  <si>
    <t>pagamento entro metà maggio 22</t>
  </si>
  <si>
    <t>PER IL 2022 NON RIESCE</t>
  </si>
  <si>
    <t>Cassago</t>
  </si>
  <si>
    <t>luigicassago.chef@gmail.com</t>
  </si>
  <si>
    <t>EARTH SRL</t>
  </si>
  <si>
    <t>Gianluca: Sentito al telefono, deve pagare. Non sta rispondendo</t>
  </si>
  <si>
    <t>Mauro Migliorati</t>
  </si>
  <si>
    <t>10-giug-22</t>
  </si>
  <si>
    <t>Giusy Riina</t>
  </si>
  <si>
    <t>Poli</t>
  </si>
  <si>
    <t>polistefano05@gmail.com</t>
  </si>
  <si>
    <t>PANIFER</t>
  </si>
  <si>
    <t>in attesa di accordo di collaborazione da parte di Cri A. (14.04.22)</t>
  </si>
  <si>
    <t>Giorgio Nepa</t>
  </si>
  <si>
    <t>Panifer</t>
  </si>
  <si>
    <t>Romanini</t>
  </si>
  <si>
    <t>alessandro.romanini@mechinno.com</t>
  </si>
  <si>
    <t>3349821104</t>
  </si>
  <si>
    <t>CONFERMA ENTRO IL 30/9</t>
  </si>
  <si>
    <t>Business Developer</t>
  </si>
  <si>
    <t>Mechinno</t>
  </si>
  <si>
    <t xml:space="preserve">Alessia </t>
  </si>
  <si>
    <t>Collavo</t>
  </si>
  <si>
    <t>alessia@sidisport.com; morena.baleani@jvinternational.com</t>
  </si>
  <si>
    <t>Sidi Sport</t>
  </si>
  <si>
    <t>Alex</t>
  </si>
  <si>
    <t>Mazza</t>
  </si>
  <si>
    <t>Appuntamento 14.10 in azienda per Aiutarli</t>
  </si>
  <si>
    <t>Direttore Tecnico</t>
  </si>
  <si>
    <t>Lechler22</t>
  </si>
  <si>
    <t>Chreon - Lechler</t>
  </si>
  <si>
    <t>Consulenza Sostenibilità</t>
  </si>
  <si>
    <t>Aere</t>
  </si>
  <si>
    <t>Fava</t>
  </si>
  <si>
    <t>barbara.fava@icloud.com</t>
  </si>
  <si>
    <t>3316540336</t>
  </si>
  <si>
    <t>CONFERMA ENTRO IL 30/09/2022. Disdetta. Sentita Raffa e Confermato che non c'è</t>
  </si>
  <si>
    <t>FOUNDER</t>
  </si>
  <si>
    <t>We Nudge</t>
  </si>
  <si>
    <t>Di Palma</t>
  </si>
  <si>
    <t>Chiara.DiPalma@olympus.com</t>
  </si>
  <si>
    <t>Territory Manager Urology</t>
  </si>
  <si>
    <t>Olympus</t>
  </si>
  <si>
    <t>Pompilii</t>
  </si>
  <si>
    <t>Cristina.pompilii@mechinno.com</t>
  </si>
  <si>
    <t>3401061023 / 3337847057</t>
  </si>
  <si>
    <t>Leonardo Zucchelli</t>
  </si>
  <si>
    <t>Multari</t>
  </si>
  <si>
    <t>danielamultari.dm@gmail.com</t>
  </si>
  <si>
    <t>Contattata da Marco, farà tentativo per  intercedere con il titolare</t>
  </si>
  <si>
    <t>Luca Casadio</t>
  </si>
  <si>
    <t>Conceria</t>
  </si>
  <si>
    <t>Chiorino Technology</t>
  </si>
  <si>
    <t>Felici</t>
  </si>
  <si>
    <t>davide.felici@formaaquae.it</t>
  </si>
  <si>
    <t>3496097704</t>
  </si>
  <si>
    <t>deve confermare il metodo di pagamento. Annullato per attriti in azienda</t>
  </si>
  <si>
    <t>AREA MANAGER</t>
  </si>
  <si>
    <t>Arredo Bagno</t>
  </si>
  <si>
    <t>Forma Aquae</t>
  </si>
  <si>
    <t>Del Fiacco</t>
  </si>
  <si>
    <t>e.delfiacco@majocchi.it</t>
  </si>
  <si>
    <t>3420761618</t>
  </si>
  <si>
    <t>Riccardo Piazza</t>
  </si>
  <si>
    <t>NT Majocchi</t>
  </si>
  <si>
    <t>Sabatti</t>
  </si>
  <si>
    <t>shop@davidepedersoli.com ;elisa.sabatti@icloud.com</t>
  </si>
  <si>
    <t>CONFERMA ENTRO IL 1/10 dopo aver parlato con Titolare</t>
  </si>
  <si>
    <t>Alessandra Albertini</t>
  </si>
  <si>
    <t>Armiero</t>
  </si>
  <si>
    <t>PEDERSOLI DAVIDE</t>
  </si>
  <si>
    <t>De Simone</t>
  </si>
  <si>
    <t>emanuela@davidepedersoli.com;1emanueledesimone@gmail.com</t>
  </si>
  <si>
    <t>Cartellini MiV</t>
  </si>
  <si>
    <t>Eros</t>
  </si>
  <si>
    <t>Mugnaini</t>
  </si>
  <si>
    <t>eros.mugnaini@agriparadigma.it</t>
  </si>
  <si>
    <t>3926733928</t>
  </si>
  <si>
    <t xml:space="preserve">Interessati percorso in azienda, tenete in sospeso gli 8 Master </t>
  </si>
  <si>
    <t>Cesare Dell'Ara</t>
  </si>
  <si>
    <t>Tentamus Agriparadigma</t>
  </si>
  <si>
    <t>Scazzosi</t>
  </si>
  <si>
    <t>federicoscazzosi@gmail.com</t>
  </si>
  <si>
    <t>Scazzosi Federico</t>
  </si>
  <si>
    <t>Balocco</t>
  </si>
  <si>
    <t>fbalocco@laemmegroup.it</t>
  </si>
  <si>
    <t>3497630607</t>
  </si>
  <si>
    <t>blackship a Pagamento</t>
  </si>
  <si>
    <t>Stefano Vallerini Galan</t>
  </si>
  <si>
    <t>Laemme Group</t>
  </si>
  <si>
    <t>Baretta</t>
  </si>
  <si>
    <t>Giorgia</t>
  </si>
  <si>
    <t>Galbiati</t>
  </si>
  <si>
    <t>g.galbiati@majocchi.it</t>
  </si>
  <si>
    <t>3403712513/3517358841</t>
  </si>
  <si>
    <t>social media marketing</t>
  </si>
  <si>
    <t>giulia.medici@mkambiente.com</t>
  </si>
  <si>
    <t>3457065582</t>
  </si>
  <si>
    <t>Enrico Benassuti</t>
  </si>
  <si>
    <t>MK</t>
  </si>
  <si>
    <t>Rizzi</t>
  </si>
  <si>
    <t>g.rizzi@eureweb.com</t>
  </si>
  <si>
    <t>328 057 3355</t>
  </si>
  <si>
    <t>Sollecito a Massimo il 7 ott con Bruno in copia</t>
  </si>
  <si>
    <t>Assistenza Clienti</t>
  </si>
  <si>
    <t>Eurewb</t>
  </si>
  <si>
    <t>Hanan</t>
  </si>
  <si>
    <t>Belmoujoud</t>
  </si>
  <si>
    <t>belmohanan@gmail.com;       grazia@primavera.it</t>
  </si>
  <si>
    <t>Ref Titolare: grazia@primavera.it (Grazia Remondi)</t>
  </si>
  <si>
    <t>Moda</t>
  </si>
  <si>
    <t>Primavera International</t>
  </si>
  <si>
    <t>Jessica</t>
  </si>
  <si>
    <t>Vaccari</t>
  </si>
  <si>
    <t>jessica.vaccari.1991@gmail.com</t>
  </si>
  <si>
    <t>340 9660786</t>
  </si>
  <si>
    <t>tecnico commerciale</t>
  </si>
  <si>
    <t>Kabir Malagrida (Peppo)</t>
  </si>
  <si>
    <t>Tutor International</t>
  </si>
  <si>
    <t>l.veneziani@eureweb.com</t>
  </si>
  <si>
    <t>Andrea Cabiati</t>
  </si>
  <si>
    <t>luca.gatti@agriparadigma.it</t>
  </si>
  <si>
    <t>392-9278053</t>
  </si>
  <si>
    <t>Martinazzi</t>
  </si>
  <si>
    <t>lumarti69@gmail.com/luca.martinazzi@diennea.com</t>
  </si>
  <si>
    <t>3928556475/3924479572</t>
  </si>
  <si>
    <t>Simone Contini</t>
  </si>
  <si>
    <t>DIENNEA</t>
  </si>
  <si>
    <t>Baruffato</t>
  </si>
  <si>
    <t>marco.baruffato@bkcomunicazione.it</t>
  </si>
  <si>
    <t>3897963257</t>
  </si>
  <si>
    <t>Lo sente Marco V. Lun. 3 Ott.</t>
  </si>
  <si>
    <t>dromano</t>
  </si>
  <si>
    <t>Consulenza e Servizi</t>
  </si>
  <si>
    <t>BB Creative</t>
  </si>
  <si>
    <t>Boriosi</t>
  </si>
  <si>
    <t>marco@mkambiente.com</t>
  </si>
  <si>
    <t>349 0932489 - 3315000207</t>
  </si>
  <si>
    <t>Canella</t>
  </si>
  <si>
    <t>m.canella@inoxking.biz; mc_1978@yahoo.it</t>
  </si>
  <si>
    <t>3459313435 - 3471055145</t>
  </si>
  <si>
    <t>Responsabile acquisti e logistica - Operations Director</t>
  </si>
  <si>
    <t>Partnership &amp; Sponsorship</t>
  </si>
  <si>
    <t>Mattia Giulio</t>
  </si>
  <si>
    <t>Odone</t>
  </si>
  <si>
    <t>m.odone@majocchi.it</t>
  </si>
  <si>
    <t>3245511811</t>
  </si>
  <si>
    <t>MAW - Marzia Tammaro</t>
  </si>
  <si>
    <t>Nt Majocchi</t>
  </si>
  <si>
    <t>Pagani</t>
  </si>
  <si>
    <t>mauro.pagani@aereweb.it</t>
  </si>
  <si>
    <t>Pucci</t>
  </si>
  <si>
    <t>paolo.pucci@agriparadigma.it</t>
  </si>
  <si>
    <t>392-9290097</t>
  </si>
  <si>
    <t>SALES AREA MANAGER</t>
  </si>
  <si>
    <t>Riccardo Scozzai</t>
  </si>
  <si>
    <t>Pegurri</t>
  </si>
  <si>
    <t xml:space="preserve">roberto.pegurri@aereweb.it; roberto.pegurri@hotmail.it; </t>
  </si>
  <si>
    <t>3341878249 / 3488622820</t>
  </si>
  <si>
    <t>Resp. Commerciale</t>
  </si>
  <si>
    <t>Trezza</t>
  </si>
  <si>
    <t>samuele.trezza@engelvoelkers.com</t>
  </si>
  <si>
    <t>3757934763</t>
  </si>
  <si>
    <t>Agente immobiliare</t>
  </si>
  <si>
    <t>ELLETRE - ENGEL &amp; VOELKERS</t>
  </si>
  <si>
    <t>De Vecchi</t>
  </si>
  <si>
    <t>devecchisara@gmail.com</t>
  </si>
  <si>
    <t>347 9926698</t>
  </si>
  <si>
    <t>Impiegata Commerciale</t>
  </si>
  <si>
    <t>3 D service</t>
  </si>
  <si>
    <t>Flamini</t>
  </si>
  <si>
    <t>sara.flamini@flamini.it</t>
  </si>
  <si>
    <t>328 1457062</t>
  </si>
  <si>
    <t>Pagando 200Euro può bloccare il prezzo e partecipare a Maggio 2023</t>
  </si>
  <si>
    <t>Commerciale/Marketing</t>
  </si>
  <si>
    <t>Tipografia</t>
  </si>
  <si>
    <t>Sabbadini</t>
  </si>
  <si>
    <t>sara.sabbadini@netison.it</t>
  </si>
  <si>
    <t>NON HA FLAGGATO TIPOLOGIA DI PAGAMENTO</t>
  </si>
  <si>
    <t>NetIsOn</t>
  </si>
  <si>
    <t>Bignotti</t>
  </si>
  <si>
    <t>sales@igeax.com</t>
  </si>
  <si>
    <t>sales manager</t>
  </si>
  <si>
    <t>Pulizie Professionali</t>
  </si>
  <si>
    <t>IGEAX</t>
  </si>
  <si>
    <t>Cagna</t>
  </si>
  <si>
    <t>scagna@laemmegroup.it</t>
  </si>
  <si>
    <t>3917555689</t>
  </si>
  <si>
    <t>Luca Calandra</t>
  </si>
  <si>
    <t>Pasquinucci</t>
  </si>
  <si>
    <t>alessandro.pasquinucci@gmail.com</t>
  </si>
  <si>
    <t>01406750214</t>
  </si>
  <si>
    <t>Imperial srl</t>
  </si>
  <si>
    <t>Via Ciucani, 5 - 20876 Ornago (MB)</t>
  </si>
  <si>
    <t>info@pec.imperial-life.com</t>
  </si>
  <si>
    <t>Cristian B (pagata tutta a giugno 2019)</t>
  </si>
  <si>
    <t>Amerigo</t>
  </si>
  <si>
    <t>Tagliapietra</t>
  </si>
  <si>
    <t>amerigo.tagliapietra@labrenta.com</t>
  </si>
  <si>
    <t>02454560240</t>
  </si>
  <si>
    <t>Labrenta Srl</t>
  </si>
  <si>
    <t>Via Dell'Innovazione 2, 36042 Breganze (VI)</t>
  </si>
  <si>
    <t>paolo.saccardo@labrenta.com</t>
  </si>
  <si>
    <t>USAL8PV</t>
  </si>
  <si>
    <t>labrenta@pec.it</t>
  </si>
  <si>
    <t>Pasquale Acampora (pagata tutta a ottobre 2020)</t>
  </si>
  <si>
    <t>Cristian Acampora (pagata tutta a ottobre 2020)</t>
  </si>
  <si>
    <t>Matteo Cavicchioli</t>
  </si>
  <si>
    <t>Amendola</t>
  </si>
  <si>
    <t>a.amendola@tuvaustriaitalia.com</t>
  </si>
  <si>
    <t>01525660336</t>
  </si>
  <si>
    <t>APICE SRL</t>
  </si>
  <si>
    <t>Via XXIV Maggio 142, 29121 Piacenza PC</t>
  </si>
  <si>
    <t>d.calcagni@tuvaustriaitalia.com</t>
  </si>
  <si>
    <t>Daniela Romano (pagata tutta a ottobre 2020)</t>
  </si>
  <si>
    <t>Cesare Dall'Ara</t>
  </si>
  <si>
    <t>Costa</t>
  </si>
  <si>
    <t>andrea.costa@interprod.it</t>
  </si>
  <si>
    <t>01267820247</t>
  </si>
  <si>
    <t>INTERPROD SPA</t>
  </si>
  <si>
    <t>Via Dell'Artigianato, 6 - 36030 Montecchio Precalcino - vi</t>
  </si>
  <si>
    <t>AU7YEU4</t>
  </si>
  <si>
    <t>Chiara Salvetti (pagata tutta a ottobre 2020)</t>
  </si>
  <si>
    <t>Persiano</t>
  </si>
  <si>
    <t>apersiano@pgassociati.it</t>
  </si>
  <si>
    <t>GRATUITO</t>
  </si>
  <si>
    <t>Fabio Cutrera</t>
  </si>
  <si>
    <t>Gallio</t>
  </si>
  <si>
    <t>antonio.gallio@dental-art.it</t>
  </si>
  <si>
    <t>0445-334028</t>
  </si>
  <si>
    <t>00278740246</t>
  </si>
  <si>
    <t>Dental Art s.p.a.</t>
  </si>
  <si>
    <t>Via dell'Artigianato, 5, 36030 Montecchio Precalcino VI</t>
  </si>
  <si>
    <t>da chiedere</t>
  </si>
  <si>
    <t>Boschi</t>
  </si>
  <si>
    <t>bboschi@sixtema.it</t>
  </si>
  <si>
    <t>BSCBBR72C43A944G</t>
  </si>
  <si>
    <t>Via Longarola 30/4 40012 Calderara di Reno (BO)</t>
  </si>
  <si>
    <t>Fabio Cutrera (pagata tutta a dicembre 2018)</t>
  </si>
  <si>
    <t>Davide Z (pagata tutta a dicembre 2018)</t>
  </si>
  <si>
    <t>Calabria</t>
  </si>
  <si>
    <t>b.calabria@tuvaustriaitalia.com</t>
  </si>
  <si>
    <t>02217380423</t>
  </si>
  <si>
    <t>TUEV AUSTRIA ITALIA-BLU SOLUTION SRL</t>
  </si>
  <si>
    <t>Via Del Commercio, 6/A, 60030 Monte Roberto AN</t>
  </si>
  <si>
    <t>Daniela (pagata tutta a ottobre 2020)</t>
  </si>
  <si>
    <t>Bruno Julian</t>
  </si>
  <si>
    <t>Papaleo</t>
  </si>
  <si>
    <t>info@mcpackaging.it</t>
  </si>
  <si>
    <t>nel CE MIV 22 Fatturati al momento 163,93 Euro- rif. ft. 729/MA del 23/09/2020 e nell'imponibile segnato Euro 163,93 - segnato come Primavera 2021</t>
  </si>
  <si>
    <t>MRNLLB66S60Z604E</t>
  </si>
  <si>
    <t>03414060123</t>
  </si>
  <si>
    <t>MC PACK Di Marin Cardona Luz Alba</t>
  </si>
  <si>
    <t>Via Asiago, 212, 21042 Caronno Pertusella VA</t>
  </si>
  <si>
    <t>KRRH6B9</t>
  </si>
  <si>
    <t>marinacardon@pec.it</t>
  </si>
  <si>
    <t>729/MA-20</t>
  </si>
  <si>
    <t>MAW - Chiara De Benedetti (Gianlorenzo Caccia)</t>
  </si>
  <si>
    <t>Caterina</t>
  </si>
  <si>
    <t>Bissoni</t>
  </si>
  <si>
    <t>caterina.bissoni@gmail.com</t>
  </si>
  <si>
    <t>nel CE Miv 22 sono imputati 2247,75+iva rif. alla ft. 207/MA del 30/09/2018 segnato come Primavera 2019</t>
  </si>
  <si>
    <t>Bluegreen Strategy</t>
  </si>
  <si>
    <t>207/MA-18</t>
  </si>
  <si>
    <t xml:space="preserve">Chiara </t>
  </si>
  <si>
    <t>Bolzoni</t>
  </si>
  <si>
    <t>nel CE MIV 22 Fatturati al momento 163,93 Euro- rif. ft. 426/MA del 16/10/2019 ma nell'imponibile segnato Euro 2997</t>
  </si>
  <si>
    <t>426/MA-19</t>
  </si>
  <si>
    <t>Mister</t>
  </si>
  <si>
    <t>nel CE MIV 22 rif. ft. 697/MA del 23/09/2020 ma nell'imponibile segnato Euro 163,93 segnato come Primavera 2021</t>
  </si>
  <si>
    <t>Belotti Costruzioni</t>
  </si>
  <si>
    <t>697/MA-20</t>
  </si>
  <si>
    <t>MAW - Justyna Korniej</t>
  </si>
  <si>
    <t>Rossi</t>
  </si>
  <si>
    <t>claudiored60@gmail.com</t>
  </si>
  <si>
    <t>001820980207</t>
  </si>
  <si>
    <t>ROSSI GROUP SERVICES S.R.L. (nella fattura indicare n. 2 partecipanti ma NON i nomi- grazie)</t>
  </si>
  <si>
    <t>Via Nazionale Cisa n. 23/A 46029 Suzzara MN</t>
  </si>
  <si>
    <t>L</t>
  </si>
  <si>
    <t>Donvito</t>
  </si>
  <si>
    <t>c.donvito@centrostudiadmaiora.com</t>
  </si>
  <si>
    <t>03467850172</t>
  </si>
  <si>
    <t>CENTRO STUDI AD MAIORA</t>
  </si>
  <si>
    <t>VIA RODI, 57 - 25124 BRESIA BS</t>
  </si>
  <si>
    <t>maria.tagliaferri@centrostudiadmaiora.com</t>
  </si>
  <si>
    <t>certimail@pec.centrostudioadmaiora.i</t>
  </si>
  <si>
    <t>Ciro Persiano (persona conteggiata a ottobre 2020)</t>
  </si>
  <si>
    <t>Fabio Cutrera (pagata tutta a ottobre 2020)</t>
  </si>
  <si>
    <t>no</t>
  </si>
  <si>
    <t>Crispino</t>
  </si>
  <si>
    <t>Fragrante</t>
  </si>
  <si>
    <t>nel CE MIV 22 Fatturati al momento 163,93 Euro- rif. ft. 144/MA del 31/03/2019 ma nell'imponibile segnato Euro 3297.00 come Autunno 2020 - CREDO CHE L'IMPONIBILE CORRETTA SIA 3497</t>
  </si>
  <si>
    <t>FRAGRANTE CRISPINO</t>
  </si>
  <si>
    <t>144/MA-19</t>
  </si>
  <si>
    <t>Cristiano</t>
  </si>
  <si>
    <t>Storari</t>
  </si>
  <si>
    <t>nel CE MIV 22 Fatturati al momento 163,93 Euro- rif. ft. 29/MA del 31/03/2018 ma nell'imponibile segnato Euro 2997 come Primavera 2019</t>
  </si>
  <si>
    <t>Fuoricategoria</t>
  </si>
  <si>
    <t>29/MA-18</t>
  </si>
  <si>
    <t>MVittiglio</t>
  </si>
  <si>
    <t>Cristine</t>
  </si>
  <si>
    <t>Del Bene</t>
  </si>
  <si>
    <t>cristinelacerqua@gmail.com</t>
  </si>
  <si>
    <t>3334804296</t>
  </si>
  <si>
    <t>DLBCRS70D63Z404W</t>
  </si>
  <si>
    <t>01551230434</t>
  </si>
  <si>
    <t>CRISTINE DEL BENE</t>
  </si>
  <si>
    <t>VIA BAITA' 31 - 62100 MACERATA MC</t>
  </si>
  <si>
    <t>0000000</t>
  </si>
  <si>
    <t>christine.delbene@cgn.legalmail.it</t>
  </si>
  <si>
    <t>Cristian Benzoni (pagata tutta a novembre 2020)</t>
  </si>
  <si>
    <t>Cristian Benzoni pagata tutta: (ottobre 2020 5% e novembre 2020 5%) Cristian Acampora (pagata tutta novembre 2020 5%)</t>
  </si>
  <si>
    <t>Carlo Bonanno</t>
  </si>
  <si>
    <t>Lauria</t>
  </si>
  <si>
    <t>daniela@danielalauria.com</t>
  </si>
  <si>
    <t>li comunica in seguito</t>
  </si>
  <si>
    <t>Massimo Venaruzzo</t>
  </si>
  <si>
    <t>Angeli</t>
  </si>
  <si>
    <t>daniele@lacerqua.com</t>
  </si>
  <si>
    <t>Ferraresso</t>
  </si>
  <si>
    <t>ferraressoconsulting@gmail.com</t>
  </si>
  <si>
    <t>nel CE MIV 22 Fatturati al momento 163,93 Euro- rif. ft. 430/MA del 18/10/2019 ma nell'imponibile segnato Euro 2997</t>
  </si>
  <si>
    <t>430/MA-19</t>
  </si>
  <si>
    <t>Turetti</t>
  </si>
  <si>
    <t>daniele@temaflux.com</t>
  </si>
  <si>
    <t>02357750981</t>
  </si>
  <si>
    <t>Temaflux</t>
  </si>
  <si>
    <t>Via N. Tartaglia, 11 - 25064 Gussago (BS)</t>
  </si>
  <si>
    <t>amm.temafluxsrl@pec.it</t>
  </si>
  <si>
    <t>Michelangelo (pagata tutta a novembre 2019)</t>
  </si>
  <si>
    <t>Cafferati</t>
  </si>
  <si>
    <t>nel CE MIV 22 Fatturati al momento 163,93 Euro- rif. ft. 32/MA del 31/03/2018 ma nell'imponibile segnato Euro 2997- segnato come Primavera 2019</t>
  </si>
  <si>
    <t>debora.tagliapietra@labrenta.com</t>
  </si>
  <si>
    <t>Deborah</t>
  </si>
  <si>
    <t>Bianchi</t>
  </si>
  <si>
    <t>deborah.bianchi@performant.it</t>
  </si>
  <si>
    <t>13404040159</t>
  </si>
  <si>
    <t>Ideando S.a.s. Di Daniele Citterio &amp; C.</t>
  </si>
  <si>
    <t>VIA CADORNA, 8/17, 20094, Buccinasco, Milano</t>
  </si>
  <si>
    <t>Fabio Cutrera (Innovits) (pagata tutta a ottobre 2020)</t>
  </si>
  <si>
    <t>Dal Ben</t>
  </si>
  <si>
    <t>Nome@funnelcompany.com</t>
  </si>
  <si>
    <t>Funnel Company</t>
  </si>
  <si>
    <t>Comunicheranno date presenze</t>
  </si>
  <si>
    <t>AUTOMAZIONI INDUSTRIALI</t>
  </si>
  <si>
    <t>Dotto</t>
  </si>
  <si>
    <t>federica.dotto@pneusnews.it</t>
  </si>
  <si>
    <t>01115770255</t>
  </si>
  <si>
    <t>Pneusnews Srl</t>
  </si>
  <si>
    <t>Via Zattieri 10H 32014 Ponte nelle Alpi (BL)</t>
  </si>
  <si>
    <t>CHIEDERE</t>
  </si>
  <si>
    <t>il 28.4.22 ha risposto che NON VIENE</t>
  </si>
  <si>
    <t>Client Angel (Cartellino VB2B)</t>
  </si>
  <si>
    <t>Client Angel (pagata tutta a ottobre 2020)</t>
  </si>
  <si>
    <t>Gondoni</t>
  </si>
  <si>
    <t>f.gondoni@apsdevice.com</t>
  </si>
  <si>
    <t>aps</t>
  </si>
  <si>
    <t>Panozzo</t>
  </si>
  <si>
    <t>francesco.panozzo@autecsafety.com</t>
  </si>
  <si>
    <t>01850360247</t>
  </si>
  <si>
    <t>AUTEC SRL</t>
  </si>
  <si>
    <t>VIA POMAROLI 65-36030 CALDOGNO VI</t>
  </si>
  <si>
    <t>fatturazione mensile sulla base dell'erogato a 30 gg. dffm bonifico, ENTRO IL 30/11</t>
  </si>
  <si>
    <t>MAW (pagata tutta a ottobre 2020)</t>
  </si>
  <si>
    <t>Davide Zamuner (pagata tutta a ottobre 2020)</t>
  </si>
  <si>
    <t>Zanatta</t>
  </si>
  <si>
    <t>francesco.zanatta@rossicaws.it</t>
  </si>
  <si>
    <t>02362450286</t>
  </si>
  <si>
    <t>ROSSICAWS SRL con socio unico</t>
  </si>
  <si>
    <t>Via Dell'Artigianato, 3 - 36030 MOntecchio Precalcino VI</t>
  </si>
  <si>
    <t>amministrazione@rossicaws.it</t>
  </si>
  <si>
    <t>Gruppo Dental Art</t>
  </si>
  <si>
    <t>Vrech</t>
  </si>
  <si>
    <t>franco.vrech@roenest.com</t>
  </si>
  <si>
    <t>ROEN EST SPA - SOCIETA' A SOCIO UNICO</t>
  </si>
  <si>
    <t>per estate 2022 NON RIESCE (mail del 29/03/2022)</t>
  </si>
  <si>
    <t>Gian Marco</t>
  </si>
  <si>
    <t>Fiorini</t>
  </si>
  <si>
    <t>gianmarco.fiorini@labrenta.com</t>
  </si>
  <si>
    <t>Passarello</t>
  </si>
  <si>
    <t>giovanni.passarello@gmail.com</t>
  </si>
  <si>
    <t>335 8290792</t>
  </si>
  <si>
    <t xml:space="preserve">PSSGNN66A12Z401E  </t>
  </si>
  <si>
    <t xml:space="preserve">03535500130  </t>
  </si>
  <si>
    <t>Giovanni Passarello</t>
  </si>
  <si>
    <t>Via del Pomo, 4 - 25030 Adro (BS)</t>
  </si>
  <si>
    <t>Non soggetto a SDI e Fatt. elettronica</t>
  </si>
  <si>
    <t>MiV</t>
  </si>
  <si>
    <t>Raffaella Andrello (pagata tutta a ottobre 2020)</t>
  </si>
  <si>
    <t>i-Chen Cugina</t>
  </si>
  <si>
    <t>Dato possibilità di partecipazione alla cugina. Deve pagare VT per rifare tutto il Master</t>
  </si>
  <si>
    <t>CF?</t>
  </si>
  <si>
    <t>John Anthony</t>
  </si>
  <si>
    <t>Faccin</t>
  </si>
  <si>
    <t>john.faccin@dental-art.it</t>
  </si>
  <si>
    <t xml:space="preserve">Laura </t>
  </si>
  <si>
    <t>SaresinI</t>
  </si>
  <si>
    <t>nel CE MIV 22 Fatturati al momento 163,93 Euro- rif. ft. 179/MA del 30/09/2018 ma nell'imponibile segnato Euro 2997- segnato come Primavera 2019</t>
  </si>
  <si>
    <t>Sicuram Service</t>
  </si>
  <si>
    <t>179/MA-18</t>
  </si>
  <si>
    <t>Braida</t>
  </si>
  <si>
    <t>lorenzo@contract-concepts.it</t>
  </si>
  <si>
    <t>04288160262</t>
  </si>
  <si>
    <t>lzal</t>
  </si>
  <si>
    <t>Via Sottomonte, 92 - 33044 Manzano (UD)</t>
  </si>
  <si>
    <t>ortolan.interni@pec.it</t>
  </si>
  <si>
    <t>x negoziazione ci fa sapere attorno a fine ottobre</t>
  </si>
  <si>
    <t>Andrea Vandoni (pagata tutta a giugno 2019)</t>
  </si>
  <si>
    <t>Fabio Cutrera (pagata tutta a giugno 2019)</t>
  </si>
  <si>
    <t>Bocchini</t>
  </si>
  <si>
    <t>luca.bocchini@virgilio.it</t>
  </si>
  <si>
    <t>BCCLCU90T19C573Z</t>
  </si>
  <si>
    <t>BOCCHINI LUCA</t>
  </si>
  <si>
    <t>via Nicolò Tommaseo 196, cap 47522 - cesena FC</t>
  </si>
  <si>
    <t>Cartellino</t>
  </si>
  <si>
    <t>Casadio</t>
  </si>
  <si>
    <t>Casadio.l@vivipharma.com</t>
  </si>
  <si>
    <t>Nuccio</t>
  </si>
  <si>
    <t>tiscianisu@libero.it</t>
  </si>
  <si>
    <t>NCCLCU81E25L419T</t>
  </si>
  <si>
    <t>04324900754</t>
  </si>
  <si>
    <t>Nuccio Luca</t>
  </si>
  <si>
    <t>Via Giovanni XXIII, 24- 73030 Tiggiano (LE)</t>
  </si>
  <si>
    <t>Marco Gusella (Crai Academy) (pagata tutta a novembre 2019)</t>
  </si>
  <si>
    <t>Pacci (pagata tutta a novembre 2019)</t>
  </si>
  <si>
    <t>Manzoni</t>
  </si>
  <si>
    <t>Luigi.Manzoni@roenest.com</t>
  </si>
  <si>
    <t>Inviare memomeeting post Call</t>
  </si>
  <si>
    <t>Solerio</t>
  </si>
  <si>
    <t>nerella76@gmail.com</t>
  </si>
  <si>
    <t>PRESTITO D'ONORE</t>
  </si>
  <si>
    <t>Pasquale Acampora</t>
  </si>
  <si>
    <t>Apindustria e MAW (pagata tutta a ottobre 2020)</t>
  </si>
  <si>
    <t>non ha specificato se viene</t>
  </si>
  <si>
    <t>Tagliaferri</t>
  </si>
  <si>
    <t>Fa sapere entro 15.10</t>
  </si>
  <si>
    <t>Fabio Cutrera (pagata tutta a novembre 2020)</t>
  </si>
  <si>
    <t>Maria Cristina</t>
  </si>
  <si>
    <t>Abondio</t>
  </si>
  <si>
    <t>cristina.cri2005@libero.it</t>
  </si>
  <si>
    <t>339 882 28 98</t>
  </si>
  <si>
    <t>BNDMCR69A44D251B</t>
  </si>
  <si>
    <t>02237300989</t>
  </si>
  <si>
    <t>Abondio Maria Cristina</t>
  </si>
  <si>
    <t>Via Saletto, 9 - 25057 Sale Marasino (BS)</t>
  </si>
  <si>
    <t>Cristian Benzoni (pagata tutta a ottobre 2020)</t>
  </si>
  <si>
    <t>Venaruzzo</t>
  </si>
  <si>
    <t>marta.venaruzzo@gmail.com</t>
  </si>
  <si>
    <t>VNRMRT85R45I403N</t>
  </si>
  <si>
    <t>VENARUZZO MARTA</t>
  </si>
  <si>
    <t>VIA TRIESTE, 17 - 35020 PONTE SAN NICOLO' PD</t>
  </si>
  <si>
    <t>Massimiliano</t>
  </si>
  <si>
    <t>Barone</t>
  </si>
  <si>
    <t>m.barone@hoida.it</t>
  </si>
  <si>
    <t>08777410963</t>
  </si>
  <si>
    <t>HOIDA SRL</t>
  </si>
  <si>
    <t>Via Alessandro Tadino, 42, 20124 Milano Mi</t>
  </si>
  <si>
    <t>Workshop Tech Style</t>
  </si>
  <si>
    <t>Zanardini</t>
  </si>
  <si>
    <t>massimo.zanardini@autind.com</t>
  </si>
  <si>
    <t>Risposto che MiV 22/2 NON viene</t>
  </si>
  <si>
    <t>Bellini</t>
  </si>
  <si>
    <t>matte.bellini23@gmail.com</t>
  </si>
  <si>
    <t>gruppo di Silvia Zigarini (non presente VB2B)</t>
  </si>
  <si>
    <t>Gnocco</t>
  </si>
  <si>
    <t>matteo.gnocco@craispa.com</t>
  </si>
  <si>
    <t>m.rossi@medimec.it</t>
  </si>
  <si>
    <t>nel CE MIV 22 Fatturati al momento 163,93 Euro- rif. ft. 135/MA del 31/03/2019 ma nell'imponibile segnato Euro 3297- segnato come Autunno 2020</t>
  </si>
  <si>
    <t>ROSSI MATTEO</t>
  </si>
  <si>
    <t>135/MA-19</t>
  </si>
  <si>
    <t>Rinaldo Facchini</t>
  </si>
  <si>
    <t>m.facchini@gattifiltrazionilubrificanti.it</t>
  </si>
  <si>
    <t>non ha partecipato, ma lasciato come imputazione di ricavo tutta nel 2021 in quanto licenziato e non verrà mai piu</t>
  </si>
  <si>
    <t>Gianluca (pagato tutta ad ottobre 2021)</t>
  </si>
  <si>
    <t>pagata tutta ottobre 2021</t>
  </si>
  <si>
    <t>Colnaghi</t>
  </si>
  <si>
    <t>m.colnaghi@altaeco.com</t>
  </si>
  <si>
    <t>COLNAGHI MAURIZIO</t>
  </si>
  <si>
    <t>Belotti</t>
  </si>
  <si>
    <t>Munaretti</t>
  </si>
  <si>
    <t>mauro.munaretti@labrenta.com</t>
  </si>
  <si>
    <t>Virgili</t>
  </si>
  <si>
    <t>mvirgili77@yahoo.it</t>
  </si>
  <si>
    <t>VRGMHL77M03H769A</t>
  </si>
  <si>
    <t>0237109446</t>
  </si>
  <si>
    <t>SOLID CONSULTING</t>
  </si>
  <si>
    <t>VIA LEONARDO DA VINCI 10  - 63066 GROTTAMARE - AP</t>
  </si>
  <si>
    <t>Giorgio Rossi/Bruno (pagata tutta a ottobre 2020)</t>
  </si>
  <si>
    <t>Bruno Galli (pagata tutta a ottobre 2020)</t>
  </si>
  <si>
    <t>Michelle</t>
  </si>
  <si>
    <t>amministrazione@tbnbergamo.com</t>
  </si>
  <si>
    <t>04150950162</t>
  </si>
  <si>
    <t>TRIPLOK BUSINESS NETWORK DI CORDONE MARIA LUISA SAS</t>
  </si>
  <si>
    <t>Via Roma, 69 - 24060 Gorlago (BG)</t>
  </si>
  <si>
    <t>triplokbusinessnetwork@pec.it</t>
  </si>
  <si>
    <t xml:space="preserve">Niccolò </t>
  </si>
  <si>
    <t>Piccin</t>
  </si>
  <si>
    <t>nel CE MIV 22 Fatturati al momento 163,93 Euro- rif. ft. 436/MA del 21/10/2019 ma nell'imponibile segnato Euro 3496,98 segnato come Autunno 2020</t>
  </si>
  <si>
    <t>CLE Elettromedicali</t>
  </si>
  <si>
    <t>436/MA-19</t>
  </si>
  <si>
    <t>Colucci</t>
  </si>
  <si>
    <t>nicola.colucci@green-up.it</t>
  </si>
  <si>
    <t>04992110967</t>
  </si>
  <si>
    <t>Green Up</t>
  </si>
  <si>
    <t>Via Giovanni Bensi 12/3 - 20152 Milano (MI)</t>
  </si>
  <si>
    <t>sara.argiolu@green-up.it</t>
  </si>
  <si>
    <t>green.up@legalmail.it</t>
  </si>
  <si>
    <t>Non risponde più alle mail. Deve fare Neg.</t>
  </si>
  <si>
    <t>Tommasini</t>
  </si>
  <si>
    <t>nicola.tommasini@ingogroup.it</t>
  </si>
  <si>
    <t>12591490151</t>
  </si>
  <si>
    <t>INGO SPA (inserire in fattura il riferimento di ordine n. 229/ODA)</t>
  </si>
  <si>
    <t>VIA 1° MAGGIO 13 - 20037 Paderno Dugnano (MI)</t>
  </si>
  <si>
    <t>ingo@pec.ingogroup.it</t>
  </si>
  <si>
    <t>(inserire in fattura il riferimento di ordine n. 229/ODA)</t>
  </si>
  <si>
    <t>Porro</t>
  </si>
  <si>
    <t>paola.porro@omporro.eu</t>
  </si>
  <si>
    <t>OMP PORRO S.R.L.</t>
  </si>
  <si>
    <t>6.4.22 - Mail Con Gianluca: Mood non positivo. Non vuole più fare il MiV. Parlato con Cri. Teniamo attiva per far partecipare il venditore che prenderanno</t>
  </si>
  <si>
    <t>Cristian Benzoni (pagata tutta a ottobre 2021)</t>
  </si>
  <si>
    <t>giorgio.giovi@autind.com</t>
  </si>
  <si>
    <t>Pietro Stefano</t>
  </si>
  <si>
    <t>Marilli</t>
  </si>
  <si>
    <t>pietro.marilli@cdweb.it</t>
  </si>
  <si>
    <t>06016170968</t>
  </si>
  <si>
    <t>Cdweb srl</t>
  </si>
  <si>
    <t>Viale delle Rimembranze di Lambrate, 7, 20134 Milano</t>
  </si>
  <si>
    <t>cdweb@peccertificata.it</t>
  </si>
  <si>
    <t>Campalani</t>
  </si>
  <si>
    <t>campalanir@gmail.com</t>
  </si>
  <si>
    <t>CBSSLV63L47H223V</t>
  </si>
  <si>
    <t>01470370352</t>
  </si>
  <si>
    <t>STUDIO CABASSI DOTT. SILVIA</t>
  </si>
  <si>
    <t>VIA DIGIONE 2 -42123 REGGIO EMILIA RE</t>
  </si>
  <si>
    <t>s.cabassi@consulentidellavoropec.it</t>
  </si>
  <si>
    <t>Belviso</t>
  </si>
  <si>
    <t>morik@live.it</t>
  </si>
  <si>
    <t>Belviso Riccardo</t>
  </si>
  <si>
    <t>Culici</t>
  </si>
  <si>
    <t>riccardo.culici@gmail.com</t>
  </si>
  <si>
    <t>Masnaga</t>
  </si>
  <si>
    <t>nel CE MIV 22 Fatturati al momento 163,93 Euro- rif. ft. 710/MA del 23/09/2020 e nell'imponibile segnato Euro 163,93 segnato come Primavera 2021</t>
  </si>
  <si>
    <t>Web Marketing Planners</t>
  </si>
  <si>
    <t>710/MA-20</t>
  </si>
  <si>
    <t>rossiriccardo921@gmail.com</t>
  </si>
  <si>
    <t>nella fatturazione mettere n. due persone e non i nomi, grazie</t>
  </si>
  <si>
    <t>Gaddoni</t>
  </si>
  <si>
    <t>Marchini</t>
  </si>
  <si>
    <t>roberto@primabitare.it</t>
  </si>
  <si>
    <t>03184190985</t>
  </si>
  <si>
    <t>PR.I.MA. srl</t>
  </si>
  <si>
    <t>Via Macina 3, 25038 Rovato (BS)</t>
  </si>
  <si>
    <t>W7YVJK9</t>
  </si>
  <si>
    <t>Cartellino (Ottorino Pellini)</t>
  </si>
  <si>
    <t>Montella</t>
  </si>
  <si>
    <t>rmontella@optimaitalia.com</t>
  </si>
  <si>
    <t>08307261217</t>
  </si>
  <si>
    <t>ACADEMY SRL</t>
  </si>
  <si>
    <t>VIA PASSARIELLO 103 - 80038 POMIGLIANO D’ARCO – NA</t>
  </si>
  <si>
    <t>X2PH38J</t>
  </si>
  <si>
    <t>Romina</t>
  </si>
  <si>
    <t>Sabatini</t>
  </si>
  <si>
    <t>romina.sabatini@nerilabels.eu</t>
  </si>
  <si>
    <t>NERI LABELS SRL</t>
  </si>
  <si>
    <t>Trattativa con Cri H in corso</t>
  </si>
  <si>
    <t xml:space="preserve">Cristian Acampora </t>
  </si>
  <si>
    <t>Sarah</t>
  </si>
  <si>
    <t>Veronese</t>
  </si>
  <si>
    <t>veronese861@gmail.com</t>
  </si>
  <si>
    <t>VRNSRH91C69D869B</t>
  </si>
  <si>
    <t>VERONESE SARAH</t>
  </si>
  <si>
    <t>VIA CARAVAGGIO 7 -21040 JERAGO CON ORAGO - VA</t>
  </si>
  <si>
    <t>Cartellino (Arianna Biasin)</t>
  </si>
  <si>
    <t>Conte</t>
  </si>
  <si>
    <t>Serenaconte22@gmail.com</t>
  </si>
  <si>
    <t>CNTSRN83T42F205J</t>
  </si>
  <si>
    <t>Serena Conte</t>
  </si>
  <si>
    <t>Via Giovanna D'arco, 210 - 20099 Sesto San Giovanni, MI)</t>
  </si>
  <si>
    <t>Alessia Preda (pagata tutta a ottobre 2020)</t>
  </si>
  <si>
    <t>Serge</t>
  </si>
  <si>
    <t>Rota</t>
  </si>
  <si>
    <t>srota@rts.eu.com</t>
  </si>
  <si>
    <t>ROTA SERGE</t>
  </si>
  <si>
    <t>Battistello</t>
  </si>
  <si>
    <t>sb@labrenta.com</t>
  </si>
  <si>
    <t>Ferrè</t>
  </si>
  <si>
    <t>stefano@circle.digital</t>
  </si>
  <si>
    <t>0411260164</t>
  </si>
  <si>
    <t>Circle Srl</t>
  </si>
  <si>
    <t>Via G. Donizetti n. 109, ingr. D2/A, 24030 Brembate di Sopra BG</t>
  </si>
  <si>
    <t>T04ZHRB</t>
  </si>
  <si>
    <t>Web - ADS Marketers (pagata tutta a ottobre 2020)</t>
  </si>
  <si>
    <t>Giordano</t>
  </si>
  <si>
    <t>nel CE MIV 22 Fatturati al momento 163,93 Euro- rif. ft. 31/MA del 31/03/2018 ma nell'imponibile segnato Euro 2997- segnato come Primavera 2019</t>
  </si>
  <si>
    <t>31/MA-18</t>
  </si>
  <si>
    <t>Iacomi</t>
  </si>
  <si>
    <t>stefano.iacomi@plurihome.it</t>
  </si>
  <si>
    <t>03891410981</t>
  </si>
  <si>
    <t>PLURIHOME SRL</t>
  </si>
  <si>
    <t>anna@plurihome.it</t>
  </si>
  <si>
    <t>PLURIHOME@PEC.NET</t>
  </si>
  <si>
    <t>Cartellino - Anna Tomasoni</t>
  </si>
  <si>
    <t>Mirandola</t>
  </si>
  <si>
    <t>miravero.v@libero.it</t>
  </si>
  <si>
    <t>MIRANDOLA VERONICA</t>
  </si>
  <si>
    <t>My Shopping Comunity- x il 2022 NON VIENE</t>
  </si>
  <si>
    <t>Davide Resta</t>
  </si>
  <si>
    <t>D'onofrio</t>
  </si>
  <si>
    <t>vicky7314@libero.it</t>
  </si>
  <si>
    <t>349 5780857</t>
  </si>
  <si>
    <t>DNFVCN73S14L049V</t>
  </si>
  <si>
    <t>03365580160</t>
  </si>
  <si>
    <t>D'ONOFRIO VINCENZO</t>
  </si>
  <si>
    <t>Via Cesare Battisti, 88- Costa Volpino (BG)</t>
  </si>
  <si>
    <t>Malerba</t>
  </si>
  <si>
    <t>amalerba@leyton.com</t>
  </si>
  <si>
    <t>Leyton</t>
  </si>
  <si>
    <t>Servizi e Consulenza</t>
  </si>
  <si>
    <t xml:space="preserve"> </t>
  </si>
  <si>
    <t>DATI DEL CORSO</t>
  </si>
  <si>
    <t>Elenco Source</t>
  </si>
  <si>
    <t>Elenco Account</t>
  </si>
  <si>
    <t>Elenco Trainer</t>
  </si>
  <si>
    <t>Elenco Trainer &amp; Staff</t>
  </si>
  <si>
    <t>Azienda</t>
  </si>
  <si>
    <t>Data</t>
  </si>
  <si>
    <t>20-21-22 ottobre, 10-11-12 novembre e 25, 26 novembre</t>
  </si>
  <si>
    <t>Tipologia di Corso</t>
  </si>
  <si>
    <t>Master in Vendita</t>
  </si>
  <si>
    <t>Prezzo di Vendita</t>
  </si>
  <si>
    <t>Atena</t>
  </si>
  <si>
    <t>Account Atena</t>
  </si>
  <si>
    <t>Arianna Biasin</t>
  </si>
  <si>
    <t>Giornate Corso</t>
  </si>
  <si>
    <t>Luogo</t>
  </si>
  <si>
    <t>Bussolengo (VR)</t>
  </si>
  <si>
    <t>Finanziato/Autofinanziato</t>
  </si>
  <si>
    <t>Autofinanziato</t>
  </si>
  <si>
    <t>Spese</t>
  </si>
  <si>
    <t>Incluse</t>
  </si>
  <si>
    <t>Account MAW</t>
  </si>
  <si>
    <t>Tipo Corso (A, B, C)</t>
  </si>
  <si>
    <t>Bruno Faustino Galli</t>
  </si>
  <si>
    <t>Claudia Di Benedetto</t>
  </si>
  <si>
    <t>%</t>
  </si>
  <si>
    <t>Destinatario</t>
  </si>
  <si>
    <t>Source - Specificare quando "Altro"</t>
  </si>
  <si>
    <t>Fees di Segnalazione &amp; Contatto (0-15%)</t>
  </si>
  <si>
    <t>Account blackship</t>
  </si>
  <si>
    <t>Fees di Trattativa (0-5%)</t>
  </si>
  <si>
    <t>Cristina Stamate</t>
  </si>
  <si>
    <t>Fees di Chiusura (0-5%)</t>
  </si>
  <si>
    <t>Davide Bianco Momesso</t>
  </si>
  <si>
    <t>Fees di Progettazione (0-5%)</t>
  </si>
  <si>
    <t>Davide Uzzo</t>
  </si>
  <si>
    <t>Fees di Direzione (0-5%)</t>
  </si>
  <si>
    <t>Denis Caruso</t>
  </si>
  <si>
    <t>TRAINER &amp; STAFF</t>
  </si>
  <si>
    <t>Federica Donati</t>
  </si>
  <si>
    <t>Voce di Costo di Conto Economico</t>
  </si>
  <si>
    <t>blackship/Master in Vendita</t>
  </si>
  <si>
    <t>Nome</t>
  </si>
  <si>
    <t>Qualifica</t>
  </si>
  <si>
    <t>Note</t>
  </si>
  <si>
    <t>Prezzo/Giornata</t>
  </si>
  <si>
    <t>Giornate</t>
  </si>
  <si>
    <t>Altri Costi Eventuali</t>
  </si>
  <si>
    <t>Importo</t>
  </si>
  <si>
    <t>Docenze e Assistenze</t>
  </si>
  <si>
    <t>MTcod</t>
  </si>
  <si>
    <t>VT</t>
  </si>
  <si>
    <t>ok</t>
  </si>
  <si>
    <t xml:space="preserve">Effettuare </t>
  </si>
  <si>
    <t>Marco Vittiglio</t>
  </si>
  <si>
    <t>HTS</t>
  </si>
  <si>
    <t xml:space="preserve">SEMPRE </t>
  </si>
  <si>
    <t xml:space="preserve">double check </t>
  </si>
  <si>
    <t>Giorgia Girelli</t>
  </si>
  <si>
    <t>Beatrice Danelin</t>
  </si>
  <si>
    <t>TS</t>
  </si>
  <si>
    <t xml:space="preserve">con la </t>
  </si>
  <si>
    <t>Raffaella Andrello</t>
  </si>
  <si>
    <t>Katiuscia Bertoni</t>
  </si>
  <si>
    <t>MARGINALITA'</t>
  </si>
  <si>
    <t>Riccardo Milesi</t>
  </si>
  <si>
    <t>Manuela Bertoni</t>
  </si>
  <si>
    <t>Simone Vignola</t>
  </si>
  <si>
    <t>Serena Cena</t>
  </si>
  <si>
    <t>Giorgio Rossi</t>
  </si>
  <si>
    <t>Altro</t>
  </si>
  <si>
    <t>Nicoleta Bulboaca</t>
  </si>
  <si>
    <t>Roberto Perosa</t>
  </si>
  <si>
    <t>Fabrizio Angeli</t>
  </si>
  <si>
    <t>Valentina Ullo</t>
  </si>
  <si>
    <t>Sara Gandi</t>
  </si>
  <si>
    <t>STS</t>
  </si>
  <si>
    <t>VS</t>
  </si>
  <si>
    <t>Debora Basileo</t>
  </si>
  <si>
    <t>Maura Minguzzi</t>
  </si>
  <si>
    <t>assente</t>
  </si>
  <si>
    <t>N</t>
  </si>
  <si>
    <t>Speed Date</t>
  </si>
  <si>
    <t>Totale Trainer &amp; Staff</t>
  </si>
  <si>
    <t>ROYALTIES, MATERIALI &amp; SPESE VARIE</t>
  </si>
  <si>
    <t>Fuori Commissioni ("x" se non rifatturati al cliente)</t>
  </si>
  <si>
    <t>Royalties</t>
  </si>
  <si>
    <t>Cella di supporto</t>
  </si>
  <si>
    <t>Totale Royalties</t>
  </si>
  <si>
    <t>Nota Bene</t>
  </si>
  <si>
    <t>EVENTO DI RIFERIMENTO</t>
  </si>
  <si>
    <t>NATURA DEL RIMBORSO</t>
  </si>
  <si>
    <t>Km</t>
  </si>
  <si>
    <t>Imp.</t>
  </si>
  <si>
    <t>Tutte le spese sono generalmente da intendersi fuori</t>
  </si>
  <si>
    <t>Rimborsi Spese</t>
  </si>
  <si>
    <t>Rimborsi km Pasquale Acampora</t>
  </si>
  <si>
    <t xml:space="preserve">commissioni ad eccezione dell'acquisto di "Beni </t>
  </si>
  <si>
    <t>Rimborsi km Arianna Biasin</t>
  </si>
  <si>
    <t xml:space="preserve">Strumentali" (es. armi da softair, carri, …) che possono </t>
  </si>
  <si>
    <t>Rimborsi km Barbara Prati</t>
  </si>
  <si>
    <t>essere riutilizzati e rivenduti al cliente in altri corsi</t>
  </si>
  <si>
    <t>Rimborsi km Beatrice Danelin</t>
  </si>
  <si>
    <t>Rimborsi km Bruno Faustino Galli</t>
  </si>
  <si>
    <t>Rimborsi km Claudia Di Benedetto</t>
  </si>
  <si>
    <t>Rimborsi km Cristian Acampora</t>
  </si>
  <si>
    <t>Rimborsi km Cristian Benzoni</t>
  </si>
  <si>
    <t>Rimborsi km Cristina Florina Stamate</t>
  </si>
  <si>
    <t>Rimborsi km Daniela Romano</t>
  </si>
  <si>
    <t>Rimborsi Km Daniele Zorzoli</t>
  </si>
  <si>
    <t>Rimborsi Km Davide Bianco Momesso</t>
  </si>
  <si>
    <t>Rimborsi km Fabio Cutrera</t>
  </si>
  <si>
    <t>Rimborsi km Fabrizio Angeli</t>
  </si>
  <si>
    <t>Rimborsi km Gianluca Bandini</t>
  </si>
  <si>
    <t>Rimborsi km Katiuscia Bertoni</t>
  </si>
  <si>
    <t>Rimborsi km Manuela Bertoni</t>
  </si>
  <si>
    <t>Rimborsi km Marco Vittiglio</t>
  </si>
  <si>
    <t>Rimborsi km Matteo Limenta</t>
  </si>
  <si>
    <t>Rimborsi km Nicoleta Bulboaca</t>
  </si>
  <si>
    <t>Rimborsi km Raffaella Andrello</t>
  </si>
  <si>
    <t>Rimborsi km Riccardo Milesi</t>
  </si>
  <si>
    <t>Rimborsi km Roberto Perosa</t>
  </si>
  <si>
    <t>Rimborsi km Stefano Vallerini Galan</t>
  </si>
  <si>
    <t>Rimborsi km Simone Vignola</t>
  </si>
  <si>
    <t>Rimborsi km Valentina Ullo</t>
  </si>
  <si>
    <t>Rimborsi Valentina Ullo</t>
  </si>
  <si>
    <t>snack vari</t>
  </si>
  <si>
    <t>Rimborsi Pasquale Acampora</t>
  </si>
  <si>
    <t>Fattura cena domenica</t>
  </si>
  <si>
    <t>Gadget</t>
  </si>
  <si>
    <t>Gadget Idea Gadget</t>
  </si>
  <si>
    <t>FT 106 DEL 28/09/2023 - 300 PZ pallina antistress</t>
  </si>
  <si>
    <t>imputate 200 palline</t>
  </si>
  <si>
    <t>Sale &amp; Hotel</t>
  </si>
  <si>
    <t>Sala Hotel Corso Camere &amp; Pranzi e Cene Montresor</t>
  </si>
  <si>
    <t>FT.  I acconto + FT II acconto + FT 3787 del 24/10/23  saldo</t>
  </si>
  <si>
    <t>Affitto sala 9.286,20 + pernottamenti 4.109,09 + pasti 3.709,09 + caffè 87,27+ Tds 121,50</t>
  </si>
  <si>
    <t>Service</t>
  </si>
  <si>
    <t>Service Audio e Palco + Monitor</t>
  </si>
  <si>
    <t>FT. 250 del 23/10/2023 Audioluci</t>
  </si>
  <si>
    <t>Manuali &amp; Materiali</t>
  </si>
  <si>
    <t xml:space="preserve">Manuali e Materiali </t>
  </si>
  <si>
    <t>FT. 308 del 30/10/2023 Podetta</t>
  </si>
  <si>
    <t>Penne e matite</t>
  </si>
  <si>
    <t xml:space="preserve">FT. fatt IT05051945 del 20/04/2023 National Pen e FT. Stabilo di set 22 </t>
  </si>
  <si>
    <t>Imputate 550 penne + 600 matite per tutto il MiV</t>
  </si>
  <si>
    <t>Pezzette Laptop</t>
  </si>
  <si>
    <t>ft 395 del 30/09/2023 Tipografia Zerotina</t>
  </si>
  <si>
    <t>imputati 180 pezzi</t>
  </si>
  <si>
    <t>Gadget Alisea</t>
  </si>
  <si>
    <t>Fatt. 392 del 17/10/2023 Alisea</t>
  </si>
  <si>
    <t>Imputati 220 pezzi</t>
  </si>
  <si>
    <t>Furgone &amp; Facchino</t>
  </si>
  <si>
    <t>Servizi di Facchinaggio</t>
  </si>
  <si>
    <t>FT. 2209 del 31/05/2023 Punto Service</t>
  </si>
  <si>
    <t>PMP (Moleskine) per tutto il MiV</t>
  </si>
  <si>
    <t>FT 725 del 27/09/2023 - 500 PZ</t>
  </si>
  <si>
    <t>Imputati 200 pezzi</t>
  </si>
  <si>
    <t>Noleggio furgone</t>
  </si>
  <si>
    <t>FT. 1881 del 23/10/2023 - Move Up</t>
  </si>
  <si>
    <t>Acqua Staff</t>
  </si>
  <si>
    <t>Rimborsati a Davide</t>
  </si>
  <si>
    <t>Carburante/pedaggi furgone</t>
  </si>
  <si>
    <t>Pedaggio 3,70 andata + Pedaggio 3,70 ritorno + Carburante 26,84</t>
  </si>
  <si>
    <t>Cancelleria</t>
  </si>
  <si>
    <t>Rimborsati a Manu</t>
  </si>
  <si>
    <t>T-shirt frasi Bruno, Pacci e Cri</t>
  </si>
  <si>
    <t xml:space="preserve">FT 1573 del 26/09/2023 Seiduesei </t>
  </si>
  <si>
    <t>100 pz per tutto il MiV</t>
  </si>
  <si>
    <t>Rimborsi km Deborah Basileo</t>
  </si>
  <si>
    <t>Rimborsi km Walter Klinkon</t>
  </si>
  <si>
    <t xml:space="preserve">Rimborsi </t>
  </si>
  <si>
    <t>Rimborsi Davide Bianco Momesso</t>
  </si>
  <si>
    <t>Acqua</t>
  </si>
  <si>
    <t>Rimborsi Manuela Bertoni</t>
  </si>
  <si>
    <t>FT.  I acconto + FT II acconto + FT   saldo</t>
  </si>
  <si>
    <t>FT.  Audioluci</t>
  </si>
  <si>
    <t>Servizio Facchinaggio</t>
  </si>
  <si>
    <t>fatt. da ricevere</t>
  </si>
  <si>
    <t>Punto Service</t>
  </si>
  <si>
    <t xml:space="preserve">PMP (Moleskine) </t>
  </si>
  <si>
    <t>FT 725 del 27/09/2023</t>
  </si>
  <si>
    <t>FT TIP. PODETTA</t>
  </si>
  <si>
    <t>FT.  Bocchio</t>
  </si>
  <si>
    <t>Penne rosse+ verdi + altro</t>
  </si>
  <si>
    <t>imputati 220 pezzi</t>
  </si>
  <si>
    <t>Gadget Basico (Beauty e Sacca)</t>
  </si>
  <si>
    <t>Fatt. 427 del 31/10/2023 Basico</t>
  </si>
  <si>
    <t>FT.  - Move Up</t>
  </si>
  <si>
    <t>Rimborsi Claudia Di Benedetto</t>
  </si>
  <si>
    <t>Rimborsi Cristian Acampora</t>
  </si>
  <si>
    <t>Rimborsi km Maura Minguzzi</t>
  </si>
  <si>
    <t>Rimborsi km Sara Gandi</t>
  </si>
  <si>
    <t>Sala Hotel Corso Camere &amp; Pranzi e Cene N</t>
  </si>
  <si>
    <t>FT.  acconto + FT II acconto + FT  saldo</t>
  </si>
  <si>
    <t>Affitto sala 6.656€ + Pernottamenti 2.527,27€ + Tdr 73,50 + Pasti 2.269,09€ + Caffè 27,27 + Varie 2,70€ + Aperitivo finale 572,73€</t>
  </si>
  <si>
    <t>Panettoni</t>
  </si>
  <si>
    <t>panificio Moderno + Gin Piero</t>
  </si>
  <si>
    <t>Service Audio e Palco + Monitor + Gobbo</t>
  </si>
  <si>
    <t>FT 143 DEL 04/07/23 Audioluci</t>
  </si>
  <si>
    <t xml:space="preserve">FT 725 del 27/09/2023 </t>
  </si>
  <si>
    <t>Fatt.  Tipografia Podetta</t>
  </si>
  <si>
    <t>Gadget Basico</t>
  </si>
  <si>
    <t>Già imputati a VS</t>
  </si>
  <si>
    <t>Totale Materiali &amp; Spese Varie</t>
  </si>
  <si>
    <t>PROVVIGIONI &amp; BONUS</t>
  </si>
  <si>
    <t>Account</t>
  </si>
  <si>
    <t>Prezzo Account</t>
  </si>
  <si>
    <t>Provvigioni</t>
  </si>
  <si>
    <t>Tipologia</t>
  </si>
  <si>
    <t>5%-15% Segnalazione/Contatto</t>
  </si>
  <si>
    <t>5% Trattativa</t>
  </si>
  <si>
    <t>5% Chiusura</t>
  </si>
  <si>
    <t>5% Progettazione</t>
  </si>
  <si>
    <t>5% Direzione</t>
  </si>
  <si>
    <t>Totale Provvigioni</t>
  </si>
  <si>
    <t>DATI PER FATTURAZIONE CLIENTE (AD OPERA DELL'AMMINISTRAZIONE)</t>
  </si>
  <si>
    <t>Voce di Ricavo di Conto Economico</t>
  </si>
  <si>
    <t>Descrizione (se non diversamente indicato per necessità particolari -es. progetti finanziati dai fondi-)</t>
  </si>
  <si>
    <t xml:space="preserve">Corsi </t>
  </si>
  <si>
    <t>Ricavi da Spese Fatturate al Cliente</t>
  </si>
  <si>
    <t>Sinottico per Valutazione Marginalità</t>
  </si>
  <si>
    <t>,</t>
  </si>
  <si>
    <t>Totale Costi Vivi</t>
  </si>
  <si>
    <t>Prezzo di Vendita Netto a Giornata</t>
  </si>
  <si>
    <t>Provvigioni &amp; Bonus Account</t>
  </si>
  <si>
    <t>Fees di Vendita &amp; Progettazione (0-15%)</t>
  </si>
  <si>
    <t>Netto blackship</t>
  </si>
  <si>
    <t>Marginalità Netta blackship</t>
  </si>
  <si>
    <t>19-20-21 maggio, 9-10-11 giugno e 1-2 luglio</t>
  </si>
  <si>
    <t>non presente</t>
  </si>
  <si>
    <t>SA</t>
  </si>
  <si>
    <t>Rimborsi Km Denis Caruso</t>
  </si>
  <si>
    <t>FT 17 DEL 27/02/2023 - 300 PZ pallina antistress</t>
  </si>
  <si>
    <t>imputate 133 palline</t>
  </si>
  <si>
    <t>FT. 3982 I acconto + FT 1261T acconto + FT 1823 saldo</t>
  </si>
  <si>
    <t>Affitto sala 8.926 + pernottamenti 3.240,91 + pasti 2.371,82 + caffè 118,18+ Tds 93,00</t>
  </si>
  <si>
    <t>FT. 103 del 23/05/2023 Audioluci</t>
  </si>
  <si>
    <t>FT. 153 del 22/05/2023 Podetta</t>
  </si>
  <si>
    <t>Imputate 500 penne + 500 matite per tutto il MiV</t>
  </si>
  <si>
    <t>ft 205 del 11/5/2023 Tipografia Zerotina</t>
  </si>
  <si>
    <t>FT 152 DEL 26/04/2023 - 200 PZ (beauty)</t>
  </si>
  <si>
    <t>Imputati 165 pezzi</t>
  </si>
  <si>
    <t>FT 300 del 27/04/2023 - 500 PZ</t>
  </si>
  <si>
    <t>Imputata tutta la fattura per tutto il MiV</t>
  </si>
  <si>
    <t>FT. 808 del 22/05/2023 - Move Up</t>
  </si>
  <si>
    <t>6 casse nat + 6 casse frizz</t>
  </si>
  <si>
    <t>Pedaggio 3,30 andata + Pedaggio 3,70 ritorno + Carburante 20,09</t>
  </si>
  <si>
    <t xml:space="preserve">FT 382 del 08/03/2023 Seiduesei </t>
  </si>
  <si>
    <t>Rimborsi Beatrice Danelin</t>
  </si>
  <si>
    <t>Certificazioni</t>
  </si>
  <si>
    <t xml:space="preserve">Sala Hotel Corso Camere &amp; Pranzi e Cene </t>
  </si>
  <si>
    <t>FT. 3983 + FT 1262 + FT 2128 saldo</t>
  </si>
  <si>
    <t>Pernottamenti 3.504,55+103,50 + Pasti 2.784,55 + Affitto sala 8.926€ + Caffè 81,82</t>
  </si>
  <si>
    <t>FT. 119 del 12/06/2023 Audioluci</t>
  </si>
  <si>
    <t>PMP (Moleskine)</t>
  </si>
  <si>
    <t>già conteggiate a VT x tutto il Miv</t>
  </si>
  <si>
    <t>FT 181 DEL 21/06/2023 TIP. PODETTA</t>
  </si>
  <si>
    <t>FT. 8421 del 10/05/2023 Bocchio</t>
  </si>
  <si>
    <t>Penne rosse+ verdi</t>
  </si>
  <si>
    <t>ft 260 del 05/06/2023 Tipografia Zerotina</t>
  </si>
  <si>
    <t>Fatt. 152 del 26/04/2023 Basico</t>
  </si>
  <si>
    <t>Imputati solo 150 pezzi</t>
  </si>
  <si>
    <t xml:space="preserve">Noleggio Furgone </t>
  </si>
  <si>
    <t>FT. 942 DEL 12/06/2023 Move Up</t>
  </si>
  <si>
    <t>Rimborsati a Roberto</t>
  </si>
  <si>
    <t>Pedaggio A/R 3,70€ x 2 + rifornimento 19,01€</t>
  </si>
  <si>
    <t>FT. 3984 acconto + FT 1263 II acconto + FT 2458 del 08/07/23 saldo</t>
  </si>
  <si>
    <t>Rimborsi Cristina Stamate</t>
  </si>
  <si>
    <t>Copisteria</t>
  </si>
  <si>
    <t>Caricato Davide, scaricato facchini</t>
  </si>
  <si>
    <t>Fattura da ricevere</t>
  </si>
  <si>
    <t>Fatt. 190 del 30/06/2023 Tipografia Podetta</t>
  </si>
  <si>
    <t>FT 152 DEL 26/04/2023 - 200 PZ (zaino)</t>
  </si>
  <si>
    <t>Imputati 168 pezzi</t>
  </si>
  <si>
    <t>Pedaggio A/R 3,70€ x 2 + rifornimento 16,86€</t>
  </si>
  <si>
    <t>Noleggio Furgone</t>
  </si>
  <si>
    <t xml:space="preserve">FT. 1153 del 11/07/2023 MOVE UP </t>
  </si>
  <si>
    <t>Pedaggio A/R 3,70€ x 2 + rifornimento 30,57€</t>
  </si>
  <si>
    <t>Acqua e San Bitter/Alcol e accendini</t>
  </si>
  <si>
    <t>Vasi Vetro Flover</t>
  </si>
  <si>
    <t>RImborsi Gianluca Bandini</t>
  </si>
  <si>
    <t>Stampe in copisteria</t>
  </si>
  <si>
    <t>Service Audio e Palco + Gobbo</t>
  </si>
  <si>
    <t>FT 158 DEL 18/07/23 Audioluci</t>
  </si>
  <si>
    <t>Fatt. 201 del 17/07/2023 Tipografia Podetta</t>
  </si>
  <si>
    <t>Fatt. da ricevere</t>
  </si>
  <si>
    <t>Rimanenze del 2022</t>
  </si>
  <si>
    <t>Candele</t>
  </si>
  <si>
    <t>Novali Egidio</t>
  </si>
  <si>
    <t>80 Tondini ferro</t>
  </si>
  <si>
    <t xml:space="preserve">Carpenteria Meccanica Manessi </t>
  </si>
  <si>
    <t>Copritondini</t>
  </si>
  <si>
    <t>Fatt. 8652 del 28/06/2023 Amazon</t>
  </si>
  <si>
    <t>Libri (presi dal magazzino)</t>
  </si>
  <si>
    <t>circa 400 libri utilizzati per Le Stelle di Lorenzo, considerato il prezzo di copertina detratto il 40%</t>
  </si>
  <si>
    <t>Gadget Cartamundi</t>
  </si>
  <si>
    <t>Carte Picche/Cuori, le avevamo a magazzino (180 pz)</t>
  </si>
  <si>
    <t xml:space="preserve">FT. 1185 del 17/07/2023 MOVE UP </t>
  </si>
  <si>
    <t>Sala Hotel Corso Camere &amp; Pranzi e Cene SA</t>
  </si>
  <si>
    <t>FT 2624 del 18/07/23</t>
  </si>
  <si>
    <t>Affitto sala 8924,68€ + Pernottamenti 3745,45€ + Tdr 102 + Pasti 6250,91€ + Caffè 27,27 + Varie 0,82€</t>
  </si>
  <si>
    <t>IPOTIZZATi</t>
  </si>
  <si>
    <t>Certificazioni e cavalieri</t>
  </si>
  <si>
    <t>IL ROVERE</t>
  </si>
  <si>
    <t>FT. 3984 + FT 1263 + FT ? saldo</t>
  </si>
  <si>
    <t>Pernottamenti 2.527,27+73,50 + Pasti 2.269,09 + Affitto sala 6.656€ + Caffè 27,27+ Fotocopie 2,70 + Brindisi 572,73</t>
  </si>
  <si>
    <t>Aperitivo di Saluti</t>
  </si>
  <si>
    <t>Concordato con Montresor 7€ a persona per 90 persone; importo incluso nella fattura sopra</t>
  </si>
  <si>
    <t>FT ? DEL ? Audioluci</t>
  </si>
  <si>
    <t>vedi proforma</t>
  </si>
  <si>
    <t>FT ? DEL ? Puntoservice</t>
  </si>
  <si>
    <t>IPOTIZZATI</t>
  </si>
  <si>
    <t>ft 190 DEL 30/06/2023 Tipografia Podetta</t>
  </si>
  <si>
    <t>Imputati solo 135 pezzi</t>
  </si>
  <si>
    <t>Pedaggio A/R 3,70€ x 2 + rifornimento 20,00€</t>
  </si>
  <si>
    <t xml:space="preserve">FT. ? del ? MOVE UP </t>
  </si>
  <si>
    <t>ID azienda</t>
  </si>
  <si>
    <t>VT 20</t>
  </si>
  <si>
    <t>Diritto al Sales Attitude</t>
  </si>
  <si>
    <t>Settore Appartenenza</t>
  </si>
  <si>
    <t>Società Etichetta</t>
  </si>
  <si>
    <t>Provvigioni SOURCE (€) da PAGARE nov 22</t>
  </si>
  <si>
    <t>Provvigioni ACCOUNT (€) da PAGARE nov-22</t>
  </si>
  <si>
    <t>bersale75@gmail.com</t>
  </si>
  <si>
    <t>Agente di Commercio plurimandatario</t>
  </si>
  <si>
    <t>BERSANI ALESSANDRO</t>
  </si>
  <si>
    <t>325/MA-22</t>
  </si>
  <si>
    <t>Alessandro Bersani</t>
  </si>
  <si>
    <t>Bonani</t>
  </si>
  <si>
    <t>abonani@cnaparma.it</t>
  </si>
  <si>
    <t>Sviluppo clienti</t>
  </si>
  <si>
    <t>CNA Parma</t>
  </si>
  <si>
    <t>338/MA-22</t>
  </si>
  <si>
    <t>Gianluca Boarini</t>
  </si>
  <si>
    <t>Servizi per le aziende (consulenza fiscale e del lavoro, accesso al credito, ambiente e sicurezza, formazione)</t>
  </si>
  <si>
    <t>CNA PARMA</t>
  </si>
  <si>
    <t>ESTERA</t>
  </si>
  <si>
    <t>+41 (0) 786106120</t>
  </si>
  <si>
    <t>Consulenza ambiente ed energia</t>
  </si>
  <si>
    <t>ANDREA BERRONE INGEGNERIA</t>
  </si>
  <si>
    <t>372/MA-22</t>
  </si>
  <si>
    <t>Andrea Arlach</t>
  </si>
  <si>
    <t>Ingegneria ambientale</t>
  </si>
  <si>
    <t>Andrea Berrone</t>
  </si>
  <si>
    <t>per imprevisti lavorativi ha spostato la partecipazione alla sessione autunnale</t>
  </si>
  <si>
    <t>andrea.rizzi@celerisit.com</t>
  </si>
  <si>
    <t>RIZZI ANDREA</t>
  </si>
  <si>
    <t>363/MA-22 - 991/MA-23</t>
  </si>
  <si>
    <t>Gionatan Iovino</t>
  </si>
  <si>
    <t>Telecomunicazioni fisse</t>
  </si>
  <si>
    <t>Celeris</t>
  </si>
  <si>
    <t>IT STRATEGY SRL</t>
  </si>
  <si>
    <t>350/MA-22</t>
  </si>
  <si>
    <t>Christian Guiati</t>
  </si>
  <si>
    <t>It Strategy</t>
  </si>
  <si>
    <t>Mazzi</t>
  </si>
  <si>
    <t>chiara@mazzi-consulting.it</t>
  </si>
  <si>
    <t xml:space="preserve">MAZZI CONSULTING </t>
  </si>
  <si>
    <t>440/MA-22</t>
  </si>
  <si>
    <t>Davide Maso</t>
  </si>
  <si>
    <t>Mazzi Consulting</t>
  </si>
  <si>
    <t>Rodella</t>
  </si>
  <si>
    <t>info@cristinarodella.com</t>
  </si>
  <si>
    <t>Titolare studio di progettazione</t>
  </si>
  <si>
    <t>RODELLA CRISTINA</t>
  </si>
  <si>
    <t>364/MA-22</t>
  </si>
  <si>
    <t>Gabriele Gnali</t>
  </si>
  <si>
    <t>Archetto Rodella Cristina</t>
  </si>
  <si>
    <t xml:space="preserve">Area Manager </t>
  </si>
  <si>
    <t>MERLINI DANIELA</t>
  </si>
  <si>
    <t>353/MA-22</t>
  </si>
  <si>
    <t>Retail</t>
  </si>
  <si>
    <t xml:space="preserve">Primadonna </t>
  </si>
  <si>
    <t>Andreossi</t>
  </si>
  <si>
    <t>davide.andreossi@abatechsolutions.it</t>
  </si>
  <si>
    <t>ABATECH SOLUTIONS S.R.L.</t>
  </si>
  <si>
    <t>359/MA-22</t>
  </si>
  <si>
    <t>Abatech Solutions</t>
  </si>
  <si>
    <t>d.porcinai@ludacarrellielevatori.it</t>
  </si>
  <si>
    <t>Deve fare il bonifico entro il 13.10. MSG il 8.10</t>
  </si>
  <si>
    <t>Responsabile Commerciale Area Romagna</t>
  </si>
  <si>
    <t>PORCINAI DENIS</t>
  </si>
  <si>
    <t>511/MA-22 - 1166/MA-22</t>
  </si>
  <si>
    <t>Vendita e Noleggio Carrelli Elevatori Nuovi/usati CAT Lift Trucks – veicoli a guida automatica AGV – carrelli elevatori portuali – sistemi di logistica integrata</t>
  </si>
  <si>
    <t>CGM Compagnia Generale Macchine</t>
  </si>
  <si>
    <t>Vitale</t>
  </si>
  <si>
    <t>d.vitale@digitalkpi.it</t>
  </si>
  <si>
    <t>AD, Account e Project manager</t>
  </si>
  <si>
    <t>BRIEFING S.R.L.</t>
  </si>
  <si>
    <t>337/MA-22</t>
  </si>
  <si>
    <t>Daniela Meneghelli</t>
  </si>
  <si>
    <t>Agenzia di comunicazione</t>
  </si>
  <si>
    <t xml:space="preserve">Briefing </t>
  </si>
  <si>
    <r>
      <rPr>
        <sz val="11"/>
        <color theme="1"/>
        <rFont val="Calibri, sans-serif"/>
      </rPr>
      <t xml:space="preserve">Ci aggiorniamo a </t>
    </r>
    <r>
      <rPr>
        <b/>
        <sz val="11"/>
        <color theme="1"/>
        <rFont val="Calibri, sans-serif"/>
      </rPr>
      <t>metà maggio 2022</t>
    </r>
    <r>
      <rPr>
        <sz val="11"/>
        <color theme="1"/>
        <rFont val="Calibri, sans-serif"/>
      </rPr>
      <t xml:space="preserve"> così dare conferma del numero di persone che parteciperanno alla sessione autunnale del Master in Vendita.</t>
    </r>
  </si>
  <si>
    <t>Partecipante 2 Go Internet</t>
  </si>
  <si>
    <r>
      <rPr>
        <sz val="11"/>
        <color theme="1"/>
        <rFont val="Calibri, sans-serif"/>
      </rPr>
      <t xml:space="preserve">Ci aggiorniamo a </t>
    </r>
    <r>
      <rPr>
        <b/>
        <sz val="11"/>
        <color theme="1"/>
        <rFont val="Calibri, sans-serif"/>
      </rPr>
      <t>metà maggio 2022</t>
    </r>
    <r>
      <rPr>
        <sz val="11"/>
        <color theme="1"/>
        <rFont val="Calibri, sans-serif"/>
      </rPr>
      <t xml:space="preserve"> così dare conferma del numero di persone che parteciperanno alla sessione autunnale del Master in Vendita.</t>
    </r>
  </si>
  <si>
    <t>Partecipante 3 Go Internet</t>
  </si>
  <si>
    <r>
      <rPr>
        <sz val="11"/>
        <color theme="1"/>
        <rFont val="Calibri, sans-serif"/>
      </rPr>
      <t xml:space="preserve">Ci aggiorniamo a </t>
    </r>
    <r>
      <rPr>
        <b/>
        <sz val="11"/>
        <color theme="1"/>
        <rFont val="Calibri, sans-serif"/>
      </rPr>
      <t>metà maggio 2022</t>
    </r>
    <r>
      <rPr>
        <sz val="11"/>
        <color theme="1"/>
        <rFont val="Calibri, sans-serif"/>
      </rPr>
      <t xml:space="preserve"> così dare conferma del numero di persone che parteciperanno alla sessione autunnale del Master in Vendita.</t>
    </r>
  </si>
  <si>
    <t>Partecipante 4 Go Internet</t>
  </si>
  <si>
    <r>
      <rPr>
        <sz val="11"/>
        <color theme="1"/>
        <rFont val="Calibri, sans-serif"/>
      </rPr>
      <t xml:space="preserve">Ci aggiorniamo a </t>
    </r>
    <r>
      <rPr>
        <b/>
        <sz val="11"/>
        <color theme="1"/>
        <rFont val="Calibri, sans-serif"/>
      </rPr>
      <t>metà maggio 2022</t>
    </r>
    <r>
      <rPr>
        <sz val="11"/>
        <color theme="1"/>
        <rFont val="Calibri, sans-serif"/>
      </rPr>
      <t xml:space="preserve"> così dare conferma del numero di persone che parteciperanno alla sessione autunnale del Master in Vendita.</t>
    </r>
  </si>
  <si>
    <t>365/MA-22 - 526/MA-22</t>
  </si>
  <si>
    <t>Pagata tutta a giugno 2022</t>
  </si>
  <si>
    <t>Cesare Braghini</t>
  </si>
  <si>
    <t>Oggiano</t>
  </si>
  <si>
    <t>simone.oggiano@mywic.it</t>
  </si>
  <si>
    <t>Key account manager</t>
  </si>
  <si>
    <t>Gian Enrico</t>
  </si>
  <si>
    <t>Zamboni</t>
  </si>
  <si>
    <t>gianenrico.zamboni@mywic.it</t>
  </si>
  <si>
    <t>Gianluigi Massimo</t>
  </si>
  <si>
    <t>Tirapelle</t>
  </si>
  <si>
    <t>m.tirapelle@digimax.it</t>
  </si>
  <si>
    <t>DIGIMAX SRL</t>
  </si>
  <si>
    <t>491/MA-22</t>
  </si>
  <si>
    <t>IT SALES OPERATION</t>
  </si>
  <si>
    <t>NO Partecipazione SA 22</t>
  </si>
  <si>
    <t>Tamiozzo</t>
  </si>
  <si>
    <t>c.tamiozzo@digimax.it</t>
  </si>
  <si>
    <t>Product Manager</t>
  </si>
  <si>
    <t>Dejan</t>
  </si>
  <si>
    <t>Misic</t>
  </si>
  <si>
    <t>d.misic@digimax.it</t>
  </si>
  <si>
    <t>Account Manager</t>
  </si>
  <si>
    <t>Zordan</t>
  </si>
  <si>
    <t>f.zordan@digimax.it</t>
  </si>
  <si>
    <t>RESP. IT</t>
  </si>
  <si>
    <t>Dal Lago</t>
  </si>
  <si>
    <t>m.dallago@digimax.it</t>
  </si>
  <si>
    <t>PM ALILED - DALCNET</t>
  </si>
  <si>
    <t>DALCINET SRL</t>
  </si>
  <si>
    <t>492MA-22</t>
  </si>
  <si>
    <t>d.baglioni@digimax.it</t>
  </si>
  <si>
    <t>VENDITORE KA sost Stefano</t>
  </si>
  <si>
    <t>m.arpino@digimax.it</t>
  </si>
  <si>
    <t>PM IPCDIS COMP</t>
  </si>
  <si>
    <t>Scalabrin</t>
  </si>
  <si>
    <t>d.scalabrin@digimax.it</t>
  </si>
  <si>
    <t>BUYER E LOGISTIC MANAGER</t>
  </si>
  <si>
    <t>Lucrezia</t>
  </si>
  <si>
    <t>Barzi</t>
  </si>
  <si>
    <t>Nicolò</t>
  </si>
  <si>
    <t>Menardi</t>
  </si>
  <si>
    <t>nicolo.menardi@castelmac.it</t>
  </si>
  <si>
    <t>Export sales manager</t>
  </si>
  <si>
    <t>CastelMac</t>
  </si>
  <si>
    <t>552/MA-22</t>
  </si>
  <si>
    <t>fanno bonifico entro il 20/5/2022</t>
  </si>
  <si>
    <t>Refrigerazione</t>
  </si>
  <si>
    <t>CastelMAC</t>
  </si>
  <si>
    <t>Jacopo</t>
  </si>
  <si>
    <t>jacopo.regazzo11@gmail.com</t>
  </si>
  <si>
    <t>Ospite Digimax 2</t>
  </si>
  <si>
    <t>553/MA-22</t>
  </si>
  <si>
    <t>fanno bonifico entro il 20/5/2022, provvigioni erogate su 2597 euro al posto di 2405,20</t>
  </si>
  <si>
    <t>EX Gionatan</t>
  </si>
  <si>
    <t>EX - Iovino</t>
  </si>
  <si>
    <t>Giabardo Coltman</t>
  </si>
  <si>
    <t>giorgia@cobro.biz</t>
  </si>
  <si>
    <t>(+44) 751 5339586</t>
  </si>
  <si>
    <t>COBRO ASSOCIATES</t>
  </si>
  <si>
    <t>370/MA-22</t>
  </si>
  <si>
    <t>Alessandra Imperiali??</t>
  </si>
  <si>
    <t>Cobro Associates</t>
  </si>
  <si>
    <t>Lacramioara</t>
  </si>
  <si>
    <t>Minut</t>
  </si>
  <si>
    <t>minut.lacri@gmail.com</t>
  </si>
  <si>
    <t>EDIL CHIC</t>
  </si>
  <si>
    <t>394/MA-22</t>
  </si>
  <si>
    <t>Romeo Carbone</t>
  </si>
  <si>
    <t>Formenti</t>
  </si>
  <si>
    <t>l.formenti@eleva.it</t>
  </si>
  <si>
    <t>Co-Founder e Chief Sales Officer</t>
  </si>
  <si>
    <t>ELEVA SRL</t>
  </si>
  <si>
    <t>378/MA-22</t>
  </si>
  <si>
    <t>NEGOZIAZIONE LA FARA' NEL 2023</t>
  </si>
  <si>
    <t>Angelo Piccoli</t>
  </si>
  <si>
    <t>Consulenza Cloud &amp; Sviluppo Software</t>
  </si>
  <si>
    <t>Eleva</t>
  </si>
  <si>
    <t>Guerini</t>
  </si>
  <si>
    <t>luca.guerini@utr.it</t>
  </si>
  <si>
    <t>UTR Tiberti srl</t>
  </si>
  <si>
    <t>357/MA-22</t>
  </si>
  <si>
    <t>UTR TIBERTI – EVO INTERNATIONAL GROUP</t>
  </si>
  <si>
    <t>Letrari</t>
  </si>
  <si>
    <t>info@letrari.it</t>
  </si>
  <si>
    <t>Enologo</t>
  </si>
  <si>
    <t>LETRARI SOC. AGR. S.S.</t>
  </si>
  <si>
    <t>367/MA-22</t>
  </si>
  <si>
    <t>inviata fattura proforma. In data 28.4 sollecito pagamento</t>
  </si>
  <si>
    <t>Pagata tutta a luglio 2022</t>
  </si>
  <si>
    <t>Winemaker</t>
  </si>
  <si>
    <t>Letrari Soc. Agr.</t>
  </si>
  <si>
    <t>Meneghin</t>
  </si>
  <si>
    <t>marco.meneghin@itstrategy.it</t>
  </si>
  <si>
    <t>Carlo Fasini</t>
  </si>
  <si>
    <t>Arlanch</t>
  </si>
  <si>
    <t>margheritaa.arlanch@gmail.com</t>
  </si>
  <si>
    <t>Zanin</t>
  </si>
  <si>
    <t>m.zanin@net-evolution.com</t>
  </si>
  <si>
    <t>NETEVOLUTION SRL</t>
  </si>
  <si>
    <t>437/MA-22</t>
  </si>
  <si>
    <t>Massimo Vaccarino</t>
  </si>
  <si>
    <t>Netevolution</t>
  </si>
  <si>
    <t>D'Avanzo</t>
  </si>
  <si>
    <t>nick.davinz@gmail.com</t>
  </si>
  <si>
    <t>STUDIO RIELLO COMM. ASSOCIATI</t>
  </si>
  <si>
    <t>344/MA-22</t>
  </si>
  <si>
    <t>NO NOME IN FATTURA</t>
  </si>
  <si>
    <t>Marilena Riello</t>
  </si>
  <si>
    <t>Studio Riello Comm. Associati</t>
  </si>
  <si>
    <t>Dario</t>
  </si>
  <si>
    <t>n.dario@infinance.it</t>
  </si>
  <si>
    <t>FINISCE IL SUO MASTER</t>
  </si>
  <si>
    <t>INFINANCE SRL</t>
  </si>
  <si>
    <t>312/MA-22</t>
  </si>
  <si>
    <t>Innovits</t>
  </si>
  <si>
    <t>Formazione e consulenza</t>
  </si>
  <si>
    <t>Infinance</t>
  </si>
  <si>
    <t>Citro</t>
  </si>
  <si>
    <t>citropaolo@libero.it</t>
  </si>
  <si>
    <t>MECTRONIC MEDICALE SRL</t>
  </si>
  <si>
    <t>389/MA-22</t>
  </si>
  <si>
    <t>QR</t>
  </si>
  <si>
    <t>Dispositivi Elettromedicali</t>
  </si>
  <si>
    <t>Mectronic Medicale</t>
  </si>
  <si>
    <t>Pietro</t>
  </si>
  <si>
    <t>Piovaccari</t>
  </si>
  <si>
    <t>pietro.piovaccari@gmail.com</t>
  </si>
  <si>
    <t>VANESSA ORLANDI</t>
  </si>
  <si>
    <t>354/MA-22</t>
  </si>
  <si>
    <t>Davide Mondaini</t>
  </si>
  <si>
    <t>Pubblici esercizi</t>
  </si>
  <si>
    <t>Next (somministrazione), Horeca Consulting (consulenza horeca), MNRV (abbigliamento, social e siti internet), Valentini (distilleria)</t>
  </si>
  <si>
    <t>Carlucci</t>
  </si>
  <si>
    <t>roberto.carlucci82@gmail.com</t>
  </si>
  <si>
    <t>Ven 21.10 VT arriva nel pomeriggio</t>
  </si>
  <si>
    <t>CARLUCCI ROBERTO</t>
  </si>
  <si>
    <t>347/MA-22</t>
  </si>
  <si>
    <t>Stefano Ghesini</t>
  </si>
  <si>
    <t>Carlucci Roberto</t>
  </si>
  <si>
    <t>Buttignoni</t>
  </si>
  <si>
    <t>buttignoni@hotmail.it</t>
  </si>
  <si>
    <t>335/202407</t>
  </si>
  <si>
    <t>VALERIA ZACCARIA ARCHITETTO</t>
  </si>
  <si>
    <t>358/MA-22</t>
  </si>
  <si>
    <t>non indicare il nome in fattura</t>
  </si>
  <si>
    <t>Sergio Buttignoni</t>
  </si>
  <si>
    <t>La Rosa</t>
  </si>
  <si>
    <t>slr@tebaldini.com</t>
  </si>
  <si>
    <t>STUDIO TEBALDINI LA ROSA</t>
  </si>
  <si>
    <t>345/MA-22</t>
  </si>
  <si>
    <t>Concetta Donvito</t>
  </si>
  <si>
    <t>Studio Tebaldini La Rosa</t>
  </si>
  <si>
    <t>Martelli</t>
  </si>
  <si>
    <t>s.martelli@briefinglab.com</t>
  </si>
  <si>
    <t>Operation &amp; Internal sales</t>
  </si>
  <si>
    <t>Eliana Cattaneo</t>
  </si>
  <si>
    <t>Mangano</t>
  </si>
  <si>
    <t>mangano@smp-ing.ch</t>
  </si>
  <si>
    <t>(41) 786687178</t>
  </si>
  <si>
    <t>MANGANO SIMONE</t>
  </si>
  <si>
    <t>373/MA-22 /562/MA-22 / 630/MA-22</t>
  </si>
  <si>
    <t>Simone Mangano</t>
  </si>
  <si>
    <t>Ghesini</t>
  </si>
  <si>
    <t>ghesonet@gmail.com</t>
  </si>
  <si>
    <t>Responsabile Vendite Italia</t>
  </si>
  <si>
    <t>PLANTUI-ITALIA DI STEFANO GHESINI</t>
  </si>
  <si>
    <t>324/MA-22</t>
  </si>
  <si>
    <t>iscrizione anche per Manuela Pratissoli 497+iva (non indicare nome in fattura - Plantui Italia) - pagato il 04/05/2022</t>
  </si>
  <si>
    <t>Simone Bolognesi (Excen)</t>
  </si>
  <si>
    <t>Metalmeccanico - Produzione gru e piattaforme aeree.</t>
  </si>
  <si>
    <t xml:space="preserve">PM Oil Steel </t>
  </si>
  <si>
    <t>EAGLE GHOST DI INVERARDI STEFANO</t>
  </si>
  <si>
    <t>340/MA-22</t>
  </si>
  <si>
    <t>Matteo Boniotti</t>
  </si>
  <si>
    <t>Consulenza Privacy / GDPR</t>
  </si>
  <si>
    <t>Zaccaria</t>
  </si>
  <si>
    <t>v_zaccaria@hotmail.com</t>
  </si>
  <si>
    <t>in fattura indicare solo il suo nome</t>
  </si>
  <si>
    <t>Costruzioni</t>
  </si>
  <si>
    <t>J&amp;A Consultants</t>
  </si>
  <si>
    <t>GRATIS</t>
  </si>
  <si>
    <t>Valeria Cazzulani</t>
  </si>
  <si>
    <t>Co'</t>
  </si>
  <si>
    <t>VITTORIO.CO@ETICAFINANZIARIACONSULTING.IT</t>
  </si>
  <si>
    <t>Ferrari</t>
  </si>
  <si>
    <t>robertaferr@hotmail.com</t>
  </si>
  <si>
    <t>390/MA-22</t>
  </si>
  <si>
    <t>Euro 1.500 iva compresa, finanziati dalla Regione Lombardia tramite Ente, il saldo di 2.156,34 iva compreso, pagato e fatturato alla società</t>
  </si>
  <si>
    <t>finanziamento</t>
  </si>
  <si>
    <t>Salvatore Falconieri</t>
  </si>
  <si>
    <t>Sieg Renew</t>
  </si>
  <si>
    <t>Polloni</t>
  </si>
  <si>
    <t>massimiliano.polloni@gmail.com</t>
  </si>
  <si>
    <t>a VS ha fatto solo il primo giorno perchè scoperto COVID</t>
  </si>
  <si>
    <t>Sales Director Export Markets</t>
  </si>
  <si>
    <t>ILLA SPA</t>
  </si>
  <si>
    <t>478/MA-22</t>
  </si>
  <si>
    <t>Articoli Casalinghi</t>
  </si>
  <si>
    <t>ILLA</t>
  </si>
  <si>
    <t>Tonelli</t>
  </si>
  <si>
    <t>roberta.tonelli@airsea.it </t>
  </si>
  <si>
    <t>Customer Service</t>
  </si>
  <si>
    <t>Air Sea Italia</t>
  </si>
  <si>
    <t>468MA-22</t>
  </si>
  <si>
    <t>Logistica Farmaceutica</t>
  </si>
  <si>
    <t>Bisi</t>
  </si>
  <si>
    <t>francesca.bisi@airsea.it</t>
  </si>
  <si>
    <t xml:space="preserve">Responsabile Commerciale </t>
  </si>
  <si>
    <t>backoffice@airsea.it</t>
  </si>
  <si>
    <t>NON VIENE A VS perchè ammalata, mail della Marchi il 19.10.22</t>
  </si>
  <si>
    <t>Martina</t>
  </si>
  <si>
    <t>Cardoni</t>
  </si>
  <si>
    <t>martina.cardoni@airsea.it</t>
  </si>
  <si>
    <t>Katrina Melania</t>
  </si>
  <si>
    <t>Auskapa</t>
  </si>
  <si>
    <t>katrina.auskapa@icona.it</t>
  </si>
  <si>
    <t>ACTY SALES MANAGER</t>
  </si>
  <si>
    <t>ICONA</t>
  </si>
  <si>
    <t>470MA-22 / 560/MA-22 / 630/MA-22</t>
  </si>
  <si>
    <t>fatturazione e pagamento in 3 tranche (5000 il 30/4 -4000 il 31/5 -  4000 il 30/6)</t>
  </si>
  <si>
    <t>30-Jun-22</t>
  </si>
  <si>
    <t>Sviluppo software per il servizio di assistenza</t>
  </si>
  <si>
    <t>Icona</t>
  </si>
  <si>
    <t>Sardo</t>
  </si>
  <si>
    <t xml:space="preserve">Fabio </t>
  </si>
  <si>
    <t>Brugnone</t>
  </si>
  <si>
    <t>f.brugnone@x-stream.biz</t>
  </si>
  <si>
    <t>XSTREAM</t>
  </si>
  <si>
    <t>366/MA-22 - 469/MA-22 - 561/MA-22</t>
  </si>
  <si>
    <t>p/to bb. bancario: 25% DFFM, 30% 30 GG DFFM, 45% 60 GG DFFM - 1a rata pagata il 28/4</t>
  </si>
  <si>
    <t>Xstream</t>
  </si>
  <si>
    <t xml:space="preserve">Paolo </t>
  </si>
  <si>
    <t>Scaffardi</t>
  </si>
  <si>
    <t>p.scaffardi@x-stream.biz</t>
  </si>
  <si>
    <t>Santarella</t>
  </si>
  <si>
    <t>D.Santarella@x-stream.biz</t>
  </si>
  <si>
    <t>Wholesale Manager</t>
  </si>
  <si>
    <t>SALTA LA DOMENICA (comunione del figlio) p/to bb. bancario: 25% DFFM, 30% 30 GG DFFM, 45% 60 GG DFFM - 1a rata pagata il 28/4</t>
  </si>
  <si>
    <t xml:space="preserve">Simone </t>
  </si>
  <si>
    <t>Lodi</t>
  </si>
  <si>
    <t>s.lodi@x-stream.biz; slodi1973@gmail.com</t>
  </si>
  <si>
    <t>990/MA-23</t>
  </si>
  <si>
    <t>fatturazione e pagamento anno 2023</t>
  </si>
  <si>
    <t>andreanava88@gmail.com</t>
  </si>
  <si>
    <t>TRANSPORT CONSULTING</t>
  </si>
  <si>
    <t>471/MA-22 - 1185/MA-22</t>
  </si>
  <si>
    <t>p/to fattura a settembre 2022, 1 settimana prima dell'inizio del modulo - Inzialmente avrebbe dovuto fare solamente il modulo VT e VS (GIà fatturato il primo modulo per 997+iva ma poi non è riuscito a partecipare, quindi fattura ANCORA DA PAGARE. Mail di Bruno del 11/9/22 ha rimodulato l'accordo di collaborazione e parteciperà a tutto il Master</t>
  </si>
  <si>
    <t>Transport Consulting</t>
  </si>
  <si>
    <t>Bettin</t>
  </si>
  <si>
    <t>massimo.bettin@logisticsforyou.info</t>
  </si>
  <si>
    <t>Sales Developer</t>
  </si>
  <si>
    <t>1130/MA-22 - 1185/MA-22</t>
  </si>
  <si>
    <t>p/to una settimana prima ad inizio modulo</t>
  </si>
  <si>
    <t>anna.veronese@logisticsforyou.info</t>
  </si>
  <si>
    <t>Finazzi</t>
  </si>
  <si>
    <t>finazzi.cesare@mesgo.it</t>
  </si>
  <si>
    <t>MESGO</t>
  </si>
  <si>
    <t>Katiu ha scritto ad Amministrazione per fatturazione e pagamento</t>
  </si>
  <si>
    <t>PER IL 2022 NON RIESCE (Regalato da Beba perchè arrabbiato per cambio date. Spiegato che non dipende da noi, ma voluto riconoscere comunque un benefit)</t>
  </si>
  <si>
    <t>Mesgo</t>
  </si>
  <si>
    <t>Isabella</t>
  </si>
  <si>
    <t>Calligaris</t>
  </si>
  <si>
    <t>isabella.calligaris@cooperjob.eu</t>
  </si>
  <si>
    <t>Cooperjob SpA</t>
  </si>
  <si>
    <t>494/MA-22</t>
  </si>
  <si>
    <t xml:space="preserve">Nadia </t>
  </si>
  <si>
    <t>nadia.mazzocchi@cooperjob.eu</t>
  </si>
  <si>
    <t>Amedeo</t>
  </si>
  <si>
    <t>Bellacicco</t>
  </si>
  <si>
    <t>amedeo@wisee.it</t>
  </si>
  <si>
    <t>Wisee srl Società Benefit</t>
  </si>
  <si>
    <t>497/MA-22</t>
  </si>
  <si>
    <t>Fabio 7,5% - Matteo 7,5%</t>
  </si>
  <si>
    <t>Wisee</t>
  </si>
  <si>
    <t>U</t>
  </si>
  <si>
    <t>524/MA-22 601/MA-22</t>
  </si>
  <si>
    <t>Verga</t>
  </si>
  <si>
    <t>fabio.verga@gotaway.it</t>
  </si>
  <si>
    <t>334 6122922</t>
  </si>
  <si>
    <t>GOTAWAY SRL</t>
  </si>
  <si>
    <t>522/MA-22</t>
  </si>
  <si>
    <t>Gotaway</t>
  </si>
  <si>
    <t>Maksym</t>
  </si>
  <si>
    <t>Maffioli</t>
  </si>
  <si>
    <t>maksym.maffioli@fimiswiss.ch</t>
  </si>
  <si>
    <t>Cristian Pensotti</t>
  </si>
  <si>
    <t>anton.krylov@fimimachinery.com</t>
  </si>
  <si>
    <t>Zotti</t>
  </si>
  <si>
    <t>service@fimimachinery.com</t>
  </si>
  <si>
    <t>Vicini</t>
  </si>
  <si>
    <t>matteo.vicini@fimimachinery.com</t>
  </si>
  <si>
    <t>mario.colombo@fimimachinery.com</t>
  </si>
  <si>
    <t>Invernzzi</t>
  </si>
  <si>
    <t>c@invernizziass.it</t>
  </si>
  <si>
    <t>335 5894241</t>
  </si>
  <si>
    <t>1013/MA-22</t>
  </si>
  <si>
    <t>Assicurazioni</t>
  </si>
  <si>
    <t>Invernizzi Assicurazioni</t>
  </si>
  <si>
    <t>Gheda</t>
  </si>
  <si>
    <t>alessandro.gheda@putelli.it</t>
  </si>
  <si>
    <t>PUTELLI SRL</t>
  </si>
  <si>
    <t>1033/MA-22</t>
  </si>
  <si>
    <t>Serramenti e Porte Edilizia</t>
  </si>
  <si>
    <t>Putelli</t>
  </si>
  <si>
    <t>andrea.venturini@putelli.it</t>
  </si>
  <si>
    <t>riccardo.migliorati@putelli.it</t>
  </si>
  <si>
    <t>Pianari</t>
  </si>
  <si>
    <t>massimiliano.pianari@putelli.it</t>
  </si>
  <si>
    <t>Marini</t>
  </si>
  <si>
    <t>laura.marini@putelli.it</t>
  </si>
  <si>
    <t>1179/MA-22</t>
  </si>
  <si>
    <t>Giacomo</t>
  </si>
  <si>
    <t>Greggio</t>
  </si>
  <si>
    <t>giacomogreggio@pacservice.it</t>
  </si>
  <si>
    <t>PAC SERVICE S.P.A.</t>
  </si>
  <si>
    <t>1062/MA-22</t>
  </si>
  <si>
    <t>Pac Service</t>
  </si>
  <si>
    <t>Burlin</t>
  </si>
  <si>
    <t>burlinfederico@libero.it</t>
  </si>
  <si>
    <t>339 5405979</t>
  </si>
  <si>
    <t>Cristofaro</t>
  </si>
  <si>
    <t>m.cristofaro@teamworkitalia.it</t>
  </si>
  <si>
    <t>Commerciale / Tecnico</t>
  </si>
  <si>
    <t>1073/MA-22</t>
  </si>
  <si>
    <t>Software</t>
  </si>
  <si>
    <t>Marzio</t>
  </si>
  <si>
    <t>Moserle</t>
  </si>
  <si>
    <t>m.moserle@digimax.it</t>
  </si>
  <si>
    <t>solo VT</t>
  </si>
  <si>
    <t>1174/MA-22</t>
  </si>
  <si>
    <t>Digimax</t>
  </si>
  <si>
    <t>fabio.colombo@zenitsicurezza.it</t>
  </si>
  <si>
    <t>340/5568483</t>
  </si>
  <si>
    <t>Ceruti</t>
  </si>
  <si>
    <t>marco.ceruti@zenitsicurezza.it</t>
  </si>
  <si>
    <t>342/8698647</t>
  </si>
  <si>
    <t>Cò</t>
  </si>
  <si>
    <t>luca.co@zenitsicurezza.it</t>
  </si>
  <si>
    <t>340/7937167</t>
  </si>
  <si>
    <t>Partecipante 4</t>
  </si>
  <si>
    <t>Zenit</t>
  </si>
  <si>
    <t>Partecipante 5</t>
  </si>
  <si>
    <t>Partecipante 6</t>
  </si>
  <si>
    <t>alessandro.arlanch@gmail.com</t>
  </si>
  <si>
    <t>349 8764262</t>
  </si>
  <si>
    <t>HR Manager</t>
  </si>
  <si>
    <t>OPT Surgisystems</t>
  </si>
  <si>
    <t>1071/MA-22</t>
  </si>
  <si>
    <t>Telecomunicazioni e Servizi Energetici</t>
  </si>
  <si>
    <t xml:space="preserve">Alessandro </t>
  </si>
  <si>
    <t>Chilosi</t>
  </si>
  <si>
    <t>alessandro.chilosi@envalueconsulting.com</t>
  </si>
  <si>
    <t>3474101021</t>
  </si>
  <si>
    <t>1088/MA-22</t>
  </si>
  <si>
    <t>Consulenza di direzione</t>
  </si>
  <si>
    <t>Envalue Consulting</t>
  </si>
  <si>
    <t>1108/MA-22</t>
  </si>
  <si>
    <t>andrea@impiombatoandreani.it; marketing@andreanispazidivalore.it</t>
  </si>
  <si>
    <t>se conferma gli altri 5 partecipanti gli storniamo la cifra pagata in eccesso (2997-2597)</t>
  </si>
  <si>
    <t>1176/MA-22</t>
  </si>
  <si>
    <t>Andreani Spazi di Valore</t>
  </si>
  <si>
    <t>Ospite 1 Andrea Impiombato Andreani</t>
  </si>
  <si>
    <t>Conferma Entro Fine Novembre</t>
  </si>
  <si>
    <t>Andrea Spazi di Valore</t>
  </si>
  <si>
    <t>Ospite 2 Andrea Impiombato Andreani</t>
  </si>
  <si>
    <t>Ospite 3 Andrea Impiombato Andreani</t>
  </si>
  <si>
    <t>Ospite 4 Andrea Impiombato Andreani</t>
  </si>
  <si>
    <t>Ospite 5 Andrea Impiombato Andreani</t>
  </si>
  <si>
    <t>Lombardino</t>
  </si>
  <si>
    <t>andrea.lombardino@gmail.com</t>
  </si>
  <si>
    <t>Responsabile Commericale</t>
  </si>
  <si>
    <t>AIR SEA ITALIA SRL</t>
  </si>
  <si>
    <t>1093/MA-22</t>
  </si>
  <si>
    <t>Andrea Mugerli</t>
  </si>
  <si>
    <t>Condizioni pagamento concordate con Gluca 200 euro 30/9 - saldo entro 2023???</t>
  </si>
  <si>
    <t>Aniello (Lillo)</t>
  </si>
  <si>
    <t>buono@red-apple.it</t>
  </si>
  <si>
    <t>CEO and Founder</t>
  </si>
  <si>
    <t>1072/MA-22</t>
  </si>
  <si>
    <t>Agenzia Comunicazione</t>
  </si>
  <si>
    <t>Red Apple</t>
  </si>
  <si>
    <t>Tricarico</t>
  </si>
  <si>
    <t>Mail del 5.10.22: concesso acconto 200 entro il 15/10 per bloccare il prezzo.A marzo 2023 procederai al pagamento del tuo Master in Vendita, scegliendo con pagamento in unica soluzione o rateale, mantenendo le attuali condizioni sottoscritte a Vendita B2B</t>
  </si>
  <si>
    <t>Auto - Pneumatici</t>
  </si>
  <si>
    <t>Autobersana</t>
  </si>
  <si>
    <t>Servizi Ambientali (Smaltimento rifiuti, Bonifiche, Gestione rifiuti)</t>
  </si>
  <si>
    <t>Albatros Ecologia Ambiente Sicurezza</t>
  </si>
  <si>
    <t>c.bagnari@ciclat.ra.it</t>
  </si>
  <si>
    <t>3357467321</t>
  </si>
  <si>
    <t>AMMNISTRATORE DELEGATO</t>
  </si>
  <si>
    <t>1068/MA-22</t>
  </si>
  <si>
    <t>Cipriano</t>
  </si>
  <si>
    <t>Quadrano</t>
  </si>
  <si>
    <t>Cquadrano@fmc-comunicare.com</t>
  </si>
  <si>
    <t>3314388833</t>
  </si>
  <si>
    <t>AMMINISTRATORE DELEGATO</t>
  </si>
  <si>
    <t>1086/MA-22</t>
  </si>
  <si>
    <t>F.M.C. Comunicare</t>
  </si>
  <si>
    <t>Givogre</t>
  </si>
  <si>
    <t>claudio.givogre@albaconsulting.it</t>
  </si>
  <si>
    <t>3356395752</t>
  </si>
  <si>
    <t>Inconto in azienda da loro il 17/10 con Matte e successivamente pagheranno</t>
  </si>
  <si>
    <t>SENIOR ANALYST</t>
  </si>
  <si>
    <t>Consulenza IT/ Organizzativa</t>
  </si>
  <si>
    <t>Alba Consulting</t>
  </si>
  <si>
    <t>Oliveri</t>
  </si>
  <si>
    <t>corrado@deltasavona.it; CORRADO@DELTAVOICE.IT</t>
  </si>
  <si>
    <t>AREA COMMERCIALE</t>
  </si>
  <si>
    <t>1098/MA-22</t>
  </si>
  <si>
    <t>Informatica / Telco</t>
  </si>
  <si>
    <t>Delta Savona</t>
  </si>
  <si>
    <t>Emanuele</t>
  </si>
  <si>
    <t>emanuele.esposito@kromin.it</t>
  </si>
  <si>
    <t>Ruffa</t>
  </si>
  <si>
    <t>vincenzo.ruffa@kromin.it</t>
  </si>
  <si>
    <t>Pasquale</t>
  </si>
  <si>
    <t>Gallo</t>
  </si>
  <si>
    <t>pasquale.gallo@kromin.it</t>
  </si>
  <si>
    <t>pezzaglia@mp-associati.it</t>
  </si>
  <si>
    <t>1061/MA-22</t>
  </si>
  <si>
    <t>Architettura</t>
  </si>
  <si>
    <t>Studio Associato Mascheroni Pezzaglia Architetti</t>
  </si>
  <si>
    <t>333 8311835</t>
  </si>
  <si>
    <t>Maso</t>
  </si>
  <si>
    <t>dm.davidemaso@gmail.com</t>
  </si>
  <si>
    <t>3939517726</t>
  </si>
  <si>
    <t>data possiblità di pagare acconto 200 euro per bloccare prezzo a 2997+iva</t>
  </si>
  <si>
    <t>Consulente Finanziario</t>
  </si>
  <si>
    <t>1113/MA-2</t>
  </si>
  <si>
    <t>Finanziario</t>
  </si>
  <si>
    <t>Minotti</t>
  </si>
  <si>
    <t>davideminotti@live.it; D.MINOTTI@INNPROJEKT.COM</t>
  </si>
  <si>
    <t>3282574852 / 3481755704</t>
  </si>
  <si>
    <t>SALES ASSISTANT</t>
  </si>
  <si>
    <t>1096/MA-22</t>
  </si>
  <si>
    <t>Sviluppo Software</t>
  </si>
  <si>
    <t>Inn Projekt</t>
  </si>
  <si>
    <t>Ozzarini</t>
  </si>
  <si>
    <t>ozzarini@dscom.it</t>
  </si>
  <si>
    <t>320 3449294</t>
  </si>
  <si>
    <t>fattura con dicitura particolare</t>
  </si>
  <si>
    <t>1094/MA-22</t>
  </si>
  <si>
    <t>Marketing Digitale</t>
  </si>
  <si>
    <t>Ds Comunicazione</t>
  </si>
  <si>
    <t>Spitale</t>
  </si>
  <si>
    <t>d.spitale@alzarating.com</t>
  </si>
  <si>
    <t>Proposta prezzo bloccato con acconnto di 200 Euro e partecipazione anno prossimo</t>
  </si>
  <si>
    <t>INNOVATION MANAGER</t>
  </si>
  <si>
    <t>1104/MA-22</t>
  </si>
  <si>
    <t>Wisee 10%  - Matteo 5%</t>
  </si>
  <si>
    <t>Alzarating</t>
  </si>
  <si>
    <t>Basileo</t>
  </si>
  <si>
    <t>studiolegale@avvocatobasileo.com</t>
  </si>
  <si>
    <t>345 1513 696</t>
  </si>
  <si>
    <t>Mail 10.10 per pagamento</t>
  </si>
  <si>
    <t>1178/MA-22</t>
  </si>
  <si>
    <t>Studio Legale</t>
  </si>
  <si>
    <t>DBLegal</t>
  </si>
  <si>
    <t>Eglantina</t>
  </si>
  <si>
    <t>Olldashi</t>
  </si>
  <si>
    <t>egliolldasci@gmail.com</t>
  </si>
  <si>
    <t>3281126652</t>
  </si>
  <si>
    <t>1063/MA-22</t>
  </si>
  <si>
    <t>Installazione/ Manutenzione Impianti Elettrici</t>
  </si>
  <si>
    <t>MBR</t>
  </si>
  <si>
    <t>Azzoni</t>
  </si>
  <si>
    <t>e.azzoni@t4bconsulting.com</t>
  </si>
  <si>
    <t>cel italiano + 39 349 4903486 / cel emiratino (whatsapp) + 971 56 7156747</t>
  </si>
  <si>
    <t>1124/MA-22</t>
  </si>
  <si>
    <t>Consulenza Comerrciale/ Consulenza per l'internalizzazione delle Imprese</t>
  </si>
  <si>
    <t>T4B Consulting</t>
  </si>
  <si>
    <t>NO RIESCE</t>
  </si>
  <si>
    <t>Padoan</t>
  </si>
  <si>
    <t>eleonora.padoan@padoanvernici.com</t>
  </si>
  <si>
    <t>3475210593</t>
  </si>
  <si>
    <t>Comunicato 30.9 pagamento</t>
  </si>
  <si>
    <t>1102/MA-22</t>
  </si>
  <si>
    <t>Chimica/ Legno / Vernici</t>
  </si>
  <si>
    <t>Padoan Vernici</t>
  </si>
  <si>
    <t>Daniel</t>
  </si>
  <si>
    <t>denis.daniel@padoanvernici.com</t>
  </si>
  <si>
    <t>Tecnico</t>
  </si>
  <si>
    <t>eleonoratrezza@yahoo.it;varese@urbanfitness.it</t>
  </si>
  <si>
    <t>3757934763-3486925138</t>
  </si>
  <si>
    <t>Paga 200 Euro ad Ottobre e conferma a Marzo 23 se saldo o rateale</t>
  </si>
  <si>
    <t>Urban Fitness</t>
  </si>
  <si>
    <t>Minicuci</t>
  </si>
  <si>
    <t>emanuele.minicuci@gmail.com</t>
  </si>
  <si>
    <t>(338) 666-8447</t>
  </si>
  <si>
    <t>1090/MA-22</t>
  </si>
  <si>
    <t>Emanuele Minicuci</t>
  </si>
  <si>
    <t>Eugenio</t>
  </si>
  <si>
    <t>Tortora</t>
  </si>
  <si>
    <t>eugenio.tortora@mvoip.it</t>
  </si>
  <si>
    <t>3939591075</t>
  </si>
  <si>
    <t>mail del 29/9/22: posibilità di pagare in 1 unica rata entro il 7/10</t>
  </si>
  <si>
    <t>EMMETI</t>
  </si>
  <si>
    <t>Dorofatti</t>
  </si>
  <si>
    <t>fabio.dorofatti@valmon.com</t>
  </si>
  <si>
    <t>335 1380203</t>
  </si>
  <si>
    <t>FATTURA CON FINANZIAMENTO - 30/60/90 il pagamento - n° ordine 15004 del 17/10/2022</t>
  </si>
  <si>
    <t>Direttore Generale</t>
  </si>
  <si>
    <t>1237/MA-22</t>
  </si>
  <si>
    <t>GRATIS - MAIL DI PACCI DEL 03/10/22 ORE 8.15</t>
  </si>
  <si>
    <t>Stampaggio a caldo ottone – settore Idrotermosanitario – oil gas – valvolame</t>
  </si>
  <si>
    <t>Valmon StampatI</t>
  </si>
  <si>
    <t>Marianna</t>
  </si>
  <si>
    <t>Sabadini</t>
  </si>
  <si>
    <t>marianna.sabadini@valmon.com</t>
  </si>
  <si>
    <t>Ufficio Commerciale</t>
  </si>
  <si>
    <t>Pagata tutta febbraio 2023</t>
  </si>
  <si>
    <t>Erika</t>
  </si>
  <si>
    <t>Manara</t>
  </si>
  <si>
    <t>erika.manara@valmon.com</t>
  </si>
  <si>
    <t>Varisco</t>
  </si>
  <si>
    <t>carlo.varisco@valmon.com</t>
  </si>
  <si>
    <t>l.dorofatti@gmail.com</t>
  </si>
  <si>
    <t>366 494520</t>
  </si>
  <si>
    <t>dorofattidavide02@gmail.com</t>
  </si>
  <si>
    <t>Formentini</t>
  </si>
  <si>
    <t>formentini.fabio@gmail.com</t>
  </si>
  <si>
    <t>3467309686-3401567520</t>
  </si>
  <si>
    <t>METTERE BM GROUP POLYTEC SPA  NEL K-CHAIN</t>
  </si>
  <si>
    <t>Sales Engineering</t>
  </si>
  <si>
    <t>1099/MA-22</t>
  </si>
  <si>
    <t>Automazione Industriale</t>
  </si>
  <si>
    <t>BM Group polytec</t>
  </si>
  <si>
    <t>Fabricio</t>
  </si>
  <si>
    <t>Brignoli</t>
  </si>
  <si>
    <t xml:space="preserve">f.brignoli@gattifiltrazionilubrificanti.it </t>
  </si>
  <si>
    <t>324 9095995</t>
  </si>
  <si>
    <t>Fathy</t>
  </si>
  <si>
    <t>Neanaa</t>
  </si>
  <si>
    <t>Fathy.neana@gmail.com</t>
  </si>
  <si>
    <t>3776127189</t>
  </si>
  <si>
    <t>Ciambelle Digitali</t>
  </si>
  <si>
    <t>Zilioli</t>
  </si>
  <si>
    <t xml:space="preserve">fabio@nicoligroup.com </t>
  </si>
  <si>
    <t>Sales &amp; Customer</t>
  </si>
  <si>
    <t>1131/MA-22</t>
  </si>
  <si>
    <t>CONFERMATI 3 AD OTTOBRE E 1 A MAGGIO</t>
  </si>
  <si>
    <t>Trasporti e Logistica</t>
  </si>
  <si>
    <t>Nicoli Trasporti Spedizioni</t>
  </si>
  <si>
    <t>Sassi</t>
  </si>
  <si>
    <t>massimo.sassi@nicoligroup.com</t>
  </si>
  <si>
    <t>Salvatoni</t>
  </si>
  <si>
    <t>alberto.salvatoni@nicoligroup.com</t>
  </si>
  <si>
    <t>Ospite 3 Fausto Nicoli</t>
  </si>
  <si>
    <t>348-3911720</t>
  </si>
  <si>
    <t>Tomassetti</t>
  </si>
  <si>
    <t>f.tommy@inwind.it;ftomassetti2006@gmail.com;francesca.tomasetti@logisticsbeyondsustainability.it</t>
  </si>
  <si>
    <t>3494161004</t>
  </si>
  <si>
    <t>Senior Consultant, Business Development</t>
  </si>
  <si>
    <t>1101/MA-22</t>
  </si>
  <si>
    <t>ICT, Terzo Settore, PA Centrale</t>
  </si>
  <si>
    <t>Tomassetti Francesca</t>
  </si>
  <si>
    <t>Donsi</t>
  </si>
  <si>
    <t>donsi@dscom.it</t>
  </si>
  <si>
    <t>346 3089910</t>
  </si>
  <si>
    <t xml:space="preserve">Ds Comunicazione </t>
  </si>
  <si>
    <t>Rigo</t>
  </si>
  <si>
    <t>francesco.rigo@airsea.it</t>
  </si>
  <si>
    <t>+41766022370</t>
  </si>
  <si>
    <t>Guida</t>
  </si>
  <si>
    <t>giacomoguida68@gmail.com</t>
  </si>
  <si>
    <t>3358052259</t>
  </si>
  <si>
    <t>Contatto con Matteo e iscrizione in Stand By</t>
  </si>
  <si>
    <t>Strategic Business Advisor</t>
  </si>
  <si>
    <t>Guida Giacomo</t>
  </si>
  <si>
    <t>Giancarlo</t>
  </si>
  <si>
    <t>Curnis</t>
  </si>
  <si>
    <t>giancarlocurnis@gmail.com</t>
  </si>
  <si>
    <t>CONFERMA ENTRO IL 6/10/2022</t>
  </si>
  <si>
    <t>: Tutto (idea di startup nata all’ università: ingegneria uniBS);</t>
  </si>
  <si>
    <t>1097/MA-22</t>
  </si>
  <si>
    <t>ingegneria/ Stampa 3D</t>
  </si>
  <si>
    <t>3DClimber</t>
  </si>
  <si>
    <t>Gianluigi</t>
  </si>
  <si>
    <t>Rudoni</t>
  </si>
  <si>
    <t>rudoni@red-apple.it</t>
  </si>
  <si>
    <t>338 9825913</t>
  </si>
  <si>
    <t>1127/MA-22</t>
  </si>
  <si>
    <t>Komunica</t>
  </si>
  <si>
    <t>rossigiordano@hotmail.it</t>
  </si>
  <si>
    <t>3356601558</t>
  </si>
  <si>
    <t>1092/MA-22</t>
  </si>
  <si>
    <t>Building Automation - efficientamento energetico</t>
  </si>
  <si>
    <t>Elettrone</t>
  </si>
  <si>
    <t>Cretella</t>
  </si>
  <si>
    <t>amministrazione@italsample.it</t>
  </si>
  <si>
    <t>3515449973</t>
  </si>
  <si>
    <t>1175/MA-22</t>
  </si>
  <si>
    <t>Campionari</t>
  </si>
  <si>
    <t>Italsample</t>
  </si>
  <si>
    <t>Fracchetti</t>
  </si>
  <si>
    <t>giulia_fracchetti24@hotmail.it/giulia.fracchetti@panificiomoderno.net</t>
  </si>
  <si>
    <t>Da CONFERMARE, sentono con il titolare Matteo</t>
  </si>
  <si>
    <t>Panificio Moderno</t>
  </si>
  <si>
    <t>348 5922824</t>
  </si>
  <si>
    <t>sales account</t>
  </si>
  <si>
    <t>Giulia Magnani</t>
  </si>
  <si>
    <t>1091/MA-22</t>
  </si>
  <si>
    <t>Estetica</t>
  </si>
  <si>
    <t>Pischedda</t>
  </si>
  <si>
    <t>gpischedda@leyton.com</t>
  </si>
  <si>
    <t>BUSINNES DEVELOPPER</t>
  </si>
  <si>
    <t>1105/MA-22</t>
  </si>
  <si>
    <t>Consulenza e Agevolazioni Fiscali</t>
  </si>
  <si>
    <t>Leyton Italia</t>
  </si>
  <si>
    <t>Ana Marina</t>
  </si>
  <si>
    <t>Lozica</t>
  </si>
  <si>
    <t>ana.lozica@antincendiorsm.com</t>
  </si>
  <si>
    <t>1169/MA-22</t>
  </si>
  <si>
    <t>Antincendio e Sicurezza</t>
  </si>
  <si>
    <t>Ospite 1 Iader Tosi</t>
  </si>
  <si>
    <t>Ospite 2 Iader Tosi</t>
  </si>
  <si>
    <t>Ospite 4 Iader Tosi</t>
  </si>
  <si>
    <t>Ospite 5 Iader Tosi</t>
  </si>
  <si>
    <t>Ospite 6 Iader Tosi</t>
  </si>
  <si>
    <t>Ariadna</t>
  </si>
  <si>
    <t>Dahnovici</t>
  </si>
  <si>
    <t>ariadna.dahnovici@wyblo.com</t>
  </si>
  <si>
    <t>340 88 55 648</t>
  </si>
  <si>
    <t>Paga gennaio</t>
  </si>
  <si>
    <t>cofunder CEO</t>
  </si>
  <si>
    <t>Wyblo</t>
  </si>
  <si>
    <t>cel italiano + 39 348 9005424  / cel tedesco + 49 173 4683869</t>
  </si>
  <si>
    <t>Deve pagare SOLO 2997 senza IVA, in quanto p.iva svizzera</t>
  </si>
  <si>
    <t>1125/MA-22</t>
  </si>
  <si>
    <t>Laura Tumiati</t>
  </si>
  <si>
    <t>Linda</t>
  </si>
  <si>
    <t>l.russo@alzarating.com</t>
  </si>
  <si>
    <t>Matteo proposto blocco prezzo con 200 euro di Acconto come Davide Spitale</t>
  </si>
  <si>
    <t>Direttrice Vendita</t>
  </si>
  <si>
    <t>Alzaration</t>
  </si>
  <si>
    <t>Luca Orlando</t>
  </si>
  <si>
    <t>Calandra</t>
  </si>
  <si>
    <t>l.calandra@proiettisoluzioni.it</t>
  </si>
  <si>
    <t>3482544285</t>
  </si>
  <si>
    <t>Sales Director</t>
  </si>
  <si>
    <t>1111/MA-22</t>
  </si>
  <si>
    <t>Servizi informatici, software e hardware per la rilevazione delle presenze e controllo degli accessi, telefonia e citofonia IP . Geolocalizzazione Indoor , armadietti intelligenti</t>
  </si>
  <si>
    <t>Proietti Soluzioni</t>
  </si>
  <si>
    <t>Ospite 1 Manuele Carra</t>
  </si>
  <si>
    <t>Ospite 2 Manuele Carra</t>
  </si>
  <si>
    <t>Lanza</t>
  </si>
  <si>
    <t>marcello.lanza@mywic.it</t>
  </si>
  <si>
    <t>3423451206</t>
  </si>
  <si>
    <t>Account Manager - Indirect Sales Channel</t>
  </si>
  <si>
    <t>1106/MA-22</t>
  </si>
  <si>
    <t>Techco / Energia / Informatica</t>
  </si>
  <si>
    <t>Videosuono</t>
  </si>
  <si>
    <t>Marika</t>
  </si>
  <si>
    <t>Bianconcini</t>
  </si>
  <si>
    <t>bianconcini@romagnaimpianti.com</t>
  </si>
  <si>
    <t>Conferma presenza, invio fattura per pagamento a Romagna Impianti</t>
  </si>
  <si>
    <t>Tecnico Commerciale - Area BO-MO-RE</t>
  </si>
  <si>
    <t>1109/MA-22 - NC 1128/MA-22 - 1129/MA-22</t>
  </si>
  <si>
    <t>Agricoltura</t>
  </si>
  <si>
    <t>Romagna Impianti</t>
  </si>
  <si>
    <t xml:space="preserve">Cavalieri </t>
  </si>
  <si>
    <t>matteo.cavalieri@gmail.com</t>
  </si>
  <si>
    <t>338 611 0527 - 3409111000</t>
  </si>
  <si>
    <t>In sala a VS ha detto che non c'era a Negoziazione</t>
  </si>
  <si>
    <t>consulente</t>
  </si>
  <si>
    <t>1095/MA-22</t>
  </si>
  <si>
    <t>Relatech</t>
  </si>
  <si>
    <t>pro.fighting@libero.it</t>
  </si>
  <si>
    <t>Head coach , D.T e Presidente</t>
  </si>
  <si>
    <t>1132/MA-22</t>
  </si>
  <si>
    <t>Sport da combattimento / Personal Trainer</t>
  </si>
  <si>
    <t>Pro-Fighting Imola a.s.d.</t>
  </si>
  <si>
    <t xml:space="preserve">Matteo </t>
  </si>
  <si>
    <t>3771850212</t>
  </si>
  <si>
    <t>Boscolo</t>
  </si>
  <si>
    <t>mauro.boscolo@itcoregroup.com</t>
  </si>
  <si>
    <t>3493665546 - 3474310396</t>
  </si>
  <si>
    <t>1103/MA-22</t>
  </si>
  <si>
    <t>Itcore Business Group</t>
  </si>
  <si>
    <t>Melania</t>
  </si>
  <si>
    <t>mbersani@leyton.com</t>
  </si>
  <si>
    <t>1107/MA-22</t>
  </si>
  <si>
    <t>Finanza Agevolata</t>
  </si>
  <si>
    <t xml:space="preserve">Michela </t>
  </si>
  <si>
    <t>Lentini</t>
  </si>
  <si>
    <t>michela.lentini@cortislentini.it</t>
  </si>
  <si>
    <t>3470648361</t>
  </si>
  <si>
    <t>1087/MA-22</t>
  </si>
  <si>
    <t>Cortis Lentini</t>
  </si>
  <si>
    <t>349 646 6497</t>
  </si>
  <si>
    <t>Kingruit</t>
  </si>
  <si>
    <t>Monica Rita</t>
  </si>
  <si>
    <t>Scaravelli</t>
  </si>
  <si>
    <t>mscaravelli23@gmail.com; mscaravelli@notariato.it</t>
  </si>
  <si>
    <t>335444702</t>
  </si>
  <si>
    <t>Notaio</t>
  </si>
  <si>
    <t>1070/MA-22 - 1196/MA-22</t>
  </si>
  <si>
    <t>Monica Rita Scaravelli</t>
  </si>
  <si>
    <t>Nicolas</t>
  </si>
  <si>
    <t>Garosio</t>
  </si>
  <si>
    <t>garosio@dscom.it</t>
  </si>
  <si>
    <t>379 2946435</t>
  </si>
  <si>
    <t>RESPONSABILE COMMERCIALE</t>
  </si>
  <si>
    <t>Utzeri</t>
  </si>
  <si>
    <t>nicoletta.utzeri@itinerascuolaonline.it</t>
  </si>
  <si>
    <t>1110/MA-22</t>
  </si>
  <si>
    <t>Istruzione</t>
  </si>
  <si>
    <t>Mi.lani Group  e U.nico</t>
  </si>
  <si>
    <t>Onofrio</t>
  </si>
  <si>
    <t>Fasciano</t>
  </si>
  <si>
    <t>o.fasciano@gmail.com</t>
  </si>
  <si>
    <t>3406706448</t>
  </si>
  <si>
    <t>VIENE SOLO LUI, NO ANCHE IL SUO SOCIO</t>
  </si>
  <si>
    <t>1146/MA-22</t>
  </si>
  <si>
    <t>Bluvalue</t>
  </si>
  <si>
    <t>Zanardi</t>
  </si>
  <si>
    <t>paola.zanardi@galimbertiweb.it</t>
  </si>
  <si>
    <t>Mail conferma del 7 ottobre. Chiuso Marco</t>
  </si>
  <si>
    <t>CONSULENTE COMMERCIALE</t>
  </si>
  <si>
    <t>1158/MA-22</t>
  </si>
  <si>
    <t>Galimberti</t>
  </si>
  <si>
    <t>mattia.galimberti@galimbertiweb.it</t>
  </si>
  <si>
    <t>Abrami</t>
  </si>
  <si>
    <t xml:space="preserve">p.abrami@forsic.it </t>
  </si>
  <si>
    <t>la giornata di assenza per il dott. Abrami è quella di domenica 06/11</t>
  </si>
  <si>
    <t>1114MA-22</t>
  </si>
  <si>
    <t>Consulenza e Formazione Aziendale / Sicurezza sul lavoro e Certificazioni Qualità</t>
  </si>
  <si>
    <t>Forsic</t>
  </si>
  <si>
    <t>Sangalli</t>
  </si>
  <si>
    <t>m.sangalli@forsic.it</t>
  </si>
  <si>
    <t>Consulente Commerciale</t>
  </si>
  <si>
    <t>Morlotti</t>
  </si>
  <si>
    <t>paolo.morlotti@cortislentini.it</t>
  </si>
  <si>
    <t>3356090328</t>
  </si>
  <si>
    <t>CONSIGLIERE</t>
  </si>
  <si>
    <t>Capella</t>
  </si>
  <si>
    <t>info.dentalgemini@gmail.com</t>
  </si>
  <si>
    <t>mail del 30/9/22: posibilità di pagare in 4 rate: entro il 20 ottobre, 20 novembre- 20 dicembre e 20 gennaio</t>
  </si>
  <si>
    <t>Odontotecnico</t>
  </si>
  <si>
    <t>1198/MA-22 - 1316/MA-22</t>
  </si>
  <si>
    <t>Pagata tutta a gennaio 2023</t>
  </si>
  <si>
    <t>Sanitario</t>
  </si>
  <si>
    <t>Dental Gemini</t>
  </si>
  <si>
    <t>Maggioni</t>
  </si>
  <si>
    <t>dental.gemini@libero.it</t>
  </si>
  <si>
    <t>Rosaria (Sara)</t>
  </si>
  <si>
    <t>Lo Destro</t>
  </si>
  <si>
    <t>dolcevitastay@gmail.com</t>
  </si>
  <si>
    <t>Consulenza Immobiliare / Affitti Brevi</t>
  </si>
  <si>
    <t>DOLCE VITA STAY</t>
  </si>
  <si>
    <t>Portioli</t>
  </si>
  <si>
    <t>seresole@yahoo.it</t>
  </si>
  <si>
    <t>349 7449617</t>
  </si>
  <si>
    <t>sales area manager - Europe</t>
  </si>
  <si>
    <t>1089/MA-22</t>
  </si>
  <si>
    <t>Lavorazione Materie Plastiche</t>
  </si>
  <si>
    <t>Pibi Plast</t>
  </si>
  <si>
    <t>Mutinelli</t>
  </si>
  <si>
    <t>simone.mutinelli@panificiomoderno.net</t>
  </si>
  <si>
    <t>371 456 4990</t>
  </si>
  <si>
    <t>Ospite 2 Stefano Andretta</t>
  </si>
  <si>
    <t>Bortolotto</t>
  </si>
  <si>
    <t>bortolotto25@gmail.com</t>
  </si>
  <si>
    <t>Gestita da Acca</t>
  </si>
  <si>
    <t>impiegata</t>
  </si>
  <si>
    <t>DTS 2.0</t>
  </si>
  <si>
    <t>Da Tos</t>
  </si>
  <si>
    <t>Studio di Architettura</t>
  </si>
  <si>
    <t>VALE HOME DESIGN</t>
  </si>
  <si>
    <t>3471608246</t>
  </si>
  <si>
    <t>RSPP ESTERNO, DOCENTE FORMATORE, CONSULENTE SICUREZZA SUL LAVORO</t>
  </si>
  <si>
    <t>Giulia Annisa</t>
  </si>
  <si>
    <t>Schira</t>
  </si>
  <si>
    <t>grafichewebart@gmail.com</t>
  </si>
  <si>
    <t>480/MA-19 - 532/MA-19</t>
  </si>
  <si>
    <t>Pedron</t>
  </si>
  <si>
    <t>info@imetsolutions.it</t>
  </si>
  <si>
    <t>Tecnico commerciale</t>
  </si>
  <si>
    <t>Sistemi telefonici, wholsale voce e dati, sistemi antintrusione e videosorveglianza</t>
  </si>
  <si>
    <t>IMET SOLUTIONS S.R.L.</t>
  </si>
  <si>
    <t>859/MA-21</t>
  </si>
  <si>
    <t>Imet Solutions srl</t>
  </si>
  <si>
    <t>Ancilla</t>
  </si>
  <si>
    <t>Bezzi</t>
  </si>
  <si>
    <t>a.bezzi@scillameccanica.it</t>
  </si>
  <si>
    <t>Scilla Meccanica</t>
  </si>
  <si>
    <t>d.ferrari@switchup.it</t>
  </si>
  <si>
    <t>Molinari</t>
  </si>
  <si>
    <t>cristian.molinari@maw.it</t>
  </si>
  <si>
    <t>invitato gratuitamente a N da Pacci</t>
  </si>
  <si>
    <t>Gamberi</t>
  </si>
  <si>
    <t>cesare.gamberii@wyblo.com</t>
  </si>
  <si>
    <t>Paga gennaio - Entra al posto di Ariadna in accordo con Matteo</t>
  </si>
  <si>
    <t>fatturazione e pagamento anno 2023 - p/to in 12 rate????? (Matte)</t>
  </si>
  <si>
    <t>Nicoleta</t>
  </si>
  <si>
    <t>Bulboaca</t>
  </si>
  <si>
    <t>Pagata tutta a febbraio 2023</t>
  </si>
  <si>
    <t>Sedocco</t>
  </si>
  <si>
    <t>nicoletta.sedocco@gmail.com</t>
  </si>
  <si>
    <t>Centro Fisioterapico</t>
  </si>
  <si>
    <t>Centro Fisioterapico San Lorenzo</t>
  </si>
  <si>
    <t>Perin</t>
  </si>
  <si>
    <t>perinmirco61@gmail.com</t>
  </si>
  <si>
    <t>Tasso</t>
  </si>
  <si>
    <t>antonio.tasso@linkfloyd.ch</t>
  </si>
  <si>
    <t>LINKFLOYD</t>
  </si>
  <si>
    <t>Digital Marketing e Comunicazione</t>
  </si>
  <si>
    <t>Linkfloyd</t>
  </si>
  <si>
    <t>Claudia</t>
  </si>
  <si>
    <t>claudia.marchi@airsea.it</t>
  </si>
  <si>
    <t>Company Owner</t>
  </si>
  <si>
    <t>380 6408801</t>
  </si>
  <si>
    <t>375 7966220</t>
  </si>
  <si>
    <t>Sarà presente solo venerdì 4 novembre</t>
  </si>
  <si>
    <t>DUPLEX</t>
  </si>
  <si>
    <t>Duplex</t>
  </si>
  <si>
    <t>p.sabatino@emamotorsport.com</t>
  </si>
  <si>
    <t>Software Applications for Hospitality and Retail</t>
  </si>
  <si>
    <t>Lasersoft</t>
  </si>
  <si>
    <t>Risso</t>
  </si>
  <si>
    <t>lorenzorisso@me.com</t>
  </si>
  <si>
    <t>Lorenzo risso</t>
  </si>
  <si>
    <t>Bosco</t>
  </si>
  <si>
    <t>diego.bosco@italbiotec.it</t>
  </si>
  <si>
    <t>Consorzio Italbiotec</t>
  </si>
  <si>
    <t>Re</t>
  </si>
  <si>
    <t>ilaria.re@italbiotec.it</t>
  </si>
  <si>
    <t>Gaudenzi</t>
  </si>
  <si>
    <t>nikogaudenzi@gmail.com</t>
  </si>
  <si>
    <t>Marketing per la ristorazione</t>
  </si>
  <si>
    <t>ENTERPRISE di Gaudenzi Nicolò</t>
  </si>
  <si>
    <t>348/MA-22</t>
  </si>
  <si>
    <t>Enterprise</t>
  </si>
  <si>
    <t>RCS TECNOIMPIANTI</t>
  </si>
  <si>
    <t>Rcs Tecnoimpianti</t>
  </si>
  <si>
    <t>cesare@rcstecnoimpianti.it</t>
  </si>
  <si>
    <t>Pantani Group</t>
  </si>
  <si>
    <t xml:space="preserve">Pacci </t>
  </si>
  <si>
    <t>Marco.Sciarratta@dataconnect.it</t>
  </si>
  <si>
    <t>Solo Sabato e Domenica</t>
  </si>
  <si>
    <t>Data Connect</t>
  </si>
  <si>
    <t>roberta.proni@italsample.it</t>
  </si>
  <si>
    <t>Maura</t>
  </si>
  <si>
    <t>Minguzzi</t>
  </si>
  <si>
    <t>maura@slownet.it</t>
  </si>
  <si>
    <t>Commerciale in Outsoursing</t>
  </si>
  <si>
    <t>Commerciale in Outsourcing</t>
  </si>
  <si>
    <t>andrea.cabiati@techstyle.it</t>
  </si>
  <si>
    <t>NON PARTECIPA LA DOMENICA 6 nov 22</t>
  </si>
  <si>
    <t>Tech Style</t>
  </si>
  <si>
    <t>passg@live.it</t>
  </si>
  <si>
    <t>Ottorino</t>
  </si>
  <si>
    <t>Pellini</t>
  </si>
  <si>
    <t>vito@tecnowood.info</t>
  </si>
  <si>
    <t>Per Negoziazione forse passa domenica a salutare con Lino</t>
  </si>
  <si>
    <t xml:space="preserve">03339880985 </t>
  </si>
  <si>
    <t>Via Monico, 9, 25017 Lonato BS</t>
  </si>
  <si>
    <t>Tecnowood</t>
  </si>
  <si>
    <t>Orsucci</t>
  </si>
  <si>
    <t>orsucci.laura@gmail.com</t>
  </si>
  <si>
    <t>Laura Orsucci</t>
  </si>
  <si>
    <t>Pozzi</t>
  </si>
  <si>
    <t>m.pozzi70@gmail.com</t>
  </si>
  <si>
    <t>Massimo Pozzi</t>
  </si>
  <si>
    <t>VS - Presente venerdì pomeriggio e Sabato</t>
  </si>
  <si>
    <t>Michele Mezzi</t>
  </si>
  <si>
    <t>Saroni</t>
  </si>
  <si>
    <t>eleonora.saroni@icona.it</t>
  </si>
  <si>
    <t>paolo.rossi@icona.it</t>
  </si>
  <si>
    <t>De Tommaso</t>
  </si>
  <si>
    <t>m.detommaso@digitalkpi.it</t>
  </si>
  <si>
    <t>Eureweb srl</t>
  </si>
  <si>
    <t>Marchetti</t>
  </si>
  <si>
    <t>d.marchetti@algorubber.it</t>
  </si>
  <si>
    <t>Articoli e guarnizioni in gomma</t>
  </si>
  <si>
    <t>Algo</t>
  </si>
  <si>
    <t>Lorena</t>
  </si>
  <si>
    <t>Zandonà</t>
  </si>
  <si>
    <t>l.zandona@algorubber.it</t>
  </si>
  <si>
    <t>Morelli</t>
  </si>
  <si>
    <t>walterino69@libero.it</t>
  </si>
  <si>
    <t>Morelli Walter</t>
  </si>
  <si>
    <t>Tomasini</t>
  </si>
  <si>
    <t>a.tomasini@sosnet.eu</t>
  </si>
  <si>
    <t>00783080328</t>
  </si>
  <si>
    <t>S.O.S. INFORMATICA</t>
  </si>
  <si>
    <t>Via Pietro Querini, 6, 34147 Trieste TS</t>
  </si>
  <si>
    <t>HA CONFERMATO CHE FA TUTTO IL MODULO ESTIVO 2022</t>
  </si>
  <si>
    <t>Cartellino MiV (Paolo Bovo)</t>
  </si>
  <si>
    <t>Information Technology</t>
  </si>
  <si>
    <t>Sos Informatica</t>
  </si>
  <si>
    <t>ssardena@tonucci.com</t>
  </si>
  <si>
    <t>Tonucci &amp; Partners</t>
  </si>
  <si>
    <t>Marco Regazzo</t>
  </si>
  <si>
    <t>Lara Esposito</t>
  </si>
  <si>
    <t>Tanzi</t>
  </si>
  <si>
    <t>dr.tanzi@yahoo.it</t>
  </si>
  <si>
    <t>CHSNTA42T621G337Q</t>
  </si>
  <si>
    <t>00249200346</t>
  </si>
  <si>
    <t>CHIESI ANITA FARMACIA NAZIONALE</t>
  </si>
  <si>
    <t>P.LE V. EMANUELE II, 19 - 43121 PARMA PR</t>
  </si>
  <si>
    <t>06501@pec.federfarma.it</t>
  </si>
  <si>
    <t>Moccia</t>
  </si>
  <si>
    <t>g.moccia@technobuild.it</t>
  </si>
  <si>
    <t>CONSORZIO TECHNOBUILD &amp; SERVICE</t>
  </si>
  <si>
    <t>A Luglio 22 deve attivare il Sales Bootcamp</t>
  </si>
  <si>
    <t>Consorzio Technobuild</t>
  </si>
  <si>
    <t>Guttilla</t>
  </si>
  <si>
    <t>a.guttilla@technobuild.it</t>
  </si>
  <si>
    <t>simone@045web.it</t>
  </si>
  <si>
    <t>347 9014684</t>
  </si>
  <si>
    <t>04073350235</t>
  </si>
  <si>
    <t>045 Web Snc</t>
  </si>
  <si>
    <t>Via Del Partigiano 4 37053 Cerea VR</t>
  </si>
  <si>
    <t>Broglia</t>
  </si>
  <si>
    <t>simofisiosport33@gmail.com</t>
  </si>
  <si>
    <t>nel CE Miv 22 Fatturati al momento 327,87 rif. alla ft. 806/MA del 20/10/2020 ma nell'imponibile segnato 3497,00 come Primavera 2021 - iscrizione per lui e Caterina Freddi</t>
  </si>
  <si>
    <t>806/MA-20</t>
  </si>
  <si>
    <t>Freddi</t>
  </si>
  <si>
    <t>NON PRESENTE NEL CE MiV 22 ma suo importo acconto fatturato a Simone Broglia ft. 806/MA DEL 20/10/2020</t>
  </si>
  <si>
    <t>nel CE Miv 22 sono imputati 2997+iva rif. alla ft. 491/ma del 31/10/19 segnato come Autunno 2000</t>
  </si>
  <si>
    <t>HA FATTO SOLO 1 MODULO</t>
  </si>
  <si>
    <t>Ketty</t>
  </si>
  <si>
    <t>Quabba</t>
  </si>
  <si>
    <t>(L) FREQUENTANTI Live perché nel 2020 fatto On-Line</t>
  </si>
  <si>
    <t>(P) DA PAGARE</t>
  </si>
  <si>
    <t>(C) DA CONFERMARE</t>
  </si>
  <si>
    <t>(CL) Frequentanti Live che devono ancora CONFERMARE</t>
  </si>
  <si>
    <t>(CR) Rifrequentanti che devono ancora CONFERMARE</t>
  </si>
  <si>
    <t>(D) Dato disdetta</t>
  </si>
  <si>
    <t>(CF) Deve Confermare la Frequenza</t>
  </si>
  <si>
    <t>Erika Morri</t>
  </si>
  <si>
    <t>Alberto Stillo</t>
  </si>
  <si>
    <t>Daniele Turetti</t>
  </si>
  <si>
    <t>Silvia Pegoraro</t>
  </si>
  <si>
    <t>MIchele Borin</t>
  </si>
  <si>
    <t>BNI Faenza</t>
  </si>
  <si>
    <t>Serge Rota</t>
  </si>
  <si>
    <t>Beatrice Brighenti</t>
  </si>
  <si>
    <t>Calvanese</t>
  </si>
  <si>
    <t>calvanese.sara@gmail.com</t>
  </si>
  <si>
    <t>CALVANESE SARA</t>
  </si>
  <si>
    <t>Sara Calvanese</t>
  </si>
  <si>
    <t>Marco Cremaschini</t>
  </si>
  <si>
    <t>Enrico Martini</t>
  </si>
  <si>
    <t>Margherita Drigo</t>
  </si>
  <si>
    <t>Aquilanti</t>
  </si>
  <si>
    <t>alessandro.aquilanti@funnelcompany.com</t>
  </si>
  <si>
    <t>Norman</t>
  </si>
  <si>
    <t>Cescut</t>
  </si>
  <si>
    <t>norman@desita.it</t>
  </si>
  <si>
    <t>CHIESTO RIMBORSO QUOTA</t>
  </si>
  <si>
    <t>DESITA S.R.L.</t>
  </si>
  <si>
    <t>426/MA-22 + Nc 1213/MA-22</t>
  </si>
  <si>
    <t>Desita</t>
  </si>
  <si>
    <t>ACCORDO CON CIRO PERSIANO</t>
  </si>
  <si>
    <t>2020 NON partecipato e nessuna risposta mail. Da risentire. Accordo era Primavera 2021. E' inserito nel CE 22 con indicazione Primavera 2021 per € 163,93</t>
  </si>
  <si>
    <t>Strazzacapa</t>
  </si>
  <si>
    <t>filippo@funnelcompany.com</t>
  </si>
  <si>
    <t>Nuovi iscritti estate 22, fuori da VB2B</t>
  </si>
  <si>
    <t>Iscritti da Tour mar 22</t>
  </si>
  <si>
    <t>Disdetta</t>
  </si>
  <si>
    <t>Trattativa in Corso</t>
  </si>
  <si>
    <t>Promessa pagamento</t>
  </si>
  <si>
    <t>Verificare la partecipazione</t>
  </si>
  <si>
    <t>per Negoziazione CF e CR e sfondo “arancio chiaro” è perché gli ho scritto di dare conferma che ci saranno.</t>
  </si>
  <si>
    <t>21-22-23 ottobre, 4-5-6 novembre, 2-3-4 dicembre</t>
  </si>
  <si>
    <t>Lazise (VR)</t>
  </si>
  <si>
    <t>MT</t>
  </si>
  <si>
    <t>ottobre</t>
  </si>
  <si>
    <t>novembre</t>
  </si>
  <si>
    <t>dicembre</t>
  </si>
  <si>
    <t>Rimborsi Gianluca Bandini</t>
  </si>
  <si>
    <t>Rimborsi Bruno Galli</t>
  </si>
  <si>
    <t>Fattura cena giovedì</t>
  </si>
  <si>
    <t>FT. 1796 I acconto + FT 1849 II acconto + FT 2097/A saldo</t>
  </si>
  <si>
    <t>Affitto sala 6.791,80 + Tecnico 1.230,00 + pernottamenti 3.441,82 + pasti 2.362,73 + acqua 42,27 + Tds 106,50</t>
  </si>
  <si>
    <t>FT. 239 DEL 28/10/2022 Audioluci</t>
  </si>
  <si>
    <t>FT. 255 del 28/10/2022 Podetta</t>
  </si>
  <si>
    <t xml:space="preserve">FT. IT0498112 del 07/3/2022 National Pen - FT. Stabilo di set 22 </t>
  </si>
  <si>
    <t>Imputate 600 penne + 600 matite per tutto il MiV</t>
  </si>
  <si>
    <t>FT 271 DEL 05/10/200 - 200 PZ (beauty)</t>
  </si>
  <si>
    <t>Imputati solo 142 pezzi</t>
  </si>
  <si>
    <t>FT. 3806 del 31/10/2022 Punto Service</t>
  </si>
  <si>
    <t>FT 631 DEL 13/09/2022 - 750 PZ</t>
  </si>
  <si>
    <t>Imputati solo 450 pezzi (160+180+160)</t>
  </si>
  <si>
    <t>FT. 1807 DEL 05/11/2022 - Move Up</t>
  </si>
  <si>
    <t>Pedaggio 2,90 andata</t>
  </si>
  <si>
    <t>Pedaggio 2,90 ritorno + Carburante 17,09</t>
  </si>
  <si>
    <t>FT Seiduesei</t>
  </si>
  <si>
    <t>110 pz per tutto il MiV</t>
  </si>
  <si>
    <t>Fattura cena giovedì + cena domenica</t>
  </si>
  <si>
    <t>snack vari e salviette igienizzanti</t>
  </si>
  <si>
    <t>FT. 1850A del 13/10/22 I acconto + FT 2379/A saldo</t>
  </si>
  <si>
    <t xml:space="preserve">Affitto sala 6.950€ + Tecnico 1.230€ + pernottamenti 3.422,91 + pasti 2.488,18 + acqua 0 </t>
  </si>
  <si>
    <t>FT. 251 DEL 07/11/2022 Audioluci</t>
  </si>
  <si>
    <t>FT. 4257 DEL 30/11/2022 Punto Service</t>
  </si>
  <si>
    <t>FT 279 DEL 19/11/2022 TIP. PODETTA</t>
  </si>
  <si>
    <t>FT. 3388 del 27/10/22 Bocchio</t>
  </si>
  <si>
    <t>150 Penne rosse+ 150 verdi+ nastro rosso+ scotch</t>
  </si>
  <si>
    <t>FT 271 DEL 05/10/2022 - 200 PZ (sacca)</t>
  </si>
  <si>
    <t>Imputati solo 152 pezzi</t>
  </si>
  <si>
    <t>FT. 1906 DEL 19/11/2022 Move Up</t>
  </si>
  <si>
    <t>Pedaggio A/R 2,90€ x 2 + rifornimento 18,15€</t>
  </si>
  <si>
    <t>Fattura cena domenica Sushi</t>
  </si>
  <si>
    <t>Fattura cena allestimento Gallehus</t>
  </si>
  <si>
    <t>2 Lavagne in sughero</t>
  </si>
  <si>
    <t>Fatt. Tipografia Elc</t>
  </si>
  <si>
    <t>nastro raso rosso</t>
  </si>
  <si>
    <t>FT. 1851/A DEL 13/10/22 acconto + FT 2485/A DEL 23/11/22 II acconto + FT 2650/A del 13/12/22 saldo</t>
  </si>
  <si>
    <t>Affitto sala 4.700€ + Tecnico 895€ + pernottamenti con tds 2.203€ + pasti 1.442,73€ + acqua  36,36€</t>
  </si>
  <si>
    <t>Aperitivo di Natale</t>
  </si>
  <si>
    <t>FT. 662 del 2/12/2022 GinPiero  + FT 2650/A del 13/12/22 HPDG</t>
  </si>
  <si>
    <t>Bere HPDG 590,91€ + Panettoni vari (Panificio Moderno Regalati + Gin Piero 175€)</t>
  </si>
  <si>
    <t>FT 271 DEL 12/12/2022 Audioluci</t>
  </si>
  <si>
    <t>FT 4694 DEL 31/12/2022 Puntoservice</t>
  </si>
  <si>
    <t>ft 309 DEL 19/12/2022 Tipografia Podetta</t>
  </si>
  <si>
    <t>FT 271 DEL 05/10/2022 - 200 PZ (zaino)</t>
  </si>
  <si>
    <t>Pedaggio A/R 2,90€ x 2 + rifornimento 20€</t>
  </si>
  <si>
    <t xml:space="preserve">FT. 2135 del 06/12/2022 MOVE UP </t>
  </si>
  <si>
    <t>20-21-22 maggio, 17-18-19 giugno, 2-3 luglio + 15-16-17 luglio (SA)</t>
  </si>
  <si>
    <t>maggio</t>
  </si>
  <si>
    <t>Emilia Bifano</t>
  </si>
  <si>
    <t>giugno</t>
  </si>
  <si>
    <t>luglio</t>
  </si>
  <si>
    <t>Cristina Florina Stamate</t>
  </si>
  <si>
    <t xml:space="preserve">Rimborsi Barbara Prati </t>
  </si>
  <si>
    <t xml:space="preserve">Rimborsi Bruno Faustino Galli </t>
  </si>
  <si>
    <t xml:space="preserve">Rimborsi Claudia Di Benedetto </t>
  </si>
  <si>
    <t xml:space="preserve">Rimborsi Cristian Acampora </t>
  </si>
  <si>
    <t xml:space="preserve">Rimborsi Cristian Benzoni </t>
  </si>
  <si>
    <t xml:space="preserve">Rimborsi Daniela Romano </t>
  </si>
  <si>
    <t xml:space="preserve">Rimborsi Daniele Zorzoli </t>
  </si>
  <si>
    <t xml:space="preserve">Rimborsi Davide Bianco Momesso </t>
  </si>
  <si>
    <t>Rimborsi Denis Caruso</t>
  </si>
  <si>
    <t>Rimborsi Emilia Bifano</t>
  </si>
  <si>
    <t xml:space="preserve">Rimborsi Fabio Cutrera </t>
  </si>
  <si>
    <t xml:space="preserve">Rimborsi Gianluca Bandini </t>
  </si>
  <si>
    <t xml:space="preserve">Rimborsi Giorgia Girelli </t>
  </si>
  <si>
    <t xml:space="preserve">Rimborsi Katiuscia Bertoni </t>
  </si>
  <si>
    <t>€ -</t>
  </si>
  <si>
    <t>pranzo staff giovedì</t>
  </si>
  <si>
    <t xml:space="preserve">Rimborsi Marco Vittiglio </t>
  </si>
  <si>
    <t>Rimborsi Matteo Limenta</t>
  </si>
  <si>
    <t xml:space="preserve">Rimborsi Raffaella Andrello </t>
  </si>
  <si>
    <t>km + nastro adesivo 11,04€</t>
  </si>
  <si>
    <t>Rimborsi Riccardo Milesi</t>
  </si>
  <si>
    <t xml:space="preserve">Rimborsi Roberto Perosa </t>
  </si>
  <si>
    <t>Rimborsi Simone Vignola</t>
  </si>
  <si>
    <t xml:space="preserve">Rimborsi Stefano Vallerini Galan </t>
  </si>
  <si>
    <t xml:space="preserve">Rimborsi Valentina Ullo </t>
  </si>
  <si>
    <t>Fattura cena + scontrino</t>
  </si>
  <si>
    <t>FT. 424/A del 03/05/2022 I acconto - FT 557/A del 23/05/2022 (saldo)</t>
  </si>
  <si>
    <t>Affitto sala 6.650+ Tecnico 1.270 + pernottamenti 3.894,55 + pasti 2.646,43</t>
  </si>
  <si>
    <t>FT. 84 DEL 25/05/2022 Audioluci</t>
  </si>
  <si>
    <t>Fattura n. 122 del 25/05/2022 Podetta</t>
  </si>
  <si>
    <t>FT. IT0498112 del 07/3/2022 National Pen- 2000 penne ordinate - considerate 600 penne, per tutto il MiV</t>
  </si>
  <si>
    <t>Gadget Legami</t>
  </si>
  <si>
    <t>FT FI22000158 del 16/05/2022 - 180 Porta biglietti da visita, consegnati 115 pezzi</t>
  </si>
  <si>
    <t>FT. 1778 DEL 31/05/2022 Punto Service</t>
  </si>
  <si>
    <t>FT 388 del 23/05/2022 - Riassortite 380 moleskine, perchè 200 già a magazzino, consegnate 140</t>
  </si>
  <si>
    <t>Noleggio furgone + carburante/pedaggi</t>
  </si>
  <si>
    <t>FT. 763 DEL 06/06/2022 Move Up</t>
  </si>
  <si>
    <t>Pedaggio 2,90x2 + Carburante 11,06, anticipati da Davide</t>
  </si>
  <si>
    <t>Rimborsi km + Cena domenica</t>
  </si>
  <si>
    <t>Rimborsi km + Cena allestimento</t>
  </si>
  <si>
    <t>pranzo allestimento</t>
  </si>
  <si>
    <t>FT. 587/A DEL 31/05/2022 (1°acconto) € 7537,64 + FT.1036/A DEL 15/07/2022 (Saldo) HOTEL PARCHI DEL GARDA</t>
  </si>
  <si>
    <t>totale ivato 15.875,70 - detratti, pernottamenti+pasti Michela, rimborsati da Bruno (211,36 € pernottamento n° 3 notti, 62,73 € n° 3 pasti)</t>
  </si>
  <si>
    <t>FT. 109 DEL 21/06/2022 Audioluci</t>
  </si>
  <si>
    <t>FT. 2307 DEL 30/06/2022 Punto Service</t>
  </si>
  <si>
    <t>FT 388 del 23/05/2022 - Riassortite 380 moleskine, perchè 200 già a magazzino, ipotizzate 115</t>
  </si>
  <si>
    <t>FT 146 DEL 22/06/2022 TIP. PODETTA</t>
  </si>
  <si>
    <t>Cancelleria (rimborsata a Davide)</t>
  </si>
  <si>
    <t>Penne rosse+verdi+puntatrice+pennarelli+nastro rosso</t>
  </si>
  <si>
    <t>T-shirt frasi Bruno, Pacci e Cri - tot. 31 pz</t>
  </si>
  <si>
    <t>FT 955 del 16/06/2022 Seiduesei</t>
  </si>
  <si>
    <t>FT FI22000181 del 31/05/2022 180 Porta Passaporto</t>
  </si>
  <si>
    <t>consegnati 108 porta passaporti</t>
  </si>
  <si>
    <t>Noleggio Furgone + carburante/pedaggi</t>
  </si>
  <si>
    <t>FT. 939 DEL 21/06/2022 Move Up +Rimborsi a Davide € 21,62</t>
  </si>
  <si>
    <t>Rimborsi Cristiana Florina Stamate</t>
  </si>
  <si>
    <t>km + cena</t>
  </si>
  <si>
    <t>ipotizzato</t>
  </si>
  <si>
    <t>km + numeri speed date</t>
  </si>
  <si>
    <t>Rimborsi Serena Cena</t>
  </si>
  <si>
    <t>già rimborsati nella fattura di giugno</t>
  </si>
  <si>
    <t>Sala Hotel Corso Camere &amp; Pranzi e Cene VS</t>
  </si>
  <si>
    <t>FT.1161/A DEL 02/08/2022 HOTEL PARCHI DEL GARDA</t>
  </si>
  <si>
    <t>FT 122 DEL 06/07/2022 Audioluci</t>
  </si>
  <si>
    <t>non chiamati</t>
  </si>
  <si>
    <t>FT 388 del 23/05/2022 - Riassortite 380 moleskine, perchè 200 già a magazzino, ipotizzate 95</t>
  </si>
  <si>
    <t>ft 158 DEL 12/07/2022 Tipografia Podetta</t>
  </si>
  <si>
    <t>FT FI22000159 del 16/05/2022 - 180 Travel Organizer, considerate 95</t>
  </si>
  <si>
    <t>FT. 1007 DEL 09/07/2022 MOVE UP + Rimborsi a Davide € 74,03</t>
  </si>
  <si>
    <t>km + 2 cene</t>
  </si>
  <si>
    <t>km + kleenex</t>
  </si>
  <si>
    <t>braccialetti starlight</t>
  </si>
  <si>
    <t xml:space="preserve">FT. 981/A DEL 11/07/2022 + FT. 1162/A DEL 02/08/2022 HOTEL PARCHI DEL GARDA </t>
  </si>
  <si>
    <t xml:space="preserve">Service Audio e Palco </t>
  </si>
  <si>
    <t>FT 133 DEL 18/07/2022 AUDIOLUCI</t>
  </si>
  <si>
    <t>FT 388 del 23/05/2022 - Riassortite 380 moleskine, perchè 200 già a magazzino, ipotizzate 130</t>
  </si>
  <si>
    <t xml:space="preserve">Tipografia Podetta FT 172 del 20/07/2022 </t>
  </si>
  <si>
    <t>FT. 34 DEL 29/07/2022 Carpenteria Meccanica Manessi + Rimborsi Davide € 23,82</t>
  </si>
  <si>
    <t>circa 353 libri utilizzati per Le Stelle di Lorenzo, considerato il prezzo di copertina detratto il 40%</t>
  </si>
  <si>
    <t xml:space="preserve">Gadget </t>
  </si>
  <si>
    <t>Carte Picche/Cuori, le avevamo a magazzino (125 pz)</t>
  </si>
  <si>
    <t>FT 2571 DEL 31/07/2022 PUNTO SERVICE</t>
  </si>
  <si>
    <t>Fattura  1126 del 02/08/2022 Move Up + Rimborsi a Davide € 45,48</t>
  </si>
  <si>
    <t>Cognome</t>
  </si>
  <si>
    <t>Società</t>
  </si>
  <si>
    <t>Sede di Fatturazione</t>
  </si>
  <si>
    <t>Partita IVA</t>
  </si>
  <si>
    <t>Codice Fiscale</t>
  </si>
  <si>
    <t>Azienda o Privato</t>
  </si>
  <si>
    <t>Codice SDI</t>
  </si>
  <si>
    <t>Mail Invio Fattura</t>
  </si>
  <si>
    <t>Prezzo Da Imputare nel Consuntivatore dell'Evento o MiV in Corso
(VT 900 Euro - VS 1.340 Euro - N 757 Euro)</t>
  </si>
  <si>
    <t>Prezzo Da Imputare nel Consuntivatore del Prossimo Evento o MiV
(VT 900 Euro - VS 1.340 Euro - N 757 Euro)</t>
  </si>
  <si>
    <t>Source</t>
  </si>
  <si>
    <t>Provvigioni Source (%)</t>
  </si>
  <si>
    <t>Provvigioni Source (€)</t>
  </si>
  <si>
    <t>Trattativa e Chiusura
Account blackship</t>
  </si>
  <si>
    <t>Provvigioni Trattativa e Chiusura (%)</t>
  </si>
  <si>
    <t>Provvigioni Trattativa e Chiusura (€)</t>
  </si>
  <si>
    <t>Sales Attitude</t>
  </si>
  <si>
    <t>andreadatos@dtsforniture.it</t>
  </si>
  <si>
    <t>D.T.S. 2.0 Srl</t>
  </si>
  <si>
    <t>Trento Trieste 114/a, 31050 Vedelago TV</t>
  </si>
  <si>
    <t>04071660270</t>
  </si>
  <si>
    <t>Fine settembre pagamento Cri A.</t>
  </si>
  <si>
    <t>Molina</t>
  </si>
  <si>
    <t>a.molina@consulenza-arch.ch</t>
  </si>
  <si>
    <t>+41 78 680 2999</t>
  </si>
  <si>
    <t>Studio di consulenza e architettura Andrea Molina Sagl</t>
  </si>
  <si>
    <t>Via Molinazzo, 2 - CH - 6900 Lugano</t>
  </si>
  <si>
    <t>CHE-452.621.022</t>
  </si>
  <si>
    <t>Donatella Caresano (pagata tutta a novembre 2021</t>
  </si>
  <si>
    <t>Cristian Benzoni (pagata tutta a novembre 2021)</t>
  </si>
  <si>
    <t>GTI Srl System Integrator</t>
  </si>
  <si>
    <t>Via Dè Sudenti, 44, 41126 Modena MO</t>
  </si>
  <si>
    <t>03468530369</t>
  </si>
  <si>
    <t>T9K4ZHO</t>
  </si>
  <si>
    <t>gtisrl@legalmail.it</t>
  </si>
  <si>
    <t>Gianluca (pagata tutta ottobre 2020)</t>
  </si>
  <si>
    <t>2020 NON partecipato e nessuna risposta mail. Da risentire. Accordo era 2021</t>
  </si>
  <si>
    <t>Rcs Tecnoimpianti s.r.l.</t>
  </si>
  <si>
    <t>Fantin</t>
  </si>
  <si>
    <t>cristinafantin@dtsforniture.it</t>
  </si>
  <si>
    <t>Gianluca (pagata tutta ottobre 2021)</t>
  </si>
  <si>
    <t>Resta</t>
  </si>
  <si>
    <t>davide.resta74@gmail.com; info@myshoppingcommunity.com</t>
  </si>
  <si>
    <t>Attesa conferma per quanti sono del gruppo anche a VT</t>
  </si>
  <si>
    <t>Ezio</t>
  </si>
  <si>
    <t>Murdocca</t>
  </si>
  <si>
    <t>eziomur@libero.it</t>
  </si>
  <si>
    <t>Zinesi</t>
  </si>
  <si>
    <t>fabio@in4tek.it</t>
  </si>
  <si>
    <t>IN4TEK S.R.L.</t>
  </si>
  <si>
    <t>Via d.Luigi Belotti, 6 - 24064 - Grumello del monte (BG)</t>
  </si>
  <si>
    <t xml:space="preserve">04068640160 </t>
  </si>
  <si>
    <t>J6URRTW</t>
  </si>
  <si>
    <t>Pozzoli</t>
  </si>
  <si>
    <t>BRIANZA.MOBILI@VIRGILIO.IT; bmdesign.g@gmail.com</t>
  </si>
  <si>
    <t>Brianza Mobili S.N.C. Di Pozzoli Flavio &amp; C.</t>
  </si>
  <si>
    <t>Via L. Suardo, 11, 24067 Sarnico BG</t>
  </si>
  <si>
    <t>01474040167</t>
  </si>
  <si>
    <t>BRIANZA.MOBILI@VIRGILIO.IT</t>
  </si>
  <si>
    <t>Cambia nome con la figlia (Era Flavio Pozzoli), deve pagare VT per rifare tutto il Master. Pagamento entro il 15 Nov.</t>
  </si>
  <si>
    <t>Client Angel (Cartellino MiVi - Sandro Lucchese)</t>
  </si>
  <si>
    <t>Client Angel (pagata tutta a dicembre 2021)</t>
  </si>
  <si>
    <t>Arriva venerdì, metà/tarda mattinata (posto in fondo)</t>
  </si>
  <si>
    <t xml:space="preserve">Raffaella (pagata tutta a giugno 2019) </t>
  </si>
  <si>
    <t>Pelloja</t>
  </si>
  <si>
    <t>giulia.pelloja@gmail.com</t>
  </si>
  <si>
    <t>conferma partecipazione e dati fatturazione entro 30/9 - V. accordi Pagamento con Davide</t>
  </si>
  <si>
    <t>Iuliano</t>
  </si>
  <si>
    <t>gius90@alice.it</t>
  </si>
  <si>
    <t>IULIANO GIUSEPPE</t>
  </si>
  <si>
    <t>Via Volontari 8/a - 10061 CAVOUR - TO</t>
  </si>
  <si>
    <t>LNIGPP90P19L291O</t>
  </si>
  <si>
    <t>Privato</t>
  </si>
  <si>
    <t>Cartellino (Giulia Pelloja)</t>
  </si>
  <si>
    <t>Federica Donati (pagata tutta a ottobre 2020)</t>
  </si>
  <si>
    <t>Domenica NON c'è</t>
  </si>
  <si>
    <t>linda@diliplast.it</t>
  </si>
  <si>
    <t>Diliplast S.R.L</t>
  </si>
  <si>
    <t>Via della Stanga, 6, 23801 Calolziocorte LC</t>
  </si>
  <si>
    <t>01197460130</t>
  </si>
  <si>
    <t>Client Angel - Giuliana Fumagalli (Cartellini VB2B)</t>
  </si>
  <si>
    <t>Milan</t>
  </si>
  <si>
    <t>m.milan@studiopaghemonza.it</t>
  </si>
  <si>
    <t>SPM CONSULTING SRL</t>
  </si>
  <si>
    <r>
      <rPr>
        <sz val="12"/>
        <color rgb="FF333333"/>
        <rFont val="Helvetica Neue"/>
      </rPr>
      <t>Via Rismondo,</t>
    </r>
    <r>
      <rPr>
        <sz val="10"/>
        <color rgb="FF333333"/>
        <rFont val="Arial"/>
        <family val="2"/>
      </rPr>
      <t> 12 - 20831 </t>
    </r>
    <r>
      <rPr>
        <sz val="12"/>
        <color rgb="FF333333"/>
        <rFont val="Helvetica"/>
      </rPr>
      <t>Seregno (MB) Italy</t>
    </r>
  </si>
  <si>
    <t>09960010966</t>
  </si>
  <si>
    <t>AMMINISTRAZIONE@PEC.SPM-CONSULTING.IT</t>
  </si>
  <si>
    <t>Mauro Migliorati (pagata tutta a ottobre 2020)</t>
  </si>
  <si>
    <t>Pacci (pagata tutta a ottobre 2021)</t>
  </si>
  <si>
    <t>Roveggio</t>
  </si>
  <si>
    <t>altravia.commerciale@gmail.com</t>
  </si>
  <si>
    <t>ALTRAVIA SRL</t>
  </si>
  <si>
    <t>CORSO BONOMELLI 19 - 25038 ROVATO BS</t>
  </si>
  <si>
    <t>03900850987</t>
  </si>
  <si>
    <t>altravia.amministrazione@gmail.com</t>
  </si>
  <si>
    <t>PagatoSales Bootcamp fino al 31.12</t>
  </si>
  <si>
    <t>Cartellino (Sergio Mariani)</t>
  </si>
  <si>
    <t>Losego</t>
  </si>
  <si>
    <t>massimiliano@atman.it</t>
  </si>
  <si>
    <t>Atman S.a.s.</t>
  </si>
  <si>
    <t>Via Forlanini 1 - 35136 Padova - PD</t>
  </si>
  <si>
    <t> 04726280284 </t>
  </si>
  <si>
    <t>Attivato Sales Bootcamp, fino almeno al 31.12</t>
  </si>
  <si>
    <t>Chiara Salvetti (Avv. Cianfrone) (pagata tutta a ottobre 2020)</t>
  </si>
  <si>
    <t>Venerdì 29 e Domenica 31 non c'è</t>
  </si>
  <si>
    <t>Catalini</t>
  </si>
  <si>
    <t>M.catalini@alice.it</t>
  </si>
  <si>
    <t>Massironi</t>
  </si>
  <si>
    <t>info@mauromassironi.it</t>
  </si>
  <si>
    <t>MASSIRONI MAURO</t>
  </si>
  <si>
    <t>VIA S. MAURO 4 - 20015 Parabiago - mi</t>
  </si>
  <si>
    <t>MSSMRA78T08F205T</t>
  </si>
  <si>
    <t>mauro.migliorati@azimut.it</t>
  </si>
  <si>
    <t>347 3560915</t>
  </si>
  <si>
    <t>Via Dante Alighieri, 21 20092 Cinisello Balsamo (MI)</t>
  </si>
  <si>
    <t>08179840965</t>
  </si>
  <si>
    <t>MGLMRA68E14C707W</t>
  </si>
  <si>
    <t>Michela</t>
  </si>
  <si>
    <t>Gioco</t>
  </si>
  <si>
    <t>michela.gioco@gmail.com</t>
  </si>
  <si>
    <t>GIOCO MICHELA</t>
  </si>
  <si>
    <t xml:space="preserve">VIA CADORNA 22 - 36100 Vicenza vi </t>
  </si>
  <si>
    <t>GCIMHL64M62D325T</t>
  </si>
  <si>
    <t>Cartellino (Antonella Provasi)</t>
  </si>
  <si>
    <t>Balzani</t>
  </si>
  <si>
    <t>michele@michelebalzani.it</t>
  </si>
  <si>
    <t>BALZANI MICHELE</t>
  </si>
  <si>
    <t>Via Mantegna, 28 - 35020 Ponte San Nicolo' (PD)</t>
  </si>
  <si>
    <t>04570900284</t>
  </si>
  <si>
    <t>BLZMHL67T31G224F</t>
  </si>
  <si>
    <t>Centro Di Fisioterapia San Lorenzo Di Mirco Perin</t>
  </si>
  <si>
    <t>Via Vittorio Emanuele II, 151, 35026 Conselve PD</t>
  </si>
  <si>
    <t>03560370284</t>
  </si>
  <si>
    <t>PRNMRC61E14F382S</t>
  </si>
  <si>
    <t>Deve Attivare Sales Bootcamp fino al 31.12</t>
  </si>
  <si>
    <t>Client Angel - Denis Caruso</t>
  </si>
  <si>
    <t>Norberto</t>
  </si>
  <si>
    <t>Nichetti</t>
  </si>
  <si>
    <t>nichetti.norberto@gmail.com</t>
  </si>
  <si>
    <t>FINAGE CONSULTING SRL</t>
  </si>
  <si>
    <t>VIA XX SETTEMBRE 68 - 26013 CREMA (CR)</t>
  </si>
  <si>
    <t>01647200193</t>
  </si>
  <si>
    <t xml:space="preserve">Azienda </t>
  </si>
  <si>
    <r>
      <rPr>
        <sz val="10"/>
        <color theme="1"/>
        <rFont val="Arial"/>
        <family val="2"/>
      </rPr>
      <t xml:space="preserve">TECNOWOOD SRL </t>
    </r>
    <r>
      <rPr>
        <sz val="10"/>
        <color rgb="FFFF0000"/>
        <rFont val="Arial"/>
        <family val="2"/>
      </rPr>
      <t xml:space="preserve">- emettere fattura con la seguente dicitura:
Corso in vendita tattica, in vendita strategica e negoziazione.
</t>
    </r>
  </si>
  <si>
    <t>amministrazione@tecnowood.info</t>
  </si>
  <si>
    <t>emettere fattura con la seguente dicitura:
Corso in vendita tattica, in vendita strategica e negoziazione.</t>
  </si>
  <si>
    <t>Cristini</t>
  </si>
  <si>
    <t>paolo.cristini@forestisrl.com</t>
  </si>
  <si>
    <t>2P SOLUZIONI S.N.C. DI P. CRISTINI &amp; C.</t>
  </si>
  <si>
    <t>VIA DEL BOSCONE, 30 - 25014 CASTENEDOLO - BS</t>
  </si>
  <si>
    <t>03834440988</t>
  </si>
  <si>
    <t>2psoluzionisnc@gmail.com</t>
  </si>
  <si>
    <t>Cartellino (Vito Pellini)</t>
  </si>
  <si>
    <t>Pasqualino</t>
  </si>
  <si>
    <t>Rinaldi</t>
  </si>
  <si>
    <t>linorinaldi67@gmail.com</t>
  </si>
  <si>
    <t>Ruggero</t>
  </si>
  <si>
    <t>Pajola</t>
  </si>
  <si>
    <t>Ruggero@pajola.info</t>
  </si>
  <si>
    <t>393 3311460 </t>
  </si>
  <si>
    <t>Ruggero Pajola</t>
  </si>
  <si>
    <t>Via Sbusa, 3 - 37127 Verona (VR)</t>
  </si>
  <si>
    <t>02265960233</t>
  </si>
  <si>
    <t>PJLRGR66E26L781S</t>
  </si>
  <si>
    <t>ruggero@pajola.info</t>
  </si>
  <si>
    <t>Andrea Avesani (pagata tutta a ottobre 2020)</t>
  </si>
  <si>
    <t>smarchi@melosopera.com</t>
  </si>
  <si>
    <t>MELOS OPERA SRL</t>
  </si>
  <si>
    <t>Via Speranza, 5 - 40068 S. Lazzaro (BO)</t>
  </si>
  <si>
    <t>03640741207</t>
  </si>
  <si>
    <t>melosoperasrl@legalmail.it</t>
  </si>
  <si>
    <t>Zigarini</t>
  </si>
  <si>
    <t>silvia.zigarini@gmail.com</t>
  </si>
  <si>
    <t>gruppo di Silvia Zigarini</t>
  </si>
  <si>
    <t>Bettoni</t>
  </si>
  <si>
    <t>simone.bettoni90@gmail.com</t>
  </si>
  <si>
    <t>gia in db</t>
  </si>
  <si>
    <t>Vignola</t>
  </si>
  <si>
    <t>s.vignola@labanalysis.it</t>
  </si>
  <si>
    <t>Lab Analysis</t>
  </si>
  <si>
    <t>Vie Europa, 5 - 27041 Casanova Lonati PV</t>
  </si>
  <si>
    <t>MiV (Cartellino VB2B Mar 19 - Davide Vignola)</t>
  </si>
  <si>
    <t>Fabio Cutrera (pagata tutta a dicembre 2019)</t>
  </si>
  <si>
    <t>Sofia</t>
  </si>
  <si>
    <t>Barakakos</t>
  </si>
  <si>
    <t>antonio.ciraci@elis.com</t>
  </si>
  <si>
    <t>ELIS ITALIA SPA</t>
  </si>
  <si>
    <t xml:space="preserve"> VIA MONFERRATO 62 -20098 SAN GIULIANO MILANESE (MI)</t>
  </si>
  <si>
    <t>05851410158</t>
  </si>
  <si>
    <t>paga entro il 30/9 - Accordo Corporate</t>
  </si>
  <si>
    <t>Atena (pagata tutta a ottobre 2020)</t>
  </si>
  <si>
    <t>Stefano Libero</t>
  </si>
  <si>
    <t>stefanofolli@lafem.ch</t>
  </si>
  <si>
    <t>LAFEM Architettura Sagl</t>
  </si>
  <si>
    <t>CHE – 257.783.122 IVA</t>
  </si>
  <si>
    <t>Ullo</t>
  </si>
  <si>
    <t>admin@onekor.it</t>
  </si>
  <si>
    <t>B.B. DI JUAN ALTISEN VILA E ULLO VALENTINA</t>
  </si>
  <si>
    <t>Corso Piave 176, 12051 Alba</t>
  </si>
  <si>
    <t>03590800045</t>
  </si>
  <si>
    <t>SU9YNJA</t>
  </si>
  <si>
    <t xml:space="preserve">Elisa </t>
  </si>
  <si>
    <t>ELIOS DIGITAL PRINT DI ROSELLI MARCO &amp; C. SNC - NEL CORPO DELL FATTURA indicare Partecipazione Corso Formazione Vendita e Negoziazione (SENZA NOME PARTECIPANTE)</t>
  </si>
  <si>
    <t>NEL CORPO DELLA FATTURA indicare Partecipazione Corso Formazione Vendita e Negoziazione (SENZA NOME PARTECIPANTE) - Paga per fine ottobre</t>
  </si>
  <si>
    <t>Stefano (pagata tutta a novembre 2020)</t>
  </si>
  <si>
    <t>Combi</t>
  </si>
  <si>
    <t>marzio.combi@gmail.com</t>
  </si>
  <si>
    <t>Combi Marzio</t>
  </si>
  <si>
    <t>Via Piemonte, 20 - 20071 Vermezzo con Zelo</t>
  </si>
  <si>
    <t>CMBMRZ82R24E801V</t>
  </si>
  <si>
    <t>Client Angel (pagata tutta a ottobre 2021)</t>
  </si>
  <si>
    <t>andrea@atelier-arlan.ch</t>
  </si>
  <si>
    <t>+41 79 199 18 27</t>
  </si>
  <si>
    <t>ARLAN.ch sagl</t>
  </si>
  <si>
    <t>CHE-379.873.082 IVA</t>
  </si>
  <si>
    <t>Ricca</t>
  </si>
  <si>
    <t>carlo.ricca@monitoro.it</t>
  </si>
  <si>
    <t>Monitoro</t>
  </si>
  <si>
    <t>Malquori</t>
  </si>
  <si>
    <t>riccardo.m@formaaquae.it</t>
  </si>
  <si>
    <t>7UPTEN</t>
  </si>
  <si>
    <t>Raffaella Andrello (pagata tutta a novembre 2021)</t>
  </si>
  <si>
    <t>Limenta</t>
  </si>
  <si>
    <t>m.limenta@blackship.it</t>
  </si>
  <si>
    <t>Corinne</t>
  </si>
  <si>
    <t>Peano</t>
  </si>
  <si>
    <t>Accordo con Pacci per pagamento</t>
  </si>
  <si>
    <t>Alice</t>
  </si>
  <si>
    <t>Elam</t>
  </si>
  <si>
    <t>Cristian Acampora  (pagata tutta a dicembre 2021)</t>
  </si>
  <si>
    <t>Losito</t>
  </si>
  <si>
    <t>valentinalosito@fastwebnet.it</t>
  </si>
  <si>
    <t>Ospite Andrea Cabiati</t>
  </si>
  <si>
    <t>r.milesi@clom.it</t>
  </si>
  <si>
    <t>CLOM</t>
  </si>
  <si>
    <t>Daniela (pagata tutta a ottobre 2021)</t>
  </si>
  <si>
    <t>Costantino</t>
  </si>
  <si>
    <t>a.costantino@clom.it</t>
  </si>
  <si>
    <t>fabio@gattifiltrazionilubrificanti.it</t>
  </si>
  <si>
    <t>Guerreschi</t>
  </si>
  <si>
    <t>d.guerreschi@gattifiltrazionilubrificanti.it</t>
  </si>
  <si>
    <t>Savoia</t>
  </si>
  <si>
    <t>asavoia@foppafustelle.it</t>
  </si>
  <si>
    <t>335 8321762</t>
  </si>
  <si>
    <t>Foppa Fustelle</t>
  </si>
  <si>
    <t>SLOWNET</t>
  </si>
  <si>
    <t>Moglie Stefano</t>
  </si>
  <si>
    <t>Stefano (pagata tutta a ottobre 2021)</t>
  </si>
  <si>
    <t>De Faveri</t>
  </si>
  <si>
    <t>a.defaveri@nodopiano.it</t>
  </si>
  <si>
    <t>NODOPIANO</t>
  </si>
  <si>
    <t>Chiusura diretta Pre VB2B - CriB</t>
  </si>
  <si>
    <t>Cristian Benzoni pagata tutta (novembre 2021 5%) Client Angel (pagata tutta novembre 2021 10%)</t>
  </si>
  <si>
    <t>m.belotti@studioassociatobbc.it</t>
  </si>
  <si>
    <t>Iscritti da Andrea - DTS</t>
  </si>
  <si>
    <t>Cristian Acampora (pagata tutta a ottobre 2021)</t>
  </si>
  <si>
    <t>Dal Bo</t>
  </si>
  <si>
    <t>federicodalbo@dtsforniture.it</t>
  </si>
  <si>
    <t>Anniballi</t>
  </si>
  <si>
    <t>simone@funnelcompany.com</t>
  </si>
  <si>
    <t>VINCITORE QUIZZONE</t>
  </si>
  <si>
    <t>Vincitore quizzone VB2B 21</t>
  </si>
  <si>
    <t>Tettamanzi</t>
  </si>
  <si>
    <t>daniela.tettamanzi@yahoo.it</t>
  </si>
  <si>
    <t>Essedecor Interior Swiss Sagl</t>
  </si>
  <si>
    <t>Scarabottolo</t>
  </si>
  <si>
    <t>alberto.scarabottolo@gmail.com</t>
  </si>
  <si>
    <t>Asisoffice</t>
  </si>
  <si>
    <t>Chiara (pagata tutta a ottobre 2021)</t>
  </si>
  <si>
    <t>Arienti</t>
  </si>
  <si>
    <t>arienti@bni-italia.it; a.arienti@a2-com.it</t>
  </si>
  <si>
    <t>A2COM SRL</t>
  </si>
  <si>
    <t>Del Fiore</t>
  </si>
  <si>
    <t>a.delfiore@ad2000.biz</t>
  </si>
  <si>
    <t>Gianluca (pagata tutta a ottobre 2021)</t>
  </si>
  <si>
    <t>Zorzi</t>
  </si>
  <si>
    <t>antonio.zorzi@zazo.eu</t>
  </si>
  <si>
    <t>Zazo</t>
  </si>
  <si>
    <t>Screm</t>
  </si>
  <si>
    <t>bruno.screm@ducalesicurezza.it</t>
  </si>
  <si>
    <t>DS DUCALE SICUREZZA SRL</t>
  </si>
  <si>
    <t>blackship (Claudio Minigutti)</t>
  </si>
  <si>
    <t>Cristina Florina</t>
  </si>
  <si>
    <t>Stamate</t>
  </si>
  <si>
    <t>stamatecristina@ymail.com</t>
  </si>
  <si>
    <t>CRISTINA FLORINA STAMATE</t>
  </si>
  <si>
    <t>Valente</t>
  </si>
  <si>
    <t>davide.valente@labanalysis.it</t>
  </si>
  <si>
    <t>LABANALYSIS S.R.L</t>
  </si>
  <si>
    <t>Fabio (pagata tutta a ottobre 2021)</t>
  </si>
  <si>
    <t>Melissa</t>
  </si>
  <si>
    <t>Raviolo</t>
  </si>
  <si>
    <t>melissa.raviolo@labanalysis.it</t>
  </si>
  <si>
    <t>Marzia Sara</t>
  </si>
  <si>
    <t>Bondoli</t>
  </si>
  <si>
    <t>marziab@gmail.com</t>
  </si>
  <si>
    <t>Bondoli &amp; Campese S.r.l.</t>
  </si>
  <si>
    <t>Edgardo</t>
  </si>
  <si>
    <t>Battagliola</t>
  </si>
  <si>
    <t>info@kikkoespresso.it</t>
  </si>
  <si>
    <t>ESSEBI CONSULTING SRL</t>
  </si>
  <si>
    <t>VIA SOLFERINO, 14 - 25124 BRESCIA BS SDI M5UXCR1</t>
  </si>
  <si>
    <t>04197360987</t>
  </si>
  <si>
    <t>Morri</t>
  </si>
  <si>
    <t>erika.morri@me.com</t>
  </si>
  <si>
    <t>MORRI ERIKA</t>
  </si>
  <si>
    <t>Fortunato</t>
  </si>
  <si>
    <t>g.fortunato@a2-com.it</t>
  </si>
  <si>
    <t>Luise</t>
  </si>
  <si>
    <t>lalu74@gmail.com</t>
  </si>
  <si>
    <t>3282183573</t>
  </si>
  <si>
    <t>LUISE LAURA</t>
  </si>
  <si>
    <t>Daniele (pagata tutta a ottobre 2021)</t>
  </si>
  <si>
    <t>Marco Carovana</t>
  </si>
  <si>
    <t>Pagamento Rateale per accordi con Fabio e Matteo</t>
  </si>
  <si>
    <t>Stefanutti</t>
  </si>
  <si>
    <t>marco.stefanutti@ducalesicurezza.it</t>
  </si>
  <si>
    <t>SEA PIU' SRL</t>
  </si>
  <si>
    <t>Via E. Fermi, 49 - 33010 Tavagnacco UD SI KRRH3B6 seapiu@pec.it</t>
  </si>
  <si>
    <t>01490410303</t>
  </si>
  <si>
    <t>Borin</t>
  </si>
  <si>
    <t>M.borin@mdtechsrl.it</t>
  </si>
  <si>
    <t>MD tech S.r.l.</t>
  </si>
  <si>
    <t>Morena</t>
  </si>
  <si>
    <t>Baleani</t>
  </si>
  <si>
    <t>morena.baleani@jvinternational.com</t>
  </si>
  <si>
    <t>BALEANI MORENA</t>
  </si>
  <si>
    <t>Baresi</t>
  </si>
  <si>
    <t>avvsarabaresi@studiolegalebaresi.it</t>
  </si>
  <si>
    <t>Infuso</t>
  </si>
  <si>
    <t>sergione@hotmail.com</t>
  </si>
  <si>
    <t>Sergio Infuso</t>
  </si>
  <si>
    <t>Walter Morelli</t>
  </si>
  <si>
    <t>Barbara (pagata tutta a ottobre 2021)</t>
  </si>
  <si>
    <t>McCarthy</t>
  </si>
  <si>
    <t>maria@caledonian.it</t>
  </si>
  <si>
    <t>Caledonian S.r.l.</t>
  </si>
  <si>
    <t>Clemente</t>
  </si>
  <si>
    <t>clemente.bugatti@casabugatti.it</t>
  </si>
  <si>
    <t>Ilcar di Bugatti</t>
  </si>
  <si>
    <t>Primo</t>
  </si>
  <si>
    <t>primo.prandelli@casabugatti.it</t>
  </si>
  <si>
    <t>Cremaschini</t>
  </si>
  <si>
    <t>marco.cremaschini@casabugatti.it</t>
  </si>
  <si>
    <t>Eva</t>
  </si>
  <si>
    <t>Pistolesi</t>
  </si>
  <si>
    <t>e.pistolesi@etichettificiosenese.it</t>
  </si>
  <si>
    <t>Giovannetti</t>
  </si>
  <si>
    <t>marco.giovannetti@nerilabels.eu</t>
  </si>
  <si>
    <t>carlo.farina@omporro.eu</t>
  </si>
  <si>
    <t>Gilberto</t>
  </si>
  <si>
    <t>Festa</t>
  </si>
  <si>
    <t>gilberto.festa@omporro.eu</t>
  </si>
  <si>
    <t>MARTINI SIMONA</t>
  </si>
  <si>
    <t>Milazzo</t>
  </si>
  <si>
    <t>stefanomilazzo@hotmail.it</t>
  </si>
  <si>
    <t>Milazzo Stefano</t>
  </si>
  <si>
    <t>My Shopping Comunity</t>
  </si>
  <si>
    <t>Drigo</t>
  </si>
  <si>
    <t>margherita.drigo@roenest.com</t>
  </si>
  <si>
    <t>Zafferoni</t>
  </si>
  <si>
    <t>melania@giallopastellointerni.com</t>
  </si>
  <si>
    <t>GIALLO PASTELLO</t>
  </si>
  <si>
    <t>Cristian Acampora (pagata tutta a novembre 2021)</t>
  </si>
  <si>
    <t>DI TARLIZZI RACHELE</t>
  </si>
  <si>
    <t>Baccari</t>
  </si>
  <si>
    <t>albertobaccari87@gmail.com</t>
  </si>
  <si>
    <t>Clienti In Cloud</t>
  </si>
  <si>
    <t>Clienti in Cloud - Gratuito per accordi</t>
  </si>
  <si>
    <t>Contini</t>
  </si>
  <si>
    <t>simone@endurancecloud.com</t>
  </si>
  <si>
    <t>Paciello</t>
  </si>
  <si>
    <t>giuseppe@endurancecloud.com</t>
  </si>
  <si>
    <t>Acquistato Sales Bootcamp 6 mesi</t>
  </si>
  <si>
    <t>MAW / Apindustria</t>
  </si>
  <si>
    <t>Rizzini</t>
  </si>
  <si>
    <t>daniel.rizzini@lacoro.it</t>
  </si>
  <si>
    <t>La Coro Impianti</t>
  </si>
  <si>
    <t>MAW (pagata tutta a ottobre 2021)</t>
  </si>
  <si>
    <t>Corini</t>
  </si>
  <si>
    <t>alessandro.corini@lacoro.it</t>
  </si>
  <si>
    <t>Raffaella Andrello (pagata tutta a ottobre 2021)</t>
  </si>
  <si>
    <t>Ospiti</t>
  </si>
  <si>
    <t>s.testa@switchup.it</t>
  </si>
  <si>
    <t>Scarrone</t>
  </si>
  <si>
    <t>scarrone.as@gmail.com</t>
  </si>
  <si>
    <t>Ospite Switch Up</t>
  </si>
  <si>
    <t>Pirani</t>
  </si>
  <si>
    <t>max.pirani@gmail.com</t>
  </si>
  <si>
    <t>Interagency</t>
  </si>
  <si>
    <t>Gratuito per Accordi con Pacci</t>
  </si>
  <si>
    <t>Valerio</t>
  </si>
  <si>
    <t>Turconi</t>
  </si>
  <si>
    <t>v.turconi@mesgoiridecolors.it</t>
  </si>
  <si>
    <t>Mesgo Iride Colors</t>
  </si>
  <si>
    <t>335 5200482</t>
  </si>
  <si>
    <t>Emamotorsport</t>
  </si>
  <si>
    <t>Bentivoglio</t>
  </si>
  <si>
    <t>Yari</t>
  </si>
  <si>
    <t>Cosmai</t>
  </si>
  <si>
    <t>Denis (pagata a ottobre 2021 provvigione del 15% su 10.000 Euro,pagata a dicembre 2021 provvigione del 15% su 10.000 Euro, )</t>
  </si>
  <si>
    <t>Cristian Acampora (pagata a ottobre 2021 provvigione del 5% su 10.000 Euro, pagata a dicembre 2021 provvigione del 5% su 10.000 Euro)</t>
  </si>
  <si>
    <t>Enea</t>
  </si>
  <si>
    <t>Righetti</t>
  </si>
  <si>
    <t>Duca</t>
  </si>
  <si>
    <t>Ridolfi</t>
  </si>
  <si>
    <t>Ferretto</t>
  </si>
  <si>
    <t>Gadda</t>
  </si>
  <si>
    <t>Legnani</t>
  </si>
  <si>
    <t>Bellina</t>
  </si>
  <si>
    <t>Comunicare srl</t>
  </si>
  <si>
    <t>Iscritta da Massimo Pirani il 28.10.21</t>
  </si>
  <si>
    <t>Client Angel (pagata a ottobre 2021)</t>
  </si>
  <si>
    <t>Bellachioma</t>
  </si>
  <si>
    <t>Daniele (pagata tutta a novembre 2021)</t>
  </si>
  <si>
    <t>Listrani</t>
  </si>
  <si>
    <t>Porra</t>
  </si>
  <si>
    <t>Cutrera Fabio</t>
  </si>
  <si>
    <t>Fabio (pagata tutta a dicembre 2021)</t>
  </si>
  <si>
    <t>Da VB2B - Souce: 0% (blackship) - 5% (Referenza da già cliente blackship) - 15% Nuovo cliente</t>
  </si>
  <si>
    <t>Account: 5%</t>
  </si>
  <si>
    <t>FREQUENTANTI Iscritti</t>
  </si>
  <si>
    <t>Fuori Vendita B2B - Souce: 0% (blackship) - 5% (Referenza da già cliente blackship) - 15% Nuovo cliente</t>
  </si>
  <si>
    <t>Account ora 15% - Diventa 10%</t>
  </si>
  <si>
    <t>Indicazioni di Pacci durante la visione del Consuntivatore e CE dello 2021: se fa 1 modulo ma l'ha pagato tutto lo metto nel CE dell'anno, se non ha pagato tutto lo lascio sotto</t>
  </si>
  <si>
    <t>RIFREQUENZA Iscritti</t>
  </si>
  <si>
    <t>DA PAGARE</t>
  </si>
  <si>
    <t>DA CONFERMARE</t>
  </si>
  <si>
    <t>QQQQQQQQQQQQQ</t>
  </si>
  <si>
    <t>Canale Acquisizione Dettaglio</t>
  </si>
  <si>
    <t>per aggiungere altri nomi selezionabili, inserirli nelle righe verdi vuote</t>
  </si>
  <si>
    <t>Andrea Vandoni</t>
  </si>
  <si>
    <t>Albertini Alberto</t>
  </si>
  <si>
    <t>7PCVB2B</t>
  </si>
  <si>
    <t>per aggiungere altri nomi selezionabili, inserirli nelle righe blu vuote</t>
  </si>
  <si>
    <t>Alberto  Zecchini</t>
  </si>
  <si>
    <t>7PCVB2B Ospite</t>
  </si>
  <si>
    <t>per aggiungere altri nomi selezionabili, inserirli nelle righe arancio vuote</t>
  </si>
  <si>
    <t>Alberto Scarabottolo</t>
  </si>
  <si>
    <t>Apindustria</t>
  </si>
  <si>
    <t>non aggiungere altri nomi</t>
  </si>
  <si>
    <t>Alessadro Bersani</t>
  </si>
  <si>
    <t>Alessandra Giovi</t>
  </si>
  <si>
    <t>Alessandro Casella</t>
  </si>
  <si>
    <t>Andrea Arlanch</t>
  </si>
  <si>
    <t>Crai Academy</t>
  </si>
  <si>
    <t>Andrea Da Tos</t>
  </si>
  <si>
    <t>Eventi Tech Style</t>
  </si>
  <si>
    <t>Andrea Rizzi</t>
  </si>
  <si>
    <t>For MAW</t>
  </si>
  <si>
    <t>Imperial Life</t>
  </si>
  <si>
    <t>Angelo Curnis</t>
  </si>
  <si>
    <t>È esattamente il principio che avevo seguito per mettere le trattative in DB:</t>
  </si>
  <si>
    <t>Annalisa Fonda</t>
  </si>
  <si>
    <t>Master of Magic</t>
  </si>
  <si>
    <t>se l’iscrizione al Master ha provvigioni pari al 5% (oltre alla Source), significa che ha beneficiato del Funnel e potremmo non metterlo nel DB Commerciale</t>
  </si>
  <si>
    <t>Antonella Zilio</t>
  </si>
  <si>
    <t>se l’iscrizione al Master ha provvigioni pari al 10% (oltre alla Source), lo possiamo trattare come un corso Corporate</t>
  </si>
  <si>
    <t>Homepage VB2B</t>
  </si>
  <si>
    <t>Antonio Barbera</t>
  </si>
  <si>
    <t>Slownet</t>
  </si>
  <si>
    <t>Per me è questo il principio, dopo che abbiamo deciso di contare i Master chiusi fuori dal funnel all’interno del contrattualizzato corporate.</t>
  </si>
  <si>
    <t>Antonio Tasso</t>
  </si>
  <si>
    <t>Arianna Reffo</t>
  </si>
  <si>
    <t>Barbara Buompane</t>
  </si>
  <si>
    <t>WEB</t>
  </si>
  <si>
    <t>Katiuscia</t>
  </si>
  <si>
    <t>Carlo Mariotti</t>
  </si>
  <si>
    <t>Carriere.IT</t>
  </si>
  <si>
    <t>Chiara Belloli</t>
  </si>
  <si>
    <t>Christian Rossi</t>
  </si>
  <si>
    <t>Claudia Marchi</t>
  </si>
  <si>
    <t>Claudio Brizzi</t>
  </si>
  <si>
    <t>CliCloudMatte</t>
  </si>
  <si>
    <t>Cooperjob - Jessica Facchin</t>
  </si>
  <si>
    <t>Crisanta Eva Meza</t>
  </si>
  <si>
    <t>Cristiano Mandrini</t>
  </si>
  <si>
    <t>Cristina Giambarresi</t>
  </si>
  <si>
    <t>Cristina Poggi</t>
  </si>
  <si>
    <t>Deborah Bianchi</t>
  </si>
  <si>
    <t>Denis Porcinai</t>
  </si>
  <si>
    <t>Devinter Munaro</t>
  </si>
  <si>
    <t>Diego Bosco</t>
  </si>
  <si>
    <t>Elena Azzoni</t>
  </si>
  <si>
    <t>Elena Pegoraro</t>
  </si>
  <si>
    <t>Emanuel Lago</t>
  </si>
  <si>
    <t>Emanuele Michieletto</t>
  </si>
  <si>
    <t>Emiliano Minotti</t>
  </si>
  <si>
    <t>Emilio Pulli</t>
  </si>
  <si>
    <t>Enrico Marchesini</t>
  </si>
  <si>
    <t xml:space="preserve">Eva Meza Crisanta </t>
  </si>
  <si>
    <t>Fabio Dorofatti</t>
  </si>
  <si>
    <t>Fabio Formentini</t>
  </si>
  <si>
    <t>Fabio Gatti</t>
  </si>
  <si>
    <t>Fajton Doda</t>
  </si>
  <si>
    <t>Federico Giardini</t>
  </si>
  <si>
    <t>Francesco Boccardo</t>
  </si>
  <si>
    <t>Giacomo Biancardi</t>
  </si>
  <si>
    <t>Gionatan Iovino - Evento WiC</t>
  </si>
  <si>
    <t>Giovanni Giovi</t>
  </si>
  <si>
    <t>Giulia Pelloja</t>
  </si>
  <si>
    <t>Giuliano Maddalena</t>
  </si>
  <si>
    <t>Giuseppe Giudice</t>
  </si>
  <si>
    <t>Ilaria Rossi</t>
  </si>
  <si>
    <t>Kevin Giorgis</t>
  </si>
  <si>
    <t>Laura Guaitolini</t>
  </si>
  <si>
    <t>Lorenzo Risso</t>
  </si>
  <si>
    <t>Luca Formenti</t>
  </si>
  <si>
    <t>Luca Martinazzi</t>
  </si>
  <si>
    <t>Manuela Ornaghi</t>
  </si>
  <si>
    <t>Marco Frigo</t>
  </si>
  <si>
    <t>Marco Sciarratta</t>
  </si>
  <si>
    <t>Margherita Pansera</t>
  </si>
  <si>
    <t>Maria Martin</t>
  </si>
  <si>
    <t>Marina Dalla Costa</t>
  </si>
  <si>
    <t>Marta Martin</t>
  </si>
  <si>
    <t>Massimo Confalonieri</t>
  </si>
  <si>
    <t>Massimo De Tommaso</t>
  </si>
  <si>
    <t>Matteo Peiti</t>
  </si>
  <si>
    <t>Mattia Giulio Odone</t>
  </si>
  <si>
    <t>MAW - Elena Di Maso</t>
  </si>
  <si>
    <t>MAW - Stefania Menegaldo</t>
  </si>
  <si>
    <t>Michele Bersani</t>
  </si>
  <si>
    <t>Michele Facco</t>
  </si>
  <si>
    <t>Michele Malaguti</t>
  </si>
  <si>
    <t>Michele Sturaro</t>
  </si>
  <si>
    <t>Mirco Gasparotto</t>
  </si>
  <si>
    <t>Monica Zanin</t>
  </si>
  <si>
    <t>Nadia Bertana</t>
  </si>
  <si>
    <t>Nicola De Lucia</t>
  </si>
  <si>
    <t>Nicola Venturuzzo</t>
  </si>
  <si>
    <t>Nicolò Gaudenzi</t>
  </si>
  <si>
    <t>Noemi Murgo</t>
  </si>
  <si>
    <t>Norman Cescut</t>
  </si>
  <si>
    <t>Ottaviano Moretti</t>
  </si>
  <si>
    <t>Paolo Veraldi</t>
  </si>
  <si>
    <t>Paolo Zegna</t>
  </si>
  <si>
    <t>Pietro Piovaccari</t>
  </si>
  <si>
    <t>Primo Prandelli</t>
  </si>
  <si>
    <t>pwnmilan</t>
  </si>
  <si>
    <t>Rachele Di Terlizzi</t>
  </si>
  <si>
    <t>Riccardo Marini</t>
  </si>
  <si>
    <t>Riccardo Roverato</t>
  </si>
  <si>
    <t>Roberta Proni</t>
  </si>
  <si>
    <t>Roberto Rota</t>
  </si>
  <si>
    <t>Rossana Fordi</t>
  </si>
  <si>
    <t>Samuel De Vecchi</t>
  </si>
  <si>
    <t>Sara Brisotto</t>
  </si>
  <si>
    <t>Sergio Mariani</t>
  </si>
  <si>
    <t>Silvia Sardena</t>
  </si>
  <si>
    <t>Simona Martini</t>
  </si>
  <si>
    <t>Simone Anniballi</t>
  </si>
  <si>
    <t>Susanna Baraldi</t>
  </si>
  <si>
    <t>Tentamus</t>
  </si>
  <si>
    <t>Tiziana Katia Fiorella</t>
  </si>
  <si>
    <t>Umberto Buziol</t>
  </si>
  <si>
    <t>Universo Gold</t>
  </si>
  <si>
    <t>Vincenzo Buda</t>
  </si>
  <si>
    <t>Vincenzo Gilardini</t>
  </si>
  <si>
    <t>WebNextmedia</t>
  </si>
  <si>
    <t>Yauheni Lipen</t>
  </si>
  <si>
    <t>Gianpiero Giuliano</t>
  </si>
  <si>
    <t>Fabio Zinesi</t>
  </si>
  <si>
    <t>Mauro Massironi</t>
  </si>
  <si>
    <t>Univet</t>
  </si>
  <si>
    <t>Stefano Festa</t>
  </si>
  <si>
    <t>Mirco Perin</t>
  </si>
  <si>
    <t>Linda Bonfanti</t>
  </si>
  <si>
    <t>Workshop PartnerTribe</t>
  </si>
  <si>
    <t>Fulvio Frescoso</t>
  </si>
  <si>
    <t>Rosaria Lo Destro</t>
  </si>
  <si>
    <t>Daniela Merlini</t>
  </si>
  <si>
    <t>Andrea Pessina</t>
  </si>
  <si>
    <t>Antonella Provasi</t>
  </si>
  <si>
    <t>Numero Partecipanti</t>
  </si>
  <si>
    <t>MATERIALE DIDATTICO</t>
  </si>
  <si>
    <t>Referenti</t>
  </si>
  <si>
    <t>Manuale</t>
  </si>
  <si>
    <t>Cliente</t>
  </si>
  <si>
    <t>Specifica</t>
  </si>
  <si>
    <t>Penne</t>
  </si>
  <si>
    <t>Liberatorie</t>
  </si>
  <si>
    <t>Flyer</t>
  </si>
  <si>
    <t>Foto Ricordo</t>
  </si>
  <si>
    <t>Diplomi</t>
  </si>
  <si>
    <t>Palline</t>
  </si>
  <si>
    <t>Struttura</t>
  </si>
  <si>
    <t>Colla permanente</t>
  </si>
  <si>
    <t>Stampante fotografica</t>
  </si>
  <si>
    <t>Cartoncini sfondo foto</t>
  </si>
  <si>
    <t>Cornici</t>
  </si>
  <si>
    <t>Carta fotografica per stampante</t>
  </si>
  <si>
    <t>AUDIO E VIDEO</t>
  </si>
  <si>
    <t xml:space="preserve">Impianto piccolo </t>
  </si>
  <si>
    <t>Mixer Grande</t>
  </si>
  <si>
    <t>Mixer Piccolo</t>
  </si>
  <si>
    <t>Casse e Cavalletti</t>
  </si>
  <si>
    <t>Cavi audio</t>
  </si>
  <si>
    <t>Proiettore grande</t>
  </si>
  <si>
    <t>Proiettore piccolo</t>
  </si>
  <si>
    <t>Cavo video lungo</t>
  </si>
  <si>
    <t>Switch video</t>
  </si>
  <si>
    <t>Microfono Archetto</t>
  </si>
  <si>
    <t>Microfono Gelato</t>
  </si>
  <si>
    <t>Pile microfoni</t>
  </si>
  <si>
    <t>Ropes Course</t>
  </si>
  <si>
    <t xml:space="preserve">NOTE DESCRITTIVE: </t>
  </si>
  <si>
    <t>Attività Basse</t>
  </si>
  <si>
    <t>Inserire tra l'altro:</t>
  </si>
  <si>
    <t>Spider Web</t>
  </si>
  <si>
    <t>Quali attività devono essere fatte in maniera "duplicata" (es. 2 spiderweb per 2 Team)</t>
  </si>
  <si>
    <t>Isole</t>
  </si>
  <si>
    <t>Quali attività devono essere fatte in "contemporanea" (es. 2 Team, mentre uno fa la spiderweb l'altro fa il Traffic Jam)</t>
  </si>
  <si>
    <t>Bastarda</t>
  </si>
  <si>
    <t>Team Wall</t>
  </si>
  <si>
    <t>Attività Alte</t>
  </si>
  <si>
    <t>Multiline</t>
  </si>
  <si>
    <t>Catwalk</t>
  </si>
  <si>
    <t>Falco's Hell</t>
  </si>
  <si>
    <t>Commitment Bridge</t>
  </si>
  <si>
    <t>Climbing Wall</t>
  </si>
  <si>
    <t>Power Pole</t>
  </si>
  <si>
    <t>Giant Ladder</t>
  </si>
  <si>
    <t>Zip Line</t>
  </si>
  <si>
    <t>Imbraghi</t>
  </si>
  <si>
    <t>Caschi</t>
  </si>
  <si>
    <t>Corde</t>
  </si>
  <si>
    <t>Carrucole</t>
  </si>
  <si>
    <t>Pronto soccorso</t>
  </si>
  <si>
    <t>Guanti</t>
  </si>
  <si>
    <t>Acqua in bottiglie da mezzo litro</t>
  </si>
  <si>
    <t>ATTIVITA' SEMPLICI</t>
  </si>
  <si>
    <t>Post -it</t>
  </si>
  <si>
    <t>Cartoncini colorati con nome</t>
  </si>
  <si>
    <t>Colla removibile</t>
  </si>
  <si>
    <t>Data Entry</t>
  </si>
  <si>
    <t>7 oggetti da lanciare</t>
  </si>
  <si>
    <t>Hoola Hop Levitante</t>
  </si>
  <si>
    <t xml:space="preserve">Hoola Hop  </t>
  </si>
  <si>
    <t>Bonnye &amp; Clyde</t>
  </si>
  <si>
    <t>Sherpa Walk</t>
  </si>
  <si>
    <t>Bandane</t>
  </si>
  <si>
    <t>Bottiglia con sassi</t>
  </si>
  <si>
    <t>French Connection</t>
  </si>
  <si>
    <t>Fogli di carta</t>
  </si>
  <si>
    <t>Hool Hop Challenge</t>
  </si>
  <si>
    <t xml:space="preserve">Hoola Hop </t>
  </si>
  <si>
    <t>Radio-Active Can</t>
  </si>
  <si>
    <t>Latte</t>
  </si>
  <si>
    <t>Elastici</t>
  </si>
  <si>
    <t>Animal Game</t>
  </si>
  <si>
    <t>The Maze</t>
  </si>
  <si>
    <t>Telo The Maze</t>
  </si>
  <si>
    <t>Mappa the Maze</t>
  </si>
  <si>
    <t>Acid River</t>
  </si>
  <si>
    <t>Fogli di Carta</t>
  </si>
  <si>
    <t>Tavolette di legno</t>
  </si>
  <si>
    <t>Mine Field</t>
  </si>
  <si>
    <t xml:space="preserve">Oggetti </t>
  </si>
  <si>
    <t>Trappole topi</t>
  </si>
  <si>
    <t>Nastro di carta</t>
  </si>
  <si>
    <t>Nastro bianco e rosso</t>
  </si>
  <si>
    <t>Picchetti</t>
  </si>
  <si>
    <t>Waterpipe</t>
  </si>
  <si>
    <t>Tubi arancioni</t>
  </si>
  <si>
    <t>Pallina da tennis</t>
  </si>
  <si>
    <t xml:space="preserve">Blind Poligon </t>
  </si>
  <si>
    <t>Corde Camp</t>
  </si>
  <si>
    <t>Mass Pass</t>
  </si>
  <si>
    <t>Secchi</t>
  </si>
  <si>
    <t>Oggetti da lanciare</t>
  </si>
  <si>
    <t>Cronometro</t>
  </si>
  <si>
    <t>Key Puch</t>
  </si>
  <si>
    <t>Numeri da 1 a 50</t>
  </si>
  <si>
    <t>Numeri da 51 a 99</t>
  </si>
  <si>
    <t>Foglio con numeri per round</t>
  </si>
  <si>
    <t>Corporate Connection</t>
  </si>
  <si>
    <t xml:space="preserve">Secchi 2 x 4 </t>
  </si>
  <si>
    <t xml:space="preserve">Palline 16 x 4 </t>
  </si>
  <si>
    <t>Fogli indicazione punteggi per secchi</t>
  </si>
  <si>
    <t>Zoom</t>
  </si>
  <si>
    <t xml:space="preserve">Schede zoom 31 </t>
  </si>
  <si>
    <t>Tubi - snodi - fili - brugola - viti</t>
  </si>
  <si>
    <t>Carta e penna per disegno ragnatela</t>
  </si>
  <si>
    <t>Zattera</t>
  </si>
  <si>
    <t>Fogli ruoli</t>
  </si>
  <si>
    <t>Traffic Jam</t>
  </si>
  <si>
    <t>Fogli con frecce e X</t>
  </si>
  <si>
    <t>PROVE SPECIALI</t>
  </si>
  <si>
    <t>Board Breaking</t>
  </si>
  <si>
    <t>Tavoletta</t>
  </si>
  <si>
    <t>Bar Bending</t>
  </si>
  <si>
    <t>Tondini</t>
  </si>
  <si>
    <t>Tappini gomma</t>
  </si>
  <si>
    <t>Arrow Breaking</t>
  </si>
  <si>
    <t xml:space="preserve">Frecce </t>
  </si>
  <si>
    <t>Fili di lana</t>
  </si>
  <si>
    <t>Occhialini protettivi e gommini muro</t>
  </si>
  <si>
    <t>Fire Walking</t>
  </si>
  <si>
    <t>Numero piste</t>
  </si>
  <si>
    <t>Legna in quintali</t>
  </si>
  <si>
    <t>Torba neutra in sacchi da 80 lt</t>
  </si>
  <si>
    <t>Fiaccole e olio</t>
  </si>
  <si>
    <t>Transenne</t>
  </si>
  <si>
    <t>Carbonella e accendino</t>
  </si>
  <si>
    <t xml:space="preserve">Moquette in metri </t>
  </si>
  <si>
    <t>Legenetti per accensione</t>
  </si>
  <si>
    <t>Sacchi del pattume</t>
  </si>
  <si>
    <t>Paletta, scopa e secchio</t>
  </si>
  <si>
    <t>Trust Fall</t>
  </si>
  <si>
    <t>Bandane per blind walk</t>
  </si>
  <si>
    <t>ATTIVITA' COMPLESSE</t>
  </si>
  <si>
    <t>Orienteering</t>
  </si>
  <si>
    <t>Bussole</t>
  </si>
  <si>
    <t>Fogli Lucidi</t>
  </si>
  <si>
    <t>Log Book</t>
  </si>
  <si>
    <t>Pennarelli</t>
  </si>
  <si>
    <t xml:space="preserve">Mappa punti </t>
  </si>
  <si>
    <t>Cordella metrica</t>
  </si>
  <si>
    <t>Spray colorato</t>
  </si>
  <si>
    <t>Fogli bersagli</t>
  </si>
  <si>
    <t>Fucili</t>
  </si>
  <si>
    <t>Pistole</t>
  </si>
  <si>
    <t>Pallini</t>
  </si>
  <si>
    <t>Fionde e biglie di ferro</t>
  </si>
  <si>
    <t>Cerbottane</t>
  </si>
  <si>
    <t>Stucco</t>
  </si>
  <si>
    <t>Palloncini</t>
  </si>
  <si>
    <t xml:space="preserve">Spago </t>
  </si>
  <si>
    <t>Cutter</t>
  </si>
  <si>
    <t>Creativity Quiz</t>
  </si>
  <si>
    <t>Quiz stampati</t>
  </si>
  <si>
    <t>Quiz elettronici</t>
  </si>
  <si>
    <t>Chiavette USB</t>
  </si>
  <si>
    <t>Soft Air War Game</t>
  </si>
  <si>
    <t>Maschere</t>
  </si>
  <si>
    <t>Giacche</t>
  </si>
  <si>
    <t>Borracce</t>
  </si>
  <si>
    <t>Cinturoni</t>
  </si>
  <si>
    <t>Carri</t>
  </si>
  <si>
    <t xml:space="preserve">Corde </t>
  </si>
  <si>
    <t>Viti</t>
  </si>
  <si>
    <t>Mission Impossible</t>
  </si>
  <si>
    <t>Video MI Tom Cruise</t>
  </si>
  <si>
    <t>Quiz adattati</t>
  </si>
  <si>
    <t>Buste</t>
  </si>
  <si>
    <t>Puzzle con disegno originale</t>
  </si>
  <si>
    <t>Legenda</t>
  </si>
  <si>
    <t>Master in Vendita Completa</t>
  </si>
  <si>
    <t>Moduli non acquistati</t>
  </si>
  <si>
    <t>Ha partecipato ai moduli acquistati (non farà tutto il Master in Vendita)</t>
  </si>
  <si>
    <t>Vendita Tattica</t>
  </si>
  <si>
    <t>Vendita Strategica</t>
  </si>
  <si>
    <t>Negoziazione</t>
  </si>
  <si>
    <t>MiV Completato</t>
  </si>
  <si>
    <t>Nota</t>
  </si>
  <si>
    <t>Acampora</t>
  </si>
  <si>
    <t>c.acampora@blackship.it</t>
  </si>
  <si>
    <t>Archetti</t>
  </si>
  <si>
    <t>archettia@camasonline.it</t>
  </si>
  <si>
    <t>Baldantoni</t>
  </si>
  <si>
    <t>Cavallin</t>
  </si>
  <si>
    <t>Cipolla</t>
  </si>
  <si>
    <t>Colosio</t>
  </si>
  <si>
    <t>andrea.colosio@redaelli.com</t>
  </si>
  <si>
    <t>Fiorot</t>
  </si>
  <si>
    <t xml:space="preserve">Cecilia </t>
  </si>
  <si>
    <t>Garrone</t>
  </si>
  <si>
    <t>Lazzari</t>
  </si>
  <si>
    <t>alessandro.lazzari@claudiotonello.it</t>
  </si>
  <si>
    <t>Rolfo</t>
  </si>
  <si>
    <t>walter.riservata@gmail.com</t>
  </si>
  <si>
    <t>Jarno</t>
  </si>
  <si>
    <t>Sambinelli</t>
  </si>
  <si>
    <t>Jarno.Sambinelli@colombospa.com</t>
  </si>
  <si>
    <t>Savo</t>
  </si>
  <si>
    <t>Angela</t>
  </si>
  <si>
    <t>Signoretti</t>
  </si>
  <si>
    <t>Avidano</t>
  </si>
  <si>
    <t>Simeoni</t>
  </si>
  <si>
    <t>Tonello</t>
  </si>
  <si>
    <t>claudio.tonello@claudiotonello.it</t>
  </si>
  <si>
    <t>Zurro</t>
  </si>
  <si>
    <t>Berton</t>
  </si>
  <si>
    <t>Cavallo</t>
  </si>
  <si>
    <t>Civitillo</t>
  </si>
  <si>
    <t>De Sabbata</t>
  </si>
  <si>
    <t xml:space="preserve">Michael </t>
  </si>
  <si>
    <t>Folezzani</t>
  </si>
  <si>
    <t>Carla</t>
  </si>
  <si>
    <t>Freretti</t>
  </si>
  <si>
    <t>Grosso</t>
  </si>
  <si>
    <t>Guglielmi</t>
  </si>
  <si>
    <t>marcoguglioguglielmi@gmail.com</t>
  </si>
  <si>
    <t>Malvio</t>
  </si>
  <si>
    <t>Leita</t>
  </si>
  <si>
    <t>Rudy</t>
  </si>
  <si>
    <t>Manzini</t>
  </si>
  <si>
    <t>Maravai</t>
  </si>
  <si>
    <t>Menegazzo</t>
  </si>
  <si>
    <t>marcom@mecstm.it</t>
  </si>
  <si>
    <t>stefania@mecstm.it</t>
  </si>
  <si>
    <t>Montano</t>
  </si>
  <si>
    <t>fabio.montano@reevo.it</t>
  </si>
  <si>
    <t>cristina.oliveri@reevo.it</t>
  </si>
  <si>
    <t>Carmelo</t>
  </si>
  <si>
    <t>Pesce</t>
  </si>
  <si>
    <t>carmelo.pesce@reevo.it</t>
  </si>
  <si>
    <t>Rodaro</t>
  </si>
  <si>
    <t>Ros</t>
  </si>
  <si>
    <t>rosfrancesca@libero.it</t>
  </si>
  <si>
    <t>Alfonso</t>
  </si>
  <si>
    <t>Sciandra</t>
  </si>
  <si>
    <t>Sello</t>
  </si>
  <si>
    <t xml:space="preserve">Elia </t>
  </si>
  <si>
    <t>Vendramini</t>
  </si>
  <si>
    <t>Volpi</t>
  </si>
  <si>
    <t>giancarlo.volpi@arcogm.it</t>
  </si>
  <si>
    <t>Zecchinello</t>
  </si>
  <si>
    <t>Roberto.Zecchinello@dag-diesel.com</t>
  </si>
  <si>
    <t>Bertoldi</t>
  </si>
  <si>
    <t>m.bertoldi@custom.it</t>
  </si>
  <si>
    <t>Ernesto</t>
  </si>
  <si>
    <t>Bragagnolo</t>
  </si>
  <si>
    <t>ernesto.bragagnolo@spherastudio.com</t>
  </si>
  <si>
    <t>Busi</t>
  </si>
  <si>
    <t>Alessandro.Busi@cdfoods.com</t>
  </si>
  <si>
    <t>gianluca.busi@hotmail.com</t>
  </si>
  <si>
    <t>Mattia.Busi@cdfoods.com</t>
  </si>
  <si>
    <t>Camillo</t>
  </si>
  <si>
    <t>Campioli</t>
  </si>
  <si>
    <t>Laboratorio di Vendita 22 luglio 17</t>
  </si>
  <si>
    <t>serviziotecnico@ecologicanaviglio.it</t>
  </si>
  <si>
    <t>massimo.carbone@ecologicanaviglio.it</t>
  </si>
  <si>
    <t>Colombara</t>
  </si>
  <si>
    <t>De Bernardi</t>
  </si>
  <si>
    <t>gdeberna@gmail.com</t>
  </si>
  <si>
    <t>Giannetto</t>
  </si>
  <si>
    <t>antonio.giannetto@reevo.it</t>
  </si>
  <si>
    <t>salvatore.giannetto@reevo.it</t>
  </si>
  <si>
    <t xml:space="preserve">Grillo </t>
  </si>
  <si>
    <t>maria@mariagrillo.it</t>
  </si>
  <si>
    <t xml:space="preserve">Gusella </t>
  </si>
  <si>
    <t>marco.gusella@gusella-adv.com</t>
  </si>
  <si>
    <t>Lenzi</t>
  </si>
  <si>
    <t>Martorana</t>
  </si>
  <si>
    <t>g.martorana@dataprinter.it</t>
  </si>
  <si>
    <t>Minigutti</t>
  </si>
  <si>
    <t>claudio.minigutti@optimasistemi.it</t>
  </si>
  <si>
    <t>Luigi Paolo</t>
  </si>
  <si>
    <t>Mondini</t>
  </si>
  <si>
    <t>Luigi.Mondini@agroittica.it</t>
  </si>
  <si>
    <t>Morello</t>
  </si>
  <si>
    <t>stefania@mascarinstampi.it</t>
  </si>
  <si>
    <t xml:space="preserve">Ramaschi </t>
  </si>
  <si>
    <t>monica.ramaschi@gmail.com</t>
  </si>
  <si>
    <t>Sebastiani</t>
  </si>
  <si>
    <t xml:space="preserve">Alberto </t>
  </si>
  <si>
    <t xml:space="preserve">Tondat </t>
  </si>
  <si>
    <t>a.tondat@mtabarbecue.com</t>
  </si>
  <si>
    <t xml:space="preserve">Zannelli </t>
  </si>
  <si>
    <t>zannellienrico@gmail.com</t>
  </si>
  <si>
    <t>Allonato</t>
  </si>
  <si>
    <t>francesco.allonato@elis.com</t>
  </si>
  <si>
    <t>Andrello</t>
  </si>
  <si>
    <t>r.andrello@blackship.it</t>
  </si>
  <si>
    <t>Benzoni</t>
  </si>
  <si>
    <t>c.benzoni@blackship.it</t>
  </si>
  <si>
    <t>Caforio</t>
  </si>
  <si>
    <t>davide@davidecaforio.com</t>
  </si>
  <si>
    <t>alex@nt2.it</t>
  </si>
  <si>
    <t>Dalle Pezze</t>
  </si>
  <si>
    <t>elisadallepezze@infermentum.it</t>
  </si>
  <si>
    <t>s.dallepezze@blackship.it</t>
  </si>
  <si>
    <t>Alessandra Antonia</t>
  </si>
  <si>
    <t>De Stefano</t>
  </si>
  <si>
    <t>info@dawa.it</t>
  </si>
  <si>
    <t>Elmi</t>
  </si>
  <si>
    <t>aelmi@cti-spa.com</t>
  </si>
  <si>
    <t>Gianetto</t>
  </si>
  <si>
    <t>carlo.gianetto@elis.com</t>
  </si>
  <si>
    <t>Goffi</t>
  </si>
  <si>
    <t>ggoffi@foppafustelle.it</t>
  </si>
  <si>
    <t>Rifrequenza</t>
  </si>
  <si>
    <t>Gusella</t>
  </si>
  <si>
    <t>daniele.gusella@puntoffset.com</t>
  </si>
  <si>
    <t>Imperiali</t>
  </si>
  <si>
    <t>alessandra@attilioimperiali.it</t>
  </si>
  <si>
    <t>Massetti</t>
  </si>
  <si>
    <t>massetti@me.com</t>
  </si>
  <si>
    <t>Mazzocco</t>
  </si>
  <si>
    <t>marco@mazzocco.it</t>
  </si>
  <si>
    <t>Anna Laura</t>
  </si>
  <si>
    <t>migliorati.annalaura@gmail.com</t>
  </si>
  <si>
    <t>Devinter</t>
  </si>
  <si>
    <t>Munaro</t>
  </si>
  <si>
    <t>mdevinter@gmail.com</t>
  </si>
  <si>
    <t>parme@opsi.it</t>
  </si>
  <si>
    <t>emamotorsport@me.com</t>
  </si>
  <si>
    <t>Scorziello</t>
  </si>
  <si>
    <t>m.scorziello@custom.it</t>
  </si>
  <si>
    <t>Sessa</t>
  </si>
  <si>
    <t>domenico.sessa@elis.com</t>
  </si>
  <si>
    <t>Spampinato</t>
  </si>
  <si>
    <t>carlo@multiconsultsrl.com</t>
  </si>
  <si>
    <t>Veronesi</t>
  </si>
  <si>
    <t>Stefano Paul</t>
  </si>
  <si>
    <t>Zannelli</t>
  </si>
  <si>
    <t>zannelli.marcello@gmail.com</t>
  </si>
  <si>
    <t>Amadini</t>
  </si>
  <si>
    <t>aleamadini@live.it</t>
  </si>
  <si>
    <t>Greta Vanessa</t>
  </si>
  <si>
    <t>Amadori</t>
  </si>
  <si>
    <t>greta.amadori@extraordinario.eu</t>
  </si>
  <si>
    <t>Argenton</t>
  </si>
  <si>
    <t>luca.argenton@teorematoys.com</t>
  </si>
  <si>
    <t>Baù Crisciotti</t>
  </si>
  <si>
    <t>n.baucrisciotti@gmail.com</t>
  </si>
  <si>
    <t>Bittante</t>
  </si>
  <si>
    <t>bittante@eurocoil.it</t>
  </si>
  <si>
    <t>Calabrò</t>
  </si>
  <si>
    <t>roberto@fluxx.it</t>
  </si>
  <si>
    <t>Gian Paolo</t>
  </si>
  <si>
    <t>Canola</t>
  </si>
  <si>
    <t>paolo.canola@teorematoys.com</t>
  </si>
  <si>
    <t>Luisella</t>
  </si>
  <si>
    <t>Chioni</t>
  </si>
  <si>
    <t>luisellachioni@gmail.com</t>
  </si>
  <si>
    <t>Comel</t>
  </si>
  <si>
    <t>s.comel@endonova.eu</t>
  </si>
  <si>
    <t>Dal Grande</t>
  </si>
  <si>
    <t>davidedalgrande@libero.it</t>
  </si>
  <si>
    <t>Sandy</t>
  </si>
  <si>
    <t>De Martin</t>
  </si>
  <si>
    <t>sandy.demartin@gmail.com</t>
  </si>
  <si>
    <t>Emmanuele</t>
  </si>
  <si>
    <t>Del Piano</t>
  </si>
  <si>
    <t>emmanuele.delpiano@peopletrezero.com</t>
  </si>
  <si>
    <t>Dell'Aquila</t>
  </si>
  <si>
    <t>p.dellaquila@ieschool.eu</t>
  </si>
  <si>
    <t>gloriamf@hotmail.it</t>
  </si>
  <si>
    <t>Grespan</t>
  </si>
  <si>
    <t>krc1977@libero.it</t>
  </si>
  <si>
    <t>Icardi</t>
  </si>
  <si>
    <t>davideicardi@yahoo.it</t>
  </si>
  <si>
    <t>Iemma</t>
  </si>
  <si>
    <t>fede3001@gmail.com</t>
  </si>
  <si>
    <t>Gregorio</t>
  </si>
  <si>
    <t>La Rocca</t>
  </si>
  <si>
    <t>gregorio.larocca@gmail.com</t>
  </si>
  <si>
    <t>Orazio</t>
  </si>
  <si>
    <t>Lessio</t>
  </si>
  <si>
    <t>olessio@pieffeunion.com</t>
  </si>
  <si>
    <t>Manuele Giuseppe</t>
  </si>
  <si>
    <t>Marconi</t>
  </si>
  <si>
    <t>manuele.marconi@tiscali.it</t>
  </si>
  <si>
    <t>Marcucci</t>
  </si>
  <si>
    <t>michela2705@yahoo.it</t>
  </si>
  <si>
    <t>Antonietta (Lina)</t>
  </si>
  <si>
    <t>Mastrendrea</t>
  </si>
  <si>
    <t>Moretti</t>
  </si>
  <si>
    <t>cmoretti79@yahoo.it</t>
  </si>
  <si>
    <t>rifrequenza</t>
  </si>
  <si>
    <t>Pavan</t>
  </si>
  <si>
    <t>dpavan@pieffeunion.com</t>
  </si>
  <si>
    <t>Prencipe</t>
  </si>
  <si>
    <t>info@eurocoil.it</t>
  </si>
  <si>
    <t>Salvetti</t>
  </si>
  <si>
    <t>c.salvetti@blackship.it</t>
  </si>
  <si>
    <t>Sandonà</t>
  </si>
  <si>
    <t>alessandra.sandona@teorematoys.com</t>
  </si>
  <si>
    <t>Savio</t>
  </si>
  <si>
    <t>andrea.savio@autecsafety.com</t>
  </si>
  <si>
    <t>Semeraro</t>
  </si>
  <si>
    <t>f.semeraro@scuoladeitalenti.net</t>
  </si>
  <si>
    <t>Stefani</t>
  </si>
  <si>
    <t>manuela.stefani@ecologicanaviglio.it</t>
  </si>
  <si>
    <t>Suvigo</t>
  </si>
  <si>
    <t>marco.suvigo@opsi.it</t>
  </si>
  <si>
    <t>Daria</t>
  </si>
  <si>
    <t>Uderzo</t>
  </si>
  <si>
    <t>daria.uderzo@allianzbankfa.it</t>
  </si>
  <si>
    <t>Venturoli</t>
  </si>
  <si>
    <t>vengia@opsi.it</t>
  </si>
  <si>
    <t>info@vimatviterie.it</t>
  </si>
  <si>
    <t>Abbatantuono</t>
  </si>
  <si>
    <t>vincenzo.abbatantuono@icona.it</t>
  </si>
  <si>
    <t>Baraldi</t>
  </si>
  <si>
    <t>susanna.baraldi@peopletrezero.com</t>
  </si>
  <si>
    <t>Bazzurini</t>
  </si>
  <si>
    <t>graziano@grazianogroup.eu</t>
  </si>
  <si>
    <t>Martino</t>
  </si>
  <si>
    <t>Belluco</t>
  </si>
  <si>
    <t>martinobelluco@virgilio.it</t>
  </si>
  <si>
    <t>Bertuzzi</t>
  </si>
  <si>
    <t>info@catprogetti.it</t>
  </si>
  <si>
    <t>Bettinelli</t>
  </si>
  <si>
    <t>marco@paral.it</t>
  </si>
  <si>
    <t>Bianchini</t>
  </si>
  <si>
    <t>lucab972@me.com</t>
  </si>
  <si>
    <t>Renata</t>
  </si>
  <si>
    <t>Borean</t>
  </si>
  <si>
    <t>renata.borean@gmail.com</t>
  </si>
  <si>
    <t>Umberto</t>
  </si>
  <si>
    <t>Boselli</t>
  </si>
  <si>
    <t>umberto@paral.it</t>
  </si>
  <si>
    <t>Burgio</t>
  </si>
  <si>
    <t>virginiagiorgio@antifurtiwinner.it</t>
  </si>
  <si>
    <t>Capanni</t>
  </si>
  <si>
    <t>manuela.capanni@libero.it</t>
  </si>
  <si>
    <t>Colato</t>
  </si>
  <si>
    <t>colato@eurocoil.it</t>
  </si>
  <si>
    <t>Cutrera</t>
  </si>
  <si>
    <t>fcutrera@blackship.it</t>
  </si>
  <si>
    <t xml:space="preserve">Sara </t>
  </si>
  <si>
    <t>Di Drusco</t>
  </si>
  <si>
    <t>saradid@yahoo.it</t>
  </si>
  <si>
    <t>Franzoni</t>
  </si>
  <si>
    <t>Galati</t>
  </si>
  <si>
    <t>vgalati@nextplora.com</t>
  </si>
  <si>
    <t>Gamberini</t>
  </si>
  <si>
    <t>samantha.gamberini@peopletrezero.com</t>
  </si>
  <si>
    <t>Ganzaroli</t>
  </si>
  <si>
    <t>commerciale@eurocoil.it</t>
  </si>
  <si>
    <t>Irina</t>
  </si>
  <si>
    <t>Golub</t>
  </si>
  <si>
    <t>Maioli</t>
  </si>
  <si>
    <t>marcello@tecnofilgas.com</t>
  </si>
  <si>
    <t>Migliaccio</t>
  </si>
  <si>
    <t>aryadne86@hotmail.it</t>
  </si>
  <si>
    <t>Bianco Momesso</t>
  </si>
  <si>
    <t>d.biancomomesso@blackship.it</t>
  </si>
  <si>
    <t>Luisa</t>
  </si>
  <si>
    <t>Mozzo</t>
  </si>
  <si>
    <t>luisam973@icloud.com</t>
  </si>
  <si>
    <t>Nepa</t>
  </si>
  <si>
    <t>giorgio.nepa@icona.it</t>
  </si>
  <si>
    <t>Paganini</t>
  </si>
  <si>
    <t>info@villebio.it</t>
  </si>
  <si>
    <t>Rocco Antonio</t>
  </si>
  <si>
    <t>Pennacchia</t>
  </si>
  <si>
    <t>rocco.pennacchia@gmail.com</t>
  </si>
  <si>
    <t>Piacentini</t>
  </si>
  <si>
    <t>anna.piacentini@peopletrezero.com</t>
  </si>
  <si>
    <t>Piccioli</t>
  </si>
  <si>
    <t>commerciale@tecnofilgas.com</t>
  </si>
  <si>
    <t>Preda</t>
  </si>
  <si>
    <t>Riglietti</t>
  </si>
  <si>
    <t>francesco.riglietti@icona.it</t>
  </si>
  <si>
    <t>Scudiero</t>
  </si>
  <si>
    <t>commerciale@essediessetende.it</t>
  </si>
  <si>
    <t>Tonolini</t>
  </si>
  <si>
    <t>stefano@tecnofilgas.com</t>
  </si>
  <si>
    <t>fabio.valentini@cme-servizi.it</t>
  </si>
  <si>
    <t>Althea</t>
  </si>
  <si>
    <t>Vaudagna</t>
  </si>
  <si>
    <t>cristina.vaudagna@yahoo.com</t>
  </si>
  <si>
    <t>Guglielmo</t>
  </si>
  <si>
    <t>Zanotto</t>
  </si>
  <si>
    <t>gg.zanotto@gmail.com</t>
  </si>
  <si>
    <t>Albanese</t>
  </si>
  <si>
    <t>albaneseindustrie@gmail.com</t>
  </si>
  <si>
    <t>antonio.ambra@aicnet.it</t>
  </si>
  <si>
    <t xml:space="preserve">Audisio </t>
  </si>
  <si>
    <t>andrea.audisio@gmail.com</t>
  </si>
  <si>
    <t>Baccolo</t>
  </si>
  <si>
    <t>fabio@valchiese.it</t>
  </si>
  <si>
    <t>Bandini</t>
  </si>
  <si>
    <t>posta@gbandini.it</t>
  </si>
  <si>
    <t>Brugnera</t>
  </si>
  <si>
    <t>monica.brugnera@gusella-adv.com</t>
  </si>
  <si>
    <t>Buttignol</t>
  </si>
  <si>
    <t>lucabutty@gmail.com</t>
  </si>
  <si>
    <t>Canal</t>
  </si>
  <si>
    <t>paola.canal@meapforni.com</t>
  </si>
  <si>
    <t>Canarelli</t>
  </si>
  <si>
    <t>vendite@gimmsrl.info</t>
  </si>
  <si>
    <t>Capitanio</t>
  </si>
  <si>
    <t>marco.capitanio@aicnet.it</t>
  </si>
  <si>
    <t>Luciano</t>
  </si>
  <si>
    <t>Cappellotto</t>
  </si>
  <si>
    <t>l.cappellotto@geastar.it</t>
  </si>
  <si>
    <t>Caruso</t>
  </si>
  <si>
    <t>carusosara@hotmail.it</t>
  </si>
  <si>
    <t>Cazzago</t>
  </si>
  <si>
    <t>gianluca.cazzago@putelli.it</t>
  </si>
  <si>
    <t>Ceron</t>
  </si>
  <si>
    <t>nicomatsrlit@gmail.com</t>
  </si>
  <si>
    <t>Cheloni</t>
  </si>
  <si>
    <t>mauro.cheloni@gmail.com</t>
  </si>
  <si>
    <t>Dante</t>
  </si>
  <si>
    <t>nicolettadante69@gmail.com</t>
  </si>
  <si>
    <t>davanzo.filippo@gmail.com</t>
  </si>
  <si>
    <t xml:space="preserve">Del Piano </t>
  </si>
  <si>
    <t>Enrique</t>
  </si>
  <si>
    <t>Delarubia</t>
  </si>
  <si>
    <t>Lucy</t>
  </si>
  <si>
    <t>Dell’Aquila</t>
  </si>
  <si>
    <t>Rodolfo</t>
  </si>
  <si>
    <t>Fabris</t>
  </si>
  <si>
    <t>rodolfo.fabris@greenovaitalia.it</t>
  </si>
  <si>
    <t>Felice</t>
  </si>
  <si>
    <t>daniela.felice@hotmail.it</t>
  </si>
  <si>
    <t>Galassi</t>
  </si>
  <si>
    <t>Massimiliano.Galassi@legaitaly.com</t>
  </si>
  <si>
    <t>Galavotti</t>
  </si>
  <si>
    <t>emiliogalavotti@gmail.com</t>
  </si>
  <si>
    <t xml:space="preserve">Gheda </t>
  </si>
  <si>
    <t xml:space="preserve">Ghilotti </t>
  </si>
  <si>
    <t>info@impresaghilotti.it</t>
  </si>
  <si>
    <t>luisa@architettoghilotti.it</t>
  </si>
  <si>
    <t>Longo</t>
  </si>
  <si>
    <t>longo.sim@gmail.com</t>
  </si>
  <si>
    <t>roberto.migliorati@aicnet.it</t>
  </si>
  <si>
    <t xml:space="preserve">Migliorati </t>
  </si>
  <si>
    <t>Napoleone</t>
  </si>
  <si>
    <t>pat.napoleone@gmail.com</t>
  </si>
  <si>
    <t>Enrica</t>
  </si>
  <si>
    <t xml:space="preserve">Paderni </t>
  </si>
  <si>
    <t>e.paderni@studio-associato.net</t>
  </si>
  <si>
    <t>Panizzo</t>
  </si>
  <si>
    <t>panizzofrancesco@libero.it</t>
  </si>
  <si>
    <t>Pelliconi</t>
  </si>
  <si>
    <t>darpel80@gmail.com</t>
  </si>
  <si>
    <t>Perosa</t>
  </si>
  <si>
    <t>r.perosa@blackship.it</t>
  </si>
  <si>
    <t xml:space="preserve">Piacentini </t>
  </si>
  <si>
    <t>Piccinelli</t>
  </si>
  <si>
    <t>piccinellibeppe@gmail.com</t>
  </si>
  <si>
    <t>Pusateri</t>
  </si>
  <si>
    <t>fpusate@me.com</t>
  </si>
  <si>
    <t>Ornella</t>
  </si>
  <si>
    <t>Ragazzo</t>
  </si>
  <si>
    <t>ragazzo.ornella@yahoo.com</t>
  </si>
  <si>
    <t>Ronchi</t>
  </si>
  <si>
    <t>Rossetto</t>
  </si>
  <si>
    <t>marcorossetto@fastwebnet.it</t>
  </si>
  <si>
    <t>Saviolo</t>
  </si>
  <si>
    <t>giulia.92.saviolo@gmail.com</t>
  </si>
  <si>
    <t>marco.sciarratta@gmail.com</t>
  </si>
  <si>
    <t>Signori</t>
  </si>
  <si>
    <t>riccardo.signori82@gmail.com</t>
  </si>
  <si>
    <t>Tedesco</t>
  </si>
  <si>
    <t>s.tedesco@ergotekitalia.it</t>
  </si>
  <si>
    <t xml:space="preserve">Venturini </t>
  </si>
  <si>
    <t>Vernarecci</t>
  </si>
  <si>
    <t>fvernarecci@e-team.ra.it</t>
  </si>
  <si>
    <t>Paolo Massimiliano</t>
  </si>
  <si>
    <t>Vettori</t>
  </si>
  <si>
    <t>paolo.vettori@fbtanks.it</t>
  </si>
  <si>
    <t>Zanchetta</t>
  </si>
  <si>
    <t>paolo@greenova.biz</t>
  </si>
  <si>
    <t xml:space="preserve">Zanotto </t>
  </si>
  <si>
    <t>Amati</t>
  </si>
  <si>
    <t>luca.amati@sacaspa.it</t>
  </si>
  <si>
    <t>Andreello</t>
  </si>
  <si>
    <t xml:space="preserve">mario.andreello@sabionline.it </t>
  </si>
  <si>
    <t>fabrizio.angeli@avocassociati.com</t>
  </si>
  <si>
    <t>Avesani</t>
  </si>
  <si>
    <t>andreaavesani@hotmail.com</t>
  </si>
  <si>
    <t>Bagnacani</t>
  </si>
  <si>
    <t>Mail Pacci 29.4 che prende rifrequenza gratuita di Elena Veronesi</t>
  </si>
  <si>
    <t>massimo.bagnacani@edenbenessere.it</t>
  </si>
  <si>
    <t>Valter</t>
  </si>
  <si>
    <t>Biolchi</t>
  </si>
  <si>
    <t>valterbiolchi@tempco.it</t>
  </si>
  <si>
    <t>Boldoni</t>
  </si>
  <si>
    <t>boldoni@kisas.it</t>
  </si>
  <si>
    <t>Bordignon</t>
  </si>
  <si>
    <t>marco.bordignon@lago.it</t>
  </si>
  <si>
    <t>Ivano</t>
  </si>
  <si>
    <t>Bordin</t>
  </si>
  <si>
    <t>ivano.bordin@gmail.com</t>
  </si>
  <si>
    <t>Bovo</t>
  </si>
  <si>
    <t>p.bovo@sosnet.eu</t>
  </si>
  <si>
    <t xml:space="preserve">lorenzo@contract-concepts.it </t>
  </si>
  <si>
    <t>Bustreo</t>
  </si>
  <si>
    <t>info@bustreo.it</t>
  </si>
  <si>
    <t>Buziol</t>
  </si>
  <si>
    <t>umberto@seiduesei.ud.it</t>
  </si>
  <si>
    <t>Cagnato</t>
  </si>
  <si>
    <t>info@maxcompany.it</t>
  </si>
  <si>
    <t xml:space="preserve">Luigi </t>
  </si>
  <si>
    <t>Capriotti</t>
  </si>
  <si>
    <t>capriotti@grupposalteco.it</t>
  </si>
  <si>
    <t>Caresano</t>
  </si>
  <si>
    <t>donatella.caresano@dpiu.ch</t>
  </si>
  <si>
    <t>s.caresano@si-pma.it</t>
  </si>
  <si>
    <t>Marialorena</t>
  </si>
  <si>
    <t>marialorena.carlucci@innovatec.it</t>
  </si>
  <si>
    <t>carusodenis@gmail.com</t>
  </si>
  <si>
    <t>Catalani</t>
  </si>
  <si>
    <t>m.catalani@resnova.cloud</t>
  </si>
  <si>
    <t>ivan@seiduesei.ud.it</t>
  </si>
  <si>
    <t>NIcola</t>
  </si>
  <si>
    <t>Comparin</t>
  </si>
  <si>
    <t>sara.comparin.pro@gmail.com</t>
  </si>
  <si>
    <t>De Tommasi</t>
  </si>
  <si>
    <t>filippo.detomasi@innovatec.it</t>
  </si>
  <si>
    <t>Del Carlo</t>
  </si>
  <si>
    <t>giovanni.delcarlo@techstyle.it</t>
  </si>
  <si>
    <t>Del Pellegrino</t>
  </si>
  <si>
    <t>lorenzodelpellegrino@gmail.com</t>
  </si>
  <si>
    <t>Cosimo</t>
  </si>
  <si>
    <t>Falcone</t>
  </si>
  <si>
    <t>falconecosimo@gmail.com</t>
  </si>
  <si>
    <t>Forbice</t>
  </si>
  <si>
    <t>forwineus@me.com</t>
  </si>
  <si>
    <t>Francabandiera</t>
  </si>
  <si>
    <t>Fregnan</t>
  </si>
  <si>
    <t>info@cristinafregnan.it</t>
  </si>
  <si>
    <t>Gazzoli</t>
  </si>
  <si>
    <t>s.gazzoli@sarcosnc.it </t>
  </si>
  <si>
    <t>Giacomel</t>
  </si>
  <si>
    <t>ivan.giacomel@gmail.com</t>
  </si>
  <si>
    <t>Endo</t>
  </si>
  <si>
    <t>Giarin</t>
  </si>
  <si>
    <t>Maria Yesica</t>
  </si>
  <si>
    <t>Gimeno Anguilella</t>
  </si>
  <si>
    <t>com@ricoth.it</t>
  </si>
  <si>
    <t>Giuliano</t>
  </si>
  <si>
    <t>raffaele.giuliano@exaltech.it </t>
  </si>
  <si>
    <t>Germano</t>
  </si>
  <si>
    <t>Grotti</t>
  </si>
  <si>
    <t>grotti@grupposalteco.it</t>
  </si>
  <si>
    <t>Guidolin</t>
  </si>
  <si>
    <t>a.guidolin@gruppoguidolin.net</t>
  </si>
  <si>
    <t>Luppino</t>
  </si>
  <si>
    <t>Maffezzoli</t>
  </si>
  <si>
    <t>ilariamaffezzoli@yahoo.it</t>
  </si>
  <si>
    <t>Manfredi</t>
  </si>
  <si>
    <t>valerio.manfredi@tecamsrl.it</t>
  </si>
  <si>
    <t>Maruelli</t>
  </si>
  <si>
    <t>a.maruelli@gberardi.com</t>
  </si>
  <si>
    <t>Andrea Massimo</t>
  </si>
  <si>
    <t>Mattei</t>
  </si>
  <si>
    <t>andrea.mattei1960@gmail.com</t>
  </si>
  <si>
    <t>Menoncello</t>
  </si>
  <si>
    <t>franco.menoncello@alice.it</t>
  </si>
  <si>
    <t>Migliorini</t>
  </si>
  <si>
    <t>massimo.migliorini@innovatec.it</t>
  </si>
  <si>
    <t>Muretti</t>
  </si>
  <si>
    <t>roberto.muretti@alkiria.it</t>
  </si>
  <si>
    <t>Nicastro</t>
  </si>
  <si>
    <t>nicastro.assigolf@gmail.com</t>
  </si>
  <si>
    <t>Gabriella</t>
  </si>
  <si>
    <t>Ongaro</t>
  </si>
  <si>
    <t>ongarogabri@gmail.com</t>
  </si>
  <si>
    <t>Pasini</t>
  </si>
  <si>
    <t>apasini@ricoth.it</t>
  </si>
  <si>
    <t>Pedrini</t>
  </si>
  <si>
    <t>sara.pedrini@reevo.it</t>
  </si>
  <si>
    <t>Perabò</t>
  </si>
  <si>
    <t>federico.perabo@innovatec.it</t>
  </si>
  <si>
    <t>Ciro</t>
  </si>
  <si>
    <t>persiano@pgassociati.it</t>
  </si>
  <si>
    <t>Picotti</t>
  </si>
  <si>
    <t>nicola@nivaco.eu</t>
  </si>
  <si>
    <t>Polo</t>
  </si>
  <si>
    <t>b.prati@blackship.it</t>
  </si>
  <si>
    <t>manuel.ravasio@innovatec.it</t>
  </si>
  <si>
    <t>dario.resta@alkiria.it</t>
  </si>
  <si>
    <t>Calogero</t>
  </si>
  <si>
    <t>Rizzolo</t>
  </si>
  <si>
    <t>rizzolocalogero@gmail.com</t>
  </si>
  <si>
    <t>Romano</t>
  </si>
  <si>
    <t>d.romano@blackship.it</t>
  </si>
  <si>
    <t>Sala</t>
  </si>
  <si>
    <t>marta0579@icloud.com</t>
  </si>
  <si>
    <t>alessandro.sardena@gmail.com</t>
  </si>
  <si>
    <t>Aurelie</t>
  </si>
  <si>
    <t>Scifo</t>
  </si>
  <si>
    <t>scifo@medacta.ch</t>
  </si>
  <si>
    <t>Gennaro</t>
  </si>
  <si>
    <t>Setola</t>
  </si>
  <si>
    <t>gennarobodyfly@gmail.com</t>
  </si>
  <si>
    <t>Severini</t>
  </si>
  <si>
    <t>riberto140381@gmail.com</t>
  </si>
  <si>
    <t>Silvestrini</t>
  </si>
  <si>
    <t>l.silvestrini@exaltoenergia.it</t>
  </si>
  <si>
    <t>Tomasoni</t>
  </si>
  <si>
    <t>anna@giallopastellointerni.com</t>
  </si>
  <si>
    <t>Tonini</t>
  </si>
  <si>
    <t>luca.tonini@maxcompany.it</t>
  </si>
  <si>
    <t>Selena</t>
  </si>
  <si>
    <t>Toso</t>
  </si>
  <si>
    <t>segreteria@apindustriavenezia.it</t>
  </si>
  <si>
    <t>Troito</t>
  </si>
  <si>
    <t>savalelu@libero.it</t>
  </si>
  <si>
    <t>Vaccarino</t>
  </si>
  <si>
    <t>massimo@thesma.com</t>
  </si>
  <si>
    <t>Verzè</t>
  </si>
  <si>
    <t xml:space="preserve">ivan@nivaco.eu </t>
  </si>
  <si>
    <t>Zani</t>
  </si>
  <si>
    <t>agente.zaniluca@gmail.com</t>
  </si>
  <si>
    <t>Zingaro</t>
  </si>
  <si>
    <t>christian.zingaro@green-up.it</t>
  </si>
  <si>
    <t>marco.zingaro@green-up.it</t>
  </si>
  <si>
    <t>Zorzoli</t>
  </si>
  <si>
    <t xml:space="preserve">d.zorzoli@biosmanagement.it </t>
  </si>
  <si>
    <t>I-Chen</t>
  </si>
  <si>
    <t>Zuffellato</t>
  </si>
  <si>
    <t>direzione@caliven.it</t>
  </si>
  <si>
    <t>Artioli</t>
  </si>
  <si>
    <t>gianluca.artioli@deltares.it</t>
  </si>
  <si>
    <t>nicolas.baglioni@gmail.com</t>
  </si>
  <si>
    <t>Bandieri</t>
  </si>
  <si>
    <t>silvia.bandieri@maw.it</t>
  </si>
  <si>
    <t>Bassani</t>
  </si>
  <si>
    <t>roberta.bassani@maw.it</t>
  </si>
  <si>
    <t>Bertoni</t>
  </si>
  <si>
    <t>k.bertoni@blackship.it</t>
  </si>
  <si>
    <t>agenzia.bevilacqua@gmail.com</t>
  </si>
  <si>
    <t>marco@exportline.srl</t>
  </si>
  <si>
    <t>mirco.bianco@arrex.it</t>
  </si>
  <si>
    <t>Biasin</t>
  </si>
  <si>
    <t>arianna.biasin@gmail.com</t>
  </si>
  <si>
    <t>Bresciani</t>
  </si>
  <si>
    <t>fabrizio.bresciani@imageline.it</t>
  </si>
  <si>
    <t>Burlando</t>
  </si>
  <si>
    <t>Stefanoburlando@sodico.it</t>
  </si>
  <si>
    <t xml:space="preserve">Elisabetta </t>
  </si>
  <si>
    <t>Cammareri</t>
  </si>
  <si>
    <t>elisabetta.cammareri@maw.it</t>
  </si>
  <si>
    <t>Candotti</t>
  </si>
  <si>
    <t>filgopro@gmail.com</t>
  </si>
  <si>
    <t>Matthias</t>
  </si>
  <si>
    <t>Capelli</t>
  </si>
  <si>
    <t>m.capelli@medimec.it</t>
  </si>
  <si>
    <t>Casotto</t>
  </si>
  <si>
    <t>filippo.casotto@blublublu.it</t>
  </si>
  <si>
    <t>m.catalini@alice.it</t>
  </si>
  <si>
    <t>Cavedaghi</t>
  </si>
  <si>
    <t>luca.cavedaghi@cualeva.com</t>
  </si>
  <si>
    <t>Chiari</t>
  </si>
  <si>
    <t>gilberto.chiari@tutorinternational.com</t>
  </si>
  <si>
    <t>p.colombo@trasmetal.net</t>
  </si>
  <si>
    <t>Corti</t>
  </si>
  <si>
    <t>mrm@mecenate.com</t>
  </si>
  <si>
    <t>Dalla Valle</t>
  </si>
  <si>
    <t>damiano.dallavalle@labrenta.com</t>
  </si>
  <si>
    <t>D'Ambrosio</t>
  </si>
  <si>
    <t>annalisa.dambrosio@maw.it</t>
  </si>
  <si>
    <t>Danieli</t>
  </si>
  <si>
    <t>valentina.danieli@aircontrolclima.it</t>
  </si>
  <si>
    <t>D'avanzo</t>
  </si>
  <si>
    <t>De Tomasi</t>
  </si>
  <si>
    <t>federico.detomasi@tutorinternational.com</t>
  </si>
  <si>
    <t>Delli Ponti</t>
  </si>
  <si>
    <t>Eugeniodelliponti9@gmail.com</t>
  </si>
  <si>
    <t>Embri</t>
  </si>
  <si>
    <t>federica.embri@maw.it</t>
  </si>
  <si>
    <t>Falconieri</t>
  </si>
  <si>
    <t>salvatore.falconieri@duplex.it</t>
  </si>
  <si>
    <t>Federici</t>
  </si>
  <si>
    <t>simone.federici@simfed.it</t>
  </si>
  <si>
    <t>siferrari@yahoo.it</t>
  </si>
  <si>
    <t>luca.gatti@aircontrolclima.it</t>
  </si>
  <si>
    <t>Gerardini</t>
  </si>
  <si>
    <t>info@eurosicbrescia.it </t>
  </si>
  <si>
    <t>Girelli</t>
  </si>
  <si>
    <t>valentina.girelli@maw.it</t>
  </si>
  <si>
    <t>amministrazione@lessioporte.com</t>
  </si>
  <si>
    <t>Losi</t>
  </si>
  <si>
    <t>m.losi@labanalysis.it</t>
  </si>
  <si>
    <t>Sandro</t>
  </si>
  <si>
    <t>Lucchese</t>
  </si>
  <si>
    <t>sandro.lucchese@libero.it</t>
  </si>
  <si>
    <t>Sasa</t>
  </si>
  <si>
    <t>Lucic</t>
  </si>
  <si>
    <t>sasalucic@hotmail.com</t>
  </si>
  <si>
    <t>Macchi</t>
  </si>
  <si>
    <t>paolo.macchi@mcr.it</t>
  </si>
  <si>
    <t>Maiorana</t>
  </si>
  <si>
    <t>andrea.maiorana@pratiagenciesltd.com</t>
  </si>
  <si>
    <t>Lisa</t>
  </si>
  <si>
    <t>l.marchetti@algorubber.it</t>
  </si>
  <si>
    <t>Olivo</t>
  </si>
  <si>
    <t>o.marchetti@algorubber.it</t>
  </si>
  <si>
    <t>Mazzola</t>
  </si>
  <si>
    <t>roberta.mazzola@maw.it</t>
  </si>
  <si>
    <t>Moira</t>
  </si>
  <si>
    <t>Merlo</t>
  </si>
  <si>
    <t>moira.merlo@maw.it</t>
  </si>
  <si>
    <t>michele.mezzi@xeos.it</t>
  </si>
  <si>
    <t>Milano</t>
  </si>
  <si>
    <t>massimo.milano@hsi.ch</t>
  </si>
  <si>
    <t>Mariangela</t>
  </si>
  <si>
    <t>mariangela.munaro@gmail.com</t>
  </si>
  <si>
    <t>Nicoli</t>
  </si>
  <si>
    <t>giorgio.nicoli@yourbiz.it</t>
  </si>
  <si>
    <t>Nocerino</t>
  </si>
  <si>
    <t>maurizio@rcstecnoimpianti.it</t>
  </si>
  <si>
    <t>Lavinia</t>
  </si>
  <si>
    <t>oliveri@galdus.it</t>
  </si>
  <si>
    <t>Pieropan</t>
  </si>
  <si>
    <t>mattia@agenziapieropan.it</t>
  </si>
  <si>
    <t>Pizzamiglio</t>
  </si>
  <si>
    <t>pizzamigliomarco75@gmail.com</t>
  </si>
  <si>
    <t>pietro.poli@yourbiz.it</t>
  </si>
  <si>
    <t>cristinaprati@hotmail.com</t>
  </si>
  <si>
    <t>Riva</t>
  </si>
  <si>
    <t>tantapolenta@gmail.com</t>
  </si>
  <si>
    <t>Roma</t>
  </si>
  <si>
    <t>info@romagiuseppe.net</t>
  </si>
  <si>
    <t>grafichewebart@alice.it</t>
  </si>
  <si>
    <t>Tallarini</t>
  </si>
  <si>
    <t>laura.tallarini@maw.it</t>
  </si>
  <si>
    <t>Tegoletti</t>
  </si>
  <si>
    <t>Giuseppe.ullo@agenzialeasing.com</t>
  </si>
  <si>
    <t>Uzzo</t>
  </si>
  <si>
    <t>davide.uzzo@gmail.com</t>
  </si>
  <si>
    <t>Vallerini Galan</t>
  </si>
  <si>
    <t>stefano@slownet.it</t>
  </si>
  <si>
    <t xml:space="preserve">Silvia </t>
  </si>
  <si>
    <t>Verderame</t>
  </si>
  <si>
    <t>silvia.verderame@maw.it</t>
  </si>
  <si>
    <t>Frederic</t>
  </si>
  <si>
    <t>Vigneux </t>
  </si>
  <si>
    <t>fedevi78@virgilio.it</t>
  </si>
  <si>
    <t>Zampedri</t>
  </si>
  <si>
    <t>simone.zampedri@gmail.com</t>
  </si>
  <si>
    <t xml:space="preserve">Veronica </t>
  </si>
  <si>
    <t>Zampieri</t>
  </si>
  <si>
    <t>veronica.zampieri@maw.it</t>
  </si>
  <si>
    <t>Zanotta</t>
  </si>
  <si>
    <t>valentina@attilioimperiali.it</t>
  </si>
  <si>
    <t>Seniority</t>
  </si>
  <si>
    <t>Compensation Docenza Singola per Requisiti di Prezzo e Marginalità Soddisfatti</t>
  </si>
  <si>
    <t>Compensation Co-Docenza per Requisiti di Prezzo e Marginalità Soddisfatti</t>
  </si>
  <si>
    <t>Prezzo Netto (al netto delle Spese) di Vendita a Giornata per Full Compensation e Requisiti di Marginalità Soddisfatti</t>
  </si>
  <si>
    <t>Requisiti di Marginalità Netta</t>
  </si>
  <si>
    <t>Requisiti per il Passaggio</t>
  </si>
  <si>
    <t>Master Trainer</t>
  </si>
  <si>
    <t>&gt; € 4.000</t>
  </si>
  <si>
    <t>&gt; 40%</t>
  </si>
  <si>
    <t>&gt; 50 gg da Senior Trainer per quella specifica tipologia di corsi</t>
  </si>
  <si>
    <t>Valutazioni Media dei Clienti &gt; 9,25</t>
  </si>
  <si>
    <t>Valutazione Media dei Master Trainer &gt; 3,5</t>
  </si>
  <si>
    <t>Fatturato minimo complessivo nell'anno &gt; 100.000 Euro</t>
  </si>
  <si>
    <t>Numero di clienti attivati in proprio all'anno 2</t>
  </si>
  <si>
    <t>Investire il 10% del proprio fatturato con blackship in formazione personale</t>
  </si>
  <si>
    <t>Senior Trainer</t>
  </si>
  <si>
    <t>€ 2.500 - 4.000</t>
  </si>
  <si>
    <t>&gt; 35%</t>
  </si>
  <si>
    <t>&gt; 25 gg da Trainer per quella specifica tipologia di corsi</t>
  </si>
  <si>
    <t>Valutazioni Media dei Clienti &gt; 9,00</t>
  </si>
  <si>
    <t>Valutazione Media dei Master Trainer &gt; 3,25</t>
  </si>
  <si>
    <t>Fatturato minimo complessivo nell'anno &gt; 50.000 Euro</t>
  </si>
  <si>
    <t>Numero di clienti attivati in proprio all'anno 1</t>
  </si>
  <si>
    <t>Investire il 5% del proprio fatturato con blackship in formazione personale</t>
  </si>
  <si>
    <t>Trainer</t>
  </si>
  <si>
    <t>€ 1.500 - 2.500</t>
  </si>
  <si>
    <t>&gt; 30%</t>
  </si>
  <si>
    <t>Per nomina</t>
  </si>
  <si>
    <t>Head Coach</t>
  </si>
  <si>
    <t>&gt; 30 gg da Senior Coach</t>
  </si>
  <si>
    <t>Valutazione Media dei Trainer o Head Coach &gt; 3,25</t>
  </si>
  <si>
    <t>Senior Coach</t>
  </si>
  <si>
    <t>&gt; 15 gg da Coach</t>
  </si>
  <si>
    <t>Valutazione Media dei Trainer o Head Coach &gt; 3</t>
  </si>
  <si>
    <t>16-17-18 luglio (SA), 29-30-31 ottobre, 19-20-21 novembre, 11-12 dicembre</t>
  </si>
  <si>
    <t>Lazise</t>
  </si>
  <si>
    <t>Alessia Preda</t>
  </si>
  <si>
    <t>Trainer e Assistenti</t>
  </si>
  <si>
    <t>Andrea Avesani</t>
  </si>
  <si>
    <t>Prezzo Effettivo</t>
  </si>
  <si>
    <t>Pasquale Acampora (SA)</t>
  </si>
  <si>
    <t>Referral da altra Source Social</t>
  </si>
  <si>
    <t>Davide Z.</t>
  </si>
  <si>
    <t>Chiara Salvetti</t>
  </si>
  <si>
    <t>HC</t>
  </si>
  <si>
    <t>Matte</t>
  </si>
  <si>
    <t>Bruno Faustino Galli (SA)</t>
  </si>
  <si>
    <t>Michelangelo</t>
  </si>
  <si>
    <t>Davide U.</t>
  </si>
  <si>
    <t>SC</t>
  </si>
  <si>
    <t>Corinne Peano</t>
  </si>
  <si>
    <t>Davide Zamuner</t>
  </si>
  <si>
    <t>Emanuele Sabatino</t>
  </si>
  <si>
    <t>Emilio Galavotti</t>
  </si>
  <si>
    <t>Michelangelo Gatto</t>
  </si>
  <si>
    <t>Totale Trainer &amp; Assistenti</t>
  </si>
  <si>
    <t>Giornate di Sopralluogo</t>
  </si>
  <si>
    <t>Sopralluoghi</t>
  </si>
  <si>
    <t>Totale Sopralluoghi</t>
  </si>
  <si>
    <t>Royalties, Materiali &amp; Spese Varie</t>
  </si>
  <si>
    <t>Altre Voci di Spesa</t>
  </si>
  <si>
    <t>Totale Voce di Spesa</t>
  </si>
  <si>
    <t>Rimborsi Pasquale Acampora SA</t>
  </si>
  <si>
    <t>Rimborsi Barbara Prati SA</t>
  </si>
  <si>
    <t>Rimborsi Bruno Faustino Galli SA</t>
  </si>
  <si>
    <t>Rimborsi Chiara Salvetti SA</t>
  </si>
  <si>
    <t>Rimborsi Claudia Di Benedetto SA</t>
  </si>
  <si>
    <t>Rimborsi Cristian Acampora SA</t>
  </si>
  <si>
    <t>Rimborsi Cristian Benzoni SA</t>
  </si>
  <si>
    <t>Rimborsi Daniela Romano SA</t>
  </si>
  <si>
    <t>Rimborsi Daniele Zorzoli SA</t>
  </si>
  <si>
    <t>Rimborsi Davide Bianco Momesso SA</t>
  </si>
  <si>
    <t>Rimborsi Fabio Cutrera SA</t>
  </si>
  <si>
    <t>Rimborsi Gianluca Bandini SA</t>
  </si>
  <si>
    <t>Rimborsi Katiuscia Bertoni SA</t>
  </si>
  <si>
    <t>Rimborsi Raffaella Andrello SA</t>
  </si>
  <si>
    <t>Rimborsi Roberto Perosa SA</t>
  </si>
  <si>
    <t>Rimborsi Stefano Vallerini Galan SA</t>
  </si>
  <si>
    <t>Sala Hotel Corso Camere &amp; Pranzi SA</t>
  </si>
  <si>
    <t>(Hotel Caesius reale €10.946,36 i.e. + Cena pagata Pacci € 462,40 i.c.) Nel costo dell'hotel sono comprese le spese che Bruno dovrà rimborsare in contanti per Michela così suddivise: € 10,00 noleggio bici +  € 4,50 tassa soggiorno + € 69,00 x n° 3 pranzi + € 403,50 camera + € ?? cene = tot. 487,00 ic.</t>
  </si>
  <si>
    <t>Service Audio e Palco SA</t>
  </si>
  <si>
    <t>Ludovico e Piero</t>
  </si>
  <si>
    <t>Manuali e Materiali SA</t>
  </si>
  <si>
    <t xml:space="preserve">596,30 stampe Podetta + € 176,38 Davide + € 40,70 Raffa + € 41,80 Stefano + € 178,50 tondini di ferro </t>
  </si>
  <si>
    <t>Gadget SA</t>
  </si>
  <si>
    <t>Cartamundi</t>
  </si>
  <si>
    <t>Servizi di Facchinaggio SA</t>
  </si>
  <si>
    <t>Noleggio furgone + copertura danno SA</t>
  </si>
  <si>
    <t>Rimborsi Pasquale Acampora VT</t>
  </si>
  <si>
    <t>Rimborsi Barbara Prati VT</t>
  </si>
  <si>
    <t>Rimborsi Bruno Faustino Galli VT</t>
  </si>
  <si>
    <t>Rimborsi Chiara Salvetti VT</t>
  </si>
  <si>
    <t>Rimborsi Claudia Di Benedetto VT</t>
  </si>
  <si>
    <t>Rimborsi Cristian Acampora VT</t>
  </si>
  <si>
    <t>Rimborsi Cristian Benzoni VT</t>
  </si>
  <si>
    <t>Rimborsi Daniela Romano VT</t>
  </si>
  <si>
    <t>Rimborsi Daniele Zorzoli VT</t>
  </si>
  <si>
    <t>Rimborsi Davide Bianco Momesso VT</t>
  </si>
  <si>
    <t>Rimborsi Fabio Cutrera VT</t>
  </si>
  <si>
    <t>Rimborsi Gianluca Bandini VT</t>
  </si>
  <si>
    <t>Rimborsi Giorgia Girelli VT</t>
  </si>
  <si>
    <t>Rimborsi Katiuscia Bertoni VT</t>
  </si>
  <si>
    <t>Rimborsi Marco Vittiglio VT</t>
  </si>
  <si>
    <t>Rimborsi Raffaella Andrello VT</t>
  </si>
  <si>
    <t>Rimborsi Roberto Perosa VT</t>
  </si>
  <si>
    <t>Rimborsi Stefano Vallerini Galan VT</t>
  </si>
  <si>
    <t>Rimborsi Valentina Ullo VT</t>
  </si>
  <si>
    <t>Sala Hotel Corso Camere &amp; Pranzi e Cene VT</t>
  </si>
  <si>
    <t>Hotel Parchi Del Garda, detratti, pernottamenti+pasti Alice, rimborsati da Cri (165 €  pernottamento n° 3 notti, 110 €  n° 5 pasti)</t>
  </si>
  <si>
    <t>Service Audio e Palco VT</t>
  </si>
  <si>
    <t>Audioluci</t>
  </si>
  <si>
    <t>Manuali e Materiali VT</t>
  </si>
  <si>
    <t>Tipografia Podetta + Marchina (Coaching Guide)+ Puntoffset (Infografiche VB2B)</t>
  </si>
  <si>
    <t>Gadget VT</t>
  </si>
  <si>
    <t xml:space="preserve">Legami </t>
  </si>
  <si>
    <t>Gadget PMP (Blocknotes)</t>
  </si>
  <si>
    <t>Noleggio e danno furgone + carburante/pedaggi</t>
  </si>
  <si>
    <t>€ 2,90*2 Pedaggi + € 14,34 Carburante + € 252,00 Noleggio Furgone fattura Move Up + € 30,00 Fattura Move Up danno furgone</t>
  </si>
  <si>
    <t>Rimborsi Pasquale Acampora VS</t>
  </si>
  <si>
    <t>Rimborsi Barbara Prati VS</t>
  </si>
  <si>
    <t>Rimborsi Bruno Faustino Galli VS</t>
  </si>
  <si>
    <t>Rimborsi Chiara Salvetti VS</t>
  </si>
  <si>
    <t>Rimborsi Claudia Di Benedetto VS</t>
  </si>
  <si>
    <t>Rimborsi Cristian Acampora VS</t>
  </si>
  <si>
    <t>Rimborsi Cristian Benzoni VS</t>
  </si>
  <si>
    <t>Rimborsi Daniela Romano VS</t>
  </si>
  <si>
    <t>Rimborsi Daniele Zorzoli VS</t>
  </si>
  <si>
    <t>Rimborsi Davide Bianco Momesso VS</t>
  </si>
  <si>
    <t>Rimborsi Fabio Cutrera VS</t>
  </si>
  <si>
    <t>Rimborsi Gianluca Bandini VS</t>
  </si>
  <si>
    <t>Rimborsi Giorgia Girelli VS</t>
  </si>
  <si>
    <t>Rimborsi Katiuscia Bertoni VS</t>
  </si>
  <si>
    <t>Rimborsi Manuela Bertoni VS</t>
  </si>
  <si>
    <t>Rimborsi Marco Vittiglio VS</t>
  </si>
  <si>
    <t>Rimborsi Raffaella Andrello VS</t>
  </si>
  <si>
    <t>Rimborsi Roberto Perosa VS</t>
  </si>
  <si>
    <t>Rimborsi Stefano Vallerini Galan VS</t>
  </si>
  <si>
    <t>Service Audio e Palco VS</t>
  </si>
  <si>
    <t>Manuali e Materiali VS</t>
  </si>
  <si>
    <t>Tipografia Podetta + Marchina (Coaching Guide pieghevoli + Roadmap nuovo)+ Puntoffset (Infografiche MIV)</t>
  </si>
  <si>
    <t>Post-it e scatole Materiali Vendita Strategica</t>
  </si>
  <si>
    <t>Gadget VS</t>
  </si>
  <si>
    <t>Legami</t>
  </si>
  <si>
    <t>Noleggio Furgone VS + carburante/pedaggi</t>
  </si>
  <si>
    <t>Fattura Move Up + Carburante e Pedaggi</t>
  </si>
  <si>
    <t>Rimborsi Pasquale Acampora N</t>
  </si>
  <si>
    <t>Rimborsi Barbara Prati N</t>
  </si>
  <si>
    <t>Rimborsi Bruno Faustino Galli N</t>
  </si>
  <si>
    <t>Rimborsi Chiara Salvetti N</t>
  </si>
  <si>
    <t>Rimborsi Claudia Di Benedetto N</t>
  </si>
  <si>
    <t>Rimborsi Cristian Acampora N</t>
  </si>
  <si>
    <t>Rimborsi Cristian Benzoni N</t>
  </si>
  <si>
    <t>Rimborsi Daniela Romano N</t>
  </si>
  <si>
    <t>Rimborsi Daniele Zorzoli N</t>
  </si>
  <si>
    <t>Rimborsi Davide Bianco Momesso N</t>
  </si>
  <si>
    <t>Rimborsi Fabio Cutrera N</t>
  </si>
  <si>
    <t>Rimborsi Gianluca Bandini N</t>
  </si>
  <si>
    <t>Rimborsi Katiuscia Bertoni N</t>
  </si>
  <si>
    <t>Rimborsi Manuela Bertoni N</t>
  </si>
  <si>
    <t>Rimborsi Raffaella Andrello N</t>
  </si>
  <si>
    <t>Rimborsi Roberto Perosa N</t>
  </si>
  <si>
    <t>Rimborsi Stefano Vallerini Galan N</t>
  </si>
  <si>
    <r>
      <rPr>
        <sz val="10"/>
        <color theme="1"/>
        <rFont val="Arial"/>
        <family val="2"/>
      </rPr>
      <t>Hotel Parchi Del Garda € 9.429,76</t>
    </r>
    <r>
      <rPr>
        <sz val="10"/>
        <color rgb="FFFF0000"/>
        <rFont val="Arial"/>
        <family val="2"/>
      </rPr>
      <t xml:space="preserve"> </t>
    </r>
    <r>
      <rPr>
        <sz val="10"/>
        <color theme="1"/>
        <rFont val="Arial"/>
        <family val="2"/>
      </rPr>
      <t xml:space="preserve"> + Pranzi e Pernottamenti € 204,00 (anticipati da Stefano) - detratti, pernottamenti+pasti Alice, rimborsati da Cri (110 €  pernottamento n° 2 notti, 66 €  n° 3 pasti)</t>
    </r>
  </si>
  <si>
    <t>Service Audio e Palco N</t>
  </si>
  <si>
    <t xml:space="preserve">Audioluci </t>
  </si>
  <si>
    <t>Manuali e Materiali N</t>
  </si>
  <si>
    <t>Nastro rosso (anticipati da Davide)  + Marchina (Coaching Guide) + Tipografia Podetta</t>
  </si>
  <si>
    <t>Move Up + Carburante € 33,68 e Pedaggi € 5,80</t>
  </si>
  <si>
    <t>Gadget N</t>
  </si>
  <si>
    <t>Totale Spese Varie</t>
  </si>
  <si>
    <t>Ricavi Totali</t>
  </si>
  <si>
    <t>Regola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</si>
</sst>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_-[$€-410]\ * #,##0.00_-;\-[$€-410]\ * #,##0.00_-;_-[$€-410]\ * &quot;-&quot;??_-;_-@"/>
    <numFmt numFmtId="165" formatCode="[$€-2]\ #,##0.00"/>
    <numFmt numFmtId="166" formatCode="[$-410]d\-mmm\-yy"/>
    <numFmt numFmtId="167" formatCode="d/m/yyyy"/>
    <numFmt numFmtId="168" formatCode="d\-mmm\-yy"/>
    <numFmt numFmtId="169" formatCode="&quot;€&quot;\ #,##0.00;[Red]\-&quot;€&quot;\ #,##0.00"/>
    <numFmt numFmtId="170" formatCode="[$-410]d\ mmmm\ yyyy"/>
    <numFmt numFmtId="171" formatCode="_-&quot;€&quot;\ * #,##0.00_-;\-&quot;€&quot;\ * #,##0.00_-;_-&quot;€&quot;\ * &quot;-&quot;??_-;_-@"/>
    <numFmt numFmtId="172" formatCode="&quot;€&quot;#,##0.00"/>
    <numFmt numFmtId="173" formatCode="yyyy/m"/>
    <numFmt numFmtId="174" formatCode="&quot;€&quot;\ #,##0.0000"/>
    <numFmt numFmtId="175" formatCode="#,##0.00&quot;€&quot;"/>
    <numFmt numFmtId="176" formatCode="0.0%"/>
    <numFmt numFmtId="177" formatCode="d\-m"/>
    <numFmt numFmtId="178" formatCode="_-* #,##0.00\ &quot;€&quot;_-;\-* #,##0.00\ &quot;€&quot;_-;_-* &quot;-&quot;??\ &quot;€&quot;_-;_-@"/>
  </numFmts>
  <fonts count="158">
    <font>
      <sz val="10"/>
      <color rgb="FF000000"/>
      <name val="Calibri"/>
      <scheme val="minor"/>
    </font>
    <font>
      <sz val="10"/>
      <color theme="1"/>
      <name val="Calibri"/>
      <family val="2"/>
    </font>
    <font>
      <b/>
      <sz val="10"/>
      <color theme="1"/>
      <name val="Arial"/>
      <family val="2"/>
    </font>
    <font>
      <sz val="10"/>
      <color theme="1"/>
      <name val="Calibri"/>
      <family val="2"/>
      <scheme val="minor"/>
    </font>
    <font>
      <b/>
      <sz val="10"/>
      <color rgb="FF000000"/>
      <name val="Calibri"/>
      <family val="2"/>
    </font>
    <font>
      <b/>
      <sz val="10"/>
      <color theme="1"/>
      <name val="Calibri"/>
      <family val="2"/>
    </font>
    <font>
      <b/>
      <sz val="10"/>
      <color theme="1"/>
      <name val="Calibri"/>
      <family val="2"/>
      <scheme val="minor"/>
    </font>
    <font>
      <sz val="10"/>
      <color theme="1"/>
      <name val="Arial"/>
      <family val="2"/>
    </font>
    <font>
      <b/>
      <i/>
      <sz val="10"/>
      <color rgb="FFFF0000"/>
      <name val="Calibri"/>
      <family val="2"/>
    </font>
    <font>
      <sz val="10"/>
      <color theme="1"/>
      <name val="Calibri"/>
      <family val="2"/>
    </font>
    <font>
      <sz val="10"/>
      <color rgb="FF000000"/>
      <name val="Calibri"/>
      <family val="2"/>
    </font>
    <font>
      <b/>
      <sz val="10"/>
      <color rgb="FF000000"/>
      <name val="Arial"/>
      <family val="2"/>
    </font>
    <font>
      <b/>
      <sz val="12"/>
      <color rgb="FF000000"/>
      <name val="Calibri"/>
      <family val="2"/>
    </font>
    <font>
      <sz val="10"/>
      <color rgb="FF000000"/>
      <name val="Calibri"/>
      <family val="2"/>
    </font>
    <font>
      <b/>
      <sz val="11"/>
      <color theme="1"/>
      <name val="Arial"/>
      <family val="2"/>
    </font>
    <font>
      <b/>
      <sz val="11"/>
      <color theme="1"/>
      <name val="Avenir"/>
    </font>
    <font>
      <sz val="10"/>
      <color rgb="FF222222"/>
      <name val="Arial"/>
      <family val="2"/>
    </font>
    <font>
      <sz val="10"/>
      <color rgb="FF000000"/>
      <name val="Arial"/>
      <family val="2"/>
    </font>
    <font>
      <b/>
      <i/>
      <sz val="10"/>
      <color rgb="FFFF0000"/>
      <name val="Arial"/>
      <family val="2"/>
    </font>
    <font>
      <sz val="10"/>
      <color theme="1"/>
      <name val="Avenir"/>
    </font>
    <font>
      <sz val="10"/>
      <color rgb="FF000000"/>
      <name val="Arial"/>
      <family val="2"/>
    </font>
    <font>
      <u/>
      <sz val="10"/>
      <color theme="1"/>
      <name val="Arial"/>
      <family val="2"/>
    </font>
    <font>
      <sz val="10"/>
      <color rgb="FF000000"/>
      <name val="Avenir"/>
    </font>
    <font>
      <sz val="10"/>
      <color rgb="FFFFFFFF"/>
      <name val="Arial"/>
      <family val="2"/>
    </font>
    <font>
      <b/>
      <sz val="11"/>
      <color rgb="FFFF0000"/>
      <name val="Avenir"/>
    </font>
    <font>
      <b/>
      <sz val="11"/>
      <color rgb="FFFF0000"/>
      <name val="Calibri"/>
      <family val="2"/>
    </font>
    <font>
      <sz val="11"/>
      <color theme="1"/>
      <name val="Avenir"/>
    </font>
    <font>
      <u/>
      <sz val="11"/>
      <color rgb="FF000000"/>
      <name val="Avenir"/>
    </font>
    <font>
      <sz val="11"/>
      <color theme="1"/>
      <name val="Calibri"/>
      <family val="2"/>
    </font>
    <font>
      <b/>
      <u/>
      <sz val="10"/>
      <color theme="1"/>
      <name val="Arial"/>
      <family val="2"/>
    </font>
    <font>
      <b/>
      <i/>
      <u/>
      <sz val="10"/>
      <color rgb="FFFF0000"/>
      <name val="Arial"/>
      <family val="2"/>
    </font>
    <font>
      <u/>
      <sz val="10"/>
      <color theme="1"/>
      <name val="Arial"/>
      <family val="2"/>
    </font>
    <font>
      <sz val="8"/>
      <color theme="1"/>
      <name val="Arial"/>
      <family val="2"/>
    </font>
    <font>
      <sz val="10"/>
      <color theme="1"/>
      <name val="Arial"/>
      <family val="2"/>
    </font>
    <font>
      <b/>
      <sz val="10"/>
      <color rgb="FFFF0000"/>
      <name val="Arial"/>
      <family val="2"/>
    </font>
    <font>
      <u/>
      <sz val="10"/>
      <color theme="1"/>
      <name val="Arial"/>
      <family val="2"/>
    </font>
    <font>
      <sz val="10"/>
      <color rgb="FFFF0000"/>
      <name val="Arial"/>
      <family val="2"/>
    </font>
    <font>
      <b/>
      <sz val="9"/>
      <color rgb="FF1F1F1F"/>
      <name val="Arial"/>
      <family val="2"/>
    </font>
    <font>
      <sz val="10"/>
      <color rgb="FF0000D4"/>
      <name val="Arial"/>
      <family val="2"/>
    </font>
    <font>
      <b/>
      <sz val="11"/>
      <color rgb="FF000000"/>
      <name val="Calibri"/>
      <family val="2"/>
    </font>
    <font>
      <u/>
      <sz val="10"/>
      <color theme="1"/>
      <name val="Arial"/>
      <family val="2"/>
    </font>
    <font>
      <u/>
      <sz val="10"/>
      <color theme="1"/>
      <name val="Arial"/>
      <family val="2"/>
    </font>
    <font>
      <u/>
      <sz val="10"/>
      <color rgb="FF000000"/>
      <name val="Arial"/>
      <family val="2"/>
    </font>
    <font>
      <b/>
      <sz val="11"/>
      <color rgb="FF000000"/>
      <name val="Arial"/>
      <family val="2"/>
    </font>
    <font>
      <sz val="11"/>
      <color rgb="FF000000"/>
      <name val="Arial"/>
      <family val="2"/>
    </font>
    <font>
      <sz val="11"/>
      <color rgb="FF70757A"/>
      <name val="Arial"/>
      <family val="2"/>
    </font>
    <font>
      <b/>
      <sz val="10"/>
      <color rgb="FF000000"/>
      <name val="Avenir"/>
    </font>
    <font>
      <sz val="11"/>
      <color rgb="FF4D5156"/>
      <name val="Arial"/>
      <family val="2"/>
    </font>
    <font>
      <sz val="10"/>
      <color rgb="FF4D5156"/>
      <name val="Arial"/>
      <family val="2"/>
    </font>
    <font>
      <sz val="12"/>
      <color rgb="FF000000"/>
      <name val="Calibri"/>
      <family val="2"/>
    </font>
    <font>
      <sz val="11"/>
      <color theme="1"/>
      <name val="Arial"/>
      <family val="2"/>
    </font>
    <font>
      <sz val="10"/>
      <color rgb="FFFFFFFF"/>
      <name val="Avenir"/>
    </font>
    <font>
      <b/>
      <sz val="10"/>
      <color theme="1"/>
      <name val="Arial"/>
      <family val="2"/>
    </font>
    <font>
      <sz val="10"/>
      <color theme="1"/>
      <name val="Avenir"/>
    </font>
    <font>
      <sz val="10"/>
      <color rgb="FF222222"/>
      <name val="Arial"/>
      <family val="2"/>
    </font>
    <font>
      <b/>
      <i/>
      <sz val="10"/>
      <color rgb="FFFF0000"/>
      <name val="Arial"/>
      <family val="2"/>
    </font>
    <font>
      <u/>
      <sz val="10"/>
      <color rgb="FF000000"/>
      <name val="Arial"/>
      <family val="2"/>
    </font>
    <font>
      <b/>
      <sz val="10"/>
      <color rgb="FF000000"/>
      <name val="Arial"/>
      <family val="2"/>
    </font>
    <font>
      <sz val="10"/>
      <color rgb="FF595959"/>
      <name val="Arial"/>
      <family val="2"/>
    </font>
    <font>
      <b/>
      <u/>
      <sz val="11"/>
      <color rgb="FF000000"/>
      <name val="Arial"/>
      <family val="2"/>
    </font>
    <font>
      <b/>
      <u/>
      <sz val="11"/>
      <color rgb="FF000000"/>
      <name val="Arial"/>
      <family val="2"/>
    </font>
    <font>
      <u/>
      <sz val="12"/>
      <color rgb="FF0000FF"/>
      <name val="Calibri"/>
      <family val="2"/>
    </font>
    <font>
      <sz val="11"/>
      <color rgb="FF242424"/>
      <name val="Verdana"/>
      <family val="2"/>
    </font>
    <font>
      <b/>
      <sz val="11"/>
      <color rgb="FF242424"/>
      <name val="Calibri"/>
      <family val="2"/>
      <scheme val="minor"/>
    </font>
    <font>
      <sz val="10"/>
      <color rgb="FF444444"/>
      <name val="Calibri"/>
      <family val="2"/>
      <scheme val="minor"/>
    </font>
    <font>
      <u/>
      <sz val="10"/>
      <color rgb="FF000000"/>
      <name val="Avenir"/>
    </font>
    <font>
      <u/>
      <sz val="10"/>
      <color rgb="FF000000"/>
      <name val="Avenir"/>
    </font>
    <font>
      <b/>
      <u/>
      <sz val="11"/>
      <color rgb="FF000000"/>
      <name val="Arial"/>
      <family val="2"/>
    </font>
    <font>
      <sz val="11"/>
      <color rgb="FF202124"/>
      <name val="Arial"/>
      <family val="2"/>
    </font>
    <font>
      <sz val="10"/>
      <color rgb="FFFFFFFF"/>
      <name val="Calibri"/>
      <family val="2"/>
    </font>
    <font>
      <u/>
      <sz val="10"/>
      <color theme="1"/>
      <name val="Arial"/>
      <family val="2"/>
    </font>
    <font>
      <u/>
      <sz val="11"/>
      <color rgb="FF0563C1"/>
      <name val="Calibri"/>
      <family val="2"/>
    </font>
    <font>
      <sz val="11"/>
      <color rgb="FF1F2129"/>
      <name val="IBM Plex Sans"/>
    </font>
    <font>
      <b/>
      <u/>
      <sz val="10"/>
      <color theme="1"/>
      <name val="Arial"/>
      <family val="2"/>
    </font>
    <font>
      <sz val="11"/>
      <color rgb="FF000000"/>
      <name val="Calibri"/>
      <family val="2"/>
    </font>
    <font>
      <b/>
      <sz val="11"/>
      <color theme="1"/>
      <name val="Calibri"/>
      <family val="2"/>
    </font>
    <font>
      <u/>
      <sz val="10"/>
      <color theme="1"/>
      <name val="Arial"/>
      <family val="2"/>
    </font>
    <font>
      <b/>
      <sz val="11"/>
      <color theme="1"/>
      <name val="IBM Plex Sans"/>
    </font>
    <font>
      <b/>
      <u/>
      <sz val="10"/>
      <color theme="1"/>
      <name val="Arial"/>
      <family val="2"/>
    </font>
    <font>
      <u/>
      <sz val="12"/>
      <color theme="1"/>
      <name val="Calibri"/>
      <family val="2"/>
    </font>
    <font>
      <b/>
      <u/>
      <sz val="10"/>
      <color rgb="FF000000"/>
      <name val="Arial"/>
      <family val="2"/>
    </font>
    <font>
      <u/>
      <sz val="10"/>
      <color theme="1"/>
      <name val="Arial"/>
      <family val="2"/>
    </font>
    <font>
      <u/>
      <sz val="10"/>
      <color theme="1"/>
      <name val="Arial"/>
      <family val="2"/>
    </font>
    <font>
      <b/>
      <u/>
      <sz val="10"/>
      <color theme="1"/>
      <name val="Arial"/>
      <family val="2"/>
    </font>
    <font>
      <sz val="11"/>
      <color rgb="FF1F2129"/>
      <name val="Helvetica Neue"/>
    </font>
    <font>
      <sz val="10"/>
      <color theme="0"/>
      <name val="Arial"/>
      <family val="2"/>
    </font>
    <font>
      <b/>
      <u/>
      <sz val="10"/>
      <color theme="1"/>
      <name val="Arial"/>
      <family val="2"/>
    </font>
    <font>
      <b/>
      <u/>
      <sz val="10"/>
      <color rgb="FF000000"/>
      <name val="Arial"/>
      <family val="2"/>
    </font>
    <font>
      <b/>
      <u/>
      <sz val="10"/>
      <color theme="1"/>
      <name val="Arial"/>
      <family val="2"/>
    </font>
    <font>
      <u/>
      <sz val="10"/>
      <color rgb="FF222222"/>
      <name val="Arial"/>
      <family val="2"/>
    </font>
    <font>
      <b/>
      <sz val="10"/>
      <color rgb="FFFFFFFF"/>
      <name val="Arial"/>
      <family val="2"/>
    </font>
    <font>
      <b/>
      <sz val="11"/>
      <color rgb="FF5F6368"/>
      <name val="Arial"/>
      <family val="2"/>
    </font>
    <font>
      <sz val="9"/>
      <color rgb="FF1F1F1F"/>
      <name val="&quot;Google Sans&quot;"/>
    </font>
    <font>
      <sz val="10"/>
      <color rgb="FF242424"/>
      <name val="Arial"/>
      <family val="2"/>
    </font>
    <font>
      <b/>
      <u/>
      <sz val="10"/>
      <color theme="1"/>
      <name val="Arial"/>
      <family val="2"/>
    </font>
    <font>
      <b/>
      <u/>
      <sz val="10"/>
      <color rgb="FF000000"/>
      <name val="Arial"/>
      <family val="2"/>
    </font>
    <font>
      <b/>
      <sz val="10"/>
      <color theme="1"/>
      <name val="Calibri"/>
      <family val="2"/>
    </font>
    <font>
      <sz val="9"/>
      <color rgb="FF1F1F1F"/>
      <name val="Google Sans"/>
    </font>
    <font>
      <b/>
      <sz val="10"/>
      <color theme="0"/>
      <name val="Arial"/>
      <family val="2"/>
    </font>
    <font>
      <u/>
      <sz val="10"/>
      <color rgb="FF000000"/>
      <name val="Avenir"/>
    </font>
    <font>
      <u/>
      <sz val="10"/>
      <color rgb="FF000000"/>
      <name val="Avenir"/>
    </font>
    <font>
      <sz val="11"/>
      <color theme="1"/>
      <name val="Verdana"/>
      <family val="2"/>
    </font>
    <font>
      <sz val="11"/>
      <color rgb="FFFFFFFF"/>
      <name val="Calibri"/>
      <family val="2"/>
    </font>
    <font>
      <strike/>
      <sz val="10"/>
      <color theme="1"/>
      <name val="Arial"/>
      <family val="2"/>
    </font>
    <font>
      <u/>
      <sz val="10"/>
      <color rgb="FF000000"/>
      <name val="Arial"/>
      <family val="2"/>
    </font>
    <font>
      <u/>
      <sz val="10"/>
      <color rgb="FF000000"/>
      <name val="Arial"/>
      <family val="2"/>
    </font>
    <font>
      <sz val="11"/>
      <color rgb="FF1C2024"/>
      <name val="Arial"/>
      <family val="2"/>
    </font>
    <font>
      <u/>
      <sz val="10"/>
      <color theme="1"/>
      <name val="Arial"/>
      <family val="2"/>
    </font>
    <font>
      <sz val="11"/>
      <color theme="1"/>
      <name val="IBM Plex Sans"/>
    </font>
    <font>
      <sz val="10"/>
      <color theme="0"/>
      <name val="Avenir"/>
    </font>
    <font>
      <b/>
      <sz val="10"/>
      <color theme="1"/>
      <name val="Avenir"/>
    </font>
    <font>
      <b/>
      <sz val="10"/>
      <color theme="0"/>
      <name val="Avenir"/>
    </font>
    <font>
      <sz val="10"/>
      <color rgb="FFFFFFFF"/>
      <name val="Avenir"/>
    </font>
    <font>
      <b/>
      <i/>
      <sz val="10"/>
      <color rgb="FFFF0000"/>
      <name val="Avenir"/>
    </font>
    <font>
      <b/>
      <sz val="10"/>
      <color rgb="FFFFFFFF"/>
      <name val="Avenir"/>
    </font>
    <font>
      <sz val="10"/>
      <color rgb="FF000000"/>
      <name val="Avenir"/>
    </font>
    <font>
      <sz val="10"/>
      <color rgb="FF0000FF"/>
      <name val="Avenir"/>
    </font>
    <font>
      <i/>
      <sz val="10"/>
      <color rgb="FF000000"/>
      <name val="Avenir"/>
    </font>
    <font>
      <sz val="14"/>
      <color theme="1"/>
      <name val="Avenir"/>
    </font>
    <font>
      <u/>
      <sz val="10"/>
      <color theme="1"/>
      <name val="Arial"/>
      <family val="2"/>
    </font>
    <font>
      <sz val="9"/>
      <color rgb="FF000000"/>
      <name val="&quot;euclid square&quot;"/>
    </font>
    <font>
      <sz val="9"/>
      <color rgb="FF000000"/>
      <name val="Arial"/>
      <family val="2"/>
    </font>
    <font>
      <sz val="10"/>
      <color rgb="FF000000"/>
      <name val="Roboto"/>
    </font>
    <font>
      <u/>
      <sz val="10"/>
      <color rgb="FF000000"/>
      <name val="Arial"/>
      <family val="2"/>
    </font>
    <font>
      <u/>
      <sz val="10"/>
      <color theme="10"/>
      <name val="Calibri"/>
      <family val="2"/>
    </font>
    <font>
      <u/>
      <sz val="10"/>
      <color theme="1"/>
      <name val="Arial"/>
      <family val="2"/>
    </font>
    <font>
      <u/>
      <sz val="10"/>
      <color rgb="FF0000FF"/>
      <name val="Arial"/>
      <family val="2"/>
    </font>
    <font>
      <strike/>
      <sz val="10"/>
      <color rgb="FF000000"/>
      <name val="Arial"/>
      <family val="2"/>
    </font>
    <font>
      <sz val="12"/>
      <color theme="1"/>
      <name val="Avenir"/>
    </font>
    <font>
      <sz val="10"/>
      <color rgb="FFFFFF00"/>
      <name val="Avenir"/>
    </font>
    <font>
      <u/>
      <sz val="10"/>
      <color rgb="FF0000FF"/>
      <name val="Arial"/>
      <family val="2"/>
    </font>
    <font>
      <u/>
      <sz val="10"/>
      <color rgb="FF0000D4"/>
      <name val="Arial"/>
      <family val="2"/>
    </font>
    <font>
      <u/>
      <sz val="10"/>
      <color theme="1"/>
      <name val="Arial"/>
      <family val="2"/>
    </font>
    <font>
      <u/>
      <sz val="10"/>
      <color rgb="FF0000D4"/>
      <name val="Arial"/>
      <family val="2"/>
    </font>
    <font>
      <u/>
      <sz val="10"/>
      <color rgb="FF0000FF"/>
      <name val="Arial"/>
      <family val="2"/>
    </font>
    <font>
      <sz val="12"/>
      <color rgb="FF333333"/>
      <name val="Helvetica Neue"/>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FF"/>
      <name val="Arial"/>
      <family val="2"/>
    </font>
    <font>
      <sz val="10"/>
      <color rgb="FF0070C0"/>
      <name val="Arial"/>
      <family val="2"/>
    </font>
    <font>
      <sz val="10"/>
      <name val="Calibri"/>
      <family val="2"/>
    </font>
    <font>
      <sz val="12"/>
      <color theme="1"/>
      <name val="Arial"/>
      <family val="2"/>
    </font>
    <font>
      <sz val="14"/>
      <color theme="1"/>
      <name val="Arial"/>
      <family val="2"/>
    </font>
    <font>
      <sz val="12"/>
      <color theme="1"/>
      <name val="Calibri"/>
      <family val="2"/>
    </font>
    <font>
      <b/>
      <sz val="12"/>
      <color theme="1"/>
      <name val="Calibri"/>
      <family val="2"/>
    </font>
    <font>
      <sz val="12"/>
      <color rgb="FF92D050"/>
      <name val="Calibri"/>
      <family val="2"/>
    </font>
    <font>
      <u/>
      <sz val="12"/>
      <color theme="1"/>
      <name val="Calibri"/>
      <family val="2"/>
    </font>
    <font>
      <u/>
      <sz val="12"/>
      <color theme="1"/>
      <name val="Arial"/>
      <family val="2"/>
    </font>
    <font>
      <u/>
      <sz val="12"/>
      <color theme="1"/>
      <name val="Calibri"/>
      <family val="2"/>
    </font>
    <font>
      <u/>
      <sz val="12"/>
      <color theme="1"/>
      <name val="Calibri"/>
      <family val="2"/>
    </font>
    <font>
      <b/>
      <i/>
      <sz val="10"/>
      <color rgb="FFDD0806"/>
      <name val="Arial"/>
      <family val="2"/>
    </font>
    <font>
      <sz val="11"/>
      <color theme="1"/>
      <name val="Calibri, sans-serif"/>
    </font>
    <font>
      <b/>
      <sz val="11"/>
      <color theme="1"/>
      <name val="Calibri, sans-serif"/>
    </font>
    <font>
      <sz val="10"/>
      <color rgb="FF333333"/>
      <name val="Arial"/>
      <family val="2"/>
    </font>
    <font>
      <sz val="12"/>
      <color rgb="FF333333"/>
      <name val="Helvetica"/>
    </font>
  </fonts>
  <fills count="48">
    <fill>
      <patternFill patternType="none"/>
    </fill>
    <fill>
      <patternFill patternType="gray125"/>
    </fill>
    <fill>
      <patternFill patternType="solid">
        <fgColor rgb="FFFFC000"/>
        <bgColor rgb="FFFFC000"/>
      </patternFill>
    </fill>
    <fill>
      <patternFill patternType="solid">
        <fgColor rgb="FFD9EAD3"/>
        <bgColor rgb="FFD9EAD3"/>
      </patternFill>
    </fill>
    <fill>
      <patternFill patternType="solid">
        <fgColor rgb="FFFFFF00"/>
        <bgColor rgb="FFFFFF00"/>
      </patternFill>
    </fill>
    <fill>
      <patternFill patternType="solid">
        <fgColor rgb="FFD9D2E9"/>
        <bgColor rgb="FFD9D2E9"/>
      </patternFill>
    </fill>
    <fill>
      <patternFill patternType="solid">
        <fgColor rgb="FFFF0000"/>
        <bgColor rgb="FFFF0000"/>
      </patternFill>
    </fill>
    <fill>
      <patternFill patternType="solid">
        <fgColor rgb="FF92CDDC"/>
        <bgColor rgb="FF92CDDC"/>
      </patternFill>
    </fill>
    <fill>
      <patternFill patternType="solid">
        <fgColor rgb="FF92D050"/>
        <bgColor rgb="FF92D050"/>
      </patternFill>
    </fill>
    <fill>
      <patternFill patternType="solid">
        <fgColor rgb="FFF2DBDB"/>
        <bgColor rgb="FFF2DBDB"/>
      </patternFill>
    </fill>
    <fill>
      <patternFill patternType="solid">
        <fgColor theme="0"/>
        <bgColor theme="0"/>
      </patternFill>
    </fill>
    <fill>
      <patternFill patternType="solid">
        <fgColor rgb="FFCFE2F3"/>
        <bgColor rgb="FFCFE2F3"/>
      </patternFill>
    </fill>
    <fill>
      <patternFill patternType="solid">
        <fgColor rgb="FF00B0F0"/>
        <bgColor rgb="FF00B0F0"/>
      </patternFill>
    </fill>
    <fill>
      <patternFill patternType="solid">
        <fgColor theme="1"/>
        <bgColor theme="1"/>
      </patternFill>
    </fill>
    <fill>
      <patternFill patternType="solid">
        <fgColor rgb="FFFAFD75"/>
        <bgColor rgb="FFFAFD75"/>
      </patternFill>
    </fill>
    <fill>
      <patternFill patternType="solid">
        <fgColor rgb="FFC2D69B"/>
        <bgColor rgb="FFC2D69B"/>
      </patternFill>
    </fill>
    <fill>
      <patternFill patternType="solid">
        <fgColor rgb="FFB6DDE8"/>
        <bgColor rgb="FFB6DDE8"/>
      </patternFill>
    </fill>
    <fill>
      <patternFill patternType="solid">
        <fgColor rgb="FFFFFFFF"/>
        <bgColor rgb="FFFFFFFF"/>
      </patternFill>
    </fill>
    <fill>
      <patternFill patternType="solid">
        <fgColor rgb="FFFBD4B4"/>
        <bgColor rgb="FFFBD4B4"/>
      </patternFill>
    </fill>
    <fill>
      <patternFill patternType="solid">
        <fgColor rgb="FF4F81BD"/>
        <bgColor rgb="FF4F81BD"/>
      </patternFill>
    </fill>
    <fill>
      <patternFill patternType="solid">
        <fgColor rgb="FFA4C2F4"/>
        <bgColor rgb="FFA4C2F4"/>
      </patternFill>
    </fill>
    <fill>
      <patternFill patternType="solid">
        <fgColor rgb="FFBFBFBF"/>
        <bgColor rgb="FFBFBFBF"/>
      </patternFill>
    </fill>
    <fill>
      <patternFill patternType="solid">
        <fgColor rgb="FFC4D79B"/>
        <bgColor rgb="FFC4D79B"/>
      </patternFill>
    </fill>
    <fill>
      <patternFill patternType="solid">
        <fgColor rgb="FFFF9900"/>
        <bgColor rgb="FFFF9900"/>
      </patternFill>
    </fill>
    <fill>
      <patternFill patternType="solid">
        <fgColor rgb="FF9FC5E8"/>
        <bgColor rgb="FF9FC5E8"/>
      </patternFill>
    </fill>
    <fill>
      <patternFill patternType="solid">
        <fgColor rgb="FF00FF00"/>
        <bgColor rgb="FF00FF00"/>
      </patternFill>
    </fill>
    <fill>
      <patternFill patternType="solid">
        <fgColor theme="6"/>
        <bgColor theme="6"/>
      </patternFill>
    </fill>
    <fill>
      <patternFill patternType="solid">
        <fgColor rgb="FF000000"/>
        <bgColor rgb="FF000000"/>
      </patternFill>
    </fill>
    <fill>
      <patternFill patternType="solid">
        <fgColor rgb="FFC9DAF8"/>
        <bgColor rgb="FFC9DAF8"/>
      </patternFill>
    </fill>
    <fill>
      <patternFill patternType="solid">
        <fgColor rgb="FF93C47D"/>
        <bgColor rgb="FF93C47D"/>
      </patternFill>
    </fill>
    <fill>
      <patternFill patternType="solid">
        <fgColor rgb="FFB6D7A8"/>
        <bgColor rgb="FFB6D7A8"/>
      </patternFill>
    </fill>
    <fill>
      <patternFill patternType="solid">
        <fgColor rgb="FFEAD1DC"/>
        <bgColor rgb="FFEAD1DC"/>
      </patternFill>
    </fill>
    <fill>
      <patternFill patternType="solid">
        <fgColor rgb="FFFF00FF"/>
        <bgColor rgb="FFFF00FF"/>
      </patternFill>
    </fill>
    <fill>
      <patternFill patternType="solid">
        <fgColor rgb="FFCCCCCC"/>
        <bgColor rgb="FFCCCCCC"/>
      </patternFill>
    </fill>
    <fill>
      <patternFill patternType="solid">
        <fgColor rgb="FFB7B7B7"/>
        <bgColor rgb="FFB7B7B7"/>
      </patternFill>
    </fill>
    <fill>
      <patternFill patternType="solid">
        <fgColor rgb="FF7030A0"/>
        <bgColor rgb="FF7030A0"/>
      </patternFill>
    </fill>
    <fill>
      <patternFill patternType="solid">
        <fgColor rgb="FF7F7F7F"/>
        <bgColor rgb="FF7F7F7F"/>
      </patternFill>
    </fill>
    <fill>
      <patternFill patternType="solid">
        <fgColor rgb="FFD8D8D8"/>
        <bgColor rgb="FFD8D8D8"/>
      </patternFill>
    </fill>
    <fill>
      <patternFill patternType="solid">
        <fgColor rgb="FFA5A5A5"/>
        <bgColor rgb="FFA5A5A5"/>
      </patternFill>
    </fill>
    <fill>
      <patternFill patternType="solid">
        <fgColor rgb="FFFCE5CD"/>
        <bgColor rgb="FFFCE5CD"/>
      </patternFill>
    </fill>
    <fill>
      <patternFill patternType="solid">
        <fgColor rgb="FFFABF8F"/>
        <bgColor rgb="FFFABF8F"/>
      </patternFill>
    </fill>
    <fill>
      <patternFill patternType="solid">
        <fgColor rgb="FFF9CB9C"/>
        <bgColor rgb="FFF9CB9C"/>
      </patternFill>
    </fill>
    <fill>
      <patternFill patternType="solid">
        <fgColor rgb="FFEAF1DD"/>
        <bgColor rgb="FFEAF1DD"/>
      </patternFill>
    </fill>
    <fill>
      <patternFill patternType="solid">
        <fgColor rgb="FFB8CCE4"/>
        <bgColor rgb="FFB8CCE4"/>
      </patternFill>
    </fill>
    <fill>
      <patternFill patternType="solid">
        <fgColor rgb="FFFDE9D9"/>
        <bgColor rgb="FFFDE9D9"/>
      </patternFill>
    </fill>
    <fill>
      <patternFill patternType="solid">
        <fgColor rgb="FFC0C0C0"/>
        <bgColor rgb="FFC0C0C0"/>
      </patternFill>
    </fill>
    <fill>
      <patternFill patternType="solid">
        <fgColor theme="9"/>
        <bgColor theme="9"/>
      </patternFill>
    </fill>
    <fill>
      <patternFill patternType="solid">
        <fgColor rgb="FF0C0C0C"/>
        <bgColor rgb="FF0C0C0C"/>
      </patternFill>
    </fill>
  </fills>
  <borders count="105">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bottom style="thin">
        <color rgb="FF000000"/>
      </bottom>
      <diagonal/>
    </border>
    <border>
      <left/>
      <right/>
      <top/>
      <bottom/>
      <diagonal/>
    </border>
    <border>
      <left style="medium">
        <color rgb="FF000000"/>
      </left>
      <right style="medium">
        <color rgb="FF000000"/>
      </right>
      <top style="thin">
        <color rgb="FF000000"/>
      </top>
      <bottom style="thin">
        <color rgb="FF000000"/>
      </bottom>
      <diagonal/>
    </border>
    <border>
      <left/>
      <right/>
      <top/>
      <bottom style="medium">
        <color rgb="FF000000"/>
      </bottom>
      <diagonal/>
    </border>
    <border>
      <left style="medium">
        <color rgb="FF000000"/>
      </left>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right/>
      <top style="medium">
        <color rgb="FF000000"/>
      </top>
      <bottom style="medium">
        <color rgb="FF000000"/>
      </bottom>
      <diagonal/>
    </border>
    <border>
      <left style="thin">
        <color rgb="FF000000"/>
      </left>
      <right/>
      <top style="medium">
        <color rgb="FF000000"/>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right/>
      <top/>
      <bottom/>
      <diagonal/>
    </border>
    <border>
      <left/>
      <right/>
      <top/>
      <bottom/>
      <diagonal/>
    </border>
    <border>
      <left/>
      <right/>
      <top/>
      <bottom/>
      <diagonal/>
    </border>
    <border>
      <left style="thin">
        <color rgb="FF000000"/>
      </left>
      <right style="thin">
        <color rgb="FF000000"/>
      </right>
      <top/>
      <bottom/>
      <diagonal/>
    </border>
    <border>
      <left style="thin">
        <color rgb="FF000000"/>
      </left>
      <right/>
      <top/>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top/>
      <bottom/>
      <diagonal/>
    </border>
    <border>
      <left/>
      <right style="thin">
        <color rgb="FF000000"/>
      </right>
      <top/>
      <bottom/>
      <diagonal/>
    </border>
    <border>
      <left style="thin">
        <color rgb="FF000000"/>
      </left>
      <right style="thin">
        <color rgb="FF000000"/>
      </right>
      <top/>
      <bottom/>
      <diagonal/>
    </border>
    <border>
      <left/>
      <right style="thin">
        <color rgb="FF000000"/>
      </right>
      <top style="thin">
        <color rgb="FF000000"/>
      </top>
      <bottom style="medium">
        <color rgb="FF000000"/>
      </bottom>
      <diagonal/>
    </border>
    <border>
      <left/>
      <right/>
      <top/>
      <bottom/>
      <diagonal/>
    </border>
    <border>
      <left style="medium">
        <color rgb="FF000000"/>
      </left>
      <right/>
      <top/>
      <bottom style="medium">
        <color rgb="FF000000"/>
      </bottom>
      <diagonal/>
    </border>
    <border>
      <left/>
      <right style="medium">
        <color rgb="FF000000"/>
      </right>
      <top style="medium">
        <color rgb="FF000000"/>
      </top>
      <bottom style="medium">
        <color rgb="FF000000"/>
      </bottom>
      <diagonal/>
    </border>
    <border>
      <left style="thin">
        <color rgb="FF000000"/>
      </left>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right style="medium">
        <color rgb="FF000000"/>
      </right>
      <top/>
      <bottom/>
      <diagonal/>
    </border>
    <border>
      <left style="thin">
        <color rgb="FF000000"/>
      </left>
      <right style="medium">
        <color rgb="FF000000"/>
      </right>
      <top/>
      <bottom style="medium">
        <color rgb="FF000000"/>
      </bottom>
      <diagonal/>
    </border>
    <border>
      <left/>
      <right style="medium">
        <color rgb="FF000000"/>
      </right>
      <top style="medium">
        <color rgb="FF000000"/>
      </top>
      <bottom/>
      <diagonal/>
    </border>
    <border>
      <left/>
      <right style="medium">
        <color rgb="FF000000"/>
      </right>
      <top/>
      <bottom style="medium">
        <color rgb="FF000000"/>
      </bottom>
      <diagonal/>
    </border>
    <border>
      <left style="thin">
        <color rgb="FF000000"/>
      </left>
      <right style="medium">
        <color rgb="FF000000"/>
      </right>
      <top/>
      <bottom/>
      <diagonal/>
    </border>
    <border>
      <left style="thin">
        <color rgb="FF000000"/>
      </left>
      <right/>
      <top/>
      <bottom style="medium">
        <color rgb="FF000000"/>
      </bottom>
      <diagonal/>
    </border>
    <border>
      <left/>
      <right/>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medium">
        <color rgb="FF000000"/>
      </left>
      <right/>
      <top/>
      <bottom/>
      <diagonal/>
    </border>
    <border>
      <left style="medium">
        <color rgb="FF000000"/>
      </left>
      <right style="thin">
        <color rgb="FF000000"/>
      </right>
      <top/>
      <bottom/>
      <diagonal/>
    </border>
    <border>
      <left/>
      <right style="medium">
        <color rgb="FF000000"/>
      </right>
      <top style="medium">
        <color rgb="FF000000"/>
      </top>
      <bottom style="medium">
        <color rgb="FF000000"/>
      </bottom>
      <diagonal/>
    </border>
    <border>
      <left style="thin">
        <color rgb="FF000000"/>
      </left>
      <right style="medium">
        <color rgb="FF000000"/>
      </right>
      <top/>
      <bottom style="thin">
        <color rgb="FF000000"/>
      </bottom>
      <diagonal/>
    </border>
    <border>
      <left/>
      <right style="medium">
        <color rgb="FF000000"/>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diagonal/>
    </border>
    <border>
      <left/>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s>
  <cellStyleXfs count="1">
    <xf numFmtId="0" fontId="0" fillId="0" borderId="0"/>
  </cellStyleXfs>
  <cellXfs count="2178">
    <xf numFmtId="0" fontId="0" fillId="0" borderId="0" xfId="0"/>
    <xf numFmtId="0" fontId="1" fillId="0" borderId="0" xfId="0" applyFont="1"/>
    <xf numFmtId="0" fontId="2" fillId="0" borderId="0" xfId="0" applyFont="1" applyAlignment="1">
      <alignment horizontal="left" wrapText="1"/>
    </xf>
    <xf numFmtId="0" fontId="2" fillId="0" borderId="0" xfId="0" applyFont="1" applyAlignment="1">
      <alignment horizontal="center" wrapText="1"/>
    </xf>
    <xf numFmtId="0" fontId="3" fillId="0" borderId="0" xfId="0" applyFont="1" applyAlignment="1">
      <alignment horizontal="center"/>
    </xf>
    <xf numFmtId="0" fontId="1" fillId="0" borderId="0" xfId="0" applyFont="1" applyAlignment="1">
      <alignment horizontal="left"/>
    </xf>
    <xf numFmtId="0" fontId="4" fillId="0" borderId="0" xfId="0" applyFont="1"/>
    <xf numFmtId="0" fontId="5" fillId="0" borderId="0" xfId="0" applyFont="1"/>
    <xf numFmtId="0" fontId="4" fillId="0" borderId="0" xfId="0" applyFont="1" applyAlignment="1">
      <alignment horizontal="left"/>
    </xf>
    <xf numFmtId="0" fontId="3" fillId="0" borderId="0" xfId="0" applyFont="1" applyAlignment="1">
      <alignment horizontal="left"/>
    </xf>
    <xf numFmtId="0" fontId="6" fillId="0" borderId="0" xfId="0" applyFont="1"/>
    <xf numFmtId="0" fontId="1" fillId="0" borderId="0" xfId="0" applyFont="1" applyAlignment="1">
      <alignment horizontal="center"/>
    </xf>
    <xf numFmtId="0" fontId="7" fillId="0" borderId="0" xfId="0" applyFont="1" applyAlignment="1">
      <alignment horizontal="left" wrapText="1"/>
    </xf>
    <xf numFmtId="0" fontId="8" fillId="0" borderId="0" xfId="0" applyFont="1" applyAlignment="1">
      <alignment horizontal="left" wrapText="1"/>
    </xf>
    <xf numFmtId="0" fontId="9" fillId="0" borderId="0" xfId="0" applyFont="1" applyAlignment="1">
      <alignment horizontal="left"/>
    </xf>
    <xf numFmtId="49" fontId="1" fillId="0" borderId="0" xfId="0" applyNumberFormat="1" applyFont="1"/>
    <xf numFmtId="0" fontId="2" fillId="2" borderId="1" xfId="0" applyFont="1" applyFill="1" applyBorder="1" applyAlignment="1">
      <alignment horizontal="center" wrapText="1"/>
    </xf>
    <xf numFmtId="0" fontId="10" fillId="0" borderId="0" xfId="0" applyFont="1" applyAlignment="1">
      <alignment horizontal="center"/>
    </xf>
    <xf numFmtId="0" fontId="4" fillId="0" borderId="0" xfId="0" applyFont="1" applyAlignment="1">
      <alignment horizontal="center"/>
    </xf>
    <xf numFmtId="0" fontId="2" fillId="3" borderId="2" xfId="0" applyFont="1" applyFill="1" applyBorder="1" applyAlignment="1">
      <alignment horizontal="center" wrapText="1"/>
    </xf>
    <xf numFmtId="0" fontId="11" fillId="0" borderId="0" xfId="0" applyFont="1" applyAlignment="1">
      <alignment horizontal="center"/>
    </xf>
    <xf numFmtId="0" fontId="10" fillId="0" borderId="0" xfId="0" applyFont="1" applyAlignment="1">
      <alignment horizontal="right"/>
    </xf>
    <xf numFmtId="0" fontId="1" fillId="0" borderId="0" xfId="0" applyFont="1" applyAlignment="1">
      <alignment horizontal="left" wrapText="1"/>
    </xf>
    <xf numFmtId="0" fontId="2" fillId="0" borderId="3" xfId="0" applyFont="1" applyBorder="1" applyAlignment="1">
      <alignment horizontal="right" wrapText="1"/>
    </xf>
    <xf numFmtId="0" fontId="7" fillId="4" borderId="2" xfId="0" applyFont="1" applyFill="1" applyBorder="1" applyAlignment="1">
      <alignment horizontal="center" wrapText="1"/>
    </xf>
    <xf numFmtId="0" fontId="2" fillId="0" borderId="0" xfId="0" applyFont="1" applyAlignment="1">
      <alignment horizontal="center"/>
    </xf>
    <xf numFmtId="0" fontId="2" fillId="5" borderId="4" xfId="0" applyFont="1" applyFill="1" applyBorder="1" applyAlignment="1">
      <alignment horizontal="left" wrapText="1"/>
    </xf>
    <xf numFmtId="0" fontId="1" fillId="6" borderId="2" xfId="0" applyFont="1" applyFill="1" applyBorder="1"/>
    <xf numFmtId="0" fontId="2" fillId="7" borderId="1" xfId="0" applyFont="1" applyFill="1" applyBorder="1" applyAlignment="1">
      <alignment horizontal="right" wrapText="1"/>
    </xf>
    <xf numFmtId="0" fontId="1" fillId="0" borderId="0" xfId="0" applyFont="1" applyAlignment="1">
      <alignment horizontal="right"/>
    </xf>
    <xf numFmtId="0" fontId="5" fillId="4" borderId="5" xfId="0" applyFont="1" applyFill="1" applyBorder="1"/>
    <xf numFmtId="0" fontId="1" fillId="4" borderId="5" xfId="0" applyFont="1" applyFill="1" applyBorder="1"/>
    <xf numFmtId="0" fontId="4" fillId="4" borderId="5" xfId="0" applyFont="1" applyFill="1" applyBorder="1"/>
    <xf numFmtId="0" fontId="2" fillId="8" borderId="4" xfId="0" applyFont="1" applyFill="1" applyBorder="1" applyAlignment="1">
      <alignment wrapText="1"/>
    </xf>
    <xf numFmtId="0" fontId="2" fillId="9" borderId="6" xfId="0" applyFont="1" applyFill="1" applyBorder="1" applyAlignment="1">
      <alignment wrapText="1"/>
    </xf>
    <xf numFmtId="0" fontId="5" fillId="0" borderId="0" xfId="0" applyFont="1" applyAlignment="1">
      <alignment horizontal="center"/>
    </xf>
    <xf numFmtId="0" fontId="9" fillId="0" borderId="7" xfId="0" applyFont="1" applyBorder="1" applyAlignment="1">
      <alignment horizontal="left"/>
    </xf>
    <xf numFmtId="49" fontId="2" fillId="0" borderId="2" xfId="0" applyNumberFormat="1" applyFont="1" applyBorder="1" applyAlignment="1">
      <alignment horizontal="center" wrapText="1"/>
    </xf>
    <xf numFmtId="0" fontId="2" fillId="0" borderId="8" xfId="0" applyFont="1" applyBorder="1" applyAlignment="1">
      <alignment horizontal="center" wrapText="1"/>
    </xf>
    <xf numFmtId="0" fontId="2" fillId="0" borderId="9" xfId="0" applyFont="1" applyBorder="1" applyAlignment="1">
      <alignment horizontal="center" wrapText="1"/>
    </xf>
    <xf numFmtId="0" fontId="2" fillId="0" borderId="10" xfId="0" applyFont="1" applyBorder="1" applyAlignment="1">
      <alignment horizontal="center" wrapText="1"/>
    </xf>
    <xf numFmtId="49" fontId="11" fillId="10" borderId="10" xfId="0" applyNumberFormat="1" applyFont="1" applyFill="1" applyBorder="1" applyAlignment="1">
      <alignment horizontal="center" wrapText="1"/>
    </xf>
    <xf numFmtId="49" fontId="11" fillId="11" borderId="10" xfId="0" applyNumberFormat="1" applyFont="1" applyFill="1" applyBorder="1" applyAlignment="1">
      <alignment horizontal="center" wrapText="1"/>
    </xf>
    <xf numFmtId="49" fontId="11" fillId="10" borderId="10" xfId="0" applyNumberFormat="1" applyFont="1" applyFill="1" applyBorder="1" applyAlignment="1">
      <alignment horizontal="right" wrapText="1"/>
    </xf>
    <xf numFmtId="49" fontId="11" fillId="12" borderId="10" xfId="0" applyNumberFormat="1" applyFont="1" applyFill="1" applyBorder="1" applyAlignment="1">
      <alignment horizontal="center" wrapText="1"/>
    </xf>
    <xf numFmtId="0" fontId="2" fillId="13" borderId="11" xfId="0" applyFont="1" applyFill="1" applyBorder="1" applyAlignment="1">
      <alignment horizontal="center" wrapText="1"/>
    </xf>
    <xf numFmtId="49" fontId="11" fillId="14" borderId="12" xfId="0" applyNumberFormat="1" applyFont="1" applyFill="1" applyBorder="1" applyAlignment="1">
      <alignment horizontal="center" wrapText="1"/>
    </xf>
    <xf numFmtId="49" fontId="12" fillId="14" borderId="12" xfId="0" applyNumberFormat="1" applyFont="1" applyFill="1" applyBorder="1" applyAlignment="1">
      <alignment horizontal="center"/>
    </xf>
    <xf numFmtId="0" fontId="2" fillId="0" borderId="10" xfId="0" applyFont="1" applyBorder="1" applyAlignment="1">
      <alignment horizontal="left" wrapText="1"/>
    </xf>
    <xf numFmtId="0" fontId="2" fillId="13" borderId="13" xfId="0" applyFont="1" applyFill="1" applyBorder="1" applyAlignment="1">
      <alignment horizontal="center" wrapText="1"/>
    </xf>
    <xf numFmtId="0" fontId="2" fillId="15" borderId="10" xfId="0" applyFont="1" applyFill="1" applyBorder="1" applyAlignment="1">
      <alignment horizontal="center" wrapText="1"/>
    </xf>
    <xf numFmtId="0" fontId="2" fillId="9" borderId="10" xfId="0" applyFont="1" applyFill="1" applyBorder="1" applyAlignment="1">
      <alignment horizontal="center" wrapText="1"/>
    </xf>
    <xf numFmtId="0" fontId="2" fillId="16" borderId="10" xfId="0" applyFont="1" applyFill="1" applyBorder="1" applyAlignment="1">
      <alignment horizontal="center" wrapText="1"/>
    </xf>
    <xf numFmtId="0" fontId="2" fillId="2" borderId="10" xfId="0" applyFont="1" applyFill="1" applyBorder="1" applyAlignment="1">
      <alignment horizontal="center" wrapText="1"/>
    </xf>
    <xf numFmtId="0" fontId="2" fillId="4" borderId="10" xfId="0" applyFont="1" applyFill="1" applyBorder="1" applyAlignment="1">
      <alignment horizontal="center" wrapText="1"/>
    </xf>
    <xf numFmtId="0" fontId="2" fillId="0" borderId="14" xfId="0" applyFont="1" applyBorder="1" applyAlignment="1">
      <alignment horizontal="center" wrapText="1"/>
    </xf>
    <xf numFmtId="164" fontId="7" fillId="15" borderId="10" xfId="0" applyNumberFormat="1" applyFont="1" applyFill="1" applyBorder="1" applyAlignment="1">
      <alignment horizontal="center" wrapText="1"/>
    </xf>
    <xf numFmtId="164" fontId="7" fillId="9" borderId="15" xfId="0" applyNumberFormat="1" applyFont="1" applyFill="1" applyBorder="1" applyAlignment="1">
      <alignment horizontal="center" wrapText="1"/>
    </xf>
    <xf numFmtId="165" fontId="2" fillId="16" borderId="1" xfId="0" applyNumberFormat="1" applyFont="1" applyFill="1" applyBorder="1" applyAlignment="1">
      <alignment horizontal="center" wrapText="1"/>
    </xf>
    <xf numFmtId="0" fontId="2" fillId="2" borderId="16" xfId="0" applyFont="1" applyFill="1" applyBorder="1" applyAlignment="1">
      <alignment horizontal="center" wrapText="1"/>
    </xf>
    <xf numFmtId="0" fontId="2" fillId="0" borderId="17" xfId="0" applyFont="1" applyBorder="1" applyAlignment="1">
      <alignment horizontal="center" wrapText="1"/>
    </xf>
    <xf numFmtId="164" fontId="7" fillId="9" borderId="10" xfId="0" applyNumberFormat="1" applyFont="1" applyFill="1" applyBorder="1" applyAlignment="1">
      <alignment horizontal="center" wrapText="1"/>
    </xf>
    <xf numFmtId="164" fontId="2" fillId="16" borderId="10" xfId="0" applyNumberFormat="1" applyFont="1" applyFill="1" applyBorder="1" applyAlignment="1">
      <alignment horizontal="center" wrapText="1"/>
    </xf>
    <xf numFmtId="164" fontId="2" fillId="2" borderId="10" xfId="0" applyNumberFormat="1" applyFont="1" applyFill="1" applyBorder="1" applyAlignment="1">
      <alignment horizontal="center" wrapText="1"/>
    </xf>
    <xf numFmtId="164" fontId="2" fillId="4" borderId="10" xfId="0" applyNumberFormat="1" applyFont="1" applyFill="1" applyBorder="1" applyAlignment="1">
      <alignment horizontal="center" wrapText="1"/>
    </xf>
    <xf numFmtId="0" fontId="2" fillId="0" borderId="18" xfId="0" applyFont="1" applyBorder="1" applyAlignment="1">
      <alignment horizontal="center" wrapText="1"/>
    </xf>
    <xf numFmtId="49" fontId="11" fillId="17" borderId="16" xfId="0" applyNumberFormat="1" applyFont="1" applyFill="1" applyBorder="1" applyAlignment="1">
      <alignment horizontal="center" wrapText="1"/>
    </xf>
    <xf numFmtId="49" fontId="11" fillId="17" borderId="15" xfId="0" applyNumberFormat="1" applyFont="1" applyFill="1" applyBorder="1" applyAlignment="1">
      <alignment horizontal="center" wrapText="1"/>
    </xf>
    <xf numFmtId="0" fontId="2" fillId="12" borderId="16" xfId="0" applyFont="1" applyFill="1" applyBorder="1" applyAlignment="1">
      <alignment horizontal="left" wrapText="1"/>
    </xf>
    <xf numFmtId="164" fontId="7" fillId="0" borderId="10" xfId="0" applyNumberFormat="1" applyFont="1" applyBorder="1" applyAlignment="1">
      <alignment horizontal="center" wrapText="1"/>
    </xf>
    <xf numFmtId="164" fontId="7" fillId="18" borderId="10" xfId="0" applyNumberFormat="1" applyFont="1" applyFill="1" applyBorder="1" applyAlignment="1">
      <alignment horizontal="center" wrapText="1"/>
    </xf>
    <xf numFmtId="164" fontId="7" fillId="18" borderId="19" xfId="0" applyNumberFormat="1" applyFont="1" applyFill="1" applyBorder="1" applyAlignment="1">
      <alignment horizontal="center" wrapText="1"/>
    </xf>
    <xf numFmtId="49" fontId="2" fillId="19" borderId="2" xfId="0" applyNumberFormat="1" applyFont="1" applyFill="1" applyBorder="1" applyAlignment="1">
      <alignment horizontal="center" wrapText="1"/>
    </xf>
    <xf numFmtId="49" fontId="2" fillId="19" borderId="20" xfId="0" applyNumberFormat="1" applyFont="1" applyFill="1" applyBorder="1" applyAlignment="1">
      <alignment horizontal="center" wrapText="1"/>
    </xf>
    <xf numFmtId="0" fontId="13" fillId="0" borderId="2" xfId="0" applyFont="1" applyBorder="1" applyAlignment="1">
      <alignment horizontal="center"/>
    </xf>
    <xf numFmtId="0" fontId="2" fillId="0" borderId="21" xfId="0" applyFont="1" applyBorder="1" applyAlignment="1">
      <alignment horizontal="center" wrapText="1"/>
    </xf>
    <xf numFmtId="0" fontId="2" fillId="0" borderId="22" xfId="0" applyFont="1" applyBorder="1" applyAlignment="1">
      <alignment horizontal="center" wrapText="1"/>
    </xf>
    <xf numFmtId="0" fontId="14" fillId="0" borderId="22" xfId="0" applyFont="1" applyBorder="1" applyAlignment="1">
      <alignment horizontal="center" wrapText="1"/>
    </xf>
    <xf numFmtId="0" fontId="15" fillId="2" borderId="23" xfId="0" applyFont="1" applyFill="1" applyBorder="1" applyAlignment="1">
      <alignment horizontal="left"/>
    </xf>
    <xf numFmtId="0" fontId="15" fillId="2" borderId="2" xfId="0" applyFont="1" applyFill="1" applyBorder="1" applyAlignment="1">
      <alignment horizontal="left"/>
    </xf>
    <xf numFmtId="0" fontId="7" fillId="0" borderId="21" xfId="0" applyFont="1" applyBorder="1" applyAlignment="1">
      <alignment horizontal="left" wrapText="1"/>
    </xf>
    <xf numFmtId="0" fontId="16" fillId="17" borderId="23" xfId="0" applyFont="1" applyFill="1" applyBorder="1" applyAlignment="1">
      <alignment horizontal="right" wrapText="1"/>
    </xf>
    <xf numFmtId="49" fontId="11" fillId="10" borderId="23" xfId="0" applyNumberFormat="1" applyFont="1" applyFill="1" applyBorder="1" applyAlignment="1">
      <alignment horizontal="left" wrapText="1"/>
    </xf>
    <xf numFmtId="49" fontId="17" fillId="10" borderId="23" xfId="0" applyNumberFormat="1" applyFont="1" applyFill="1" applyBorder="1" applyAlignment="1">
      <alignment horizontal="left" wrapText="1"/>
    </xf>
    <xf numFmtId="0" fontId="2" fillId="0" borderId="21" xfId="0" applyFont="1" applyBorder="1" applyAlignment="1">
      <alignment horizontal="left" wrapText="1"/>
    </xf>
    <xf numFmtId="0" fontId="2" fillId="13" borderId="0" xfId="0" applyFont="1" applyFill="1" applyAlignment="1">
      <alignment horizontal="center" wrapText="1"/>
    </xf>
    <xf numFmtId="49" fontId="11" fillId="0" borderId="2" xfId="0" applyNumberFormat="1" applyFont="1" applyBorder="1" applyAlignment="1">
      <alignment horizontal="center" wrapText="1"/>
    </xf>
    <xf numFmtId="49" fontId="12" fillId="0" borderId="2" xfId="0" applyNumberFormat="1" applyFont="1" applyBorder="1" applyAlignment="1">
      <alignment horizontal="center"/>
    </xf>
    <xf numFmtId="49" fontId="2" fillId="0" borderId="24" xfId="0" applyNumberFormat="1" applyFont="1" applyBorder="1" applyAlignment="1">
      <alignment horizontal="left" wrapText="1"/>
    </xf>
    <xf numFmtId="0" fontId="2" fillId="13" borderId="23" xfId="0" applyFont="1" applyFill="1" applyBorder="1" applyAlignment="1">
      <alignment horizontal="center" wrapText="1"/>
    </xf>
    <xf numFmtId="0" fontId="7" fillId="0" borderId="21" xfId="0" applyFont="1" applyBorder="1" applyAlignment="1">
      <alignment horizontal="center" wrapText="1"/>
    </xf>
    <xf numFmtId="0" fontId="2" fillId="20" borderId="21" xfId="0" applyFont="1" applyFill="1" applyBorder="1" applyAlignment="1">
      <alignment horizontal="center" wrapText="1"/>
    </xf>
    <xf numFmtId="165" fontId="7" fillId="21" borderId="23" xfId="0" applyNumberFormat="1" applyFont="1" applyFill="1" applyBorder="1" applyAlignment="1">
      <alignment wrapText="1"/>
    </xf>
    <xf numFmtId="165" fontId="7" fillId="15" borderId="23" xfId="0" applyNumberFormat="1" applyFont="1" applyFill="1" applyBorder="1" applyAlignment="1">
      <alignment horizontal="center" wrapText="1"/>
    </xf>
    <xf numFmtId="165" fontId="7" fillId="9" borderId="23" xfId="0" applyNumberFormat="1" applyFont="1" applyFill="1" applyBorder="1" applyAlignment="1">
      <alignment horizontal="center" wrapText="1"/>
    </xf>
    <xf numFmtId="165" fontId="2" fillId="16" borderId="23" xfId="0" applyNumberFormat="1" applyFont="1" applyFill="1" applyBorder="1" applyAlignment="1">
      <alignment wrapText="1"/>
    </xf>
    <xf numFmtId="165" fontId="2" fillId="2" borderId="2" xfId="0" applyNumberFormat="1" applyFont="1" applyFill="1" applyBorder="1" applyAlignment="1">
      <alignment horizontal="center" wrapText="1"/>
    </xf>
    <xf numFmtId="165" fontId="2" fillId="4" borderId="2" xfId="0" applyNumberFormat="1" applyFont="1" applyFill="1" applyBorder="1" applyAlignment="1">
      <alignment horizontal="center" wrapText="1"/>
    </xf>
    <xf numFmtId="10" fontId="7" fillId="10" borderId="2" xfId="0" applyNumberFormat="1" applyFont="1" applyFill="1" applyBorder="1" applyAlignment="1">
      <alignment wrapText="1"/>
    </xf>
    <xf numFmtId="164" fontId="7" fillId="15" borderId="23" xfId="0" applyNumberFormat="1" applyFont="1" applyFill="1" applyBorder="1" applyAlignment="1">
      <alignment horizontal="center" wrapText="1"/>
    </xf>
    <xf numFmtId="164" fontId="7" fillId="9" borderId="23" xfId="0" applyNumberFormat="1" applyFont="1" applyFill="1" applyBorder="1" applyAlignment="1">
      <alignment horizontal="center" wrapText="1"/>
    </xf>
    <xf numFmtId="164" fontId="2" fillId="16" borderId="23" xfId="0" applyNumberFormat="1" applyFont="1" applyFill="1" applyBorder="1" applyAlignment="1">
      <alignment wrapText="1"/>
    </xf>
    <xf numFmtId="164" fontId="2" fillId="2" borderId="23" xfId="0" applyNumberFormat="1" applyFont="1" applyFill="1" applyBorder="1" applyAlignment="1">
      <alignment wrapText="1"/>
    </xf>
    <xf numFmtId="164" fontId="2" fillId="4" borderId="23" xfId="0" applyNumberFormat="1" applyFont="1" applyFill="1" applyBorder="1" applyAlignment="1">
      <alignment wrapText="1"/>
    </xf>
    <xf numFmtId="0" fontId="7" fillId="0" borderId="21" xfId="0" quotePrefix="1" applyFont="1" applyBorder="1" applyAlignment="1">
      <alignment horizontal="left" wrapText="1"/>
    </xf>
    <xf numFmtId="49" fontId="17" fillId="17" borderId="25" xfId="0" applyNumberFormat="1" applyFont="1" applyFill="1" applyBorder="1" applyAlignment="1">
      <alignment horizontal="left"/>
    </xf>
    <xf numFmtId="164" fontId="2" fillId="2" borderId="23" xfId="0" applyNumberFormat="1" applyFont="1" applyFill="1" applyBorder="1" applyAlignment="1">
      <alignment horizontal="center" wrapText="1"/>
    </xf>
    <xf numFmtId="164" fontId="2" fillId="4" borderId="23" xfId="0" applyNumberFormat="1" applyFont="1" applyFill="1" applyBorder="1" applyAlignment="1">
      <alignment horizontal="center" wrapText="1"/>
    </xf>
    <xf numFmtId="164" fontId="7" fillId="15" borderId="23" xfId="0" applyNumberFormat="1" applyFont="1" applyFill="1" applyBorder="1" applyAlignment="1">
      <alignment wrapText="1"/>
    </xf>
    <xf numFmtId="166" fontId="7" fillId="15" borderId="23" xfId="0" applyNumberFormat="1" applyFont="1" applyFill="1" applyBorder="1" applyAlignment="1">
      <alignment horizontal="center" wrapText="1"/>
    </xf>
    <xf numFmtId="164" fontId="7" fillId="15" borderId="2" xfId="0" applyNumberFormat="1" applyFont="1" applyFill="1" applyBorder="1" applyAlignment="1">
      <alignment wrapText="1"/>
    </xf>
    <xf numFmtId="10" fontId="7" fillId="15" borderId="23" xfId="0" applyNumberFormat="1" applyFont="1" applyFill="1" applyBorder="1" applyAlignment="1">
      <alignment wrapText="1"/>
    </xf>
    <xf numFmtId="0" fontId="2" fillId="0" borderId="21" xfId="0" applyFont="1" applyBorder="1" applyAlignment="1">
      <alignment wrapText="1"/>
    </xf>
    <xf numFmtId="0" fontId="7" fillId="0" borderId="21" xfId="0" applyFont="1" applyBorder="1" applyAlignment="1">
      <alignment wrapText="1"/>
    </xf>
    <xf numFmtId="0" fontId="7" fillId="22" borderId="23" xfId="0" applyFont="1" applyFill="1" applyBorder="1" applyAlignment="1">
      <alignment horizontal="left" wrapText="1"/>
    </xf>
    <xf numFmtId="0" fontId="18" fillId="0" borderId="2" xfId="0" applyFont="1" applyBorder="1" applyAlignment="1">
      <alignment horizontal="left" wrapText="1"/>
    </xf>
    <xf numFmtId="164" fontId="7" fillId="0" borderId="21" xfId="0" applyNumberFormat="1" applyFont="1" applyBorder="1" applyAlignment="1">
      <alignment wrapText="1"/>
    </xf>
    <xf numFmtId="164" fontId="17" fillId="18" borderId="23" xfId="0" applyNumberFormat="1" applyFont="1" applyFill="1" applyBorder="1" applyAlignment="1">
      <alignment horizontal="center"/>
    </xf>
    <xf numFmtId="49" fontId="7" fillId="0" borderId="21" xfId="0" applyNumberFormat="1" applyFont="1" applyBorder="1" applyAlignment="1">
      <alignment wrapText="1"/>
    </xf>
    <xf numFmtId="0" fontId="11" fillId="0" borderId="21" xfId="0" applyFont="1" applyBorder="1" applyAlignment="1">
      <alignment horizontal="center" wrapText="1"/>
    </xf>
    <xf numFmtId="0" fontId="19" fillId="10" borderId="2" xfId="0" applyFont="1" applyFill="1" applyBorder="1" applyAlignment="1">
      <alignment horizontal="center"/>
    </xf>
    <xf numFmtId="0" fontId="2" fillId="0" borderId="2" xfId="0" applyFont="1" applyBorder="1" applyAlignment="1">
      <alignment horizontal="center" wrapText="1"/>
    </xf>
    <xf numFmtId="0" fontId="4" fillId="0" borderId="2" xfId="0" applyFont="1" applyBorder="1" applyAlignment="1">
      <alignment horizontal="center"/>
    </xf>
    <xf numFmtId="0" fontId="2" fillId="23" borderId="21" xfId="0" applyFont="1" applyFill="1" applyBorder="1" applyAlignment="1">
      <alignment horizontal="center" wrapText="1"/>
    </xf>
    <xf numFmtId="0" fontId="1" fillId="0" borderId="2" xfId="0" applyFont="1" applyBorder="1"/>
    <xf numFmtId="0" fontId="7" fillId="4" borderId="23" xfId="0" applyFont="1" applyFill="1" applyBorder="1" applyAlignment="1">
      <alignment horizontal="left" wrapText="1"/>
    </xf>
    <xf numFmtId="0" fontId="18" fillId="0" borderId="21" xfId="0" applyFont="1" applyBorder="1" applyAlignment="1">
      <alignment horizontal="left" wrapText="1"/>
    </xf>
    <xf numFmtId="165" fontId="2" fillId="2" borderId="23" xfId="0" applyNumberFormat="1" applyFont="1" applyFill="1" applyBorder="1" applyAlignment="1">
      <alignment wrapText="1"/>
    </xf>
    <xf numFmtId="165" fontId="2" fillId="4" borderId="23" xfId="0" applyNumberFormat="1" applyFont="1" applyFill="1" applyBorder="1" applyAlignment="1">
      <alignment wrapText="1"/>
    </xf>
    <xf numFmtId="0" fontId="2" fillId="6" borderId="21" xfId="0" applyFont="1" applyFill="1" applyBorder="1" applyAlignment="1">
      <alignment horizontal="center" wrapText="1"/>
    </xf>
    <xf numFmtId="0" fontId="7" fillId="15" borderId="23" xfId="0" applyFont="1" applyFill="1" applyBorder="1" applyAlignment="1">
      <alignment horizontal="center" wrapText="1"/>
    </xf>
    <xf numFmtId="0" fontId="7" fillId="0" borderId="2" xfId="0" applyFont="1" applyBorder="1" applyAlignment="1">
      <alignment horizontal="left" wrapText="1"/>
    </xf>
    <xf numFmtId="0" fontId="15" fillId="0" borderId="2" xfId="0" applyFont="1" applyBorder="1" applyAlignment="1">
      <alignment horizontal="center"/>
    </xf>
    <xf numFmtId="0" fontId="16" fillId="17" borderId="23" xfId="0" quotePrefix="1" applyFont="1" applyFill="1" applyBorder="1" applyAlignment="1">
      <alignment horizontal="right" wrapText="1"/>
    </xf>
    <xf numFmtId="0" fontId="2" fillId="8" borderId="21" xfId="0" applyFont="1" applyFill="1" applyBorder="1" applyAlignment="1">
      <alignment horizontal="left" wrapText="1"/>
    </xf>
    <xf numFmtId="0" fontId="2" fillId="24" borderId="2" xfId="0" applyFont="1" applyFill="1" applyBorder="1" applyAlignment="1">
      <alignment horizontal="center" wrapText="1"/>
    </xf>
    <xf numFmtId="0" fontId="7" fillId="22" borderId="21" xfId="0" applyFont="1" applyFill="1" applyBorder="1" applyAlignment="1">
      <alignment horizontal="left" wrapText="1"/>
    </xf>
    <xf numFmtId="49" fontId="17" fillId="15" borderId="23" xfId="0" applyNumberFormat="1" applyFont="1" applyFill="1" applyBorder="1" applyAlignment="1">
      <alignment horizontal="left" wrapText="1"/>
    </xf>
    <xf numFmtId="0" fontId="2" fillId="0" borderId="24" xfId="0" applyFont="1" applyBorder="1" applyAlignment="1">
      <alignment horizontal="left" wrapText="1"/>
    </xf>
    <xf numFmtId="0" fontId="7" fillId="15" borderId="21" xfId="0" applyFont="1" applyFill="1" applyBorder="1" applyAlignment="1">
      <alignment horizontal="left" wrapText="1"/>
    </xf>
    <xf numFmtId="0" fontId="15" fillId="2" borderId="2" xfId="0" applyFont="1" applyFill="1" applyBorder="1" applyAlignment="1">
      <alignment horizontal="left" wrapText="1"/>
    </xf>
    <xf numFmtId="0" fontId="2" fillId="4" borderId="23" xfId="0" applyFont="1" applyFill="1" applyBorder="1" applyAlignment="1">
      <alignment horizontal="left" wrapText="1"/>
    </xf>
    <xf numFmtId="165" fontId="2" fillId="2" borderId="2" xfId="0" applyNumberFormat="1" applyFont="1" applyFill="1" applyBorder="1" applyAlignment="1">
      <alignment wrapText="1"/>
    </xf>
    <xf numFmtId="49" fontId="17" fillId="22" borderId="23" xfId="0" applyNumberFormat="1" applyFont="1" applyFill="1" applyBorder="1" applyAlignment="1">
      <alignment horizontal="left" wrapText="1"/>
    </xf>
    <xf numFmtId="49" fontId="20" fillId="22" borderId="21" xfId="0" applyNumberFormat="1" applyFont="1" applyFill="1" applyBorder="1" applyAlignment="1">
      <alignment horizontal="left"/>
    </xf>
    <xf numFmtId="10" fontId="7" fillId="0" borderId="2" xfId="0" applyNumberFormat="1" applyFont="1" applyBorder="1" applyAlignment="1">
      <alignment wrapText="1"/>
    </xf>
    <xf numFmtId="0" fontId="7" fillId="4" borderId="23" xfId="0" applyFont="1" applyFill="1" applyBorder="1" applyAlignment="1">
      <alignment horizontal="center" wrapText="1"/>
    </xf>
    <xf numFmtId="0" fontId="21" fillId="0" borderId="21" xfId="0" applyFont="1" applyBorder="1" applyAlignment="1">
      <alignment horizontal="left" wrapText="1"/>
    </xf>
    <xf numFmtId="0" fontId="14" fillId="0" borderId="21" xfId="0" applyFont="1" applyBorder="1" applyAlignment="1">
      <alignment horizontal="center" wrapText="1"/>
    </xf>
    <xf numFmtId="0" fontId="7" fillId="25" borderId="23" xfId="0" applyFont="1" applyFill="1" applyBorder="1" applyAlignment="1">
      <alignment horizontal="left" wrapText="1"/>
    </xf>
    <xf numFmtId="0" fontId="2" fillId="22" borderId="21" xfId="0" applyFont="1" applyFill="1" applyBorder="1" applyAlignment="1">
      <alignment horizontal="left" wrapText="1"/>
    </xf>
    <xf numFmtId="0" fontId="17" fillId="22" borderId="21" xfId="0" applyFont="1" applyFill="1" applyBorder="1" applyAlignment="1">
      <alignment horizontal="left" wrapText="1"/>
    </xf>
    <xf numFmtId="49" fontId="22" fillId="9" borderId="2" xfId="0" applyNumberFormat="1" applyFont="1" applyFill="1" applyBorder="1" applyAlignment="1">
      <alignment wrapText="1"/>
    </xf>
    <xf numFmtId="0" fontId="3" fillId="0" borderId="2" xfId="0" applyFont="1" applyBorder="1"/>
    <xf numFmtId="0" fontId="2" fillId="6" borderId="2" xfId="0" applyFont="1" applyFill="1" applyBorder="1" applyAlignment="1">
      <alignment horizontal="center" wrapText="1"/>
    </xf>
    <xf numFmtId="0" fontId="7" fillId="0" borderId="2" xfId="0" applyFont="1" applyBorder="1" applyAlignment="1">
      <alignment horizontal="center" wrapText="1"/>
    </xf>
    <xf numFmtId="0" fontId="16" fillId="17" borderId="2" xfId="0" applyFont="1" applyFill="1" applyBorder="1" applyAlignment="1">
      <alignment horizontal="right" wrapText="1"/>
    </xf>
    <xf numFmtId="49" fontId="11" fillId="10" borderId="2" xfId="0" applyNumberFormat="1" applyFont="1" applyFill="1" applyBorder="1" applyAlignment="1">
      <alignment horizontal="left" wrapText="1"/>
    </xf>
    <xf numFmtId="164" fontId="7" fillId="18" borderId="2" xfId="0" applyNumberFormat="1" applyFont="1" applyFill="1" applyBorder="1" applyAlignment="1">
      <alignment horizontal="center"/>
    </xf>
    <xf numFmtId="164" fontId="7" fillId="18" borderId="20" xfId="0" applyNumberFormat="1" applyFont="1" applyFill="1" applyBorder="1" applyAlignment="1">
      <alignment horizontal="center"/>
    </xf>
    <xf numFmtId="0" fontId="2" fillId="0" borderId="2" xfId="0" applyFont="1" applyBorder="1" applyAlignment="1">
      <alignment horizontal="left" wrapText="1"/>
    </xf>
    <xf numFmtId="0" fontId="7" fillId="0" borderId="24" xfId="0" applyFont="1" applyBorder="1" applyAlignment="1">
      <alignment horizontal="left" wrapText="1"/>
    </xf>
    <xf numFmtId="0" fontId="2" fillId="20" borderId="2" xfId="0" applyFont="1" applyFill="1" applyBorder="1" applyAlignment="1">
      <alignment horizontal="center" wrapText="1"/>
    </xf>
    <xf numFmtId="0" fontId="2" fillId="10" borderId="21" xfId="0" applyFont="1" applyFill="1" applyBorder="1" applyAlignment="1">
      <alignment horizontal="left" wrapText="1"/>
    </xf>
    <xf numFmtId="0" fontId="18" fillId="0" borderId="0" xfId="0" applyFont="1" applyAlignment="1">
      <alignment horizontal="left" wrapText="1"/>
    </xf>
    <xf numFmtId="49" fontId="11" fillId="4" borderId="23" xfId="0" applyNumberFormat="1" applyFont="1" applyFill="1" applyBorder="1" applyAlignment="1">
      <alignment horizontal="left" wrapText="1"/>
    </xf>
    <xf numFmtId="0" fontId="2" fillId="4" borderId="24" xfId="0" applyFont="1" applyFill="1" applyBorder="1" applyAlignment="1">
      <alignment horizontal="left" wrapText="1"/>
    </xf>
    <xf numFmtId="164" fontId="2" fillId="2" borderId="2" xfId="0" applyNumberFormat="1" applyFont="1" applyFill="1" applyBorder="1" applyAlignment="1">
      <alignment wrapText="1"/>
    </xf>
    <xf numFmtId="164" fontId="2" fillId="4" borderId="2" xfId="0" applyNumberFormat="1" applyFont="1" applyFill="1" applyBorder="1" applyAlignment="1">
      <alignment wrapText="1"/>
    </xf>
    <xf numFmtId="0" fontId="2" fillId="0" borderId="23" xfId="0" applyFont="1" applyBorder="1" applyAlignment="1">
      <alignment horizontal="center" wrapText="1"/>
    </xf>
    <xf numFmtId="0" fontId="7" fillId="0" borderId="21" xfId="0" applyFont="1" applyBorder="1" applyAlignment="1">
      <alignment horizontal="right" wrapText="1"/>
    </xf>
    <xf numFmtId="164" fontId="2" fillId="16" borderId="23" xfId="0" applyNumberFormat="1" applyFont="1" applyFill="1" applyBorder="1" applyAlignment="1">
      <alignment horizontal="center" wrapText="1"/>
    </xf>
    <xf numFmtId="49" fontId="7" fillId="0" borderId="24" xfId="0" applyNumberFormat="1" applyFont="1" applyBorder="1" applyAlignment="1">
      <alignment horizontal="left" wrapText="1"/>
    </xf>
    <xf numFmtId="0" fontId="24" fillId="2" borderId="2" xfId="0" applyFont="1" applyFill="1" applyBorder="1" applyAlignment="1">
      <alignment horizontal="left" wrapText="1"/>
    </xf>
    <xf numFmtId="0" fontId="7" fillId="4" borderId="21" xfId="0" applyFont="1" applyFill="1" applyBorder="1" applyAlignment="1">
      <alignment horizontal="left" wrapText="1"/>
    </xf>
    <xf numFmtId="0" fontId="25" fillId="0" borderId="2" xfId="0" applyFont="1" applyBorder="1" applyAlignment="1">
      <alignment wrapText="1"/>
    </xf>
    <xf numFmtId="49" fontId="17" fillId="10" borderId="2" xfId="0" applyNumberFormat="1" applyFont="1" applyFill="1" applyBorder="1" applyAlignment="1">
      <alignment horizontal="left" wrapText="1"/>
    </xf>
    <xf numFmtId="0" fontId="2" fillId="4" borderId="2" xfId="0" applyFont="1" applyFill="1" applyBorder="1" applyAlignment="1">
      <alignment horizontal="center" wrapText="1"/>
    </xf>
    <xf numFmtId="165" fontId="2" fillId="4" borderId="2" xfId="0" applyNumberFormat="1" applyFont="1" applyFill="1" applyBorder="1" applyAlignment="1">
      <alignment horizontal="right" wrapText="1"/>
    </xf>
    <xf numFmtId="0" fontId="2" fillId="23" borderId="2" xfId="0" applyFont="1" applyFill="1" applyBorder="1" applyAlignment="1">
      <alignment horizontal="center" wrapText="1"/>
    </xf>
    <xf numFmtId="166" fontId="7" fillId="6" borderId="23" xfId="0" applyNumberFormat="1" applyFont="1" applyFill="1" applyBorder="1" applyAlignment="1">
      <alignment horizontal="center" wrapText="1"/>
    </xf>
    <xf numFmtId="0" fontId="2" fillId="0" borderId="2" xfId="0" applyFont="1" applyBorder="1" applyAlignment="1">
      <alignment wrapText="1"/>
    </xf>
    <xf numFmtId="165" fontId="2" fillId="4" borderId="2" xfId="0" applyNumberFormat="1" applyFont="1" applyFill="1" applyBorder="1" applyAlignment="1">
      <alignment wrapText="1"/>
    </xf>
    <xf numFmtId="0" fontId="10" fillId="0" borderId="2" xfId="0" applyFont="1" applyBorder="1" applyAlignment="1">
      <alignment horizontal="left" vertical="top" wrapText="1"/>
    </xf>
    <xf numFmtId="166" fontId="2" fillId="15" borderId="23" xfId="0" applyNumberFormat="1" applyFont="1" applyFill="1" applyBorder="1" applyAlignment="1">
      <alignment horizontal="center" wrapText="1"/>
    </xf>
    <xf numFmtId="0" fontId="2" fillId="25" borderId="2" xfId="0" applyFont="1" applyFill="1" applyBorder="1" applyAlignment="1">
      <alignment horizontal="center" wrapText="1"/>
    </xf>
    <xf numFmtId="0" fontId="26" fillId="0" borderId="2" xfId="0" applyFont="1" applyBorder="1" applyAlignment="1">
      <alignment horizontal="left"/>
    </xf>
    <xf numFmtId="0" fontId="27" fillId="0" borderId="2" xfId="0" applyFont="1" applyBorder="1" applyAlignment="1">
      <alignment horizontal="left"/>
    </xf>
    <xf numFmtId="0" fontId="28" fillId="0" borderId="0" xfId="0" applyFont="1"/>
    <xf numFmtId="164" fontId="17" fillId="18" borderId="25" xfId="0" applyNumberFormat="1" applyFont="1" applyFill="1" applyBorder="1" applyAlignment="1">
      <alignment horizontal="center"/>
    </xf>
    <xf numFmtId="0" fontId="15" fillId="0" borderId="2" xfId="0" applyFont="1" applyBorder="1" applyAlignment="1">
      <alignment horizontal="left"/>
    </xf>
    <xf numFmtId="164" fontId="7" fillId="0" borderId="2" xfId="0" applyNumberFormat="1" applyFont="1" applyBorder="1" applyAlignment="1">
      <alignment wrapText="1"/>
    </xf>
    <xf numFmtId="49" fontId="11" fillId="4" borderId="2" xfId="0" applyNumberFormat="1" applyFont="1" applyFill="1" applyBorder="1" applyAlignment="1">
      <alignment horizontal="left" wrapText="1"/>
    </xf>
    <xf numFmtId="0" fontId="30" fillId="0" borderId="2" xfId="0" applyFont="1" applyBorder="1" applyAlignment="1">
      <alignment horizontal="left" wrapText="1"/>
    </xf>
    <xf numFmtId="0" fontId="2" fillId="25" borderId="2" xfId="0" applyFont="1" applyFill="1" applyBorder="1" applyAlignment="1">
      <alignment horizontal="left" wrapText="1"/>
    </xf>
    <xf numFmtId="0" fontId="2" fillId="26" borderId="21" xfId="0" applyFont="1" applyFill="1" applyBorder="1" applyAlignment="1">
      <alignment horizontal="center" wrapText="1"/>
    </xf>
    <xf numFmtId="0" fontId="14" fillId="0" borderId="2" xfId="0" applyFont="1" applyBorder="1" applyAlignment="1">
      <alignment horizontal="center" wrapText="1"/>
    </xf>
    <xf numFmtId="0" fontId="2" fillId="7" borderId="2" xfId="0" applyFont="1" applyFill="1" applyBorder="1" applyAlignment="1">
      <alignment horizontal="left" wrapText="1"/>
    </xf>
    <xf numFmtId="0" fontId="2" fillId="13" borderId="2" xfId="0" applyFont="1" applyFill="1" applyBorder="1" applyAlignment="1">
      <alignment horizontal="center" wrapText="1"/>
    </xf>
    <xf numFmtId="165" fontId="7" fillId="15" borderId="2" xfId="0" applyNumberFormat="1" applyFont="1" applyFill="1" applyBorder="1" applyAlignment="1">
      <alignment horizontal="center" wrapText="1"/>
    </xf>
    <xf numFmtId="165" fontId="7" fillId="9" borderId="2" xfId="0" applyNumberFormat="1" applyFont="1" applyFill="1" applyBorder="1" applyAlignment="1">
      <alignment horizontal="center" wrapText="1"/>
    </xf>
    <xf numFmtId="164" fontId="7" fillId="15" borderId="2" xfId="0" applyNumberFormat="1" applyFont="1" applyFill="1" applyBorder="1" applyAlignment="1">
      <alignment horizontal="center" wrapText="1"/>
    </xf>
    <xf numFmtId="164" fontId="7" fillId="9" borderId="2" xfId="0" applyNumberFormat="1" applyFont="1" applyFill="1" applyBorder="1" applyAlignment="1">
      <alignment horizontal="center" wrapText="1"/>
    </xf>
    <xf numFmtId="164" fontId="2" fillId="16" borderId="2" xfId="0" applyNumberFormat="1" applyFont="1" applyFill="1" applyBorder="1" applyAlignment="1">
      <alignment wrapText="1"/>
    </xf>
    <xf numFmtId="0" fontId="7" fillId="4" borderId="2" xfId="0" applyFont="1" applyFill="1" applyBorder="1" applyAlignment="1">
      <alignment horizontal="left" wrapText="1"/>
    </xf>
    <xf numFmtId="167" fontId="7" fillId="15" borderId="23" xfId="0" applyNumberFormat="1" applyFont="1" applyFill="1" applyBorder="1" applyAlignment="1">
      <alignment horizontal="center" wrapText="1"/>
    </xf>
    <xf numFmtId="10" fontId="7" fillId="15" borderId="2" xfId="0" applyNumberFormat="1" applyFont="1" applyFill="1" applyBorder="1" applyAlignment="1">
      <alignment wrapText="1"/>
    </xf>
    <xf numFmtId="0" fontId="7" fillId="0" borderId="2" xfId="0" applyFont="1" applyBorder="1" applyAlignment="1">
      <alignment wrapText="1"/>
    </xf>
    <xf numFmtId="0" fontId="7" fillId="25" borderId="2" xfId="0" applyFont="1" applyFill="1" applyBorder="1" applyAlignment="1">
      <alignment horizontal="left" wrapText="1"/>
    </xf>
    <xf numFmtId="164" fontId="17" fillId="27" borderId="2" xfId="0" applyNumberFormat="1" applyFont="1" applyFill="1" applyBorder="1" applyAlignment="1">
      <alignment horizontal="center"/>
    </xf>
    <xf numFmtId="49" fontId="11" fillId="10" borderId="2" xfId="0" applyNumberFormat="1" applyFont="1" applyFill="1" applyBorder="1" applyAlignment="1">
      <alignment horizontal="right" wrapText="1"/>
    </xf>
    <xf numFmtId="0" fontId="2" fillId="13" borderId="5" xfId="0" applyFont="1" applyFill="1" applyBorder="1" applyAlignment="1">
      <alignment horizontal="center" wrapText="1"/>
    </xf>
    <xf numFmtId="0" fontId="2" fillId="0" borderId="27" xfId="0" applyFont="1" applyBorder="1" applyAlignment="1">
      <alignment horizontal="center" wrapText="1"/>
    </xf>
    <xf numFmtId="0" fontId="2" fillId="13" borderId="26" xfId="0" applyFont="1" applyFill="1" applyBorder="1" applyAlignment="1">
      <alignment horizontal="center" wrapText="1"/>
    </xf>
    <xf numFmtId="0" fontId="2" fillId="13" borderId="28" xfId="0" applyFont="1" applyFill="1" applyBorder="1" applyAlignment="1">
      <alignment horizontal="center" wrapText="1"/>
    </xf>
    <xf numFmtId="0" fontId="2" fillId="13" borderId="29" xfId="0" applyFont="1" applyFill="1" applyBorder="1" applyAlignment="1">
      <alignment horizontal="center" wrapText="1"/>
    </xf>
    <xf numFmtId="0" fontId="2" fillId="13" borderId="30" xfId="0" applyFont="1" applyFill="1" applyBorder="1" applyAlignment="1">
      <alignment horizontal="center" wrapText="1"/>
    </xf>
    <xf numFmtId="165" fontId="7" fillId="15" borderId="31" xfId="0" applyNumberFormat="1" applyFont="1" applyFill="1" applyBorder="1" applyAlignment="1">
      <alignment horizontal="center" wrapText="1"/>
    </xf>
    <xf numFmtId="165" fontId="7" fillId="9" borderId="32" xfId="0" applyNumberFormat="1" applyFont="1" applyFill="1" applyBorder="1" applyAlignment="1">
      <alignment horizontal="center" wrapText="1"/>
    </xf>
    <xf numFmtId="164" fontId="7" fillId="15" borderId="31" xfId="0" applyNumberFormat="1" applyFont="1" applyFill="1" applyBorder="1" applyAlignment="1">
      <alignment horizontal="center" wrapText="1"/>
    </xf>
    <xf numFmtId="164" fontId="7" fillId="9" borderId="31" xfId="0" applyNumberFormat="1" applyFont="1" applyFill="1" applyBorder="1" applyAlignment="1">
      <alignment horizontal="center" wrapText="1"/>
    </xf>
    <xf numFmtId="0" fontId="7" fillId="0" borderId="27" xfId="0" applyFont="1" applyBorder="1" applyAlignment="1">
      <alignment horizontal="center" wrapText="1"/>
    </xf>
    <xf numFmtId="0" fontId="2" fillId="0" borderId="33" xfId="0" applyFont="1" applyBorder="1" applyAlignment="1">
      <alignment wrapText="1"/>
    </xf>
    <xf numFmtId="0" fontId="7" fillId="0" borderId="22" xfId="0" applyFont="1" applyBorder="1" applyAlignment="1">
      <alignment wrapText="1"/>
    </xf>
    <xf numFmtId="0" fontId="7" fillId="0" borderId="2" xfId="0" applyFont="1" applyBorder="1" applyAlignment="1">
      <alignment horizontal="right" wrapText="1"/>
    </xf>
    <xf numFmtId="49" fontId="11" fillId="10" borderId="2" xfId="0" applyNumberFormat="1" applyFont="1" applyFill="1" applyBorder="1" applyAlignment="1">
      <alignment horizontal="center" wrapText="1"/>
    </xf>
    <xf numFmtId="166" fontId="7" fillId="15" borderId="2" xfId="0" applyNumberFormat="1" applyFont="1" applyFill="1" applyBorder="1" applyAlignment="1">
      <alignment horizontal="center" wrapText="1"/>
    </xf>
    <xf numFmtId="164" fontId="7" fillId="4" borderId="23" xfId="0" applyNumberFormat="1" applyFont="1" applyFill="1" applyBorder="1" applyAlignment="1">
      <alignment wrapText="1"/>
    </xf>
    <xf numFmtId="0" fontId="7" fillId="0" borderId="0" xfId="0" applyFont="1" applyAlignment="1">
      <alignment horizontal="center" wrapText="1"/>
    </xf>
    <xf numFmtId="0" fontId="2" fillId="0" borderId="34" xfId="0" applyFont="1" applyBorder="1" applyAlignment="1">
      <alignment horizontal="center" wrapText="1"/>
    </xf>
    <xf numFmtId="0" fontId="7" fillId="13" borderId="21" xfId="0" applyFont="1" applyFill="1" applyBorder="1" applyAlignment="1">
      <alignment horizontal="right" wrapText="1"/>
    </xf>
    <xf numFmtId="49" fontId="2" fillId="0" borderId="21" xfId="0" applyNumberFormat="1" applyFont="1" applyBorder="1" applyAlignment="1">
      <alignment horizontal="center" wrapText="1"/>
    </xf>
    <xf numFmtId="0" fontId="2" fillId="0" borderId="22" xfId="0" applyFont="1" applyBorder="1" applyAlignment="1">
      <alignment horizontal="left" wrapText="1"/>
    </xf>
    <xf numFmtId="49" fontId="2" fillId="0" borderId="2" xfId="0" applyNumberFormat="1" applyFont="1" applyBorder="1" applyAlignment="1">
      <alignment horizontal="center" vertical="center" wrapText="1"/>
    </xf>
    <xf numFmtId="49" fontId="2" fillId="0" borderId="2" xfId="0" applyNumberFormat="1" applyFont="1" applyBorder="1" applyAlignment="1">
      <alignment horizontal="left" wrapText="1"/>
    </xf>
    <xf numFmtId="0" fontId="2" fillId="13" borderId="35" xfId="0" applyFont="1" applyFill="1" applyBorder="1" applyAlignment="1">
      <alignment horizontal="center" wrapText="1"/>
    </xf>
    <xf numFmtId="0" fontId="2" fillId="13" borderId="20" xfId="0" applyFont="1" applyFill="1" applyBorder="1" applyAlignment="1">
      <alignment horizontal="center" wrapText="1"/>
    </xf>
    <xf numFmtId="0" fontId="2" fillId="13" borderId="36" xfId="0" applyFont="1" applyFill="1" applyBorder="1" applyAlignment="1">
      <alignment horizontal="center" wrapText="1"/>
    </xf>
    <xf numFmtId="165" fontId="7" fillId="21" borderId="2" xfId="0" applyNumberFormat="1" applyFont="1" applyFill="1" applyBorder="1" applyAlignment="1">
      <alignment wrapText="1"/>
    </xf>
    <xf numFmtId="165" fontId="7" fillId="15" borderId="2" xfId="0" applyNumberFormat="1" applyFont="1" applyFill="1" applyBorder="1" applyAlignment="1">
      <alignment wrapText="1"/>
    </xf>
    <xf numFmtId="165" fontId="7" fillId="9" borderId="35" xfId="0" applyNumberFormat="1" applyFont="1" applyFill="1" applyBorder="1" applyAlignment="1">
      <alignment wrapText="1"/>
    </xf>
    <xf numFmtId="165" fontId="2" fillId="16" borderId="2" xfId="0" applyNumberFormat="1" applyFont="1" applyFill="1" applyBorder="1" applyAlignment="1">
      <alignment wrapText="1"/>
    </xf>
    <xf numFmtId="164" fontId="7" fillId="9" borderId="2" xfId="0" applyNumberFormat="1" applyFont="1" applyFill="1" applyBorder="1" applyAlignment="1">
      <alignment wrapText="1"/>
    </xf>
    <xf numFmtId="0" fontId="7" fillId="10" borderId="2" xfId="0" applyFont="1" applyFill="1" applyBorder="1" applyAlignment="1">
      <alignment horizontal="left" wrapText="1"/>
    </xf>
    <xf numFmtId="0" fontId="7" fillId="10" borderId="2" xfId="0" applyFont="1" applyFill="1" applyBorder="1" applyAlignment="1">
      <alignment horizontal="center" wrapText="1"/>
    </xf>
    <xf numFmtId="0" fontId="7" fillId="0" borderId="34" xfId="0" applyFont="1" applyBorder="1" applyAlignment="1">
      <alignment horizontal="center" wrapText="1"/>
    </xf>
    <xf numFmtId="0" fontId="2" fillId="0" borderId="37" xfId="0" applyFont="1" applyBorder="1" applyAlignment="1">
      <alignment wrapText="1"/>
    </xf>
    <xf numFmtId="0" fontId="7" fillId="0" borderId="34" xfId="0" applyFont="1" applyBorder="1" applyAlignment="1">
      <alignment wrapText="1"/>
    </xf>
    <xf numFmtId="0" fontId="3" fillId="0" borderId="2" xfId="0" applyFont="1" applyBorder="1" applyAlignment="1">
      <alignment horizontal="center"/>
    </xf>
    <xf numFmtId="0" fontId="2" fillId="4" borderId="2" xfId="0" applyFont="1" applyFill="1" applyBorder="1" applyAlignment="1">
      <alignment horizontal="left" wrapText="1"/>
    </xf>
    <xf numFmtId="0" fontId="16" fillId="13" borderId="33" xfId="0" applyFont="1" applyFill="1" applyBorder="1"/>
    <xf numFmtId="0" fontId="7" fillId="0" borderId="34" xfId="0" applyFont="1" applyBorder="1" applyAlignment="1">
      <alignment horizontal="left" wrapText="1"/>
    </xf>
    <xf numFmtId="0" fontId="16" fillId="17" borderId="2" xfId="0" applyFont="1" applyFill="1" applyBorder="1"/>
    <xf numFmtId="0" fontId="28" fillId="0" borderId="34" xfId="0" applyFont="1" applyBorder="1"/>
    <xf numFmtId="0" fontId="28" fillId="0" borderId="2" xfId="0" applyFont="1" applyBorder="1"/>
    <xf numFmtId="49" fontId="7" fillId="0" borderId="2" xfId="0" applyNumberFormat="1" applyFont="1" applyBorder="1" applyAlignment="1">
      <alignment horizontal="center" wrapText="1"/>
    </xf>
    <xf numFmtId="49" fontId="31" fillId="0" borderId="2" xfId="0" applyNumberFormat="1" applyFont="1" applyBorder="1" applyAlignment="1">
      <alignment horizontal="center" wrapText="1"/>
    </xf>
    <xf numFmtId="0" fontId="2" fillId="13" borderId="38" xfId="0" applyFont="1" applyFill="1" applyBorder="1" applyAlignment="1">
      <alignment horizontal="center" wrapText="1"/>
    </xf>
    <xf numFmtId="0" fontId="7" fillId="0" borderId="2" xfId="0" applyFont="1" applyBorder="1" applyAlignment="1">
      <alignment horizontal="center" vertical="center" wrapText="1"/>
    </xf>
    <xf numFmtId="0" fontId="2" fillId="0" borderId="39" xfId="0" applyFont="1" applyBorder="1" applyAlignment="1">
      <alignment horizontal="center" wrapText="1"/>
    </xf>
    <xf numFmtId="165" fontId="7" fillId="9" borderId="2" xfId="0" applyNumberFormat="1" applyFont="1" applyFill="1" applyBorder="1" applyAlignment="1">
      <alignment wrapText="1"/>
    </xf>
    <xf numFmtId="164" fontId="7" fillId="15" borderId="40" xfId="0" applyNumberFormat="1" applyFont="1" applyFill="1" applyBorder="1" applyAlignment="1">
      <alignment wrapText="1"/>
    </xf>
    <xf numFmtId="164" fontId="7" fillId="15" borderId="41" xfId="0" applyNumberFormat="1" applyFont="1" applyFill="1" applyBorder="1" applyAlignment="1">
      <alignment wrapText="1"/>
    </xf>
    <xf numFmtId="0" fontId="7" fillId="15" borderId="2" xfId="0" applyFont="1" applyFill="1" applyBorder="1" applyAlignment="1">
      <alignment horizontal="center" wrapText="1"/>
    </xf>
    <xf numFmtId="0" fontId="10" fillId="0" borderId="2" xfId="0" applyFont="1" applyBorder="1" applyAlignment="1">
      <alignment horizontal="center"/>
    </xf>
    <xf numFmtId="0" fontId="10" fillId="0" borderId="0" xfId="0" applyFont="1"/>
    <xf numFmtId="0" fontId="7" fillId="13" borderId="0" xfId="0" applyFont="1" applyFill="1" applyAlignment="1">
      <alignment horizontal="right" wrapText="1"/>
    </xf>
    <xf numFmtId="49" fontId="2" fillId="0" borderId="21" xfId="0" applyNumberFormat="1" applyFont="1" applyBorder="1" applyAlignment="1">
      <alignment horizontal="center" vertical="center" wrapText="1"/>
    </xf>
    <xf numFmtId="49" fontId="2" fillId="0" borderId="21" xfId="0" applyNumberFormat="1" applyFont="1" applyBorder="1" applyAlignment="1">
      <alignment horizontal="left" wrapText="1"/>
    </xf>
    <xf numFmtId="0" fontId="2" fillId="13" borderId="25" xfId="0" applyFont="1" applyFill="1" applyBorder="1" applyAlignment="1">
      <alignment horizontal="center" wrapText="1"/>
    </xf>
    <xf numFmtId="0" fontId="2" fillId="13" borderId="42" xfId="0" applyFont="1" applyFill="1" applyBorder="1" applyAlignment="1">
      <alignment horizontal="center" wrapText="1"/>
    </xf>
    <xf numFmtId="165" fontId="7" fillId="15" borderId="23" xfId="0" applyNumberFormat="1" applyFont="1" applyFill="1" applyBorder="1" applyAlignment="1">
      <alignment wrapText="1"/>
    </xf>
    <xf numFmtId="165" fontId="7" fillId="9" borderId="26" xfId="0" applyNumberFormat="1" applyFont="1" applyFill="1" applyBorder="1" applyAlignment="1">
      <alignment wrapText="1"/>
    </xf>
    <xf numFmtId="165" fontId="7" fillId="2" borderId="2" xfId="0" applyNumberFormat="1" applyFont="1" applyFill="1" applyBorder="1" applyAlignment="1">
      <alignment wrapText="1"/>
    </xf>
    <xf numFmtId="165" fontId="7" fillId="4" borderId="2" xfId="0" applyNumberFormat="1" applyFont="1" applyFill="1" applyBorder="1" applyAlignment="1">
      <alignment wrapText="1"/>
    </xf>
    <xf numFmtId="0" fontId="7" fillId="10" borderId="25" xfId="0" applyFont="1" applyFill="1" applyBorder="1" applyAlignment="1">
      <alignment horizontal="left" wrapText="1"/>
    </xf>
    <xf numFmtId="164" fontId="7" fillId="9" borderId="23" xfId="0" applyNumberFormat="1" applyFont="1" applyFill="1" applyBorder="1" applyAlignment="1">
      <alignment wrapText="1"/>
    </xf>
    <xf numFmtId="0" fontId="7" fillId="10" borderId="23" xfId="0" applyFont="1" applyFill="1" applyBorder="1" applyAlignment="1">
      <alignment horizontal="left" wrapText="1"/>
    </xf>
    <xf numFmtId="0" fontId="7" fillId="10" borderId="23" xfId="0" applyFont="1" applyFill="1" applyBorder="1" applyAlignment="1">
      <alignment horizontal="center" wrapText="1"/>
    </xf>
    <xf numFmtId="168" fontId="7" fillId="15" borderId="23" xfId="0" applyNumberFormat="1" applyFont="1" applyFill="1" applyBorder="1" applyAlignment="1">
      <alignment wrapText="1"/>
    </xf>
    <xf numFmtId="164" fontId="33" fillId="0" borderId="2" xfId="0" applyNumberFormat="1" applyFont="1" applyBorder="1" applyAlignment="1">
      <alignment horizontal="left" wrapText="1"/>
    </xf>
    <xf numFmtId="0" fontId="7" fillId="0" borderId="25" xfId="0" applyFont="1" applyBorder="1" applyAlignment="1">
      <alignment horizontal="left" wrapText="1"/>
    </xf>
    <xf numFmtId="0" fontId="7" fillId="3" borderId="23" xfId="0" applyFont="1" applyFill="1" applyBorder="1" applyAlignment="1">
      <alignment horizontal="center" wrapText="1"/>
    </xf>
    <xf numFmtId="0" fontId="2" fillId="5" borderId="2" xfId="0" applyFont="1" applyFill="1" applyBorder="1" applyAlignment="1">
      <alignment horizontal="left" wrapText="1"/>
    </xf>
    <xf numFmtId="0" fontId="7" fillId="13" borderId="2" xfId="0" applyFont="1" applyFill="1" applyBorder="1" applyAlignment="1">
      <alignment horizontal="right" wrapText="1"/>
    </xf>
    <xf numFmtId="0" fontId="7" fillId="10" borderId="20" xfId="0" applyFont="1" applyFill="1" applyBorder="1" applyAlignment="1">
      <alignment horizontal="left" wrapText="1"/>
    </xf>
    <xf numFmtId="168" fontId="7" fillId="15" borderId="2" xfId="0" applyNumberFormat="1" applyFont="1" applyFill="1" applyBorder="1" applyAlignment="1">
      <alignment wrapText="1"/>
    </xf>
    <xf numFmtId="168" fontId="7" fillId="15" borderId="2" xfId="0" applyNumberFormat="1" applyFont="1" applyFill="1" applyBorder="1" applyAlignment="1">
      <alignment horizontal="center" wrapText="1"/>
    </xf>
    <xf numFmtId="0" fontId="34" fillId="5" borderId="2" xfId="0" applyFont="1" applyFill="1" applyBorder="1" applyAlignment="1">
      <alignment horizontal="left" wrapText="1"/>
    </xf>
    <xf numFmtId="0" fontId="7" fillId="0" borderId="2" xfId="0" applyFont="1" applyBorder="1" applyAlignment="1">
      <alignment horizontal="left"/>
    </xf>
    <xf numFmtId="0" fontId="7" fillId="10" borderId="41" xfId="0" applyFont="1" applyFill="1" applyBorder="1" applyAlignment="1">
      <alignment horizontal="center" wrapText="1"/>
    </xf>
    <xf numFmtId="0" fontId="23" fillId="6" borderId="2" xfId="0" applyFont="1" applyFill="1" applyBorder="1" applyAlignment="1">
      <alignment wrapText="1"/>
    </xf>
    <xf numFmtId="0" fontId="7" fillId="13" borderId="34" xfId="0" applyFont="1" applyFill="1" applyBorder="1" applyAlignment="1">
      <alignment horizontal="right" wrapText="1"/>
    </xf>
    <xf numFmtId="0" fontId="7" fillId="3" borderId="2" xfId="0" applyFont="1" applyFill="1" applyBorder="1" applyAlignment="1">
      <alignment horizontal="center" wrapText="1"/>
    </xf>
    <xf numFmtId="0" fontId="35" fillId="0" borderId="2" xfId="0" applyFont="1" applyBorder="1" applyAlignment="1">
      <alignment wrapText="1"/>
    </xf>
    <xf numFmtId="0" fontId="28" fillId="0" borderId="2" xfId="0" applyFont="1" applyBorder="1" applyAlignment="1">
      <alignment horizontal="left" wrapText="1"/>
    </xf>
    <xf numFmtId="49" fontId="7" fillId="0" borderId="34" xfId="0" applyNumberFormat="1" applyFont="1" applyBorder="1" applyAlignment="1">
      <alignment horizontal="left" wrapText="1"/>
    </xf>
    <xf numFmtId="165" fontId="36" fillId="9" borderId="35" xfId="0" applyNumberFormat="1" applyFont="1" applyFill="1" applyBorder="1" applyAlignment="1">
      <alignment wrapText="1"/>
    </xf>
    <xf numFmtId="165" fontId="34" fillId="16" borderId="2" xfId="0" applyNumberFormat="1" applyFont="1" applyFill="1" applyBorder="1" applyAlignment="1">
      <alignment wrapText="1"/>
    </xf>
    <xf numFmtId="165" fontId="34" fillId="2" borderId="2" xfId="0" applyNumberFormat="1" applyFont="1" applyFill="1" applyBorder="1" applyAlignment="1">
      <alignment wrapText="1"/>
    </xf>
    <xf numFmtId="165" fontId="34" fillId="4" borderId="2" xfId="0" applyNumberFormat="1" applyFont="1" applyFill="1" applyBorder="1" applyAlignment="1">
      <alignment wrapText="1"/>
    </xf>
    <xf numFmtId="0" fontId="7" fillId="15" borderId="2" xfId="0" applyFont="1" applyFill="1" applyBorder="1" applyAlignment="1">
      <alignment horizontal="left" wrapText="1"/>
    </xf>
    <xf numFmtId="10" fontId="7" fillId="15" borderId="2" xfId="0" applyNumberFormat="1" applyFont="1" applyFill="1" applyBorder="1" applyAlignment="1">
      <alignment horizontal="center" wrapText="1"/>
    </xf>
    <xf numFmtId="0" fontId="37" fillId="17" borderId="2" xfId="0" applyFont="1" applyFill="1" applyBorder="1" applyAlignment="1">
      <alignment wrapText="1"/>
    </xf>
    <xf numFmtId="0" fontId="34" fillId="0" borderId="2" xfId="0" applyFont="1" applyBorder="1" applyAlignment="1">
      <alignment horizontal="center" wrapText="1"/>
    </xf>
    <xf numFmtId="0" fontId="7" fillId="0" borderId="36" xfId="0" applyFont="1" applyBorder="1" applyAlignment="1">
      <alignment horizontal="left" wrapText="1"/>
    </xf>
    <xf numFmtId="49" fontId="7" fillId="10" borderId="20" xfId="0" applyNumberFormat="1" applyFont="1" applyFill="1" applyBorder="1" applyAlignment="1">
      <alignment horizontal="left" wrapText="1"/>
    </xf>
    <xf numFmtId="164" fontId="7" fillId="15" borderId="2" xfId="0" applyNumberFormat="1" applyFont="1" applyFill="1" applyBorder="1" applyAlignment="1">
      <alignment horizontal="right" wrapText="1"/>
    </xf>
    <xf numFmtId="0" fontId="2" fillId="28" borderId="2" xfId="0" applyFont="1" applyFill="1" applyBorder="1" applyAlignment="1">
      <alignment horizontal="center" wrapText="1"/>
    </xf>
    <xf numFmtId="0" fontId="7" fillId="10" borderId="2" xfId="0" quotePrefix="1" applyFont="1" applyFill="1" applyBorder="1" applyAlignment="1">
      <alignment horizontal="left" wrapText="1"/>
    </xf>
    <xf numFmtId="0" fontId="7" fillId="13" borderId="36" xfId="0" applyFont="1" applyFill="1" applyBorder="1" applyAlignment="1">
      <alignment horizontal="right" wrapText="1"/>
    </xf>
    <xf numFmtId="165" fontId="2" fillId="6" borderId="2" xfId="0" applyNumberFormat="1" applyFont="1" applyFill="1" applyBorder="1" applyAlignment="1">
      <alignment wrapText="1"/>
    </xf>
    <xf numFmtId="0" fontId="7" fillId="3" borderId="23" xfId="0" applyFont="1" applyFill="1" applyBorder="1" applyAlignment="1">
      <alignment wrapText="1"/>
    </xf>
    <xf numFmtId="0" fontId="11" fillId="0" borderId="2" xfId="0" applyFont="1" applyBorder="1" applyAlignment="1">
      <alignment horizontal="center" wrapText="1"/>
    </xf>
    <xf numFmtId="49" fontId="2" fillId="0" borderId="34" xfId="0" applyNumberFormat="1" applyFont="1" applyBorder="1" applyAlignment="1">
      <alignment horizontal="center" wrapText="1"/>
    </xf>
    <xf numFmtId="0" fontId="2" fillId="0" borderId="34" xfId="0" applyFont="1" applyBorder="1" applyAlignment="1">
      <alignment horizontal="left" wrapText="1"/>
    </xf>
    <xf numFmtId="49" fontId="2" fillId="0" borderId="34" xfId="0" applyNumberFormat="1" applyFont="1" applyBorder="1" applyAlignment="1">
      <alignment horizontal="center" vertical="center" wrapText="1"/>
    </xf>
    <xf numFmtId="0" fontId="7" fillId="10" borderId="43" xfId="0" applyFont="1" applyFill="1" applyBorder="1" applyAlignment="1">
      <alignment horizontal="left" wrapText="1"/>
    </xf>
    <xf numFmtId="0" fontId="7" fillId="0" borderId="37" xfId="0" applyFont="1" applyBorder="1" applyAlignment="1">
      <alignment horizontal="left" wrapText="1"/>
    </xf>
    <xf numFmtId="0" fontId="17" fillId="17" borderId="2" xfId="0" applyFont="1" applyFill="1" applyBorder="1" applyAlignment="1">
      <alignment horizontal="center" wrapText="1"/>
    </xf>
    <xf numFmtId="0" fontId="2" fillId="9" borderId="2" xfId="0" applyFont="1" applyFill="1" applyBorder="1" applyAlignment="1">
      <alignment wrapText="1"/>
    </xf>
    <xf numFmtId="0" fontId="7" fillId="13" borderId="5" xfId="0" applyFont="1" applyFill="1" applyBorder="1" applyAlignment="1">
      <alignment horizontal="center" wrapText="1"/>
    </xf>
    <xf numFmtId="0" fontId="7" fillId="13" borderId="28" xfId="0" applyFont="1" applyFill="1" applyBorder="1" applyAlignment="1">
      <alignment horizontal="center" wrapText="1"/>
    </xf>
    <xf numFmtId="0" fontId="7" fillId="13" borderId="29" xfId="0" applyFont="1" applyFill="1" applyBorder="1" applyAlignment="1">
      <alignment horizontal="center" wrapText="1"/>
    </xf>
    <xf numFmtId="0" fontId="7" fillId="13" borderId="30" xfId="0" applyFont="1" applyFill="1" applyBorder="1" applyAlignment="1">
      <alignment horizontal="center" wrapText="1"/>
    </xf>
    <xf numFmtId="0" fontId="2" fillId="18" borderId="2" xfId="0" applyFont="1" applyFill="1" applyBorder="1" applyAlignment="1">
      <alignment horizontal="center" wrapText="1"/>
    </xf>
    <xf numFmtId="0" fontId="7" fillId="0" borderId="34" xfId="0" applyFont="1" applyBorder="1" applyAlignment="1">
      <alignment horizontal="left"/>
    </xf>
    <xf numFmtId="0" fontId="7" fillId="13" borderId="34" xfId="0" applyFont="1" applyFill="1" applyBorder="1" applyAlignment="1">
      <alignment horizontal="right"/>
    </xf>
    <xf numFmtId="49" fontId="7" fillId="0" borderId="34" xfId="0" applyNumberFormat="1" applyFont="1" applyBorder="1" applyAlignment="1">
      <alignment horizontal="center" wrapText="1"/>
    </xf>
    <xf numFmtId="0" fontId="7" fillId="0" borderId="34" xfId="0" applyFont="1" applyBorder="1" applyAlignment="1">
      <alignment horizontal="center" vertical="center" wrapText="1"/>
    </xf>
    <xf numFmtId="49" fontId="38" fillId="0" borderId="2" xfId="0" applyNumberFormat="1" applyFont="1" applyBorder="1" applyAlignment="1">
      <alignment horizontal="left" wrapText="1"/>
    </xf>
    <xf numFmtId="0" fontId="10" fillId="0" borderId="2" xfId="0" applyFont="1" applyBorder="1"/>
    <xf numFmtId="165" fontId="36" fillId="15" borderId="2" xfId="0" applyNumberFormat="1" applyFont="1" applyFill="1" applyBorder="1" applyAlignment="1">
      <alignment wrapText="1"/>
    </xf>
    <xf numFmtId="165" fontId="2" fillId="16" borderId="41" xfId="0" applyNumberFormat="1" applyFont="1" applyFill="1" applyBorder="1" applyAlignment="1">
      <alignment wrapText="1"/>
    </xf>
    <xf numFmtId="49" fontId="7" fillId="10" borderId="44" xfId="0" applyNumberFormat="1" applyFont="1" applyFill="1" applyBorder="1" applyAlignment="1">
      <alignment horizontal="left" wrapText="1"/>
    </xf>
    <xf numFmtId="164" fontId="36" fillId="15" borderId="2" xfId="0" applyNumberFormat="1" applyFont="1" applyFill="1" applyBorder="1" applyAlignment="1">
      <alignment wrapText="1"/>
    </xf>
    <xf numFmtId="164" fontId="7" fillId="10" borderId="2" xfId="0" applyNumberFormat="1" applyFont="1" applyFill="1" applyBorder="1" applyAlignment="1">
      <alignment horizontal="center" wrapText="1"/>
    </xf>
    <xf numFmtId="15" fontId="7" fillId="15" borderId="2" xfId="0" applyNumberFormat="1" applyFont="1" applyFill="1" applyBorder="1" applyAlignment="1">
      <alignment wrapText="1"/>
    </xf>
    <xf numFmtId="0" fontId="7" fillId="15" borderId="2" xfId="0" applyFont="1" applyFill="1" applyBorder="1" applyAlignment="1">
      <alignment wrapText="1"/>
    </xf>
    <xf numFmtId="0" fontId="17" fillId="0" borderId="21" xfId="0" applyFont="1" applyBorder="1" applyAlignment="1">
      <alignment horizontal="center"/>
    </xf>
    <xf numFmtId="0" fontId="34" fillId="9" borderId="2" xfId="0" applyFont="1" applyFill="1" applyBorder="1" applyAlignment="1">
      <alignment wrapText="1"/>
    </xf>
    <xf numFmtId="0" fontId="7" fillId="0" borderId="45" xfId="0" applyFont="1" applyBorder="1" applyAlignment="1">
      <alignment horizontal="left" wrapText="1"/>
    </xf>
    <xf numFmtId="10" fontId="7" fillId="10" borderId="20" xfId="0" applyNumberFormat="1" applyFont="1" applyFill="1" applyBorder="1" applyAlignment="1">
      <alignment wrapText="1"/>
    </xf>
    <xf numFmtId="0" fontId="39" fillId="6" borderId="2" xfId="0" applyFont="1" applyFill="1" applyBorder="1" applyAlignment="1">
      <alignment horizontal="center" wrapText="1"/>
    </xf>
    <xf numFmtId="0" fontId="2" fillId="8" borderId="2" xfId="0" applyFont="1" applyFill="1" applyBorder="1" applyAlignment="1">
      <alignment wrapText="1"/>
    </xf>
    <xf numFmtId="0" fontId="16" fillId="13" borderId="0" xfId="0" applyFont="1" applyFill="1"/>
    <xf numFmtId="0" fontId="28" fillId="0" borderId="37" xfId="0" applyFont="1" applyBorder="1"/>
    <xf numFmtId="10" fontId="7" fillId="0" borderId="36" xfId="0" applyNumberFormat="1" applyFont="1" applyBorder="1" applyAlignment="1">
      <alignment wrapText="1"/>
    </xf>
    <xf numFmtId="15" fontId="7" fillId="15" borderId="2" xfId="0" applyNumberFormat="1" applyFont="1" applyFill="1" applyBorder="1" applyAlignment="1">
      <alignment horizontal="center" wrapText="1"/>
    </xf>
    <xf numFmtId="164" fontId="7" fillId="15" borderId="35" xfId="0" applyNumberFormat="1" applyFont="1" applyFill="1" applyBorder="1" applyAlignment="1">
      <alignment wrapText="1"/>
    </xf>
    <xf numFmtId="0" fontId="2" fillId="3" borderId="41" xfId="0" applyFont="1" applyFill="1" applyBorder="1" applyAlignment="1">
      <alignment horizontal="center" wrapText="1"/>
    </xf>
    <xf numFmtId="165" fontId="7" fillId="15" borderId="41" xfId="0" applyNumberFormat="1" applyFont="1" applyFill="1" applyBorder="1" applyAlignment="1">
      <alignment wrapText="1"/>
    </xf>
    <xf numFmtId="165" fontId="7" fillId="9" borderId="40" xfId="0" applyNumberFormat="1" applyFont="1" applyFill="1" applyBorder="1" applyAlignment="1">
      <alignment wrapText="1"/>
    </xf>
    <xf numFmtId="0" fontId="7" fillId="0" borderId="36" xfId="0" applyFont="1" applyBorder="1" applyAlignment="1">
      <alignment horizontal="center" wrapText="1"/>
    </xf>
    <xf numFmtId="0" fontId="7" fillId="0" borderId="36" xfId="0" applyFont="1" applyBorder="1" applyAlignment="1">
      <alignment wrapText="1"/>
    </xf>
    <xf numFmtId="0" fontId="2" fillId="0" borderId="24" xfId="0" applyFont="1" applyBorder="1" applyAlignment="1">
      <alignment horizontal="center" wrapText="1"/>
    </xf>
    <xf numFmtId="0" fontId="16" fillId="17" borderId="2" xfId="0" applyFont="1" applyFill="1" applyBorder="1" applyAlignment="1">
      <alignment horizontal="left" wrapText="1"/>
    </xf>
    <xf numFmtId="0" fontId="16" fillId="17" borderId="20" xfId="0" applyFont="1" applyFill="1" applyBorder="1"/>
    <xf numFmtId="0" fontId="28" fillId="0" borderId="36" xfId="0" applyFont="1" applyBorder="1"/>
    <xf numFmtId="49" fontId="7" fillId="0" borderId="36" xfId="0" applyNumberFormat="1" applyFont="1" applyBorder="1" applyAlignment="1">
      <alignment horizontal="center" wrapText="1"/>
    </xf>
    <xf numFmtId="49" fontId="40" fillId="0" borderId="36" xfId="0" applyNumberFormat="1" applyFont="1" applyBorder="1" applyAlignment="1">
      <alignment horizontal="center" wrapText="1"/>
    </xf>
    <xf numFmtId="0" fontId="7" fillId="0" borderId="36" xfId="0" applyFont="1" applyBorder="1" applyAlignment="1">
      <alignment horizontal="center" vertical="center" wrapText="1"/>
    </xf>
    <xf numFmtId="0" fontId="2" fillId="0" borderId="46" xfId="0" applyFont="1" applyBorder="1" applyAlignment="1">
      <alignment horizontal="center" wrapText="1"/>
    </xf>
    <xf numFmtId="0" fontId="17" fillId="0" borderId="36" xfId="0" applyFont="1" applyBorder="1" applyAlignment="1">
      <alignment horizontal="left"/>
    </xf>
    <xf numFmtId="0" fontId="7" fillId="10" borderId="20" xfId="0" applyFont="1" applyFill="1" applyBorder="1" applyAlignment="1">
      <alignment horizontal="center" wrapText="1"/>
    </xf>
    <xf numFmtId="166" fontId="7" fillId="15" borderId="20" xfId="0" applyNumberFormat="1" applyFont="1" applyFill="1" applyBorder="1" applyAlignment="1">
      <alignment horizontal="center" wrapText="1"/>
    </xf>
    <xf numFmtId="164" fontId="7" fillId="15" borderId="20" xfId="0" applyNumberFormat="1" applyFont="1" applyFill="1" applyBorder="1" applyAlignment="1">
      <alignment wrapText="1"/>
    </xf>
    <xf numFmtId="15" fontId="7" fillId="15" borderId="20" xfId="0" applyNumberFormat="1" applyFont="1" applyFill="1" applyBorder="1" applyAlignment="1">
      <alignment horizontal="center" wrapText="1"/>
    </xf>
    <xf numFmtId="0" fontId="7" fillId="15" borderId="20" xfId="0" applyFont="1" applyFill="1" applyBorder="1" applyAlignment="1">
      <alignment horizontal="center" wrapText="1"/>
    </xf>
    <xf numFmtId="0" fontId="2" fillId="0" borderId="36" xfId="0" applyFont="1" applyBorder="1" applyAlignment="1">
      <alignment wrapText="1"/>
    </xf>
    <xf numFmtId="0" fontId="41" fillId="0" borderId="36" xfId="0" applyFont="1" applyBorder="1" applyAlignment="1">
      <alignment wrapText="1"/>
    </xf>
    <xf numFmtId="0" fontId="2" fillId="4" borderId="21" xfId="0" applyFont="1" applyFill="1" applyBorder="1" applyAlignment="1">
      <alignment horizontal="center" wrapText="1"/>
    </xf>
    <xf numFmtId="0" fontId="7" fillId="10" borderId="25" xfId="0" applyFont="1" applyFill="1" applyBorder="1" applyAlignment="1">
      <alignment horizontal="left"/>
    </xf>
    <xf numFmtId="164" fontId="2" fillId="16" borderId="35" xfId="0" applyNumberFormat="1" applyFont="1" applyFill="1" applyBorder="1" applyAlignment="1">
      <alignment wrapText="1"/>
    </xf>
    <xf numFmtId="165" fontId="7" fillId="21" borderId="35" xfId="0" applyNumberFormat="1" applyFont="1" applyFill="1" applyBorder="1" applyAlignment="1">
      <alignment wrapText="1"/>
    </xf>
    <xf numFmtId="165" fontId="7" fillId="15" borderId="31" xfId="0" applyNumberFormat="1" applyFont="1" applyFill="1" applyBorder="1" applyAlignment="1">
      <alignment wrapText="1"/>
    </xf>
    <xf numFmtId="165" fontId="7" fillId="9" borderId="32" xfId="0" applyNumberFormat="1" applyFont="1" applyFill="1" applyBorder="1" applyAlignment="1">
      <alignment wrapText="1"/>
    </xf>
    <xf numFmtId="49" fontId="7" fillId="0" borderId="36" xfId="0" applyNumberFormat="1" applyFont="1" applyBorder="1" applyAlignment="1">
      <alignment horizontal="left"/>
    </xf>
    <xf numFmtId="164" fontId="7" fillId="15" borderId="31" xfId="0" applyNumberFormat="1" applyFont="1" applyFill="1" applyBorder="1" applyAlignment="1">
      <alignment wrapText="1"/>
    </xf>
    <xf numFmtId="49" fontId="7" fillId="0" borderId="24" xfId="0" applyNumberFormat="1" applyFont="1" applyBorder="1" applyAlignment="1">
      <alignment horizontal="left"/>
    </xf>
    <xf numFmtId="49" fontId="17" fillId="17" borderId="20" xfId="0" applyNumberFormat="1" applyFont="1" applyFill="1" applyBorder="1" applyAlignment="1">
      <alignment horizontal="left"/>
    </xf>
    <xf numFmtId="164" fontId="7" fillId="4" borderId="2" xfId="0" applyNumberFormat="1" applyFont="1" applyFill="1" applyBorder="1" applyAlignment="1">
      <alignment wrapText="1"/>
    </xf>
    <xf numFmtId="0" fontId="42" fillId="0" borderId="2" xfId="0" applyFont="1" applyBorder="1" applyAlignment="1">
      <alignment wrapText="1"/>
    </xf>
    <xf numFmtId="0" fontId="7" fillId="0" borderId="36" xfId="0" applyFont="1" applyBorder="1" applyAlignment="1">
      <alignment horizontal="left"/>
    </xf>
    <xf numFmtId="0" fontId="7" fillId="22" borderId="2" xfId="0" applyFont="1" applyFill="1" applyBorder="1" applyAlignment="1">
      <alignment horizontal="left" wrapText="1"/>
    </xf>
    <xf numFmtId="0" fontId="7" fillId="0" borderId="39" xfId="0" applyFont="1" applyBorder="1" applyAlignment="1">
      <alignment horizontal="center" vertical="center" wrapText="1"/>
    </xf>
    <xf numFmtId="49" fontId="17" fillId="0" borderId="36" xfId="0" applyNumberFormat="1" applyFont="1" applyBorder="1" applyAlignment="1">
      <alignment horizontal="left"/>
    </xf>
    <xf numFmtId="0" fontId="17" fillId="17" borderId="2" xfId="0" applyFont="1" applyFill="1" applyBorder="1" applyAlignment="1">
      <alignment horizontal="left" wrapText="1"/>
    </xf>
    <xf numFmtId="0" fontId="7" fillId="3" borderId="2" xfId="0" applyFont="1" applyFill="1" applyBorder="1" applyAlignment="1">
      <alignment wrapText="1"/>
    </xf>
    <xf numFmtId="0" fontId="7" fillId="17" borderId="2" xfId="0" applyFont="1" applyFill="1" applyBorder="1" applyAlignment="1">
      <alignment horizontal="left" wrapText="1"/>
    </xf>
    <xf numFmtId="0" fontId="7" fillId="10" borderId="35" xfId="0" applyFont="1" applyFill="1" applyBorder="1" applyAlignment="1">
      <alignment horizontal="center" wrapText="1"/>
    </xf>
    <xf numFmtId="0" fontId="16" fillId="17" borderId="2" xfId="0" quotePrefix="1" applyFont="1" applyFill="1" applyBorder="1" applyAlignment="1">
      <alignment horizontal="right" wrapText="1"/>
    </xf>
    <xf numFmtId="0" fontId="7" fillId="0" borderId="24" xfId="0" applyFont="1" applyBorder="1" applyAlignment="1">
      <alignment horizontal="left"/>
    </xf>
    <xf numFmtId="0" fontId="2" fillId="0" borderId="2" xfId="0" applyFont="1" applyBorder="1" applyAlignment="1">
      <alignment horizontal="left"/>
    </xf>
    <xf numFmtId="0" fontId="11" fillId="0" borderId="2" xfId="0" applyFont="1" applyBorder="1" applyAlignment="1">
      <alignment wrapText="1"/>
    </xf>
    <xf numFmtId="0" fontId="2" fillId="6" borderId="41" xfId="0" applyFont="1" applyFill="1" applyBorder="1" applyAlignment="1">
      <alignment horizontal="center" wrapText="1"/>
    </xf>
    <xf numFmtId="0" fontId="11" fillId="25" borderId="2" xfId="0" applyFont="1" applyFill="1" applyBorder="1" applyAlignment="1">
      <alignment horizontal="left"/>
    </xf>
    <xf numFmtId="0" fontId="7" fillId="0" borderId="34" xfId="0" quotePrefix="1" applyFont="1" applyBorder="1" applyAlignment="1">
      <alignment horizontal="left" wrapText="1"/>
    </xf>
    <xf numFmtId="0" fontId="7" fillId="0" borderId="2" xfId="0" quotePrefix="1" applyFont="1" applyBorder="1" applyAlignment="1">
      <alignment horizontal="left" wrapText="1"/>
    </xf>
    <xf numFmtId="49" fontId="7" fillId="10" borderId="25" xfId="0" applyNumberFormat="1" applyFont="1" applyFill="1" applyBorder="1" applyAlignment="1">
      <alignment horizontal="left" wrapText="1"/>
    </xf>
    <xf numFmtId="0" fontId="43" fillId="0" borderId="2" xfId="0" applyFont="1" applyBorder="1" applyAlignment="1">
      <alignment wrapText="1"/>
    </xf>
    <xf numFmtId="0" fontId="16" fillId="4" borderId="2" xfId="0" applyFont="1" applyFill="1" applyBorder="1" applyAlignment="1">
      <alignment horizontal="right" wrapText="1"/>
    </xf>
    <xf numFmtId="0" fontId="2" fillId="13" borderId="33" xfId="0" applyFont="1" applyFill="1" applyBorder="1" applyAlignment="1">
      <alignment horizontal="right"/>
    </xf>
    <xf numFmtId="49" fontId="28" fillId="0" borderId="2" xfId="0" applyNumberFormat="1" applyFont="1" applyBorder="1" applyAlignment="1">
      <alignment horizontal="left"/>
    </xf>
    <xf numFmtId="0" fontId="2" fillId="0" borderId="37" xfId="0" applyFont="1" applyBorder="1" applyAlignment="1">
      <alignment horizontal="left" wrapText="1"/>
    </xf>
    <xf numFmtId="0" fontId="7" fillId="13" borderId="33" xfId="0" applyFont="1" applyFill="1" applyBorder="1" applyAlignment="1">
      <alignment horizontal="center" wrapText="1"/>
    </xf>
    <xf numFmtId="0" fontId="7" fillId="17" borderId="2" xfId="0" applyFont="1" applyFill="1" applyBorder="1" applyAlignment="1">
      <alignment horizontal="center" wrapText="1"/>
    </xf>
    <xf numFmtId="0" fontId="2" fillId="13" borderId="33" xfId="0" applyFont="1" applyFill="1" applyBorder="1" applyAlignment="1">
      <alignment horizontal="center" wrapText="1"/>
    </xf>
    <xf numFmtId="0" fontId="2" fillId="13" borderId="47" xfId="0" applyFont="1" applyFill="1" applyBorder="1" applyAlignment="1">
      <alignment horizontal="center" wrapText="1"/>
    </xf>
    <xf numFmtId="164" fontId="7" fillId="15" borderId="45" xfId="0" applyNumberFormat="1" applyFont="1" applyFill="1" applyBorder="1" applyAlignment="1">
      <alignment wrapText="1"/>
    </xf>
    <xf numFmtId="164" fontId="2" fillId="16" borderId="34" xfId="0" applyNumberFormat="1" applyFont="1" applyFill="1" applyBorder="1" applyAlignment="1">
      <alignment wrapText="1"/>
    </xf>
    <xf numFmtId="0" fontId="7" fillId="10" borderId="21" xfId="0" applyFont="1" applyFill="1" applyBorder="1" applyAlignment="1">
      <alignment horizontal="center" wrapText="1"/>
    </xf>
    <xf numFmtId="164" fontId="7" fillId="15" borderId="21" xfId="0" applyNumberFormat="1" applyFont="1" applyFill="1" applyBorder="1" applyAlignment="1">
      <alignment wrapText="1"/>
    </xf>
    <xf numFmtId="166" fontId="7" fillId="15" borderId="21" xfId="0" applyNumberFormat="1" applyFont="1" applyFill="1" applyBorder="1" applyAlignment="1">
      <alignment horizontal="center" wrapText="1"/>
    </xf>
    <xf numFmtId="0" fontId="2" fillId="15" borderId="2" xfId="0" applyFont="1" applyFill="1" applyBorder="1" applyAlignment="1">
      <alignment horizontal="left" wrapText="1"/>
    </xf>
    <xf numFmtId="164" fontId="2" fillId="15" borderId="2" xfId="0" applyNumberFormat="1" applyFont="1" applyFill="1" applyBorder="1" applyAlignment="1">
      <alignment wrapText="1"/>
    </xf>
    <xf numFmtId="166" fontId="2" fillId="15" borderId="2" xfId="0" applyNumberFormat="1" applyFont="1" applyFill="1" applyBorder="1" applyAlignment="1">
      <alignment horizontal="center" wrapText="1"/>
    </xf>
    <xf numFmtId="0" fontId="23" fillId="6" borderId="2" xfId="0" applyFont="1" applyFill="1" applyBorder="1" applyAlignment="1">
      <alignment horizontal="right" wrapText="1"/>
    </xf>
    <xf numFmtId="10" fontId="7" fillId="4" borderId="2" xfId="0" applyNumberFormat="1" applyFont="1" applyFill="1" applyBorder="1" applyAlignment="1">
      <alignment wrapText="1"/>
    </xf>
    <xf numFmtId="0" fontId="44" fillId="0" borderId="2" xfId="0" applyFont="1" applyBorder="1" applyAlignment="1">
      <alignment horizontal="left" wrapText="1"/>
    </xf>
    <xf numFmtId="0" fontId="43" fillId="4" borderId="2" xfId="0" applyFont="1" applyFill="1" applyBorder="1" applyAlignment="1">
      <alignment wrapText="1"/>
    </xf>
    <xf numFmtId="165" fontId="2" fillId="18" borderId="2" xfId="0" applyNumberFormat="1" applyFont="1" applyFill="1" applyBorder="1" applyAlignment="1">
      <alignment wrapText="1"/>
    </xf>
    <xf numFmtId="49" fontId="46" fillId="9" borderId="2" xfId="0" applyNumberFormat="1" applyFont="1" applyFill="1" applyBorder="1"/>
    <xf numFmtId="49" fontId="22" fillId="17" borderId="2" xfId="0" applyNumberFormat="1" applyFont="1" applyFill="1" applyBorder="1" applyAlignment="1">
      <alignment horizontal="left"/>
    </xf>
    <xf numFmtId="49" fontId="47" fillId="17" borderId="2" xfId="0" applyNumberFormat="1" applyFont="1" applyFill="1" applyBorder="1" applyAlignment="1">
      <alignment horizontal="left" wrapText="1"/>
    </xf>
    <xf numFmtId="0" fontId="3" fillId="25" borderId="2" xfId="0" applyFont="1" applyFill="1" applyBorder="1"/>
    <xf numFmtId="49" fontId="48" fillId="22" borderId="2" xfId="0" applyNumberFormat="1" applyFont="1" applyFill="1" applyBorder="1" applyAlignment="1">
      <alignment horizontal="left" wrapText="1"/>
    </xf>
    <xf numFmtId="0" fontId="49" fillId="0" borderId="0" xfId="0" applyFont="1"/>
    <xf numFmtId="49" fontId="48" fillId="17" borderId="2" xfId="0" applyNumberFormat="1" applyFont="1" applyFill="1" applyBorder="1" applyAlignment="1">
      <alignment horizontal="left" wrapText="1"/>
    </xf>
    <xf numFmtId="0" fontId="22" fillId="0" borderId="2" xfId="0" applyFont="1" applyBorder="1" applyAlignment="1">
      <alignment horizontal="right"/>
    </xf>
    <xf numFmtId="49" fontId="22" fillId="0" borderId="2" xfId="0" applyNumberFormat="1" applyFont="1" applyBorder="1" applyAlignment="1">
      <alignment horizontal="left"/>
    </xf>
    <xf numFmtId="0" fontId="22" fillId="0" borderId="2" xfId="0" applyFont="1" applyBorder="1" applyAlignment="1">
      <alignment horizontal="center"/>
    </xf>
    <xf numFmtId="0" fontId="22" fillId="0" borderId="36" xfId="0" applyFont="1" applyBorder="1" applyAlignment="1">
      <alignment horizontal="center"/>
    </xf>
    <xf numFmtId="49" fontId="22" fillId="0" borderId="2" xfId="0" applyNumberFormat="1" applyFont="1" applyBorder="1" applyAlignment="1">
      <alignment horizontal="left" wrapText="1"/>
    </xf>
    <xf numFmtId="164" fontId="50" fillId="15" borderId="23" xfId="0" applyNumberFormat="1" applyFont="1" applyFill="1" applyBorder="1" applyAlignment="1">
      <alignment wrapText="1"/>
    </xf>
    <xf numFmtId="49" fontId="22" fillId="0" borderId="2" xfId="0" applyNumberFormat="1" applyFont="1" applyBorder="1"/>
    <xf numFmtId="49" fontId="22" fillId="9" borderId="2" xfId="0" applyNumberFormat="1" applyFont="1" applyFill="1" applyBorder="1"/>
    <xf numFmtId="49" fontId="22" fillId="25" borderId="2" xfId="0" applyNumberFormat="1" applyFont="1" applyFill="1" applyBorder="1"/>
    <xf numFmtId="0" fontId="22" fillId="0" borderId="21" xfId="0" applyFont="1" applyBorder="1" applyAlignment="1">
      <alignment horizontal="center"/>
    </xf>
    <xf numFmtId="0" fontId="22" fillId="0" borderId="24" xfId="0" applyFont="1" applyBorder="1" applyAlignment="1">
      <alignment horizontal="center"/>
    </xf>
    <xf numFmtId="49" fontId="51" fillId="6" borderId="2" xfId="0" applyNumberFormat="1" applyFont="1" applyFill="1" applyBorder="1" applyAlignment="1">
      <alignment horizontal="left"/>
    </xf>
    <xf numFmtId="49" fontId="17" fillId="0" borderId="25" xfId="0" applyNumberFormat="1" applyFont="1" applyBorder="1" applyAlignment="1">
      <alignment horizontal="left"/>
    </xf>
    <xf numFmtId="49" fontId="22" fillId="9" borderId="2" xfId="0" applyNumberFormat="1" applyFont="1" applyFill="1" applyBorder="1" applyAlignment="1">
      <alignment horizontal="left"/>
    </xf>
    <xf numFmtId="164" fontId="7" fillId="29" borderId="23" xfId="0" applyNumberFormat="1" applyFont="1" applyFill="1" applyBorder="1" applyAlignment="1">
      <alignment wrapText="1"/>
    </xf>
    <xf numFmtId="0" fontId="52" fillId="6" borderId="2" xfId="0" applyFont="1" applyFill="1" applyBorder="1" applyAlignment="1">
      <alignment horizontal="center" wrapText="1"/>
    </xf>
    <xf numFmtId="49" fontId="22" fillId="9" borderId="2" xfId="0" applyNumberFormat="1" applyFont="1" applyFill="1" applyBorder="1" applyAlignment="1">
      <alignment horizontal="left" wrapText="1"/>
    </xf>
    <xf numFmtId="14" fontId="7" fillId="15" borderId="23" xfId="0" applyNumberFormat="1" applyFont="1" applyFill="1" applyBorder="1" applyAlignment="1">
      <alignment horizontal="center" wrapText="1"/>
    </xf>
    <xf numFmtId="0" fontId="3" fillId="15" borderId="2" xfId="0" applyFont="1" applyFill="1" applyBorder="1"/>
    <xf numFmtId="0" fontId="2" fillId="23" borderId="2" xfId="0" applyFont="1" applyFill="1" applyBorder="1" applyAlignment="1">
      <alignment horizontal="left" wrapText="1"/>
    </xf>
    <xf numFmtId="0" fontId="7" fillId="4" borderId="2" xfId="0" applyFont="1" applyFill="1" applyBorder="1" applyAlignment="1">
      <alignment wrapText="1"/>
    </xf>
    <xf numFmtId="0" fontId="53" fillId="0" borderId="36" xfId="0" applyFont="1" applyBorder="1"/>
    <xf numFmtId="0" fontId="9" fillId="0" borderId="48" xfId="0" applyFont="1" applyBorder="1"/>
    <xf numFmtId="0" fontId="52" fillId="0" borderId="36" xfId="0" applyFont="1" applyBorder="1" applyAlignment="1">
      <alignment horizontal="center" wrapText="1"/>
    </xf>
    <xf numFmtId="0" fontId="9" fillId="0" borderId="36" xfId="0" applyFont="1" applyBorder="1"/>
    <xf numFmtId="49" fontId="9" fillId="0" borderId="36" xfId="0" applyNumberFormat="1" applyFont="1" applyBorder="1"/>
    <xf numFmtId="0" fontId="52" fillId="0" borderId="36" xfId="0" applyFont="1" applyBorder="1" applyAlignment="1">
      <alignment wrapText="1"/>
    </xf>
    <xf numFmtId="0" fontId="9" fillId="27" borderId="36" xfId="0" applyFont="1" applyFill="1" applyBorder="1"/>
    <xf numFmtId="0" fontId="9" fillId="17" borderId="36" xfId="0" applyFont="1" applyFill="1" applyBorder="1"/>
    <xf numFmtId="0" fontId="9" fillId="0" borderId="0" xfId="0" applyFont="1"/>
    <xf numFmtId="0" fontId="9" fillId="27" borderId="0" xfId="0" applyFont="1" applyFill="1"/>
    <xf numFmtId="0" fontId="52" fillId="0" borderId="2" xfId="0" applyFont="1" applyBorder="1" applyAlignment="1">
      <alignment horizontal="center" wrapText="1"/>
    </xf>
    <xf numFmtId="0" fontId="9" fillId="0" borderId="2" xfId="0" applyFont="1" applyBorder="1"/>
    <xf numFmtId="165" fontId="52" fillId="2" borderId="36" xfId="0" applyNumberFormat="1" applyFont="1" applyFill="1" applyBorder="1" applyAlignment="1">
      <alignment horizontal="right" wrapText="1"/>
    </xf>
    <xf numFmtId="165" fontId="9" fillId="4" borderId="36" xfId="0" applyNumberFormat="1" applyFont="1" applyFill="1" applyBorder="1"/>
    <xf numFmtId="164" fontId="9" fillId="15" borderId="36" xfId="0" applyNumberFormat="1" applyFont="1" applyFill="1" applyBorder="1"/>
    <xf numFmtId="164" fontId="52" fillId="2" borderId="36" xfId="0" applyNumberFormat="1" applyFont="1" applyFill="1" applyBorder="1" applyAlignment="1">
      <alignment horizontal="right" wrapText="1"/>
    </xf>
    <xf numFmtId="164" fontId="52" fillId="4" borderId="36" xfId="0" applyNumberFormat="1" applyFont="1" applyFill="1" applyBorder="1" applyAlignment="1">
      <alignment horizontal="right" wrapText="1"/>
    </xf>
    <xf numFmtId="10" fontId="9" fillId="0" borderId="36" xfId="0" applyNumberFormat="1" applyFont="1" applyBorder="1"/>
    <xf numFmtId="164" fontId="52" fillId="2" borderId="36" xfId="0" applyNumberFormat="1" applyFont="1" applyFill="1" applyBorder="1" applyAlignment="1">
      <alignment horizontal="center" wrapText="1"/>
    </xf>
    <xf numFmtId="164" fontId="52" fillId="4" borderId="36" xfId="0" applyNumberFormat="1" applyFont="1" applyFill="1" applyBorder="1" applyAlignment="1">
      <alignment horizontal="center" wrapText="1"/>
    </xf>
    <xf numFmtId="164" fontId="33" fillId="15" borderId="36" xfId="0" applyNumberFormat="1" applyFont="1" applyFill="1" applyBorder="1" applyAlignment="1">
      <alignment horizontal="right" wrapText="1"/>
    </xf>
    <xf numFmtId="166" fontId="33" fillId="15" borderId="36" xfId="0" applyNumberFormat="1" applyFont="1" applyFill="1" applyBorder="1" applyAlignment="1">
      <alignment horizontal="center" wrapText="1"/>
    </xf>
    <xf numFmtId="166" fontId="9" fillId="15" borderId="36" xfId="0" applyNumberFormat="1" applyFont="1" applyFill="1" applyBorder="1"/>
    <xf numFmtId="49" fontId="48" fillId="17" borderId="36" xfId="0" applyNumberFormat="1" applyFont="1" applyFill="1" applyBorder="1" applyAlignment="1">
      <alignment horizontal="left" wrapText="1"/>
    </xf>
    <xf numFmtId="164" fontId="33" fillId="0" borderId="36" xfId="0" applyNumberFormat="1" applyFont="1" applyBorder="1" applyAlignment="1">
      <alignment wrapText="1"/>
    </xf>
    <xf numFmtId="164" fontId="33" fillId="18" borderId="36" xfId="0" applyNumberFormat="1" applyFont="1" applyFill="1" applyBorder="1" applyAlignment="1">
      <alignment horizontal="center"/>
    </xf>
    <xf numFmtId="0" fontId="9" fillId="0" borderId="2" xfId="0" applyFont="1" applyBorder="1" applyAlignment="1">
      <alignment horizontal="center"/>
    </xf>
    <xf numFmtId="49" fontId="22" fillId="31" borderId="2" xfId="0" applyNumberFormat="1" applyFont="1" applyFill="1" applyBorder="1" applyAlignment="1">
      <alignment wrapText="1"/>
    </xf>
    <xf numFmtId="0" fontId="3" fillId="0" borderId="36" xfId="0" applyFont="1" applyBorder="1"/>
    <xf numFmtId="0" fontId="56" fillId="0" borderId="2" xfId="0" applyFont="1" applyBorder="1" applyAlignment="1">
      <alignment wrapText="1"/>
    </xf>
    <xf numFmtId="164" fontId="7" fillId="4" borderId="45" xfId="0" applyNumberFormat="1" applyFont="1" applyFill="1" applyBorder="1" applyAlignment="1">
      <alignment wrapText="1"/>
    </xf>
    <xf numFmtId="49" fontId="48" fillId="15" borderId="2" xfId="0" applyNumberFormat="1" applyFont="1" applyFill="1" applyBorder="1" applyAlignment="1">
      <alignment horizontal="left" wrapText="1"/>
    </xf>
    <xf numFmtId="49" fontId="22" fillId="29" borderId="2" xfId="0" applyNumberFormat="1" applyFont="1" applyFill="1" applyBorder="1"/>
    <xf numFmtId="0" fontId="57" fillId="4" borderId="2" xfId="0" applyFont="1" applyFill="1" applyBorder="1" applyAlignment="1">
      <alignment horizontal="left"/>
    </xf>
    <xf numFmtId="49" fontId="17" fillId="0" borderId="25" xfId="0" applyNumberFormat="1" applyFont="1" applyBorder="1" applyAlignment="1">
      <alignment horizontal="left" wrapText="1"/>
    </xf>
    <xf numFmtId="49" fontId="22" fillId="0" borderId="2" xfId="0" applyNumberFormat="1" applyFont="1" applyBorder="1" applyAlignment="1">
      <alignment horizontal="right"/>
    </xf>
    <xf numFmtId="0" fontId="2" fillId="3" borderId="2" xfId="0" applyFont="1" applyFill="1" applyBorder="1" applyAlignment="1">
      <alignment horizontal="left" wrapText="1"/>
    </xf>
    <xf numFmtId="0" fontId="3" fillId="22" borderId="2" xfId="0" applyFont="1" applyFill="1" applyBorder="1"/>
    <xf numFmtId="0" fontId="60" fillId="0" borderId="2" xfId="0" applyFont="1" applyBorder="1" applyAlignment="1">
      <alignment wrapText="1"/>
    </xf>
    <xf numFmtId="49" fontId="22" fillId="4" borderId="2" xfId="0" applyNumberFormat="1" applyFont="1" applyFill="1" applyBorder="1"/>
    <xf numFmtId="0" fontId="2" fillId="30" borderId="2" xfId="0" applyFont="1" applyFill="1" applyBorder="1" applyAlignment="1">
      <alignment horizontal="left" wrapText="1"/>
    </xf>
    <xf numFmtId="0" fontId="22" fillId="17" borderId="21" xfId="0" applyFont="1" applyFill="1" applyBorder="1" applyAlignment="1">
      <alignment horizontal="center"/>
    </xf>
    <xf numFmtId="0" fontId="22" fillId="17" borderId="24" xfId="0" applyFont="1" applyFill="1" applyBorder="1" applyAlignment="1">
      <alignment horizontal="center"/>
    </xf>
    <xf numFmtId="49" fontId="13" fillId="0" borderId="2" xfId="0" applyNumberFormat="1" applyFont="1" applyBorder="1"/>
    <xf numFmtId="49" fontId="22" fillId="25" borderId="2" xfId="0" applyNumberFormat="1" applyFont="1" applyFill="1" applyBorder="1" applyAlignment="1">
      <alignment horizontal="left"/>
    </xf>
    <xf numFmtId="0" fontId="2" fillId="11" borderId="2" xfId="0" applyFont="1" applyFill="1" applyBorder="1" applyAlignment="1">
      <alignment horizontal="center" wrapText="1"/>
    </xf>
    <xf numFmtId="49" fontId="22" fillId="4" borderId="2" xfId="0" applyNumberFormat="1" applyFont="1" applyFill="1" applyBorder="1" applyAlignment="1">
      <alignment horizontal="left"/>
    </xf>
    <xf numFmtId="0" fontId="13" fillId="22" borderId="2" xfId="0" applyFont="1" applyFill="1" applyBorder="1" applyAlignment="1">
      <alignment horizontal="left"/>
    </xf>
    <xf numFmtId="0" fontId="57" fillId="22" borderId="2" xfId="0" applyFont="1" applyFill="1" applyBorder="1" applyAlignment="1">
      <alignment horizontal="left"/>
    </xf>
    <xf numFmtId="49" fontId="13" fillId="9" borderId="2" xfId="0" applyNumberFormat="1" applyFont="1" applyFill="1" applyBorder="1" applyAlignment="1">
      <alignment wrapText="1"/>
    </xf>
    <xf numFmtId="49" fontId="22" fillId="4" borderId="2" xfId="0" applyNumberFormat="1" applyFont="1" applyFill="1" applyBorder="1" applyAlignment="1">
      <alignment wrapText="1"/>
    </xf>
    <xf numFmtId="49" fontId="22" fillId="3" borderId="2" xfId="0" applyNumberFormat="1" applyFont="1" applyFill="1" applyBorder="1" applyAlignment="1">
      <alignment wrapText="1"/>
    </xf>
    <xf numFmtId="49" fontId="62" fillId="17" borderId="2" xfId="0" applyNumberFormat="1" applyFont="1" applyFill="1" applyBorder="1"/>
    <xf numFmtId="49" fontId="22" fillId="3" borderId="2" xfId="0" applyNumberFormat="1" applyFont="1" applyFill="1" applyBorder="1"/>
    <xf numFmtId="164" fontId="7" fillId="6" borderId="23" xfId="0" applyNumberFormat="1" applyFont="1" applyFill="1" applyBorder="1" applyAlignment="1">
      <alignment wrapText="1"/>
    </xf>
    <xf numFmtId="49" fontId="22" fillId="6" borderId="2" xfId="0" applyNumberFormat="1" applyFont="1" applyFill="1" applyBorder="1" applyAlignment="1">
      <alignment horizontal="left" wrapText="1"/>
    </xf>
    <xf numFmtId="0" fontId="22" fillId="17" borderId="2" xfId="0" applyFont="1" applyFill="1" applyBorder="1" applyAlignment="1">
      <alignment horizontal="center"/>
    </xf>
    <xf numFmtId="0" fontId="22" fillId="17" borderId="36" xfId="0" applyFont="1" applyFill="1" applyBorder="1" applyAlignment="1">
      <alignment horizontal="center"/>
    </xf>
    <xf numFmtId="164" fontId="7" fillId="29" borderId="2" xfId="0" applyNumberFormat="1" applyFont="1" applyFill="1" applyBorder="1" applyAlignment="1">
      <alignment wrapText="1"/>
    </xf>
    <xf numFmtId="164" fontId="7" fillId="15" borderId="39" xfId="0" applyNumberFormat="1" applyFont="1" applyFill="1" applyBorder="1" applyAlignment="1">
      <alignment wrapText="1"/>
    </xf>
    <xf numFmtId="0" fontId="11" fillId="0" borderId="22" xfId="0" applyFont="1" applyBorder="1" applyAlignment="1">
      <alignment horizontal="center" wrapText="1"/>
    </xf>
    <xf numFmtId="0" fontId="14" fillId="0" borderId="34" xfId="0" applyFont="1" applyBorder="1" applyAlignment="1">
      <alignment horizontal="center" wrapText="1"/>
    </xf>
    <xf numFmtId="49" fontId="7" fillId="0" borderId="21" xfId="0" applyNumberFormat="1" applyFont="1" applyBorder="1" applyAlignment="1">
      <alignment horizontal="center" wrapText="1"/>
    </xf>
    <xf numFmtId="0" fontId="7" fillId="0" borderId="22" xfId="0" applyFont="1" applyBorder="1" applyAlignment="1">
      <alignment horizontal="left" wrapText="1"/>
    </xf>
    <xf numFmtId="49" fontId="7" fillId="0" borderId="2" xfId="0" applyNumberFormat="1" applyFont="1" applyBorder="1" applyAlignment="1">
      <alignment horizontal="center" vertical="center" wrapText="1"/>
    </xf>
    <xf numFmtId="0" fontId="7" fillId="13" borderId="2" xfId="0" applyFont="1" applyFill="1" applyBorder="1" applyAlignment="1">
      <alignment horizontal="center" wrapText="1"/>
    </xf>
    <xf numFmtId="0" fontId="7" fillId="17" borderId="2" xfId="0" applyFont="1" applyFill="1" applyBorder="1" applyAlignment="1">
      <alignment horizontal="center" vertical="center" wrapText="1"/>
    </xf>
    <xf numFmtId="0" fontId="7" fillId="13" borderId="34" xfId="0" applyFont="1" applyFill="1" applyBorder="1" applyAlignment="1">
      <alignment horizontal="center" wrapText="1"/>
    </xf>
    <xf numFmtId="0" fontId="7" fillId="13" borderId="36" xfId="0" applyFont="1" applyFill="1" applyBorder="1" applyAlignment="1">
      <alignment horizontal="center" wrapText="1"/>
    </xf>
    <xf numFmtId="165" fontId="7" fillId="21" borderId="21" xfId="0" applyNumberFormat="1" applyFont="1" applyFill="1" applyBorder="1" applyAlignment="1">
      <alignment wrapText="1"/>
    </xf>
    <xf numFmtId="165" fontId="7" fillId="15" borderId="39" xfId="0" applyNumberFormat="1" applyFont="1" applyFill="1" applyBorder="1" applyAlignment="1">
      <alignment wrapText="1"/>
    </xf>
    <xf numFmtId="165" fontId="7" fillId="9" borderId="45" xfId="0" applyNumberFormat="1" applyFont="1" applyFill="1" applyBorder="1" applyAlignment="1">
      <alignment wrapText="1"/>
    </xf>
    <xf numFmtId="165" fontId="2" fillId="16" borderId="39" xfId="0" applyNumberFormat="1" applyFont="1" applyFill="1" applyBorder="1" applyAlignment="1">
      <alignment wrapText="1"/>
    </xf>
    <xf numFmtId="165" fontId="7" fillId="2" borderId="39" xfId="0" applyNumberFormat="1" applyFont="1" applyFill="1" applyBorder="1" applyAlignment="1">
      <alignment wrapText="1"/>
    </xf>
    <xf numFmtId="165" fontId="7" fillId="4" borderId="39" xfId="0" applyNumberFormat="1" applyFont="1" applyFill="1" applyBorder="1" applyAlignment="1">
      <alignment wrapText="1"/>
    </xf>
    <xf numFmtId="10" fontId="7" fillId="0" borderId="21" xfId="0" applyNumberFormat="1" applyFont="1" applyBorder="1" applyAlignment="1">
      <alignment horizontal="left" wrapText="1"/>
    </xf>
    <xf numFmtId="164" fontId="7" fillId="9" borderId="39" xfId="0" applyNumberFormat="1" applyFont="1" applyFill="1" applyBorder="1" applyAlignment="1">
      <alignment wrapText="1"/>
    </xf>
    <xf numFmtId="164" fontId="2" fillId="16" borderId="39" xfId="0" applyNumberFormat="1" applyFont="1" applyFill="1" applyBorder="1" applyAlignment="1">
      <alignment wrapText="1"/>
    </xf>
    <xf numFmtId="164" fontId="2" fillId="2" borderId="27" xfId="0" applyNumberFormat="1" applyFont="1" applyFill="1" applyBorder="1" applyAlignment="1">
      <alignment wrapText="1"/>
    </xf>
    <xf numFmtId="10" fontId="7" fillId="0" borderId="2" xfId="0" applyNumberFormat="1" applyFont="1" applyBorder="1" applyAlignment="1">
      <alignment horizontal="left" wrapText="1"/>
    </xf>
    <xf numFmtId="164" fontId="2" fillId="2" borderId="2" xfId="0" applyNumberFormat="1" applyFont="1" applyFill="1" applyBorder="1" applyAlignment="1">
      <alignment horizontal="center" wrapText="1"/>
    </xf>
    <xf numFmtId="164" fontId="2" fillId="4" borderId="2" xfId="0" applyNumberFormat="1" applyFont="1" applyFill="1" applyBorder="1" applyAlignment="1">
      <alignment horizontal="center" wrapText="1"/>
    </xf>
    <xf numFmtId="164" fontId="7" fillId="0" borderId="2" xfId="0" applyNumberFormat="1" applyFont="1" applyBorder="1" applyAlignment="1">
      <alignment horizontal="center" wrapText="1"/>
    </xf>
    <xf numFmtId="10" fontId="7" fillId="0" borderId="21" xfId="0" applyNumberFormat="1" applyFont="1" applyBorder="1" applyAlignment="1">
      <alignment wrapText="1"/>
    </xf>
    <xf numFmtId="49" fontId="46" fillId="9" borderId="2" xfId="0" applyNumberFormat="1" applyFont="1" applyFill="1" applyBorder="1" applyAlignment="1">
      <alignment horizontal="left" wrapText="1"/>
    </xf>
    <xf numFmtId="49" fontId="22" fillId="25" borderId="2" xfId="0" applyNumberFormat="1" applyFont="1" applyFill="1" applyBorder="1" applyAlignment="1">
      <alignment horizontal="left" wrapText="1"/>
    </xf>
    <xf numFmtId="0" fontId="7" fillId="9" borderId="0" xfId="0" applyFont="1" applyFill="1" applyAlignment="1">
      <alignment horizontal="left" wrapText="1"/>
    </xf>
    <xf numFmtId="49" fontId="46" fillId="25" borderId="2" xfId="0" applyNumberFormat="1" applyFont="1" applyFill="1" applyBorder="1" applyAlignment="1">
      <alignment horizontal="left" wrapText="1"/>
    </xf>
    <xf numFmtId="49" fontId="13" fillId="9" borderId="2" xfId="0" applyNumberFormat="1" applyFont="1" applyFill="1" applyBorder="1"/>
    <xf numFmtId="0" fontId="65" fillId="0" borderId="21" xfId="0" applyFont="1" applyBorder="1" applyAlignment="1">
      <alignment horizontal="center"/>
    </xf>
    <xf numFmtId="0" fontId="66" fillId="0" borderId="24" xfId="0" applyFont="1" applyBorder="1" applyAlignment="1">
      <alignment horizontal="center"/>
    </xf>
    <xf numFmtId="49" fontId="51" fillId="6" borderId="2" xfId="0" applyNumberFormat="1" applyFont="1" applyFill="1" applyBorder="1" applyAlignment="1">
      <alignment wrapText="1"/>
    </xf>
    <xf numFmtId="49" fontId="58" fillId="22" borderId="2" xfId="0" applyNumberFormat="1" applyFont="1" applyFill="1" applyBorder="1" applyAlignment="1">
      <alignment horizontal="left" wrapText="1"/>
    </xf>
    <xf numFmtId="0" fontId="7" fillId="22" borderId="36" xfId="0" applyFont="1" applyFill="1" applyBorder="1" applyAlignment="1">
      <alignment wrapText="1"/>
    </xf>
    <xf numFmtId="0" fontId="2" fillId="32" borderId="2" xfId="0" applyFont="1" applyFill="1" applyBorder="1" applyAlignment="1">
      <alignment horizontal="center" wrapText="1"/>
    </xf>
    <xf numFmtId="0" fontId="67" fillId="0" borderId="2" xfId="0" applyFont="1" applyBorder="1" applyAlignment="1">
      <alignment wrapText="1"/>
    </xf>
    <xf numFmtId="166" fontId="2" fillId="15" borderId="21" xfId="0" applyNumberFormat="1" applyFont="1" applyFill="1" applyBorder="1" applyAlignment="1">
      <alignment horizontal="center" wrapText="1"/>
    </xf>
    <xf numFmtId="0" fontId="7" fillId="15" borderId="21" xfId="0" applyFont="1" applyFill="1" applyBorder="1" applyAlignment="1">
      <alignment horizontal="center" wrapText="1"/>
    </xf>
    <xf numFmtId="164" fontId="68" fillId="17" borderId="2" xfId="0" applyNumberFormat="1" applyFont="1" applyFill="1" applyBorder="1" applyAlignment="1">
      <alignment horizontal="left"/>
    </xf>
    <xf numFmtId="0" fontId="2" fillId="22" borderId="2" xfId="0" applyFont="1" applyFill="1" applyBorder="1" applyAlignment="1">
      <alignment horizontal="left" wrapText="1"/>
    </xf>
    <xf numFmtId="0" fontId="7" fillId="0" borderId="22" xfId="0" applyFont="1" applyBorder="1" applyAlignment="1">
      <alignment horizontal="center" wrapText="1"/>
    </xf>
    <xf numFmtId="0" fontId="17" fillId="22" borderId="2" xfId="0" applyFont="1" applyFill="1" applyBorder="1" applyAlignment="1">
      <alignment horizontal="left" wrapText="1"/>
    </xf>
    <xf numFmtId="164" fontId="7" fillId="4" borderId="21" xfId="0" applyNumberFormat="1" applyFont="1" applyFill="1" applyBorder="1" applyAlignment="1">
      <alignment wrapText="1"/>
    </xf>
    <xf numFmtId="0" fontId="2" fillId="20" borderId="46" xfId="0" applyFont="1" applyFill="1" applyBorder="1" applyAlignment="1">
      <alignment horizontal="center" wrapText="1"/>
    </xf>
    <xf numFmtId="49" fontId="17" fillId="4" borderId="25" xfId="0" applyNumberFormat="1" applyFont="1" applyFill="1" applyBorder="1" applyAlignment="1">
      <alignment horizontal="left"/>
    </xf>
    <xf numFmtId="169" fontId="69" fillId="6" borderId="2" xfId="0" applyNumberFormat="1" applyFont="1" applyFill="1" applyBorder="1" applyAlignment="1">
      <alignment horizontal="left" vertical="top" wrapText="1"/>
    </xf>
    <xf numFmtId="0" fontId="7" fillId="13" borderId="33" xfId="0" applyFont="1" applyFill="1" applyBorder="1" applyAlignment="1">
      <alignment horizontal="right" wrapText="1"/>
    </xf>
    <xf numFmtId="0" fontId="10" fillId="0" borderId="34" xfId="0" applyFont="1" applyBorder="1"/>
    <xf numFmtId="0" fontId="70" fillId="0" borderId="2" xfId="0" applyFont="1" applyBorder="1" applyAlignment="1">
      <alignment horizontal="left" wrapText="1"/>
    </xf>
    <xf numFmtId="169" fontId="2" fillId="0" borderId="24" xfId="0" applyNumberFormat="1" applyFont="1" applyBorder="1" applyAlignment="1">
      <alignment horizontal="left" wrapText="1"/>
    </xf>
    <xf numFmtId="0" fontId="7" fillId="13" borderId="38" xfId="0" applyFont="1" applyFill="1" applyBorder="1" applyAlignment="1">
      <alignment horizontal="center" wrapText="1"/>
    </xf>
    <xf numFmtId="0" fontId="10" fillId="0" borderId="2" xfId="0" applyFont="1" applyBorder="1" applyAlignment="1">
      <alignment horizontal="left"/>
    </xf>
    <xf numFmtId="0" fontId="7" fillId="13" borderId="33" xfId="0" applyFont="1" applyFill="1" applyBorder="1" applyAlignment="1">
      <alignment horizontal="right"/>
    </xf>
    <xf numFmtId="49" fontId="7" fillId="0" borderId="34" xfId="0" quotePrefix="1" applyNumberFormat="1" applyFont="1" applyBorder="1" applyAlignment="1">
      <alignment horizontal="center" wrapText="1"/>
    </xf>
    <xf numFmtId="49" fontId="7" fillId="0" borderId="2" xfId="0" quotePrefix="1" applyNumberFormat="1" applyFont="1" applyBorder="1" applyAlignment="1">
      <alignment horizontal="center" wrapText="1"/>
    </xf>
    <xf numFmtId="0" fontId="7" fillId="6" borderId="2" xfId="0" applyFont="1" applyFill="1" applyBorder="1" applyAlignment="1">
      <alignment horizontal="center" wrapText="1"/>
    </xf>
    <xf numFmtId="0" fontId="10" fillId="0" borderId="2" xfId="0" applyFont="1" applyBorder="1" applyAlignment="1">
      <alignment horizontal="center" wrapText="1"/>
    </xf>
    <xf numFmtId="0" fontId="7" fillId="13" borderId="37" xfId="0" applyFont="1" applyFill="1" applyBorder="1" applyAlignment="1">
      <alignment horizontal="right"/>
    </xf>
    <xf numFmtId="0" fontId="7" fillId="13" borderId="35" xfId="0" applyFont="1" applyFill="1" applyBorder="1" applyAlignment="1">
      <alignment horizontal="center" wrapText="1"/>
    </xf>
    <xf numFmtId="165" fontId="7" fillId="21" borderId="41" xfId="0" applyNumberFormat="1" applyFont="1" applyFill="1" applyBorder="1" applyAlignment="1">
      <alignment wrapText="1"/>
    </xf>
    <xf numFmtId="0" fontId="5" fillId="0" borderId="2" xfId="0" applyFont="1" applyBorder="1"/>
    <xf numFmtId="170" fontId="1" fillId="0" borderId="2" xfId="0" applyNumberFormat="1" applyFont="1" applyBorder="1" applyAlignment="1">
      <alignment horizontal="right" vertical="top" wrapText="1"/>
    </xf>
    <xf numFmtId="49" fontId="1" fillId="0" borderId="2" xfId="0" applyNumberFormat="1" applyFont="1" applyBorder="1" applyAlignment="1">
      <alignment horizontal="left" wrapText="1"/>
    </xf>
    <xf numFmtId="0" fontId="1" fillId="0" borderId="2" xfId="0" applyFont="1" applyBorder="1" applyAlignment="1">
      <alignment horizontal="left" vertical="top"/>
    </xf>
    <xf numFmtId="0" fontId="1" fillId="27" borderId="37" xfId="0" applyFont="1" applyFill="1" applyBorder="1"/>
    <xf numFmtId="49" fontId="1" fillId="0" borderId="2" xfId="0" applyNumberFormat="1" applyFont="1" applyBorder="1" applyAlignment="1">
      <alignment vertical="top"/>
    </xf>
    <xf numFmtId="0" fontId="1" fillId="0" borderId="2" xfId="0" applyFont="1" applyBorder="1" applyAlignment="1">
      <alignment vertical="top"/>
    </xf>
    <xf numFmtId="49" fontId="1" fillId="0" borderId="2" xfId="0" applyNumberFormat="1" applyFont="1" applyBorder="1"/>
    <xf numFmtId="0" fontId="1" fillId="27" borderId="2" xfId="0" applyFont="1" applyFill="1" applyBorder="1"/>
    <xf numFmtId="49" fontId="1" fillId="17" borderId="2" xfId="0" applyNumberFormat="1" applyFont="1" applyFill="1" applyBorder="1"/>
    <xf numFmtId="0" fontId="1" fillId="17" borderId="2" xfId="0" applyFont="1" applyFill="1" applyBorder="1"/>
    <xf numFmtId="0" fontId="1" fillId="27" borderId="35" xfId="0" applyFont="1" applyFill="1" applyBorder="1"/>
    <xf numFmtId="165" fontId="7" fillId="21" borderId="41" xfId="0" applyNumberFormat="1" applyFont="1" applyFill="1" applyBorder="1" applyAlignment="1">
      <alignment horizontal="right" wrapText="1"/>
    </xf>
    <xf numFmtId="165" fontId="1" fillId="15" borderId="2" xfId="0" applyNumberFormat="1" applyFont="1" applyFill="1" applyBorder="1"/>
    <xf numFmtId="165" fontId="1" fillId="9" borderId="2" xfId="0" applyNumberFormat="1" applyFont="1" applyFill="1" applyBorder="1"/>
    <xf numFmtId="164" fontId="1" fillId="0" borderId="2" xfId="0" applyNumberFormat="1" applyFont="1" applyBorder="1"/>
    <xf numFmtId="164" fontId="1" fillId="15" borderId="2" xfId="0" applyNumberFormat="1" applyFont="1" applyFill="1" applyBorder="1"/>
    <xf numFmtId="164" fontId="1" fillId="9" borderId="2" xfId="0" applyNumberFormat="1" applyFont="1" applyFill="1" applyBorder="1"/>
    <xf numFmtId="0" fontId="1" fillId="0" borderId="36" xfId="0" applyFont="1" applyBorder="1" applyAlignment="1">
      <alignment horizontal="left" wrapText="1"/>
    </xf>
    <xf numFmtId="10" fontId="1" fillId="0" borderId="2" xfId="0" applyNumberFormat="1" applyFont="1" applyBorder="1"/>
    <xf numFmtId="164" fontId="7" fillId="9" borderId="2" xfId="0" applyNumberFormat="1" applyFont="1" applyFill="1" applyBorder="1" applyAlignment="1">
      <alignment horizontal="right" wrapText="1"/>
    </xf>
    <xf numFmtId="0" fontId="1" fillId="0" borderId="2" xfId="0" applyFont="1" applyBorder="1" applyAlignment="1">
      <alignment horizontal="center" wrapText="1"/>
    </xf>
    <xf numFmtId="0" fontId="1" fillId="15" borderId="2" xfId="0" applyFont="1" applyFill="1" applyBorder="1"/>
    <xf numFmtId="0" fontId="1" fillId="0" borderId="34" xfId="0" applyFont="1" applyBorder="1"/>
    <xf numFmtId="0" fontId="1" fillId="0" borderId="36" xfId="0" applyFont="1" applyBorder="1"/>
    <xf numFmtId="0" fontId="1" fillId="0" borderId="2" xfId="0" applyFont="1" applyBorder="1" applyAlignment="1">
      <alignment wrapText="1"/>
    </xf>
    <xf numFmtId="0" fontId="1" fillId="0" borderId="2" xfId="0" applyFont="1" applyBorder="1" applyAlignment="1">
      <alignment horizontal="center"/>
    </xf>
    <xf numFmtId="0" fontId="71" fillId="0" borderId="0" xfId="0" applyFont="1"/>
    <xf numFmtId="49" fontId="7" fillId="0" borderId="2" xfId="0" applyNumberFormat="1" applyFont="1" applyBorder="1" applyAlignment="1">
      <alignment horizontal="left" wrapText="1"/>
    </xf>
    <xf numFmtId="0" fontId="7" fillId="13" borderId="37" xfId="0" applyFont="1" applyFill="1" applyBorder="1" applyAlignment="1">
      <alignment horizontal="right" wrapText="1"/>
    </xf>
    <xf numFmtId="10" fontId="7" fillId="0" borderId="36" xfId="0" applyNumberFormat="1" applyFont="1" applyBorder="1" applyAlignment="1">
      <alignment horizontal="left" wrapText="1"/>
    </xf>
    <xf numFmtId="49" fontId="2" fillId="0" borderId="36" xfId="0" applyNumberFormat="1" applyFont="1" applyBorder="1" applyAlignment="1">
      <alignment horizontal="center" wrapText="1"/>
    </xf>
    <xf numFmtId="0" fontId="2" fillId="0" borderId="36" xfId="0" applyFont="1" applyBorder="1" applyAlignment="1">
      <alignment horizontal="left" wrapText="1"/>
    </xf>
    <xf numFmtId="0" fontId="7" fillId="13" borderId="20" xfId="0" applyFont="1" applyFill="1" applyBorder="1" applyAlignment="1">
      <alignment horizontal="center" wrapText="1"/>
    </xf>
    <xf numFmtId="10" fontId="7" fillId="0" borderId="24" xfId="0" applyNumberFormat="1" applyFont="1" applyBorder="1" applyAlignment="1">
      <alignment wrapText="1"/>
    </xf>
    <xf numFmtId="0" fontId="7" fillId="15" borderId="35" xfId="0" applyFont="1" applyFill="1" applyBorder="1" applyAlignment="1">
      <alignment wrapText="1"/>
    </xf>
    <xf numFmtId="0" fontId="7" fillId="15" borderId="41" xfId="0" applyFont="1" applyFill="1" applyBorder="1" applyAlignment="1">
      <alignment wrapText="1"/>
    </xf>
    <xf numFmtId="0" fontId="72" fillId="17" borderId="2" xfId="0" applyFont="1" applyFill="1" applyBorder="1" applyAlignment="1">
      <alignment horizontal="left"/>
    </xf>
    <xf numFmtId="0" fontId="73" fillId="0" borderId="24" xfId="0" applyFont="1" applyBorder="1" applyAlignment="1">
      <alignment horizontal="left" wrapText="1"/>
    </xf>
    <xf numFmtId="0" fontId="11" fillId="0" borderId="2" xfId="0" applyFont="1" applyBorder="1" applyAlignment="1">
      <alignment horizontal="center"/>
    </xf>
    <xf numFmtId="0" fontId="11" fillId="6" borderId="41" xfId="0" applyFont="1" applyFill="1" applyBorder="1" applyAlignment="1">
      <alignment horizontal="center"/>
    </xf>
    <xf numFmtId="0" fontId="7" fillId="17" borderId="2" xfId="0" quotePrefix="1" applyFont="1" applyFill="1" applyBorder="1" applyAlignment="1">
      <alignment horizontal="left" wrapText="1"/>
    </xf>
    <xf numFmtId="0" fontId="2" fillId="4" borderId="2" xfId="0" applyFont="1" applyFill="1" applyBorder="1" applyAlignment="1">
      <alignment wrapText="1"/>
    </xf>
    <xf numFmtId="164" fontId="2" fillId="16" borderId="21" xfId="0" applyNumberFormat="1" applyFont="1" applyFill="1" applyBorder="1" applyAlignment="1">
      <alignment wrapText="1"/>
    </xf>
    <xf numFmtId="164" fontId="2" fillId="2" borderId="21" xfId="0" applyNumberFormat="1" applyFont="1" applyFill="1" applyBorder="1" applyAlignment="1">
      <alignment horizontal="center" wrapText="1"/>
    </xf>
    <xf numFmtId="164" fontId="2" fillId="4" borderId="21" xfId="0" applyNumberFormat="1" applyFont="1" applyFill="1" applyBorder="1" applyAlignment="1">
      <alignment horizontal="center" wrapText="1"/>
    </xf>
    <xf numFmtId="0" fontId="2" fillId="17" borderId="2" xfId="0" applyFont="1" applyFill="1" applyBorder="1" applyAlignment="1">
      <alignment horizontal="center" wrapText="1"/>
    </xf>
    <xf numFmtId="0" fontId="2" fillId="0" borderId="36" xfId="0" applyFont="1" applyBorder="1" applyAlignment="1">
      <alignment horizontal="center" wrapText="1"/>
    </xf>
    <xf numFmtId="0" fontId="2" fillId="6" borderId="36" xfId="0" applyFont="1" applyFill="1" applyBorder="1" applyAlignment="1">
      <alignment horizontal="center" wrapText="1"/>
    </xf>
    <xf numFmtId="49" fontId="47" fillId="17" borderId="5" xfId="0" applyNumberFormat="1" applyFont="1" applyFill="1" applyBorder="1" applyAlignment="1">
      <alignment horizontal="left" wrapText="1"/>
    </xf>
    <xf numFmtId="0" fontId="2" fillId="4" borderId="23" xfId="0" applyFont="1" applyFill="1" applyBorder="1" applyAlignment="1">
      <alignment wrapText="1"/>
    </xf>
    <xf numFmtId="0" fontId="2" fillId="0" borderId="22" xfId="0" applyFont="1" applyBorder="1" applyAlignment="1">
      <alignment wrapText="1"/>
    </xf>
    <xf numFmtId="0" fontId="17" fillId="13" borderId="37" xfId="0" applyFont="1" applyFill="1" applyBorder="1" applyAlignment="1">
      <alignment horizontal="right"/>
    </xf>
    <xf numFmtId="0" fontId="74" fillId="0" borderId="2" xfId="0" applyFont="1" applyBorder="1" applyAlignment="1">
      <alignment horizontal="right" vertical="top"/>
    </xf>
    <xf numFmtId="0" fontId="74" fillId="0" borderId="2" xfId="0" applyFont="1" applyBorder="1" applyAlignment="1">
      <alignment horizontal="left"/>
    </xf>
    <xf numFmtId="0" fontId="74" fillId="0" borderId="2" xfId="0" applyFont="1" applyBorder="1" applyAlignment="1">
      <alignment vertical="top"/>
    </xf>
    <xf numFmtId="49" fontId="7" fillId="0" borderId="2" xfId="0" applyNumberFormat="1" applyFont="1" applyBorder="1" applyAlignment="1">
      <alignment horizontal="left" vertical="center" wrapText="1"/>
    </xf>
    <xf numFmtId="0" fontId="7" fillId="13" borderId="2" xfId="0" applyFont="1" applyFill="1" applyBorder="1" applyAlignment="1">
      <alignment wrapText="1"/>
    </xf>
    <xf numFmtId="49" fontId="7" fillId="17" borderId="2" xfId="0" applyNumberFormat="1" applyFont="1" applyFill="1" applyBorder="1" applyAlignment="1">
      <alignment wrapText="1"/>
    </xf>
    <xf numFmtId="0" fontId="7" fillId="17" borderId="2" xfId="0" applyFont="1" applyFill="1" applyBorder="1" applyAlignment="1">
      <alignment wrapText="1"/>
    </xf>
    <xf numFmtId="164" fontId="7" fillId="0" borderId="2" xfId="0" applyNumberFormat="1" applyFont="1" applyBorder="1" applyAlignment="1">
      <alignment horizontal="left" wrapText="1"/>
    </xf>
    <xf numFmtId="0" fontId="10" fillId="0" borderId="36" xfId="0" applyFont="1" applyBorder="1"/>
    <xf numFmtId="0" fontId="1" fillId="0" borderId="48" xfId="0" applyFont="1" applyBorder="1"/>
    <xf numFmtId="0" fontId="75" fillId="0" borderId="36" xfId="0" applyFont="1" applyBorder="1" applyAlignment="1">
      <alignment horizontal="center"/>
    </xf>
    <xf numFmtId="0" fontId="2" fillId="0" borderId="36" xfId="0" applyFont="1" applyBorder="1"/>
    <xf numFmtId="0" fontId="76" fillId="0" borderId="2" xfId="0" applyFont="1" applyBorder="1" applyAlignment="1">
      <alignment horizontal="right" wrapText="1"/>
    </xf>
    <xf numFmtId="0" fontId="77" fillId="4" borderId="2" xfId="0" applyFont="1" applyFill="1" applyBorder="1"/>
    <xf numFmtId="0" fontId="1" fillId="22" borderId="2" xfId="0" applyFont="1" applyFill="1" applyBorder="1" applyAlignment="1">
      <alignment horizontal="left" vertical="top"/>
    </xf>
    <xf numFmtId="0" fontId="1" fillId="27" borderId="36" xfId="0" applyFont="1" applyFill="1" applyBorder="1"/>
    <xf numFmtId="0" fontId="1" fillId="0" borderId="36" xfId="0" applyFont="1" applyBorder="1" applyAlignment="1">
      <alignment vertical="top"/>
    </xf>
    <xf numFmtId="49" fontId="1" fillId="0" borderId="36" xfId="0" applyNumberFormat="1" applyFont="1" applyBorder="1"/>
    <xf numFmtId="0" fontId="1" fillId="27" borderId="20" xfId="0" applyFont="1" applyFill="1" applyBorder="1"/>
    <xf numFmtId="49" fontId="1" fillId="17" borderId="20" xfId="0" applyNumberFormat="1" applyFont="1" applyFill="1" applyBorder="1"/>
    <xf numFmtId="0" fontId="1" fillId="17" borderId="20" xfId="0" applyFont="1" applyFill="1" applyBorder="1"/>
    <xf numFmtId="0" fontId="1" fillId="27" borderId="43" xfId="0" applyFont="1" applyFill="1" applyBorder="1"/>
    <xf numFmtId="165" fontId="1" fillId="21" borderId="20" xfId="0" applyNumberFormat="1" applyFont="1" applyFill="1" applyBorder="1"/>
    <xf numFmtId="165" fontId="1" fillId="15" borderId="20" xfId="0" applyNumberFormat="1" applyFont="1" applyFill="1" applyBorder="1"/>
    <xf numFmtId="165" fontId="1" fillId="9" borderId="20" xfId="0" applyNumberFormat="1" applyFont="1" applyFill="1" applyBorder="1"/>
    <xf numFmtId="165" fontId="1" fillId="16" borderId="20" xfId="0" applyNumberFormat="1" applyFont="1" applyFill="1" applyBorder="1"/>
    <xf numFmtId="165" fontId="1" fillId="2" borderId="20" xfId="0" applyNumberFormat="1" applyFont="1" applyFill="1" applyBorder="1"/>
    <xf numFmtId="165" fontId="1" fillId="4" borderId="20" xfId="0" applyNumberFormat="1" applyFont="1" applyFill="1" applyBorder="1"/>
    <xf numFmtId="164" fontId="1" fillId="0" borderId="36" xfId="0" applyNumberFormat="1" applyFont="1" applyBorder="1"/>
    <xf numFmtId="164" fontId="1" fillId="15" borderId="20" xfId="0" applyNumberFormat="1" applyFont="1" applyFill="1" applyBorder="1"/>
    <xf numFmtId="164" fontId="1" fillId="9" borderId="20" xfId="0" applyNumberFormat="1" applyFont="1" applyFill="1" applyBorder="1"/>
    <xf numFmtId="164" fontId="1" fillId="16" borderId="20" xfId="0" applyNumberFormat="1" applyFont="1" applyFill="1" applyBorder="1"/>
    <xf numFmtId="0" fontId="1" fillId="0" borderId="36" xfId="0" applyFont="1" applyBorder="1" applyAlignment="1">
      <alignment horizontal="left"/>
    </xf>
    <xf numFmtId="164" fontId="2" fillId="16" borderId="20" xfId="0" applyNumberFormat="1" applyFont="1" applyFill="1" applyBorder="1" applyAlignment="1">
      <alignment horizontal="right" wrapText="1"/>
    </xf>
    <xf numFmtId="0" fontId="1" fillId="0" borderId="36" xfId="0" applyFont="1" applyBorder="1" applyAlignment="1">
      <alignment horizontal="center"/>
    </xf>
    <xf numFmtId="0" fontId="1" fillId="15" borderId="20" xfId="0" applyFont="1" applyFill="1" applyBorder="1"/>
    <xf numFmtId="0" fontId="2" fillId="0" borderId="24" xfId="0" applyFont="1" applyBorder="1" applyAlignment="1">
      <alignment horizontal="left"/>
    </xf>
    <xf numFmtId="0" fontId="2" fillId="0" borderId="33" xfId="0" applyFont="1" applyBorder="1" applyAlignment="1">
      <alignment horizontal="left"/>
    </xf>
    <xf numFmtId="0" fontId="10" fillId="25" borderId="2" xfId="0" applyFont="1" applyFill="1" applyBorder="1" applyAlignment="1">
      <alignment wrapText="1"/>
    </xf>
    <xf numFmtId="0" fontId="17" fillId="0" borderId="2" xfId="0" applyFont="1" applyBorder="1" applyAlignment="1">
      <alignment wrapText="1"/>
    </xf>
    <xf numFmtId="0" fontId="10" fillId="0" borderId="34" xfId="0" applyFont="1" applyBorder="1" applyAlignment="1">
      <alignment horizontal="center"/>
    </xf>
    <xf numFmtId="0" fontId="78" fillId="0" borderId="2" xfId="0" applyFont="1" applyBorder="1" applyAlignment="1">
      <alignment horizontal="left"/>
    </xf>
    <xf numFmtId="0" fontId="10" fillId="0" borderId="2" xfId="0" applyFont="1" applyBorder="1" applyAlignment="1">
      <alignment wrapText="1"/>
    </xf>
    <xf numFmtId="0" fontId="2" fillId="6" borderId="46" xfId="0" applyFont="1" applyFill="1" applyBorder="1" applyAlignment="1">
      <alignment horizontal="center" wrapText="1"/>
    </xf>
    <xf numFmtId="0" fontId="79" fillId="0" borderId="2" xfId="0" applyFont="1" applyBorder="1" applyAlignment="1">
      <alignment wrapText="1"/>
    </xf>
    <xf numFmtId="0" fontId="17" fillId="25" borderId="2" xfId="0" applyFont="1" applyFill="1" applyBorder="1" applyAlignment="1">
      <alignment wrapText="1"/>
    </xf>
    <xf numFmtId="0" fontId="80" fillId="0" borderId="24" xfId="0" applyFont="1" applyBorder="1" applyAlignment="1">
      <alignment horizontal="left"/>
    </xf>
    <xf numFmtId="0" fontId="82" fillId="0" borderId="21" xfId="0" applyFont="1" applyBorder="1" applyAlignment="1">
      <alignment horizontal="left"/>
    </xf>
    <xf numFmtId="170" fontId="10" fillId="0" borderId="2" xfId="0" applyNumberFormat="1" applyFont="1" applyBorder="1" applyAlignment="1">
      <alignment horizontal="right" vertical="top" wrapText="1"/>
    </xf>
    <xf numFmtId="0" fontId="2" fillId="0" borderId="34" xfId="0" applyFont="1" applyBorder="1" applyAlignment="1">
      <alignment wrapText="1"/>
    </xf>
    <xf numFmtId="0" fontId="7" fillId="14" borderId="2" xfId="0" applyFont="1" applyFill="1" applyBorder="1" applyAlignment="1">
      <alignment horizontal="left" wrapText="1"/>
    </xf>
    <xf numFmtId="0" fontId="11" fillId="6" borderId="2" xfId="0" applyFont="1" applyFill="1" applyBorder="1" applyAlignment="1">
      <alignment horizontal="center"/>
    </xf>
    <xf numFmtId="0" fontId="2" fillId="13" borderId="34" xfId="0" applyFont="1" applyFill="1" applyBorder="1" applyAlignment="1">
      <alignment horizontal="center" wrapText="1"/>
    </xf>
    <xf numFmtId="0" fontId="84" fillId="0" borderId="2" xfId="0" applyFont="1" applyBorder="1" applyAlignment="1">
      <alignment horizontal="right" vertical="center" wrapText="1"/>
    </xf>
    <xf numFmtId="164" fontId="7" fillId="0" borderId="21" xfId="0" applyNumberFormat="1" applyFont="1" applyBorder="1" applyAlignment="1">
      <alignment horizontal="center" wrapText="1"/>
    </xf>
    <xf numFmtId="10" fontId="7" fillId="0" borderId="34" xfId="0" applyNumberFormat="1" applyFont="1" applyBorder="1" applyAlignment="1">
      <alignment horizontal="left" wrapText="1"/>
    </xf>
    <xf numFmtId="0" fontId="7" fillId="0" borderId="48" xfId="0" applyFont="1" applyBorder="1" applyAlignment="1">
      <alignment horizontal="center" wrapText="1"/>
    </xf>
    <xf numFmtId="0" fontId="7" fillId="17" borderId="20" xfId="0" applyFont="1" applyFill="1" applyBorder="1" applyAlignment="1">
      <alignment horizontal="center" wrapText="1"/>
    </xf>
    <xf numFmtId="165" fontId="7" fillId="21" borderId="20" xfId="0" applyNumberFormat="1" applyFont="1" applyFill="1" applyBorder="1" applyAlignment="1">
      <alignment wrapText="1"/>
    </xf>
    <xf numFmtId="164" fontId="7" fillId="9" borderId="20" xfId="0" applyNumberFormat="1" applyFont="1" applyFill="1" applyBorder="1" applyAlignment="1">
      <alignment wrapText="1"/>
    </xf>
    <xf numFmtId="10" fontId="7" fillId="15" borderId="20" xfId="0" applyNumberFormat="1" applyFont="1" applyFill="1" applyBorder="1" applyAlignment="1">
      <alignment wrapText="1"/>
    </xf>
    <xf numFmtId="0" fontId="2" fillId="0" borderId="2" xfId="0" applyFont="1" applyBorder="1" applyAlignment="1">
      <alignment horizontal="right" wrapText="1"/>
    </xf>
    <xf numFmtId="0" fontId="23" fillId="6" borderId="2" xfId="0" applyFont="1" applyFill="1" applyBorder="1" applyAlignment="1">
      <alignment horizontal="left" wrapText="1"/>
    </xf>
    <xf numFmtId="0" fontId="17" fillId="4" borderId="2" xfId="0" applyFont="1" applyFill="1" applyBorder="1" applyAlignment="1">
      <alignment horizontal="left" wrapText="1"/>
    </xf>
    <xf numFmtId="0" fontId="86" fillId="0" borderId="36" xfId="0" applyFont="1" applyBorder="1" applyAlignment="1">
      <alignment wrapText="1"/>
    </xf>
    <xf numFmtId="0" fontId="87" fillId="0" borderId="36" xfId="0" applyFont="1" applyBorder="1" applyAlignment="1">
      <alignment wrapText="1"/>
    </xf>
    <xf numFmtId="0" fontId="88" fillId="0" borderId="2" xfId="0" applyFont="1" applyBorder="1" applyAlignment="1">
      <alignment wrapText="1"/>
    </xf>
    <xf numFmtId="165" fontId="2" fillId="2" borderId="39" xfId="0" applyNumberFormat="1" applyFont="1" applyFill="1" applyBorder="1" applyAlignment="1">
      <alignment wrapText="1"/>
    </xf>
    <xf numFmtId="165" fontId="2" fillId="4" borderId="39" xfId="0" applyNumberFormat="1" applyFont="1" applyFill="1" applyBorder="1" applyAlignment="1">
      <alignment wrapText="1"/>
    </xf>
    <xf numFmtId="164" fontId="2" fillId="16" borderId="27" xfId="0" applyNumberFormat="1" applyFont="1" applyFill="1" applyBorder="1" applyAlignment="1">
      <alignment wrapText="1"/>
    </xf>
    <xf numFmtId="164" fontId="2" fillId="2" borderId="27" xfId="0" applyNumberFormat="1" applyFont="1" applyFill="1" applyBorder="1" applyAlignment="1">
      <alignment horizontal="center" wrapText="1"/>
    </xf>
    <xf numFmtId="164" fontId="2" fillId="4" borderId="49" xfId="0" applyNumberFormat="1" applyFont="1" applyFill="1" applyBorder="1" applyAlignment="1">
      <alignment horizontal="center" wrapText="1"/>
    </xf>
    <xf numFmtId="0" fontId="94" fillId="0" borderId="2" xfId="0" applyFont="1" applyBorder="1" applyAlignment="1">
      <alignment wrapText="1"/>
    </xf>
    <xf numFmtId="0" fontId="33" fillId="0" borderId="36" xfId="0" applyFont="1" applyBorder="1" applyAlignment="1">
      <alignment horizontal="right" wrapText="1"/>
    </xf>
    <xf numFmtId="0" fontId="97" fillId="17" borderId="36" xfId="0" applyFont="1" applyFill="1" applyBorder="1"/>
    <xf numFmtId="49" fontId="52" fillId="0" borderId="36" xfId="0" applyNumberFormat="1" applyFont="1" applyBorder="1" applyAlignment="1">
      <alignment horizontal="center" wrapText="1"/>
    </xf>
    <xf numFmtId="0" fontId="9" fillId="3" borderId="36" xfId="0" applyFont="1" applyFill="1" applyBorder="1"/>
    <xf numFmtId="165" fontId="9" fillId="21" borderId="36" xfId="0" applyNumberFormat="1" applyFont="1" applyFill="1" applyBorder="1"/>
    <xf numFmtId="165" fontId="9" fillId="15" borderId="50" xfId="0" applyNumberFormat="1" applyFont="1" applyFill="1" applyBorder="1"/>
    <xf numFmtId="165" fontId="9" fillId="9" borderId="50" xfId="0" applyNumberFormat="1" applyFont="1" applyFill="1" applyBorder="1"/>
    <xf numFmtId="165" fontId="9" fillId="16" borderId="50" xfId="0" applyNumberFormat="1" applyFont="1" applyFill="1" applyBorder="1"/>
    <xf numFmtId="164" fontId="9" fillId="9" borderId="36" xfId="0" applyNumberFormat="1" applyFont="1" applyFill="1" applyBorder="1"/>
    <xf numFmtId="164" fontId="9" fillId="16" borderId="36" xfId="0" applyNumberFormat="1" applyFont="1" applyFill="1" applyBorder="1"/>
    <xf numFmtId="164" fontId="9" fillId="0" borderId="36" xfId="0" applyNumberFormat="1" applyFont="1" applyBorder="1"/>
    <xf numFmtId="10" fontId="9" fillId="15" borderId="36" xfId="0" applyNumberFormat="1" applyFont="1" applyFill="1" applyBorder="1"/>
    <xf numFmtId="0" fontId="33" fillId="15" borderId="36" xfId="0" applyFont="1" applyFill="1" applyBorder="1" applyAlignment="1">
      <alignment wrapText="1"/>
    </xf>
    <xf numFmtId="0" fontId="55" fillId="0" borderId="36" xfId="0" applyFont="1" applyBorder="1" applyAlignment="1">
      <alignment wrapText="1"/>
    </xf>
    <xf numFmtId="0" fontId="33" fillId="0" borderId="36" xfId="0" applyFont="1" applyBorder="1" applyAlignment="1">
      <alignment horizontal="center" wrapText="1"/>
    </xf>
    <xf numFmtId="0" fontId="2" fillId="33" borderId="5" xfId="0" applyFont="1" applyFill="1" applyBorder="1" applyAlignment="1">
      <alignment horizontal="center" wrapText="1"/>
    </xf>
    <xf numFmtId="0" fontId="2" fillId="33" borderId="51" xfId="0" applyFont="1" applyFill="1" applyBorder="1" applyAlignment="1">
      <alignment horizontal="center" wrapText="1"/>
    </xf>
    <xf numFmtId="0" fontId="2" fillId="33" borderId="2" xfId="0" applyFont="1" applyFill="1" applyBorder="1" applyAlignment="1">
      <alignment horizontal="center" wrapText="1"/>
    </xf>
    <xf numFmtId="0" fontId="7" fillId="33" borderId="2" xfId="0" applyFont="1" applyFill="1" applyBorder="1" applyAlignment="1">
      <alignment horizontal="center" wrapText="1"/>
    </xf>
    <xf numFmtId="0" fontId="2" fillId="33" borderId="2" xfId="0" applyFont="1" applyFill="1" applyBorder="1" applyAlignment="1">
      <alignment horizontal="right" wrapText="1"/>
    </xf>
    <xf numFmtId="0" fontId="2" fillId="33" borderId="2" xfId="0" applyFont="1" applyFill="1" applyBorder="1" applyAlignment="1">
      <alignment horizontal="left" wrapText="1"/>
    </xf>
    <xf numFmtId="0" fontId="10" fillId="33" borderId="2" xfId="0" applyFont="1" applyFill="1" applyBorder="1"/>
    <xf numFmtId="165" fontId="2" fillId="34" borderId="52" xfId="0" applyNumberFormat="1" applyFont="1" applyFill="1" applyBorder="1" applyAlignment="1">
      <alignment wrapText="1"/>
    </xf>
    <xf numFmtId="165" fontId="2" fillId="15" borderId="1" xfId="0" applyNumberFormat="1" applyFont="1" applyFill="1" applyBorder="1" applyAlignment="1">
      <alignment wrapText="1"/>
    </xf>
    <xf numFmtId="165" fontId="2" fillId="9" borderId="1" xfId="0" applyNumberFormat="1" applyFont="1" applyFill="1" applyBorder="1" applyAlignment="1">
      <alignment horizontal="center" wrapText="1"/>
    </xf>
    <xf numFmtId="165" fontId="2" fillId="2" borderId="1" xfId="0" applyNumberFormat="1" applyFont="1" applyFill="1" applyBorder="1" applyAlignment="1">
      <alignment horizontal="center" wrapText="1"/>
    </xf>
    <xf numFmtId="165" fontId="2" fillId="4" borderId="53" xfId="0" applyNumberFormat="1" applyFont="1" applyFill="1" applyBorder="1" applyAlignment="1">
      <alignment horizontal="center" wrapText="1"/>
    </xf>
    <xf numFmtId="0" fontId="2" fillId="0" borderId="48" xfId="0" applyFont="1" applyBorder="1" applyAlignment="1">
      <alignment horizontal="left" wrapText="1"/>
    </xf>
    <xf numFmtId="0" fontId="2" fillId="0" borderId="54" xfId="0" applyFont="1" applyBorder="1" applyAlignment="1">
      <alignment horizontal="center" wrapText="1"/>
    </xf>
    <xf numFmtId="164" fontId="2" fillId="15" borderId="55" xfId="0" applyNumberFormat="1" applyFont="1" applyFill="1" applyBorder="1" applyAlignment="1">
      <alignment wrapText="1"/>
    </xf>
    <xf numFmtId="164" fontId="2" fillId="9" borderId="55" xfId="0" applyNumberFormat="1" applyFont="1" applyFill="1" applyBorder="1" applyAlignment="1">
      <alignment horizontal="center" wrapText="1"/>
    </xf>
    <xf numFmtId="164" fontId="2" fillId="16" borderId="55" xfId="0" applyNumberFormat="1" applyFont="1" applyFill="1" applyBorder="1" applyAlignment="1">
      <alignment horizontal="center" wrapText="1"/>
    </xf>
    <xf numFmtId="164" fontId="2" fillId="18" borderId="2" xfId="0" applyNumberFormat="1" applyFont="1" applyFill="1" applyBorder="1" applyAlignment="1">
      <alignment horizontal="center" wrapText="1"/>
    </xf>
    <xf numFmtId="0" fontId="7" fillId="0" borderId="0" xfId="0" applyFont="1" applyAlignment="1">
      <alignment wrapText="1"/>
    </xf>
    <xf numFmtId="49" fontId="7" fillId="0" borderId="0" xfId="0" applyNumberFormat="1" applyFont="1" applyAlignment="1">
      <alignment wrapText="1"/>
    </xf>
    <xf numFmtId="0" fontId="2" fillId="0" borderId="0" xfId="0" applyFont="1" applyAlignment="1">
      <alignment horizontal="right" wrapText="1"/>
    </xf>
    <xf numFmtId="0" fontId="2" fillId="0" borderId="56" xfId="0" applyFont="1" applyBorder="1" applyAlignment="1">
      <alignment horizontal="center" wrapText="1"/>
    </xf>
    <xf numFmtId="0" fontId="2" fillId="0" borderId="55" xfId="0" applyFont="1" applyBorder="1" applyAlignment="1">
      <alignment horizontal="center" wrapText="1"/>
    </xf>
    <xf numFmtId="0" fontId="2" fillId="0" borderId="57" xfId="0" applyFont="1" applyBorder="1" applyAlignment="1">
      <alignment horizontal="center" wrapText="1"/>
    </xf>
    <xf numFmtId="0" fontId="2" fillId="0" borderId="58" xfId="0" applyFont="1" applyBorder="1" applyAlignment="1">
      <alignment horizontal="center" wrapText="1"/>
    </xf>
    <xf numFmtId="0" fontId="7" fillId="0" borderId="58" xfId="0" applyFont="1" applyBorder="1" applyAlignment="1">
      <alignment wrapText="1"/>
    </xf>
    <xf numFmtId="0" fontId="2" fillId="0" borderId="59" xfId="0" quotePrefix="1" applyFont="1" applyBorder="1" applyAlignment="1">
      <alignment horizontal="center" wrapText="1"/>
    </xf>
    <xf numFmtId="0" fontId="2" fillId="21" borderId="60" xfId="0" applyFont="1" applyFill="1" applyBorder="1" applyAlignment="1">
      <alignment horizontal="center" wrapText="1"/>
    </xf>
    <xf numFmtId="0" fontId="2" fillId="0" borderId="54" xfId="0" quotePrefix="1" applyFont="1" applyBorder="1" applyAlignment="1">
      <alignment horizontal="center" wrapText="1"/>
    </xf>
    <xf numFmtId="0" fontId="2" fillId="21" borderId="61" xfId="0" applyFont="1" applyFill="1" applyBorder="1" applyAlignment="1">
      <alignment horizontal="center" wrapText="1"/>
    </xf>
    <xf numFmtId="0" fontId="2" fillId="0" borderId="62" xfId="0" quotePrefix="1" applyFont="1" applyBorder="1" applyAlignment="1">
      <alignment horizontal="center" wrapText="1"/>
    </xf>
    <xf numFmtId="0" fontId="2" fillId="0" borderId="63" xfId="0" quotePrefix="1" applyFont="1" applyBorder="1" applyAlignment="1">
      <alignment horizontal="center" wrapText="1"/>
    </xf>
    <xf numFmtId="0" fontId="2" fillId="0" borderId="59" xfId="0" applyFont="1" applyBorder="1" applyAlignment="1">
      <alignment horizontal="center" wrapText="1"/>
    </xf>
    <xf numFmtId="0" fontId="2" fillId="0" borderId="63" xfId="0" applyFont="1" applyBorder="1" applyAlignment="1">
      <alignment horizontal="center" wrapText="1"/>
    </xf>
    <xf numFmtId="0" fontId="2" fillId="21" borderId="64" xfId="0" applyFont="1" applyFill="1" applyBorder="1" applyAlignment="1">
      <alignment horizontal="center" wrapText="1"/>
    </xf>
    <xf numFmtId="164" fontId="2" fillId="0" borderId="0" xfId="0" applyNumberFormat="1" applyFont="1" applyAlignment="1">
      <alignment wrapText="1"/>
    </xf>
    <xf numFmtId="164" fontId="2" fillId="0" borderId="0" xfId="0" applyNumberFormat="1" applyFont="1" applyAlignment="1">
      <alignment horizontal="center" wrapText="1"/>
    </xf>
    <xf numFmtId="0" fontId="2" fillId="4" borderId="5" xfId="0" applyFont="1" applyFill="1" applyBorder="1" applyAlignment="1">
      <alignment horizontal="center" wrapText="1"/>
    </xf>
    <xf numFmtId="0" fontId="7" fillId="4" borderId="5" xfId="0" applyFont="1" applyFill="1" applyBorder="1" applyAlignment="1">
      <alignment horizontal="center" wrapText="1"/>
    </xf>
    <xf numFmtId="0" fontId="2" fillId="4" borderId="5" xfId="0" applyFont="1" applyFill="1" applyBorder="1" applyAlignment="1">
      <alignment horizontal="right" wrapText="1"/>
    </xf>
    <xf numFmtId="0" fontId="2" fillId="4" borderId="5" xfId="0" applyFont="1" applyFill="1" applyBorder="1" applyAlignment="1">
      <alignment horizontal="left" wrapText="1"/>
    </xf>
    <xf numFmtId="164" fontId="2" fillId="4" borderId="5" xfId="0" applyNumberFormat="1" applyFont="1" applyFill="1" applyBorder="1" applyAlignment="1">
      <alignment wrapText="1"/>
    </xf>
    <xf numFmtId="164" fontId="2" fillId="4" borderId="5" xfId="0" applyNumberFormat="1" applyFont="1" applyFill="1" applyBorder="1" applyAlignment="1">
      <alignment horizontal="center" wrapText="1"/>
    </xf>
    <xf numFmtId="0" fontId="7" fillId="4" borderId="5" xfId="0" applyFont="1" applyFill="1" applyBorder="1" applyAlignment="1">
      <alignment horizontal="left" wrapText="1"/>
    </xf>
    <xf numFmtId="0" fontId="18" fillId="4" borderId="5" xfId="0" applyFont="1" applyFill="1" applyBorder="1" applyAlignment="1">
      <alignment horizontal="left" wrapText="1"/>
    </xf>
    <xf numFmtId="0" fontId="23" fillId="35" borderId="2" xfId="0" applyFont="1" applyFill="1" applyBorder="1" applyAlignment="1">
      <alignment horizontal="center" wrapText="1"/>
    </xf>
    <xf numFmtId="0" fontId="2" fillId="10" borderId="2" xfId="0" applyFont="1" applyFill="1" applyBorder="1" applyAlignment="1">
      <alignment horizontal="center" wrapText="1"/>
    </xf>
    <xf numFmtId="0" fontId="85" fillId="27" borderId="2" xfId="0" applyFont="1" applyFill="1" applyBorder="1" applyAlignment="1">
      <alignment horizontal="left" wrapText="1"/>
    </xf>
    <xf numFmtId="0" fontId="34" fillId="0" borderId="36" xfId="0" applyFont="1" applyBorder="1" applyAlignment="1">
      <alignment horizontal="center" wrapText="1"/>
    </xf>
    <xf numFmtId="164" fontId="7" fillId="21" borderId="20" xfId="0" applyNumberFormat="1" applyFont="1" applyFill="1" applyBorder="1" applyAlignment="1">
      <alignment wrapText="1"/>
    </xf>
    <xf numFmtId="171" fontId="7" fillId="21" borderId="2" xfId="0" applyNumberFormat="1" applyFont="1" applyFill="1" applyBorder="1" applyAlignment="1">
      <alignment wrapText="1"/>
    </xf>
    <xf numFmtId="164" fontId="36" fillId="9" borderId="2" xfId="0" applyNumberFormat="1" applyFont="1" applyFill="1" applyBorder="1" applyAlignment="1">
      <alignment wrapText="1"/>
    </xf>
    <xf numFmtId="164" fontId="34" fillId="9" borderId="2" xfId="0" applyNumberFormat="1" applyFont="1" applyFill="1" applyBorder="1" applyAlignment="1">
      <alignment wrapText="1"/>
    </xf>
    <xf numFmtId="164" fontId="2" fillId="9" borderId="2" xfId="0" applyNumberFormat="1" applyFont="1" applyFill="1" applyBorder="1" applyAlignment="1">
      <alignment wrapText="1"/>
    </xf>
    <xf numFmtId="0" fontId="2" fillId="10" borderId="2" xfId="0" applyFont="1" applyFill="1" applyBorder="1" applyAlignment="1">
      <alignment horizontal="left" wrapText="1"/>
    </xf>
    <xf numFmtId="164" fontId="9" fillId="0" borderId="21" xfId="0" applyNumberFormat="1" applyFont="1" applyBorder="1" applyAlignment="1">
      <alignment horizontal="left"/>
    </xf>
    <xf numFmtId="0" fontId="36" fillId="5" borderId="2" xfId="0" applyFont="1" applyFill="1" applyBorder="1" applyAlignment="1">
      <alignment horizontal="left" wrapText="1"/>
    </xf>
    <xf numFmtId="10" fontId="7" fillId="10" borderId="41" xfId="0" applyNumberFormat="1" applyFont="1" applyFill="1" applyBorder="1" applyAlignment="1">
      <alignment wrapText="1"/>
    </xf>
    <xf numFmtId="164" fontId="2" fillId="9" borderId="41" xfId="0" applyNumberFormat="1" applyFont="1" applyFill="1" applyBorder="1" applyAlignment="1">
      <alignment wrapText="1"/>
    </xf>
    <xf numFmtId="0" fontId="2" fillId="10" borderId="41" xfId="0" applyFont="1" applyFill="1" applyBorder="1" applyAlignment="1">
      <alignment horizontal="left" wrapText="1"/>
    </xf>
    <xf numFmtId="164" fontId="34" fillId="9" borderId="35" xfId="0" applyNumberFormat="1" applyFont="1" applyFill="1" applyBorder="1" applyAlignment="1">
      <alignment wrapText="1"/>
    </xf>
    <xf numFmtId="0" fontId="7" fillId="10" borderId="35" xfId="0" applyFont="1" applyFill="1" applyBorder="1" applyAlignment="1">
      <alignment horizontal="left" wrapText="1"/>
    </xf>
    <xf numFmtId="164" fontId="2" fillId="9" borderId="35" xfId="0" applyNumberFormat="1" applyFont="1" applyFill="1" applyBorder="1" applyAlignment="1">
      <alignment wrapText="1"/>
    </xf>
    <xf numFmtId="0" fontId="2" fillId="10" borderId="35" xfId="0" applyFont="1" applyFill="1" applyBorder="1" applyAlignment="1">
      <alignment horizontal="left" wrapText="1"/>
    </xf>
    <xf numFmtId="10" fontId="7" fillId="10" borderId="43" xfId="0" applyNumberFormat="1" applyFont="1" applyFill="1" applyBorder="1" applyAlignment="1">
      <alignment wrapText="1"/>
    </xf>
    <xf numFmtId="0" fontId="23" fillId="13" borderId="2" xfId="0" applyFont="1" applyFill="1" applyBorder="1" applyAlignment="1">
      <alignment horizontal="center" wrapText="1"/>
    </xf>
    <xf numFmtId="0" fontId="98" fillId="13" borderId="2" xfId="0" applyFont="1" applyFill="1" applyBorder="1" applyAlignment="1">
      <alignment horizontal="left" wrapText="1"/>
    </xf>
    <xf numFmtId="10" fontId="7" fillId="15" borderId="35" xfId="0" applyNumberFormat="1" applyFont="1" applyFill="1" applyBorder="1" applyAlignment="1">
      <alignment wrapText="1"/>
    </xf>
    <xf numFmtId="0" fontId="2" fillId="0" borderId="0" xfId="0" applyFont="1" applyAlignment="1">
      <alignment wrapText="1"/>
    </xf>
    <xf numFmtId="0" fontId="85" fillId="13" borderId="2" xfId="0" applyFont="1" applyFill="1" applyBorder="1" applyAlignment="1">
      <alignment horizontal="center" wrapText="1"/>
    </xf>
    <xf numFmtId="0" fontId="2" fillId="10" borderId="23" xfId="0" applyFont="1" applyFill="1" applyBorder="1" applyAlignment="1">
      <alignment horizontal="center" wrapText="1"/>
    </xf>
    <xf numFmtId="0" fontId="2" fillId="5" borderId="25" xfId="0" applyFont="1" applyFill="1" applyBorder="1" applyAlignment="1">
      <alignment horizontal="left" wrapText="1"/>
    </xf>
    <xf numFmtId="0" fontId="2" fillId="5" borderId="26" xfId="0" applyFont="1" applyFill="1" applyBorder="1" applyAlignment="1">
      <alignment horizontal="left" wrapText="1"/>
    </xf>
    <xf numFmtId="0" fontId="2" fillId="10" borderId="2" xfId="0" quotePrefix="1" applyFont="1" applyFill="1" applyBorder="1" applyAlignment="1">
      <alignment horizontal="left" wrapText="1"/>
    </xf>
    <xf numFmtId="0" fontId="46" fillId="0" borderId="21" xfId="0" applyFont="1" applyBorder="1" applyAlignment="1">
      <alignment horizontal="center"/>
    </xf>
    <xf numFmtId="0" fontId="46" fillId="0" borderId="24" xfId="0" applyFont="1" applyBorder="1" applyAlignment="1">
      <alignment horizontal="center"/>
    </xf>
    <xf numFmtId="0" fontId="99" fillId="17" borderId="21" xfId="0" applyFont="1" applyFill="1" applyBorder="1" applyAlignment="1">
      <alignment horizontal="center"/>
    </xf>
    <xf numFmtId="0" fontId="100" fillId="17" borderId="24" xfId="0" applyFont="1" applyFill="1" applyBorder="1" applyAlignment="1">
      <alignment horizontal="center"/>
    </xf>
    <xf numFmtId="0" fontId="101" fillId="0" borderId="2" xfId="0" applyFont="1" applyBorder="1" applyAlignment="1">
      <alignment horizontal="left"/>
    </xf>
    <xf numFmtId="0" fontId="2" fillId="5" borderId="20" xfId="0" applyFont="1" applyFill="1" applyBorder="1" applyAlignment="1">
      <alignment horizontal="left" wrapText="1"/>
    </xf>
    <xf numFmtId="0" fontId="2" fillId="5" borderId="35" xfId="0" applyFont="1" applyFill="1" applyBorder="1" applyAlignment="1">
      <alignment horizontal="left" wrapText="1"/>
    </xf>
    <xf numFmtId="0" fontId="98" fillId="13" borderId="38" xfId="0" applyFont="1" applyFill="1" applyBorder="1" applyAlignment="1">
      <alignment horizontal="left" wrapText="1"/>
    </xf>
    <xf numFmtId="0" fontId="98" fillId="13" borderId="26" xfId="0" applyFont="1" applyFill="1" applyBorder="1" applyAlignment="1">
      <alignment horizontal="left" wrapText="1"/>
    </xf>
    <xf numFmtId="0" fontId="2" fillId="17" borderId="23" xfId="0" applyFont="1" applyFill="1" applyBorder="1" applyAlignment="1">
      <alignment horizontal="left" wrapText="1"/>
    </xf>
    <xf numFmtId="10" fontId="7" fillId="17" borderId="2" xfId="0" applyNumberFormat="1" applyFont="1" applyFill="1" applyBorder="1" applyAlignment="1">
      <alignment wrapText="1"/>
    </xf>
    <xf numFmtId="164" fontId="2" fillId="9" borderId="23" xfId="0" applyNumberFormat="1" applyFont="1" applyFill="1" applyBorder="1" applyAlignment="1">
      <alignment wrapText="1"/>
    </xf>
    <xf numFmtId="0" fontId="2" fillId="10" borderId="23" xfId="0" applyFont="1" applyFill="1" applyBorder="1" applyAlignment="1">
      <alignment horizontal="left" wrapText="1"/>
    </xf>
    <xf numFmtId="0" fontId="7" fillId="15" borderId="23" xfId="0" applyFont="1" applyFill="1" applyBorder="1" applyAlignment="1">
      <alignment horizontal="left" wrapText="1"/>
    </xf>
    <xf numFmtId="49" fontId="2" fillId="0" borderId="0" xfId="0" applyNumberFormat="1" applyFont="1" applyAlignment="1">
      <alignment wrapText="1"/>
    </xf>
    <xf numFmtId="0" fontId="7" fillId="0" borderId="39" xfId="0" applyFont="1" applyBorder="1" applyAlignment="1">
      <alignment horizontal="right" wrapText="1"/>
    </xf>
    <xf numFmtId="0" fontId="7" fillId="0" borderId="39" xfId="0" applyFont="1" applyBorder="1" applyAlignment="1">
      <alignment horizontal="left" wrapText="1"/>
    </xf>
    <xf numFmtId="0" fontId="7" fillId="13" borderId="46" xfId="0" applyFont="1" applyFill="1" applyBorder="1" applyAlignment="1">
      <alignment horizontal="right" wrapText="1"/>
    </xf>
    <xf numFmtId="49" fontId="2" fillId="0" borderId="39" xfId="0" applyNumberFormat="1" applyFont="1" applyBorder="1" applyAlignment="1">
      <alignment horizontal="center" wrapText="1"/>
    </xf>
    <xf numFmtId="0" fontId="2" fillId="0" borderId="39" xfId="0" applyFont="1" applyBorder="1" applyAlignment="1">
      <alignment horizontal="left" wrapText="1"/>
    </xf>
    <xf numFmtId="0" fontId="2" fillId="0" borderId="27" xfId="0" applyFont="1" applyBorder="1" applyAlignment="1">
      <alignment horizontal="left" wrapText="1"/>
    </xf>
    <xf numFmtId="49" fontId="2" fillId="0" borderId="27" xfId="0" applyNumberFormat="1" applyFont="1" applyBorder="1" applyAlignment="1">
      <alignment horizontal="center" vertical="center" wrapText="1"/>
    </xf>
    <xf numFmtId="49" fontId="2" fillId="0" borderId="39" xfId="0" applyNumberFormat="1" applyFont="1" applyBorder="1" applyAlignment="1">
      <alignment horizontal="left" wrapText="1"/>
    </xf>
    <xf numFmtId="164" fontId="7" fillId="21" borderId="2" xfId="0" applyNumberFormat="1" applyFont="1" applyFill="1" applyBorder="1" applyAlignment="1">
      <alignment wrapText="1"/>
    </xf>
    <xf numFmtId="164" fontId="36" fillId="9" borderId="35" xfId="0" applyNumberFormat="1" applyFont="1" applyFill="1" applyBorder="1" applyAlignment="1">
      <alignment wrapText="1"/>
    </xf>
    <xf numFmtId="164" fontId="2" fillId="9" borderId="20" xfId="0" applyNumberFormat="1" applyFont="1" applyFill="1" applyBorder="1" applyAlignment="1">
      <alignment wrapText="1"/>
    </xf>
    <xf numFmtId="164" fontId="7" fillId="18" borderId="2" xfId="0" applyNumberFormat="1" applyFont="1" applyFill="1" applyBorder="1" applyAlignment="1">
      <alignment wrapText="1"/>
    </xf>
    <xf numFmtId="0" fontId="2" fillId="9" borderId="35" xfId="0" applyFont="1" applyFill="1" applyBorder="1" applyAlignment="1">
      <alignment wrapText="1"/>
    </xf>
    <xf numFmtId="164" fontId="2" fillId="10" borderId="2" xfId="0" applyNumberFormat="1" applyFont="1" applyFill="1" applyBorder="1" applyAlignment="1">
      <alignment horizontal="left" wrapText="1"/>
    </xf>
    <xf numFmtId="0" fontId="7" fillId="15" borderId="35" xfId="0" applyFont="1" applyFill="1" applyBorder="1" applyAlignment="1">
      <alignment horizontal="center" wrapText="1"/>
    </xf>
    <xf numFmtId="0" fontId="17" fillId="0" borderId="2" xfId="0" applyFont="1" applyBorder="1" applyAlignment="1">
      <alignment horizontal="center"/>
    </xf>
    <xf numFmtId="0" fontId="39" fillId="0" borderId="2" xfId="0" applyFont="1" applyBorder="1" applyAlignment="1">
      <alignment horizontal="center"/>
    </xf>
    <xf numFmtId="0" fontId="90" fillId="13" borderId="23" xfId="0" applyFont="1" applyFill="1" applyBorder="1" applyAlignment="1">
      <alignment wrapText="1"/>
    </xf>
    <xf numFmtId="164" fontId="2" fillId="16" borderId="20" xfId="0" applyNumberFormat="1" applyFont="1" applyFill="1" applyBorder="1" applyAlignment="1">
      <alignment wrapText="1"/>
    </xf>
    <xf numFmtId="0" fontId="18" fillId="17" borderId="2" xfId="0" applyFont="1" applyFill="1" applyBorder="1" applyAlignment="1">
      <alignment horizontal="left" wrapText="1"/>
    </xf>
    <xf numFmtId="164" fontId="17" fillId="18" borderId="2" xfId="0" applyNumberFormat="1" applyFont="1" applyFill="1" applyBorder="1" applyAlignment="1">
      <alignment horizontal="center"/>
    </xf>
    <xf numFmtId="164" fontId="2" fillId="16" borderId="25" xfId="0" applyNumberFormat="1" applyFont="1" applyFill="1" applyBorder="1" applyAlignment="1">
      <alignment wrapText="1"/>
    </xf>
    <xf numFmtId="49" fontId="17" fillId="17" borderId="23" xfId="0" applyNumberFormat="1" applyFont="1" applyFill="1" applyBorder="1" applyAlignment="1">
      <alignment horizontal="left"/>
    </xf>
    <xf numFmtId="0" fontId="16" fillId="17" borderId="2" xfId="0" applyFont="1" applyFill="1" applyBorder="1" applyAlignment="1">
      <alignment horizontal="left"/>
    </xf>
    <xf numFmtId="164" fontId="7" fillId="9" borderId="40" xfId="0" applyNumberFormat="1" applyFont="1" applyFill="1" applyBorder="1" applyAlignment="1">
      <alignment wrapText="1"/>
    </xf>
    <xf numFmtId="49" fontId="17" fillId="17" borderId="2" xfId="0" applyNumberFormat="1" applyFont="1" applyFill="1" applyBorder="1" applyAlignment="1">
      <alignment horizontal="left"/>
    </xf>
    <xf numFmtId="0" fontId="7" fillId="0" borderId="21" xfId="0" applyFont="1" applyBorder="1" applyAlignment="1">
      <alignment horizontal="left"/>
    </xf>
    <xf numFmtId="0" fontId="17" fillId="0" borderId="24" xfId="0" applyFont="1" applyBorder="1" applyAlignment="1">
      <alignment horizontal="left"/>
    </xf>
    <xf numFmtId="0" fontId="17" fillId="0" borderId="2" xfId="0" applyFont="1" applyBorder="1" applyAlignment="1">
      <alignment horizontal="left"/>
    </xf>
    <xf numFmtId="0" fontId="4" fillId="0" borderId="2" xfId="0" applyFont="1" applyBorder="1"/>
    <xf numFmtId="0" fontId="90" fillId="27" borderId="23" xfId="0" applyFont="1" applyFill="1" applyBorder="1" applyAlignment="1">
      <alignment wrapText="1"/>
    </xf>
    <xf numFmtId="0" fontId="39" fillId="0" borderId="21" xfId="0" applyFont="1" applyBorder="1" applyAlignment="1">
      <alignment horizontal="center"/>
    </xf>
    <xf numFmtId="0" fontId="17" fillId="17" borderId="2" xfId="0" applyFont="1" applyFill="1" applyBorder="1" applyAlignment="1">
      <alignment horizontal="center" vertical="center" wrapText="1"/>
    </xf>
    <xf numFmtId="49" fontId="7" fillId="10" borderId="23" xfId="0" applyNumberFormat="1" applyFont="1" applyFill="1" applyBorder="1" applyAlignment="1">
      <alignment horizontal="left" wrapText="1"/>
    </xf>
    <xf numFmtId="0" fontId="7" fillId="10" borderId="31" xfId="0" applyFont="1" applyFill="1" applyBorder="1" applyAlignment="1">
      <alignment horizontal="left"/>
    </xf>
    <xf numFmtId="0" fontId="7" fillId="0" borderId="39" xfId="0" applyFont="1" applyBorder="1" applyAlignment="1">
      <alignment horizontal="left"/>
    </xf>
    <xf numFmtId="0" fontId="1" fillId="0" borderId="39" xfId="0" applyFont="1" applyBorder="1"/>
    <xf numFmtId="49" fontId="7" fillId="0" borderId="21" xfId="0" applyNumberFormat="1" applyFont="1" applyBorder="1" applyAlignment="1">
      <alignment horizontal="left"/>
    </xf>
    <xf numFmtId="164" fontId="2" fillId="16" borderId="43" xfId="0" applyNumberFormat="1" applyFont="1" applyFill="1" applyBorder="1" applyAlignment="1">
      <alignment wrapText="1"/>
    </xf>
    <xf numFmtId="0" fontId="7" fillId="0" borderId="37" xfId="0" applyFont="1" applyBorder="1" applyAlignment="1">
      <alignment horizontal="left"/>
    </xf>
    <xf numFmtId="0" fontId="2" fillId="0" borderId="24" xfId="0" applyFont="1" applyBorder="1" applyAlignment="1">
      <alignment wrapText="1"/>
    </xf>
    <xf numFmtId="0" fontId="16" fillId="13" borderId="37" xfId="0" applyFont="1" applyFill="1" applyBorder="1"/>
    <xf numFmtId="49" fontId="7" fillId="0" borderId="21" xfId="0" applyNumberFormat="1" applyFont="1" applyBorder="1" applyAlignment="1">
      <alignment horizontal="left" wrapText="1"/>
    </xf>
    <xf numFmtId="10" fontId="2" fillId="0" borderId="2" xfId="0" applyNumberFormat="1" applyFont="1" applyBorder="1" applyAlignment="1">
      <alignment horizontal="left" wrapText="1"/>
    </xf>
    <xf numFmtId="49" fontId="18" fillId="0" borderId="2" xfId="0" applyNumberFormat="1" applyFont="1" applyBorder="1" applyAlignment="1">
      <alignment horizontal="left" wrapText="1"/>
    </xf>
    <xf numFmtId="164" fontId="9" fillId="17" borderId="21" xfId="0" applyNumberFormat="1" applyFont="1" applyFill="1" applyBorder="1" applyAlignment="1">
      <alignment horizontal="left"/>
    </xf>
    <xf numFmtId="0" fontId="11" fillId="0" borderId="24" xfId="0" applyFont="1" applyBorder="1" applyAlignment="1">
      <alignment horizontal="left"/>
    </xf>
    <xf numFmtId="0" fontId="11" fillId="0" borderId="22" xfId="0" applyFont="1" applyBorder="1" applyAlignment="1">
      <alignment horizontal="left"/>
    </xf>
    <xf numFmtId="0" fontId="17" fillId="0" borderId="2" xfId="0" applyFont="1" applyBorder="1" applyAlignment="1">
      <alignment horizontal="right" wrapText="1"/>
    </xf>
    <xf numFmtId="0" fontId="17" fillId="0" borderId="2" xfId="0" applyFont="1" applyBorder="1" applyAlignment="1">
      <alignment horizontal="left" wrapText="1"/>
    </xf>
    <xf numFmtId="49" fontId="17" fillId="0" borderId="2" xfId="0" applyNumberFormat="1" applyFont="1" applyBorder="1" applyAlignment="1">
      <alignment horizontal="center"/>
    </xf>
    <xf numFmtId="0" fontId="17" fillId="13" borderId="2" xfId="0" applyFont="1" applyFill="1" applyBorder="1" applyAlignment="1">
      <alignment horizontal="center"/>
    </xf>
    <xf numFmtId="0" fontId="17" fillId="17" borderId="2" xfId="0" applyFont="1" applyFill="1" applyBorder="1" applyAlignment="1">
      <alignment horizontal="center"/>
    </xf>
    <xf numFmtId="0" fontId="17" fillId="27" borderId="2" xfId="0" applyFont="1" applyFill="1" applyBorder="1" applyAlignment="1">
      <alignment horizontal="center"/>
    </xf>
    <xf numFmtId="0" fontId="17" fillId="27" borderId="35" xfId="0" applyFont="1" applyFill="1" applyBorder="1" applyAlignment="1">
      <alignment horizontal="center"/>
    </xf>
    <xf numFmtId="0" fontId="11" fillId="0" borderId="36" xfId="0" applyFont="1" applyBorder="1" applyAlignment="1">
      <alignment horizontal="center"/>
    </xf>
    <xf numFmtId="10" fontId="17" fillId="0" borderId="2" xfId="0" applyNumberFormat="1" applyFont="1" applyBorder="1" applyAlignment="1">
      <alignment horizontal="right"/>
    </xf>
    <xf numFmtId="0" fontId="11" fillId="0" borderId="2" xfId="0" applyFont="1" applyBorder="1" applyAlignment="1">
      <alignment horizontal="left" wrapText="1"/>
    </xf>
    <xf numFmtId="172" fontId="17" fillId="15" borderId="2" xfId="0" applyNumberFormat="1" applyFont="1" applyFill="1" applyBorder="1" applyAlignment="1">
      <alignment horizontal="left"/>
    </xf>
    <xf numFmtId="0" fontId="17" fillId="15" borderId="2" xfId="0" applyFont="1" applyFill="1" applyBorder="1" applyAlignment="1">
      <alignment horizontal="center"/>
    </xf>
    <xf numFmtId="167" fontId="17" fillId="15" borderId="2" xfId="0" applyNumberFormat="1" applyFont="1" applyFill="1" applyBorder="1" applyAlignment="1">
      <alignment horizontal="left"/>
    </xf>
    <xf numFmtId="0" fontId="17" fillId="15" borderId="2" xfId="0" applyFont="1" applyFill="1" applyBorder="1" applyAlignment="1">
      <alignment horizontal="right"/>
    </xf>
    <xf numFmtId="0" fontId="17" fillId="15" borderId="2" xfId="0" applyFont="1" applyFill="1" applyBorder="1"/>
    <xf numFmtId="0" fontId="17" fillId="15" borderId="35" xfId="0" applyFont="1" applyFill="1" applyBorder="1"/>
    <xf numFmtId="0" fontId="11" fillId="0" borderId="36" xfId="0" applyFont="1" applyBorder="1" applyAlignment="1">
      <alignment horizontal="left"/>
    </xf>
    <xf numFmtId="0" fontId="11" fillId="0" borderId="34" xfId="0" applyFont="1" applyBorder="1" applyAlignment="1">
      <alignment horizontal="left"/>
    </xf>
    <xf numFmtId="168" fontId="17" fillId="15" borderId="2" xfId="0" applyNumberFormat="1" applyFont="1" applyFill="1" applyBorder="1" applyAlignment="1">
      <alignment horizontal="center"/>
    </xf>
    <xf numFmtId="0" fontId="17" fillId="15" borderId="2" xfId="0" applyFont="1" applyFill="1" applyBorder="1" applyAlignment="1">
      <alignment horizontal="left"/>
    </xf>
    <xf numFmtId="0" fontId="17" fillId="15" borderId="35" xfId="0" applyFont="1" applyFill="1" applyBorder="1" applyAlignment="1">
      <alignment horizontal="left"/>
    </xf>
    <xf numFmtId="0" fontId="17" fillId="0" borderId="2" xfId="0" applyFont="1" applyBorder="1"/>
    <xf numFmtId="10" fontId="2" fillId="0" borderId="34" xfId="0" applyNumberFormat="1" applyFont="1" applyBorder="1" applyAlignment="1">
      <alignment horizontal="left" wrapText="1"/>
    </xf>
    <xf numFmtId="0" fontId="7" fillId="15" borderId="41" xfId="0" applyFont="1" applyFill="1" applyBorder="1" applyAlignment="1">
      <alignment horizontal="center" wrapText="1"/>
    </xf>
    <xf numFmtId="0" fontId="2" fillId="10" borderId="41" xfId="0" applyFont="1" applyFill="1" applyBorder="1" applyAlignment="1">
      <alignment horizontal="center" wrapText="1"/>
    </xf>
    <xf numFmtId="0" fontId="34" fillId="0" borderId="46" xfId="0" applyFont="1" applyBorder="1"/>
    <xf numFmtId="0" fontId="34" fillId="0" borderId="45" xfId="0" applyFont="1" applyBorder="1"/>
    <xf numFmtId="0" fontId="7" fillId="0" borderId="39" xfId="0" applyFont="1" applyBorder="1" applyAlignment="1">
      <alignment wrapText="1"/>
    </xf>
    <xf numFmtId="0" fontId="102" fillId="6" borderId="2" xfId="0" applyFont="1" applyFill="1" applyBorder="1" applyAlignment="1">
      <alignment horizontal="left" vertical="top" wrapText="1"/>
    </xf>
    <xf numFmtId="0" fontId="10" fillId="0" borderId="2" xfId="0" quotePrefix="1" applyFont="1" applyBorder="1" applyAlignment="1">
      <alignment horizontal="center" wrapText="1"/>
    </xf>
    <xf numFmtId="0" fontId="36" fillId="0" borderId="2" xfId="0" applyFont="1" applyBorder="1" applyAlignment="1">
      <alignment horizontal="center" wrapText="1"/>
    </xf>
    <xf numFmtId="0" fontId="7" fillId="0" borderId="37" xfId="0" applyFont="1" applyBorder="1" applyAlignment="1">
      <alignment horizontal="center" wrapText="1"/>
    </xf>
    <xf numFmtId="0" fontId="11" fillId="0" borderId="2" xfId="0" applyFont="1" applyBorder="1"/>
    <xf numFmtId="169" fontId="7" fillId="0" borderId="21" xfId="0" applyNumberFormat="1" applyFont="1" applyBorder="1" applyAlignment="1">
      <alignment horizontal="left" wrapText="1"/>
    </xf>
    <xf numFmtId="0" fontId="4" fillId="0" borderId="2" xfId="0" applyFont="1" applyBorder="1" applyAlignment="1">
      <alignment horizontal="left" wrapText="1"/>
    </xf>
    <xf numFmtId="0" fontId="8" fillId="0" borderId="2" xfId="0" applyFont="1" applyBorder="1" applyAlignment="1">
      <alignment horizontal="left" wrapText="1"/>
    </xf>
    <xf numFmtId="49" fontId="10" fillId="0" borderId="0" xfId="0" applyNumberFormat="1" applyFont="1"/>
    <xf numFmtId="0" fontId="34" fillId="0" borderId="2" xfId="0" applyFont="1" applyBorder="1"/>
    <xf numFmtId="170" fontId="10" fillId="17" borderId="2" xfId="0" applyNumberFormat="1" applyFont="1" applyFill="1" applyBorder="1" applyAlignment="1">
      <alignment horizontal="right" vertical="top" wrapText="1"/>
    </xf>
    <xf numFmtId="0" fontId="7" fillId="13" borderId="65" xfId="0" applyFont="1" applyFill="1" applyBorder="1" applyAlignment="1">
      <alignment horizontal="right"/>
    </xf>
    <xf numFmtId="0" fontId="34" fillId="0" borderId="46" xfId="0" applyFont="1" applyBorder="1" applyAlignment="1">
      <alignment horizontal="center" wrapText="1"/>
    </xf>
    <xf numFmtId="164" fontId="7" fillId="21" borderId="66" xfId="0" applyNumberFormat="1" applyFont="1" applyFill="1" applyBorder="1" applyAlignment="1">
      <alignment wrapText="1"/>
    </xf>
    <xf numFmtId="10" fontId="7" fillId="0" borderId="39" xfId="0" applyNumberFormat="1" applyFont="1" applyBorder="1" applyAlignment="1">
      <alignment horizontal="left" wrapText="1"/>
    </xf>
    <xf numFmtId="10" fontId="7" fillId="0" borderId="39" xfId="0" applyNumberFormat="1" applyFont="1" applyBorder="1" applyAlignment="1">
      <alignment wrapText="1"/>
    </xf>
    <xf numFmtId="164" fontId="2" fillId="16" borderId="41" xfId="0" applyNumberFormat="1" applyFont="1" applyFill="1" applyBorder="1" applyAlignment="1">
      <alignment wrapText="1"/>
    </xf>
    <xf numFmtId="10" fontId="2" fillId="0" borderId="39" xfId="0" applyNumberFormat="1" applyFont="1" applyBorder="1" applyAlignment="1">
      <alignment horizontal="left" wrapText="1"/>
    </xf>
    <xf numFmtId="164" fontId="2" fillId="10" borderId="41" xfId="0" applyNumberFormat="1" applyFont="1" applyFill="1" applyBorder="1" applyAlignment="1">
      <alignment horizontal="left" wrapText="1"/>
    </xf>
    <xf numFmtId="0" fontId="7" fillId="0" borderId="39" xfId="0" applyFont="1" applyBorder="1" applyAlignment="1">
      <alignment horizontal="center" wrapText="1"/>
    </xf>
    <xf numFmtId="0" fontId="34" fillId="0" borderId="36" xfId="0" applyFont="1" applyBorder="1"/>
    <xf numFmtId="0" fontId="34" fillId="0" borderId="37" xfId="0" applyFont="1" applyBorder="1"/>
    <xf numFmtId="0" fontId="10" fillId="0" borderId="2" xfId="0" applyFont="1" applyBorder="1" applyAlignment="1">
      <alignment horizontal="right" vertical="top" wrapText="1"/>
    </xf>
    <xf numFmtId="0" fontId="17" fillId="0" borderId="2" xfId="0" applyFont="1" applyBorder="1" applyAlignment="1">
      <alignment horizontal="left" vertical="top" wrapText="1"/>
    </xf>
    <xf numFmtId="166" fontId="10" fillId="0" borderId="2" xfId="0" applyNumberFormat="1" applyFont="1" applyBorder="1" applyAlignment="1">
      <alignment horizontal="right" vertical="top" wrapText="1"/>
    </xf>
    <xf numFmtId="0" fontId="7" fillId="13" borderId="0" xfId="0" applyFont="1" applyFill="1" applyAlignment="1">
      <alignment horizontal="right"/>
    </xf>
    <xf numFmtId="164" fontId="7" fillId="21" borderId="41" xfId="0" applyNumberFormat="1" applyFont="1" applyFill="1" applyBorder="1" applyAlignment="1">
      <alignment wrapText="1"/>
    </xf>
    <xf numFmtId="0" fontId="34" fillId="0" borderId="34" xfId="0" applyFont="1" applyBorder="1"/>
    <xf numFmtId="166" fontId="74" fillId="0" borderId="2" xfId="0" applyNumberFormat="1" applyFont="1" applyBorder="1" applyAlignment="1">
      <alignment horizontal="right" vertical="top" wrapText="1"/>
    </xf>
    <xf numFmtId="164" fontId="10" fillId="15" borderId="2" xfId="0" applyNumberFormat="1" applyFont="1" applyFill="1" applyBorder="1" applyAlignment="1">
      <alignment wrapText="1"/>
    </xf>
    <xf numFmtId="166" fontId="10" fillId="15" borderId="2" xfId="0" applyNumberFormat="1" applyFont="1" applyFill="1" applyBorder="1" applyAlignment="1">
      <alignment horizontal="center" wrapText="1"/>
    </xf>
    <xf numFmtId="0" fontId="7" fillId="0" borderId="2" xfId="0" quotePrefix="1" applyFont="1" applyBorder="1" applyAlignment="1">
      <alignment horizontal="right" wrapText="1"/>
    </xf>
    <xf numFmtId="0" fontId="7" fillId="0" borderId="2" xfId="0" quotePrefix="1" applyFont="1" applyBorder="1" applyAlignment="1">
      <alignment horizontal="center" wrapText="1"/>
    </xf>
    <xf numFmtId="0" fontId="22" fillId="0" borderId="24" xfId="0" applyFont="1" applyBorder="1" applyAlignment="1">
      <alignment horizontal="right"/>
    </xf>
    <xf numFmtId="0" fontId="74" fillId="0" borderId="2" xfId="0" applyFont="1" applyBorder="1" applyAlignment="1">
      <alignment horizontal="center" wrapText="1"/>
    </xf>
    <xf numFmtId="10" fontId="103" fillId="15" borderId="2" xfId="0" applyNumberFormat="1" applyFont="1" applyFill="1" applyBorder="1" applyAlignment="1">
      <alignment wrapText="1"/>
    </xf>
    <xf numFmtId="0" fontId="10" fillId="17" borderId="35" xfId="0" applyFont="1" applyFill="1" applyBorder="1" applyAlignment="1">
      <alignment horizontal="center"/>
    </xf>
    <xf numFmtId="0" fontId="11" fillId="0" borderId="46" xfId="0" applyFont="1" applyBorder="1" applyAlignment="1">
      <alignment horizontal="center"/>
    </xf>
    <xf numFmtId="0" fontId="90" fillId="6" borderId="20" xfId="0" applyFont="1" applyFill="1" applyBorder="1" applyAlignment="1">
      <alignment wrapText="1"/>
    </xf>
    <xf numFmtId="0" fontId="90" fillId="6" borderId="35" xfId="0" applyFont="1" applyFill="1" applyBorder="1" applyAlignment="1">
      <alignment wrapText="1"/>
    </xf>
    <xf numFmtId="0" fontId="1" fillId="0" borderId="2" xfId="0" applyFont="1" applyBorder="1" applyAlignment="1">
      <alignment horizontal="right" wrapText="1"/>
    </xf>
    <xf numFmtId="0" fontId="1" fillId="0" borderId="2" xfId="0" applyFont="1" applyBorder="1" applyAlignment="1">
      <alignment horizontal="left"/>
    </xf>
    <xf numFmtId="0" fontId="1" fillId="13" borderId="37" xfId="0" applyFont="1" applyFill="1" applyBorder="1"/>
    <xf numFmtId="0" fontId="1" fillId="0" borderId="34" xfId="0" applyFont="1" applyBorder="1" applyAlignment="1">
      <alignment horizontal="center"/>
    </xf>
    <xf numFmtId="0" fontId="5" fillId="0" borderId="36" xfId="0" applyFont="1" applyBorder="1"/>
    <xf numFmtId="0" fontId="2" fillId="0" borderId="36" xfId="0" applyFont="1" applyBorder="1" applyAlignment="1">
      <alignment horizontal="left"/>
    </xf>
    <xf numFmtId="0" fontId="2" fillId="0" borderId="34" xfId="0" applyFont="1" applyBorder="1" applyAlignment="1">
      <alignment horizontal="left"/>
    </xf>
    <xf numFmtId="0" fontId="11" fillId="0" borderId="2" xfId="0" applyFont="1" applyBorder="1" applyAlignment="1">
      <alignment horizontal="left"/>
    </xf>
    <xf numFmtId="0" fontId="11" fillId="13" borderId="37" xfId="0" applyFont="1" applyFill="1" applyBorder="1" applyAlignment="1">
      <alignment horizontal="right"/>
    </xf>
    <xf numFmtId="49" fontId="11" fillId="0" borderId="2" xfId="0" applyNumberFormat="1" applyFont="1" applyBorder="1" applyAlignment="1">
      <alignment horizontal="center"/>
    </xf>
    <xf numFmtId="0" fontId="11" fillId="27" borderId="2" xfId="0" applyFont="1" applyFill="1" applyBorder="1" applyAlignment="1">
      <alignment horizontal="center"/>
    </xf>
    <xf numFmtId="0" fontId="11" fillId="27" borderId="35" xfId="0" applyFont="1" applyFill="1" applyBorder="1" applyAlignment="1">
      <alignment horizontal="center"/>
    </xf>
    <xf numFmtId="0" fontId="7" fillId="4" borderId="2" xfId="0" applyFont="1" applyFill="1" applyBorder="1" applyAlignment="1">
      <alignment horizontal="center" vertical="center" wrapText="1"/>
    </xf>
    <xf numFmtId="0" fontId="34" fillId="0" borderId="2" xfId="0" applyFont="1" applyBorder="1" applyAlignment="1">
      <alignment horizontal="center" vertical="center" wrapText="1"/>
    </xf>
    <xf numFmtId="0" fontId="34" fillId="0" borderId="46" xfId="0" applyFont="1" applyBorder="1" applyAlignment="1">
      <alignment horizontal="center" vertical="center" wrapText="1"/>
    </xf>
    <xf numFmtId="0" fontId="2" fillId="6" borderId="66" xfId="0" applyFont="1" applyFill="1" applyBorder="1" applyAlignment="1">
      <alignment horizontal="center" wrapText="1"/>
    </xf>
    <xf numFmtId="171" fontId="7" fillId="21" borderId="41" xfId="0" applyNumberFormat="1" applyFont="1" applyFill="1" applyBorder="1" applyAlignment="1">
      <alignment wrapText="1"/>
    </xf>
    <xf numFmtId="0" fontId="7" fillId="0" borderId="45" xfId="0" applyFont="1" applyBorder="1" applyAlignment="1">
      <alignment horizontal="center" wrapText="1"/>
    </xf>
    <xf numFmtId="0" fontId="11" fillId="0" borderId="46" xfId="0" applyFont="1" applyBorder="1"/>
    <xf numFmtId="0" fontId="17" fillId="0" borderId="34" xfId="0" applyFont="1" applyBorder="1" applyAlignment="1">
      <alignment horizontal="center"/>
    </xf>
    <xf numFmtId="0" fontId="11" fillId="0" borderId="36" xfId="0" applyFont="1" applyBorder="1"/>
    <xf numFmtId="0" fontId="17" fillId="0" borderId="0" xfId="0" applyFont="1"/>
    <xf numFmtId="49" fontId="17" fillId="0" borderId="0" xfId="0" applyNumberFormat="1" applyFont="1"/>
    <xf numFmtId="0" fontId="34" fillId="0" borderId="24" xfId="0" applyFont="1" applyBorder="1"/>
    <xf numFmtId="0" fontId="34" fillId="0" borderId="22" xfId="0" applyFont="1" applyBorder="1"/>
    <xf numFmtId="0" fontId="104" fillId="0" borderId="2" xfId="0" applyFont="1" applyBorder="1" applyAlignment="1">
      <alignment horizontal="left" wrapText="1"/>
    </xf>
    <xf numFmtId="0" fontId="105" fillId="0" borderId="2" xfId="0" applyFont="1" applyBorder="1" applyAlignment="1">
      <alignment horizontal="left"/>
    </xf>
    <xf numFmtId="172" fontId="11" fillId="0" borderId="2" xfId="0" applyNumberFormat="1" applyFont="1" applyBorder="1" applyAlignment="1">
      <alignment horizontal="left" wrapText="1"/>
    </xf>
    <xf numFmtId="0" fontId="7" fillId="0" borderId="2" xfId="0" applyFont="1" applyBorder="1" applyAlignment="1">
      <alignment horizontal="center" vertical="center"/>
    </xf>
    <xf numFmtId="0" fontId="5" fillId="0" borderId="46" xfId="0" applyFont="1" applyBorder="1"/>
    <xf numFmtId="164" fontId="2" fillId="0" borderId="2" xfId="0" applyNumberFormat="1" applyFont="1" applyBorder="1" applyAlignment="1">
      <alignment horizontal="left" wrapText="1"/>
    </xf>
    <xf numFmtId="49" fontId="106" fillId="0" borderId="2" xfId="0" applyNumberFormat="1" applyFont="1" applyBorder="1" applyAlignment="1">
      <alignment horizontal="center"/>
    </xf>
    <xf numFmtId="0" fontId="90" fillId="6" borderId="25" xfId="0" applyFont="1" applyFill="1" applyBorder="1" applyAlignment="1">
      <alignment wrapText="1"/>
    </xf>
    <xf numFmtId="0" fontId="90" fillId="6" borderId="26" xfId="0" applyFont="1" applyFill="1" applyBorder="1" applyAlignment="1">
      <alignment wrapText="1"/>
    </xf>
    <xf numFmtId="0" fontId="11" fillId="13" borderId="2" xfId="0" applyFont="1" applyFill="1" applyBorder="1" applyAlignment="1">
      <alignment horizontal="center"/>
    </xf>
    <xf numFmtId="0" fontId="84" fillId="0" borderId="2" xfId="0" applyFont="1" applyBorder="1" applyAlignment="1">
      <alignment horizontal="right" wrapText="1"/>
    </xf>
    <xf numFmtId="0" fontId="84" fillId="0" borderId="2" xfId="0" applyFont="1" applyBorder="1" applyAlignment="1">
      <alignment horizontal="left"/>
    </xf>
    <xf numFmtId="0" fontId="84" fillId="13" borderId="37" xfId="0" applyFont="1" applyFill="1" applyBorder="1" applyAlignment="1">
      <alignment horizontal="right"/>
    </xf>
    <xf numFmtId="0" fontId="2" fillId="0" borderId="22" xfId="0" applyFont="1" applyBorder="1" applyAlignment="1">
      <alignment horizontal="left"/>
    </xf>
    <xf numFmtId="49" fontId="74" fillId="0" borderId="2" xfId="0" applyNumberFormat="1" applyFont="1" applyBorder="1" applyAlignment="1">
      <alignment horizontal="center"/>
    </xf>
    <xf numFmtId="0" fontId="2" fillId="0" borderId="2" xfId="0" applyFont="1" applyBorder="1" applyAlignment="1">
      <alignment horizontal="center" vertical="center" wrapText="1"/>
    </xf>
    <xf numFmtId="0" fontId="2" fillId="0" borderId="46" xfId="0" applyFont="1" applyBorder="1" applyAlignment="1">
      <alignment horizontal="center" vertical="center" wrapText="1"/>
    </xf>
    <xf numFmtId="0" fontId="107" fillId="0" borderId="21" xfId="0" applyFont="1" applyBorder="1" applyAlignment="1">
      <alignment wrapText="1"/>
    </xf>
    <xf numFmtId="0" fontId="103" fillId="15" borderId="2" xfId="0" applyFont="1" applyFill="1" applyBorder="1" applyAlignment="1">
      <alignment wrapText="1"/>
    </xf>
    <xf numFmtId="10" fontId="7" fillId="17" borderId="2" xfId="0" applyNumberFormat="1" applyFont="1" applyFill="1" applyBorder="1" applyAlignment="1">
      <alignment horizontal="left" wrapText="1"/>
    </xf>
    <xf numFmtId="164" fontId="10" fillId="15" borderId="41" xfId="0" applyNumberFormat="1" applyFont="1" applyFill="1" applyBorder="1" applyAlignment="1">
      <alignment wrapText="1"/>
    </xf>
    <xf numFmtId="166" fontId="10" fillId="15" borderId="41" xfId="0" applyNumberFormat="1" applyFont="1" applyFill="1" applyBorder="1" applyAlignment="1">
      <alignment horizontal="center" wrapText="1"/>
    </xf>
    <xf numFmtId="0" fontId="4" fillId="0" borderId="34" xfId="0" applyFont="1" applyBorder="1" applyAlignment="1">
      <alignment horizontal="left" wrapText="1"/>
    </xf>
    <xf numFmtId="0" fontId="7" fillId="0" borderId="65" xfId="0" applyFont="1" applyBorder="1" applyAlignment="1">
      <alignment horizontal="center" wrapText="1"/>
    </xf>
    <xf numFmtId="0" fontId="7" fillId="13" borderId="37" xfId="0" applyFont="1" applyFill="1" applyBorder="1"/>
    <xf numFmtId="10" fontId="7" fillId="0" borderId="24" xfId="0" applyNumberFormat="1" applyFont="1" applyBorder="1" applyAlignment="1">
      <alignment horizontal="left" wrapText="1"/>
    </xf>
    <xf numFmtId="0" fontId="2" fillId="0" borderId="27" xfId="0" applyFont="1" applyBorder="1" applyAlignment="1">
      <alignment wrapText="1"/>
    </xf>
    <xf numFmtId="0" fontId="2" fillId="0" borderId="46" xfId="0" applyFont="1" applyBorder="1" applyAlignment="1">
      <alignment wrapText="1"/>
    </xf>
    <xf numFmtId="0" fontId="2" fillId="0" borderId="39" xfId="0" applyFont="1" applyBorder="1" applyAlignment="1">
      <alignment wrapText="1"/>
    </xf>
    <xf numFmtId="0" fontId="7" fillId="0" borderId="46" xfId="0" applyFont="1" applyBorder="1" applyAlignment="1">
      <alignment horizontal="left" wrapText="1"/>
    </xf>
    <xf numFmtId="0" fontId="10" fillId="0" borderId="24" xfId="0" applyFont="1" applyBorder="1"/>
    <xf numFmtId="0" fontId="10" fillId="0" borderId="21" xfId="0" applyFont="1" applyBorder="1"/>
    <xf numFmtId="0" fontId="7" fillId="6" borderId="2" xfId="0" applyFont="1" applyFill="1" applyBorder="1" applyAlignment="1">
      <alignment horizontal="left" wrapText="1"/>
    </xf>
    <xf numFmtId="0" fontId="11" fillId="0" borderId="0" xfId="0" applyFont="1" applyAlignment="1">
      <alignment horizontal="left"/>
    </xf>
    <xf numFmtId="0" fontId="17" fillId="13" borderId="33" xfId="0" applyFont="1" applyFill="1" applyBorder="1" applyAlignment="1">
      <alignment horizontal="right"/>
    </xf>
    <xf numFmtId="0" fontId="7" fillId="0" borderId="2" xfId="0" applyFont="1" applyBorder="1" applyAlignment="1">
      <alignment horizontal="center"/>
    </xf>
    <xf numFmtId="0" fontId="2" fillId="0" borderId="2" xfId="0" applyFont="1" applyBorder="1" applyAlignment="1">
      <alignment horizontal="center"/>
    </xf>
    <xf numFmtId="0" fontId="2" fillId="0" borderId="46" xfId="0" applyFont="1" applyBorder="1" applyAlignment="1">
      <alignment horizontal="center"/>
    </xf>
    <xf numFmtId="10" fontId="17" fillId="0" borderId="24" xfId="0" applyNumberFormat="1" applyFont="1" applyBorder="1" applyAlignment="1">
      <alignment horizontal="right"/>
    </xf>
    <xf numFmtId="0" fontId="90" fillId="6" borderId="38" xfId="0" applyFont="1" applyFill="1" applyBorder="1" applyAlignment="1">
      <alignment wrapText="1"/>
    </xf>
    <xf numFmtId="0" fontId="2" fillId="4" borderId="66" xfId="0" applyFont="1" applyFill="1" applyBorder="1" applyAlignment="1">
      <alignment horizontal="center" wrapText="1"/>
    </xf>
    <xf numFmtId="0" fontId="7" fillId="15" borderId="41" xfId="0" applyFont="1" applyFill="1" applyBorder="1" applyAlignment="1">
      <alignment horizontal="left" wrapText="1"/>
    </xf>
    <xf numFmtId="10" fontId="7" fillId="15" borderId="41" xfId="0" applyNumberFormat="1" applyFont="1" applyFill="1" applyBorder="1" applyAlignment="1">
      <alignment wrapText="1"/>
    </xf>
    <xf numFmtId="166" fontId="7" fillId="15" borderId="41" xfId="0" applyNumberFormat="1" applyFont="1" applyFill="1" applyBorder="1" applyAlignment="1">
      <alignment horizontal="center" wrapText="1"/>
    </xf>
    <xf numFmtId="0" fontId="18" fillId="0" borderId="39" xfId="0" applyFont="1" applyBorder="1" applyAlignment="1">
      <alignment horizontal="left" wrapText="1"/>
    </xf>
    <xf numFmtId="164" fontId="7" fillId="9" borderId="41" xfId="0" applyNumberFormat="1" applyFont="1" applyFill="1" applyBorder="1" applyAlignment="1">
      <alignment wrapText="1"/>
    </xf>
    <xf numFmtId="0" fontId="11" fillId="0" borderId="33" xfId="0" applyFont="1" applyBorder="1" applyAlignment="1">
      <alignment horizontal="left"/>
    </xf>
    <xf numFmtId="164" fontId="2" fillId="16" borderId="67" xfId="0" applyNumberFormat="1" applyFont="1" applyFill="1" applyBorder="1" applyAlignment="1">
      <alignment wrapText="1"/>
    </xf>
    <xf numFmtId="0" fontId="17" fillId="0" borderId="48" xfId="0" applyFont="1" applyBorder="1" applyAlignment="1">
      <alignment horizontal="left"/>
    </xf>
    <xf numFmtId="0" fontId="17" fillId="0" borderId="39" xfId="0" applyFont="1" applyBorder="1" applyAlignment="1">
      <alignment horizontal="left"/>
    </xf>
    <xf numFmtId="10" fontId="17" fillId="0" borderId="48" xfId="0" applyNumberFormat="1" applyFont="1" applyBorder="1" applyAlignment="1">
      <alignment horizontal="right"/>
    </xf>
    <xf numFmtId="0" fontId="11" fillId="0" borderId="39" xfId="0" applyFont="1" applyBorder="1" applyAlignment="1">
      <alignment horizontal="left" wrapText="1"/>
    </xf>
    <xf numFmtId="164" fontId="2" fillId="9" borderId="40" xfId="0" applyNumberFormat="1" applyFont="1" applyFill="1" applyBorder="1" applyAlignment="1">
      <alignment wrapText="1"/>
    </xf>
    <xf numFmtId="0" fontId="4" fillId="0" borderId="45" xfId="0" applyFont="1" applyBorder="1" applyAlignment="1">
      <alignment horizontal="left" wrapText="1"/>
    </xf>
    <xf numFmtId="0" fontId="34" fillId="0" borderId="33" xfId="0" applyFont="1" applyBorder="1"/>
    <xf numFmtId="0" fontId="17" fillId="0" borderId="39" xfId="0" applyFont="1" applyBorder="1" applyAlignment="1">
      <alignment horizontal="left" vertical="top" wrapText="1"/>
    </xf>
    <xf numFmtId="166" fontId="10" fillId="0" borderId="39" xfId="0" applyNumberFormat="1" applyFont="1" applyBorder="1" applyAlignment="1">
      <alignment horizontal="right" vertical="top" wrapText="1"/>
    </xf>
    <xf numFmtId="10" fontId="7" fillId="0" borderId="46" xfId="0" applyNumberFormat="1" applyFont="1" applyBorder="1" applyAlignment="1">
      <alignment horizontal="left" wrapText="1"/>
    </xf>
    <xf numFmtId="0" fontId="4" fillId="0" borderId="39" xfId="0" applyFont="1" applyBorder="1" applyAlignment="1">
      <alignment horizontal="left" wrapText="1"/>
    </xf>
    <xf numFmtId="0" fontId="2" fillId="6" borderId="25" xfId="0" applyFont="1" applyFill="1" applyBorder="1" applyAlignment="1">
      <alignment wrapText="1"/>
    </xf>
    <xf numFmtId="0" fontId="2" fillId="6" borderId="38" xfId="0" applyFont="1" applyFill="1" applyBorder="1" applyAlignment="1">
      <alignment wrapText="1"/>
    </xf>
    <xf numFmtId="166" fontId="10" fillId="0" borderId="2" xfId="0" applyNumberFormat="1" applyFont="1" applyBorder="1" applyAlignment="1">
      <alignment horizontal="left" vertical="top" wrapText="1"/>
    </xf>
    <xf numFmtId="166" fontId="9" fillId="0" borderId="21" xfId="0" applyNumberFormat="1" applyFont="1" applyBorder="1" applyAlignment="1">
      <alignment horizontal="left" vertical="top"/>
    </xf>
    <xf numFmtId="49" fontId="17" fillId="0" borderId="2" xfId="0" applyNumberFormat="1" applyFont="1" applyBorder="1" applyAlignment="1">
      <alignment horizontal="left"/>
    </xf>
    <xf numFmtId="49" fontId="74" fillId="0" borderId="2" xfId="0" applyNumberFormat="1" applyFont="1" applyBorder="1" applyAlignment="1">
      <alignment horizontal="left"/>
    </xf>
    <xf numFmtId="0" fontId="11" fillId="0" borderId="48" xfId="0" applyFont="1" applyBorder="1" applyAlignment="1">
      <alignment horizontal="left"/>
    </xf>
    <xf numFmtId="0" fontId="17" fillId="13" borderId="0" xfId="0" applyFont="1" applyFill="1" applyAlignment="1">
      <alignment horizontal="right"/>
    </xf>
    <xf numFmtId="0" fontId="90" fillId="6" borderId="2" xfId="0" applyFont="1" applyFill="1" applyBorder="1" applyAlignment="1">
      <alignment wrapText="1"/>
    </xf>
    <xf numFmtId="0" fontId="11" fillId="0" borderId="0" xfId="0" applyFont="1" applyAlignment="1">
      <alignment horizontal="center" wrapText="1"/>
    </xf>
    <xf numFmtId="0" fontId="7" fillId="0" borderId="0" xfId="0" applyFont="1" applyAlignment="1">
      <alignment horizontal="right" wrapText="1"/>
    </xf>
    <xf numFmtId="49" fontId="7" fillId="0" borderId="0" xfId="0" applyNumberFormat="1" applyFont="1" applyAlignment="1">
      <alignment horizontal="center" wrapText="1"/>
    </xf>
    <xf numFmtId="49" fontId="7" fillId="0" borderId="0" xfId="0" applyNumberFormat="1" applyFont="1" applyAlignment="1">
      <alignment horizontal="center" vertical="center" wrapText="1"/>
    </xf>
    <xf numFmtId="49" fontId="7" fillId="0" borderId="0" xfId="0" applyNumberFormat="1" applyFont="1" applyAlignment="1">
      <alignment horizontal="left" wrapText="1"/>
    </xf>
    <xf numFmtId="0" fontId="7" fillId="0" borderId="0" xfId="0" applyFont="1" applyAlignment="1">
      <alignment horizontal="center" vertical="center" wrapText="1"/>
    </xf>
    <xf numFmtId="173" fontId="7" fillId="0" borderId="0" xfId="0" applyNumberFormat="1" applyFont="1" applyAlignment="1">
      <alignment wrapText="1"/>
    </xf>
    <xf numFmtId="0" fontId="10" fillId="0" borderId="0" xfId="0" applyFont="1" applyAlignment="1">
      <alignment vertical="top" wrapText="1"/>
    </xf>
    <xf numFmtId="0" fontId="28" fillId="0" borderId="0" xfId="0" applyFont="1" applyAlignment="1">
      <alignment vertical="top" wrapText="1"/>
    </xf>
    <xf numFmtId="166" fontId="28" fillId="0" borderId="0" xfId="0" applyNumberFormat="1" applyFont="1" applyAlignment="1">
      <alignment vertical="top" wrapText="1"/>
    </xf>
    <xf numFmtId="0" fontId="108" fillId="0" borderId="0" xfId="0" applyFont="1"/>
    <xf numFmtId="0" fontId="10" fillId="0" borderId="0" xfId="0" applyFont="1" applyAlignment="1">
      <alignment horizontal="right" vertical="top" wrapText="1"/>
    </xf>
    <xf numFmtId="166" fontId="10" fillId="0" borderId="0" xfId="0" applyNumberFormat="1" applyFont="1" applyAlignment="1">
      <alignment horizontal="right" vertical="top" wrapText="1"/>
    </xf>
    <xf numFmtId="166" fontId="10" fillId="0" borderId="0" xfId="0" applyNumberFormat="1" applyFont="1" applyAlignment="1">
      <alignment vertical="top" wrapText="1"/>
    </xf>
    <xf numFmtId="49" fontId="7" fillId="0" borderId="0" xfId="0" applyNumberFormat="1" applyFont="1" applyAlignment="1">
      <alignment horizontal="left" vertical="center" wrapText="1"/>
    </xf>
    <xf numFmtId="0" fontId="10" fillId="0" borderId="0" xfId="0" applyFont="1" applyAlignment="1">
      <alignment horizontal="right" wrapText="1"/>
    </xf>
    <xf numFmtId="0" fontId="10" fillId="0" borderId="0" xfId="0" applyFont="1" applyAlignment="1">
      <alignment horizontal="left" wrapText="1"/>
    </xf>
    <xf numFmtId="0" fontId="10" fillId="0" borderId="0" xfId="0" applyFont="1" applyAlignment="1">
      <alignment horizontal="left"/>
    </xf>
    <xf numFmtId="0" fontId="10" fillId="0" borderId="0" xfId="0" applyFont="1" applyAlignment="1">
      <alignment horizontal="center" vertical="center"/>
    </xf>
    <xf numFmtId="0" fontId="17" fillId="0" borderId="0" xfId="0" applyFont="1" applyAlignment="1">
      <alignment horizontal="left"/>
    </xf>
    <xf numFmtId="0" fontId="5" fillId="0" borderId="0" xfId="0" applyFont="1" applyAlignment="1">
      <alignment horizontal="left" wrapText="1"/>
    </xf>
    <xf numFmtId="0" fontId="19" fillId="0" borderId="0" xfId="0" applyFont="1" applyAlignment="1">
      <alignment vertical="top" wrapText="1"/>
    </xf>
    <xf numFmtId="0" fontId="109" fillId="36" borderId="44" xfId="0" applyFont="1" applyFill="1" applyBorder="1" applyAlignment="1">
      <alignment vertical="top" wrapText="1"/>
    </xf>
    <xf numFmtId="0" fontId="109" fillId="36" borderId="44" xfId="0" applyFont="1" applyFill="1" applyBorder="1" applyAlignment="1">
      <alignment horizontal="center" vertical="top" wrapText="1"/>
    </xf>
    <xf numFmtId="0" fontId="109" fillId="36" borderId="66" xfId="0" applyFont="1" applyFill="1" applyBorder="1" applyAlignment="1">
      <alignment vertical="top" wrapText="1"/>
    </xf>
    <xf numFmtId="0" fontId="110" fillId="0" borderId="2" xfId="0" applyFont="1" applyBorder="1" applyAlignment="1">
      <alignment vertical="top" wrapText="1"/>
    </xf>
    <xf numFmtId="0" fontId="19" fillId="37" borderId="2" xfId="0" applyFont="1" applyFill="1" applyBorder="1" applyAlignment="1">
      <alignment vertical="top" wrapText="1"/>
    </xf>
    <xf numFmtId="0" fontId="110" fillId="0" borderId="2" xfId="0" applyFont="1" applyBorder="1" applyAlignment="1">
      <alignment horizontal="left" vertical="top"/>
    </xf>
    <xf numFmtId="171" fontId="110" fillId="37" borderId="2" xfId="0" applyNumberFormat="1" applyFont="1" applyFill="1" applyBorder="1" applyAlignment="1">
      <alignment vertical="top" wrapText="1"/>
    </xf>
    <xf numFmtId="0" fontId="110" fillId="0" borderId="34" xfId="0" applyFont="1" applyBorder="1" applyAlignment="1">
      <alignment vertical="top" wrapText="1"/>
    </xf>
    <xf numFmtId="0" fontId="110" fillId="0" borderId="0" xfId="0" applyFont="1" applyAlignment="1">
      <alignment vertical="top" wrapText="1"/>
    </xf>
    <xf numFmtId="0" fontId="19" fillId="0" borderId="0" xfId="0" applyFont="1" applyAlignment="1">
      <alignment vertical="top"/>
    </xf>
    <xf numFmtId="0" fontId="110" fillId="0" borderId="0" xfId="0" applyFont="1" applyAlignment="1">
      <alignment horizontal="left" vertical="top" wrapText="1"/>
    </xf>
    <xf numFmtId="171" fontId="111" fillId="36" borderId="2" xfId="0" applyNumberFormat="1" applyFont="1" applyFill="1" applyBorder="1" applyAlignment="1">
      <alignment horizontal="center" vertical="top" wrapText="1"/>
    </xf>
    <xf numFmtId="171" fontId="110" fillId="0" borderId="65" xfId="0" applyNumberFormat="1" applyFont="1" applyBorder="1" applyAlignment="1">
      <alignment horizontal="left" vertical="top" wrapText="1"/>
    </xf>
    <xf numFmtId="171" fontId="111" fillId="0" borderId="65" xfId="0" applyNumberFormat="1" applyFont="1" applyBorder="1" applyAlignment="1">
      <alignment horizontal="center" vertical="top" wrapText="1"/>
    </xf>
    <xf numFmtId="171" fontId="111" fillId="6" borderId="2" xfId="0" applyNumberFormat="1" applyFont="1" applyFill="1" applyBorder="1" applyAlignment="1">
      <alignment horizontal="center" vertical="top" wrapText="1"/>
    </xf>
    <xf numFmtId="0" fontId="110" fillId="0" borderId="2" xfId="0" applyFont="1" applyBorder="1" applyAlignment="1">
      <alignment vertical="top"/>
    </xf>
    <xf numFmtId="0" fontId="19" fillId="0" borderId="37" xfId="0" applyFont="1" applyBorder="1" applyAlignment="1">
      <alignment vertical="top" wrapText="1"/>
    </xf>
    <xf numFmtId="0" fontId="110" fillId="0" borderId="34" xfId="0" applyFont="1" applyBorder="1" applyAlignment="1">
      <alignment horizontal="left" vertical="top" wrapText="1"/>
    </xf>
    <xf numFmtId="9" fontId="110" fillId="37" borderId="2" xfId="0" applyNumberFormat="1" applyFont="1" applyFill="1" applyBorder="1" applyAlignment="1">
      <alignment vertical="top" wrapText="1"/>
    </xf>
    <xf numFmtId="0" fontId="109" fillId="36" borderId="2" xfId="0" applyFont="1" applyFill="1" applyBorder="1" applyAlignment="1">
      <alignment horizontal="right" vertical="top" wrapText="1"/>
    </xf>
    <xf numFmtId="0" fontId="19" fillId="0" borderId="2" xfId="0" applyFont="1" applyBorder="1" applyAlignment="1">
      <alignment vertical="top" wrapText="1"/>
    </xf>
    <xf numFmtId="0" fontId="19" fillId="0" borderId="37" xfId="0" applyFont="1" applyBorder="1" applyAlignment="1">
      <alignment horizontal="left" vertical="top" wrapText="1"/>
    </xf>
    <xf numFmtId="0" fontId="19" fillId="37" borderId="2" xfId="0" applyFont="1" applyFill="1" applyBorder="1" applyAlignment="1">
      <alignment horizontal="right" vertical="top" wrapText="1"/>
    </xf>
    <xf numFmtId="0" fontId="19" fillId="37" borderId="2" xfId="0" quotePrefix="1" applyFont="1" applyFill="1" applyBorder="1" applyAlignment="1">
      <alignment horizontal="right" vertical="top" wrapText="1"/>
    </xf>
    <xf numFmtId="0" fontId="110" fillId="0" borderId="33" xfId="0" applyFont="1" applyBorder="1" applyAlignment="1">
      <alignment vertical="top" wrapText="1"/>
    </xf>
    <xf numFmtId="0" fontId="19" fillId="0" borderId="33" xfId="0" applyFont="1" applyBorder="1" applyAlignment="1">
      <alignment vertical="top" wrapText="1"/>
    </xf>
    <xf numFmtId="0" fontId="110" fillId="0" borderId="33" xfId="0" applyFont="1" applyBorder="1" applyAlignment="1">
      <alignment horizontal="left" vertical="top" wrapText="1"/>
    </xf>
    <xf numFmtId="171" fontId="110" fillId="0" borderId="33" xfId="0" applyNumberFormat="1" applyFont="1" applyBorder="1" applyAlignment="1">
      <alignment horizontal="left" vertical="top" wrapText="1"/>
    </xf>
    <xf numFmtId="171" fontId="111" fillId="0" borderId="33" xfId="0" applyNumberFormat="1" applyFont="1" applyBorder="1" applyAlignment="1">
      <alignment horizontal="center" vertical="top" wrapText="1"/>
    </xf>
    <xf numFmtId="0" fontId="109" fillId="0" borderId="0" xfId="0" applyFont="1" applyAlignment="1">
      <alignment vertical="top" wrapText="1"/>
    </xf>
    <xf numFmtId="0" fontId="19" fillId="0" borderId="68" xfId="0" applyFont="1" applyBorder="1" applyAlignment="1">
      <alignment vertical="top" wrapText="1"/>
    </xf>
    <xf numFmtId="0" fontId="109" fillId="36" borderId="2" xfId="0" applyFont="1" applyFill="1" applyBorder="1" applyAlignment="1">
      <alignment vertical="top" wrapText="1"/>
    </xf>
    <xf numFmtId="0" fontId="109" fillId="36" borderId="2" xfId="0" applyFont="1" applyFill="1" applyBorder="1" applyAlignment="1">
      <alignment horizontal="center" vertical="top" wrapText="1"/>
    </xf>
    <xf numFmtId="0" fontId="109" fillId="6" borderId="5" xfId="0" applyFont="1" applyFill="1" applyBorder="1" applyAlignment="1">
      <alignment vertical="top" wrapText="1"/>
    </xf>
    <xf numFmtId="0" fontId="109" fillId="6" borderId="25" xfId="0" applyFont="1" applyFill="1" applyBorder="1" applyAlignment="1">
      <alignment vertical="top" wrapText="1"/>
    </xf>
    <xf numFmtId="0" fontId="19" fillId="0" borderId="2" xfId="0" applyFont="1" applyBorder="1" applyAlignment="1">
      <alignment horizontal="center" vertical="top" wrapText="1"/>
    </xf>
    <xf numFmtId="171" fontId="110" fillId="37" borderId="2" xfId="0" applyNumberFormat="1" applyFont="1" applyFill="1" applyBorder="1" applyAlignment="1">
      <alignment horizontal="center" vertical="top" wrapText="1"/>
    </xf>
    <xf numFmtId="171" fontId="109" fillId="36" borderId="2" xfId="0" applyNumberFormat="1" applyFont="1" applyFill="1" applyBorder="1" applyAlignment="1">
      <alignment vertical="top" wrapText="1"/>
    </xf>
    <xf numFmtId="0" fontId="110" fillId="37" borderId="2" xfId="0" applyFont="1" applyFill="1" applyBorder="1" applyAlignment="1">
      <alignment horizontal="center" vertical="top" wrapText="1"/>
    </xf>
    <xf numFmtId="0" fontId="112" fillId="36" borderId="2" xfId="0" applyFont="1" applyFill="1" applyBorder="1" applyAlignment="1">
      <alignment vertical="top" wrapText="1"/>
    </xf>
    <xf numFmtId="171" fontId="19" fillId="37" borderId="2" xfId="0" applyNumberFormat="1" applyFont="1" applyFill="1" applyBorder="1" applyAlignment="1">
      <alignment vertical="top" wrapText="1"/>
    </xf>
    <xf numFmtId="171" fontId="111" fillId="36" borderId="2" xfId="0" applyNumberFormat="1" applyFont="1" applyFill="1" applyBorder="1" applyAlignment="1">
      <alignment vertical="top" wrapText="1"/>
    </xf>
    <xf numFmtId="171" fontId="19" fillId="37" borderId="2" xfId="0" applyNumberFormat="1" applyFont="1" applyFill="1" applyBorder="1" applyAlignment="1">
      <alignment horizontal="center" vertical="top" wrapText="1"/>
    </xf>
    <xf numFmtId="0" fontId="110" fillId="37" borderId="2" xfId="0" applyFont="1" applyFill="1" applyBorder="1" applyAlignment="1">
      <alignment vertical="top" wrapText="1"/>
    </xf>
    <xf numFmtId="171" fontId="112" fillId="36" borderId="2" xfId="0" applyNumberFormat="1" applyFont="1" applyFill="1" applyBorder="1" applyAlignment="1">
      <alignment vertical="top" wrapText="1"/>
    </xf>
    <xf numFmtId="171" fontId="112" fillId="37" borderId="2" xfId="0" applyNumberFormat="1" applyFont="1" applyFill="1" applyBorder="1" applyAlignment="1">
      <alignment vertical="top" wrapText="1"/>
    </xf>
    <xf numFmtId="0" fontId="53" fillId="0" borderId="69" xfId="0" applyFont="1" applyBorder="1" applyAlignment="1">
      <alignment horizontal="right" vertical="top" wrapText="1"/>
    </xf>
    <xf numFmtId="0" fontId="53" fillId="0" borderId="36" xfId="0" applyFont="1" applyBorder="1" applyAlignment="1">
      <alignment vertical="top" wrapText="1"/>
    </xf>
    <xf numFmtId="0" fontId="53" fillId="0" borderId="36" xfId="0" applyFont="1" applyBorder="1" applyAlignment="1">
      <alignment horizontal="center" vertical="top" wrapText="1"/>
    </xf>
    <xf numFmtId="0" fontId="53" fillId="37" borderId="36" xfId="0" applyFont="1" applyFill="1" applyBorder="1" applyAlignment="1">
      <alignment vertical="top" wrapText="1"/>
    </xf>
    <xf numFmtId="171" fontId="53" fillId="37" borderId="36" xfId="0" applyNumberFormat="1" applyFont="1" applyFill="1" applyBorder="1" applyAlignment="1">
      <alignment horizontal="center" vertical="top" wrapText="1"/>
    </xf>
    <xf numFmtId="171" fontId="51" fillId="36" borderId="36" xfId="0" applyNumberFormat="1" applyFont="1" applyFill="1" applyBorder="1" applyAlignment="1">
      <alignment horizontal="right" vertical="top" wrapText="1"/>
    </xf>
    <xf numFmtId="0" fontId="9" fillId="37" borderId="36" xfId="0" applyFont="1" applyFill="1" applyBorder="1" applyAlignment="1">
      <alignment vertical="top"/>
    </xf>
    <xf numFmtId="0" fontId="51" fillId="36" borderId="36" xfId="0" applyFont="1" applyFill="1" applyBorder="1" applyAlignment="1">
      <alignment horizontal="right" vertical="top" wrapText="1"/>
    </xf>
    <xf numFmtId="171" fontId="9" fillId="37" borderId="36" xfId="0" applyNumberFormat="1" applyFont="1" applyFill="1" applyBorder="1" applyAlignment="1">
      <alignment vertical="top"/>
    </xf>
    <xf numFmtId="0" fontId="9" fillId="0" borderId="0" xfId="0" applyFont="1" applyAlignment="1">
      <alignment vertical="top"/>
    </xf>
    <xf numFmtId="171" fontId="109" fillId="37" borderId="2" xfId="0" applyNumberFormat="1" applyFont="1" applyFill="1" applyBorder="1" applyAlignment="1">
      <alignment vertical="top" wrapText="1"/>
    </xf>
    <xf numFmtId="0" fontId="111" fillId="6" borderId="35" xfId="0" applyFont="1" applyFill="1" applyBorder="1" applyAlignment="1">
      <alignment vertical="top" wrapText="1"/>
    </xf>
    <xf numFmtId="0" fontId="111" fillId="6" borderId="43" xfId="0" applyFont="1" applyFill="1" applyBorder="1" applyAlignment="1">
      <alignment vertical="top" wrapText="1"/>
    </xf>
    <xf numFmtId="0" fontId="111" fillId="6" borderId="43" xfId="0" applyFont="1" applyFill="1" applyBorder="1" applyAlignment="1">
      <alignment horizontal="center" vertical="top" wrapText="1"/>
    </xf>
    <xf numFmtId="171" fontId="111" fillId="6" borderId="20" xfId="0" applyNumberFormat="1" applyFont="1" applyFill="1" applyBorder="1" applyAlignment="1">
      <alignment vertical="top" wrapText="1"/>
    </xf>
    <xf numFmtId="0" fontId="111" fillId="0" borderId="0" xfId="0" applyFont="1" applyAlignment="1">
      <alignment vertical="top" wrapText="1"/>
    </xf>
    <xf numFmtId="0" fontId="111" fillId="0" borderId="0" xfId="0" applyFont="1" applyAlignment="1">
      <alignment horizontal="center" vertical="top" wrapText="1"/>
    </xf>
    <xf numFmtId="171" fontId="111" fillId="0" borderId="0" xfId="0" applyNumberFormat="1" applyFont="1" applyAlignment="1">
      <alignment vertical="top" wrapText="1"/>
    </xf>
    <xf numFmtId="0" fontId="109" fillId="36" borderId="44" xfId="0" applyFont="1" applyFill="1" applyBorder="1" applyAlignment="1">
      <alignment vertical="top"/>
    </xf>
    <xf numFmtId="0" fontId="111" fillId="6" borderId="5" xfId="0" applyFont="1" applyFill="1" applyBorder="1" applyAlignment="1">
      <alignment vertical="top" wrapText="1"/>
    </xf>
    <xf numFmtId="0" fontId="109" fillId="6" borderId="5" xfId="0" applyFont="1" applyFill="1" applyBorder="1" applyAlignment="1">
      <alignment horizontal="left" vertical="top" wrapText="1"/>
    </xf>
    <xf numFmtId="0" fontId="19" fillId="0" borderId="69" xfId="0" applyFont="1" applyBorder="1" applyAlignment="1">
      <alignment horizontal="right" vertical="top" wrapText="1"/>
    </xf>
    <xf numFmtId="0" fontId="19" fillId="38" borderId="2" xfId="0" applyFont="1" applyFill="1" applyBorder="1" applyAlignment="1">
      <alignment horizontal="center" vertical="top" wrapText="1"/>
    </xf>
    <xf numFmtId="0" fontId="19" fillId="37" borderId="43" xfId="0" applyFont="1" applyFill="1" applyBorder="1" applyAlignment="1">
      <alignment vertical="top"/>
    </xf>
    <xf numFmtId="171" fontId="19" fillId="38" borderId="2" xfId="0" applyNumberFormat="1" applyFont="1" applyFill="1" applyBorder="1" applyAlignment="1">
      <alignment vertical="top" wrapText="1"/>
    </xf>
    <xf numFmtId="0" fontId="113" fillId="0" borderId="0" xfId="0" applyFont="1" applyAlignment="1">
      <alignment vertical="top" wrapText="1"/>
    </xf>
    <xf numFmtId="0" fontId="1" fillId="0" borderId="0" xfId="0" applyFont="1" applyAlignment="1">
      <alignment vertical="top"/>
    </xf>
    <xf numFmtId="0" fontId="110" fillId="0" borderId="37" xfId="0" applyFont="1" applyBorder="1" applyAlignment="1">
      <alignment vertical="top" wrapText="1"/>
    </xf>
    <xf numFmtId="0" fontId="110" fillId="0" borderId="65" xfId="0" applyFont="1" applyBorder="1" applyAlignment="1">
      <alignment vertical="top" wrapText="1"/>
    </xf>
    <xf numFmtId="0" fontId="19" fillId="0" borderId="65" xfId="0" applyFont="1" applyBorder="1" applyAlignment="1">
      <alignment vertical="top" wrapText="1"/>
    </xf>
    <xf numFmtId="0" fontId="19" fillId="0" borderId="65" xfId="0" applyFont="1" applyBorder="1" applyAlignment="1">
      <alignment horizontal="center" vertical="top" wrapText="1"/>
    </xf>
    <xf numFmtId="171" fontId="19" fillId="0" borderId="65" xfId="0" applyNumberFormat="1" applyFont="1" applyBorder="1" applyAlignment="1">
      <alignment vertical="top" wrapText="1"/>
    </xf>
    <xf numFmtId="0" fontId="111" fillId="6" borderId="2" xfId="0" applyFont="1" applyFill="1" applyBorder="1" applyAlignment="1">
      <alignment horizontal="center" vertical="top" wrapText="1"/>
    </xf>
    <xf numFmtId="0" fontId="114" fillId="6" borderId="2" xfId="0" applyFont="1" applyFill="1" applyBorder="1" applyAlignment="1">
      <alignment horizontal="center" vertical="top" wrapText="1"/>
    </xf>
    <xf numFmtId="174" fontId="111" fillId="6" borderId="2" xfId="0" applyNumberFormat="1" applyFont="1" applyFill="1" applyBorder="1" applyAlignment="1">
      <alignment horizontal="center" vertical="top" wrapText="1"/>
    </xf>
    <xf numFmtId="0" fontId="19" fillId="0" borderId="36" xfId="0" applyFont="1" applyBorder="1" applyAlignment="1">
      <alignment horizontal="center" vertical="top" wrapText="1"/>
    </xf>
    <xf numFmtId="0" fontId="19" fillId="38" borderId="20" xfId="0" applyFont="1" applyFill="1" applyBorder="1" applyAlignment="1">
      <alignment horizontal="center" vertical="top" wrapText="1"/>
    </xf>
    <xf numFmtId="0" fontId="1" fillId="37" borderId="20" xfId="0" applyFont="1" applyFill="1" applyBorder="1" applyAlignment="1">
      <alignment vertical="top"/>
    </xf>
    <xf numFmtId="0" fontId="1" fillId="37" borderId="20" xfId="0" applyFont="1" applyFill="1" applyBorder="1" applyAlignment="1">
      <alignment horizontal="center" vertical="top"/>
    </xf>
    <xf numFmtId="0" fontId="19" fillId="37" borderId="20" xfId="0" applyFont="1" applyFill="1" applyBorder="1" applyAlignment="1">
      <alignment vertical="top"/>
    </xf>
    <xf numFmtId="171" fontId="19" fillId="37" borderId="20" xfId="0" applyNumberFormat="1" applyFont="1" applyFill="1" applyBorder="1" applyAlignment="1">
      <alignment horizontal="right" vertical="top" wrapText="1"/>
    </xf>
    <xf numFmtId="171" fontId="19" fillId="38" borderId="2" xfId="0" applyNumberFormat="1" applyFont="1" applyFill="1" applyBorder="1" applyAlignment="1">
      <alignment horizontal="right" vertical="top" wrapText="1"/>
    </xf>
    <xf numFmtId="0" fontId="19" fillId="0" borderId="24" xfId="0" applyFont="1" applyBorder="1" applyAlignment="1">
      <alignment horizontal="center" vertical="top" wrapText="1"/>
    </xf>
    <xf numFmtId="0" fontId="1" fillId="37" borderId="25" xfId="0" applyFont="1" applyFill="1" applyBorder="1" applyAlignment="1">
      <alignment vertical="top"/>
    </xf>
    <xf numFmtId="0" fontId="10" fillId="37" borderId="25" xfId="0" applyFont="1" applyFill="1" applyBorder="1" applyAlignment="1">
      <alignment horizontal="center" vertical="top"/>
    </xf>
    <xf numFmtId="171" fontId="19" fillId="37" borderId="25" xfId="0" applyNumberFormat="1" applyFont="1" applyFill="1" applyBorder="1" applyAlignment="1">
      <alignment horizontal="right" vertical="top" wrapText="1"/>
    </xf>
    <xf numFmtId="0" fontId="1" fillId="37" borderId="25" xfId="0" applyFont="1" applyFill="1" applyBorder="1" applyAlignment="1">
      <alignment horizontal="center" vertical="top"/>
    </xf>
    <xf numFmtId="0" fontId="10" fillId="0" borderId="0" xfId="0" applyFont="1" applyAlignment="1">
      <alignment vertical="top"/>
    </xf>
    <xf numFmtId="0" fontId="115" fillId="0" borderId="2" xfId="0" applyFont="1" applyBorder="1" applyAlignment="1">
      <alignment vertical="top" wrapText="1"/>
    </xf>
    <xf numFmtId="0" fontId="115" fillId="0" borderId="24" xfId="0" applyFont="1" applyBorder="1" applyAlignment="1">
      <alignment horizontal="center" vertical="top" wrapText="1"/>
    </xf>
    <xf numFmtId="0" fontId="115" fillId="38" borderId="20" xfId="0" applyFont="1" applyFill="1" applyBorder="1" applyAlignment="1">
      <alignment horizontal="center" vertical="top" wrapText="1"/>
    </xf>
    <xf numFmtId="0" fontId="10" fillId="37" borderId="25" xfId="0" applyFont="1" applyFill="1" applyBorder="1" applyAlignment="1">
      <alignment vertical="top"/>
    </xf>
    <xf numFmtId="171" fontId="115" fillId="37" borderId="2" xfId="0" applyNumberFormat="1" applyFont="1" applyFill="1" applyBorder="1" applyAlignment="1">
      <alignment horizontal="center" vertical="top" wrapText="1"/>
    </xf>
    <xf numFmtId="0" fontId="115" fillId="37" borderId="2" xfId="0" applyFont="1" applyFill="1" applyBorder="1" applyAlignment="1">
      <alignment vertical="top" wrapText="1"/>
    </xf>
    <xf numFmtId="171" fontId="115" fillId="37" borderId="25" xfId="0" applyNumberFormat="1" applyFont="1" applyFill="1" applyBorder="1" applyAlignment="1">
      <alignment horizontal="right" vertical="top" wrapText="1"/>
    </xf>
    <xf numFmtId="167" fontId="10" fillId="37" borderId="25" xfId="0" applyNumberFormat="1" applyFont="1" applyFill="1" applyBorder="1" applyAlignment="1">
      <alignment vertical="top"/>
    </xf>
    <xf numFmtId="0" fontId="115" fillId="37" borderId="2" xfId="0" applyFont="1" applyFill="1" applyBorder="1" applyAlignment="1">
      <alignment horizontal="center" vertical="top" wrapText="1"/>
    </xf>
    <xf numFmtId="0" fontId="110" fillId="0" borderId="0" xfId="0" applyFont="1" applyAlignment="1">
      <alignment vertical="top"/>
    </xf>
    <xf numFmtId="171" fontId="115" fillId="37" borderId="25" xfId="0" applyNumberFormat="1" applyFont="1" applyFill="1" applyBorder="1" applyAlignment="1">
      <alignment vertical="top" wrapText="1"/>
    </xf>
    <xf numFmtId="0" fontId="19" fillId="37" borderId="20" xfId="0" applyFont="1" applyFill="1" applyBorder="1" applyAlignment="1">
      <alignment vertical="top" wrapText="1"/>
    </xf>
    <xf numFmtId="0" fontId="115" fillId="37" borderId="20" xfId="0" applyFont="1" applyFill="1" applyBorder="1" applyAlignment="1">
      <alignment horizontal="left" vertical="top" wrapText="1"/>
    </xf>
    <xf numFmtId="0" fontId="19" fillId="37" borderId="2" xfId="0" applyFont="1" applyFill="1" applyBorder="1" applyAlignment="1">
      <alignment horizontal="center" vertical="top" wrapText="1"/>
    </xf>
    <xf numFmtId="4" fontId="19" fillId="37" borderId="2" xfId="0" applyNumberFormat="1" applyFont="1" applyFill="1" applyBorder="1" applyAlignment="1">
      <alignment vertical="top" wrapText="1"/>
    </xf>
    <xf numFmtId="0" fontId="49" fillId="10" borderId="0" xfId="0" applyFont="1" applyFill="1"/>
    <xf numFmtId="175" fontId="49" fillId="10" borderId="0" xfId="0" applyNumberFormat="1" applyFont="1" applyFill="1" applyAlignment="1">
      <alignment horizontal="right"/>
    </xf>
    <xf numFmtId="171" fontId="19" fillId="37" borderId="2" xfId="0" applyNumberFormat="1" applyFont="1" applyFill="1" applyBorder="1" applyAlignment="1">
      <alignment horizontal="center" wrapText="1"/>
    </xf>
    <xf numFmtId="0" fontId="19" fillId="37" borderId="2" xfId="0" applyFont="1" applyFill="1" applyBorder="1" applyAlignment="1">
      <alignment horizontal="left" vertical="top" wrapText="1"/>
    </xf>
    <xf numFmtId="0" fontId="19" fillId="0" borderId="36" xfId="0" applyFont="1" applyBorder="1" applyAlignment="1">
      <alignment vertical="top" wrapText="1"/>
    </xf>
    <xf numFmtId="171" fontId="19" fillId="37" borderId="20" xfId="0" applyNumberFormat="1" applyFont="1" applyFill="1" applyBorder="1" applyAlignment="1">
      <alignment horizontal="center" vertical="top" wrapText="1"/>
    </xf>
    <xf numFmtId="0" fontId="19" fillId="37" borderId="20" xfId="0" applyFont="1" applyFill="1" applyBorder="1" applyAlignment="1">
      <alignment horizontal="left" vertical="top" wrapText="1"/>
    </xf>
    <xf numFmtId="4" fontId="1" fillId="37" borderId="20" xfId="0" applyNumberFormat="1" applyFont="1" applyFill="1" applyBorder="1" applyAlignment="1">
      <alignment vertical="top"/>
    </xf>
    <xf numFmtId="171" fontId="115" fillId="37" borderId="2" xfId="0" applyNumberFormat="1" applyFont="1" applyFill="1" applyBorder="1" applyAlignment="1">
      <alignment horizontal="center" vertical="top"/>
    </xf>
    <xf numFmtId="0" fontId="115" fillId="37" borderId="20" xfId="0" applyFont="1" applyFill="1" applyBorder="1" applyAlignment="1">
      <alignment horizontal="left" vertical="top"/>
    </xf>
    <xf numFmtId="0" fontId="116" fillId="37" borderId="20" xfId="0" applyFont="1" applyFill="1" applyBorder="1" applyAlignment="1">
      <alignment horizontal="left" vertical="top" wrapText="1"/>
    </xf>
    <xf numFmtId="0" fontId="117" fillId="37" borderId="20" xfId="0" applyFont="1" applyFill="1" applyBorder="1" applyAlignment="1">
      <alignment horizontal="left" vertical="top"/>
    </xf>
    <xf numFmtId="0" fontId="19" fillId="37" borderId="35" xfId="0" applyFont="1" applyFill="1" applyBorder="1" applyAlignment="1">
      <alignment vertical="top" wrapText="1"/>
    </xf>
    <xf numFmtId="167" fontId="19" fillId="37" borderId="35" xfId="0" applyNumberFormat="1" applyFont="1" applyFill="1" applyBorder="1" applyAlignment="1">
      <alignment vertical="top" wrapText="1"/>
    </xf>
    <xf numFmtId="171" fontId="115" fillId="38" borderId="2" xfId="0" applyNumberFormat="1" applyFont="1" applyFill="1" applyBorder="1" applyAlignment="1">
      <alignment horizontal="right" vertical="top" wrapText="1"/>
    </xf>
    <xf numFmtId="0" fontId="53" fillId="38" borderId="36" xfId="0" applyFont="1" applyFill="1" applyBorder="1" applyAlignment="1">
      <alignment horizontal="center" vertical="top" wrapText="1"/>
    </xf>
    <xf numFmtId="0" fontId="53" fillId="37" borderId="36" xfId="0" applyFont="1" applyFill="1" applyBorder="1" applyAlignment="1">
      <alignment horizontal="right" vertical="top"/>
    </xf>
    <xf numFmtId="171" fontId="53" fillId="37" borderId="36" xfId="0" applyNumberFormat="1" applyFont="1" applyFill="1" applyBorder="1" applyAlignment="1">
      <alignment horizontal="right" vertical="top" wrapText="1"/>
    </xf>
    <xf numFmtId="171" fontId="53" fillId="38" borderId="36" xfId="0" applyNumberFormat="1" applyFont="1" applyFill="1" applyBorder="1" applyAlignment="1">
      <alignment horizontal="right" vertical="top" wrapText="1"/>
    </xf>
    <xf numFmtId="0" fontId="19" fillId="10" borderId="5" xfId="0" applyFont="1" applyFill="1" applyBorder="1" applyAlignment="1">
      <alignment vertical="top" wrapText="1"/>
    </xf>
    <xf numFmtId="0" fontId="1" fillId="10" borderId="5" xfId="0" applyFont="1" applyFill="1" applyBorder="1" applyAlignment="1">
      <alignment vertical="top"/>
    </xf>
    <xf numFmtId="171" fontId="110" fillId="38" borderId="2" xfId="0" applyNumberFormat="1" applyFont="1" applyFill="1" applyBorder="1" applyAlignment="1">
      <alignment horizontal="right" vertical="top" wrapText="1"/>
    </xf>
    <xf numFmtId="0" fontId="110" fillId="10" borderId="5" xfId="0" applyFont="1" applyFill="1" applyBorder="1" applyAlignment="1">
      <alignment vertical="top"/>
    </xf>
    <xf numFmtId="0" fontId="1" fillId="37" borderId="20" xfId="0" applyFont="1" applyFill="1" applyBorder="1" applyAlignment="1">
      <alignment vertical="top" wrapText="1"/>
    </xf>
    <xf numFmtId="4" fontId="111" fillId="6" borderId="43" xfId="0" applyNumberFormat="1" applyFont="1" applyFill="1" applyBorder="1" applyAlignment="1">
      <alignment vertical="top" wrapText="1"/>
    </xf>
    <xf numFmtId="0" fontId="109" fillId="0" borderId="0" xfId="0" applyFont="1" applyAlignment="1">
      <alignment horizontal="center" vertical="top" wrapText="1"/>
    </xf>
    <xf numFmtId="0" fontId="109" fillId="0" borderId="48" xfId="0" applyFont="1" applyBorder="1" applyAlignment="1">
      <alignment vertical="top" wrapText="1"/>
    </xf>
    <xf numFmtId="0" fontId="19" fillId="37" borderId="35" xfId="0" applyFont="1" applyFill="1" applyBorder="1" applyAlignment="1">
      <alignment vertical="top"/>
    </xf>
    <xf numFmtId="171" fontId="109" fillId="37" borderId="43" xfId="0" applyNumberFormat="1" applyFont="1" applyFill="1" applyBorder="1" applyAlignment="1">
      <alignment vertical="top"/>
    </xf>
    <xf numFmtId="171" fontId="109" fillId="37" borderId="20" xfId="0" applyNumberFormat="1" applyFont="1" applyFill="1" applyBorder="1" applyAlignment="1">
      <alignment vertical="top"/>
    </xf>
    <xf numFmtId="171" fontId="19" fillId="37" borderId="43" xfId="0" applyNumberFormat="1" applyFont="1" applyFill="1" applyBorder="1" applyAlignment="1">
      <alignment vertical="top"/>
    </xf>
    <xf numFmtId="0" fontId="118" fillId="0" borderId="0" xfId="0" applyFont="1" applyAlignment="1">
      <alignment vertical="top" wrapText="1"/>
    </xf>
    <xf numFmtId="171" fontId="109" fillId="0" borderId="0" xfId="0" applyNumberFormat="1" applyFont="1" applyAlignment="1">
      <alignment vertical="top" wrapText="1"/>
    </xf>
    <xf numFmtId="0" fontId="109" fillId="36" borderId="35" xfId="0" applyFont="1" applyFill="1" applyBorder="1" applyAlignment="1">
      <alignment vertical="top"/>
    </xf>
    <xf numFmtId="0" fontId="109" fillId="36" borderId="43" xfId="0" applyFont="1" applyFill="1" applyBorder="1" applyAlignment="1">
      <alignment vertical="top" wrapText="1"/>
    </xf>
    <xf numFmtId="0" fontId="109" fillId="36" borderId="43" xfId="0" applyFont="1" applyFill="1" applyBorder="1" applyAlignment="1">
      <alignment horizontal="center" vertical="top" wrapText="1"/>
    </xf>
    <xf numFmtId="0" fontId="109" fillId="36" borderId="20" xfId="0" applyFont="1" applyFill="1" applyBorder="1" applyAlignment="1">
      <alignment vertical="top" wrapText="1"/>
    </xf>
    <xf numFmtId="0" fontId="109" fillId="6" borderId="5" xfId="0" applyFont="1" applyFill="1" applyBorder="1" applyAlignment="1">
      <alignment vertical="top"/>
    </xf>
    <xf numFmtId="171" fontId="109" fillId="36" borderId="35" xfId="0" applyNumberFormat="1" applyFont="1" applyFill="1" applyBorder="1" applyAlignment="1">
      <alignment vertical="top" wrapText="1"/>
    </xf>
    <xf numFmtId="0" fontId="109" fillId="36" borderId="43" xfId="0" applyFont="1" applyFill="1" applyBorder="1" applyAlignment="1">
      <alignment vertical="top"/>
    </xf>
    <xf numFmtId="0" fontId="109" fillId="36" borderId="20" xfId="0" applyFont="1" applyFill="1" applyBorder="1" applyAlignment="1">
      <alignment vertical="top"/>
    </xf>
    <xf numFmtId="0" fontId="109" fillId="36" borderId="2" xfId="0" applyFont="1" applyFill="1" applyBorder="1" applyAlignment="1">
      <alignment horizontal="right" vertical="top"/>
    </xf>
    <xf numFmtId="171" fontId="109" fillId="36" borderId="23" xfId="0" applyNumberFormat="1" applyFont="1" applyFill="1" applyBorder="1" applyAlignment="1">
      <alignment vertical="top" wrapText="1"/>
    </xf>
    <xf numFmtId="0" fontId="109" fillId="36" borderId="35" xfId="0" applyFont="1" applyFill="1" applyBorder="1" applyAlignment="1">
      <alignment vertical="top" wrapText="1"/>
    </xf>
    <xf numFmtId="0" fontId="111" fillId="36" borderId="43" xfId="0" applyFont="1" applyFill="1" applyBorder="1" applyAlignment="1">
      <alignment vertical="top"/>
    </xf>
    <xf numFmtId="0" fontId="109" fillId="36" borderId="20" xfId="0" applyFont="1" applyFill="1" applyBorder="1" applyAlignment="1">
      <alignment horizontal="left" vertical="top"/>
    </xf>
    <xf numFmtId="0" fontId="19" fillId="0" borderId="0" xfId="0" applyFont="1" applyAlignment="1">
      <alignment horizontal="left" vertical="top" wrapText="1"/>
    </xf>
    <xf numFmtId="0" fontId="111" fillId="6" borderId="20" xfId="0" applyFont="1" applyFill="1" applyBorder="1" applyAlignment="1">
      <alignment vertical="top" wrapText="1"/>
    </xf>
    <xf numFmtId="171" fontId="110" fillId="0" borderId="2" xfId="0" applyNumberFormat="1" applyFont="1" applyBorder="1" applyAlignment="1">
      <alignment vertical="top" wrapText="1"/>
    </xf>
    <xf numFmtId="171" fontId="110" fillId="0" borderId="0" xfId="0" applyNumberFormat="1" applyFont="1" applyAlignment="1">
      <alignment horizontal="left" vertical="top" wrapText="1"/>
    </xf>
    <xf numFmtId="171" fontId="111" fillId="36" borderId="2" xfId="0" applyNumberFormat="1" applyFont="1" applyFill="1" applyBorder="1" applyAlignment="1">
      <alignment horizontal="right" vertical="top" wrapText="1"/>
    </xf>
    <xf numFmtId="9" fontId="111" fillId="36" borderId="2" xfId="0" applyNumberFormat="1" applyFont="1" applyFill="1" applyBorder="1" applyAlignment="1">
      <alignment vertical="top" wrapText="1"/>
    </xf>
    <xf numFmtId="9" fontId="110" fillId="0" borderId="0" xfId="0" applyNumberFormat="1" applyFont="1" applyAlignment="1">
      <alignment horizontal="right" vertical="top" wrapText="1"/>
    </xf>
    <xf numFmtId="49" fontId="19" fillId="0" borderId="0" xfId="0" applyNumberFormat="1" applyFont="1" applyAlignment="1">
      <alignment vertical="top" wrapText="1"/>
    </xf>
    <xf numFmtId="176" fontId="110" fillId="0" borderId="2" xfId="0" applyNumberFormat="1" applyFont="1" applyBorder="1" applyAlignment="1">
      <alignment vertical="top" wrapText="1"/>
    </xf>
    <xf numFmtId="171" fontId="19" fillId="38" borderId="20" xfId="0" applyNumberFormat="1" applyFont="1" applyFill="1" applyBorder="1" applyAlignment="1">
      <alignment horizontal="right" vertical="top"/>
    </xf>
    <xf numFmtId="0" fontId="115" fillId="37" borderId="2" xfId="0" applyFont="1" applyFill="1" applyBorder="1" applyAlignment="1">
      <alignment vertical="top"/>
    </xf>
    <xf numFmtId="0" fontId="115" fillId="37" borderId="20" xfId="0" applyFont="1" applyFill="1" applyBorder="1" applyAlignment="1">
      <alignment vertical="top" wrapText="1"/>
    </xf>
    <xf numFmtId="0" fontId="115" fillId="37" borderId="20" xfId="0" applyFont="1" applyFill="1" applyBorder="1" applyAlignment="1">
      <alignment vertical="top"/>
    </xf>
    <xf numFmtId="4" fontId="115" fillId="37" borderId="20" xfId="0" applyNumberFormat="1" applyFont="1" applyFill="1" applyBorder="1" applyAlignment="1">
      <alignment vertical="top"/>
    </xf>
    <xf numFmtId="171" fontId="115" fillId="38" borderId="20" xfId="0" applyNumberFormat="1" applyFont="1" applyFill="1" applyBorder="1" applyAlignment="1">
      <alignment horizontal="right" vertical="top"/>
    </xf>
    <xf numFmtId="0" fontId="109" fillId="37" borderId="2" xfId="0" applyFont="1" applyFill="1" applyBorder="1" applyAlignment="1">
      <alignment vertical="top" wrapText="1"/>
    </xf>
    <xf numFmtId="0" fontId="2" fillId="0" borderId="10" xfId="0" applyFont="1" applyBorder="1" applyAlignment="1">
      <alignment horizontal="right" wrapText="1"/>
    </xf>
    <xf numFmtId="49" fontId="43" fillId="10" borderId="10" xfId="0" applyNumberFormat="1" applyFont="1" applyFill="1" applyBorder="1" applyAlignment="1">
      <alignment horizontal="center" wrapText="1"/>
    </xf>
    <xf numFmtId="0" fontId="2" fillId="13" borderId="10" xfId="0" applyFont="1" applyFill="1" applyBorder="1" applyAlignment="1">
      <alignment horizontal="center" wrapText="1"/>
    </xf>
    <xf numFmtId="49" fontId="11" fillId="14" borderId="10" xfId="0" applyNumberFormat="1" applyFont="1" applyFill="1" applyBorder="1" applyAlignment="1">
      <alignment horizontal="center" wrapText="1"/>
    </xf>
    <xf numFmtId="49" fontId="12" fillId="14" borderId="10" xfId="0" applyNumberFormat="1" applyFont="1" applyFill="1" applyBorder="1" applyAlignment="1">
      <alignment horizontal="center"/>
    </xf>
    <xf numFmtId="0" fontId="2" fillId="0" borderId="10" xfId="0" applyFont="1" applyBorder="1" applyAlignment="1">
      <alignment horizontal="center" vertical="center" wrapText="1"/>
    </xf>
    <xf numFmtId="0" fontId="2" fillId="15" borderId="10"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2" fillId="16" borderId="10" xfId="0" applyFont="1" applyFill="1" applyBorder="1" applyAlignment="1">
      <alignment horizontal="center" vertical="center" wrapText="1"/>
    </xf>
    <xf numFmtId="164" fontId="2" fillId="15" borderId="10" xfId="0" applyNumberFormat="1" applyFont="1" applyFill="1" applyBorder="1" applyAlignment="1">
      <alignment horizontal="center" wrapText="1"/>
    </xf>
    <xf numFmtId="164" fontId="2" fillId="9" borderId="10" xfId="0" applyNumberFormat="1" applyFont="1" applyFill="1" applyBorder="1" applyAlignment="1">
      <alignment horizontal="center" wrapText="1"/>
    </xf>
    <xf numFmtId="0" fontId="2" fillId="0" borderId="17" xfId="0" applyFont="1" applyBorder="1" applyAlignment="1">
      <alignment horizontal="left" wrapText="1"/>
    </xf>
    <xf numFmtId="164" fontId="2" fillId="15" borderId="10" xfId="0" applyNumberFormat="1" applyFont="1" applyFill="1" applyBorder="1" applyAlignment="1">
      <alignment wrapText="1"/>
    </xf>
    <xf numFmtId="0" fontId="2" fillId="2" borderId="10" xfId="0" applyFont="1" applyFill="1" applyBorder="1" applyAlignment="1">
      <alignment horizontal="left" wrapText="1"/>
    </xf>
    <xf numFmtId="164" fontId="2" fillId="0" borderId="10" xfId="0" applyNumberFormat="1" applyFont="1" applyBorder="1" applyAlignment="1">
      <alignment horizontal="center" wrapText="1"/>
    </xf>
    <xf numFmtId="164" fontId="2" fillId="18" borderId="10" xfId="0" applyNumberFormat="1" applyFont="1" applyFill="1" applyBorder="1" applyAlignment="1">
      <alignment horizontal="center" wrapText="1"/>
    </xf>
    <xf numFmtId="164" fontId="2" fillId="18" borderId="19" xfId="0" applyNumberFormat="1" applyFont="1" applyFill="1" applyBorder="1" applyAlignment="1">
      <alignment horizontal="center" wrapText="1"/>
    </xf>
    <xf numFmtId="49" fontId="11" fillId="10" borderId="12" xfId="0" applyNumberFormat="1" applyFont="1" applyFill="1" applyBorder="1" applyAlignment="1">
      <alignment horizontal="center" wrapText="1"/>
    </xf>
    <xf numFmtId="0" fontId="2" fillId="5" borderId="23" xfId="0" applyFont="1" applyFill="1" applyBorder="1" applyAlignment="1">
      <alignment horizontal="left" wrapText="1"/>
    </xf>
    <xf numFmtId="0" fontId="7" fillId="28" borderId="23" xfId="0" applyFont="1" applyFill="1" applyBorder="1" applyAlignment="1">
      <alignment wrapText="1"/>
    </xf>
    <xf numFmtId="0" fontId="7" fillId="13" borderId="23" xfId="0" applyFont="1" applyFill="1" applyBorder="1" applyAlignment="1">
      <alignment horizontal="right" wrapText="1"/>
    </xf>
    <xf numFmtId="0" fontId="11" fillId="3" borderId="2" xfId="0" applyFont="1" applyFill="1" applyBorder="1" applyAlignment="1">
      <alignment horizontal="center" wrapText="1"/>
    </xf>
    <xf numFmtId="164" fontId="7" fillId="21" borderId="23" xfId="0" applyNumberFormat="1" applyFont="1" applyFill="1" applyBorder="1" applyAlignment="1">
      <alignment wrapText="1"/>
    </xf>
    <xf numFmtId="171" fontId="7" fillId="21" borderId="23" xfId="0" applyNumberFormat="1" applyFont="1" applyFill="1" applyBorder="1" applyAlignment="1">
      <alignment wrapText="1"/>
    </xf>
    <xf numFmtId="164" fontId="7" fillId="9" borderId="26" xfId="0" applyNumberFormat="1" applyFont="1" applyFill="1" applyBorder="1" applyAlignment="1">
      <alignment wrapText="1"/>
    </xf>
    <xf numFmtId="164" fontId="7" fillId="16" borderId="23" xfId="0" applyNumberFormat="1" applyFont="1" applyFill="1" applyBorder="1" applyAlignment="1">
      <alignment wrapText="1"/>
    </xf>
    <xf numFmtId="10" fontId="7" fillId="10" borderId="23" xfId="0" applyNumberFormat="1" applyFont="1" applyFill="1" applyBorder="1" applyAlignment="1">
      <alignment wrapText="1"/>
    </xf>
    <xf numFmtId="0" fontId="7" fillId="10" borderId="26" xfId="0" applyFont="1" applyFill="1" applyBorder="1" applyAlignment="1">
      <alignment horizontal="left" wrapText="1"/>
    </xf>
    <xf numFmtId="164" fontId="7" fillId="9" borderId="35" xfId="0" applyNumberFormat="1" applyFont="1" applyFill="1" applyBorder="1" applyAlignment="1">
      <alignment wrapText="1"/>
    </xf>
    <xf numFmtId="164" fontId="7" fillId="16" borderId="2" xfId="0" applyNumberFormat="1" applyFont="1" applyFill="1" applyBorder="1" applyAlignment="1">
      <alignment wrapText="1"/>
    </xf>
    <xf numFmtId="164" fontId="7" fillId="16" borderId="35" xfId="0" applyNumberFormat="1" applyFont="1" applyFill="1" applyBorder="1" applyAlignment="1">
      <alignment wrapText="1"/>
    </xf>
    <xf numFmtId="0" fontId="7" fillId="13" borderId="5" xfId="0" applyFont="1" applyFill="1" applyBorder="1" applyAlignment="1">
      <alignment horizontal="right" wrapText="1"/>
    </xf>
    <xf numFmtId="0" fontId="7" fillId="28" borderId="2" xfId="0" applyFont="1" applyFill="1" applyBorder="1" applyAlignment="1">
      <alignment wrapText="1"/>
    </xf>
    <xf numFmtId="0" fontId="28" fillId="0" borderId="2" xfId="0" applyFont="1" applyBorder="1" applyAlignment="1">
      <alignment horizontal="right" wrapText="1"/>
    </xf>
    <xf numFmtId="0" fontId="28" fillId="13" borderId="2" xfId="0" applyFont="1" applyFill="1" applyBorder="1"/>
    <xf numFmtId="0" fontId="74" fillId="0" borderId="2" xfId="0" applyFont="1" applyBorder="1" applyAlignment="1">
      <alignment horizontal="center"/>
    </xf>
    <xf numFmtId="0" fontId="7" fillId="13" borderId="35" xfId="0" applyFont="1" applyFill="1" applyBorder="1" applyAlignment="1">
      <alignment horizontal="right" wrapText="1"/>
    </xf>
    <xf numFmtId="49" fontId="2" fillId="0" borderId="46" xfId="0" applyNumberFormat="1" applyFont="1" applyBorder="1" applyAlignment="1">
      <alignment horizontal="center" wrapText="1"/>
    </xf>
    <xf numFmtId="0" fontId="2" fillId="13" borderId="41" xfId="0" applyFont="1" applyFill="1" applyBorder="1" applyAlignment="1">
      <alignment horizontal="center" wrapText="1"/>
    </xf>
    <xf numFmtId="164" fontId="7" fillId="16" borderId="41" xfId="0" applyNumberFormat="1" applyFont="1" applyFill="1" applyBorder="1" applyAlignment="1">
      <alignment wrapText="1"/>
    </xf>
    <xf numFmtId="0" fontId="7" fillId="10" borderId="41" xfId="0" applyFont="1" applyFill="1" applyBorder="1" applyAlignment="1">
      <alignment horizontal="left" wrapText="1"/>
    </xf>
    <xf numFmtId="164" fontId="36" fillId="16" borderId="2" xfId="0" applyNumberFormat="1" applyFont="1" applyFill="1" applyBorder="1" applyAlignment="1">
      <alignment wrapText="1"/>
    </xf>
    <xf numFmtId="0" fontId="74" fillId="0" borderId="2" xfId="0" applyFont="1" applyBorder="1"/>
    <xf numFmtId="0" fontId="28" fillId="0" borderId="2" xfId="0" applyFont="1" applyBorder="1" applyAlignment="1">
      <alignment wrapText="1"/>
    </xf>
    <xf numFmtId="0" fontId="119" fillId="28" borderId="2" xfId="0" applyFont="1" applyFill="1" applyBorder="1" applyAlignment="1">
      <alignment wrapText="1"/>
    </xf>
    <xf numFmtId="49" fontId="2" fillId="0" borderId="0" xfId="0" applyNumberFormat="1" applyFont="1" applyAlignment="1">
      <alignment horizontal="center" wrapText="1"/>
    </xf>
    <xf numFmtId="0" fontId="74" fillId="0" borderId="2" xfId="0" applyFont="1" applyBorder="1" applyAlignment="1">
      <alignment horizontal="left" wrapText="1"/>
    </xf>
    <xf numFmtId="164" fontId="7" fillId="15" borderId="20" xfId="0" applyNumberFormat="1" applyFont="1" applyFill="1" applyBorder="1" applyAlignment="1">
      <alignment horizontal="right" wrapText="1"/>
    </xf>
    <xf numFmtId="164" fontId="85" fillId="27" borderId="2" xfId="0" applyNumberFormat="1" applyFont="1" applyFill="1" applyBorder="1" applyAlignment="1">
      <alignment wrapText="1"/>
    </xf>
    <xf numFmtId="0" fontId="7" fillId="6" borderId="2" xfId="0" applyFont="1" applyFill="1" applyBorder="1" applyAlignment="1">
      <alignment wrapText="1"/>
    </xf>
    <xf numFmtId="0" fontId="7" fillId="4" borderId="35" xfId="0" applyFont="1" applyFill="1" applyBorder="1" applyAlignment="1">
      <alignment wrapText="1"/>
    </xf>
    <xf numFmtId="0" fontId="74" fillId="0" borderId="2" xfId="0" applyFont="1" applyBorder="1" applyAlignment="1">
      <alignment wrapText="1"/>
    </xf>
    <xf numFmtId="0" fontId="74" fillId="13" borderId="2" xfId="0" applyFont="1" applyFill="1" applyBorder="1"/>
    <xf numFmtId="164" fontId="23" fillId="6" borderId="2" xfId="0" applyNumberFormat="1" applyFont="1" applyFill="1" applyBorder="1" applyAlignment="1">
      <alignment wrapText="1"/>
    </xf>
    <xf numFmtId="0" fontId="7" fillId="13" borderId="25" xfId="0" applyFont="1" applyFill="1" applyBorder="1" applyAlignment="1">
      <alignment horizontal="right" wrapText="1"/>
    </xf>
    <xf numFmtId="0" fontId="74" fillId="13" borderId="20" xfId="0" applyFont="1" applyFill="1" applyBorder="1"/>
    <xf numFmtId="0" fontId="7" fillId="13" borderId="20" xfId="0" applyFont="1" applyFill="1" applyBorder="1" applyAlignment="1">
      <alignment horizontal="right" wrapText="1"/>
    </xf>
    <xf numFmtId="0" fontId="7" fillId="13" borderId="43" xfId="0" applyFont="1" applyFill="1" applyBorder="1" applyAlignment="1">
      <alignment horizontal="right" wrapText="1"/>
    </xf>
    <xf numFmtId="0" fontId="7" fillId="13" borderId="40" xfId="0" applyFont="1" applyFill="1" applyBorder="1" applyAlignment="1">
      <alignment horizontal="right" wrapText="1"/>
    </xf>
    <xf numFmtId="49" fontId="2" fillId="0" borderId="46" xfId="0" applyNumberFormat="1" applyFont="1" applyBorder="1" applyAlignment="1">
      <alignment horizontal="left" wrapText="1"/>
    </xf>
    <xf numFmtId="49" fontId="2" fillId="0" borderId="36" xfId="0" applyNumberFormat="1" applyFont="1" applyBorder="1" applyAlignment="1">
      <alignment horizontal="left" wrapText="1"/>
    </xf>
    <xf numFmtId="0" fontId="7" fillId="4" borderId="35" xfId="0" applyFont="1" applyFill="1" applyBorder="1" applyAlignment="1">
      <alignment horizontal="left" wrapText="1"/>
    </xf>
    <xf numFmtId="10" fontId="7" fillId="10" borderId="35" xfId="0" applyNumberFormat="1" applyFont="1" applyFill="1" applyBorder="1" applyAlignment="1">
      <alignment wrapText="1"/>
    </xf>
    <xf numFmtId="168" fontId="7" fillId="15" borderId="20" xfId="0" applyNumberFormat="1" applyFont="1" applyFill="1" applyBorder="1" applyAlignment="1">
      <alignment wrapText="1"/>
    </xf>
    <xf numFmtId="0" fontId="7" fillId="10" borderId="5" xfId="0" applyFont="1" applyFill="1" applyBorder="1" applyAlignment="1">
      <alignment horizontal="left" wrapText="1"/>
    </xf>
    <xf numFmtId="0" fontId="7" fillId="10" borderId="2" xfId="0" quotePrefix="1" applyFont="1" applyFill="1" applyBorder="1" applyAlignment="1">
      <alignment horizontal="center" wrapText="1"/>
    </xf>
    <xf numFmtId="0" fontId="7" fillId="18" borderId="2" xfId="0" applyFont="1" applyFill="1" applyBorder="1" applyAlignment="1">
      <alignment horizontal="center" wrapText="1"/>
    </xf>
    <xf numFmtId="171" fontId="7" fillId="9" borderId="35" xfId="0" applyNumberFormat="1" applyFont="1" applyFill="1" applyBorder="1" applyAlignment="1">
      <alignment wrapText="1"/>
    </xf>
    <xf numFmtId="171" fontId="7" fillId="16" borderId="2" xfId="0" applyNumberFormat="1" applyFont="1" applyFill="1" applyBorder="1" applyAlignment="1">
      <alignment wrapText="1"/>
    </xf>
    <xf numFmtId="0" fontId="28" fillId="13" borderId="35" xfId="0" applyFont="1" applyFill="1" applyBorder="1"/>
    <xf numFmtId="10" fontId="7" fillId="10" borderId="2" xfId="0" applyNumberFormat="1" applyFont="1" applyFill="1" applyBorder="1" applyAlignment="1">
      <alignment horizontal="left" wrapText="1"/>
    </xf>
    <xf numFmtId="0" fontId="11" fillId="0" borderId="37" xfId="0" applyFont="1" applyBorder="1"/>
    <xf numFmtId="0" fontId="17" fillId="0" borderId="34" xfId="0" applyFont="1" applyBorder="1"/>
    <xf numFmtId="0" fontId="7" fillId="0" borderId="34" xfId="0" applyFont="1" applyBorder="1" applyAlignment="1">
      <alignment horizontal="right" wrapText="1"/>
    </xf>
    <xf numFmtId="0" fontId="120" fillId="0" borderId="2" xfId="0" applyFont="1" applyBorder="1"/>
    <xf numFmtId="0" fontId="7" fillId="13" borderId="43" xfId="0" applyFont="1" applyFill="1" applyBorder="1" applyAlignment="1">
      <alignment horizontal="right"/>
    </xf>
    <xf numFmtId="0" fontId="121" fillId="0" borderId="2" xfId="0" applyFont="1" applyBorder="1"/>
    <xf numFmtId="0" fontId="7" fillId="0" borderId="45" xfId="0" applyFont="1" applyBorder="1" applyAlignment="1">
      <alignment horizontal="right" wrapText="1"/>
    </xf>
    <xf numFmtId="164" fontId="7" fillId="6" borderId="2" xfId="0" applyNumberFormat="1" applyFont="1" applyFill="1" applyBorder="1" applyAlignment="1">
      <alignment wrapText="1"/>
    </xf>
    <xf numFmtId="0" fontId="17" fillId="17" borderId="35" xfId="0" applyFont="1" applyFill="1" applyBorder="1" applyAlignment="1">
      <alignment horizontal="left" wrapText="1"/>
    </xf>
    <xf numFmtId="0" fontId="17" fillId="10" borderId="35" xfId="0" applyFont="1" applyFill="1" applyBorder="1" applyAlignment="1">
      <alignment horizontal="left" wrapText="1"/>
    </xf>
    <xf numFmtId="164" fontId="17" fillId="9" borderId="35" xfId="0" applyNumberFormat="1" applyFont="1" applyFill="1" applyBorder="1" applyAlignment="1">
      <alignment wrapText="1"/>
    </xf>
    <xf numFmtId="164" fontId="17" fillId="16" borderId="2" xfId="0" applyNumberFormat="1" applyFont="1" applyFill="1" applyBorder="1" applyAlignment="1">
      <alignment wrapText="1"/>
    </xf>
    <xf numFmtId="164" fontId="7" fillId="10" borderId="2" xfId="0" applyNumberFormat="1" applyFont="1" applyFill="1" applyBorder="1" applyAlignment="1">
      <alignment wrapText="1"/>
    </xf>
    <xf numFmtId="0" fontId="2" fillId="6" borderId="2" xfId="0" applyFont="1" applyFill="1" applyBorder="1" applyAlignment="1">
      <alignment horizontal="left" wrapText="1"/>
    </xf>
    <xf numFmtId="0" fontId="7" fillId="13" borderId="20" xfId="0" applyFont="1" applyFill="1" applyBorder="1" applyAlignment="1">
      <alignment horizontal="right"/>
    </xf>
    <xf numFmtId="49" fontId="7" fillId="0" borderId="45" xfId="0" applyNumberFormat="1" applyFont="1" applyBorder="1" applyAlignment="1">
      <alignment horizontal="center" wrapText="1"/>
    </xf>
    <xf numFmtId="49" fontId="7" fillId="0" borderId="45" xfId="0" applyNumberFormat="1" applyFont="1" applyBorder="1" applyAlignment="1">
      <alignment horizontal="left" wrapText="1"/>
    </xf>
    <xf numFmtId="0" fontId="2" fillId="8" borderId="26" xfId="0" applyFont="1" applyFill="1" applyBorder="1" applyAlignment="1">
      <alignment wrapText="1"/>
    </xf>
    <xf numFmtId="0" fontId="16" fillId="13" borderId="5" xfId="0" applyFont="1" applyFill="1" applyBorder="1"/>
    <xf numFmtId="0" fontId="122" fillId="28" borderId="2" xfId="0" applyFont="1" applyFill="1" applyBorder="1"/>
    <xf numFmtId="0" fontId="7" fillId="10" borderId="40" xfId="0" applyFont="1" applyFill="1" applyBorder="1" applyAlignment="1">
      <alignment horizontal="left" wrapText="1"/>
    </xf>
    <xf numFmtId="0" fontId="2" fillId="0" borderId="65" xfId="0" applyFont="1" applyBorder="1" applyAlignment="1">
      <alignment wrapText="1"/>
    </xf>
    <xf numFmtId="0" fontId="2" fillId="8" borderId="23" xfId="0" applyFont="1" applyFill="1" applyBorder="1" applyAlignment="1">
      <alignment wrapText="1"/>
    </xf>
    <xf numFmtId="0" fontId="123" fillId="28" borderId="2" xfId="0" applyFont="1" applyFill="1" applyBorder="1" applyAlignment="1">
      <alignment wrapText="1"/>
    </xf>
    <xf numFmtId="0" fontId="16" fillId="13" borderId="38" xfId="0" applyFont="1" applyFill="1" applyBorder="1"/>
    <xf numFmtId="0" fontId="7" fillId="23" borderId="2" xfId="0" applyFont="1" applyFill="1" applyBorder="1" applyAlignment="1">
      <alignment horizontal="left" wrapText="1"/>
    </xf>
    <xf numFmtId="0" fontId="2" fillId="3" borderId="20" xfId="0" applyFont="1" applyFill="1" applyBorder="1" applyAlignment="1">
      <alignment horizontal="center" wrapText="1"/>
    </xf>
    <xf numFmtId="164" fontId="7" fillId="21" borderId="20" xfId="0" applyNumberFormat="1" applyFont="1" applyFill="1" applyBorder="1" applyAlignment="1">
      <alignment horizontal="right" wrapText="1"/>
    </xf>
    <xf numFmtId="171" fontId="7" fillId="21" borderId="20" xfId="0" applyNumberFormat="1" applyFont="1" applyFill="1" applyBorder="1" applyAlignment="1">
      <alignment horizontal="right" wrapText="1"/>
    </xf>
    <xf numFmtId="164" fontId="7" fillId="9" borderId="20" xfId="0" applyNumberFormat="1" applyFont="1" applyFill="1" applyBorder="1" applyAlignment="1">
      <alignment horizontal="right" wrapText="1"/>
    </xf>
    <xf numFmtId="49" fontId="7" fillId="10" borderId="2" xfId="0" applyNumberFormat="1" applyFont="1" applyFill="1" applyBorder="1" applyAlignment="1">
      <alignment horizontal="left" wrapText="1"/>
    </xf>
    <xf numFmtId="10" fontId="17" fillId="17" borderId="2" xfId="0" applyNumberFormat="1" applyFont="1" applyFill="1" applyBorder="1" applyAlignment="1">
      <alignment horizontal="right"/>
    </xf>
    <xf numFmtId="0" fontId="7" fillId="17" borderId="20" xfId="0" applyFont="1" applyFill="1" applyBorder="1" applyAlignment="1">
      <alignment wrapText="1"/>
    </xf>
    <xf numFmtId="15" fontId="7" fillId="15" borderId="20" xfId="0" applyNumberFormat="1" applyFont="1" applyFill="1" applyBorder="1" applyAlignment="1">
      <alignment horizontal="right" wrapText="1"/>
    </xf>
    <xf numFmtId="10" fontId="1" fillId="15" borderId="20" xfId="0" applyNumberFormat="1" applyFont="1" applyFill="1" applyBorder="1"/>
    <xf numFmtId="0" fontId="2" fillId="10" borderId="25" xfId="0" applyFont="1" applyFill="1" applyBorder="1" applyAlignment="1">
      <alignment horizontal="center" wrapText="1"/>
    </xf>
    <xf numFmtId="0" fontId="7" fillId="28" borderId="20" xfId="0" applyFont="1" applyFill="1" applyBorder="1" applyAlignment="1">
      <alignment wrapText="1"/>
    </xf>
    <xf numFmtId="0" fontId="16" fillId="17" borderId="20" xfId="0" applyFont="1" applyFill="1" applyBorder="1" applyAlignment="1">
      <alignment horizontal="right" wrapText="1"/>
    </xf>
    <xf numFmtId="164" fontId="17" fillId="4" borderId="2" xfId="0" applyNumberFormat="1" applyFont="1" applyFill="1" applyBorder="1" applyAlignment="1">
      <alignment horizontal="center"/>
    </xf>
    <xf numFmtId="0" fontId="7" fillId="10" borderId="23" xfId="0" applyFont="1" applyFill="1" applyBorder="1" applyAlignment="1">
      <alignment horizontal="left"/>
    </xf>
    <xf numFmtId="171" fontId="7" fillId="21" borderId="35" xfId="0" applyNumberFormat="1" applyFont="1" applyFill="1" applyBorder="1" applyAlignment="1">
      <alignment wrapText="1"/>
    </xf>
    <xf numFmtId="0" fontId="74" fillId="0" borderId="21" xfId="0" applyFont="1" applyBorder="1" applyAlignment="1">
      <alignment horizontal="center"/>
    </xf>
    <xf numFmtId="164" fontId="7" fillId="9" borderId="32" xfId="0" applyNumberFormat="1" applyFont="1" applyFill="1" applyBorder="1" applyAlignment="1">
      <alignment wrapText="1"/>
    </xf>
    <xf numFmtId="49" fontId="7" fillId="0" borderId="2" xfId="0" applyNumberFormat="1" applyFont="1" applyBorder="1" applyAlignment="1">
      <alignment horizontal="left"/>
    </xf>
    <xf numFmtId="0" fontId="11" fillId="0" borderId="39" xfId="0" applyFont="1" applyBorder="1" applyAlignment="1">
      <alignment horizontal="center" wrapText="1"/>
    </xf>
    <xf numFmtId="0" fontId="7" fillId="14" borderId="20" xfId="0" applyFont="1" applyFill="1" applyBorder="1" applyAlignment="1">
      <alignment horizontal="left"/>
    </xf>
    <xf numFmtId="0" fontId="17" fillId="17" borderId="2" xfId="0" applyFont="1" applyFill="1" applyBorder="1" applyAlignment="1">
      <alignment horizontal="left"/>
    </xf>
    <xf numFmtId="0" fontId="124" fillId="0" borderId="2" xfId="0" applyFont="1" applyBorder="1" applyAlignment="1">
      <alignment wrapText="1"/>
    </xf>
    <xf numFmtId="0" fontId="17" fillId="0" borderId="21" xfId="0" applyFont="1" applyBorder="1" applyAlignment="1">
      <alignment horizontal="left"/>
    </xf>
    <xf numFmtId="0" fontId="2" fillId="4" borderId="41" xfId="0" applyFont="1" applyFill="1" applyBorder="1" applyAlignment="1">
      <alignment horizontal="center" wrapText="1"/>
    </xf>
    <xf numFmtId="49" fontId="17" fillId="0" borderId="24" xfId="0" applyNumberFormat="1" applyFont="1" applyBorder="1" applyAlignment="1">
      <alignment horizontal="left"/>
    </xf>
    <xf numFmtId="0" fontId="16" fillId="17" borderId="23" xfId="0" applyFont="1" applyFill="1" applyBorder="1" applyAlignment="1">
      <alignment horizontal="left"/>
    </xf>
    <xf numFmtId="0" fontId="7" fillId="14" borderId="25" xfId="0" applyFont="1" applyFill="1" applyBorder="1" applyAlignment="1">
      <alignment horizontal="left"/>
    </xf>
    <xf numFmtId="0" fontId="34" fillId="0" borderId="39" xfId="0" applyFont="1" applyBorder="1" applyAlignment="1">
      <alignment horizontal="center" wrapText="1"/>
    </xf>
    <xf numFmtId="0" fontId="2" fillId="17" borderId="2" xfId="0" applyFont="1" applyFill="1" applyBorder="1" applyAlignment="1">
      <alignment wrapText="1"/>
    </xf>
    <xf numFmtId="167" fontId="7" fillId="15" borderId="2" xfId="0" applyNumberFormat="1" applyFont="1" applyFill="1" applyBorder="1" applyAlignment="1">
      <alignment horizontal="center" wrapText="1"/>
    </xf>
    <xf numFmtId="0" fontId="16" fillId="4" borderId="2" xfId="0" applyFont="1" applyFill="1" applyBorder="1" applyAlignment="1">
      <alignment horizontal="left"/>
    </xf>
    <xf numFmtId="0" fontId="7" fillId="0" borderId="27" xfId="0" applyFont="1" applyBorder="1" applyAlignment="1">
      <alignment horizontal="left"/>
    </xf>
    <xf numFmtId="0" fontId="17" fillId="10" borderId="2" xfId="0" applyFont="1" applyFill="1" applyBorder="1" applyAlignment="1">
      <alignment horizontal="left" wrapText="1"/>
    </xf>
    <xf numFmtId="0" fontId="2" fillId="39" borderId="41" xfId="0" applyFont="1" applyFill="1" applyBorder="1" applyAlignment="1">
      <alignment horizontal="center" wrapText="1"/>
    </xf>
    <xf numFmtId="0" fontId="74" fillId="40" borderId="23" xfId="0" applyFont="1" applyFill="1" applyBorder="1" applyAlignment="1">
      <alignment horizontal="center" wrapText="1"/>
    </xf>
    <xf numFmtId="49" fontId="23" fillId="6" borderId="2" xfId="0" applyNumberFormat="1" applyFont="1" applyFill="1" applyBorder="1" applyAlignment="1">
      <alignment horizontal="left" wrapText="1"/>
    </xf>
    <xf numFmtId="0" fontId="7" fillId="0" borderId="36" xfId="0" applyFont="1" applyBorder="1" applyAlignment="1">
      <alignment horizontal="right" wrapText="1"/>
    </xf>
    <xf numFmtId="166" fontId="7" fillId="0" borderId="2" xfId="0" applyNumberFormat="1" applyFont="1" applyBorder="1" applyAlignment="1">
      <alignment horizontal="left" wrapText="1"/>
    </xf>
    <xf numFmtId="0" fontId="7" fillId="13" borderId="43" xfId="0" applyFont="1" applyFill="1" applyBorder="1"/>
    <xf numFmtId="49" fontId="1" fillId="27" borderId="67" xfId="0" applyNumberFormat="1" applyFont="1" applyFill="1" applyBorder="1"/>
    <xf numFmtId="49" fontId="2" fillId="0" borderId="48" xfId="0" applyNumberFormat="1" applyFont="1" applyBorder="1" applyAlignment="1">
      <alignment horizontal="center" wrapText="1"/>
    </xf>
    <xf numFmtId="0" fontId="1" fillId="27" borderId="67" xfId="0" applyFont="1" applyFill="1" applyBorder="1"/>
    <xf numFmtId="0" fontId="1" fillId="27" borderId="5" xfId="0" applyFont="1" applyFill="1" applyBorder="1"/>
    <xf numFmtId="0" fontId="7" fillId="17" borderId="20" xfId="0" applyFont="1" applyFill="1" applyBorder="1" applyAlignment="1">
      <alignment horizontal="left" wrapText="1"/>
    </xf>
    <xf numFmtId="10" fontId="7" fillId="17" borderId="20" xfId="0" applyNumberFormat="1" applyFont="1" applyFill="1" applyBorder="1" applyAlignment="1">
      <alignment horizontal="right" wrapText="1"/>
    </xf>
    <xf numFmtId="0" fontId="7" fillId="17" borderId="20" xfId="0" quotePrefix="1" applyFont="1" applyFill="1" applyBorder="1" applyAlignment="1">
      <alignment horizontal="center" wrapText="1"/>
    </xf>
    <xf numFmtId="164" fontId="7" fillId="17" borderId="20" xfId="0" applyNumberFormat="1" applyFont="1" applyFill="1" applyBorder="1" applyAlignment="1">
      <alignment horizontal="left" wrapText="1"/>
    </xf>
    <xf numFmtId="166" fontId="1" fillId="15" borderId="20" xfId="0" applyNumberFormat="1" applyFont="1" applyFill="1" applyBorder="1"/>
    <xf numFmtId="166" fontId="1" fillId="0" borderId="2" xfId="0" applyNumberFormat="1" applyFont="1" applyBorder="1"/>
    <xf numFmtId="166" fontId="1" fillId="0" borderId="2" xfId="0" applyNumberFormat="1" applyFont="1" applyBorder="1" applyAlignment="1">
      <alignment horizontal="left"/>
    </xf>
    <xf numFmtId="0" fontId="7" fillId="13" borderId="38" xfId="0" applyFont="1" applyFill="1" applyBorder="1" applyAlignment="1">
      <alignment horizontal="right"/>
    </xf>
    <xf numFmtId="0" fontId="2" fillId="10" borderId="5" xfId="0" applyFont="1" applyFill="1" applyBorder="1" applyAlignment="1">
      <alignment wrapText="1"/>
    </xf>
    <xf numFmtId="0" fontId="7" fillId="10" borderId="5" xfId="0" applyFont="1" applyFill="1" applyBorder="1" applyAlignment="1">
      <alignment wrapText="1"/>
    </xf>
    <xf numFmtId="0" fontId="10" fillId="10" borderId="5" xfId="0" applyFont="1" applyFill="1" applyBorder="1"/>
    <xf numFmtId="49" fontId="75" fillId="0" borderId="2" xfId="0" applyNumberFormat="1" applyFont="1" applyBorder="1" applyAlignment="1">
      <alignment horizontal="left" wrapText="1"/>
    </xf>
    <xf numFmtId="49" fontId="75" fillId="0" borderId="2" xfId="0" applyNumberFormat="1" applyFont="1" applyBorder="1" applyAlignment="1">
      <alignment horizontal="left"/>
    </xf>
    <xf numFmtId="0" fontId="2" fillId="13" borderId="38" xfId="0" applyFont="1" applyFill="1" applyBorder="1" applyAlignment="1">
      <alignment horizontal="right"/>
    </xf>
    <xf numFmtId="10" fontId="2" fillId="15" borderId="2" xfId="0" applyNumberFormat="1" applyFont="1" applyFill="1" applyBorder="1" applyAlignment="1">
      <alignment wrapText="1"/>
    </xf>
    <xf numFmtId="0" fontId="2" fillId="15" borderId="2" xfId="0" applyFont="1" applyFill="1" applyBorder="1" applyAlignment="1">
      <alignment horizontal="center" wrapText="1"/>
    </xf>
    <xf numFmtId="164" fontId="2" fillId="15" borderId="35" xfId="0" applyNumberFormat="1" applyFont="1" applyFill="1" applyBorder="1" applyAlignment="1">
      <alignment wrapText="1"/>
    </xf>
    <xf numFmtId="0" fontId="7" fillId="23" borderId="5" xfId="0" applyFont="1" applyFill="1" applyBorder="1" applyAlignment="1">
      <alignment horizontal="center" wrapText="1"/>
    </xf>
    <xf numFmtId="0" fontId="2" fillId="13" borderId="43" xfId="0" applyFont="1" applyFill="1" applyBorder="1" applyAlignment="1">
      <alignment horizontal="right"/>
    </xf>
    <xf numFmtId="0" fontId="17" fillId="13" borderId="43" xfId="0" applyFont="1" applyFill="1" applyBorder="1" applyAlignment="1">
      <alignment horizontal="right"/>
    </xf>
    <xf numFmtId="49" fontId="17" fillId="0" borderId="2" xfId="0" applyNumberFormat="1" applyFont="1" applyBorder="1" applyAlignment="1">
      <alignment horizontal="right"/>
    </xf>
    <xf numFmtId="49" fontId="7" fillId="0" borderId="2" xfId="0" applyNumberFormat="1" applyFont="1" applyBorder="1" applyAlignment="1">
      <alignment horizontal="right" wrapText="1"/>
    </xf>
    <xf numFmtId="49" fontId="2" fillId="0" borderId="2" xfId="0" applyNumberFormat="1" applyFont="1" applyBorder="1" applyAlignment="1">
      <alignment horizontal="right" wrapText="1"/>
    </xf>
    <xf numFmtId="0" fontId="11" fillId="0" borderId="54" xfId="0" applyFont="1" applyBorder="1" applyAlignment="1">
      <alignment horizontal="left"/>
    </xf>
    <xf numFmtId="0" fontId="125" fillId="0" borderId="39" xfId="0" applyFont="1" applyBorder="1" applyAlignment="1">
      <alignment wrapText="1"/>
    </xf>
    <xf numFmtId="0" fontId="11" fillId="4" borderId="2" xfId="0" applyFont="1" applyFill="1" applyBorder="1" applyAlignment="1">
      <alignment horizontal="center"/>
    </xf>
    <xf numFmtId="10" fontId="7" fillId="4" borderId="2" xfId="0" applyNumberFormat="1" applyFont="1" applyFill="1" applyBorder="1" applyAlignment="1">
      <alignment horizontal="left" wrapText="1"/>
    </xf>
    <xf numFmtId="0" fontId="1" fillId="10" borderId="5" xfId="0" applyFont="1" applyFill="1" applyBorder="1"/>
    <xf numFmtId="0" fontId="2" fillId="17" borderId="20" xfId="0" applyFont="1" applyFill="1" applyBorder="1" applyAlignment="1">
      <alignment horizontal="center" wrapText="1"/>
    </xf>
    <xf numFmtId="49" fontId="1" fillId="27" borderId="20" xfId="0" applyNumberFormat="1" applyFont="1" applyFill="1" applyBorder="1"/>
    <xf numFmtId="164" fontId="7" fillId="17" borderId="20" xfId="0" applyNumberFormat="1" applyFont="1" applyFill="1" applyBorder="1" applyAlignment="1">
      <alignment wrapText="1"/>
    </xf>
    <xf numFmtId="168" fontId="7" fillId="15" borderId="20" xfId="0" applyNumberFormat="1" applyFont="1" applyFill="1" applyBorder="1" applyAlignment="1">
      <alignment horizontal="right" wrapText="1"/>
    </xf>
    <xf numFmtId="0" fontId="7" fillId="10" borderId="5" xfId="0" applyFont="1" applyFill="1" applyBorder="1" applyAlignment="1">
      <alignment horizontal="center" wrapText="1"/>
    </xf>
    <xf numFmtId="164" fontId="7" fillId="10" borderId="5" xfId="0" applyNumberFormat="1" applyFont="1" applyFill="1" applyBorder="1" applyAlignment="1">
      <alignment wrapText="1"/>
    </xf>
    <xf numFmtId="0" fontId="17" fillId="13" borderId="38" xfId="0" applyFont="1" applyFill="1" applyBorder="1" applyAlignment="1">
      <alignment horizontal="right"/>
    </xf>
    <xf numFmtId="0" fontId="10" fillId="0" borderId="34" xfId="0" applyFont="1" applyBorder="1" applyAlignment="1">
      <alignment wrapText="1"/>
    </xf>
    <xf numFmtId="0" fontId="7" fillId="4" borderId="20" xfId="0" applyFont="1" applyFill="1" applyBorder="1" applyAlignment="1">
      <alignment horizontal="left" wrapText="1"/>
    </xf>
    <xf numFmtId="49" fontId="7" fillId="0" borderId="36" xfId="0" quotePrefix="1" applyNumberFormat="1" applyFont="1" applyBorder="1" applyAlignment="1">
      <alignment horizontal="center" wrapText="1"/>
    </xf>
    <xf numFmtId="0" fontId="126" fillId="0" borderId="36" xfId="0" applyFont="1" applyBorder="1" applyAlignment="1">
      <alignment horizontal="center" wrapText="1"/>
    </xf>
    <xf numFmtId="0" fontId="2" fillId="39" borderId="2" xfId="0" applyFont="1" applyFill="1" applyBorder="1" applyAlignment="1">
      <alignment horizontal="center" wrapText="1"/>
    </xf>
    <xf numFmtId="0" fontId="10" fillId="0" borderId="24" xfId="0" applyFont="1" applyBorder="1" applyAlignment="1">
      <alignment wrapText="1"/>
    </xf>
    <xf numFmtId="0" fontId="2" fillId="17" borderId="41" xfId="0" applyFont="1" applyFill="1" applyBorder="1" applyAlignment="1">
      <alignment horizontal="center" wrapText="1"/>
    </xf>
    <xf numFmtId="0" fontId="7" fillId="0" borderId="2" xfId="0" applyFont="1" applyBorder="1"/>
    <xf numFmtId="0" fontId="10" fillId="0" borderId="21" xfId="0" applyFont="1" applyBorder="1" applyAlignment="1">
      <alignment wrapText="1"/>
    </xf>
    <xf numFmtId="0" fontId="84" fillId="13" borderId="43" xfId="0" applyFont="1" applyFill="1" applyBorder="1" applyAlignment="1">
      <alignment horizontal="right" vertical="center" wrapText="1"/>
    </xf>
    <xf numFmtId="0" fontId="11" fillId="0" borderId="36" xfId="0" applyFont="1" applyBorder="1" applyAlignment="1">
      <alignment wrapText="1"/>
    </xf>
    <xf numFmtId="0" fontId="11" fillId="0" borderId="34" xfId="0" applyFont="1" applyBorder="1" applyAlignment="1">
      <alignment wrapText="1"/>
    </xf>
    <xf numFmtId="49" fontId="28" fillId="0" borderId="2" xfId="0" quotePrefix="1" applyNumberFormat="1" applyFont="1" applyBorder="1" applyAlignment="1">
      <alignment horizontal="left"/>
    </xf>
    <xf numFmtId="49" fontId="75" fillId="0" borderId="2" xfId="0" applyNumberFormat="1" applyFont="1" applyBorder="1"/>
    <xf numFmtId="0" fontId="127" fillId="0" borderId="2" xfId="0" applyFont="1" applyBorder="1" applyAlignment="1">
      <alignment horizontal="left"/>
    </xf>
    <xf numFmtId="0" fontId="127" fillId="13" borderId="43" xfId="0" applyFont="1" applyFill="1" applyBorder="1" applyAlignment="1">
      <alignment horizontal="right"/>
    </xf>
    <xf numFmtId="49" fontId="7" fillId="17" borderId="2" xfId="0" applyNumberFormat="1" applyFont="1" applyFill="1" applyBorder="1" applyAlignment="1">
      <alignment horizontal="center" wrapText="1"/>
    </xf>
    <xf numFmtId="0" fontId="10" fillId="15" borderId="41" xfId="0" applyFont="1" applyFill="1" applyBorder="1" applyAlignment="1">
      <alignment horizontal="center" wrapText="1"/>
    </xf>
    <xf numFmtId="0" fontId="74" fillId="0" borderId="2" xfId="0" applyFont="1" applyBorder="1" applyAlignment="1">
      <alignment horizontal="right" wrapText="1"/>
    </xf>
    <xf numFmtId="170" fontId="1" fillId="0" borderId="36" xfId="0" applyNumberFormat="1" applyFont="1" applyBorder="1" applyAlignment="1">
      <alignment horizontal="right" vertical="top" wrapText="1"/>
    </xf>
    <xf numFmtId="0" fontId="1" fillId="0" borderId="36" xfId="0" applyFont="1" applyBorder="1" applyAlignment="1">
      <alignment horizontal="left" vertical="top" wrapText="1"/>
    </xf>
    <xf numFmtId="0" fontId="1" fillId="0" borderId="36" xfId="0" applyFont="1" applyBorder="1" applyAlignment="1">
      <alignment horizontal="left" vertical="top"/>
    </xf>
    <xf numFmtId="49" fontId="1" fillId="0" borderId="36" xfId="0" applyNumberFormat="1" applyFont="1" applyBorder="1" applyAlignment="1">
      <alignment vertical="top"/>
    </xf>
    <xf numFmtId="49" fontId="1" fillId="0" borderId="36" xfId="0" applyNumberFormat="1" applyFont="1" applyBorder="1" applyAlignment="1">
      <alignment horizontal="right" wrapText="1"/>
    </xf>
    <xf numFmtId="164" fontId="7" fillId="0" borderId="36" xfId="0" applyNumberFormat="1" applyFont="1" applyBorder="1" applyAlignment="1">
      <alignment horizontal="left"/>
    </xf>
    <xf numFmtId="0" fontId="1" fillId="0" borderId="36" xfId="0" applyFont="1" applyBorder="1" applyAlignment="1">
      <alignment wrapText="1"/>
    </xf>
    <xf numFmtId="10" fontId="1" fillId="0" borderId="36" xfId="0" applyNumberFormat="1" applyFont="1" applyBorder="1"/>
    <xf numFmtId="0" fontId="10" fillId="0" borderId="2" xfId="0" applyFont="1" applyBorder="1" applyAlignment="1">
      <alignment horizontal="right" wrapText="1"/>
    </xf>
    <xf numFmtId="0" fontId="2" fillId="33" borderId="5" xfId="0" applyFont="1" applyFill="1" applyBorder="1" applyAlignment="1">
      <alignment horizontal="right" wrapText="1"/>
    </xf>
    <xf numFmtId="0" fontId="2" fillId="33" borderId="5" xfId="0" applyFont="1" applyFill="1" applyBorder="1" applyAlignment="1">
      <alignment horizontal="left" wrapText="1"/>
    </xf>
    <xf numFmtId="0" fontId="10" fillId="33" borderId="5" xfId="0" applyFont="1" applyFill="1" applyBorder="1"/>
    <xf numFmtId="0" fontId="7" fillId="33" borderId="5" xfId="0" applyFont="1" applyFill="1" applyBorder="1" applyAlignment="1">
      <alignment horizontal="center" wrapText="1"/>
    </xf>
    <xf numFmtId="164" fontId="2" fillId="21" borderId="2" xfId="0" applyNumberFormat="1" applyFont="1" applyFill="1" applyBorder="1" applyAlignment="1">
      <alignment horizontal="center" wrapText="1"/>
    </xf>
    <xf numFmtId="164" fontId="2" fillId="9" borderId="2" xfId="0" applyNumberFormat="1" applyFont="1" applyFill="1" applyBorder="1" applyAlignment="1">
      <alignment horizontal="center" wrapText="1"/>
    </xf>
    <xf numFmtId="164" fontId="2" fillId="16" borderId="2" xfId="0" applyNumberFormat="1" applyFont="1" applyFill="1" applyBorder="1" applyAlignment="1">
      <alignment horizontal="center" wrapText="1"/>
    </xf>
    <xf numFmtId="164" fontId="2" fillId="15" borderId="1" xfId="0" applyNumberFormat="1" applyFont="1" applyFill="1" applyBorder="1" applyAlignment="1">
      <alignment wrapText="1"/>
    </xf>
    <xf numFmtId="164" fontId="2" fillId="9" borderId="1" xfId="0" applyNumberFormat="1" applyFont="1" applyFill="1" applyBorder="1" applyAlignment="1">
      <alignment horizontal="center" wrapText="1"/>
    </xf>
    <xf numFmtId="164" fontId="2" fillId="16" borderId="1" xfId="0" applyNumberFormat="1" applyFont="1" applyFill="1" applyBorder="1" applyAlignment="1">
      <alignment horizontal="center" wrapText="1"/>
    </xf>
    <xf numFmtId="164" fontId="2" fillId="18" borderId="1" xfId="0" applyNumberFormat="1" applyFont="1" applyFill="1" applyBorder="1" applyAlignment="1">
      <alignment horizontal="center" wrapText="1"/>
    </xf>
    <xf numFmtId="0" fontId="2" fillId="0" borderId="70" xfId="0" applyFont="1" applyBorder="1" applyAlignment="1">
      <alignment horizontal="center" wrapText="1"/>
    </xf>
    <xf numFmtId="0" fontId="2" fillId="0" borderId="1" xfId="0" applyFont="1" applyBorder="1" applyAlignment="1">
      <alignment horizontal="center" wrapText="1"/>
    </xf>
    <xf numFmtId="0" fontId="7" fillId="0" borderId="58" xfId="0" applyFont="1" applyBorder="1"/>
    <xf numFmtId="0" fontId="2" fillId="21" borderId="53" xfId="0" applyFont="1" applyFill="1" applyBorder="1" applyAlignment="1">
      <alignment horizontal="center" wrapText="1"/>
    </xf>
    <xf numFmtId="0" fontId="2" fillId="0" borderId="71" xfId="0" quotePrefix="1" applyFont="1" applyBorder="1" applyAlignment="1">
      <alignment horizontal="center" wrapText="1"/>
    </xf>
    <xf numFmtId="0" fontId="2" fillId="21" borderId="72" xfId="0" applyFont="1" applyFill="1" applyBorder="1" applyAlignment="1">
      <alignment horizontal="center" wrapText="1"/>
    </xf>
    <xf numFmtId="0" fontId="7" fillId="0" borderId="0" xfId="0" applyFont="1"/>
    <xf numFmtId="0" fontId="2" fillId="5" borderId="38" xfId="0" applyFont="1" applyFill="1" applyBorder="1" applyAlignment="1">
      <alignment horizontal="left" wrapText="1"/>
    </xf>
    <xf numFmtId="0" fontId="7" fillId="17" borderId="23" xfId="0" applyFont="1" applyFill="1" applyBorder="1" applyAlignment="1">
      <alignment horizontal="left" wrapText="1"/>
    </xf>
    <xf numFmtId="0" fontId="7" fillId="13" borderId="66" xfId="0" applyFont="1" applyFill="1" applyBorder="1" applyAlignment="1">
      <alignment horizontal="right" wrapText="1"/>
    </xf>
    <xf numFmtId="0" fontId="1" fillId="13" borderId="43" xfId="0" applyFont="1" applyFill="1" applyBorder="1"/>
    <xf numFmtId="0" fontId="1" fillId="0" borderId="2" xfId="0" applyFont="1" applyBorder="1" applyAlignment="1">
      <alignment horizontal="right"/>
    </xf>
    <xf numFmtId="0" fontId="16" fillId="13" borderId="43" xfId="0" applyFont="1" applyFill="1" applyBorder="1"/>
    <xf numFmtId="49" fontId="7" fillId="0" borderId="2" xfId="0" applyNumberFormat="1" applyFont="1" applyBorder="1" applyAlignment="1">
      <alignment wrapText="1"/>
    </xf>
    <xf numFmtId="0" fontId="10" fillId="0" borderId="2" xfId="0" quotePrefix="1" applyFont="1" applyBorder="1" applyAlignment="1">
      <alignment horizontal="right" wrapText="1"/>
    </xf>
    <xf numFmtId="0" fontId="7" fillId="13" borderId="44" xfId="0" applyFont="1" applyFill="1" applyBorder="1" applyAlignment="1">
      <alignment horizontal="right"/>
    </xf>
    <xf numFmtId="164" fontId="7" fillId="10" borderId="41" xfId="0" applyNumberFormat="1" applyFont="1" applyFill="1" applyBorder="1" applyAlignment="1">
      <alignment wrapText="1"/>
    </xf>
    <xf numFmtId="0" fontId="10" fillId="15" borderId="2" xfId="0" applyFont="1" applyFill="1" applyBorder="1" applyAlignment="1">
      <alignment horizontal="center" wrapText="1"/>
    </xf>
    <xf numFmtId="0" fontId="7" fillId="13" borderId="5" xfId="0" applyFont="1" applyFill="1" applyBorder="1" applyAlignment="1">
      <alignment horizontal="right"/>
    </xf>
    <xf numFmtId="0" fontId="103" fillId="15" borderId="2" xfId="0" applyFont="1" applyFill="1" applyBorder="1" applyAlignment="1">
      <alignment horizontal="center" wrapText="1"/>
    </xf>
    <xf numFmtId="0" fontId="10" fillId="17" borderId="35" xfId="0" applyFont="1" applyFill="1" applyBorder="1"/>
    <xf numFmtId="0" fontId="11" fillId="13" borderId="43" xfId="0" applyFont="1" applyFill="1" applyBorder="1" applyAlignment="1">
      <alignment horizontal="right"/>
    </xf>
    <xf numFmtId="49" fontId="11" fillId="0" borderId="2" xfId="0" applyNumberFormat="1" applyFont="1" applyBorder="1" applyAlignment="1">
      <alignment horizontal="right"/>
    </xf>
    <xf numFmtId="0" fontId="7" fillId="0" borderId="45" xfId="0" applyFont="1" applyBorder="1" applyAlignment="1">
      <alignment wrapText="1"/>
    </xf>
    <xf numFmtId="172" fontId="17" fillId="0" borderId="2" xfId="0" applyNumberFormat="1" applyFont="1" applyBorder="1" applyAlignment="1">
      <alignment horizontal="left" wrapText="1"/>
    </xf>
    <xf numFmtId="0" fontId="84" fillId="13" borderId="43" xfId="0" applyFont="1" applyFill="1" applyBorder="1" applyAlignment="1">
      <alignment horizontal="right"/>
    </xf>
    <xf numFmtId="0" fontId="7" fillId="0" borderId="65" xfId="0" applyFont="1" applyBorder="1" applyAlignment="1">
      <alignment wrapText="1"/>
    </xf>
    <xf numFmtId="0" fontId="7" fillId="13" borderId="38" xfId="0" applyFont="1" applyFill="1" applyBorder="1" applyAlignment="1">
      <alignment horizontal="right" wrapText="1"/>
    </xf>
    <xf numFmtId="0" fontId="17" fillId="0" borderId="39" xfId="0" applyFont="1" applyBorder="1" applyAlignment="1">
      <alignment horizontal="left" wrapText="1"/>
    </xf>
    <xf numFmtId="0" fontId="10" fillId="0" borderId="45" xfId="0" applyFont="1" applyBorder="1" applyAlignment="1">
      <alignment wrapText="1"/>
    </xf>
    <xf numFmtId="0" fontId="10" fillId="0" borderId="39" xfId="0" applyFont="1" applyBorder="1" applyAlignment="1">
      <alignment wrapText="1"/>
    </xf>
    <xf numFmtId="0" fontId="17" fillId="13" borderId="5" xfId="0" applyFont="1" applyFill="1" applyBorder="1" applyAlignment="1">
      <alignment horizontal="right"/>
    </xf>
    <xf numFmtId="49" fontId="7" fillId="0" borderId="0" xfId="0" applyNumberFormat="1" applyFont="1" applyAlignment="1">
      <alignment horizontal="right" wrapText="1"/>
    </xf>
    <xf numFmtId="49" fontId="7" fillId="0" borderId="0" xfId="0" applyNumberFormat="1" applyFont="1" applyAlignment="1">
      <alignment vertical="center" wrapText="1"/>
    </xf>
    <xf numFmtId="0" fontId="7" fillId="9" borderId="2" xfId="0" applyFont="1" applyFill="1" applyBorder="1" applyAlignment="1">
      <alignment horizontal="right" wrapText="1"/>
    </xf>
    <xf numFmtId="0" fontId="7" fillId="5" borderId="2" xfId="0" applyFont="1" applyFill="1" applyBorder="1" applyAlignment="1">
      <alignment horizontal="right" wrapText="1"/>
    </xf>
    <xf numFmtId="0" fontId="7" fillId="41" borderId="2" xfId="0" applyFont="1" applyFill="1" applyBorder="1" applyAlignment="1">
      <alignment horizontal="center" wrapText="1"/>
    </xf>
    <xf numFmtId="0" fontId="7" fillId="30" borderId="2" xfId="0" applyFont="1" applyFill="1" applyBorder="1" applyAlignment="1">
      <alignment horizontal="center" wrapText="1"/>
    </xf>
    <xf numFmtId="0" fontId="7" fillId="8" borderId="2" xfId="0" applyFont="1" applyFill="1" applyBorder="1" applyAlignment="1">
      <alignment horizontal="right" wrapText="1"/>
    </xf>
    <xf numFmtId="0" fontId="1" fillId="6" borderId="5" xfId="0" applyFont="1" applyFill="1" applyBorder="1"/>
    <xf numFmtId="0" fontId="128" fillId="0" borderId="0" xfId="0" applyFont="1"/>
    <xf numFmtId="0" fontId="10" fillId="0" borderId="0" xfId="0" applyFont="1" applyAlignment="1">
      <alignment vertical="center"/>
    </xf>
    <xf numFmtId="0" fontId="1" fillId="0" borderId="0" xfId="0" applyFont="1" applyAlignment="1">
      <alignment wrapText="1"/>
    </xf>
    <xf numFmtId="0" fontId="19" fillId="37" borderId="2" xfId="0" quotePrefix="1" applyFont="1" applyFill="1" applyBorder="1" applyAlignment="1">
      <alignment vertical="top" wrapText="1"/>
    </xf>
    <xf numFmtId="0" fontId="7" fillId="37" borderId="2" xfId="0" applyFont="1" applyFill="1" applyBorder="1" applyAlignment="1">
      <alignment vertical="top" wrapText="1"/>
    </xf>
    <xf numFmtId="0" fontId="23" fillId="36" borderId="2" xfId="0" applyFont="1" applyFill="1" applyBorder="1" applyAlignment="1">
      <alignment vertical="top" wrapText="1"/>
    </xf>
    <xf numFmtId="0" fontId="115" fillId="0" borderId="69" xfId="0" applyFont="1" applyBorder="1" applyAlignment="1">
      <alignment horizontal="right" vertical="top" wrapText="1"/>
    </xf>
    <xf numFmtId="171" fontId="19" fillId="4" borderId="2" xfId="0" applyNumberFormat="1" applyFont="1" applyFill="1" applyBorder="1" applyAlignment="1">
      <alignment horizontal="center" vertical="top" wrapText="1"/>
    </xf>
    <xf numFmtId="171" fontId="129" fillId="38" borderId="2" xfId="0" applyNumberFormat="1" applyFont="1" applyFill="1" applyBorder="1" applyAlignment="1">
      <alignment horizontal="right" vertical="top" wrapText="1"/>
    </xf>
    <xf numFmtId="0" fontId="115" fillId="37" borderId="2" xfId="0" applyFont="1" applyFill="1" applyBorder="1" applyAlignment="1">
      <alignment horizontal="left" vertical="top"/>
    </xf>
    <xf numFmtId="0" fontId="19" fillId="6" borderId="5" xfId="0" applyFont="1" applyFill="1" applyBorder="1" applyAlignment="1">
      <alignment vertical="top" wrapText="1"/>
    </xf>
    <xf numFmtId="165" fontId="19" fillId="37" borderId="2" xfId="0" applyNumberFormat="1" applyFont="1" applyFill="1" applyBorder="1" applyAlignment="1">
      <alignment vertical="top" wrapText="1"/>
    </xf>
    <xf numFmtId="0" fontId="19" fillId="38" borderId="2" xfId="0" applyFont="1" applyFill="1" applyBorder="1" applyAlignment="1">
      <alignment horizontal="right" vertical="top" wrapText="1"/>
    </xf>
    <xf numFmtId="171" fontId="19" fillId="38" borderId="20" xfId="0" applyNumberFormat="1" applyFont="1" applyFill="1" applyBorder="1" applyAlignment="1">
      <alignment horizontal="right" vertical="top" wrapText="1"/>
    </xf>
    <xf numFmtId="171" fontId="114" fillId="36" borderId="2" xfId="0" applyNumberFormat="1" applyFont="1" applyFill="1" applyBorder="1" applyAlignment="1">
      <alignment vertical="top" wrapText="1"/>
    </xf>
    <xf numFmtId="0" fontId="7" fillId="15" borderId="2" xfId="0" applyFont="1" applyFill="1" applyBorder="1" applyAlignment="1">
      <alignment horizontal="center" vertical="center" wrapText="1"/>
    </xf>
    <xf numFmtId="10" fontId="7" fillId="15" borderId="2" xfId="0" applyNumberFormat="1" applyFont="1" applyFill="1" applyBorder="1" applyAlignment="1">
      <alignment horizontal="left" wrapText="1"/>
    </xf>
    <xf numFmtId="0" fontId="7" fillId="0" borderId="2" xfId="0" applyFont="1" applyBorder="1" applyAlignment="1">
      <alignment horizontal="right"/>
    </xf>
    <xf numFmtId="164" fontId="7" fillId="0" borderId="39" xfId="0" applyNumberFormat="1" applyFont="1" applyBorder="1" applyAlignment="1">
      <alignment wrapText="1"/>
    </xf>
    <xf numFmtId="10" fontId="7" fillId="15" borderId="41" xfId="0" applyNumberFormat="1" applyFont="1" applyFill="1" applyBorder="1" applyAlignment="1">
      <alignment horizontal="left" wrapText="1"/>
    </xf>
    <xf numFmtId="0" fontId="7" fillId="0" borderId="2" xfId="0" quotePrefix="1" applyFont="1" applyBorder="1" applyAlignment="1">
      <alignment horizontal="right"/>
    </xf>
    <xf numFmtId="10" fontId="7" fillId="15" borderId="35" xfId="0" applyNumberFormat="1" applyFont="1" applyFill="1" applyBorder="1" applyAlignment="1">
      <alignment horizontal="left" wrapText="1"/>
    </xf>
    <xf numFmtId="10" fontId="7" fillId="15" borderId="43" xfId="0" applyNumberFormat="1" applyFont="1" applyFill="1" applyBorder="1" applyAlignment="1">
      <alignment wrapText="1"/>
    </xf>
    <xf numFmtId="10" fontId="7" fillId="15" borderId="23" xfId="0" applyNumberFormat="1" applyFont="1" applyFill="1" applyBorder="1" applyAlignment="1">
      <alignment horizontal="left" wrapText="1"/>
    </xf>
    <xf numFmtId="0" fontId="7" fillId="0" borderId="0" xfId="0" applyFont="1" applyAlignment="1">
      <alignment horizontal="right"/>
    </xf>
    <xf numFmtId="0" fontId="130" fillId="0" borderId="2" xfId="0" applyFont="1" applyBorder="1" applyAlignment="1">
      <alignment wrapText="1"/>
    </xf>
    <xf numFmtId="49" fontId="131" fillId="0" borderId="2" xfId="0" applyNumberFormat="1" applyFont="1" applyBorder="1" applyAlignment="1">
      <alignment horizontal="center" wrapText="1"/>
    </xf>
    <xf numFmtId="0" fontId="132" fillId="6" borderId="2" xfId="0" applyFont="1" applyFill="1" applyBorder="1" applyAlignment="1">
      <alignment wrapText="1"/>
    </xf>
    <xf numFmtId="0" fontId="36" fillId="0" borderId="2" xfId="0" applyFont="1" applyBorder="1" applyAlignment="1">
      <alignment wrapText="1"/>
    </xf>
    <xf numFmtId="0" fontId="7" fillId="0" borderId="21" xfId="0" applyFont="1" applyBorder="1" applyAlignment="1">
      <alignment horizontal="center" vertical="center" wrapText="1"/>
    </xf>
    <xf numFmtId="49" fontId="133" fillId="0" borderId="21" xfId="0" applyNumberFormat="1" applyFont="1" applyBorder="1" applyAlignment="1">
      <alignment horizontal="center" wrapText="1"/>
    </xf>
    <xf numFmtId="0" fontId="7" fillId="0" borderId="21" xfId="0" applyFont="1" applyBorder="1" applyAlignment="1">
      <alignment horizontal="right"/>
    </xf>
    <xf numFmtId="0" fontId="7" fillId="0" borderId="46" xfId="0" applyFont="1" applyBorder="1" applyAlignment="1">
      <alignment horizontal="center" wrapText="1"/>
    </xf>
    <xf numFmtId="0" fontId="7" fillId="0" borderId="27" xfId="0" applyFont="1" applyBorder="1" applyAlignment="1">
      <alignment horizontal="center" vertical="center" wrapText="1"/>
    </xf>
    <xf numFmtId="0" fontId="134" fillId="0" borderId="39" xfId="0" applyFont="1" applyBorder="1" applyAlignment="1">
      <alignment horizontal="center" wrapText="1"/>
    </xf>
    <xf numFmtId="49" fontId="7" fillId="0" borderId="39" xfId="0" applyNumberFormat="1" applyFont="1" applyBorder="1" applyAlignment="1">
      <alignment horizontal="left" wrapText="1"/>
    </xf>
    <xf numFmtId="0" fontId="7" fillId="13" borderId="41" xfId="0" applyFont="1" applyFill="1" applyBorder="1" applyAlignment="1">
      <alignment horizontal="center" wrapText="1"/>
    </xf>
    <xf numFmtId="0" fontId="7" fillId="0" borderId="21" xfId="0" applyFont="1" applyBorder="1" applyAlignment="1">
      <alignment horizontal="center" vertical="center"/>
    </xf>
    <xf numFmtId="0" fontId="135" fillId="0" borderId="2" xfId="0" applyFont="1" applyBorder="1" applyAlignment="1">
      <alignment horizontal="left"/>
    </xf>
    <xf numFmtId="49" fontId="136" fillId="0" borderId="2" xfId="0" applyNumberFormat="1" applyFont="1" applyBorder="1" applyAlignment="1">
      <alignment horizontal="center" wrapText="1"/>
    </xf>
    <xf numFmtId="49" fontId="137" fillId="0" borderId="21" xfId="0" applyNumberFormat="1" applyFont="1" applyBorder="1" applyAlignment="1">
      <alignment horizontal="center" wrapText="1"/>
    </xf>
    <xf numFmtId="0" fontId="138" fillId="0" borderId="2" xfId="0" applyFont="1" applyBorder="1" applyAlignment="1">
      <alignment horizontal="center" wrapText="1"/>
    </xf>
    <xf numFmtId="0" fontId="7" fillId="0" borderId="39" xfId="0" applyFont="1" applyBorder="1" applyAlignment="1">
      <alignment horizontal="right"/>
    </xf>
    <xf numFmtId="49" fontId="7" fillId="0" borderId="39" xfId="0" quotePrefix="1" applyNumberFormat="1" applyFont="1" applyBorder="1" applyAlignment="1">
      <alignment horizontal="center" wrapText="1"/>
    </xf>
    <xf numFmtId="49" fontId="7" fillId="0" borderId="39" xfId="0" applyNumberFormat="1" applyFont="1" applyBorder="1" applyAlignment="1">
      <alignment horizontal="center" wrapText="1"/>
    </xf>
    <xf numFmtId="49" fontId="7" fillId="0" borderId="36" xfId="0" applyNumberFormat="1" applyFont="1" applyBorder="1" applyAlignment="1">
      <alignment horizontal="left" wrapText="1"/>
    </xf>
    <xf numFmtId="49" fontId="7" fillId="0" borderId="2" xfId="0" applyNumberFormat="1" applyFont="1" applyBorder="1" applyAlignment="1">
      <alignment horizontal="right"/>
    </xf>
    <xf numFmtId="49" fontId="139" fillId="0" borderId="36" xfId="0" quotePrefix="1" applyNumberFormat="1" applyFont="1" applyBorder="1" applyAlignment="1">
      <alignment horizontal="center" wrapText="1"/>
    </xf>
    <xf numFmtId="0" fontId="7" fillId="15" borderId="5" xfId="0" applyFont="1" applyFill="1" applyBorder="1" applyAlignment="1">
      <alignment wrapText="1"/>
    </xf>
    <xf numFmtId="164" fontId="7" fillId="0" borderId="27" xfId="0" applyNumberFormat="1" applyFont="1" applyBorder="1" applyAlignment="1">
      <alignment wrapText="1"/>
    </xf>
    <xf numFmtId="164" fontId="7" fillId="15" borderId="5" xfId="0" applyNumberFormat="1" applyFont="1" applyFill="1" applyBorder="1" applyAlignment="1">
      <alignment wrapText="1"/>
    </xf>
    <xf numFmtId="166" fontId="7" fillId="15" borderId="5" xfId="0" applyNumberFormat="1" applyFont="1" applyFill="1" applyBorder="1" applyAlignment="1">
      <alignment horizontal="center" wrapText="1"/>
    </xf>
    <xf numFmtId="0" fontId="7" fillId="15" borderId="5" xfId="0" applyFont="1" applyFill="1" applyBorder="1" applyAlignment="1">
      <alignment horizontal="center" wrapText="1"/>
    </xf>
    <xf numFmtId="0" fontId="140" fillId="0" borderId="21" xfId="0" applyFont="1" applyBorder="1" applyAlignment="1">
      <alignment horizontal="center" wrapText="1"/>
    </xf>
    <xf numFmtId="0" fontId="7" fillId="0" borderId="21" xfId="0" applyFont="1" applyBorder="1" applyAlignment="1">
      <alignment horizontal="center"/>
    </xf>
    <xf numFmtId="0" fontId="17" fillId="15" borderId="2" xfId="0" applyFont="1" applyFill="1" applyBorder="1" applyAlignment="1">
      <alignment wrapText="1"/>
    </xf>
    <xf numFmtId="0" fontId="7" fillId="2" borderId="2" xfId="0" applyFont="1" applyFill="1" applyBorder="1" applyAlignment="1">
      <alignment wrapText="1"/>
    </xf>
    <xf numFmtId="0" fontId="7" fillId="4" borderId="35" xfId="0" applyFont="1" applyFill="1" applyBorder="1" applyAlignment="1">
      <alignment horizontal="center" wrapText="1"/>
    </xf>
    <xf numFmtId="49" fontId="28" fillId="0" borderId="0" xfId="0" quotePrefix="1" applyNumberFormat="1" applyFont="1"/>
    <xf numFmtId="177" fontId="7" fillId="15" borderId="2" xfId="0" applyNumberFormat="1" applyFont="1" applyFill="1" applyBorder="1" applyAlignment="1">
      <alignment horizontal="center" wrapText="1"/>
    </xf>
    <xf numFmtId="0" fontId="2" fillId="0" borderId="21" xfId="0" quotePrefix="1" applyFont="1" applyBorder="1" applyAlignment="1">
      <alignment horizontal="center" wrapText="1"/>
    </xf>
    <xf numFmtId="0" fontId="2" fillId="0" borderId="2" xfId="0" quotePrefix="1" applyFont="1" applyBorder="1" applyAlignment="1">
      <alignment horizontal="left" wrapText="1"/>
    </xf>
    <xf numFmtId="49" fontId="2" fillId="0" borderId="2" xfId="0" quotePrefix="1" applyNumberFormat="1" applyFont="1" applyBorder="1" applyAlignment="1">
      <alignment horizontal="center" wrapText="1"/>
    </xf>
    <xf numFmtId="49" fontId="2" fillId="0" borderId="2" xfId="0" quotePrefix="1" applyNumberFormat="1" applyFont="1" applyBorder="1" applyAlignment="1">
      <alignment horizontal="center" vertical="center" wrapText="1"/>
    </xf>
    <xf numFmtId="0" fontId="2" fillId="0" borderId="2" xfId="0" quotePrefix="1" applyFont="1" applyBorder="1" applyAlignment="1">
      <alignment horizontal="center" wrapText="1"/>
    </xf>
    <xf numFmtId="0" fontId="2" fillId="21" borderId="2" xfId="0" applyFont="1" applyFill="1" applyBorder="1" applyAlignment="1">
      <alignment horizontal="center" wrapText="1"/>
    </xf>
    <xf numFmtId="0" fontId="2" fillId="0" borderId="34" xfId="0" quotePrefix="1" applyFont="1" applyBorder="1" applyAlignment="1">
      <alignment horizontal="center" wrapText="1"/>
    </xf>
    <xf numFmtId="0" fontId="7" fillId="0" borderId="0" xfId="0" applyFont="1" applyAlignment="1">
      <alignment vertical="top" wrapText="1"/>
    </xf>
    <xf numFmtId="0" fontId="2" fillId="21" borderId="73" xfId="0" applyFont="1" applyFill="1" applyBorder="1" applyAlignment="1">
      <alignment horizontal="center" vertical="center" wrapText="1"/>
    </xf>
    <xf numFmtId="0" fontId="2" fillId="21" borderId="74" xfId="0" applyFont="1" applyFill="1" applyBorder="1" applyAlignment="1">
      <alignment horizontal="center" vertical="center" wrapText="1"/>
    </xf>
    <xf numFmtId="0" fontId="2" fillId="21" borderId="75" xfId="0" applyFont="1" applyFill="1" applyBorder="1" applyAlignment="1">
      <alignment horizontal="center" vertical="center" wrapText="1"/>
    </xf>
    <xf numFmtId="0" fontId="2" fillId="0" borderId="74" xfId="0" quotePrefix="1" applyFont="1" applyBorder="1" applyAlignment="1">
      <alignment horizontal="right" wrapText="1"/>
    </xf>
    <xf numFmtId="0" fontId="2" fillId="21" borderId="73" xfId="0" applyFont="1" applyFill="1" applyBorder="1" applyAlignment="1">
      <alignment horizontal="center" wrapText="1"/>
    </xf>
    <xf numFmtId="0" fontId="2" fillId="0" borderId="0" xfId="0" applyFont="1" applyAlignment="1">
      <alignment vertical="top" wrapText="1"/>
    </xf>
    <xf numFmtId="0" fontId="2" fillId="21" borderId="76" xfId="0" applyFont="1" applyFill="1" applyBorder="1" applyAlignment="1">
      <alignment horizontal="center" vertical="center" wrapText="1"/>
    </xf>
    <xf numFmtId="0" fontId="2" fillId="21" borderId="77" xfId="0" applyFont="1" applyFill="1" applyBorder="1" applyAlignment="1">
      <alignment horizontal="center" vertical="center" wrapText="1"/>
    </xf>
    <xf numFmtId="0" fontId="2" fillId="21" borderId="78" xfId="0" applyFont="1" applyFill="1" applyBorder="1" applyAlignment="1">
      <alignment horizontal="center" vertical="center" wrapText="1"/>
    </xf>
    <xf numFmtId="0" fontId="2" fillId="0" borderId="77" xfId="0" quotePrefix="1" applyFont="1" applyBorder="1" applyAlignment="1">
      <alignment horizontal="right" wrapText="1"/>
    </xf>
    <xf numFmtId="0" fontId="2" fillId="21" borderId="76" xfId="0" applyFont="1" applyFill="1" applyBorder="1" applyAlignment="1">
      <alignment horizontal="center" wrapText="1"/>
    </xf>
    <xf numFmtId="0" fontId="2" fillId="21" borderId="79" xfId="0" applyFont="1" applyFill="1" applyBorder="1" applyAlignment="1">
      <alignment horizontal="center" vertical="center" wrapText="1"/>
    </xf>
    <xf numFmtId="0" fontId="2" fillId="21" borderId="41" xfId="0" applyFont="1" applyFill="1" applyBorder="1" applyAlignment="1">
      <alignment horizontal="center" vertical="center" wrapText="1"/>
    </xf>
    <xf numFmtId="0" fontId="2" fillId="21" borderId="80" xfId="0" applyFont="1" applyFill="1" applyBorder="1" applyAlignment="1">
      <alignment horizontal="center" vertical="center" wrapText="1"/>
    </xf>
    <xf numFmtId="0" fontId="36" fillId="11" borderId="2" xfId="0" applyFont="1" applyFill="1" applyBorder="1" applyAlignment="1">
      <alignment horizontal="center"/>
    </xf>
    <xf numFmtId="0" fontId="36" fillId="11" borderId="23" xfId="0" applyFont="1" applyFill="1" applyBorder="1" applyAlignment="1">
      <alignment horizontal="center"/>
    </xf>
    <xf numFmtId="0" fontId="11" fillId="0" borderId="0" xfId="0" applyFont="1"/>
    <xf numFmtId="0" fontId="141" fillId="11" borderId="23" xfId="0" applyFont="1" applyFill="1" applyBorder="1" applyAlignment="1">
      <alignment horizontal="center"/>
    </xf>
    <xf numFmtId="0" fontId="17" fillId="11" borderId="23" xfId="0" applyFont="1" applyFill="1" applyBorder="1" applyAlignment="1">
      <alignment horizontal="center"/>
    </xf>
    <xf numFmtId="0" fontId="142" fillId="11" borderId="23" xfId="0" applyFont="1" applyFill="1" applyBorder="1" applyAlignment="1">
      <alignment horizontal="center"/>
    </xf>
    <xf numFmtId="0" fontId="17" fillId="3" borderId="23" xfId="0" applyFont="1" applyFill="1" applyBorder="1" applyAlignment="1">
      <alignment horizontal="center"/>
    </xf>
    <xf numFmtId="0" fontId="17" fillId="6" borderId="23" xfId="0" applyFont="1" applyFill="1" applyBorder="1" applyAlignment="1">
      <alignment horizontal="center"/>
    </xf>
    <xf numFmtId="0" fontId="10" fillId="42" borderId="5" xfId="0" applyFont="1" applyFill="1" applyBorder="1"/>
    <xf numFmtId="0" fontId="10" fillId="43" borderId="5" xfId="0" applyFont="1" applyFill="1" applyBorder="1"/>
    <xf numFmtId="0" fontId="10" fillId="44" borderId="5" xfId="0" applyFont="1" applyFill="1" applyBorder="1"/>
    <xf numFmtId="0" fontId="10" fillId="14" borderId="5" xfId="0" applyFont="1" applyFill="1" applyBorder="1" applyAlignment="1">
      <alignment wrapText="1"/>
    </xf>
    <xf numFmtId="0" fontId="10" fillId="12" borderId="5" xfId="0" applyFont="1" applyFill="1" applyBorder="1" applyAlignment="1">
      <alignment wrapText="1"/>
    </xf>
    <xf numFmtId="0" fontId="10" fillId="0" borderId="0" xfId="0" applyFont="1" applyAlignment="1">
      <alignment wrapText="1"/>
    </xf>
    <xf numFmtId="0" fontId="7" fillId="0" borderId="0" xfId="0" applyFont="1" applyAlignment="1">
      <alignment horizontal="left"/>
    </xf>
    <xf numFmtId="0" fontId="2" fillId="45" borderId="2" xfId="0" applyFont="1" applyFill="1" applyBorder="1"/>
    <xf numFmtId="0" fontId="2" fillId="0" borderId="0" xfId="0" applyFont="1"/>
    <xf numFmtId="0" fontId="2" fillId="45" borderId="5" xfId="0" applyFont="1" applyFill="1" applyBorder="1"/>
    <xf numFmtId="0" fontId="50" fillId="0" borderId="2" xfId="0" applyFont="1" applyBorder="1"/>
    <xf numFmtId="0" fontId="7" fillId="45" borderId="2" xfId="0" applyFont="1" applyFill="1" applyBorder="1"/>
    <xf numFmtId="0" fontId="50" fillId="0" borderId="0" xfId="0" applyFont="1"/>
    <xf numFmtId="0" fontId="14" fillId="0" borderId="0" xfId="0" applyFont="1"/>
    <xf numFmtId="0" fontId="144" fillId="45" borderId="40" xfId="0" applyFont="1" applyFill="1" applyBorder="1" applyAlignment="1">
      <alignment horizontal="left" vertical="top"/>
    </xf>
    <xf numFmtId="0" fontId="7" fillId="45" borderId="44" xfId="0" applyFont="1" applyFill="1" applyBorder="1" applyAlignment="1">
      <alignment horizontal="left" vertical="top"/>
    </xf>
    <xf numFmtId="0" fontId="7" fillId="0" borderId="65" xfId="0" applyFont="1" applyBorder="1" applyAlignment="1">
      <alignment horizontal="left" vertical="top"/>
    </xf>
    <xf numFmtId="0" fontId="7" fillId="0" borderId="46" xfId="0" applyFont="1" applyBorder="1"/>
    <xf numFmtId="0" fontId="2" fillId="0" borderId="2" xfId="0" applyFont="1" applyBorder="1"/>
    <xf numFmtId="0" fontId="7" fillId="0" borderId="54" xfId="0" applyFont="1" applyBorder="1" applyAlignment="1">
      <alignment horizontal="left" vertical="top"/>
    </xf>
    <xf numFmtId="0" fontId="7" fillId="0" borderId="0" xfId="0" applyFont="1" applyAlignment="1">
      <alignment horizontal="left" vertical="top"/>
    </xf>
    <xf numFmtId="0" fontId="7" fillId="0" borderId="48" xfId="0" applyFont="1" applyBorder="1"/>
    <xf numFmtId="0" fontId="7" fillId="0" borderId="54" xfId="0" applyFont="1" applyBorder="1"/>
    <xf numFmtId="0" fontId="2" fillId="0" borderId="54" xfId="0" applyFont="1" applyBorder="1"/>
    <xf numFmtId="0" fontId="2" fillId="0" borderId="48" xfId="0" applyFont="1" applyBorder="1"/>
    <xf numFmtId="0" fontId="14" fillId="0" borderId="2" xfId="0" applyFont="1" applyBorder="1" applyAlignment="1">
      <alignment horizontal="left"/>
    </xf>
    <xf numFmtId="0" fontId="50" fillId="0" borderId="2" xfId="0" applyFont="1" applyBorder="1" applyAlignment="1">
      <alignment horizontal="left"/>
    </xf>
    <xf numFmtId="0" fontId="145" fillId="0" borderId="48" xfId="0" applyFont="1" applyBorder="1"/>
    <xf numFmtId="0" fontId="145" fillId="0" borderId="0" xfId="0" applyFont="1"/>
    <xf numFmtId="0" fontId="7" fillId="0" borderId="48" xfId="0" applyFont="1" applyBorder="1" applyAlignment="1">
      <alignment horizontal="right"/>
    </xf>
    <xf numFmtId="0" fontId="7" fillId="0" borderId="22" xfId="0" applyFont="1" applyBorder="1" applyAlignment="1">
      <alignment horizontal="left" vertical="top"/>
    </xf>
    <xf numFmtId="0" fontId="7" fillId="0" borderId="33" xfId="0" applyFont="1" applyBorder="1" applyAlignment="1">
      <alignment horizontal="left" vertical="top"/>
    </xf>
    <xf numFmtId="0" fontId="7" fillId="0" borderId="24" xfId="0" applyFont="1" applyBorder="1"/>
    <xf numFmtId="0" fontId="2" fillId="45" borderId="5" xfId="0" applyFont="1" applyFill="1" applyBorder="1" applyAlignment="1">
      <alignment horizontal="left"/>
    </xf>
    <xf numFmtId="0" fontId="146" fillId="0" borderId="0" xfId="0" applyFont="1"/>
    <xf numFmtId="0" fontId="147" fillId="0" borderId="0" xfId="0" applyFont="1"/>
    <xf numFmtId="0" fontId="146" fillId="0" borderId="0" xfId="0" applyFont="1" applyAlignment="1">
      <alignment horizontal="right"/>
    </xf>
    <xf numFmtId="0" fontId="146" fillId="35" borderId="5" xfId="0" applyFont="1" applyFill="1" applyBorder="1"/>
    <xf numFmtId="0" fontId="146" fillId="0" borderId="0" xfId="0" applyFont="1" applyAlignment="1">
      <alignment wrapText="1"/>
    </xf>
    <xf numFmtId="0" fontId="146" fillId="6" borderId="5" xfId="0" applyFont="1" applyFill="1" applyBorder="1"/>
    <xf numFmtId="0" fontId="148" fillId="0" borderId="0" xfId="0" applyFont="1"/>
    <xf numFmtId="0" fontId="12" fillId="0" borderId="0" xfId="0" applyFont="1"/>
    <xf numFmtId="0" fontId="146" fillId="46" borderId="5" xfId="0" applyFont="1" applyFill="1" applyBorder="1"/>
    <xf numFmtId="0" fontId="146" fillId="0" borderId="0" xfId="0" applyFont="1" applyAlignment="1">
      <alignment horizontal="left" vertical="center" wrapText="1"/>
    </xf>
    <xf numFmtId="0" fontId="146" fillId="0" borderId="8" xfId="0" applyFont="1" applyBorder="1" applyAlignment="1">
      <alignment wrapText="1"/>
    </xf>
    <xf numFmtId="0" fontId="147" fillId="0" borderId="18" xfId="0" applyFont="1" applyBorder="1" applyAlignment="1">
      <alignment wrapText="1"/>
    </xf>
    <xf numFmtId="0" fontId="147" fillId="0" borderId="18" xfId="0" applyFont="1" applyBorder="1" applyAlignment="1">
      <alignment horizontal="center" wrapText="1"/>
    </xf>
    <xf numFmtId="0" fontId="147" fillId="0" borderId="70" xfId="0" applyFont="1" applyBorder="1" applyAlignment="1">
      <alignment horizontal="center" wrapText="1"/>
    </xf>
    <xf numFmtId="0" fontId="147" fillId="0" borderId="81" xfId="0" applyFont="1" applyBorder="1" applyAlignment="1">
      <alignment horizontal="center" wrapText="1"/>
    </xf>
    <xf numFmtId="0" fontId="146" fillId="0" borderId="82" xfId="0" applyFont="1" applyBorder="1" applyAlignment="1">
      <alignment wrapText="1"/>
    </xf>
    <xf numFmtId="0" fontId="146" fillId="0" borderId="83" xfId="0" applyFont="1" applyBorder="1" applyAlignment="1">
      <alignment wrapText="1"/>
    </xf>
    <xf numFmtId="17" fontId="146" fillId="35" borderId="84" xfId="0" applyNumberFormat="1" applyFont="1" applyFill="1" applyBorder="1" applyAlignment="1">
      <alignment wrapText="1"/>
    </xf>
    <xf numFmtId="17" fontId="146" fillId="35" borderId="85" xfId="0" applyNumberFormat="1" applyFont="1" applyFill="1" applyBorder="1" applyAlignment="1">
      <alignment wrapText="1"/>
    </xf>
    <xf numFmtId="17" fontId="146" fillId="35" borderId="60" xfId="0" applyNumberFormat="1" applyFont="1" applyFill="1" applyBorder="1" applyAlignment="1">
      <alignment wrapText="1"/>
    </xf>
    <xf numFmtId="0" fontId="146" fillId="35" borderId="60" xfId="0" applyFont="1" applyFill="1" applyBorder="1" applyAlignment="1">
      <alignment wrapText="1"/>
    </xf>
    <xf numFmtId="0" fontId="149" fillId="0" borderId="86" xfId="0" applyFont="1" applyBorder="1" applyAlignment="1">
      <alignment wrapText="1"/>
    </xf>
    <xf numFmtId="0" fontId="150" fillId="0" borderId="0" xfId="0" applyFont="1"/>
    <xf numFmtId="0" fontId="146" fillId="0" borderId="68" xfId="0" applyFont="1" applyBorder="1" applyAlignment="1">
      <alignment wrapText="1"/>
    </xf>
    <xf numFmtId="17" fontId="146" fillId="35" borderId="87" xfId="0" applyNumberFormat="1" applyFont="1" applyFill="1" applyBorder="1" applyAlignment="1">
      <alignment wrapText="1"/>
    </xf>
    <xf numFmtId="17" fontId="146" fillId="35" borderId="5" xfId="0" applyNumberFormat="1" applyFont="1" applyFill="1" applyBorder="1" applyAlignment="1">
      <alignment wrapText="1"/>
    </xf>
    <xf numFmtId="17" fontId="146" fillId="35" borderId="88" xfId="0" applyNumberFormat="1" applyFont="1" applyFill="1" applyBorder="1" applyAlignment="1">
      <alignment wrapText="1"/>
    </xf>
    <xf numFmtId="0" fontId="146" fillId="35" borderId="88" xfId="0" applyFont="1" applyFill="1" applyBorder="1" applyAlignment="1">
      <alignment wrapText="1"/>
    </xf>
    <xf numFmtId="0" fontId="146" fillId="0" borderId="89" xfId="0" applyFont="1" applyBorder="1" applyAlignment="1">
      <alignment wrapText="1"/>
    </xf>
    <xf numFmtId="0" fontId="151" fillId="0" borderId="89" xfId="0" applyFont="1" applyBorder="1" applyAlignment="1">
      <alignment wrapText="1"/>
    </xf>
    <xf numFmtId="17" fontId="146" fillId="46" borderId="87" xfId="0" applyNumberFormat="1" applyFont="1" applyFill="1" applyBorder="1" applyAlignment="1">
      <alignment wrapText="1"/>
    </xf>
    <xf numFmtId="17" fontId="146" fillId="6" borderId="5" xfId="0" applyNumberFormat="1" applyFont="1" applyFill="1" applyBorder="1" applyAlignment="1">
      <alignment wrapText="1"/>
    </xf>
    <xf numFmtId="17" fontId="146" fillId="6" borderId="88" xfId="0" applyNumberFormat="1" applyFont="1" applyFill="1" applyBorder="1" applyAlignment="1">
      <alignment wrapText="1"/>
    </xf>
    <xf numFmtId="0" fontId="146" fillId="0" borderId="58" xfId="0" applyFont="1" applyBorder="1" applyAlignment="1">
      <alignment wrapText="1"/>
    </xf>
    <xf numFmtId="17" fontId="146" fillId="6" borderId="87" xfId="0" applyNumberFormat="1" applyFont="1" applyFill="1" applyBorder="1" applyAlignment="1">
      <alignment wrapText="1"/>
    </xf>
    <xf numFmtId="17" fontId="146" fillId="46" borderId="88" xfId="0" applyNumberFormat="1" applyFont="1" applyFill="1" applyBorder="1" applyAlignment="1">
      <alignment wrapText="1"/>
    </xf>
    <xf numFmtId="0" fontId="146" fillId="0" borderId="57" xfId="0" applyFont="1" applyBorder="1" applyAlignment="1">
      <alignment wrapText="1"/>
    </xf>
    <xf numFmtId="0" fontId="146" fillId="0" borderId="7" xfId="0" applyFont="1" applyBorder="1" applyAlignment="1">
      <alignment wrapText="1"/>
    </xf>
    <xf numFmtId="17" fontId="146" fillId="35" borderId="52" xfId="0" applyNumberFormat="1" applyFont="1" applyFill="1" applyBorder="1" applyAlignment="1">
      <alignment wrapText="1"/>
    </xf>
    <xf numFmtId="17" fontId="146" fillId="35" borderId="90" xfId="0" applyNumberFormat="1" applyFont="1" applyFill="1" applyBorder="1" applyAlignment="1">
      <alignment wrapText="1"/>
    </xf>
    <xf numFmtId="17" fontId="146" fillId="35" borderId="61" xfId="0" applyNumberFormat="1" applyFont="1" applyFill="1" applyBorder="1" applyAlignment="1">
      <alignment wrapText="1"/>
    </xf>
    <xf numFmtId="0" fontId="146" fillId="35" borderId="61" xfId="0" applyFont="1" applyFill="1" applyBorder="1" applyAlignment="1">
      <alignment wrapText="1"/>
    </xf>
    <xf numFmtId="0" fontId="146" fillId="0" borderId="55" xfId="0" applyFont="1" applyBorder="1" applyAlignment="1">
      <alignment wrapText="1"/>
    </xf>
    <xf numFmtId="17" fontId="146" fillId="6" borderId="84" xfId="0" applyNumberFormat="1" applyFont="1" applyFill="1" applyBorder="1" applyAlignment="1">
      <alignment wrapText="1"/>
    </xf>
    <xf numFmtId="17" fontId="146" fillId="46" borderId="85" xfId="0" applyNumberFormat="1" applyFont="1" applyFill="1" applyBorder="1" applyAlignment="1">
      <alignment wrapText="1"/>
    </xf>
    <xf numFmtId="17" fontId="146" fillId="6" borderId="60" xfId="0" applyNumberFormat="1" applyFont="1" applyFill="1" applyBorder="1" applyAlignment="1">
      <alignment wrapText="1"/>
    </xf>
    <xf numFmtId="0" fontId="146" fillId="0" borderId="81" xfId="0" applyFont="1" applyBorder="1" applyAlignment="1">
      <alignment wrapText="1"/>
    </xf>
    <xf numFmtId="0" fontId="146" fillId="0" borderId="86" xfId="0" applyFont="1" applyBorder="1" applyAlignment="1">
      <alignment wrapText="1"/>
    </xf>
    <xf numFmtId="17" fontId="146" fillId="46" borderId="5" xfId="0" applyNumberFormat="1" applyFont="1" applyFill="1" applyBorder="1" applyAlignment="1">
      <alignment wrapText="1"/>
    </xf>
    <xf numFmtId="17" fontId="146" fillId="0" borderId="68" xfId="0" applyNumberFormat="1" applyFont="1" applyBorder="1" applyAlignment="1">
      <alignment wrapText="1"/>
    </xf>
    <xf numFmtId="17" fontId="146" fillId="0" borderId="58" xfId="0" applyNumberFormat="1" applyFont="1" applyBorder="1" applyAlignment="1">
      <alignment wrapText="1"/>
    </xf>
    <xf numFmtId="0" fontId="152" fillId="0" borderId="55" xfId="0" applyFont="1" applyBorder="1" applyAlignment="1">
      <alignment wrapText="1"/>
    </xf>
    <xf numFmtId="0" fontId="49" fillId="35" borderId="91" xfId="0" applyFont="1" applyFill="1" applyBorder="1" applyAlignment="1">
      <alignment wrapText="1"/>
    </xf>
    <xf numFmtId="0" fontId="146" fillId="35" borderId="92" xfId="0" applyFont="1" applyFill="1" applyBorder="1" applyAlignment="1">
      <alignment wrapText="1"/>
    </xf>
    <xf numFmtId="0" fontId="147" fillId="0" borderId="0" xfId="0" applyFont="1" applyAlignment="1">
      <alignment wrapText="1"/>
    </xf>
    <xf numFmtId="0" fontId="146" fillId="35" borderId="93" xfId="0" applyFont="1" applyFill="1" applyBorder="1" applyAlignment="1">
      <alignment wrapText="1"/>
    </xf>
    <xf numFmtId="0" fontId="146" fillId="35" borderId="91" xfId="0" applyFont="1" applyFill="1" applyBorder="1" applyAlignment="1">
      <alignment wrapText="1"/>
    </xf>
    <xf numFmtId="0" fontId="49" fillId="35" borderId="92" xfId="0" applyFont="1" applyFill="1" applyBorder="1" applyAlignment="1">
      <alignment wrapText="1"/>
    </xf>
    <xf numFmtId="17" fontId="146" fillId="0" borderId="0" xfId="0" applyNumberFormat="1" applyFont="1" applyAlignment="1">
      <alignment wrapText="1"/>
    </xf>
    <xf numFmtId="17" fontId="146" fillId="0" borderId="0" xfId="0" applyNumberFormat="1" applyFont="1"/>
    <xf numFmtId="17" fontId="146" fillId="0" borderId="58" xfId="0" applyNumberFormat="1" applyFont="1" applyBorder="1"/>
    <xf numFmtId="0" fontId="49" fillId="0" borderId="89" xfId="0" applyFont="1" applyBorder="1" applyAlignment="1">
      <alignment wrapText="1"/>
    </xf>
    <xf numFmtId="0" fontId="49" fillId="35" borderId="87" xfId="0" applyFont="1" applyFill="1" applyBorder="1" applyAlignment="1">
      <alignment wrapText="1"/>
    </xf>
    <xf numFmtId="17" fontId="49" fillId="35" borderId="88" xfId="0" applyNumberFormat="1" applyFont="1" applyFill="1" applyBorder="1" applyAlignment="1">
      <alignment wrapText="1"/>
    </xf>
    <xf numFmtId="0" fontId="49" fillId="35" borderId="93" xfId="0" applyFont="1" applyFill="1" applyBorder="1" applyAlignment="1">
      <alignment wrapText="1"/>
    </xf>
    <xf numFmtId="17" fontId="49" fillId="0" borderId="58" xfId="0" applyNumberFormat="1" applyFont="1" applyBorder="1" applyAlignment="1">
      <alignment wrapText="1"/>
    </xf>
    <xf numFmtId="17" fontId="7" fillId="0" borderId="89" xfId="0" applyNumberFormat="1" applyFont="1" applyBorder="1" applyAlignment="1">
      <alignment horizontal="center" vertical="top" wrapText="1"/>
    </xf>
    <xf numFmtId="0" fontId="49" fillId="0" borderId="0" xfId="0" applyFont="1" applyAlignment="1">
      <alignment wrapText="1"/>
    </xf>
    <xf numFmtId="17" fontId="49" fillId="35" borderId="5" xfId="0" applyNumberFormat="1" applyFont="1" applyFill="1" applyBorder="1"/>
    <xf numFmtId="0" fontId="146" fillId="35" borderId="92" xfId="0" applyFont="1" applyFill="1" applyBorder="1"/>
    <xf numFmtId="17" fontId="49" fillId="35" borderId="5" xfId="0" applyNumberFormat="1" applyFont="1" applyFill="1" applyBorder="1" applyAlignment="1">
      <alignment wrapText="1"/>
    </xf>
    <xf numFmtId="17" fontId="49" fillId="35" borderId="61" xfId="0" applyNumberFormat="1" applyFont="1" applyFill="1" applyBorder="1" applyAlignment="1">
      <alignment wrapText="1"/>
    </xf>
    <xf numFmtId="17" fontId="7" fillId="0" borderId="0" xfId="0" applyNumberFormat="1" applyFont="1" applyAlignment="1">
      <alignment horizontal="center" vertical="top" wrapText="1"/>
    </xf>
    <xf numFmtId="17" fontId="7" fillId="0" borderId="58" xfId="0" applyNumberFormat="1" applyFont="1" applyBorder="1" applyAlignment="1">
      <alignment horizontal="center" vertical="top" wrapText="1"/>
    </xf>
    <xf numFmtId="17" fontId="49" fillId="35" borderId="88" xfId="0" applyNumberFormat="1" applyFont="1" applyFill="1" applyBorder="1"/>
    <xf numFmtId="17" fontId="7" fillId="6" borderId="5" xfId="0" applyNumberFormat="1" applyFont="1" applyFill="1" applyBorder="1" applyAlignment="1">
      <alignment horizontal="center" vertical="top" wrapText="1"/>
    </xf>
    <xf numFmtId="17" fontId="7" fillId="6" borderId="88" xfId="0" applyNumberFormat="1" applyFont="1" applyFill="1" applyBorder="1" applyAlignment="1">
      <alignment horizontal="center" vertical="top" wrapText="1"/>
    </xf>
    <xf numFmtId="17" fontId="146" fillId="35" borderId="88" xfId="0" applyNumberFormat="1" applyFont="1" applyFill="1" applyBorder="1"/>
    <xf numFmtId="17" fontId="146" fillId="35" borderId="5" xfId="0" applyNumberFormat="1" applyFont="1" applyFill="1" applyBorder="1"/>
    <xf numFmtId="17" fontId="49" fillId="0" borderId="0" xfId="0" applyNumberFormat="1" applyFont="1" applyAlignment="1">
      <alignment wrapText="1"/>
    </xf>
    <xf numFmtId="0" fontId="146" fillId="0" borderId="58" xfId="0" applyFont="1" applyBorder="1"/>
    <xf numFmtId="0" fontId="49" fillId="0" borderId="68" xfId="0" applyFont="1" applyBorder="1" applyAlignment="1">
      <alignment wrapText="1"/>
    </xf>
    <xf numFmtId="17" fontId="49" fillId="35" borderId="60" xfId="0" applyNumberFormat="1" applyFont="1" applyFill="1" applyBorder="1"/>
    <xf numFmtId="17" fontId="7" fillId="0" borderId="7" xfId="0" applyNumberFormat="1" applyFont="1" applyBorder="1" applyAlignment="1">
      <alignment horizontal="center" vertical="top" wrapText="1"/>
    </xf>
    <xf numFmtId="17" fontId="49" fillId="0" borderId="7" xfId="0" applyNumberFormat="1" applyFont="1" applyBorder="1" applyAlignment="1">
      <alignment wrapText="1"/>
    </xf>
    <xf numFmtId="17" fontId="7" fillId="0" borderId="56" xfId="0" applyNumberFormat="1" applyFont="1" applyBorder="1" applyAlignment="1">
      <alignment horizontal="center" vertical="top" wrapText="1"/>
    </xf>
    <xf numFmtId="17" fontId="7" fillId="0" borderId="55" xfId="0" applyNumberFormat="1" applyFont="1" applyBorder="1" applyAlignment="1">
      <alignment horizontal="center" vertical="top" wrapText="1"/>
    </xf>
    <xf numFmtId="0" fontId="49" fillId="0" borderId="7" xfId="0" applyFont="1" applyBorder="1" applyAlignment="1">
      <alignment wrapText="1"/>
    </xf>
    <xf numFmtId="0" fontId="146" fillId="0" borderId="82" xfId="0" applyFont="1" applyBorder="1"/>
    <xf numFmtId="17" fontId="49" fillId="35" borderId="85" xfId="0" applyNumberFormat="1" applyFont="1" applyFill="1" applyBorder="1"/>
    <xf numFmtId="0" fontId="146" fillId="35" borderId="60" xfId="0" applyFont="1" applyFill="1" applyBorder="1"/>
    <xf numFmtId="0" fontId="146" fillId="0" borderId="68" xfId="0" applyFont="1" applyBorder="1"/>
    <xf numFmtId="0" fontId="146" fillId="35" borderId="88" xfId="0" applyFont="1" applyFill="1" applyBorder="1"/>
    <xf numFmtId="17" fontId="49" fillId="0" borderId="0" xfId="0" applyNumberFormat="1" applyFont="1"/>
    <xf numFmtId="0" fontId="146" fillId="46" borderId="88" xfId="0" applyFont="1" applyFill="1" applyBorder="1"/>
    <xf numFmtId="0" fontId="49" fillId="0" borderId="58" xfId="0" applyFont="1" applyBorder="1" applyAlignment="1">
      <alignment wrapText="1"/>
    </xf>
    <xf numFmtId="0" fontId="49" fillId="0" borderId="69" xfId="0" applyFont="1" applyBorder="1" applyAlignment="1">
      <alignment wrapText="1"/>
    </xf>
    <xf numFmtId="0" fontId="146" fillId="0" borderId="48" xfId="0" applyFont="1" applyBorder="1" applyAlignment="1">
      <alignment wrapText="1"/>
    </xf>
    <xf numFmtId="0" fontId="49" fillId="35" borderId="88" xfId="0" applyFont="1" applyFill="1" applyBorder="1"/>
    <xf numFmtId="17" fontId="49" fillId="0" borderId="7" xfId="0" applyNumberFormat="1" applyFont="1" applyBorder="1"/>
    <xf numFmtId="17" fontId="146" fillId="0" borderId="7" xfId="0" applyNumberFormat="1" applyFont="1" applyBorder="1"/>
    <xf numFmtId="0" fontId="146" fillId="0" borderId="7" xfId="0" applyFont="1" applyBorder="1"/>
    <xf numFmtId="0" fontId="146" fillId="0" borderId="56" xfId="0" applyFont="1" applyBorder="1"/>
    <xf numFmtId="0" fontId="49" fillId="35" borderId="60" xfId="0" applyFont="1" applyFill="1" applyBorder="1"/>
    <xf numFmtId="0" fontId="49" fillId="0" borderId="58" xfId="0" applyFont="1" applyBorder="1"/>
    <xf numFmtId="0" fontId="7" fillId="0" borderId="34" xfId="0" applyFont="1" applyBorder="1" applyAlignment="1">
      <alignment vertical="top" wrapText="1"/>
    </xf>
    <xf numFmtId="17" fontId="146" fillId="0" borderId="7" xfId="0" applyNumberFormat="1" applyFont="1" applyBorder="1" applyAlignment="1">
      <alignment wrapText="1"/>
    </xf>
    <xf numFmtId="17" fontId="146" fillId="0" borderId="56" xfId="0" applyNumberFormat="1" applyFont="1" applyBorder="1" applyAlignment="1">
      <alignment wrapText="1"/>
    </xf>
    <xf numFmtId="0" fontId="146" fillId="0" borderId="83" xfId="0" applyFont="1" applyBorder="1"/>
    <xf numFmtId="17" fontId="146" fillId="0" borderId="83" xfId="0" applyNumberFormat="1" applyFont="1" applyBorder="1" applyAlignment="1">
      <alignment wrapText="1"/>
    </xf>
    <xf numFmtId="0" fontId="146" fillId="0" borderId="81" xfId="0" applyFont="1" applyBorder="1"/>
    <xf numFmtId="0" fontId="146" fillId="0" borderId="86" xfId="0" applyFont="1" applyBorder="1"/>
    <xf numFmtId="0" fontId="146" fillId="0" borderId="89" xfId="0" applyFont="1" applyBorder="1"/>
    <xf numFmtId="0" fontId="146" fillId="0" borderId="57" xfId="0" applyFont="1" applyBorder="1"/>
    <xf numFmtId="0" fontId="146" fillId="35" borderId="93" xfId="0" applyFont="1" applyFill="1" applyBorder="1"/>
    <xf numFmtId="0" fontId="2" fillId="0" borderId="2" xfId="0" applyFont="1" applyBorder="1" applyAlignment="1">
      <alignment vertical="top" wrapText="1"/>
    </xf>
    <xf numFmtId="0" fontId="7" fillId="0" borderId="2" xfId="0" applyFont="1" applyBorder="1" applyAlignment="1">
      <alignment vertical="top" wrapText="1"/>
    </xf>
    <xf numFmtId="171" fontId="7" fillId="0" borderId="2" xfId="0" applyNumberFormat="1" applyFont="1" applyBorder="1" applyAlignment="1">
      <alignment vertical="top" wrapText="1"/>
    </xf>
    <xf numFmtId="171" fontId="7" fillId="0" borderId="2" xfId="0" applyNumberFormat="1" applyFont="1" applyBorder="1" applyAlignment="1">
      <alignment horizontal="center" vertical="top" wrapText="1"/>
    </xf>
    <xf numFmtId="0" fontId="7" fillId="0" borderId="94" xfId="0" applyFont="1" applyBorder="1" applyAlignment="1">
      <alignment vertical="top" wrapText="1"/>
    </xf>
    <xf numFmtId="0" fontId="2" fillId="0" borderId="95" xfId="0" applyFont="1" applyBorder="1" applyAlignment="1">
      <alignment vertical="top" wrapText="1"/>
    </xf>
    <xf numFmtId="0" fontId="7" fillId="15" borderId="96" xfId="0" applyFont="1" applyFill="1" applyBorder="1" applyAlignment="1">
      <alignment vertical="top" wrapText="1"/>
    </xf>
    <xf numFmtId="0" fontId="2" fillId="0" borderId="94" xfId="0" applyFont="1" applyBorder="1" applyAlignment="1">
      <alignment horizontal="left" vertical="top"/>
    </xf>
    <xf numFmtId="0" fontId="2" fillId="0" borderId="95" xfId="0" applyFont="1" applyBorder="1" applyAlignment="1">
      <alignment horizontal="left" vertical="top"/>
    </xf>
    <xf numFmtId="0" fontId="2" fillId="0" borderId="94" xfId="0" applyFont="1" applyBorder="1" applyAlignment="1">
      <alignment horizontal="left"/>
    </xf>
    <xf numFmtId="0" fontId="7" fillId="0" borderId="97" xfId="0" applyFont="1" applyBorder="1" applyAlignment="1">
      <alignment horizontal="right" vertical="top" wrapText="1"/>
    </xf>
    <xf numFmtId="0" fontId="7" fillId="0" borderId="98" xfId="0" applyFont="1" applyBorder="1" applyAlignment="1">
      <alignment vertical="top" wrapText="1"/>
    </xf>
    <xf numFmtId="0" fontId="2" fillId="0" borderId="99" xfId="0" applyFont="1" applyBorder="1" applyAlignment="1">
      <alignment vertical="top" wrapText="1"/>
    </xf>
    <xf numFmtId="0" fontId="7" fillId="15" borderId="100" xfId="0" applyFont="1" applyFill="1" applyBorder="1" applyAlignment="1">
      <alignment vertical="top" wrapText="1"/>
    </xf>
    <xf numFmtId="0" fontId="2" fillId="0" borderId="98" xfId="0" applyFont="1" applyBorder="1" applyAlignment="1">
      <alignment vertical="top" wrapText="1"/>
    </xf>
    <xf numFmtId="0" fontId="2" fillId="0" borderId="98" xfId="0" applyFont="1" applyBorder="1" applyAlignment="1">
      <alignment horizontal="left" wrapText="1"/>
    </xf>
    <xf numFmtId="0" fontId="7" fillId="0" borderId="99" xfId="0" applyFont="1" applyBorder="1" applyAlignment="1">
      <alignment vertical="top" wrapText="1"/>
    </xf>
    <xf numFmtId="0" fontId="7" fillId="0" borderId="101" xfId="0" applyFont="1" applyBorder="1" applyAlignment="1">
      <alignment horizontal="right" vertical="top" wrapText="1"/>
    </xf>
    <xf numFmtId="0" fontId="7" fillId="0" borderId="68" xfId="0" applyFont="1" applyBorder="1" applyAlignment="1">
      <alignment vertical="top" wrapText="1"/>
    </xf>
    <xf numFmtId="0" fontId="7" fillId="0" borderId="0" xfId="0" applyFont="1" applyAlignment="1">
      <alignment horizontal="center" vertical="top" wrapText="1"/>
    </xf>
    <xf numFmtId="0" fontId="7" fillId="0" borderId="81" xfId="0" applyFont="1" applyBorder="1" applyAlignment="1">
      <alignment vertical="top" wrapText="1"/>
    </xf>
    <xf numFmtId="0" fontId="7" fillId="0" borderId="102" xfId="0" applyFont="1" applyBorder="1" applyAlignment="1">
      <alignment vertical="top" wrapText="1"/>
    </xf>
    <xf numFmtId="0" fontId="7" fillId="15" borderId="2" xfId="0" applyFont="1" applyFill="1" applyBorder="1" applyAlignment="1">
      <alignment vertical="top" wrapText="1"/>
    </xf>
    <xf numFmtId="0" fontId="7" fillId="15" borderId="2" xfId="0" applyFont="1" applyFill="1" applyBorder="1" applyAlignment="1">
      <alignment horizontal="center" vertical="top" wrapText="1"/>
    </xf>
    <xf numFmtId="171" fontId="7" fillId="21" borderId="2" xfId="0" applyNumberFormat="1" applyFont="1" applyFill="1" applyBorder="1" applyAlignment="1">
      <alignment vertical="top" wrapText="1"/>
    </xf>
    <xf numFmtId="171" fontId="7" fillId="21" borderId="103" xfId="0" applyNumberFormat="1" applyFont="1" applyFill="1" applyBorder="1" applyAlignment="1">
      <alignment vertical="top" wrapText="1"/>
    </xf>
    <xf numFmtId="0" fontId="7" fillId="6" borderId="5" xfId="0" applyFont="1" applyFill="1" applyBorder="1" applyAlignment="1">
      <alignment vertical="top" wrapText="1"/>
    </xf>
    <xf numFmtId="0" fontId="7" fillId="21" borderId="2" xfId="0" applyFont="1" applyFill="1" applyBorder="1" applyAlignment="1">
      <alignment wrapText="1"/>
    </xf>
    <xf numFmtId="0" fontId="7" fillId="0" borderId="57" xfId="0" applyFont="1" applyBorder="1" applyAlignment="1">
      <alignment vertical="top" wrapText="1"/>
    </xf>
    <xf numFmtId="0" fontId="2" fillId="0" borderId="7" xfId="0" applyFont="1" applyBorder="1" applyAlignment="1">
      <alignment vertical="top" wrapText="1"/>
    </xf>
    <xf numFmtId="0" fontId="2" fillId="0" borderId="7" xfId="0" applyFont="1" applyBorder="1" applyAlignment="1">
      <alignment horizontal="center" vertical="top" wrapText="1"/>
    </xf>
    <xf numFmtId="0" fontId="2" fillId="0" borderId="7" xfId="0" applyFont="1" applyBorder="1" applyAlignment="1">
      <alignment wrapText="1"/>
    </xf>
    <xf numFmtId="171" fontId="2" fillId="0" borderId="56" xfId="0" applyNumberFormat="1" applyFont="1" applyBorder="1" applyAlignment="1">
      <alignment vertical="top" wrapText="1"/>
    </xf>
    <xf numFmtId="178" fontId="7" fillId="0" borderId="0" xfId="0" applyNumberFormat="1" applyFont="1" applyAlignment="1">
      <alignment vertical="top" wrapText="1"/>
    </xf>
    <xf numFmtId="0" fontId="7" fillId="15" borderId="5" xfId="0" applyFont="1" applyFill="1" applyBorder="1" applyAlignment="1">
      <alignment vertical="top" wrapText="1"/>
    </xf>
    <xf numFmtId="0" fontId="2" fillId="0" borderId="68" xfId="0" applyFont="1" applyBorder="1" applyAlignment="1">
      <alignment vertical="top" wrapText="1"/>
    </xf>
    <xf numFmtId="0" fontId="7" fillId="0" borderId="58" xfId="0" applyFont="1" applyBorder="1" applyAlignment="1">
      <alignment vertical="top" wrapText="1"/>
    </xf>
    <xf numFmtId="0" fontId="7" fillId="0" borderId="0" xfId="0" quotePrefix="1" applyFont="1" applyAlignment="1">
      <alignment vertical="top" wrapText="1"/>
    </xf>
    <xf numFmtId="171" fontId="7" fillId="47" borderId="2" xfId="0" applyNumberFormat="1" applyFont="1" applyFill="1" applyBorder="1" applyAlignment="1">
      <alignment vertical="top" wrapText="1"/>
    </xf>
    <xf numFmtId="0" fontId="7" fillId="45" borderId="2" xfId="0" applyFont="1" applyFill="1" applyBorder="1" applyAlignment="1">
      <alignment wrapText="1"/>
    </xf>
    <xf numFmtId="0" fontId="2" fillId="0" borderId="0" xfId="0" applyFont="1" applyAlignment="1">
      <alignment horizontal="center" vertical="top" wrapText="1"/>
    </xf>
    <xf numFmtId="171" fontId="2" fillId="0" borderId="58" xfId="0" applyNumberFormat="1" applyFont="1" applyBorder="1" applyAlignment="1">
      <alignment vertical="top" wrapText="1"/>
    </xf>
    <xf numFmtId="0" fontId="7" fillId="0" borderId="82" xfId="0" applyFont="1" applyBorder="1" applyAlignment="1">
      <alignment vertical="top" wrapText="1"/>
    </xf>
    <xf numFmtId="0" fontId="2" fillId="0" borderId="83" xfId="0" applyFont="1" applyBorder="1" applyAlignment="1">
      <alignment vertical="top" wrapText="1"/>
    </xf>
    <xf numFmtId="0" fontId="7" fillId="0" borderId="83" xfId="0" applyFont="1" applyBorder="1" applyAlignment="1">
      <alignment vertical="top" wrapText="1"/>
    </xf>
    <xf numFmtId="0" fontId="7" fillId="0" borderId="83" xfId="0" applyFont="1" applyBorder="1" applyAlignment="1">
      <alignment wrapText="1"/>
    </xf>
    <xf numFmtId="0" fontId="7" fillId="0" borderId="0" xfId="0" applyFont="1" applyAlignment="1">
      <alignment horizontal="left" vertical="top" wrapText="1"/>
    </xf>
    <xf numFmtId="0" fontId="7" fillId="0" borderId="2" xfId="0" applyFont="1" applyBorder="1" applyAlignment="1">
      <alignment horizontal="center" vertical="top" wrapText="1"/>
    </xf>
    <xf numFmtId="171" fontId="7" fillId="15" borderId="2" xfId="0" applyNumberFormat="1" applyFont="1" applyFill="1" applyBorder="1" applyAlignment="1">
      <alignment vertical="top" wrapText="1"/>
    </xf>
    <xf numFmtId="0" fontId="7" fillId="22" borderId="2" xfId="0" applyFont="1" applyFill="1" applyBorder="1" applyAlignment="1">
      <alignment horizontal="center" vertical="top" wrapText="1"/>
    </xf>
    <xf numFmtId="0" fontId="7" fillId="22" borderId="2" xfId="0" applyFont="1" applyFill="1" applyBorder="1" applyAlignment="1">
      <alignment vertical="top" wrapText="1"/>
    </xf>
    <xf numFmtId="171" fontId="7" fillId="15" borderId="2" xfId="0" applyNumberFormat="1" applyFont="1" applyFill="1" applyBorder="1" applyAlignment="1">
      <alignment horizontal="right" vertical="top" wrapText="1"/>
    </xf>
    <xf numFmtId="0" fontId="153" fillId="17" borderId="5" xfId="0" applyFont="1" applyFill="1" applyBorder="1" applyAlignment="1">
      <alignment wrapText="1"/>
    </xf>
    <xf numFmtId="0" fontId="7" fillId="17" borderId="5" xfId="0" applyFont="1" applyFill="1" applyBorder="1" applyAlignment="1">
      <alignment vertical="top" wrapText="1"/>
    </xf>
    <xf numFmtId="0" fontId="7" fillId="17" borderId="88" xfId="0" applyFont="1" applyFill="1" applyBorder="1" applyAlignment="1">
      <alignment vertical="top" wrapText="1"/>
    </xf>
    <xf numFmtId="171" fontId="7" fillId="22" borderId="2" xfId="0" applyNumberFormat="1" applyFont="1" applyFill="1" applyBorder="1" applyAlignment="1">
      <alignment horizontal="right" vertical="top" wrapText="1"/>
    </xf>
    <xf numFmtId="0" fontId="2" fillId="17" borderId="5" xfId="0" applyFont="1" applyFill="1" applyBorder="1"/>
    <xf numFmtId="0" fontId="7" fillId="22" borderId="2" xfId="0" applyFont="1" applyFill="1" applyBorder="1" applyAlignment="1">
      <alignment wrapText="1"/>
    </xf>
    <xf numFmtId="0" fontId="7" fillId="22" borderId="2" xfId="0" applyFont="1" applyFill="1" applyBorder="1" applyAlignment="1">
      <alignment horizontal="center" wrapText="1"/>
    </xf>
    <xf numFmtId="171" fontId="7" fillId="15" borderId="2" xfId="0" applyNumberFormat="1" applyFont="1" applyFill="1" applyBorder="1" applyAlignment="1">
      <alignment horizontal="right" wrapText="1"/>
    </xf>
    <xf numFmtId="0" fontId="7" fillId="22" borderId="35" xfId="0" applyFont="1" applyFill="1" applyBorder="1" applyAlignment="1">
      <alignment vertical="top" wrapText="1"/>
    </xf>
    <xf numFmtId="2" fontId="7" fillId="0" borderId="0" xfId="0" applyNumberFormat="1" applyFont="1" applyAlignment="1">
      <alignment vertical="top" wrapText="1"/>
    </xf>
    <xf numFmtId="0" fontId="7" fillId="15" borderId="35" xfId="0" applyFont="1" applyFill="1" applyBorder="1" applyAlignment="1">
      <alignment vertical="top" wrapText="1"/>
    </xf>
    <xf numFmtId="0" fontId="2" fillId="0" borderId="58" xfId="0" applyFont="1" applyBorder="1" applyAlignment="1">
      <alignment vertical="top" wrapText="1"/>
    </xf>
    <xf numFmtId="0" fontId="145" fillId="0" borderId="0" xfId="0" applyFont="1" applyAlignment="1">
      <alignment wrapText="1"/>
    </xf>
    <xf numFmtId="0" fontId="145" fillId="0" borderId="0" xfId="0" applyFont="1" applyAlignment="1">
      <alignment vertical="top" wrapText="1"/>
    </xf>
    <xf numFmtId="171" fontId="2" fillId="0" borderId="7" xfId="0" applyNumberFormat="1" applyFont="1" applyBorder="1" applyAlignment="1">
      <alignment horizontal="right" wrapText="1"/>
    </xf>
    <xf numFmtId="0" fontId="7" fillId="0" borderId="7" xfId="0" applyFont="1" applyBorder="1" applyAlignment="1">
      <alignment wrapText="1"/>
    </xf>
    <xf numFmtId="0" fontId="7" fillId="0" borderId="7" xfId="0" applyFont="1" applyBorder="1" applyAlignment="1">
      <alignment vertical="top" wrapText="1"/>
    </xf>
    <xf numFmtId="0" fontId="7" fillId="0" borderId="56" xfId="0" applyFont="1" applyBorder="1" applyAlignment="1">
      <alignment vertical="top" wrapText="1"/>
    </xf>
    <xf numFmtId="0" fontId="2" fillId="0" borderId="73" xfId="0" applyFont="1" applyBorder="1" applyAlignment="1">
      <alignment vertical="top" wrapText="1"/>
    </xf>
    <xf numFmtId="0" fontId="2" fillId="0" borderId="74" xfId="0" applyFont="1" applyBorder="1" applyAlignment="1">
      <alignment vertical="top" wrapText="1"/>
    </xf>
    <xf numFmtId="171" fontId="2" fillId="21" borderId="75" xfId="0" applyNumberFormat="1" applyFont="1" applyFill="1" applyBorder="1" applyAlignment="1">
      <alignment vertical="top" wrapText="1"/>
    </xf>
    <xf numFmtId="171" fontId="2" fillId="0" borderId="68" xfId="0" applyNumberFormat="1" applyFont="1" applyBorder="1" applyAlignment="1">
      <alignment horizontal="center" vertical="top" wrapText="1"/>
    </xf>
    <xf numFmtId="0" fontId="2" fillId="0" borderId="0" xfId="0" applyFont="1" applyAlignment="1">
      <alignment vertical="top"/>
    </xf>
    <xf numFmtId="0" fontId="2" fillId="0" borderId="104" xfId="0" applyFont="1" applyBorder="1" applyAlignment="1">
      <alignment vertical="top" wrapText="1"/>
    </xf>
    <xf numFmtId="171" fontId="2" fillId="21" borderId="2" xfId="0" applyNumberFormat="1" applyFont="1" applyFill="1" applyBorder="1" applyAlignment="1">
      <alignment vertical="top" wrapText="1"/>
    </xf>
    <xf numFmtId="171" fontId="2" fillId="21" borderId="103" xfId="0" applyNumberFormat="1" applyFont="1" applyFill="1" applyBorder="1" applyAlignment="1">
      <alignment vertical="top" wrapText="1"/>
    </xf>
    <xf numFmtId="171" fontId="2" fillId="0" borderId="2" xfId="0" applyNumberFormat="1" applyFont="1" applyBorder="1" applyAlignment="1">
      <alignment vertical="top" wrapText="1"/>
    </xf>
    <xf numFmtId="171" fontId="2" fillId="0" borderId="68" xfId="0" applyNumberFormat="1" applyFont="1" applyBorder="1" applyAlignment="1">
      <alignment horizontal="left" vertical="top" wrapText="1"/>
    </xf>
    <xf numFmtId="171" fontId="2" fillId="15" borderId="103" xfId="0" applyNumberFormat="1" applyFont="1" applyFill="1" applyBorder="1" applyAlignment="1">
      <alignment vertical="top" wrapText="1"/>
    </xf>
    <xf numFmtId="171" fontId="2" fillId="0" borderId="103" xfId="0" applyNumberFormat="1" applyFont="1" applyBorder="1" applyAlignment="1">
      <alignment vertical="top" wrapText="1"/>
    </xf>
    <xf numFmtId="9" fontId="2" fillId="0" borderId="68" xfId="0" applyNumberFormat="1" applyFont="1" applyBorder="1" applyAlignment="1">
      <alignment horizontal="right" vertical="top" wrapText="1"/>
    </xf>
    <xf numFmtId="9" fontId="2" fillId="0" borderId="103" xfId="0" applyNumberFormat="1" applyFont="1" applyBorder="1" applyAlignment="1">
      <alignment vertical="top" wrapText="1"/>
    </xf>
    <xf numFmtId="0" fontId="2" fillId="0" borderId="76" xfId="0" applyFont="1" applyBorder="1" applyAlignment="1">
      <alignment vertical="top" wrapText="1"/>
    </xf>
    <xf numFmtId="0" fontId="2" fillId="0" borderId="77" xfId="0" applyFont="1" applyBorder="1" applyAlignment="1">
      <alignment vertical="top" wrapText="1"/>
    </xf>
    <xf numFmtId="171" fontId="2" fillId="21" borderId="78" xfId="0" applyNumberFormat="1" applyFont="1" applyFill="1" applyBorder="1" applyAlignment="1">
      <alignment vertical="top" wrapText="1"/>
    </xf>
    <xf numFmtId="0" fontId="7" fillId="0" borderId="0" xfId="0" applyFont="1" applyAlignment="1">
      <alignment horizontal="left" wrapText="1"/>
    </xf>
    <xf numFmtId="0" fontId="0" fillId="0" borderId="0" xfId="0"/>
    <xf numFmtId="0" fontId="2" fillId="0" borderId="0" xfId="0" applyFont="1" applyAlignment="1">
      <alignment horizontal="left" wrapText="1"/>
    </xf>
    <xf numFmtId="0" fontId="7" fillId="0" borderId="45" xfId="0" applyFont="1" applyBorder="1" applyAlignment="1">
      <alignment horizontal="left" vertical="top"/>
    </xf>
    <xf numFmtId="0" fontId="143" fillId="0" borderId="65" xfId="0" applyFont="1" applyBorder="1"/>
    <xf numFmtId="0" fontId="143" fillId="0" borderId="46" xfId="0" applyFont="1" applyBorder="1"/>
    <xf numFmtId="0" fontId="7" fillId="0" borderId="54" xfId="0" applyFont="1" applyBorder="1" applyAlignment="1">
      <alignment horizontal="left" vertical="top" wrapText="1"/>
    </xf>
    <xf numFmtId="0" fontId="143" fillId="0" borderId="48" xfId="0" applyFont="1" applyBorder="1"/>
    <xf numFmtId="0" fontId="7" fillId="0" borderId="22" xfId="0" applyFont="1" applyBorder="1" applyAlignment="1">
      <alignment horizontal="left" vertical="top" wrapText="1"/>
    </xf>
    <xf numFmtId="0" fontId="143" fillId="0" borderId="33" xfId="0" applyFont="1" applyBorder="1"/>
    <xf numFmtId="0" fontId="143" fillId="0" borderId="24" xfId="0" applyFont="1" applyBorder="1"/>
    <xf numFmtId="0" fontId="2" fillId="0" borderId="34" xfId="0" applyFont="1" applyBorder="1" applyAlignment="1">
      <alignment horizontal="left" vertical="top" wrapText="1"/>
    </xf>
    <xf numFmtId="0" fontId="143" fillId="0" borderId="37" xfId="0" applyFont="1" applyBorder="1"/>
    <xf numFmtId="0" fontId="143" fillId="0" borderId="36" xfId="0" applyFont="1" applyBorder="1"/>
    <xf numFmtId="0" fontId="146" fillId="0" borderId="0" xfId="0" applyFont="1" applyAlignment="1">
      <alignment horizontal="left" vertical="center" wrapText="1"/>
    </xf>
    <xf numFmtId="0" fontId="7" fillId="0" borderId="54" xfId="0" applyFont="1" applyBorder="1" applyAlignment="1">
      <alignment horizontal="left" wrapText="1"/>
    </xf>
    <xf numFmtId="0" fontId="143" fillId="0" borderId="58" xfId="0" applyFont="1" applyBorder="1"/>
    <xf numFmtId="0" fontId="7" fillId="0" borderId="54" xfId="0" applyFont="1" applyBorder="1" applyAlignment="1">
      <alignment wrapText="1"/>
    </xf>
    <xf numFmtId="0" fontId="7" fillId="0" borderId="0" xfId="0" applyFont="1" applyAlignment="1">
      <alignment horizontal="left" vertical="top" wrapText="1"/>
    </xf>
    <xf numFmtId="0" fontId="7" fillId="0" borderId="0" xfId="0" applyFont="1" applyBorder="1" applyAlignment="1">
      <alignment horizontal="center" wrapText="1"/>
    </xf>
    <xf numFmtId="0" fontId="2" fillId="0" borderId="48" xfId="0" applyFont="1" applyBorder="1" applyAlignment="1">
      <alignment horizontal="center" wrapText="1"/>
    </xf>
    <xf numFmtId="0" fontId="9" fillId="0" borderId="0" xfId="0" applyFont="1" applyBorder="1"/>
    <xf numFmtId="0" fontId="39" fillId="0" borderId="21" xfId="0" applyFont="1" applyBorder="1" applyAlignment="1">
      <alignment horizontal="center" wrapText="1"/>
    </xf>
    <xf numFmtId="0" fontId="52" fillId="0" borderId="21" xfId="0" applyFont="1" applyBorder="1" applyAlignment="1">
      <alignment horizontal="center" wrapText="1"/>
    </xf>
    <xf numFmtId="0" fontId="9" fillId="0" borderId="21" xfId="0" applyFont="1" applyBorder="1"/>
    <xf numFmtId="0" fontId="2" fillId="0" borderId="21" xfId="0" applyFont="1" applyBorder="1" applyAlignment="1">
      <alignment horizontal="center"/>
    </xf>
    <xf numFmtId="0" fontId="2" fillId="4" borderId="22" xfId="0" applyFont="1" applyFill="1" applyBorder="1" applyAlignment="1">
      <alignment horizontal="center" wrapText="1"/>
    </xf>
    <xf numFmtId="0" fontId="96" fillId="0" borderId="22" xfId="0" applyFont="1" applyBorder="1"/>
    <xf numFmtId="0" fontId="96" fillId="0" borderId="21" xfId="0" applyFont="1" applyBorder="1"/>
    <xf numFmtId="0" fontId="15" fillId="0" borderId="36" xfId="0" applyFont="1" applyBorder="1" applyAlignment="1">
      <alignment horizontal="center"/>
    </xf>
    <xf numFmtId="0" fontId="14" fillId="0" borderId="36" xfId="0" applyFont="1" applyBorder="1" applyAlignment="1">
      <alignment horizontal="center" wrapText="1"/>
    </xf>
    <xf numFmtId="0" fontId="43" fillId="0" borderId="23" xfId="0" applyFont="1" applyBorder="1" applyAlignment="1">
      <alignment wrapText="1"/>
    </xf>
    <xf numFmtId="0" fontId="15" fillId="2" borderId="36" xfId="0" applyFont="1" applyFill="1" applyBorder="1" applyAlignment="1">
      <alignment horizontal="left"/>
    </xf>
    <xf numFmtId="0" fontId="43" fillId="0" borderId="36" xfId="0" applyFont="1" applyBorder="1" applyAlignment="1">
      <alignment wrapText="1"/>
    </xf>
    <xf numFmtId="0" fontId="43" fillId="0" borderId="24" xfId="0" applyFont="1" applyBorder="1" applyAlignment="1">
      <alignment wrapText="1"/>
    </xf>
    <xf numFmtId="0" fontId="14" fillId="0" borderId="2" xfId="0" applyFont="1" applyBorder="1" applyAlignment="1">
      <alignment wrapText="1"/>
    </xf>
    <xf numFmtId="0" fontId="15" fillId="2" borderId="36" xfId="0" applyFont="1" applyFill="1" applyBorder="1" applyAlignment="1">
      <alignment horizontal="left" wrapText="1"/>
    </xf>
    <xf numFmtId="0" fontId="52" fillId="0" borderId="2" xfId="0" applyFont="1" applyBorder="1" applyAlignment="1">
      <alignment wrapText="1"/>
    </xf>
    <xf numFmtId="0" fontId="2" fillId="2" borderId="2" xfId="0" applyFont="1" applyFill="1" applyBorder="1" applyAlignment="1">
      <alignment wrapText="1"/>
    </xf>
    <xf numFmtId="0" fontId="43" fillId="0" borderId="25" xfId="0" applyFont="1" applyBorder="1" applyAlignment="1">
      <alignment wrapText="1"/>
    </xf>
    <xf numFmtId="0" fontId="15" fillId="2" borderId="24" xfId="0" applyFont="1" applyFill="1" applyBorder="1" applyAlignment="1">
      <alignment horizontal="left" wrapText="1"/>
    </xf>
    <xf numFmtId="0" fontId="43" fillId="4" borderId="24" xfId="0" applyFont="1" applyFill="1" applyBorder="1" applyAlignment="1">
      <alignment wrapText="1"/>
    </xf>
    <xf numFmtId="0" fontId="2" fillId="5" borderId="24" xfId="0" applyFont="1" applyFill="1" applyBorder="1" applyAlignment="1">
      <alignment horizontal="left" wrapText="1"/>
    </xf>
    <xf numFmtId="0" fontId="43" fillId="0" borderId="34" xfId="0" applyFont="1" applyBorder="1" applyAlignment="1">
      <alignment wrapText="1"/>
    </xf>
    <xf numFmtId="0" fontId="43" fillId="0" borderId="26" xfId="0" applyFont="1" applyBorder="1" applyAlignment="1">
      <alignment wrapText="1"/>
    </xf>
    <xf numFmtId="0" fontId="15" fillId="2" borderId="24" xfId="0" applyFont="1" applyFill="1" applyBorder="1" applyAlignment="1">
      <alignment horizontal="left"/>
    </xf>
    <xf numFmtId="0" fontId="15" fillId="2" borderId="22" xfId="0" applyFont="1" applyFill="1" applyBorder="1" applyAlignment="1">
      <alignment horizontal="left"/>
    </xf>
    <xf numFmtId="0" fontId="61" fillId="0" borderId="21" xfId="0" applyFont="1" applyBorder="1"/>
    <xf numFmtId="0" fontId="35" fillId="0" borderId="0" xfId="0" applyFont="1" applyBorder="1" applyAlignment="1">
      <alignment wrapText="1"/>
    </xf>
    <xf numFmtId="0" fontId="86" fillId="0" borderId="21" xfId="0" applyFont="1" applyBorder="1" applyAlignment="1">
      <alignment wrapText="1"/>
    </xf>
    <xf numFmtId="0" fontId="7" fillId="0" borderId="24" xfId="0" applyFont="1" applyBorder="1" applyAlignment="1">
      <alignment wrapText="1"/>
    </xf>
    <xf numFmtId="0" fontId="35" fillId="0" borderId="21" xfId="0" applyFont="1" applyBorder="1" applyAlignment="1">
      <alignment wrapText="1"/>
    </xf>
    <xf numFmtId="0" fontId="88" fillId="0" borderId="21" xfId="0" applyFont="1" applyBorder="1" applyAlignment="1">
      <alignment wrapText="1"/>
    </xf>
    <xf numFmtId="0" fontId="86" fillId="0" borderId="2" xfId="0" applyFont="1" applyBorder="1" applyAlignment="1">
      <alignment wrapText="1"/>
    </xf>
    <xf numFmtId="0" fontId="43" fillId="0" borderId="21" xfId="0" applyFont="1" applyBorder="1" applyAlignment="1">
      <alignment wrapText="1"/>
    </xf>
    <xf numFmtId="0" fontId="33" fillId="0" borderId="2" xfId="0" applyFont="1" applyBorder="1" applyAlignment="1">
      <alignment wrapText="1"/>
    </xf>
    <xf numFmtId="0" fontId="42" fillId="0" borderId="21" xfId="0" applyFont="1" applyBorder="1" applyAlignment="1">
      <alignment wrapText="1"/>
    </xf>
    <xf numFmtId="0" fontId="21" fillId="0" borderId="2" xfId="0" applyFont="1" applyBorder="1" applyAlignment="1">
      <alignment horizontal="left" wrapText="1"/>
    </xf>
    <xf numFmtId="0" fontId="67" fillId="0" borderId="21" xfId="0" applyFont="1" applyBorder="1" applyAlignment="1">
      <alignment wrapText="1"/>
    </xf>
    <xf numFmtId="0" fontId="52" fillId="0" borderId="21" xfId="0" applyFont="1" applyBorder="1" applyAlignment="1">
      <alignment wrapText="1"/>
    </xf>
    <xf numFmtId="0" fontId="81" fillId="0" borderId="2" xfId="0" applyFont="1" applyBorder="1" applyAlignment="1">
      <alignment horizontal="left"/>
    </xf>
    <xf numFmtId="0" fontId="95" fillId="0" borderId="21" xfId="0" applyFont="1" applyBorder="1" applyAlignment="1">
      <alignment wrapText="1"/>
    </xf>
    <xf numFmtId="0" fontId="59" fillId="0" borderId="36" xfId="0" applyFont="1" applyBorder="1" applyAlignment="1">
      <alignment wrapText="1"/>
    </xf>
    <xf numFmtId="0" fontId="94" fillId="0" borderId="21" xfId="0" applyFont="1" applyBorder="1" applyAlignment="1">
      <alignment wrapText="1"/>
    </xf>
    <xf numFmtId="0" fontId="83" fillId="0" borderId="2" xfId="0" applyFont="1" applyBorder="1" applyAlignment="1">
      <alignment horizontal="left"/>
    </xf>
    <xf numFmtId="0" fontId="2" fillId="25" borderId="21" xfId="0" applyFont="1" applyFill="1" applyBorder="1" applyAlignment="1">
      <alignment horizontal="center" wrapText="1"/>
    </xf>
    <xf numFmtId="0" fontId="52" fillId="23" borderId="2" xfId="0" applyFont="1" applyFill="1" applyBorder="1" applyAlignment="1">
      <alignment horizontal="center" wrapText="1"/>
    </xf>
    <xf numFmtId="0" fontId="11" fillId="0" borderId="36" xfId="0" applyFont="1" applyBorder="1" applyAlignment="1">
      <alignment horizontal="center" wrapText="1"/>
    </xf>
    <xf numFmtId="0" fontId="7" fillId="0" borderId="23" xfId="0" applyFont="1" applyBorder="1" applyAlignment="1">
      <alignment horizontal="right" wrapText="1"/>
    </xf>
    <xf numFmtId="0" fontId="2" fillId="0" borderId="23" xfId="0" applyFont="1" applyBorder="1" applyAlignment="1">
      <alignment wrapText="1"/>
    </xf>
    <xf numFmtId="0" fontId="2" fillId="0" borderId="23" xfId="0" applyFont="1" applyBorder="1" applyAlignment="1">
      <alignment horizontal="right" wrapText="1"/>
    </xf>
    <xf numFmtId="0" fontId="16" fillId="17" borderId="36" xfId="0" applyFont="1" applyFill="1" applyBorder="1" applyAlignment="1">
      <alignment horizontal="right" wrapText="1"/>
    </xf>
    <xf numFmtId="0" fontId="16" fillId="17" borderId="0" xfId="0" applyFont="1" applyFill="1" applyBorder="1" applyAlignment="1">
      <alignment horizontal="right" wrapText="1"/>
    </xf>
    <xf numFmtId="0" fontId="54" fillId="17" borderId="2" xfId="0" applyFont="1" applyFill="1" applyBorder="1" applyAlignment="1">
      <alignment horizontal="right" wrapText="1"/>
    </xf>
    <xf numFmtId="0" fontId="33" fillId="0" borderId="2" xfId="0" applyFont="1" applyBorder="1" applyAlignment="1">
      <alignment horizontal="right" wrapText="1"/>
    </xf>
    <xf numFmtId="0" fontId="89" fillId="17" borderId="23" xfId="0" applyFont="1" applyFill="1" applyBorder="1" applyAlignment="1">
      <alignment horizontal="right" wrapText="1"/>
    </xf>
    <xf numFmtId="0" fontId="32" fillId="0" borderId="2" xfId="0" applyFont="1" applyBorder="1"/>
    <xf numFmtId="0" fontId="22" fillId="0" borderId="23" xfId="0" applyFont="1" applyBorder="1" applyAlignment="1">
      <alignment horizontal="right"/>
    </xf>
    <xf numFmtId="0" fontId="16" fillId="17" borderId="21" xfId="0" applyFont="1" applyFill="1" applyBorder="1" applyAlignment="1">
      <alignment horizontal="right" wrapText="1"/>
    </xf>
    <xf numFmtId="49" fontId="22" fillId="0" borderId="23" xfId="0" applyNumberFormat="1" applyFont="1" applyBorder="1"/>
    <xf numFmtId="49" fontId="22" fillId="9" borderId="5" xfId="0" applyNumberFormat="1" applyFont="1" applyFill="1" applyBorder="1" applyAlignment="1">
      <alignment wrapText="1"/>
    </xf>
    <xf numFmtId="0" fontId="10" fillId="0" borderId="24" xfId="0" applyFont="1" applyBorder="1" applyAlignment="1">
      <alignment horizontal="left" vertical="top" wrapText="1"/>
    </xf>
    <xf numFmtId="0" fontId="2" fillId="0" borderId="23" xfId="0" applyFont="1" applyBorder="1" applyAlignment="1">
      <alignment horizontal="left" wrapText="1"/>
    </xf>
    <xf numFmtId="49" fontId="11" fillId="10" borderId="24" xfId="0" applyNumberFormat="1" applyFont="1" applyFill="1" applyBorder="1" applyAlignment="1">
      <alignment horizontal="left" wrapText="1"/>
    </xf>
    <xf numFmtId="0" fontId="85" fillId="6" borderId="23" xfId="0" applyFont="1" applyFill="1" applyBorder="1" applyAlignment="1">
      <alignment horizontal="left" wrapText="1"/>
    </xf>
    <xf numFmtId="0" fontId="7" fillId="0" borderId="23" xfId="0" applyFont="1" applyBorder="1" applyAlignment="1">
      <alignment horizontal="left" wrapText="1"/>
    </xf>
    <xf numFmtId="49" fontId="9" fillId="0" borderId="2" xfId="0" applyNumberFormat="1" applyFont="1" applyBorder="1"/>
    <xf numFmtId="0" fontId="92" fillId="17" borderId="23" xfId="0" applyFont="1" applyFill="1" applyBorder="1"/>
    <xf numFmtId="49" fontId="11" fillId="10" borderId="0" xfId="0" applyNumberFormat="1" applyFont="1" applyFill="1" applyBorder="1" applyAlignment="1">
      <alignment horizontal="left" wrapText="1"/>
    </xf>
    <xf numFmtId="49" fontId="22" fillId="9" borderId="23" xfId="0" applyNumberFormat="1" applyFont="1" applyFill="1" applyBorder="1" applyAlignment="1">
      <alignment horizontal="left" wrapText="1"/>
    </xf>
    <xf numFmtId="49" fontId="22" fillId="0" borderId="23" xfId="0" applyNumberFormat="1" applyFont="1" applyBorder="1" applyAlignment="1">
      <alignment horizontal="center"/>
    </xf>
    <xf numFmtId="0" fontId="97" fillId="17" borderId="2" xfId="0" applyFont="1" applyFill="1" applyBorder="1"/>
    <xf numFmtId="49" fontId="22" fillId="9" borderId="36" xfId="0" applyNumberFormat="1" applyFont="1" applyFill="1" applyBorder="1" applyAlignment="1">
      <alignment horizontal="left" wrapText="1"/>
    </xf>
    <xf numFmtId="49" fontId="22" fillId="9" borderId="23" xfId="0" applyNumberFormat="1" applyFont="1" applyFill="1" applyBorder="1" applyAlignment="1">
      <alignment horizontal="left"/>
    </xf>
    <xf numFmtId="0" fontId="90" fillId="6" borderId="23" xfId="0" applyFont="1" applyFill="1" applyBorder="1" applyAlignment="1">
      <alignment horizontal="left" wrapText="1"/>
    </xf>
    <xf numFmtId="49" fontId="22" fillId="31" borderId="23" xfId="0" applyNumberFormat="1" applyFont="1" applyFill="1" applyBorder="1" applyAlignment="1">
      <alignment wrapText="1"/>
    </xf>
    <xf numFmtId="49" fontId="22" fillId="17" borderId="24" xfId="0" applyNumberFormat="1" applyFont="1" applyFill="1" applyBorder="1" applyAlignment="1">
      <alignment horizontal="left"/>
    </xf>
    <xf numFmtId="0" fontId="16" fillId="17" borderId="24" xfId="0" applyFont="1" applyFill="1" applyBorder="1" applyAlignment="1">
      <alignment horizontal="right" wrapText="1"/>
    </xf>
    <xf numFmtId="49" fontId="22" fillId="0" borderId="24" xfId="0" applyNumberFormat="1" applyFont="1" applyBorder="1"/>
    <xf numFmtId="49" fontId="22" fillId="9" borderId="23" xfId="0" applyNumberFormat="1" applyFont="1" applyFill="1" applyBorder="1" applyAlignment="1">
      <alignment wrapText="1"/>
    </xf>
    <xf numFmtId="0" fontId="92" fillId="17" borderId="2" xfId="0" applyFont="1" applyFill="1" applyBorder="1"/>
    <xf numFmtId="0" fontId="2" fillId="0" borderId="0" xfId="0" applyFont="1" applyBorder="1" applyAlignment="1">
      <alignment horizontal="left" wrapText="1"/>
    </xf>
    <xf numFmtId="49" fontId="22" fillId="30" borderId="24" xfId="0" applyNumberFormat="1" applyFont="1" applyFill="1" applyBorder="1" applyAlignment="1">
      <alignment wrapText="1"/>
    </xf>
    <xf numFmtId="0" fontId="22" fillId="25" borderId="23" xfId="0" applyFont="1" applyFill="1" applyBorder="1" applyAlignment="1">
      <alignment horizontal="left"/>
    </xf>
    <xf numFmtId="0" fontId="3" fillId="22" borderId="23" xfId="0" applyFont="1" applyFill="1" applyBorder="1"/>
    <xf numFmtId="49" fontId="17" fillId="22" borderId="2" xfId="0" applyNumberFormat="1" applyFont="1" applyFill="1" applyBorder="1" applyAlignment="1">
      <alignment horizontal="left" wrapText="1"/>
    </xf>
    <xf numFmtId="0" fontId="3" fillId="15" borderId="23" xfId="0" applyFont="1" applyFill="1" applyBorder="1"/>
    <xf numFmtId="49" fontId="17" fillId="10" borderId="21" xfId="0" applyNumberFormat="1" applyFont="1" applyFill="1" applyBorder="1" applyAlignment="1">
      <alignment horizontal="left" wrapText="1"/>
    </xf>
    <xf numFmtId="49" fontId="20" fillId="22" borderId="34" xfId="0" applyNumberFormat="1" applyFont="1" applyFill="1" applyBorder="1" applyAlignment="1">
      <alignment horizontal="left"/>
    </xf>
    <xf numFmtId="0" fontId="10" fillId="0" borderId="21" xfId="0" applyFont="1" applyBorder="1" applyAlignment="1">
      <alignment horizontal="left" vertical="top" wrapText="1"/>
    </xf>
    <xf numFmtId="0" fontId="64" fillId="15" borderId="2" xfId="0" applyFont="1" applyFill="1" applyBorder="1"/>
    <xf numFmtId="0" fontId="3" fillId="0" borderId="0" xfId="0" applyFont="1" applyBorder="1"/>
    <xf numFmtId="0" fontId="3" fillId="0" borderId="23" xfId="0" applyFont="1" applyBorder="1"/>
    <xf numFmtId="49" fontId="20" fillId="22" borderId="2" xfId="0" applyNumberFormat="1" applyFont="1" applyFill="1" applyBorder="1" applyAlignment="1">
      <alignment horizontal="left"/>
    </xf>
    <xf numFmtId="49" fontId="17" fillId="15" borderId="2" xfId="0" applyNumberFormat="1" applyFont="1" applyFill="1" applyBorder="1" applyAlignment="1">
      <alignment horizontal="left" wrapText="1"/>
    </xf>
    <xf numFmtId="0" fontId="53" fillId="25" borderId="2" xfId="0" applyFont="1" applyFill="1" applyBorder="1"/>
    <xf numFmtId="49" fontId="7" fillId="15" borderId="2" xfId="0" applyNumberFormat="1" applyFont="1" applyFill="1" applyBorder="1" applyAlignment="1">
      <alignment horizontal="left" wrapText="1"/>
    </xf>
    <xf numFmtId="0" fontId="10" fillId="0" borderId="23" xfId="0" applyFont="1" applyBorder="1" applyAlignment="1">
      <alignment horizontal="left"/>
    </xf>
    <xf numFmtId="49" fontId="17" fillId="22" borderId="0" xfId="0" applyNumberFormat="1" applyFont="1" applyFill="1" applyBorder="1" applyAlignment="1">
      <alignment horizontal="left" wrapText="1"/>
    </xf>
    <xf numFmtId="0" fontId="7" fillId="29" borderId="23" xfId="0" applyFont="1" applyFill="1" applyBorder="1" applyAlignment="1">
      <alignment horizontal="left" wrapText="1"/>
    </xf>
    <xf numFmtId="0" fontId="3" fillId="25" borderId="23" xfId="0" applyFont="1" applyFill="1" applyBorder="1"/>
    <xf numFmtId="0" fontId="53" fillId="25" borderId="23" xfId="0" applyFont="1" applyFill="1" applyBorder="1"/>
    <xf numFmtId="0" fontId="3" fillId="3" borderId="23" xfId="0" applyFont="1" applyFill="1" applyBorder="1"/>
    <xf numFmtId="0" fontId="7" fillId="0" borderId="23" xfId="0" applyFont="1" applyBorder="1" applyAlignment="1">
      <alignment horizontal="left"/>
    </xf>
    <xf numFmtId="49" fontId="17" fillId="10" borderId="34" xfId="0" applyNumberFormat="1" applyFont="1" applyFill="1" applyBorder="1" applyAlignment="1">
      <alignment horizontal="left" wrapText="1"/>
    </xf>
    <xf numFmtId="0" fontId="53" fillId="0" borderId="23" xfId="0" applyFont="1" applyBorder="1"/>
    <xf numFmtId="0" fontId="3" fillId="25" borderId="36" xfId="0" applyFont="1" applyFill="1" applyBorder="1"/>
    <xf numFmtId="0" fontId="3" fillId="0" borderId="21" xfId="0" applyFont="1" applyBorder="1"/>
    <xf numFmtId="49" fontId="20" fillId="22" borderId="23" xfId="0" applyNumberFormat="1" applyFont="1" applyFill="1" applyBorder="1" applyAlignment="1">
      <alignment horizontal="left"/>
    </xf>
    <xf numFmtId="0" fontId="22" fillId="0" borderId="23" xfId="0" applyFont="1" applyBorder="1" applyAlignment="1">
      <alignment horizontal="left"/>
    </xf>
    <xf numFmtId="0" fontId="3" fillId="22" borderId="34" xfId="0" applyFont="1" applyFill="1" applyBorder="1"/>
    <xf numFmtId="0" fontId="3" fillId="0" borderId="34" xfId="0" applyFont="1" applyBorder="1"/>
    <xf numFmtId="49" fontId="33" fillId="17" borderId="2" xfId="0" applyNumberFormat="1" applyFont="1" applyFill="1" applyBorder="1" applyAlignment="1">
      <alignment wrapText="1"/>
    </xf>
    <xf numFmtId="0" fontId="91" fillId="17" borderId="2" xfId="0" applyFont="1" applyFill="1" applyBorder="1" applyAlignment="1">
      <alignment horizontal="left"/>
    </xf>
    <xf numFmtId="0" fontId="2" fillId="0" borderId="5" xfId="0" applyFont="1" applyBorder="1" applyAlignment="1">
      <alignment horizontal="left" wrapText="1"/>
    </xf>
    <xf numFmtId="0" fontId="11" fillId="25" borderId="21" xfId="0" applyFont="1" applyFill="1" applyBorder="1" applyAlignment="1">
      <alignment horizontal="left" wrapText="1"/>
    </xf>
    <xf numFmtId="0" fontId="2" fillId="3" borderId="21" xfId="0" applyFont="1" applyFill="1" applyBorder="1" applyAlignment="1">
      <alignment horizontal="left" wrapText="1"/>
    </xf>
    <xf numFmtId="0" fontId="29" fillId="0" borderId="2" xfId="0" applyFont="1" applyBorder="1" applyAlignment="1">
      <alignment horizontal="left" wrapText="1"/>
    </xf>
    <xf numFmtId="49" fontId="11" fillId="10" borderId="21" xfId="0" applyNumberFormat="1" applyFont="1" applyFill="1" applyBorder="1" applyAlignment="1">
      <alignment horizontal="left" wrapText="1"/>
    </xf>
    <xf numFmtId="0" fontId="2" fillId="23" borderId="21" xfId="0" applyFont="1" applyFill="1" applyBorder="1" applyAlignment="1">
      <alignment horizontal="left" wrapText="1"/>
    </xf>
    <xf numFmtId="0" fontId="63" fillId="17" borderId="2" xfId="0" applyFont="1" applyFill="1" applyBorder="1"/>
    <xf numFmtId="0" fontId="2" fillId="13" borderId="0" xfId="0" applyFont="1" applyFill="1" applyBorder="1" applyAlignment="1">
      <alignment horizontal="right"/>
    </xf>
    <xf numFmtId="0" fontId="2" fillId="13" borderId="37" xfId="0" applyFont="1" applyFill="1" applyBorder="1" applyAlignment="1">
      <alignment horizontal="right"/>
    </xf>
    <xf numFmtId="0" fontId="7" fillId="13" borderId="0" xfId="0" applyFont="1" applyFill="1" applyBorder="1" applyAlignment="1">
      <alignment horizontal="right" wrapText="1"/>
    </xf>
    <xf numFmtId="0" fontId="2" fillId="13" borderId="2" xfId="0" applyFont="1" applyFill="1" applyBorder="1" applyAlignment="1">
      <alignment horizontal="right"/>
    </xf>
    <xf numFmtId="0" fontId="2" fillId="13" borderId="21" xfId="0" applyFont="1" applyFill="1" applyBorder="1" applyAlignment="1">
      <alignment horizontal="right"/>
    </xf>
    <xf numFmtId="0" fontId="17" fillId="13" borderId="0" xfId="0" applyFont="1" applyFill="1" applyBorder="1" applyAlignment="1">
      <alignment horizontal="right"/>
    </xf>
    <xf numFmtId="0" fontId="16" fillId="13" borderId="0" xfId="0" applyFont="1" applyFill="1" applyBorder="1"/>
    <xf numFmtId="0" fontId="2" fillId="13" borderId="21" xfId="0" applyFont="1" applyFill="1" applyBorder="1" applyAlignment="1">
      <alignment horizontal="center" wrapText="1"/>
    </xf>
    <xf numFmtId="0" fontId="9" fillId="27" borderId="33" xfId="0" applyFont="1" applyFill="1" applyBorder="1"/>
    <xf numFmtId="0" fontId="7" fillId="13" borderId="0" xfId="0" applyFont="1" applyFill="1" applyBorder="1" applyAlignment="1">
      <alignment horizontal="right"/>
    </xf>
    <xf numFmtId="0" fontId="2" fillId="13" borderId="37" xfId="0" applyFont="1" applyFill="1" applyBorder="1" applyAlignment="1">
      <alignment horizontal="center" wrapText="1"/>
    </xf>
    <xf numFmtId="0" fontId="9" fillId="27" borderId="0" xfId="0" applyFont="1" applyFill="1" applyBorder="1"/>
    <xf numFmtId="0" fontId="2" fillId="13" borderId="36" xfId="0" applyFont="1" applyFill="1" applyBorder="1" applyAlignment="1">
      <alignment horizontal="right"/>
    </xf>
    <xf numFmtId="0" fontId="16" fillId="13" borderId="21" xfId="0" applyFont="1" applyFill="1" applyBorder="1"/>
    <xf numFmtId="0" fontId="84" fillId="13" borderId="33" xfId="0" applyFont="1" applyFill="1" applyBorder="1" applyAlignment="1">
      <alignment horizontal="right" vertical="center" wrapText="1"/>
    </xf>
    <xf numFmtId="0" fontId="2" fillId="13" borderId="34" xfId="0" applyFont="1" applyFill="1" applyBorder="1" applyAlignment="1">
      <alignment horizontal="right"/>
    </xf>
    <xf numFmtId="0" fontId="74" fillId="0" borderId="34" xfId="0" applyFont="1" applyBorder="1" applyAlignment="1">
      <alignment horizontal="right" vertical="top"/>
    </xf>
    <xf numFmtId="49" fontId="11" fillId="0" borderId="36" xfId="0" applyNumberFormat="1" applyFont="1" applyBorder="1" applyAlignment="1">
      <alignment horizontal="center" wrapText="1"/>
    </xf>
    <xf numFmtId="49" fontId="11" fillId="0" borderId="34" xfId="0" applyNumberFormat="1" applyFont="1" applyBorder="1" applyAlignment="1">
      <alignment horizontal="center" wrapText="1"/>
    </xf>
    <xf numFmtId="49" fontId="11" fillId="0" borderId="21" xfId="0" applyNumberFormat="1" applyFont="1" applyBorder="1" applyAlignment="1">
      <alignment horizontal="center" wrapText="1"/>
    </xf>
    <xf numFmtId="0" fontId="9" fillId="0" borderId="34" xfId="0" applyFont="1" applyBorder="1"/>
    <xf numFmtId="49" fontId="9" fillId="0" borderId="34" xfId="0" applyNumberFormat="1" applyFont="1" applyBorder="1"/>
    <xf numFmtId="49" fontId="28" fillId="0" borderId="21" xfId="0" applyNumberFormat="1" applyFont="1" applyBorder="1" applyAlignment="1">
      <alignment horizontal="left"/>
    </xf>
    <xf numFmtId="49" fontId="28" fillId="0" borderId="0" xfId="0" applyNumberFormat="1" applyFont="1" applyBorder="1" applyAlignment="1">
      <alignment horizontal="left"/>
    </xf>
    <xf numFmtId="49" fontId="28" fillId="0" borderId="36" xfId="0" applyNumberFormat="1" applyFont="1" applyBorder="1" applyAlignment="1">
      <alignment horizontal="left"/>
    </xf>
    <xf numFmtId="0" fontId="16" fillId="17" borderId="21" xfId="0" applyFont="1" applyFill="1" applyBorder="1"/>
    <xf numFmtId="49" fontId="28" fillId="0" borderId="34" xfId="0" applyNumberFormat="1" applyFont="1" applyBorder="1" applyAlignment="1">
      <alignment horizontal="left"/>
    </xf>
    <xf numFmtId="49" fontId="11" fillId="0" borderId="22" xfId="0" applyNumberFormat="1" applyFont="1" applyBorder="1" applyAlignment="1">
      <alignment horizontal="center" wrapText="1"/>
    </xf>
    <xf numFmtId="0" fontId="28" fillId="0" borderId="22" xfId="0" applyFont="1" applyBorder="1"/>
    <xf numFmtId="49" fontId="7" fillId="0" borderId="37" xfId="0" applyNumberFormat="1" applyFont="1" applyBorder="1" applyAlignment="1">
      <alignment horizontal="center" wrapText="1"/>
    </xf>
    <xf numFmtId="49" fontId="11" fillId="0" borderId="37" xfId="0" applyNumberFormat="1" applyFont="1" applyBorder="1" applyAlignment="1">
      <alignment horizontal="center" wrapText="1"/>
    </xf>
    <xf numFmtId="49" fontId="7" fillId="0" borderId="37" xfId="0" applyNumberFormat="1" applyFont="1" applyBorder="1" applyAlignment="1">
      <alignment horizontal="left" wrapText="1"/>
    </xf>
    <xf numFmtId="0" fontId="9" fillId="0" borderId="37" xfId="0" applyFont="1" applyBorder="1"/>
    <xf numFmtId="0" fontId="7" fillId="0" borderId="37" xfId="0" applyFont="1" applyBorder="1" applyAlignment="1">
      <alignment wrapText="1"/>
    </xf>
    <xf numFmtId="49" fontId="7" fillId="0" borderId="36" xfId="0" applyNumberFormat="1" applyFont="1" applyBorder="1" applyAlignment="1">
      <alignment horizontal="center" vertical="center" wrapText="1"/>
    </xf>
    <xf numFmtId="49" fontId="7" fillId="0" borderId="34" xfId="0" applyNumberFormat="1" applyFont="1" applyBorder="1" applyAlignment="1">
      <alignment horizontal="center" vertical="center" wrapText="1"/>
    </xf>
    <xf numFmtId="49" fontId="12" fillId="0" borderId="36" xfId="0" applyNumberFormat="1" applyFont="1" applyBorder="1" applyAlignment="1">
      <alignment horizontal="center"/>
    </xf>
    <xf numFmtId="49" fontId="12" fillId="0" borderId="34" xfId="0" applyNumberFormat="1" applyFont="1" applyBorder="1" applyAlignment="1">
      <alignment horizontal="center"/>
    </xf>
    <xf numFmtId="49" fontId="12" fillId="0" borderId="21" xfId="0" applyNumberFormat="1" applyFont="1" applyBorder="1" applyAlignment="1">
      <alignment horizontal="center"/>
    </xf>
    <xf numFmtId="49" fontId="52" fillId="0" borderId="2" xfId="0" applyNumberFormat="1" applyFont="1" applyBorder="1" applyAlignment="1">
      <alignment horizontal="center" wrapText="1"/>
    </xf>
    <xf numFmtId="49" fontId="7" fillId="0" borderId="24" xfId="0" applyNumberFormat="1" applyFont="1" applyBorder="1" applyAlignment="1">
      <alignment horizontal="left" vertical="center" wrapText="1"/>
    </xf>
    <xf numFmtId="49" fontId="9" fillId="0" borderId="24" xfId="0" applyNumberFormat="1" applyFont="1" applyBorder="1"/>
    <xf numFmtId="0" fontId="9" fillId="0" borderId="24" xfId="0" applyFont="1" applyBorder="1"/>
    <xf numFmtId="0" fontId="7" fillId="13" borderId="23" xfId="0" applyFont="1" applyFill="1" applyBorder="1" applyAlignment="1">
      <alignment horizontal="center" wrapText="1"/>
    </xf>
    <xf numFmtId="0" fontId="7" fillId="13" borderId="33" xfId="0" applyFont="1" applyFill="1" applyBorder="1" applyAlignment="1">
      <alignment wrapText="1"/>
    </xf>
    <xf numFmtId="0" fontId="7" fillId="13" borderId="23" xfId="0" applyFont="1" applyFill="1" applyBorder="1" applyAlignment="1">
      <alignment wrapText="1"/>
    </xf>
    <xf numFmtId="0" fontId="9" fillId="27" borderId="23" xfId="0" applyFont="1" applyFill="1" applyBorder="1"/>
    <xf numFmtId="0" fontId="7" fillId="17" borderId="21" xfId="0" applyFont="1" applyFill="1" applyBorder="1" applyAlignment="1">
      <alignment horizontal="center" wrapText="1"/>
    </xf>
    <xf numFmtId="0" fontId="2" fillId="0" borderId="20" xfId="0" applyFont="1" applyBorder="1" applyAlignment="1">
      <alignment horizontal="center" wrapText="1"/>
    </xf>
    <xf numFmtId="0" fontId="7" fillId="17" borderId="27" xfId="0" applyFont="1" applyFill="1" applyBorder="1" applyAlignment="1">
      <alignment horizontal="center" wrapText="1"/>
    </xf>
    <xf numFmtId="0" fontId="7" fillId="17" borderId="21" xfId="0" applyFont="1" applyFill="1" applyBorder="1" applyAlignment="1">
      <alignment horizontal="center" vertical="center" wrapText="1"/>
    </xf>
    <xf numFmtId="49" fontId="7" fillId="17" borderId="21" xfId="0" applyNumberFormat="1" applyFont="1" applyFill="1" applyBorder="1" applyAlignment="1">
      <alignment wrapText="1"/>
    </xf>
    <xf numFmtId="0" fontId="9" fillId="17" borderId="2" xfId="0" applyFont="1" applyFill="1" applyBorder="1"/>
    <xf numFmtId="0" fontId="7" fillId="17" borderId="36" xfId="0" applyFont="1" applyFill="1" applyBorder="1" applyAlignment="1">
      <alignment horizontal="center" vertical="center" wrapText="1"/>
    </xf>
    <xf numFmtId="0" fontId="9" fillId="17" borderId="21" xfId="0" applyFont="1" applyFill="1" applyBorder="1"/>
    <xf numFmtId="0" fontId="7" fillId="17" borderId="36" xfId="0" applyFont="1" applyFill="1" applyBorder="1" applyAlignment="1">
      <alignment horizontal="center" wrapText="1"/>
    </xf>
    <xf numFmtId="0" fontId="7" fillId="17" borderId="21" xfId="0" applyFont="1" applyFill="1" applyBorder="1" applyAlignment="1">
      <alignment wrapText="1"/>
    </xf>
    <xf numFmtId="0" fontId="7" fillId="6" borderId="21" xfId="0" applyFont="1" applyFill="1" applyBorder="1" applyAlignment="1">
      <alignment horizontal="center" wrapText="1"/>
    </xf>
    <xf numFmtId="0" fontId="7" fillId="13" borderId="0" xfId="0" applyFont="1" applyFill="1" applyBorder="1" applyAlignment="1">
      <alignment horizontal="center" wrapText="1"/>
    </xf>
    <xf numFmtId="0" fontId="2" fillId="13" borderId="0" xfId="0" applyFont="1" applyFill="1" applyBorder="1" applyAlignment="1">
      <alignment horizontal="center" wrapText="1"/>
    </xf>
    <xf numFmtId="0" fontId="7" fillId="13" borderId="48" xfId="0" applyFont="1" applyFill="1" applyBorder="1" applyAlignment="1">
      <alignment horizontal="center" wrapText="1"/>
    </xf>
    <xf numFmtId="0" fontId="2" fillId="0" borderId="41" xfId="0" applyFont="1" applyBorder="1" applyAlignment="1">
      <alignment horizontal="center" wrapText="1"/>
    </xf>
    <xf numFmtId="0" fontId="2" fillId="3" borderId="21" xfId="0" applyFont="1" applyFill="1" applyBorder="1" applyAlignment="1">
      <alignment horizontal="center" wrapText="1"/>
    </xf>
    <xf numFmtId="0" fontId="9" fillId="0" borderId="39" xfId="0" applyFont="1" applyBorder="1"/>
    <xf numFmtId="0" fontId="2" fillId="0" borderId="0" xfId="0" applyFont="1" applyBorder="1" applyAlignment="1">
      <alignment horizontal="center" wrapText="1"/>
    </xf>
    <xf numFmtId="0" fontId="1" fillId="0" borderId="21" xfId="0" applyFont="1" applyBorder="1"/>
    <xf numFmtId="0" fontId="2" fillId="6" borderId="0" xfId="0" applyFont="1" applyFill="1" applyBorder="1" applyAlignment="1">
      <alignment horizontal="center" wrapText="1"/>
    </xf>
    <xf numFmtId="0" fontId="7" fillId="13" borderId="47" xfId="0" applyFont="1" applyFill="1" applyBorder="1" applyAlignment="1">
      <alignment horizontal="center" wrapText="1"/>
    </xf>
    <xf numFmtId="0" fontId="2" fillId="13" borderId="43" xfId="0" applyFont="1" applyFill="1" applyBorder="1" applyAlignment="1">
      <alignment horizontal="center" wrapText="1"/>
    </xf>
    <xf numFmtId="0" fontId="9" fillId="27" borderId="47" xfId="0" applyFont="1" applyFill="1" applyBorder="1"/>
    <xf numFmtId="0" fontId="2" fillId="3" borderId="46" xfId="0" applyFont="1" applyFill="1" applyBorder="1" applyAlignment="1">
      <alignment horizontal="center" wrapText="1"/>
    </xf>
    <xf numFmtId="0" fontId="2" fillId="3" borderId="36" xfId="0" applyFont="1" applyFill="1" applyBorder="1" applyAlignment="1">
      <alignment horizontal="center" wrapText="1"/>
    </xf>
    <xf numFmtId="0" fontId="9" fillId="3" borderId="21" xfId="0" applyFont="1" applyFill="1" applyBorder="1"/>
    <xf numFmtId="0" fontId="9" fillId="3" borderId="2" xfId="0" applyFont="1" applyFill="1" applyBorder="1"/>
    <xf numFmtId="0" fontId="0" fillId="0" borderId="2" xfId="0" applyBorder="1"/>
    <xf numFmtId="0" fontId="0" fillId="0" borderId="46" xfId="0" applyBorder="1"/>
    <xf numFmtId="0" fontId="2" fillId="24" borderId="21" xfId="0" applyFont="1" applyFill="1" applyBorder="1" applyAlignment="1">
      <alignment horizontal="center" wrapText="1"/>
    </xf>
    <xf numFmtId="0" fontId="2" fillId="24" borderId="46" xfId="0" applyFont="1" applyFill="1" applyBorder="1" applyAlignment="1">
      <alignment horizontal="center" wrapText="1"/>
    </xf>
    <xf numFmtId="0" fontId="2" fillId="7" borderId="21" xfId="0" applyFont="1" applyFill="1" applyBorder="1" applyAlignment="1">
      <alignment horizontal="center" wrapText="1"/>
    </xf>
    <xf numFmtId="0" fontId="2" fillId="7" borderId="2" xfId="0" applyFont="1" applyFill="1" applyBorder="1" applyAlignment="1">
      <alignment horizontal="center" wrapText="1"/>
    </xf>
    <xf numFmtId="165" fontId="33" fillId="21" borderId="2" xfId="0" applyNumberFormat="1" applyFont="1" applyFill="1" applyBorder="1" applyAlignment="1">
      <alignment horizontal="right" wrapText="1"/>
    </xf>
    <xf numFmtId="165" fontId="7" fillId="21" borderId="36" xfId="0" applyNumberFormat="1" applyFont="1" applyFill="1" applyBorder="1" applyAlignment="1">
      <alignment wrapText="1"/>
    </xf>
    <xf numFmtId="165" fontId="9" fillId="21" borderId="23" xfId="0" applyNumberFormat="1" applyFont="1" applyFill="1" applyBorder="1"/>
    <xf numFmtId="165" fontId="9" fillId="21" borderId="2" xfId="0" applyNumberFormat="1" applyFont="1" applyFill="1" applyBorder="1"/>
    <xf numFmtId="165" fontId="7" fillId="15" borderId="41" xfId="0" applyNumberFormat="1" applyFont="1" applyFill="1" applyBorder="1" applyAlignment="1">
      <alignment horizontal="center" wrapText="1"/>
    </xf>
    <xf numFmtId="165" fontId="9" fillId="15" borderId="2" xfId="0" applyNumberFormat="1" applyFont="1" applyFill="1" applyBorder="1"/>
    <xf numFmtId="165" fontId="7" fillId="15" borderId="36" xfId="0" applyNumberFormat="1" applyFont="1" applyFill="1" applyBorder="1" applyAlignment="1">
      <alignment wrapText="1"/>
    </xf>
    <xf numFmtId="165" fontId="7" fillId="15" borderId="39" xfId="0" applyNumberFormat="1" applyFont="1" applyFill="1" applyBorder="1" applyAlignment="1">
      <alignment horizontal="center" wrapText="1"/>
    </xf>
    <xf numFmtId="165" fontId="9" fillId="15" borderId="23" xfId="0" applyNumberFormat="1" applyFont="1" applyFill="1" applyBorder="1"/>
    <xf numFmtId="165" fontId="7" fillId="15" borderId="50" xfId="0" applyNumberFormat="1" applyFont="1" applyFill="1" applyBorder="1" applyAlignment="1">
      <alignment wrapText="1"/>
    </xf>
    <xf numFmtId="165" fontId="36" fillId="15" borderId="23" xfId="0" applyNumberFormat="1" applyFont="1" applyFill="1" applyBorder="1" applyAlignment="1">
      <alignment wrapText="1"/>
    </xf>
    <xf numFmtId="165" fontId="7" fillId="9" borderId="23" xfId="0" applyNumberFormat="1" applyFont="1" applyFill="1" applyBorder="1" applyAlignment="1">
      <alignment wrapText="1"/>
    </xf>
    <xf numFmtId="165" fontId="7" fillId="9" borderId="40" xfId="0" applyNumberFormat="1" applyFont="1" applyFill="1" applyBorder="1" applyAlignment="1">
      <alignment horizontal="center" wrapText="1"/>
    </xf>
    <xf numFmtId="165" fontId="7" fillId="9" borderId="26" xfId="0" applyNumberFormat="1" applyFont="1" applyFill="1" applyBorder="1" applyAlignment="1">
      <alignment horizontal="center" wrapText="1"/>
    </xf>
    <xf numFmtId="165" fontId="7" fillId="9" borderId="35" xfId="0" applyNumberFormat="1" applyFont="1" applyFill="1" applyBorder="1" applyAlignment="1">
      <alignment horizontal="center" wrapText="1"/>
    </xf>
    <xf numFmtId="165" fontId="9" fillId="9" borderId="2" xfId="0" applyNumberFormat="1" applyFont="1" applyFill="1" applyBorder="1"/>
    <xf numFmtId="165" fontId="7" fillId="9" borderId="36" xfId="0" applyNumberFormat="1" applyFont="1" applyFill="1" applyBorder="1" applyAlignment="1">
      <alignment wrapText="1"/>
    </xf>
    <xf numFmtId="165" fontId="7" fillId="9" borderId="45" xfId="0" applyNumberFormat="1" applyFont="1" applyFill="1" applyBorder="1" applyAlignment="1">
      <alignment horizontal="center" wrapText="1"/>
    </xf>
    <xf numFmtId="165" fontId="9" fillId="9" borderId="23" xfId="0" applyNumberFormat="1" applyFont="1" applyFill="1" applyBorder="1"/>
    <xf numFmtId="165" fontId="7" fillId="9" borderId="50" xfId="0" applyNumberFormat="1" applyFont="1" applyFill="1" applyBorder="1" applyAlignment="1">
      <alignment wrapText="1"/>
    </xf>
    <xf numFmtId="165" fontId="9" fillId="16" borderId="2" xfId="0" applyNumberFormat="1" applyFont="1" applyFill="1" applyBorder="1"/>
    <xf numFmtId="165" fontId="2" fillId="16" borderId="36" xfId="0" applyNumberFormat="1" applyFont="1" applyFill="1" applyBorder="1" applyAlignment="1">
      <alignment wrapText="1"/>
    </xf>
    <xf numFmtId="165" fontId="9" fillId="16" borderId="23" xfId="0" applyNumberFormat="1" applyFont="1" applyFill="1" applyBorder="1"/>
    <xf numFmtId="165" fontId="2" fillId="16" borderId="50" xfId="0" applyNumberFormat="1" applyFont="1" applyFill="1" applyBorder="1" applyAlignment="1">
      <alignment wrapText="1"/>
    </xf>
    <xf numFmtId="165" fontId="7" fillId="2" borderId="23" xfId="0" applyNumberFormat="1" applyFont="1" applyFill="1" applyBorder="1" applyAlignment="1">
      <alignment wrapText="1"/>
    </xf>
    <xf numFmtId="165" fontId="52" fillId="2" borderId="2" xfId="0" applyNumberFormat="1" applyFont="1" applyFill="1" applyBorder="1" applyAlignment="1">
      <alignment horizontal="right" wrapText="1"/>
    </xf>
    <xf numFmtId="165" fontId="7" fillId="2" borderId="36" xfId="0" applyNumberFormat="1" applyFont="1" applyFill="1" applyBorder="1" applyAlignment="1">
      <alignment wrapText="1"/>
    </xf>
    <xf numFmtId="165" fontId="2" fillId="2" borderId="39" xfId="0" applyNumberFormat="1" applyFont="1" applyFill="1" applyBorder="1" applyAlignment="1">
      <alignment horizontal="center" wrapText="1"/>
    </xf>
    <xf numFmtId="165" fontId="2" fillId="2" borderId="23" xfId="0" applyNumberFormat="1" applyFont="1" applyFill="1" applyBorder="1" applyAlignment="1">
      <alignment horizontal="center" wrapText="1"/>
    </xf>
    <xf numFmtId="165" fontId="7" fillId="4" borderId="23" xfId="0" applyNumberFormat="1" applyFont="1" applyFill="1" applyBorder="1" applyAlignment="1">
      <alignment wrapText="1"/>
    </xf>
    <xf numFmtId="165" fontId="9" fillId="4" borderId="2" xfId="0" applyNumberFormat="1" applyFont="1" applyFill="1" applyBorder="1"/>
    <xf numFmtId="165" fontId="7" fillId="4" borderId="36" xfId="0" applyNumberFormat="1" applyFont="1" applyFill="1" applyBorder="1" applyAlignment="1">
      <alignment wrapText="1"/>
    </xf>
    <xf numFmtId="165" fontId="2" fillId="4" borderId="39" xfId="0" applyNumberFormat="1" applyFont="1" applyFill="1" applyBorder="1" applyAlignment="1">
      <alignment horizontal="center" wrapText="1"/>
    </xf>
    <xf numFmtId="165" fontId="2" fillId="4" borderId="23" xfId="0" applyNumberFormat="1" applyFont="1" applyFill="1" applyBorder="1" applyAlignment="1">
      <alignment horizontal="center" wrapText="1"/>
    </xf>
    <xf numFmtId="49" fontId="17" fillId="17" borderId="21" xfId="0" applyNumberFormat="1" applyFont="1" applyFill="1" applyBorder="1" applyAlignment="1">
      <alignment horizontal="left"/>
    </xf>
    <xf numFmtId="164" fontId="7" fillId="0" borderId="25" xfId="0" applyNumberFormat="1" applyFont="1" applyBorder="1" applyAlignment="1">
      <alignment horizontal="left" wrapText="1"/>
    </xf>
    <xf numFmtId="10" fontId="7" fillId="0" borderId="25" xfId="0" applyNumberFormat="1" applyFont="1" applyBorder="1" applyAlignment="1">
      <alignment horizontal="left" wrapText="1"/>
    </xf>
    <xf numFmtId="49" fontId="17" fillId="0" borderId="21" xfId="0" applyNumberFormat="1" applyFont="1" applyBorder="1" applyAlignment="1">
      <alignment horizontal="left"/>
    </xf>
    <xf numFmtId="0" fontId="7" fillId="0" borderId="25" xfId="0" applyFont="1" applyBorder="1" applyAlignment="1">
      <alignment horizontal="left"/>
    </xf>
    <xf numFmtId="0" fontId="7" fillId="10" borderId="21" xfId="0" applyFont="1" applyFill="1" applyBorder="1" applyAlignment="1">
      <alignment horizontal="left" wrapText="1"/>
    </xf>
    <xf numFmtId="0" fontId="7" fillId="0" borderId="43" xfId="0" applyFont="1" applyBorder="1" applyAlignment="1">
      <alignment horizontal="left" wrapText="1"/>
    </xf>
    <xf numFmtId="164" fontId="7" fillId="0" borderId="21" xfId="0" applyNumberFormat="1" applyFont="1" applyBorder="1" applyAlignment="1">
      <alignment horizontal="left" wrapText="1"/>
    </xf>
    <xf numFmtId="49" fontId="17" fillId="4" borderId="21" xfId="0" applyNumberFormat="1" applyFont="1" applyFill="1" applyBorder="1" applyAlignment="1">
      <alignment horizontal="left"/>
    </xf>
    <xf numFmtId="49" fontId="33" fillId="17" borderId="25" xfId="0" applyNumberFormat="1" applyFont="1" applyFill="1" applyBorder="1"/>
    <xf numFmtId="0" fontId="17" fillId="0" borderId="25" xfId="0" applyFont="1" applyBorder="1" applyAlignment="1">
      <alignment horizontal="left"/>
    </xf>
    <xf numFmtId="10" fontId="9" fillId="0" borderId="21" xfId="0" applyNumberFormat="1" applyFont="1" applyBorder="1"/>
    <xf numFmtId="49" fontId="17" fillId="17" borderId="36" xfId="0" applyNumberFormat="1" applyFont="1" applyFill="1" applyBorder="1" applyAlignment="1">
      <alignment horizontal="left"/>
    </xf>
    <xf numFmtId="10" fontId="9" fillId="0" borderId="25" xfId="0" applyNumberFormat="1" applyFont="1" applyBorder="1"/>
    <xf numFmtId="49" fontId="17" fillId="17" borderId="43" xfId="0" applyNumberFormat="1" applyFont="1" applyFill="1" applyBorder="1" applyAlignment="1">
      <alignment horizontal="left"/>
    </xf>
    <xf numFmtId="10" fontId="7" fillId="10" borderId="24" xfId="0" applyNumberFormat="1" applyFont="1" applyFill="1" applyBorder="1" applyAlignment="1">
      <alignment wrapText="1"/>
    </xf>
    <xf numFmtId="10" fontId="7" fillId="10" borderId="36" xfId="0" applyNumberFormat="1" applyFont="1" applyFill="1" applyBorder="1" applyAlignment="1">
      <alignment wrapText="1"/>
    </xf>
    <xf numFmtId="10" fontId="9" fillId="17" borderId="2" xfId="0" applyNumberFormat="1" applyFont="1" applyFill="1" applyBorder="1"/>
    <xf numFmtId="10" fontId="9" fillId="0" borderId="2" xfId="0" applyNumberFormat="1" applyFont="1" applyBorder="1"/>
    <xf numFmtId="164" fontId="7" fillId="15" borderId="20" xfId="0" applyNumberFormat="1" applyFont="1" applyFill="1" applyBorder="1" applyAlignment="1">
      <alignment horizontal="center" wrapText="1"/>
    </xf>
    <xf numFmtId="164" fontId="7" fillId="15" borderId="45" xfId="0" applyNumberFormat="1" applyFont="1" applyFill="1" applyBorder="1" applyAlignment="1">
      <alignment horizontal="center" wrapText="1"/>
    </xf>
    <xf numFmtId="164" fontId="7" fillId="15" borderId="41" xfId="0" applyNumberFormat="1" applyFont="1" applyFill="1" applyBorder="1" applyAlignment="1">
      <alignment horizontal="center" wrapText="1"/>
    </xf>
    <xf numFmtId="164" fontId="7" fillId="15" borderId="40" xfId="0" applyNumberFormat="1" applyFont="1" applyFill="1" applyBorder="1" applyAlignment="1">
      <alignment horizontal="center" wrapText="1"/>
    </xf>
    <xf numFmtId="164" fontId="9" fillId="15" borderId="45" xfId="0" applyNumberFormat="1" applyFont="1" applyFill="1" applyBorder="1"/>
    <xf numFmtId="164" fontId="7" fillId="15" borderId="36" xfId="0" applyNumberFormat="1" applyFont="1" applyFill="1" applyBorder="1" applyAlignment="1">
      <alignment wrapText="1"/>
    </xf>
    <xf numFmtId="164" fontId="9" fillId="15" borderId="23" xfId="0" applyNumberFormat="1" applyFont="1" applyFill="1" applyBorder="1"/>
    <xf numFmtId="164" fontId="36" fillId="15" borderId="23" xfId="0" applyNumberFormat="1" applyFont="1" applyFill="1" applyBorder="1" applyAlignment="1">
      <alignment wrapText="1"/>
    </xf>
    <xf numFmtId="164" fontId="7" fillId="4" borderId="40" xfId="0" applyNumberFormat="1" applyFont="1" applyFill="1" applyBorder="1" applyAlignment="1">
      <alignment wrapText="1"/>
    </xf>
    <xf numFmtId="164" fontId="7" fillId="15" borderId="35" xfId="0" applyNumberFormat="1" applyFont="1" applyFill="1" applyBorder="1" applyAlignment="1">
      <alignment horizontal="center" wrapText="1"/>
    </xf>
    <xf numFmtId="164" fontId="7" fillId="9" borderId="20" xfId="0" applyNumberFormat="1" applyFont="1" applyFill="1" applyBorder="1" applyAlignment="1">
      <alignment horizontal="center" wrapText="1"/>
    </xf>
    <xf numFmtId="164" fontId="33" fillId="9" borderId="2" xfId="0" applyNumberFormat="1" applyFont="1" applyFill="1" applyBorder="1" applyAlignment="1">
      <alignment horizontal="right" wrapText="1"/>
    </xf>
    <xf numFmtId="164" fontId="7" fillId="9" borderId="36" xfId="0" applyNumberFormat="1" applyFont="1" applyFill="1" applyBorder="1" applyAlignment="1">
      <alignment wrapText="1"/>
    </xf>
    <xf numFmtId="164" fontId="9" fillId="9" borderId="23" xfId="0" applyNumberFormat="1" applyFont="1" applyFill="1" applyBorder="1"/>
    <xf numFmtId="164" fontId="9" fillId="9" borderId="2" xfId="0" applyNumberFormat="1" applyFont="1" applyFill="1" applyBorder="1"/>
    <xf numFmtId="164" fontId="52" fillId="16" borderId="2" xfId="0" applyNumberFormat="1" applyFont="1" applyFill="1" applyBorder="1" applyAlignment="1">
      <alignment horizontal="right" wrapText="1"/>
    </xf>
    <xf numFmtId="164" fontId="2" fillId="16" borderId="36" xfId="0" applyNumberFormat="1" applyFont="1" applyFill="1" applyBorder="1" applyAlignment="1">
      <alignment wrapText="1"/>
    </xf>
    <xf numFmtId="164" fontId="9" fillId="16" borderId="23" xfId="0" applyNumberFormat="1" applyFont="1" applyFill="1" applyBorder="1"/>
    <xf numFmtId="164" fontId="2" fillId="4" borderId="35" xfId="0" applyNumberFormat="1" applyFont="1" applyFill="1" applyBorder="1" applyAlignment="1">
      <alignment wrapText="1"/>
    </xf>
    <xf numFmtId="164" fontId="9" fillId="16" borderId="2" xfId="0" applyNumberFormat="1" applyFont="1" applyFill="1" applyBorder="1"/>
    <xf numFmtId="164" fontId="52" fillId="2" borderId="2" xfId="0" applyNumberFormat="1" applyFont="1" applyFill="1" applyBorder="1" applyAlignment="1">
      <alignment horizontal="right" wrapText="1"/>
    </xf>
    <xf numFmtId="164" fontId="2" fillId="2" borderId="36" xfId="0" applyNumberFormat="1" applyFont="1" applyFill="1" applyBorder="1" applyAlignment="1">
      <alignment wrapText="1"/>
    </xf>
    <xf numFmtId="164" fontId="52" fillId="2" borderId="23" xfId="0" applyNumberFormat="1" applyFont="1" applyFill="1" applyBorder="1" applyAlignment="1">
      <alignment horizontal="right" wrapText="1"/>
    </xf>
    <xf numFmtId="164" fontId="52" fillId="4" borderId="2" xfId="0" applyNumberFormat="1" applyFont="1" applyFill="1" applyBorder="1" applyAlignment="1">
      <alignment horizontal="right" wrapText="1"/>
    </xf>
    <xf numFmtId="164" fontId="2" fillId="4" borderId="36" xfId="0" applyNumberFormat="1" applyFont="1" applyFill="1" applyBorder="1" applyAlignment="1">
      <alignment wrapText="1"/>
    </xf>
    <xf numFmtId="164" fontId="52" fillId="4" borderId="23" xfId="0" applyNumberFormat="1" applyFont="1" applyFill="1" applyBorder="1" applyAlignment="1">
      <alignment horizontal="right" wrapText="1"/>
    </xf>
    <xf numFmtId="49" fontId="33" fillId="17" borderId="25" xfId="0" applyNumberFormat="1" applyFont="1" applyFill="1" applyBorder="1" applyAlignment="1">
      <alignment horizontal="left"/>
    </xf>
    <xf numFmtId="164" fontId="9" fillId="15" borderId="2" xfId="0" applyNumberFormat="1" applyFont="1" applyFill="1" applyBorder="1"/>
    <xf numFmtId="164" fontId="9" fillId="15" borderId="41" xfId="0" applyNumberFormat="1" applyFont="1" applyFill="1" applyBorder="1"/>
    <xf numFmtId="164" fontId="7" fillId="9" borderId="31" xfId="0" applyNumberFormat="1" applyFont="1" applyFill="1" applyBorder="1" applyAlignment="1">
      <alignment wrapText="1"/>
    </xf>
    <xf numFmtId="164" fontId="52" fillId="2" borderId="2" xfId="0" applyNumberFormat="1" applyFont="1" applyFill="1" applyBorder="1" applyAlignment="1">
      <alignment horizontal="center" wrapText="1"/>
    </xf>
    <xf numFmtId="164" fontId="2" fillId="2" borderId="36" xfId="0" applyNumberFormat="1" applyFont="1" applyFill="1" applyBorder="1" applyAlignment="1">
      <alignment horizontal="center" wrapText="1"/>
    </xf>
    <xf numFmtId="164" fontId="52" fillId="2" borderId="23" xfId="0" applyNumberFormat="1" applyFont="1" applyFill="1" applyBorder="1" applyAlignment="1">
      <alignment horizontal="center" wrapText="1"/>
    </xf>
    <xf numFmtId="164" fontId="52" fillId="4" borderId="2" xfId="0" applyNumberFormat="1" applyFont="1" applyFill="1" applyBorder="1" applyAlignment="1">
      <alignment horizontal="center" wrapText="1"/>
    </xf>
    <xf numFmtId="164" fontId="2" fillId="4" borderId="36" xfId="0" applyNumberFormat="1" applyFont="1" applyFill="1" applyBorder="1" applyAlignment="1">
      <alignment horizontal="center" wrapText="1"/>
    </xf>
    <xf numFmtId="164" fontId="52" fillId="4" borderId="23" xfId="0" applyNumberFormat="1" applyFont="1" applyFill="1" applyBorder="1" applyAlignment="1">
      <alignment horizontal="center" wrapText="1"/>
    </xf>
    <xf numFmtId="0" fontId="10" fillId="0" borderId="21" xfId="0" applyFont="1" applyBorder="1" applyAlignment="1">
      <alignment horizontal="center" wrapText="1"/>
    </xf>
    <xf numFmtId="0" fontId="17" fillId="17" borderId="21" xfId="0" applyFont="1" applyFill="1" applyBorder="1" applyAlignment="1">
      <alignment horizontal="center" wrapText="1"/>
    </xf>
    <xf numFmtId="164" fontId="9" fillId="0" borderId="21" xfId="0" applyNumberFormat="1" applyFont="1" applyBorder="1"/>
    <xf numFmtId="164" fontId="7" fillId="10" borderId="21" xfId="0" applyNumberFormat="1" applyFont="1" applyFill="1" applyBorder="1" applyAlignment="1">
      <alignment horizontal="center" wrapText="1"/>
    </xf>
    <xf numFmtId="0" fontId="7" fillId="15" borderId="23" xfId="0" applyFont="1" applyFill="1" applyBorder="1" applyAlignment="1">
      <alignment wrapText="1"/>
    </xf>
    <xf numFmtId="164" fontId="33" fillId="15" borderId="23" xfId="0" applyNumberFormat="1" applyFont="1" applyFill="1" applyBorder="1" applyAlignment="1">
      <alignment horizontal="right" wrapText="1"/>
    </xf>
    <xf numFmtId="0" fontId="7" fillId="15" borderId="21" xfId="0" applyFont="1" applyFill="1" applyBorder="1" applyAlignment="1">
      <alignment wrapText="1"/>
    </xf>
    <xf numFmtId="166" fontId="7" fillId="4" borderId="2" xfId="0" applyNumberFormat="1" applyFont="1" applyFill="1" applyBorder="1" applyAlignment="1">
      <alignment horizontal="center" wrapText="1"/>
    </xf>
    <xf numFmtId="166" fontId="33" fillId="15" borderId="23" xfId="0" applyNumberFormat="1" applyFont="1" applyFill="1" applyBorder="1" applyAlignment="1">
      <alignment horizontal="center" wrapText="1"/>
    </xf>
    <xf numFmtId="166" fontId="7" fillId="15" borderId="36" xfId="0" applyNumberFormat="1" applyFont="1" applyFill="1" applyBorder="1" applyAlignment="1">
      <alignment horizontal="center" wrapText="1"/>
    </xf>
    <xf numFmtId="166" fontId="9" fillId="15" borderId="23" xfId="0" applyNumberFormat="1" applyFont="1" applyFill="1" applyBorder="1"/>
    <xf numFmtId="14" fontId="7" fillId="15" borderId="2" xfId="0" applyNumberFormat="1" applyFont="1" applyFill="1" applyBorder="1" applyAlignment="1">
      <alignment horizontal="center" wrapText="1"/>
    </xf>
    <xf numFmtId="0" fontId="2" fillId="15" borderId="23" xfId="0" applyFont="1" applyFill="1" applyBorder="1" applyAlignment="1">
      <alignment horizontal="left" wrapText="1"/>
    </xf>
    <xf numFmtId="0" fontId="2" fillId="15" borderId="36" xfId="0" applyFont="1" applyFill="1" applyBorder="1" applyAlignment="1">
      <alignment horizontal="left" wrapText="1"/>
    </xf>
    <xf numFmtId="164" fontId="2" fillId="15" borderId="23" xfId="0" applyNumberFormat="1" applyFont="1" applyFill="1" applyBorder="1" applyAlignment="1">
      <alignment wrapText="1"/>
    </xf>
    <xf numFmtId="164" fontId="50" fillId="15" borderId="2" xfId="0" applyNumberFormat="1" applyFont="1" applyFill="1" applyBorder="1" applyAlignment="1">
      <alignment wrapText="1"/>
    </xf>
    <xf numFmtId="164" fontId="2" fillId="15" borderId="21" xfId="0" applyNumberFormat="1" applyFont="1" applyFill="1" applyBorder="1" applyAlignment="1">
      <alignment wrapText="1"/>
    </xf>
    <xf numFmtId="164" fontId="2" fillId="15" borderId="36" xfId="0" applyNumberFormat="1" applyFont="1" applyFill="1" applyBorder="1" applyAlignment="1">
      <alignment wrapText="1"/>
    </xf>
    <xf numFmtId="15" fontId="7" fillId="15" borderId="23" xfId="0" applyNumberFormat="1" applyFont="1" applyFill="1" applyBorder="1" applyAlignment="1">
      <alignment horizontal="center" wrapText="1"/>
    </xf>
    <xf numFmtId="166" fontId="9" fillId="15" borderId="2" xfId="0" applyNumberFormat="1" applyFont="1" applyFill="1" applyBorder="1"/>
    <xf numFmtId="10" fontId="7" fillId="15" borderId="21" xfId="0" applyNumberFormat="1" applyFont="1" applyFill="1" applyBorder="1" applyAlignment="1">
      <alignment wrapText="1"/>
    </xf>
    <xf numFmtId="166" fontId="2" fillId="15" borderId="36" xfId="0" applyNumberFormat="1" applyFont="1" applyFill="1" applyBorder="1" applyAlignment="1">
      <alignment horizontal="center" wrapText="1"/>
    </xf>
    <xf numFmtId="15" fontId="7" fillId="15" borderId="21" xfId="0" applyNumberFormat="1" applyFont="1" applyFill="1" applyBorder="1" applyAlignment="1">
      <alignment horizontal="center" wrapText="1"/>
    </xf>
    <xf numFmtId="166" fontId="2" fillId="15" borderId="41" xfId="0" applyNumberFormat="1" applyFont="1" applyFill="1" applyBorder="1" applyAlignment="1">
      <alignment horizontal="center" wrapText="1"/>
    </xf>
    <xf numFmtId="168" fontId="7" fillId="15" borderId="23" xfId="0" applyNumberFormat="1" applyFont="1" applyFill="1" applyBorder="1" applyAlignment="1">
      <alignment horizontal="center" wrapText="1"/>
    </xf>
    <xf numFmtId="164" fontId="2" fillId="15" borderId="41" xfId="0" applyNumberFormat="1" applyFont="1" applyFill="1" applyBorder="1" applyAlignment="1">
      <alignment wrapText="1"/>
    </xf>
    <xf numFmtId="0" fontId="9" fillId="15" borderId="2" xfId="0" applyFont="1" applyFill="1" applyBorder="1"/>
    <xf numFmtId="10" fontId="7" fillId="15" borderId="36" xfId="0" applyNumberFormat="1" applyFont="1" applyFill="1" applyBorder="1" applyAlignment="1">
      <alignment wrapText="1"/>
    </xf>
    <xf numFmtId="10" fontId="9" fillId="15" borderId="23" xfId="0" applyNumberFormat="1" applyFont="1" applyFill="1" applyBorder="1"/>
    <xf numFmtId="0" fontId="7" fillId="15" borderId="36" xfId="0" applyFont="1" applyFill="1" applyBorder="1" applyAlignment="1">
      <alignment horizontal="center" wrapText="1"/>
    </xf>
    <xf numFmtId="10" fontId="9" fillId="15" borderId="2" xfId="0" applyNumberFormat="1" applyFont="1" applyFill="1" applyBorder="1"/>
    <xf numFmtId="166" fontId="7" fillId="6" borderId="2" xfId="0" applyNumberFormat="1" applyFont="1" applyFill="1" applyBorder="1" applyAlignment="1">
      <alignment horizontal="center" wrapText="1"/>
    </xf>
    <xf numFmtId="0" fontId="10" fillId="0" borderId="21" xfId="0" applyFont="1" applyBorder="1" applyAlignment="1">
      <alignment horizontal="center"/>
    </xf>
    <xf numFmtId="0" fontId="22" fillId="0" borderId="37" xfId="0" applyFont="1" applyBorder="1" applyAlignment="1">
      <alignment horizontal="center"/>
    </xf>
    <xf numFmtId="0" fontId="22" fillId="17" borderId="37" xfId="0" applyFont="1" applyFill="1" applyBorder="1" applyAlignment="1">
      <alignment horizontal="center"/>
    </xf>
    <xf numFmtId="0" fontId="22" fillId="0" borderId="34" xfId="0" applyFont="1" applyBorder="1" applyAlignment="1">
      <alignment horizontal="center"/>
    </xf>
    <xf numFmtId="0" fontId="7" fillId="3" borderId="21" xfId="0" applyFont="1" applyFill="1" applyBorder="1" applyAlignment="1">
      <alignment horizontal="center" wrapText="1"/>
    </xf>
    <xf numFmtId="0" fontId="7" fillId="0" borderId="23" xfId="0" applyFont="1" applyBorder="1" applyAlignment="1">
      <alignment horizontal="center" wrapText="1"/>
    </xf>
    <xf numFmtId="0" fontId="7" fillId="0" borderId="23" xfId="0" applyFont="1" applyBorder="1" applyAlignment="1">
      <alignment wrapText="1"/>
    </xf>
    <xf numFmtId="49" fontId="48" fillId="22" borderId="23" xfId="0" applyNumberFormat="1" applyFont="1" applyFill="1" applyBorder="1" applyAlignment="1">
      <alignment horizontal="left" wrapText="1"/>
    </xf>
    <xf numFmtId="49" fontId="48" fillId="17" borderId="21" xfId="0" applyNumberFormat="1" applyFont="1" applyFill="1" applyBorder="1" applyAlignment="1">
      <alignment horizontal="left" wrapText="1"/>
    </xf>
    <xf numFmtId="49" fontId="48" fillId="15" borderId="23" xfId="0" applyNumberFormat="1" applyFont="1" applyFill="1" applyBorder="1" applyAlignment="1">
      <alignment horizontal="left" wrapText="1"/>
    </xf>
    <xf numFmtId="0" fontId="7" fillId="25" borderId="21" xfId="0" applyFont="1" applyFill="1" applyBorder="1" applyAlignment="1">
      <alignment horizontal="left" wrapText="1"/>
    </xf>
    <xf numFmtId="0" fontId="7" fillId="22" borderId="21" xfId="0" applyFont="1" applyFill="1" applyBorder="1" applyAlignment="1">
      <alignment wrapText="1"/>
    </xf>
    <xf numFmtId="49" fontId="48" fillId="22" borderId="36" xfId="0" applyNumberFormat="1" applyFont="1" applyFill="1" applyBorder="1" applyAlignment="1">
      <alignment horizontal="left" wrapText="1"/>
    </xf>
    <xf numFmtId="0" fontId="7" fillId="3" borderId="23" xfId="0" applyFont="1" applyFill="1" applyBorder="1" applyAlignment="1">
      <alignment horizontal="left" wrapText="1"/>
    </xf>
    <xf numFmtId="0" fontId="17" fillId="4" borderId="21" xfId="0" applyFont="1" applyFill="1" applyBorder="1" applyAlignment="1">
      <alignment horizontal="left" wrapText="1"/>
    </xf>
    <xf numFmtId="49" fontId="48" fillId="17" borderId="23" xfId="0" applyNumberFormat="1" applyFont="1" applyFill="1" applyBorder="1" applyAlignment="1">
      <alignment horizontal="left" wrapText="1"/>
    </xf>
    <xf numFmtId="49" fontId="48" fillId="22" borderId="21" xfId="0" applyNumberFormat="1" applyFont="1" applyFill="1" applyBorder="1" applyAlignment="1">
      <alignment horizontal="left" wrapText="1"/>
    </xf>
    <xf numFmtId="0" fontId="93" fillId="15" borderId="2" xfId="0" applyFont="1" applyFill="1" applyBorder="1" applyAlignment="1">
      <alignment wrapText="1"/>
    </xf>
    <xf numFmtId="0" fontId="7" fillId="0" borderId="0" xfId="0" applyFont="1" applyBorder="1" applyAlignment="1">
      <alignment horizontal="left" wrapText="1"/>
    </xf>
    <xf numFmtId="0" fontId="44" fillId="0" borderId="23" xfId="0" applyFont="1" applyBorder="1" applyAlignment="1">
      <alignment horizontal="left" wrapText="1"/>
    </xf>
    <xf numFmtId="49" fontId="47" fillId="17" borderId="23" xfId="0" applyNumberFormat="1" applyFont="1" applyFill="1" applyBorder="1" applyAlignment="1">
      <alignment horizontal="left" wrapText="1"/>
    </xf>
    <xf numFmtId="49" fontId="48" fillId="3" borderId="23" xfId="0" applyNumberFormat="1" applyFont="1" applyFill="1" applyBorder="1" applyAlignment="1">
      <alignment horizontal="left" wrapText="1"/>
    </xf>
    <xf numFmtId="49" fontId="58" fillId="4" borderId="23" xfId="0" applyNumberFormat="1" applyFont="1" applyFill="1" applyBorder="1" applyAlignment="1">
      <alignment horizontal="left" wrapText="1"/>
    </xf>
    <xf numFmtId="49" fontId="47" fillId="17" borderId="0" xfId="0" applyNumberFormat="1" applyFont="1" applyFill="1" applyBorder="1" applyAlignment="1">
      <alignment horizontal="left" wrapText="1"/>
    </xf>
    <xf numFmtId="0" fontId="17" fillId="22" borderId="23" xfId="0" applyFont="1" applyFill="1" applyBorder="1" applyAlignment="1">
      <alignment horizontal="left" wrapText="1"/>
    </xf>
    <xf numFmtId="49" fontId="58" fillId="22" borderId="21" xfId="0" applyNumberFormat="1" applyFont="1" applyFill="1" applyBorder="1" applyAlignment="1">
      <alignment horizontal="left" wrapText="1"/>
    </xf>
    <xf numFmtId="0" fontId="7" fillId="22" borderId="23" xfId="0" applyFont="1" applyFill="1" applyBorder="1" applyAlignment="1">
      <alignment wrapText="1"/>
    </xf>
    <xf numFmtId="49" fontId="47" fillId="17" borderId="36" xfId="0" applyNumberFormat="1" applyFont="1" applyFill="1" applyBorder="1" applyAlignment="1">
      <alignment horizontal="left" wrapText="1"/>
    </xf>
    <xf numFmtId="0" fontId="45" fillId="17" borderId="23" xfId="0" applyFont="1" applyFill="1" applyBorder="1" applyAlignment="1">
      <alignment horizontal="left"/>
    </xf>
    <xf numFmtId="0" fontId="33" fillId="15" borderId="2" xfId="0" applyFont="1" applyFill="1" applyBorder="1" applyAlignment="1">
      <alignment wrapText="1"/>
    </xf>
    <xf numFmtId="49" fontId="48" fillId="15" borderId="21" xfId="0" applyNumberFormat="1" applyFont="1" applyFill="1" applyBorder="1" applyAlignment="1">
      <alignment horizontal="left" wrapText="1"/>
    </xf>
    <xf numFmtId="49" fontId="47" fillId="17" borderId="21" xfId="0" applyNumberFormat="1" applyFont="1" applyFill="1" applyBorder="1" applyAlignment="1">
      <alignment horizontal="left" wrapText="1"/>
    </xf>
    <xf numFmtId="0" fontId="55" fillId="0" borderId="2" xfId="0" applyFont="1" applyBorder="1" applyAlignment="1">
      <alignment horizontal="left" wrapText="1"/>
    </xf>
    <xf numFmtId="0" fontId="18" fillId="0" borderId="36" xfId="0" applyFont="1" applyBorder="1" applyAlignment="1">
      <alignment horizontal="left" wrapText="1"/>
    </xf>
    <xf numFmtId="0" fontId="18" fillId="0" borderId="0" xfId="0" applyFont="1" applyBorder="1" applyAlignment="1">
      <alignment horizontal="left" wrapText="1"/>
    </xf>
    <xf numFmtId="0" fontId="55" fillId="0" borderId="21" xfId="0" applyFont="1" applyBorder="1" applyAlignment="1">
      <alignment wrapText="1"/>
    </xf>
    <xf numFmtId="0" fontId="55" fillId="0" borderId="2" xfId="0" applyFont="1" applyBorder="1" applyAlignment="1">
      <alignment wrapText="1"/>
    </xf>
    <xf numFmtId="0" fontId="44" fillId="0" borderId="21" xfId="0" applyFont="1" applyBorder="1" applyAlignment="1">
      <alignment horizontal="left" wrapText="1"/>
    </xf>
    <xf numFmtId="164" fontId="33" fillId="0" borderId="21" xfId="0" applyNumberFormat="1" applyFont="1" applyBorder="1" applyAlignment="1">
      <alignment horizontal="left" wrapText="1"/>
    </xf>
    <xf numFmtId="164" fontId="33" fillId="0" borderId="2" xfId="0" applyNumberFormat="1" applyFont="1" applyBorder="1" applyAlignment="1">
      <alignment wrapText="1"/>
    </xf>
    <xf numFmtId="164" fontId="33" fillId="0" borderId="36" xfId="0" applyNumberFormat="1" applyFont="1" applyBorder="1" applyAlignment="1">
      <alignment horizontal="left" wrapText="1"/>
    </xf>
    <xf numFmtId="164" fontId="33" fillId="0" borderId="21" xfId="0" applyNumberFormat="1" applyFont="1" applyBorder="1" applyAlignment="1">
      <alignment wrapText="1"/>
    </xf>
    <xf numFmtId="164" fontId="7" fillId="0" borderId="36" xfId="0" applyNumberFormat="1" applyFont="1" applyBorder="1" applyAlignment="1">
      <alignment wrapText="1"/>
    </xf>
    <xf numFmtId="164" fontId="7" fillId="0" borderId="23" xfId="0" applyNumberFormat="1" applyFont="1" applyBorder="1" applyAlignment="1">
      <alignment wrapText="1"/>
    </xf>
    <xf numFmtId="164" fontId="7" fillId="18" borderId="23" xfId="0" applyNumberFormat="1" applyFont="1" applyFill="1" applyBorder="1" applyAlignment="1">
      <alignment horizontal="center"/>
    </xf>
    <xf numFmtId="164" fontId="33" fillId="18" borderId="23" xfId="0" applyNumberFormat="1" applyFont="1" applyFill="1" applyBorder="1" applyAlignment="1">
      <alignment horizontal="center"/>
    </xf>
    <xf numFmtId="164" fontId="17" fillId="18" borderId="36" xfId="0" applyNumberFormat="1" applyFont="1" applyFill="1" applyBorder="1" applyAlignment="1">
      <alignment horizontal="center"/>
    </xf>
    <xf numFmtId="164" fontId="17" fillId="18" borderId="20" xfId="0" applyNumberFormat="1" applyFont="1" applyFill="1" applyBorder="1" applyAlignment="1">
      <alignment horizontal="center"/>
    </xf>
    <xf numFmtId="49" fontId="33" fillId="0" borderId="21" xfId="0" applyNumberFormat="1" applyFont="1" applyBorder="1" applyAlignment="1">
      <alignment wrapText="1"/>
    </xf>
    <xf numFmtId="10" fontId="2" fillId="0" borderId="21" xfId="0" applyNumberFormat="1" applyFont="1" applyBorder="1" applyAlignment="1">
      <alignment wrapText="1"/>
    </xf>
    <xf numFmtId="49" fontId="7" fillId="0" borderId="36" xfId="0" applyNumberFormat="1" applyFont="1" applyBorder="1" applyAlignment="1">
      <alignment wrapText="1"/>
    </xf>
    <xf numFmtId="0" fontId="9" fillId="0" borderId="22" xfId="0" applyFont="1" applyBorder="1"/>
    <xf numFmtId="0" fontId="13" fillId="0" borderId="36" xfId="0" applyFont="1" applyBorder="1" applyAlignment="1">
      <alignment horizontal="center"/>
    </xf>
    <xf numFmtId="0" fontId="29" fillId="0" borderId="0" xfId="0" applyFont="1" applyAlignment="1">
      <alignment horizontal="center" wrapText="1"/>
    </xf>
  </cellXfs>
  <cellStyles count="1">
    <cellStyle name="Normale" xfId="0" builtinId="0"/>
  </cellStyles>
  <dxfs count="26">
    <dxf>
      <fill>
        <patternFill patternType="solid">
          <fgColor rgb="FFDD0806"/>
          <bgColor rgb="FFDD0806"/>
        </patternFill>
      </fill>
    </dxf>
    <dxf>
      <fill>
        <patternFill patternType="solid">
          <fgColor rgb="FFFF0000"/>
          <bgColor rgb="FFFF0000"/>
        </patternFill>
      </fill>
    </dxf>
    <dxf>
      <font>
        <color theme="0"/>
      </font>
      <fill>
        <patternFill patternType="solid">
          <fgColor rgb="FFFF0000"/>
          <bgColor rgb="FFFF0000"/>
        </patternFill>
      </fill>
    </dxf>
    <dxf>
      <font>
        <color theme="1"/>
      </font>
      <fill>
        <patternFill patternType="solid">
          <fgColor rgb="FFE36C09"/>
          <bgColor rgb="FFE36C09"/>
        </patternFill>
      </fill>
    </dxf>
    <dxf>
      <font>
        <color theme="1"/>
      </font>
      <fill>
        <patternFill patternType="solid">
          <fgColor rgb="FFFFFF00"/>
          <bgColor rgb="FFFFFF00"/>
        </patternFill>
      </fill>
    </dxf>
    <dxf>
      <font>
        <color theme="1"/>
      </font>
      <fill>
        <patternFill patternType="solid">
          <fgColor rgb="FF76923C"/>
          <bgColor rgb="FF76923C"/>
        </patternFill>
      </fill>
    </dxf>
    <dxf>
      <fill>
        <patternFill patternType="solid">
          <fgColor rgb="FFFF0000"/>
          <bgColor rgb="FFFF0000"/>
        </patternFill>
      </fill>
    </dxf>
    <dxf>
      <font>
        <color theme="0"/>
      </font>
      <fill>
        <patternFill patternType="solid">
          <fgColor rgb="FFFF0000"/>
          <bgColor rgb="FFFF0000"/>
        </patternFill>
      </fill>
    </dxf>
    <dxf>
      <font>
        <color theme="1"/>
      </font>
      <fill>
        <patternFill patternType="solid">
          <fgColor rgb="FFE36C09"/>
          <bgColor rgb="FFE36C09"/>
        </patternFill>
      </fill>
    </dxf>
    <dxf>
      <font>
        <color theme="1"/>
      </font>
      <fill>
        <patternFill patternType="solid">
          <fgColor rgb="FFFFFF00"/>
          <bgColor rgb="FFFFFF00"/>
        </patternFill>
      </fill>
    </dxf>
    <dxf>
      <font>
        <color theme="1"/>
      </font>
      <fill>
        <patternFill patternType="solid">
          <fgColor rgb="FF76923C"/>
          <bgColor rgb="FF76923C"/>
        </patternFill>
      </fill>
    </dxf>
    <dxf>
      <fill>
        <patternFill patternType="solid">
          <fgColor rgb="FFFF0000"/>
          <bgColor rgb="FFFF0000"/>
        </patternFill>
      </fill>
    </dxf>
    <dxf>
      <font>
        <color theme="0"/>
      </font>
      <fill>
        <patternFill patternType="solid">
          <fgColor rgb="FFFF0000"/>
          <bgColor rgb="FFFF0000"/>
        </patternFill>
      </fill>
    </dxf>
    <dxf>
      <font>
        <color theme="1"/>
      </font>
      <fill>
        <patternFill patternType="solid">
          <fgColor rgb="FFE36C09"/>
          <bgColor rgb="FFE36C09"/>
        </patternFill>
      </fill>
    </dxf>
    <dxf>
      <font>
        <color theme="1"/>
      </font>
      <fill>
        <patternFill patternType="solid">
          <fgColor rgb="FFFFFF00"/>
          <bgColor rgb="FFFFFF00"/>
        </patternFill>
      </fill>
    </dxf>
    <dxf>
      <font>
        <color theme="1"/>
      </font>
      <fill>
        <patternFill patternType="solid">
          <fgColor rgb="FF76923C"/>
          <bgColor rgb="FF76923C"/>
        </patternFill>
      </fill>
    </dxf>
    <dxf>
      <fill>
        <patternFill patternType="solid">
          <fgColor rgb="FFFF0000"/>
          <bgColor rgb="FFFF0000"/>
        </patternFill>
      </fill>
    </dxf>
    <dxf>
      <font>
        <color theme="0"/>
      </font>
      <fill>
        <patternFill patternType="solid">
          <fgColor rgb="FFFF0000"/>
          <bgColor rgb="FFFF0000"/>
        </patternFill>
      </fill>
    </dxf>
    <dxf>
      <font>
        <color theme="1"/>
      </font>
      <fill>
        <patternFill patternType="solid">
          <fgColor rgb="FFE36C09"/>
          <bgColor rgb="FFE36C09"/>
        </patternFill>
      </fill>
    </dxf>
    <dxf>
      <font>
        <color theme="1"/>
      </font>
      <fill>
        <patternFill patternType="solid">
          <fgColor rgb="FFFFFF00"/>
          <bgColor rgb="FFFFFF00"/>
        </patternFill>
      </fill>
    </dxf>
    <dxf>
      <font>
        <color theme="1"/>
      </font>
      <fill>
        <patternFill patternType="solid">
          <fgColor rgb="FF76923C"/>
          <bgColor rgb="FF76923C"/>
        </patternFill>
      </fill>
    </dxf>
    <dxf>
      <fill>
        <patternFill patternType="solid">
          <fgColor rgb="FFFF0000"/>
          <bgColor rgb="FFFF0000"/>
        </patternFill>
      </fill>
    </dxf>
    <dxf>
      <font>
        <color theme="0"/>
      </font>
      <fill>
        <patternFill patternType="solid">
          <fgColor rgb="FFFF0000"/>
          <bgColor rgb="FFFF0000"/>
        </patternFill>
      </fill>
    </dxf>
    <dxf>
      <font>
        <color theme="1"/>
      </font>
      <fill>
        <patternFill patternType="solid">
          <fgColor rgb="FFE36C09"/>
          <bgColor rgb="FFE36C09"/>
        </patternFill>
      </fill>
    </dxf>
    <dxf>
      <font>
        <color theme="1"/>
      </font>
      <fill>
        <patternFill patternType="solid">
          <fgColor rgb="FFFFFF00"/>
          <bgColor rgb="FFFFFF00"/>
        </patternFill>
      </fill>
    </dxf>
    <dxf>
      <font>
        <color theme="1"/>
      </font>
      <fill>
        <patternFill patternType="solid">
          <fgColor rgb="FF76923C"/>
          <bgColor rgb="FF76923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3.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paolo.saccardo@labrenta.com" TargetMode="External"/><Relationship Id="rId21" Type="http://schemas.openxmlformats.org/officeDocument/2006/relationships/hyperlink" Target="mailto:alessia.moraglia@gmail.com" TargetMode="External"/><Relationship Id="rId42" Type="http://schemas.openxmlformats.org/officeDocument/2006/relationships/hyperlink" Target="https://blackship.activehosted.com/app/contacts/33553" TargetMode="External"/><Relationship Id="rId47" Type="http://schemas.openxmlformats.org/officeDocument/2006/relationships/hyperlink" Target="mailto:lucacrescini1504@gmail.com" TargetMode="External"/><Relationship Id="rId63" Type="http://schemas.openxmlformats.org/officeDocument/2006/relationships/hyperlink" Target="mailto:carovana.marco@gmail.com" TargetMode="External"/><Relationship Id="rId68" Type="http://schemas.openxmlformats.org/officeDocument/2006/relationships/hyperlink" Target="mailto:michele.mezzi@gmail.com" TargetMode="External"/><Relationship Id="rId84" Type="http://schemas.openxmlformats.org/officeDocument/2006/relationships/hyperlink" Target="mailto:claudia@in4tek.it" TargetMode="External"/><Relationship Id="rId89" Type="http://schemas.openxmlformats.org/officeDocument/2006/relationships/hyperlink" Target="mailto:antonio@ownideastudio.com" TargetMode="External"/><Relationship Id="rId112" Type="http://schemas.openxmlformats.org/officeDocument/2006/relationships/hyperlink" Target="mailto:paolo.saccardo@labrenta.com" TargetMode="External"/><Relationship Id="rId16" Type="http://schemas.openxmlformats.org/officeDocument/2006/relationships/hyperlink" Target="mailto:marco.ciotoli@kromin.it" TargetMode="External"/><Relationship Id="rId107" Type="http://schemas.openxmlformats.org/officeDocument/2006/relationships/hyperlink" Target="mailto:paolo.saccardo@labrenta.com" TargetMode="External"/><Relationship Id="rId11" Type="http://schemas.openxmlformats.org/officeDocument/2006/relationships/hyperlink" Target="mailto:daniela.sardo@primoround.com" TargetMode="External"/><Relationship Id="rId32" Type="http://schemas.openxmlformats.org/officeDocument/2006/relationships/hyperlink" Target="mailto:schillaci.gas@gmail.com" TargetMode="External"/><Relationship Id="rId37" Type="http://schemas.openxmlformats.org/officeDocument/2006/relationships/hyperlink" Target="mailto:giulio.b@testidimarketing.it" TargetMode="External"/><Relationship Id="rId53" Type="http://schemas.openxmlformats.org/officeDocument/2006/relationships/hyperlink" Target="mailto:elisa@slownet.it" TargetMode="External"/><Relationship Id="rId58" Type="http://schemas.openxmlformats.org/officeDocument/2006/relationships/hyperlink" Target="mailto:gl.caccia@qsa.net" TargetMode="External"/><Relationship Id="rId74" Type="http://schemas.openxmlformats.org/officeDocument/2006/relationships/hyperlink" Target="https://blackship.activehosted.com/app/contacts/11613" TargetMode="External"/><Relationship Id="rId79" Type="http://schemas.openxmlformats.org/officeDocument/2006/relationships/hyperlink" Target="mailto:stefano_paul_zanenga@hotmail.com" TargetMode="External"/><Relationship Id="rId102" Type="http://schemas.openxmlformats.org/officeDocument/2006/relationships/hyperlink" Target="mailto:labrenta@pec.it" TargetMode="External"/><Relationship Id="rId123" Type="http://schemas.openxmlformats.org/officeDocument/2006/relationships/hyperlink" Target="mailto:paolo.saccardo@labrenta.com" TargetMode="External"/><Relationship Id="rId128" Type="http://schemas.openxmlformats.org/officeDocument/2006/relationships/hyperlink" Target="mailto:anna@plurihome.it" TargetMode="External"/><Relationship Id="rId5" Type="http://schemas.openxmlformats.org/officeDocument/2006/relationships/hyperlink" Target="https://blackship.activehosted.com/app/contacts/33933" TargetMode="External"/><Relationship Id="rId90" Type="http://schemas.openxmlformats.org/officeDocument/2006/relationships/hyperlink" Target="http://carriere.it/" TargetMode="External"/><Relationship Id="rId95" Type="http://schemas.openxmlformats.org/officeDocument/2006/relationships/hyperlink" Target="mailto:emanuela@davidepedersoli.com;1emanueledesimone@gmail.com" TargetMode="External"/><Relationship Id="rId22" Type="http://schemas.openxmlformats.org/officeDocument/2006/relationships/hyperlink" Target="mailto:kristiana@happily-welfare.it" TargetMode="External"/><Relationship Id="rId27" Type="http://schemas.openxmlformats.org/officeDocument/2006/relationships/hyperlink" Target="mailto:davide.dellorto@deletron.it" TargetMode="External"/><Relationship Id="rId43" Type="http://schemas.openxmlformats.org/officeDocument/2006/relationships/hyperlink" Target="mailto:INFO@ALMACERAMICHE.IT" TargetMode="External"/><Relationship Id="rId48" Type="http://schemas.openxmlformats.org/officeDocument/2006/relationships/hyperlink" Target="mailto:c.berti@adtel.it" TargetMode="External"/><Relationship Id="rId64" Type="http://schemas.openxmlformats.org/officeDocument/2006/relationships/hyperlink" Target="mailto:a.dottore@gti.it" TargetMode="External"/><Relationship Id="rId69" Type="http://schemas.openxmlformats.org/officeDocument/2006/relationships/hyperlink" Target="mailto:amministrazione@whitelab.torino.it" TargetMode="External"/><Relationship Id="rId113" Type="http://schemas.openxmlformats.org/officeDocument/2006/relationships/hyperlink" Target="mailto:labrenta@pec.it" TargetMode="External"/><Relationship Id="rId118" Type="http://schemas.openxmlformats.org/officeDocument/2006/relationships/hyperlink" Target="mailto:labrenta@pec.it" TargetMode="External"/><Relationship Id="rId80" Type="http://schemas.openxmlformats.org/officeDocument/2006/relationships/hyperlink" Target="mailto:fulvio@soluzionilogistiche.it" TargetMode="External"/><Relationship Id="rId85" Type="http://schemas.openxmlformats.org/officeDocument/2006/relationships/hyperlink" Target="mailto:gigliotti@globalcom.srl" TargetMode="External"/><Relationship Id="rId12" Type="http://schemas.openxmlformats.org/officeDocument/2006/relationships/hyperlink" Target="mailto:massimo.gaulli@zenitsicurezza.it" TargetMode="External"/><Relationship Id="rId17" Type="http://schemas.openxmlformats.org/officeDocument/2006/relationships/hyperlink" Target="mailto:alberto.a@andrettaservice.it" TargetMode="External"/><Relationship Id="rId33" Type="http://schemas.openxmlformats.org/officeDocument/2006/relationships/hyperlink" Target="mailto:giovanni.lorenzi@it.cobogroup.net" TargetMode="External"/><Relationship Id="rId38" Type="http://schemas.openxmlformats.org/officeDocument/2006/relationships/hyperlink" Target="mailto:roberto.russo.bologna@gmail.com" TargetMode="External"/><Relationship Id="rId59" Type="http://schemas.openxmlformats.org/officeDocument/2006/relationships/hyperlink" Target="http://qsa.net/" TargetMode="External"/><Relationship Id="rId103" Type="http://schemas.openxmlformats.org/officeDocument/2006/relationships/hyperlink" Target="mailto:marinacardon@pec.it" TargetMode="External"/><Relationship Id="rId108" Type="http://schemas.openxmlformats.org/officeDocument/2006/relationships/hyperlink" Target="mailto:labrenta@pec.it" TargetMode="External"/><Relationship Id="rId124" Type="http://schemas.openxmlformats.org/officeDocument/2006/relationships/hyperlink" Target="mailto:labrenta@pec.it" TargetMode="External"/><Relationship Id="rId129" Type="http://schemas.openxmlformats.org/officeDocument/2006/relationships/hyperlink" Target="mailto:PLURIHOME@PEC.NET" TargetMode="External"/><Relationship Id="rId54" Type="http://schemas.openxmlformats.org/officeDocument/2006/relationships/hyperlink" Target="mailto:heliosdigitalprint@pec.it" TargetMode="External"/><Relationship Id="rId70" Type="http://schemas.openxmlformats.org/officeDocument/2006/relationships/hyperlink" Target="mailto:whitelabsnc@pec.it" TargetMode="External"/><Relationship Id="rId75" Type="http://schemas.openxmlformats.org/officeDocument/2006/relationships/hyperlink" Target="mailto:ababoveandbelow@gmail.com" TargetMode="External"/><Relationship Id="rId91" Type="http://schemas.openxmlformats.org/officeDocument/2006/relationships/hyperlink" Target="http://carriere.it/" TargetMode="External"/><Relationship Id="rId96" Type="http://schemas.openxmlformats.org/officeDocument/2006/relationships/hyperlink" Target="mailto:eros.mugnaini@agriparadigma.it" TargetMode="External"/><Relationship Id="rId1" Type="http://schemas.openxmlformats.org/officeDocument/2006/relationships/hyperlink" Target="mailto:carlo@3msolutions.it" TargetMode="External"/><Relationship Id="rId6" Type="http://schemas.openxmlformats.org/officeDocument/2006/relationships/hyperlink" Target="http://kcom.it/" TargetMode="External"/><Relationship Id="rId23" Type="http://schemas.openxmlformats.org/officeDocument/2006/relationships/hyperlink" Target="mailto:alecastag@gmail.com" TargetMode="External"/><Relationship Id="rId28" Type="http://schemas.openxmlformats.org/officeDocument/2006/relationships/hyperlink" Target="mailto:davide.gambarini@yahoo.it" TargetMode="External"/><Relationship Id="rId49" Type="http://schemas.openxmlformats.org/officeDocument/2006/relationships/hyperlink" Target="mailto:a.robbiani@adtel.it" TargetMode="External"/><Relationship Id="rId114" Type="http://schemas.openxmlformats.org/officeDocument/2006/relationships/hyperlink" Target="mailto:Casadio.l@vivipharma.com" TargetMode="External"/><Relationship Id="rId119" Type="http://schemas.openxmlformats.org/officeDocument/2006/relationships/hyperlink" Target="mailto:ingo@pec.ingogroup.it" TargetMode="External"/><Relationship Id="rId44" Type="http://schemas.openxmlformats.org/officeDocument/2006/relationships/hyperlink" Target="mailto:Vincenzo.rispoli@studio-31.it" TargetMode="External"/><Relationship Id="rId60" Type="http://schemas.openxmlformats.org/officeDocument/2006/relationships/hyperlink" Target="https://blackship.activehosted.com/app/contacts/7832" TargetMode="External"/><Relationship Id="rId65" Type="http://schemas.openxmlformats.org/officeDocument/2006/relationships/hyperlink" Target="mailto:merlini.daniela@gmail.com" TargetMode="External"/><Relationship Id="rId81" Type="http://schemas.openxmlformats.org/officeDocument/2006/relationships/hyperlink" Target="mailto:info@stefanoinverardi.it" TargetMode="External"/><Relationship Id="rId86" Type="http://schemas.openxmlformats.org/officeDocument/2006/relationships/hyperlink" Target="mailto:pmortara@fenixdigitalgroup.com" TargetMode="External"/><Relationship Id="rId130" Type="http://schemas.openxmlformats.org/officeDocument/2006/relationships/hyperlink" Target="mailto:amalerba@leyton.com" TargetMode="External"/><Relationship Id="rId13" Type="http://schemas.openxmlformats.org/officeDocument/2006/relationships/hyperlink" Target="mailto:carlo.barbanti@albatros.ra.it" TargetMode="External"/><Relationship Id="rId18" Type="http://schemas.openxmlformats.org/officeDocument/2006/relationships/hyperlink" Target="mailto:a.leonardi@studioleonardiceccarelli.it" TargetMode="External"/><Relationship Id="rId39" Type="http://schemas.openxmlformats.org/officeDocument/2006/relationships/hyperlink" Target="mailto:silvia.iommi13@gmail.com" TargetMode="External"/><Relationship Id="rId109" Type="http://schemas.openxmlformats.org/officeDocument/2006/relationships/hyperlink" Target="mailto:Nome@funnelcompany.com" TargetMode="External"/><Relationship Id="rId34" Type="http://schemas.openxmlformats.org/officeDocument/2006/relationships/hyperlink" Target="mailto:moren72@libero.it" TargetMode="External"/><Relationship Id="rId50" Type="http://schemas.openxmlformats.org/officeDocument/2006/relationships/hyperlink" Target="mailto:%20b.pavanati@dotblue.it" TargetMode="External"/><Relationship Id="rId55" Type="http://schemas.openxmlformats.org/officeDocument/2006/relationships/hyperlink" Target="mailto:sara@iecmanenti.it" TargetMode="External"/><Relationship Id="rId76" Type="http://schemas.openxmlformats.org/officeDocument/2006/relationships/hyperlink" Target="mailto:paola.mariani@compassosrl.it" TargetMode="External"/><Relationship Id="rId97" Type="http://schemas.openxmlformats.org/officeDocument/2006/relationships/hyperlink" Target="http://carriere.it/" TargetMode="External"/><Relationship Id="rId104" Type="http://schemas.openxmlformats.org/officeDocument/2006/relationships/hyperlink" Target="mailto:claudiored60@gmail.com" TargetMode="External"/><Relationship Id="rId120" Type="http://schemas.openxmlformats.org/officeDocument/2006/relationships/hyperlink" Target="mailto:cdweb@peccertificata.it" TargetMode="External"/><Relationship Id="rId125" Type="http://schemas.openxmlformats.org/officeDocument/2006/relationships/hyperlink" Target="mailto:claudiored60@gmail.com" TargetMode="External"/><Relationship Id="rId7" Type="http://schemas.openxmlformats.org/officeDocument/2006/relationships/hyperlink" Target="mailto:filippo.sartor@jvinternational.com" TargetMode="External"/><Relationship Id="rId71" Type="http://schemas.openxmlformats.org/officeDocument/2006/relationships/hyperlink" Target="mailto:parme68@gmail.com" TargetMode="External"/><Relationship Id="rId92" Type="http://schemas.openxmlformats.org/officeDocument/2006/relationships/hyperlink" Target="mailto:polistefano05@gmail.com" TargetMode="External"/><Relationship Id="rId2" Type="http://schemas.openxmlformats.org/officeDocument/2006/relationships/hyperlink" Target="mailto:cristina.trombetta@gmail.com" TargetMode="External"/><Relationship Id="rId29" Type="http://schemas.openxmlformats.org/officeDocument/2006/relationships/hyperlink" Target="mailto:berenice.z@outlook.com" TargetMode="External"/><Relationship Id="rId24" Type="http://schemas.openxmlformats.org/officeDocument/2006/relationships/hyperlink" Target="mailto:andreagavtv@gmail.com" TargetMode="External"/><Relationship Id="rId40" Type="http://schemas.openxmlformats.org/officeDocument/2006/relationships/hyperlink" Target="mailto:saletti.marco@nuovasaimpa.it" TargetMode="External"/><Relationship Id="rId45" Type="http://schemas.openxmlformats.org/officeDocument/2006/relationships/hyperlink" Target="mailto:a.fracassi@green-lab.it" TargetMode="External"/><Relationship Id="rId66" Type="http://schemas.openxmlformats.org/officeDocument/2006/relationships/hyperlink" Target="https://blackship.activehosted.com/app/contacts/16344" TargetMode="External"/><Relationship Id="rId87" Type="http://schemas.openxmlformats.org/officeDocument/2006/relationships/hyperlink" Target="mailto:pmortara@fenixdigitalgroup.com" TargetMode="External"/><Relationship Id="rId110" Type="http://schemas.openxmlformats.org/officeDocument/2006/relationships/hyperlink" Target="https://blackship.activehosted.com/app/contacts/24600" TargetMode="External"/><Relationship Id="rId115" Type="http://schemas.openxmlformats.org/officeDocument/2006/relationships/hyperlink" Target="https://blackship.activehosted.com/app/contacts/11526" TargetMode="External"/><Relationship Id="rId131" Type="http://schemas.openxmlformats.org/officeDocument/2006/relationships/vmlDrawing" Target="../drawings/vmlDrawing1.vml"/><Relationship Id="rId61" Type="http://schemas.openxmlformats.org/officeDocument/2006/relationships/hyperlink" Target="https://blackship.activehosted.com/app/contacts/19760" TargetMode="External"/><Relationship Id="rId82" Type="http://schemas.openxmlformats.org/officeDocument/2006/relationships/hyperlink" Target="mailto:carlo.fasini@itstrategy.it" TargetMode="External"/><Relationship Id="rId19" Type="http://schemas.openxmlformats.org/officeDocument/2006/relationships/hyperlink" Target="mailto:alessandra.sabaini@primopromo.it" TargetMode="External"/><Relationship Id="rId14" Type="http://schemas.openxmlformats.org/officeDocument/2006/relationships/hyperlink" Target="mailto:f.puntin@inoxking.biz" TargetMode="External"/><Relationship Id="rId30" Type="http://schemas.openxmlformats.org/officeDocument/2006/relationships/hyperlink" Target="mailto:%0bivan.bernaschina@cassamalati.online" TargetMode="External"/><Relationship Id="rId35" Type="http://schemas.openxmlformats.org/officeDocument/2006/relationships/hyperlink" Target="mailto:paolo@eventsple.com" TargetMode="External"/><Relationship Id="rId56" Type="http://schemas.openxmlformats.org/officeDocument/2006/relationships/hyperlink" Target="https://blackship.activehosted.com/app/contacts/14925" TargetMode="External"/><Relationship Id="rId77" Type="http://schemas.openxmlformats.org/officeDocument/2006/relationships/hyperlink" Target="mailto:SSardena@tonucci.com" TargetMode="External"/><Relationship Id="rId100" Type="http://schemas.openxmlformats.org/officeDocument/2006/relationships/hyperlink" Target="mailto:marco@mkambiente.com" TargetMode="External"/><Relationship Id="rId105" Type="http://schemas.openxmlformats.org/officeDocument/2006/relationships/hyperlink" Target="mailto:christine.delbene@cgn.legalmail.it" TargetMode="External"/><Relationship Id="rId126" Type="http://schemas.openxmlformats.org/officeDocument/2006/relationships/hyperlink" Target="mailto:paolo.saccardo@labrenta.com" TargetMode="External"/><Relationship Id="rId8" Type="http://schemas.openxmlformats.org/officeDocument/2006/relationships/hyperlink" Target="mailto:marco.ingrassia8@gmail.com" TargetMode="External"/><Relationship Id="rId51" Type="http://schemas.openxmlformats.org/officeDocument/2006/relationships/hyperlink" Target="mailto:nextmedia@pec.it" TargetMode="External"/><Relationship Id="rId72" Type="http://schemas.openxmlformats.org/officeDocument/2006/relationships/hyperlink" Target="https://blackship.activehosted.com/app/contacts/5756" TargetMode="External"/><Relationship Id="rId93" Type="http://schemas.openxmlformats.org/officeDocument/2006/relationships/hyperlink" Target="mailto:Cristina.pompilii@mechinno.com" TargetMode="External"/><Relationship Id="rId98" Type="http://schemas.openxmlformats.org/officeDocument/2006/relationships/hyperlink" Target="http://carriere.it/" TargetMode="External"/><Relationship Id="rId121" Type="http://schemas.openxmlformats.org/officeDocument/2006/relationships/hyperlink" Target="mailto:s.cabassi@consulentidellavoropec.it" TargetMode="External"/><Relationship Id="rId3" Type="http://schemas.openxmlformats.org/officeDocument/2006/relationships/hyperlink" Target="mailto:info@depurvebo.it" TargetMode="External"/><Relationship Id="rId25" Type="http://schemas.openxmlformats.org/officeDocument/2006/relationships/hyperlink" Target="mailto:angelolamarca@gmail.com" TargetMode="External"/><Relationship Id="rId46" Type="http://schemas.openxmlformats.org/officeDocument/2006/relationships/hyperlink" Target="mailto:i.scaramella@green-lab.it" TargetMode="External"/><Relationship Id="rId67" Type="http://schemas.openxmlformats.org/officeDocument/2006/relationships/hyperlink" Target="mailto:denis.porcinai@cgmmovincar.it" TargetMode="External"/><Relationship Id="rId116" Type="http://schemas.openxmlformats.org/officeDocument/2006/relationships/hyperlink" Target="mailto:m.colnaghi@altaeco.com" TargetMode="External"/><Relationship Id="rId20" Type="http://schemas.openxmlformats.org/officeDocument/2006/relationships/hyperlink" Target="mailto:alessandro.proni@italsample.it" TargetMode="External"/><Relationship Id="rId41" Type="http://schemas.openxmlformats.org/officeDocument/2006/relationships/hyperlink" Target="https://blackship.activehosted.com/app/contacts/33556" TargetMode="External"/><Relationship Id="rId62" Type="http://schemas.openxmlformats.org/officeDocument/2006/relationships/hyperlink" Target="https://blackship.activehosted.com/app/contacts/19760" TargetMode="External"/><Relationship Id="rId83" Type="http://schemas.openxmlformats.org/officeDocument/2006/relationships/hyperlink" Target="https://blackship.activehosted.com/app/contacts/25692" TargetMode="External"/><Relationship Id="rId88" Type="http://schemas.openxmlformats.org/officeDocument/2006/relationships/hyperlink" Target="mailto:simonik.nik1@gmail.com" TargetMode="External"/><Relationship Id="rId111" Type="http://schemas.openxmlformats.org/officeDocument/2006/relationships/hyperlink" Target="mailto:amministrazione@rossicaws.it" TargetMode="External"/><Relationship Id="rId132" Type="http://schemas.openxmlformats.org/officeDocument/2006/relationships/comments" Target="../comments1.xml"/><Relationship Id="rId15" Type="http://schemas.openxmlformats.org/officeDocument/2006/relationships/hyperlink" Target="mailto:jader.tosi@antincendiorsm.com" TargetMode="External"/><Relationship Id="rId36" Type="http://schemas.openxmlformats.org/officeDocument/2006/relationships/hyperlink" Target="mailto:Patrizia.alberio@icloud.com" TargetMode="External"/><Relationship Id="rId57" Type="http://schemas.openxmlformats.org/officeDocument/2006/relationships/hyperlink" Target="mailto:info@dggroupe.it" TargetMode="External"/><Relationship Id="rId106" Type="http://schemas.openxmlformats.org/officeDocument/2006/relationships/hyperlink" Target="mailto:christine.delbene@cgn.legalmail.it" TargetMode="External"/><Relationship Id="rId127" Type="http://schemas.openxmlformats.org/officeDocument/2006/relationships/hyperlink" Target="mailto:labrenta@pec.it" TargetMode="External"/><Relationship Id="rId10" Type="http://schemas.openxmlformats.org/officeDocument/2006/relationships/hyperlink" Target="mailto:andrea@maior-group.com" TargetMode="External"/><Relationship Id="rId31" Type="http://schemas.openxmlformats.org/officeDocument/2006/relationships/hyperlink" Target="mailto:andrea.poropat@elcom.to.it" TargetMode="External"/><Relationship Id="rId52" Type="http://schemas.openxmlformats.org/officeDocument/2006/relationships/hyperlink" Target="https://blackship.activehosted.com/app/contacts/15018" TargetMode="External"/><Relationship Id="rId73" Type="http://schemas.openxmlformats.org/officeDocument/2006/relationships/hyperlink" Target="mailto:loriana.blando@globalutilities.it" TargetMode="External"/><Relationship Id="rId78" Type="http://schemas.openxmlformats.org/officeDocument/2006/relationships/hyperlink" Target="mailto:cp@cristinapezzaglia.com" TargetMode="External"/><Relationship Id="rId94" Type="http://schemas.openxmlformats.org/officeDocument/2006/relationships/hyperlink" Target="mailto:shop@davidepedersoli.com%20;elisa.sabatti@icloud.com" TargetMode="External"/><Relationship Id="rId99" Type="http://schemas.openxmlformats.org/officeDocument/2006/relationships/hyperlink" Target="mailto:l.veneziani@eureweb.com" TargetMode="External"/><Relationship Id="rId101" Type="http://schemas.openxmlformats.org/officeDocument/2006/relationships/hyperlink" Target="mailto:paolo.saccardo@labrenta.com" TargetMode="External"/><Relationship Id="rId122" Type="http://schemas.openxmlformats.org/officeDocument/2006/relationships/hyperlink" Target="mailto:morik@live.it" TargetMode="External"/><Relationship Id="rId4" Type="http://schemas.openxmlformats.org/officeDocument/2006/relationships/hyperlink" Target="mailto:gianmarco@lacommercialecolori.it" TargetMode="External"/><Relationship Id="rId9" Type="http://schemas.openxmlformats.org/officeDocument/2006/relationships/hyperlink" Target="mailto:a.barbieri@creditteam.eu" TargetMode="External"/><Relationship Id="rId26" Type="http://schemas.openxmlformats.org/officeDocument/2006/relationships/hyperlink" Target="mailto:carlocastaldi@gmail.com"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mailto:fformentini@klainrobotics.com;formentini.fabio@gmail.com" TargetMode="External"/><Relationship Id="rId21" Type="http://schemas.openxmlformats.org/officeDocument/2006/relationships/hyperlink" Target="mailto:Cquadrano@fmc-comunicare.com" TargetMode="External"/><Relationship Id="rId42" Type="http://schemas.openxmlformats.org/officeDocument/2006/relationships/hyperlink" Target="mailto:heliosdigitalprint@pec.it" TargetMode="External"/><Relationship Id="rId47" Type="http://schemas.openxmlformats.org/officeDocument/2006/relationships/hyperlink" Target="mailto:davidemondaini.work@gmail.com" TargetMode="External"/><Relationship Id="rId63" Type="http://schemas.openxmlformats.org/officeDocument/2006/relationships/hyperlink" Target="mailto:nextmedia@pec.it" TargetMode="External"/><Relationship Id="rId68" Type="http://schemas.openxmlformats.org/officeDocument/2006/relationships/hyperlink" Target="mailto:eros.mugnaini@agriparadigma.it" TargetMode="External"/><Relationship Id="rId84" Type="http://schemas.openxmlformats.org/officeDocument/2006/relationships/hyperlink" Target="mailto:Casadio.l@vivipharma.com" TargetMode="External"/><Relationship Id="rId89" Type="http://schemas.openxmlformats.org/officeDocument/2006/relationships/hyperlink" Target="mailto:ingo@pec.ingogroup.it" TargetMode="External"/><Relationship Id="rId16" Type="http://schemas.openxmlformats.org/officeDocument/2006/relationships/hyperlink" Target="mailto:andrea@maior-group.com" TargetMode="External"/><Relationship Id="rId11" Type="http://schemas.openxmlformats.org/officeDocument/2006/relationships/hyperlink" Target="mailto:D.Santarella@x-stream.biz" TargetMode="External"/><Relationship Id="rId32" Type="http://schemas.openxmlformats.org/officeDocument/2006/relationships/hyperlink" Target="mailto:jader.tosi@antincendiorsm.com" TargetMode="External"/><Relationship Id="rId37" Type="http://schemas.openxmlformats.org/officeDocument/2006/relationships/hyperlink" Target="mailto:bortolotto25@gmail.com" TargetMode="External"/><Relationship Id="rId53" Type="http://schemas.openxmlformats.org/officeDocument/2006/relationships/hyperlink" Target="mailto:eleonora.saroni@icona.it" TargetMode="External"/><Relationship Id="rId58" Type="http://schemas.openxmlformats.org/officeDocument/2006/relationships/hyperlink" Target="mailto:amministrazione@whitelab.torino.it" TargetMode="External"/><Relationship Id="rId74" Type="http://schemas.openxmlformats.org/officeDocument/2006/relationships/hyperlink" Target="mailto:claudiored60@gmail.com" TargetMode="External"/><Relationship Id="rId79" Type="http://schemas.openxmlformats.org/officeDocument/2006/relationships/hyperlink" Target="mailto:Nome@funnelcompany.com" TargetMode="External"/><Relationship Id="rId102" Type="http://schemas.openxmlformats.org/officeDocument/2006/relationships/comments" Target="../comments2.xml"/><Relationship Id="rId5" Type="http://schemas.openxmlformats.org/officeDocument/2006/relationships/hyperlink" Target="mailto:a.barbieri@creditteam.eu" TargetMode="External"/><Relationship Id="rId90" Type="http://schemas.openxmlformats.org/officeDocument/2006/relationships/hyperlink" Target="mailto:cdweb@peccertificata.it" TargetMode="External"/><Relationship Id="rId95" Type="http://schemas.openxmlformats.org/officeDocument/2006/relationships/hyperlink" Target="mailto:claudiored60@gmail.com" TargetMode="External"/><Relationship Id="rId22" Type="http://schemas.openxmlformats.org/officeDocument/2006/relationships/hyperlink" Target="mailto:marco.ciotoli@kromin.it" TargetMode="External"/><Relationship Id="rId27" Type="http://schemas.openxmlformats.org/officeDocument/2006/relationships/hyperlink" Target="mailto:f.puntin@inoxking.biz" TargetMode="External"/><Relationship Id="rId43" Type="http://schemas.openxmlformats.org/officeDocument/2006/relationships/hyperlink" Target="mailto:info@dggroupe.it" TargetMode="External"/><Relationship Id="rId48" Type="http://schemas.openxmlformats.org/officeDocument/2006/relationships/hyperlink" Target="mailto:lorenzorisso@me.com" TargetMode="External"/><Relationship Id="rId64" Type="http://schemas.openxmlformats.org/officeDocument/2006/relationships/hyperlink" Target="mailto:polistefano05@gmail.com" TargetMode="External"/><Relationship Id="rId69" Type="http://schemas.openxmlformats.org/officeDocument/2006/relationships/hyperlink" Target="mailto:l.veneziani@eureweb.com" TargetMode="External"/><Relationship Id="rId80" Type="http://schemas.openxmlformats.org/officeDocument/2006/relationships/hyperlink" Target="https://blackship.activehosted.com/app/contacts/24600" TargetMode="External"/><Relationship Id="rId85" Type="http://schemas.openxmlformats.org/officeDocument/2006/relationships/hyperlink" Target="https://blackship.activehosted.com/app/contacts/11526" TargetMode="External"/><Relationship Id="rId12" Type="http://schemas.openxmlformats.org/officeDocument/2006/relationships/hyperlink" Target="mailto:andreanava88@gmail.com" TargetMode="External"/><Relationship Id="rId17" Type="http://schemas.openxmlformats.org/officeDocument/2006/relationships/hyperlink" Target="mailto:fabio.verga@gotaway.it" TargetMode="External"/><Relationship Id="rId25" Type="http://schemas.openxmlformats.org/officeDocument/2006/relationships/hyperlink" Target="mailto:eleonoratrezza@yahoo.it;varese@urbanfitness.it" TargetMode="External"/><Relationship Id="rId33" Type="http://schemas.openxmlformats.org/officeDocument/2006/relationships/hyperlink" Target="mailto:garosio@dscom.it" TargetMode="External"/><Relationship Id="rId38" Type="http://schemas.openxmlformats.org/officeDocument/2006/relationships/hyperlink" Target="mailto:a.bezzi@scillameccanica.it" TargetMode="External"/><Relationship Id="rId46" Type="http://schemas.openxmlformats.org/officeDocument/2006/relationships/hyperlink" Target="mailto:p.sabatino@emamotorsport.com" TargetMode="External"/><Relationship Id="rId59" Type="http://schemas.openxmlformats.org/officeDocument/2006/relationships/hyperlink" Target="mailto:whitelabsnc@pec.it" TargetMode="External"/><Relationship Id="rId67" Type="http://schemas.openxmlformats.org/officeDocument/2006/relationships/hyperlink" Target="mailto:emanuela@davidepedersoli.com;1emanueledesimone@gmail.com" TargetMode="External"/><Relationship Id="rId20" Type="http://schemas.openxmlformats.org/officeDocument/2006/relationships/hyperlink" Target="mailto:carlo.barbanti@albatros.ra.it" TargetMode="External"/><Relationship Id="rId41" Type="http://schemas.openxmlformats.org/officeDocument/2006/relationships/hyperlink" Target="mailto:elisa@slownet.it" TargetMode="External"/><Relationship Id="rId54" Type="http://schemas.openxmlformats.org/officeDocument/2006/relationships/hyperlink" Target="mailto:paolo.rossi@icona.it" TargetMode="External"/><Relationship Id="rId62" Type="http://schemas.openxmlformats.org/officeDocument/2006/relationships/hyperlink" Target="http://../AppData/Local/Microsoft/Dropbox/MiV%202.0/Downloads/simone@045web.it" TargetMode="External"/><Relationship Id="rId70" Type="http://schemas.openxmlformats.org/officeDocument/2006/relationships/hyperlink" Target="mailto:marco@mkambiente.com" TargetMode="External"/><Relationship Id="rId75" Type="http://schemas.openxmlformats.org/officeDocument/2006/relationships/hyperlink" Target="mailto:christine.delbene@cgn.legalmail.it" TargetMode="External"/><Relationship Id="rId83" Type="http://schemas.openxmlformats.org/officeDocument/2006/relationships/hyperlink" Target="mailto:labrenta@pec.it" TargetMode="External"/><Relationship Id="rId88" Type="http://schemas.openxmlformats.org/officeDocument/2006/relationships/hyperlink" Target="mailto:labrenta@pec.it" TargetMode="External"/><Relationship Id="rId91" Type="http://schemas.openxmlformats.org/officeDocument/2006/relationships/hyperlink" Target="mailto:s.cabassi@consulentidellavoropec.it" TargetMode="External"/><Relationship Id="rId96" Type="http://schemas.openxmlformats.org/officeDocument/2006/relationships/hyperlink" Target="mailto:paolo.saccardo@labrenta.com" TargetMode="External"/><Relationship Id="rId1" Type="http://schemas.openxmlformats.org/officeDocument/2006/relationships/hyperlink" Target="mailto:filippo.sartor@jvinternational.com" TargetMode="External"/><Relationship Id="rId6" Type="http://schemas.openxmlformats.org/officeDocument/2006/relationships/hyperlink" Target="mailto:marco.ingrassia8@gmail.com" TargetMode="External"/><Relationship Id="rId15" Type="http://schemas.openxmlformats.org/officeDocument/2006/relationships/hyperlink" Target="mailto:nadia.mazzocchi@cooperjob.eu" TargetMode="External"/><Relationship Id="rId23" Type="http://schemas.openxmlformats.org/officeDocument/2006/relationships/hyperlink" Target="mailto:vincenzo.ruffa@kromin.it" TargetMode="External"/><Relationship Id="rId28" Type="http://schemas.openxmlformats.org/officeDocument/2006/relationships/hyperlink" Target="mailto:f.tommy@inwind.it;ftomassetti2006@gmail.com;francesca.tomasetti@logisticsbeyondsustainability.it" TargetMode="External"/><Relationship Id="rId36" Type="http://schemas.openxmlformats.org/officeDocument/2006/relationships/hyperlink" Target="mailto:alberto.a@andrettaservice.it" TargetMode="External"/><Relationship Id="rId49" Type="http://schemas.openxmlformats.org/officeDocument/2006/relationships/hyperlink" Target="mailto:diego.bosco@italbiotec.it" TargetMode="External"/><Relationship Id="rId57" Type="http://schemas.openxmlformats.org/officeDocument/2006/relationships/hyperlink" Target="https://blackship.activehosted.com/app/contacts/24835" TargetMode="External"/><Relationship Id="rId10" Type="http://schemas.openxmlformats.org/officeDocument/2006/relationships/hyperlink" Target="mailto:daniela.sardo@primoround.com" TargetMode="External"/><Relationship Id="rId31" Type="http://schemas.openxmlformats.org/officeDocument/2006/relationships/hyperlink" Target="mailto:rudoni@red-apple.it" TargetMode="External"/><Relationship Id="rId44" Type="http://schemas.openxmlformats.org/officeDocument/2006/relationships/hyperlink" Target="mailto:parme68@gmail.com" TargetMode="External"/><Relationship Id="rId52" Type="http://schemas.openxmlformats.org/officeDocument/2006/relationships/hyperlink" Target="mailto:andrea.cabiati@techstyle.it" TargetMode="External"/><Relationship Id="rId60" Type="http://schemas.openxmlformats.org/officeDocument/2006/relationships/hyperlink" Target="mailto:06501@pec.federfarma.it" TargetMode="External"/><Relationship Id="rId65" Type="http://schemas.openxmlformats.org/officeDocument/2006/relationships/hyperlink" Target="mailto:Cristina.pompilii@mechinno.com" TargetMode="External"/><Relationship Id="rId73" Type="http://schemas.openxmlformats.org/officeDocument/2006/relationships/hyperlink" Target="mailto:marinacardon@pec.it" TargetMode="External"/><Relationship Id="rId78" Type="http://schemas.openxmlformats.org/officeDocument/2006/relationships/hyperlink" Target="mailto:labrenta@pec.it" TargetMode="External"/><Relationship Id="rId81" Type="http://schemas.openxmlformats.org/officeDocument/2006/relationships/hyperlink" Target="mailto:amministrazione@rossicaws.it" TargetMode="External"/><Relationship Id="rId86" Type="http://schemas.openxmlformats.org/officeDocument/2006/relationships/hyperlink" Target="mailto:m.colnaghi@altaeco.com" TargetMode="External"/><Relationship Id="rId94" Type="http://schemas.openxmlformats.org/officeDocument/2006/relationships/hyperlink" Target="mailto:labrenta@pec.it" TargetMode="External"/><Relationship Id="rId99" Type="http://schemas.openxmlformats.org/officeDocument/2006/relationships/hyperlink" Target="mailto:PLURIHOME@PEC.NET" TargetMode="External"/><Relationship Id="rId101" Type="http://schemas.openxmlformats.org/officeDocument/2006/relationships/vmlDrawing" Target="../drawings/vmlDrawing2.vml"/><Relationship Id="rId4" Type="http://schemas.openxmlformats.org/officeDocument/2006/relationships/hyperlink" Target="mailto:nicolo.menardi@castelmac.it" TargetMode="External"/><Relationship Id="rId9" Type="http://schemas.openxmlformats.org/officeDocument/2006/relationships/hyperlink" Target="mailto:katrina.auskapa@icona.it" TargetMode="External"/><Relationship Id="rId13" Type="http://schemas.openxmlformats.org/officeDocument/2006/relationships/hyperlink" Target="mailto:massimo.bettin@logisticsforyou.info" TargetMode="External"/><Relationship Id="rId18" Type="http://schemas.openxmlformats.org/officeDocument/2006/relationships/hyperlink" Target="mailto:c@invenizziass.it" TargetMode="External"/><Relationship Id="rId39" Type="http://schemas.openxmlformats.org/officeDocument/2006/relationships/hyperlink" Target="mailto:antonio.tasso@linkfloyd.ch" TargetMode="External"/><Relationship Id="rId34" Type="http://schemas.openxmlformats.org/officeDocument/2006/relationships/hyperlink" Target="mailto:o.fasciano@gmail.com" TargetMode="External"/><Relationship Id="rId50" Type="http://schemas.openxmlformats.org/officeDocument/2006/relationships/hyperlink" Target="mailto:ilaria.re@italbiotec.it" TargetMode="External"/><Relationship Id="rId55" Type="http://schemas.openxmlformats.org/officeDocument/2006/relationships/hyperlink" Target="mailto:d.marchetti@algorubber.it" TargetMode="External"/><Relationship Id="rId76" Type="http://schemas.openxmlformats.org/officeDocument/2006/relationships/hyperlink" Target="mailto:christine.delbene@cgn.legalmail.it" TargetMode="External"/><Relationship Id="rId97" Type="http://schemas.openxmlformats.org/officeDocument/2006/relationships/hyperlink" Target="mailto:labrenta@pec.it" TargetMode="External"/><Relationship Id="rId7" Type="http://schemas.openxmlformats.org/officeDocument/2006/relationships/hyperlink" Target="https://blackship.activehosted.com/app/contacts/17920" TargetMode="External"/><Relationship Id="rId71" Type="http://schemas.openxmlformats.org/officeDocument/2006/relationships/hyperlink" Target="mailto:paolo.saccardo@labrenta.com" TargetMode="External"/><Relationship Id="rId92" Type="http://schemas.openxmlformats.org/officeDocument/2006/relationships/hyperlink" Target="mailto:morik@live.it" TargetMode="External"/><Relationship Id="rId2" Type="http://schemas.openxmlformats.org/officeDocument/2006/relationships/hyperlink" Target="mailto:simone.oggiano@mywic.it" TargetMode="External"/><Relationship Id="rId29" Type="http://schemas.openxmlformats.org/officeDocument/2006/relationships/hyperlink" Target="mailto:donsi@dscom.it" TargetMode="External"/><Relationship Id="rId24" Type="http://schemas.openxmlformats.org/officeDocument/2006/relationships/hyperlink" Target="mailto:egliolldasci@gmail.com" TargetMode="External"/><Relationship Id="rId40" Type="http://schemas.openxmlformats.org/officeDocument/2006/relationships/hyperlink" Target="https://blackship.activehosted.com/app/contacts/15018" TargetMode="External"/><Relationship Id="rId45" Type="http://schemas.openxmlformats.org/officeDocument/2006/relationships/hyperlink" Target="mailto:maxconfa@duplex.it" TargetMode="External"/><Relationship Id="rId66" Type="http://schemas.openxmlformats.org/officeDocument/2006/relationships/hyperlink" Target="mailto:shop@davidepedersoli.com%20;elisa.sabatti@icloud.com" TargetMode="External"/><Relationship Id="rId87" Type="http://schemas.openxmlformats.org/officeDocument/2006/relationships/hyperlink" Target="mailto:paolo.saccardo@labrenta.com" TargetMode="External"/><Relationship Id="rId61" Type="http://schemas.openxmlformats.org/officeDocument/2006/relationships/hyperlink" Target="https://blackship.activehosted.com/app/contacts/1394" TargetMode="External"/><Relationship Id="rId82" Type="http://schemas.openxmlformats.org/officeDocument/2006/relationships/hyperlink" Target="mailto:paolo.saccardo@labrenta.com" TargetMode="External"/><Relationship Id="rId19" Type="http://schemas.openxmlformats.org/officeDocument/2006/relationships/hyperlink" Target="mailto:andrea.lombrdino@gmail.com" TargetMode="External"/><Relationship Id="rId14" Type="http://schemas.openxmlformats.org/officeDocument/2006/relationships/hyperlink" Target="mailto:anna.veronese@logisticsforyou.info" TargetMode="External"/><Relationship Id="rId30" Type="http://schemas.openxmlformats.org/officeDocument/2006/relationships/hyperlink" Target="mailto:francesco.rigo@airsea.it" TargetMode="External"/><Relationship Id="rId35" Type="http://schemas.openxmlformats.org/officeDocument/2006/relationships/hyperlink" Target="mailto:dolcevitastay@gmail.com" TargetMode="External"/><Relationship Id="rId56" Type="http://schemas.openxmlformats.org/officeDocument/2006/relationships/hyperlink" Target="mailto:marilena.riello@studioriello.it" TargetMode="External"/><Relationship Id="rId77" Type="http://schemas.openxmlformats.org/officeDocument/2006/relationships/hyperlink" Target="mailto:paolo.saccardo@labrenta.com" TargetMode="External"/><Relationship Id="rId100" Type="http://schemas.openxmlformats.org/officeDocument/2006/relationships/hyperlink" Target="mailto:amalerba@leyton.com" TargetMode="External"/><Relationship Id="rId8" Type="http://schemas.openxmlformats.org/officeDocument/2006/relationships/hyperlink" Target="mailto:massimiliano.polloni@gmail.com" TargetMode="External"/><Relationship Id="rId51" Type="http://schemas.openxmlformats.org/officeDocument/2006/relationships/hyperlink" Target="mailto:piergiorgio@rcstecnoimpianti.it" TargetMode="External"/><Relationship Id="rId72" Type="http://schemas.openxmlformats.org/officeDocument/2006/relationships/hyperlink" Target="mailto:labrenta@pec.it" TargetMode="External"/><Relationship Id="rId93" Type="http://schemas.openxmlformats.org/officeDocument/2006/relationships/hyperlink" Target="mailto:paolo.saccardo@labrenta.com" TargetMode="External"/><Relationship Id="rId98" Type="http://schemas.openxmlformats.org/officeDocument/2006/relationships/hyperlink" Target="mailto:anna@plurihome.it" TargetMode="External"/><Relationship Id="rId3" Type="http://schemas.openxmlformats.org/officeDocument/2006/relationships/hyperlink" Target="mailto:gianenrico.zamboni@mywic.it"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mailto:info@mauromassironi.it" TargetMode="External"/><Relationship Id="rId18" Type="http://schemas.openxmlformats.org/officeDocument/2006/relationships/hyperlink" Target="mailto:claudiored60@gmail.com" TargetMode="External"/><Relationship Id="rId26" Type="http://schemas.openxmlformats.org/officeDocument/2006/relationships/hyperlink" Target="mailto:m.limenta@blackship.it" TargetMode="External"/><Relationship Id="rId39" Type="http://schemas.openxmlformats.org/officeDocument/2006/relationships/hyperlink" Target="mailto:claudiobrizzi75@gmail.com" TargetMode="External"/><Relationship Id="rId21" Type="http://schemas.openxmlformats.org/officeDocument/2006/relationships/hyperlink" Target="mailto:anna@plurihome.it" TargetMode="External"/><Relationship Id="rId34" Type="http://schemas.openxmlformats.org/officeDocument/2006/relationships/hyperlink" Target="mailto:m.colnaghi@altaeco.com" TargetMode="External"/><Relationship Id="rId42" Type="http://schemas.openxmlformats.org/officeDocument/2006/relationships/hyperlink" Target="mailto:morik@live.it" TargetMode="External"/><Relationship Id="rId47" Type="http://schemas.openxmlformats.org/officeDocument/2006/relationships/hyperlink" Target="http://../AppData/Local/Microsoft/Dropbox/MiV%202.0/Downloads/simone@045web.it" TargetMode="External"/><Relationship Id="rId50" Type="http://schemas.openxmlformats.org/officeDocument/2006/relationships/hyperlink" Target="mailto:scarrone.as@gmail.com" TargetMode="External"/><Relationship Id="rId7" Type="http://schemas.openxmlformats.org/officeDocument/2006/relationships/hyperlink" Target="mailto:whitelabsnc@pec.it" TargetMode="External"/><Relationship Id="rId2" Type="http://schemas.openxmlformats.org/officeDocument/2006/relationships/hyperlink" Target="mailto:marinacardon@pec.it" TargetMode="External"/><Relationship Id="rId16" Type="http://schemas.openxmlformats.org/officeDocument/2006/relationships/hyperlink" Target="mailto:2psoluzionisnc@gmail.com" TargetMode="External"/><Relationship Id="rId29" Type="http://schemas.openxmlformats.org/officeDocument/2006/relationships/hyperlink" Target="https://blackship.activehosted.com/app/contacts/24759" TargetMode="External"/><Relationship Id="rId11" Type="http://schemas.openxmlformats.org/officeDocument/2006/relationships/hyperlink" Target="mailto:m.milan@studiopaghemonza.it" TargetMode="External"/><Relationship Id="rId24" Type="http://schemas.openxmlformats.org/officeDocument/2006/relationships/hyperlink" Target="mailto:elisa@slownet.it" TargetMode="External"/><Relationship Id="rId32" Type="http://schemas.openxmlformats.org/officeDocument/2006/relationships/hyperlink" Target="mailto:erika.morri@me.com" TargetMode="External"/><Relationship Id="rId37" Type="http://schemas.openxmlformats.org/officeDocument/2006/relationships/hyperlink" Target="https://blackship.activehosted.com/app/contacts/24600" TargetMode="External"/><Relationship Id="rId40" Type="http://schemas.openxmlformats.org/officeDocument/2006/relationships/hyperlink" Target="mailto:carlo.farina@omporro.eu" TargetMode="External"/><Relationship Id="rId45" Type="http://schemas.openxmlformats.org/officeDocument/2006/relationships/hyperlink" Target="mailto:giuseppe@endurancecloud.com" TargetMode="External"/><Relationship Id="rId5" Type="http://schemas.openxmlformats.org/officeDocument/2006/relationships/hyperlink" Target="mailto:christine.delbene@cgn.legalmail.it" TargetMode="External"/><Relationship Id="rId15" Type="http://schemas.openxmlformats.org/officeDocument/2006/relationships/hyperlink" Target="mailto:amministrazione@tecnowood.info" TargetMode="External"/><Relationship Id="rId23" Type="http://schemas.openxmlformats.org/officeDocument/2006/relationships/hyperlink" Target="mailto:heliosdigitalprint@pec.it" TargetMode="External"/><Relationship Id="rId28" Type="http://schemas.openxmlformats.org/officeDocument/2006/relationships/hyperlink" Target="mailto:daniela.tettamanzi@yahoo.it" TargetMode="External"/><Relationship Id="rId36" Type="http://schemas.openxmlformats.org/officeDocument/2006/relationships/hyperlink" Target="mailto:sergione@hotmail.com" TargetMode="External"/><Relationship Id="rId49" Type="http://schemas.openxmlformats.org/officeDocument/2006/relationships/hyperlink" Target="mailto:m.antignano@switchup.it" TargetMode="External"/><Relationship Id="rId10" Type="http://schemas.openxmlformats.org/officeDocument/2006/relationships/hyperlink" Target="mailto:AMMINISTRAZIONE@PEC.SPM-CONSULTING.IT" TargetMode="External"/><Relationship Id="rId19" Type="http://schemas.openxmlformats.org/officeDocument/2006/relationships/hyperlink" Target="mailto:ruggero@pajola.info" TargetMode="External"/><Relationship Id="rId31" Type="http://schemas.openxmlformats.org/officeDocument/2006/relationships/hyperlink" Target="mailto:marziab@gmail.com" TargetMode="External"/><Relationship Id="rId44" Type="http://schemas.openxmlformats.org/officeDocument/2006/relationships/hyperlink" Target="mailto:simone@endurancecloud.com" TargetMode="External"/><Relationship Id="rId52" Type="http://schemas.openxmlformats.org/officeDocument/2006/relationships/hyperlink" Target="mailto:p.sabatino@emamotorsport.com" TargetMode="External"/><Relationship Id="rId4" Type="http://schemas.openxmlformats.org/officeDocument/2006/relationships/hyperlink" Target="mailto:christine.delbene@cgn.legalmail.it" TargetMode="External"/><Relationship Id="rId9" Type="http://schemas.openxmlformats.org/officeDocument/2006/relationships/hyperlink" Target="mailto:06501@pec.federfarma.it" TargetMode="External"/><Relationship Id="rId14" Type="http://schemas.openxmlformats.org/officeDocument/2006/relationships/hyperlink" Target="mailto:michela.gioco@gmail.com" TargetMode="External"/><Relationship Id="rId22" Type="http://schemas.openxmlformats.org/officeDocument/2006/relationships/hyperlink" Target="https://blackship.activehosted.com/app/contacts/15018" TargetMode="External"/><Relationship Id="rId27" Type="http://schemas.openxmlformats.org/officeDocument/2006/relationships/hyperlink" Target="mailto:asavoia@foppafustelle.it" TargetMode="External"/><Relationship Id="rId30" Type="http://schemas.openxmlformats.org/officeDocument/2006/relationships/hyperlink" Target="mailto:stamatecristina@ymail.com" TargetMode="External"/><Relationship Id="rId35" Type="http://schemas.openxmlformats.org/officeDocument/2006/relationships/hyperlink" Target="mailto:morena.baleani@jvinternational.com" TargetMode="External"/><Relationship Id="rId43" Type="http://schemas.openxmlformats.org/officeDocument/2006/relationships/hyperlink" Target="mailto:albertobaccari87@gmail.com" TargetMode="External"/><Relationship Id="rId48" Type="http://schemas.openxmlformats.org/officeDocument/2006/relationships/hyperlink" Target="mailto:paola.mariani@compassosrl.it" TargetMode="External"/><Relationship Id="rId8" Type="http://schemas.openxmlformats.org/officeDocument/2006/relationships/hyperlink" Target="mailto:amministrazione@whitelab.torino.it" TargetMode="External"/><Relationship Id="rId51" Type="http://schemas.openxmlformats.org/officeDocument/2006/relationships/hyperlink" Target="mailto:max.pirani@gmail.com" TargetMode="External"/><Relationship Id="rId3" Type="http://schemas.openxmlformats.org/officeDocument/2006/relationships/hyperlink" Target="mailto:claudiored60@gmail.com" TargetMode="External"/><Relationship Id="rId12" Type="http://schemas.openxmlformats.org/officeDocument/2006/relationships/hyperlink" Target="mailto:altravia.amministrazione@gmail.com" TargetMode="External"/><Relationship Id="rId17" Type="http://schemas.openxmlformats.org/officeDocument/2006/relationships/hyperlink" Target="mailto:2psoluzionisnc@gmail.com" TargetMode="External"/><Relationship Id="rId25" Type="http://schemas.openxmlformats.org/officeDocument/2006/relationships/hyperlink" Target="mailto:riccardo.m@formaaquae.it" TargetMode="External"/><Relationship Id="rId33" Type="http://schemas.openxmlformats.org/officeDocument/2006/relationships/hyperlink" Target="http://marco.stefanuttiucalesicurezza.it/" TargetMode="External"/><Relationship Id="rId38" Type="http://schemas.openxmlformats.org/officeDocument/2006/relationships/hyperlink" Target="mailto:primo.prandelli@casabugatti.it" TargetMode="External"/><Relationship Id="rId46" Type="http://schemas.openxmlformats.org/officeDocument/2006/relationships/hyperlink" Target="mailto:a.bezzi@scillameccanica.it" TargetMode="External"/><Relationship Id="rId20" Type="http://schemas.openxmlformats.org/officeDocument/2006/relationships/hyperlink" Target="mailto:PLURIHOME@PEC.NET" TargetMode="External"/><Relationship Id="rId41" Type="http://schemas.openxmlformats.org/officeDocument/2006/relationships/hyperlink" Target="mailto:gilberto.festa@omporro.it" TargetMode="External"/><Relationship Id="rId1" Type="http://schemas.openxmlformats.org/officeDocument/2006/relationships/hyperlink" Target="mailto:gtisrl@legalmail.it" TargetMode="External"/><Relationship Id="rId6" Type="http://schemas.openxmlformats.org/officeDocument/2006/relationships/hyperlink" Target="mailto:nextmedia@pec.it"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mailto:albaneseindustrie@gmail.com" TargetMode="External"/><Relationship Id="rId21" Type="http://schemas.openxmlformats.org/officeDocument/2006/relationships/hyperlink" Target="mailto:gdeberna@gmail.com" TargetMode="External"/><Relationship Id="rId42" Type="http://schemas.openxmlformats.org/officeDocument/2006/relationships/hyperlink" Target="mailto:aelmi@cti-spa.com" TargetMode="External"/><Relationship Id="rId63" Type="http://schemas.openxmlformats.org/officeDocument/2006/relationships/hyperlink" Target="mailto:davide@davidecaforio.com" TargetMode="External"/><Relationship Id="rId84" Type="http://schemas.openxmlformats.org/officeDocument/2006/relationships/hyperlink" Target="mailto:f.semeraro@scuoladeitalenti.net" TargetMode="External"/><Relationship Id="rId138" Type="http://schemas.openxmlformats.org/officeDocument/2006/relationships/hyperlink" Target="mailto:davanzo.filippo@gmail.com" TargetMode="External"/><Relationship Id="rId159" Type="http://schemas.openxmlformats.org/officeDocument/2006/relationships/hyperlink" Target="mailto:ssardena@tonucci.com" TargetMode="External"/><Relationship Id="rId170" Type="http://schemas.openxmlformats.org/officeDocument/2006/relationships/hyperlink" Target="mailto:alessandro.busi@cdfoods.com" TargetMode="External"/><Relationship Id="rId191" Type="http://schemas.openxmlformats.org/officeDocument/2006/relationships/hyperlink" Target="mailto:marco@exportline.srl" TargetMode="External"/><Relationship Id="rId205" Type="http://schemas.openxmlformats.org/officeDocument/2006/relationships/hyperlink" Target="mailto:federica.embri@maw.it" TargetMode="External"/><Relationship Id="rId226" Type="http://schemas.openxmlformats.org/officeDocument/2006/relationships/hyperlink" Target="mailto:mattia@agenziapieropan.it" TargetMode="External"/><Relationship Id="rId107" Type="http://schemas.openxmlformats.org/officeDocument/2006/relationships/hyperlink" Target="mailto:luisam973@icloud.com" TargetMode="External"/><Relationship Id="rId11" Type="http://schemas.openxmlformats.org/officeDocument/2006/relationships/hyperlink" Target="mailto:fabio.montano@reevo.it" TargetMode="External"/><Relationship Id="rId32" Type="http://schemas.openxmlformats.org/officeDocument/2006/relationships/hyperlink" Target="mailto:francesco.allonato@elis.com" TargetMode="External"/><Relationship Id="rId53" Type="http://schemas.openxmlformats.org/officeDocument/2006/relationships/hyperlink" Target="mailto:zannelli.marcello@gmail.com" TargetMode="External"/><Relationship Id="rId74" Type="http://schemas.openxmlformats.org/officeDocument/2006/relationships/hyperlink" Target="http://../AppData/Local/Microsoft/Downloads/olessio@pieffeunion.com" TargetMode="External"/><Relationship Id="rId128" Type="http://schemas.openxmlformats.org/officeDocument/2006/relationships/hyperlink" Target="mailto:andrea.cabiati@techstyle.it" TargetMode="External"/><Relationship Id="rId149" Type="http://schemas.openxmlformats.org/officeDocument/2006/relationships/hyperlink" Target="mailto:simonik.nik1@gmail.com" TargetMode="External"/><Relationship Id="rId5" Type="http://schemas.openxmlformats.org/officeDocument/2006/relationships/hyperlink" Target="mailto:walter.riservata@gmail.com" TargetMode="External"/><Relationship Id="rId95" Type="http://schemas.openxmlformats.org/officeDocument/2006/relationships/hyperlink" Target="mailto:renata.borean@gmail.com" TargetMode="External"/><Relationship Id="rId160" Type="http://schemas.openxmlformats.org/officeDocument/2006/relationships/hyperlink" Target="mailto:giulia.92.saviolo@gmail.com" TargetMode="External"/><Relationship Id="rId181" Type="http://schemas.openxmlformats.org/officeDocument/2006/relationships/hyperlink" Target="mailto:ivan@nivaco.eu" TargetMode="External"/><Relationship Id="rId216" Type="http://schemas.openxmlformats.org/officeDocument/2006/relationships/hyperlink" Target="mailto:o.marchetti@algorubber.it" TargetMode="External"/><Relationship Id="rId237" Type="http://schemas.openxmlformats.org/officeDocument/2006/relationships/hyperlink" Target="mailto:davide.uzzo@gmail.com" TargetMode="External"/><Relationship Id="rId22" Type="http://schemas.openxmlformats.org/officeDocument/2006/relationships/hyperlink" Target="mailto:antonio.giannetto@reevo.it" TargetMode="External"/><Relationship Id="rId43" Type="http://schemas.openxmlformats.org/officeDocument/2006/relationships/hyperlink" Target="mailto:carlo.gianetto@elis.com" TargetMode="External"/><Relationship Id="rId64" Type="http://schemas.openxmlformats.org/officeDocument/2006/relationships/hyperlink" Target="mailto:roberto@fluxx.it" TargetMode="External"/><Relationship Id="rId118" Type="http://schemas.openxmlformats.org/officeDocument/2006/relationships/hyperlink" Target="mailto:grillo.maria@libero.it" TargetMode="External"/><Relationship Id="rId139" Type="http://schemas.openxmlformats.org/officeDocument/2006/relationships/hyperlink" Target="mailto:emmanuele.delpiano@peopletrezero.com" TargetMode="External"/><Relationship Id="rId85" Type="http://schemas.openxmlformats.org/officeDocument/2006/relationships/hyperlink" Target="mailto:manuela.stefani@ecologicanaviglio.it" TargetMode="External"/><Relationship Id="rId150" Type="http://schemas.openxmlformats.org/officeDocument/2006/relationships/hyperlink" Target="mailto:e.paderni@studio-associato.net" TargetMode="External"/><Relationship Id="rId171" Type="http://schemas.openxmlformats.org/officeDocument/2006/relationships/hyperlink" Target="mailto:marco.bordignon@lago.it" TargetMode="External"/><Relationship Id="rId192" Type="http://schemas.openxmlformats.org/officeDocument/2006/relationships/hyperlink" Target="mailto:mirco.bianco@arrex.it" TargetMode="External"/><Relationship Id="rId206" Type="http://schemas.openxmlformats.org/officeDocument/2006/relationships/hyperlink" Target="mailto:info@eurosicbrescia.it" TargetMode="External"/><Relationship Id="rId227" Type="http://schemas.openxmlformats.org/officeDocument/2006/relationships/hyperlink" Target="mailto:max.pirani@gmail.com" TargetMode="External"/><Relationship Id="rId12" Type="http://schemas.openxmlformats.org/officeDocument/2006/relationships/hyperlink" Target="mailto:cristina.oliveri@reevo.it" TargetMode="External"/><Relationship Id="rId33" Type="http://schemas.openxmlformats.org/officeDocument/2006/relationships/hyperlink" Target="mailto:marco.gusella@gusella-adv.com" TargetMode="External"/><Relationship Id="rId108" Type="http://schemas.openxmlformats.org/officeDocument/2006/relationships/hyperlink" Target="mailto:rocco.pennacchia@gmail.com" TargetMode="External"/><Relationship Id="rId129" Type="http://schemas.openxmlformats.org/officeDocument/2006/relationships/hyperlink" Target="mailto:gl.caccia@qsa.net" TargetMode="External"/><Relationship Id="rId54" Type="http://schemas.openxmlformats.org/officeDocument/2006/relationships/hyperlink" Target="mailto:aleamadini@live.it" TargetMode="External"/><Relationship Id="rId75" Type="http://schemas.openxmlformats.org/officeDocument/2006/relationships/hyperlink" Target="mailto:manuele.marconi@tiscali.it" TargetMode="External"/><Relationship Id="rId96" Type="http://schemas.openxmlformats.org/officeDocument/2006/relationships/hyperlink" Target="mailto:umberto@paral.it" TargetMode="External"/><Relationship Id="rId140" Type="http://schemas.openxmlformats.org/officeDocument/2006/relationships/hyperlink" Target="mailto:rodolfo.fabris@greenovaitalia.it" TargetMode="External"/><Relationship Id="rId161" Type="http://schemas.openxmlformats.org/officeDocument/2006/relationships/hyperlink" Target="mailto:marco.sciarratta@gmail.com" TargetMode="External"/><Relationship Id="rId182" Type="http://schemas.openxmlformats.org/officeDocument/2006/relationships/hyperlink" Target="mailto:agente.zaniluca@gmail.com" TargetMode="External"/><Relationship Id="rId217" Type="http://schemas.openxmlformats.org/officeDocument/2006/relationships/hyperlink" Target="mailto:paola.mariani@compassosrl.it" TargetMode="External"/><Relationship Id="rId6" Type="http://schemas.openxmlformats.org/officeDocument/2006/relationships/hyperlink" Target="http://../AppData/Local/Microsoft/Downloads/Jarno.Sambinelli@colombospa.com" TargetMode="External"/><Relationship Id="rId238" Type="http://schemas.openxmlformats.org/officeDocument/2006/relationships/hyperlink" Target="mailto:vengia@opsi.it" TargetMode="External"/><Relationship Id="rId23" Type="http://schemas.openxmlformats.org/officeDocument/2006/relationships/hyperlink" Target="mailto:salvatore.giannetto@reevo.it" TargetMode="External"/><Relationship Id="rId119" Type="http://schemas.openxmlformats.org/officeDocument/2006/relationships/hyperlink" Target="mailto:antonio.ambra@aicnet.it" TargetMode="External"/><Relationship Id="rId44" Type="http://schemas.openxmlformats.org/officeDocument/2006/relationships/hyperlink" Target="mailto:daniele.gusella@puntoffset.com" TargetMode="External"/><Relationship Id="rId65" Type="http://schemas.openxmlformats.org/officeDocument/2006/relationships/hyperlink" Target="mailto:luisellachioni@gmail.com" TargetMode="External"/><Relationship Id="rId86" Type="http://schemas.openxmlformats.org/officeDocument/2006/relationships/hyperlink" Target="mailto:marco.suvigo@opsi.it" TargetMode="External"/><Relationship Id="rId130" Type="http://schemas.openxmlformats.org/officeDocument/2006/relationships/hyperlink" Target="mailto:paola.canal@meapforni.com" TargetMode="External"/><Relationship Id="rId151" Type="http://schemas.openxmlformats.org/officeDocument/2006/relationships/hyperlink" Target="mailto:panizzofrancesco@libero.it" TargetMode="External"/><Relationship Id="rId172" Type="http://schemas.openxmlformats.org/officeDocument/2006/relationships/hyperlink" Target="mailto:info@cristinafregnan.it" TargetMode="External"/><Relationship Id="rId193" Type="http://schemas.openxmlformats.org/officeDocument/2006/relationships/hyperlink" Target="mailto:arianna.biasin@gmail.com" TargetMode="External"/><Relationship Id="rId207" Type="http://schemas.openxmlformats.org/officeDocument/2006/relationships/hyperlink" Target="mailto:info@eurosicbrescia.it" TargetMode="External"/><Relationship Id="rId228" Type="http://schemas.openxmlformats.org/officeDocument/2006/relationships/hyperlink" Target="mailto:pizzamigliomarco75@gmail.com" TargetMode="External"/><Relationship Id="rId13" Type="http://schemas.openxmlformats.org/officeDocument/2006/relationships/hyperlink" Target="mailto:carmelo.pesce@reevo.it" TargetMode="External"/><Relationship Id="rId109" Type="http://schemas.openxmlformats.org/officeDocument/2006/relationships/hyperlink" Target="mailto:marilena.riello@studioriello.it" TargetMode="External"/><Relationship Id="rId34" Type="http://schemas.openxmlformats.org/officeDocument/2006/relationships/hyperlink" Target="mailto:r.andrello@blackship.it" TargetMode="External"/><Relationship Id="rId55" Type="http://schemas.openxmlformats.org/officeDocument/2006/relationships/hyperlink" Target="mailto:andrea.lenzi@orang-e.it" TargetMode="External"/><Relationship Id="rId76" Type="http://schemas.openxmlformats.org/officeDocument/2006/relationships/hyperlink" Target="mailto:michela2705@yahoo.it" TargetMode="External"/><Relationship Id="rId97" Type="http://schemas.openxmlformats.org/officeDocument/2006/relationships/hyperlink" Target="mailto:virginiagiorgio@antifurtiwinner.it" TargetMode="External"/><Relationship Id="rId120" Type="http://schemas.openxmlformats.org/officeDocument/2006/relationships/hyperlink" Target="mailto:ernesto.bragagnolo@spherastudio.com" TargetMode="External"/><Relationship Id="rId141" Type="http://schemas.openxmlformats.org/officeDocument/2006/relationships/hyperlink" Target="mailto:daniela.felice@hotmail.it" TargetMode="External"/><Relationship Id="rId7" Type="http://schemas.openxmlformats.org/officeDocument/2006/relationships/hyperlink" Target="mailto:claudio.tonello@claudiotonello.it" TargetMode="External"/><Relationship Id="rId162" Type="http://schemas.openxmlformats.org/officeDocument/2006/relationships/hyperlink" Target="mailto:commerciale@essediessetende.it" TargetMode="External"/><Relationship Id="rId183" Type="http://schemas.openxmlformats.org/officeDocument/2006/relationships/hyperlink" Target="mailto:d.zorzoli@biosmanagement.it" TargetMode="External"/><Relationship Id="rId218" Type="http://schemas.openxmlformats.org/officeDocument/2006/relationships/hyperlink" Target="mailto:roberta.mazzola@maw.it" TargetMode="External"/><Relationship Id="rId239" Type="http://schemas.openxmlformats.org/officeDocument/2006/relationships/hyperlink" Target="mailto:silvia.verderame@maw.it" TargetMode="External"/><Relationship Id="rId24" Type="http://schemas.openxmlformats.org/officeDocument/2006/relationships/hyperlink" Target="mailto:marco.gusella@gusella-adv.com" TargetMode="External"/><Relationship Id="rId45" Type="http://schemas.openxmlformats.org/officeDocument/2006/relationships/hyperlink" Target="mailto:massetti@me.com" TargetMode="External"/><Relationship Id="rId66" Type="http://schemas.openxmlformats.org/officeDocument/2006/relationships/hyperlink" Target="http://../AppData/Local/Microsoft/Downloads/davidedalgrande@libero.it" TargetMode="External"/><Relationship Id="rId87" Type="http://schemas.openxmlformats.org/officeDocument/2006/relationships/hyperlink" Target="mailto:daria.uderzo@allianzbankfa.it" TargetMode="External"/><Relationship Id="rId110" Type="http://schemas.openxmlformats.org/officeDocument/2006/relationships/hyperlink" Target="mailto:commerciale@essediessetende.it" TargetMode="External"/><Relationship Id="rId131" Type="http://schemas.openxmlformats.org/officeDocument/2006/relationships/hyperlink" Target="mailto:vendite@gimmsrl.info" TargetMode="External"/><Relationship Id="rId152" Type="http://schemas.openxmlformats.org/officeDocument/2006/relationships/hyperlink" Target="mailto:rocco.pennacchia@gmail.com" TargetMode="External"/><Relationship Id="rId173" Type="http://schemas.openxmlformats.org/officeDocument/2006/relationships/hyperlink" Target="mailto:sara.pedrini@reevo.it" TargetMode="External"/><Relationship Id="rId194" Type="http://schemas.openxmlformats.org/officeDocument/2006/relationships/hyperlink" Target="mailto:fabrizio.bresciani@imageline.it" TargetMode="External"/><Relationship Id="rId208" Type="http://schemas.openxmlformats.org/officeDocument/2006/relationships/hyperlink" Target="mailto:giovanni.giovi@autind.com" TargetMode="External"/><Relationship Id="rId229" Type="http://schemas.openxmlformats.org/officeDocument/2006/relationships/hyperlink" Target="mailto:pietro.poli@yourbiz.it" TargetMode="External"/><Relationship Id="rId240" Type="http://schemas.openxmlformats.org/officeDocument/2006/relationships/hyperlink" Target="mailto:fvernarecci@e-team.ra.it" TargetMode="External"/><Relationship Id="rId14" Type="http://schemas.openxmlformats.org/officeDocument/2006/relationships/hyperlink" Target="mailto:rosfrancesca@libero.it" TargetMode="External"/><Relationship Id="rId35" Type="http://schemas.openxmlformats.org/officeDocument/2006/relationships/hyperlink" Target="mailto:zannellienrico@gmail.com" TargetMode="External"/><Relationship Id="rId56" Type="http://schemas.openxmlformats.org/officeDocument/2006/relationships/hyperlink" Target="mailto:greta.amadori@extraordinario.eu" TargetMode="External"/><Relationship Id="rId77" Type="http://schemas.openxmlformats.org/officeDocument/2006/relationships/hyperlink" Target="mailto:antomastran@gmail.com" TargetMode="External"/><Relationship Id="rId100" Type="http://schemas.openxmlformats.org/officeDocument/2006/relationships/hyperlink" Target="http://../Desktop/..:..:..:..:..:..:..:..:..:..:..:..:..:..:..:..:..:..:..:..:..:..:..:..:..:..:..:..:..:..:..:..:..:..:..:..:..:..:..:..:..:..:..:..:..:../Dropbox:MiV%202.0:Downloads:simone@045web.it%252525252525252525E6%25252525252525252580%25252525252525252580" TargetMode="External"/><Relationship Id="rId8" Type="http://schemas.openxmlformats.org/officeDocument/2006/relationships/hyperlink" Target="mailto:marcoguglioguglielmi@gmail.com" TargetMode="External"/><Relationship Id="rId98" Type="http://schemas.openxmlformats.org/officeDocument/2006/relationships/hyperlink" Target="mailto:manuela.capanni@libero.it" TargetMode="External"/><Relationship Id="rId121" Type="http://schemas.openxmlformats.org/officeDocument/2006/relationships/hyperlink" Target="mailto:andrea.audisio@gmail.com" TargetMode="External"/><Relationship Id="rId142" Type="http://schemas.openxmlformats.org/officeDocument/2006/relationships/hyperlink" Target="mailto:Massimiliano.Galassi@legaitaly.com" TargetMode="External"/><Relationship Id="rId163" Type="http://schemas.openxmlformats.org/officeDocument/2006/relationships/hyperlink" Target="mailto:riccardo.signori82@gmail.com" TargetMode="External"/><Relationship Id="rId184" Type="http://schemas.openxmlformats.org/officeDocument/2006/relationships/hyperlink" Target="mailto:greta.amadori@extraordinario.eu" TargetMode="External"/><Relationship Id="rId219" Type="http://schemas.openxmlformats.org/officeDocument/2006/relationships/hyperlink" Target="mailto:moira.merlo@maw.it" TargetMode="External"/><Relationship Id="rId230" Type="http://schemas.openxmlformats.org/officeDocument/2006/relationships/hyperlink" Target="mailto:info@romagiuseppe.net" TargetMode="External"/><Relationship Id="rId25" Type="http://schemas.openxmlformats.org/officeDocument/2006/relationships/hyperlink" Target="mailto:g.martorana@dataprinter.it" TargetMode="External"/><Relationship Id="rId46" Type="http://schemas.openxmlformats.org/officeDocument/2006/relationships/hyperlink" Target="mailto:migliorati.annalaura@gmail.com" TargetMode="External"/><Relationship Id="rId67" Type="http://schemas.openxmlformats.org/officeDocument/2006/relationships/hyperlink" Target="mailto:sandy.demartin@gmail.com" TargetMode="External"/><Relationship Id="rId88" Type="http://schemas.openxmlformats.org/officeDocument/2006/relationships/hyperlink" Target="mailto:vengia@opsi.it" TargetMode="External"/><Relationship Id="rId111" Type="http://schemas.openxmlformats.org/officeDocument/2006/relationships/hyperlink" Target="mailto:marco.suvigo@opsi.it" TargetMode="External"/><Relationship Id="rId132" Type="http://schemas.openxmlformats.org/officeDocument/2006/relationships/hyperlink" Target="mailto:marco.capitanio@aicnet.it" TargetMode="External"/><Relationship Id="rId153" Type="http://schemas.openxmlformats.org/officeDocument/2006/relationships/hyperlink" Target="mailto:r.perosa@blackship.it" TargetMode="External"/><Relationship Id="rId174" Type="http://schemas.openxmlformats.org/officeDocument/2006/relationships/hyperlink" Target="mailto:nicola@nivaco.eu" TargetMode="External"/><Relationship Id="rId195" Type="http://schemas.openxmlformats.org/officeDocument/2006/relationships/hyperlink" Target="mailto:andrea.cabiati@techstyle.it" TargetMode="External"/><Relationship Id="rId209" Type="http://schemas.openxmlformats.org/officeDocument/2006/relationships/hyperlink" Target="mailto:giorgio.giovi@autind.com" TargetMode="External"/><Relationship Id="rId220" Type="http://schemas.openxmlformats.org/officeDocument/2006/relationships/hyperlink" Target="mailto:michele.mezzi@xeos.it" TargetMode="External"/><Relationship Id="rId241" Type="http://schemas.openxmlformats.org/officeDocument/2006/relationships/hyperlink" Target="mailto:fedevi78@virgilio.it" TargetMode="External"/><Relationship Id="rId15" Type="http://schemas.openxmlformats.org/officeDocument/2006/relationships/hyperlink" Target="mailto:Roberto.Zecchinello@dag-diesel.com" TargetMode="External"/><Relationship Id="rId36" Type="http://schemas.openxmlformats.org/officeDocument/2006/relationships/hyperlink" Target="mailto:c.benzoni@blackship.it" TargetMode="External"/><Relationship Id="rId57" Type="http://schemas.openxmlformats.org/officeDocument/2006/relationships/hyperlink" Target="mailto:g.martorana@dataprinter.it" TargetMode="External"/><Relationship Id="rId10" Type="http://schemas.openxmlformats.org/officeDocument/2006/relationships/hyperlink" Target="mailto:stefania@mecstm.it" TargetMode="External"/><Relationship Id="rId31" Type="http://schemas.openxmlformats.org/officeDocument/2006/relationships/hyperlink" Target="mailto:zannellienrico@gmail.com" TargetMode="External"/><Relationship Id="rId52" Type="http://schemas.openxmlformats.org/officeDocument/2006/relationships/hyperlink" Target="mailto:stefano_paul_zanenga@hotmail.com" TargetMode="External"/><Relationship Id="rId73" Type="http://schemas.openxmlformats.org/officeDocument/2006/relationships/hyperlink" Target="mailto:gregorio.larocca@gmail.com" TargetMode="External"/><Relationship Id="rId78" Type="http://schemas.openxmlformats.org/officeDocument/2006/relationships/hyperlink" Target="mailto:cmoretti79@yahoo.it" TargetMode="External"/><Relationship Id="rId94" Type="http://schemas.openxmlformats.org/officeDocument/2006/relationships/hyperlink" Target="mailto:lucab972@me.com" TargetMode="External"/><Relationship Id="rId99" Type="http://schemas.openxmlformats.org/officeDocument/2006/relationships/hyperlink" Target="mailto:fcutrera@blackship.it" TargetMode="External"/><Relationship Id="rId101" Type="http://schemas.openxmlformats.org/officeDocument/2006/relationships/hyperlink" Target="mailto:vgalati@nextplora.com" TargetMode="External"/><Relationship Id="rId122" Type="http://schemas.openxmlformats.org/officeDocument/2006/relationships/hyperlink" Target="mailto:fabio@valchiese.it" TargetMode="External"/><Relationship Id="rId143" Type="http://schemas.openxmlformats.org/officeDocument/2006/relationships/hyperlink" Target="mailto:emiliogalavotti@gmail.com" TargetMode="External"/><Relationship Id="rId148" Type="http://schemas.openxmlformats.org/officeDocument/2006/relationships/hyperlink" Target="mailto:roberto.migliorati@aicnet.it" TargetMode="External"/><Relationship Id="rId164" Type="http://schemas.openxmlformats.org/officeDocument/2006/relationships/hyperlink" Target="mailto:s.tedesco@ergotekitalia.it" TargetMode="External"/><Relationship Id="rId169" Type="http://schemas.openxmlformats.org/officeDocument/2006/relationships/hyperlink" Target="mailto:mario.andreello@sabionline.it" TargetMode="External"/><Relationship Id="rId185" Type="http://schemas.openxmlformats.org/officeDocument/2006/relationships/hyperlink" Target="mailto:gianluca.artioli@deltares.it" TargetMode="External"/><Relationship Id="rId4" Type="http://schemas.openxmlformats.org/officeDocument/2006/relationships/hyperlink" Target="mailto:alessandro.lazzari@claudiotonello.it" TargetMode="External"/><Relationship Id="rId9" Type="http://schemas.openxmlformats.org/officeDocument/2006/relationships/hyperlink" Target="mailto:marcom@mecstm.it" TargetMode="External"/><Relationship Id="rId180" Type="http://schemas.openxmlformats.org/officeDocument/2006/relationships/hyperlink" Target="mailto:l.silvestrini@exaltoenergia.it" TargetMode="External"/><Relationship Id="rId210" Type="http://schemas.openxmlformats.org/officeDocument/2006/relationships/hyperlink" Target="mailto:valentina.girelli@maw.it" TargetMode="External"/><Relationship Id="rId215" Type="http://schemas.openxmlformats.org/officeDocument/2006/relationships/hyperlink" Target="mailto:l.marchetti@algorubber.it" TargetMode="External"/><Relationship Id="rId236" Type="http://schemas.openxmlformats.org/officeDocument/2006/relationships/hyperlink" Target="mailto:Giuseppe.ullo@agenzialeasing.com" TargetMode="External"/><Relationship Id="rId26" Type="http://schemas.openxmlformats.org/officeDocument/2006/relationships/hyperlink" Target="mailto:claudio.minigutti@optimasistemi.it" TargetMode="External"/><Relationship Id="rId231" Type="http://schemas.openxmlformats.org/officeDocument/2006/relationships/hyperlink" Target="mailto:marcorossetto@fastwebnet.it" TargetMode="External"/><Relationship Id="rId47" Type="http://schemas.openxmlformats.org/officeDocument/2006/relationships/hyperlink" Target="mailto:giusy.riina@ecologicanaviglio.it" TargetMode="External"/><Relationship Id="rId68" Type="http://schemas.openxmlformats.org/officeDocument/2006/relationships/hyperlink" Target="mailto:emmanuele.delpiano@peopletrezero.com" TargetMode="External"/><Relationship Id="rId89" Type="http://schemas.openxmlformats.org/officeDocument/2006/relationships/hyperlink" Target="mailto:info@vimatviterie.it" TargetMode="External"/><Relationship Id="rId112" Type="http://schemas.openxmlformats.org/officeDocument/2006/relationships/hyperlink" Target="mailto:stefano@tecnofilgas.com" TargetMode="External"/><Relationship Id="rId133" Type="http://schemas.openxmlformats.org/officeDocument/2006/relationships/hyperlink" Target="mailto:l.cappellotto@geastar.it" TargetMode="External"/><Relationship Id="rId154" Type="http://schemas.openxmlformats.org/officeDocument/2006/relationships/hyperlink" Target="mailto:piccinellibeppe@gmail.com" TargetMode="External"/><Relationship Id="rId175" Type="http://schemas.openxmlformats.org/officeDocument/2006/relationships/hyperlink" Target="mailto:b.prati@blackship.it" TargetMode="External"/><Relationship Id="rId196" Type="http://schemas.openxmlformats.org/officeDocument/2006/relationships/hyperlink" Target="mailto:gl.caccia@qsa.net" TargetMode="External"/><Relationship Id="rId200" Type="http://schemas.openxmlformats.org/officeDocument/2006/relationships/hyperlink" Target="mailto:filippo.casotto@blublublu.it" TargetMode="External"/><Relationship Id="rId16" Type="http://schemas.openxmlformats.org/officeDocument/2006/relationships/hyperlink" Target="mailto:m.bertoldi@custom.it" TargetMode="External"/><Relationship Id="rId221" Type="http://schemas.openxmlformats.org/officeDocument/2006/relationships/hyperlink" Target="mailto:aryadne86@hotmail.it" TargetMode="External"/><Relationship Id="rId242" Type="http://schemas.openxmlformats.org/officeDocument/2006/relationships/hyperlink" Target="mailto:simone.zampedri@gmail.com" TargetMode="External"/><Relationship Id="rId37" Type="http://schemas.openxmlformats.org/officeDocument/2006/relationships/hyperlink" Target="mailto:davide@davidecaforio.com" TargetMode="External"/><Relationship Id="rId58" Type="http://schemas.openxmlformats.org/officeDocument/2006/relationships/hyperlink" Target="mailto:luca.argenton@teorematoys.com" TargetMode="External"/><Relationship Id="rId79" Type="http://schemas.openxmlformats.org/officeDocument/2006/relationships/hyperlink" Target="mailto:dpavan@pieffeunion.com" TargetMode="External"/><Relationship Id="rId102" Type="http://schemas.openxmlformats.org/officeDocument/2006/relationships/hyperlink" Target="mailto:samantha.gamberini@peopletrezero.com" TargetMode="External"/><Relationship Id="rId123" Type="http://schemas.openxmlformats.org/officeDocument/2006/relationships/hyperlink" Target="mailto:posta@gbandini.it" TargetMode="External"/><Relationship Id="rId144" Type="http://schemas.openxmlformats.org/officeDocument/2006/relationships/hyperlink" Target="mailto:alessandro.gheda@putelli.it" TargetMode="External"/><Relationship Id="rId90" Type="http://schemas.openxmlformats.org/officeDocument/2006/relationships/hyperlink" Target="mailto:greta.amadori@extraordinario.eu" TargetMode="External"/><Relationship Id="rId165" Type="http://schemas.openxmlformats.org/officeDocument/2006/relationships/hyperlink" Target="mailto:andrea.venturini@putelli.it" TargetMode="External"/><Relationship Id="rId186" Type="http://schemas.openxmlformats.org/officeDocument/2006/relationships/hyperlink" Target="mailto:fabio@valchiese.it" TargetMode="External"/><Relationship Id="rId211" Type="http://schemas.openxmlformats.org/officeDocument/2006/relationships/hyperlink" Target="mailto:amministrazione@lessioporte.com" TargetMode="External"/><Relationship Id="rId232" Type="http://schemas.openxmlformats.org/officeDocument/2006/relationships/hyperlink" Target="mailto:grafichewebart@alice.it" TargetMode="External"/><Relationship Id="rId27" Type="http://schemas.openxmlformats.org/officeDocument/2006/relationships/hyperlink" Target="mailto:Luigi.Mondini@agroittica.it" TargetMode="External"/><Relationship Id="rId48" Type="http://schemas.openxmlformats.org/officeDocument/2006/relationships/hyperlink" Target="http://../AppData/Local/Microsoft/Downloads/Jarno.Sambinelli@colombospa.com" TargetMode="External"/><Relationship Id="rId69" Type="http://schemas.openxmlformats.org/officeDocument/2006/relationships/hyperlink" Target="mailto:info@dawa.it" TargetMode="External"/><Relationship Id="rId113" Type="http://schemas.openxmlformats.org/officeDocument/2006/relationships/hyperlink" Target="mailto:cristina.vaudagna@yahoo.com" TargetMode="External"/><Relationship Id="rId134" Type="http://schemas.openxmlformats.org/officeDocument/2006/relationships/hyperlink" Target="mailto:carusosara@hotmail.it" TargetMode="External"/><Relationship Id="rId80" Type="http://schemas.openxmlformats.org/officeDocument/2006/relationships/hyperlink" Target="mailto:info@eurocoil.it" TargetMode="External"/><Relationship Id="rId155" Type="http://schemas.openxmlformats.org/officeDocument/2006/relationships/hyperlink" Target="mailto:fpusate@me.com" TargetMode="External"/><Relationship Id="rId176" Type="http://schemas.openxmlformats.org/officeDocument/2006/relationships/hyperlink" Target="mailto:rizzolocalogero@gmail.com" TargetMode="External"/><Relationship Id="rId197" Type="http://schemas.openxmlformats.org/officeDocument/2006/relationships/hyperlink" Target="mailto:elisabetta.cammareri@maw.it" TargetMode="External"/><Relationship Id="rId201" Type="http://schemas.openxmlformats.org/officeDocument/2006/relationships/hyperlink" Target="mailto:luca.cavedaghi@cualeva.com" TargetMode="External"/><Relationship Id="rId222" Type="http://schemas.openxmlformats.org/officeDocument/2006/relationships/hyperlink" Target="mailto:mariangela.munaro@gmail.com" TargetMode="External"/><Relationship Id="rId243" Type="http://schemas.openxmlformats.org/officeDocument/2006/relationships/hyperlink" Target="mailto:veronica.zampieri@maw.it" TargetMode="External"/><Relationship Id="rId17" Type="http://schemas.openxmlformats.org/officeDocument/2006/relationships/hyperlink" Target="mailto:Alessandro.Busi@cdfoods.com" TargetMode="External"/><Relationship Id="rId38" Type="http://schemas.openxmlformats.org/officeDocument/2006/relationships/hyperlink" Target="mailto:alex@nt2.it" TargetMode="External"/><Relationship Id="rId59" Type="http://schemas.openxmlformats.org/officeDocument/2006/relationships/hyperlink" Target="mailto:m.bertoldi@custom.it" TargetMode="External"/><Relationship Id="rId103" Type="http://schemas.openxmlformats.org/officeDocument/2006/relationships/hyperlink" Target="mailto:commerciale@eurocoil.it" TargetMode="External"/><Relationship Id="rId124" Type="http://schemas.openxmlformats.org/officeDocument/2006/relationships/hyperlink" Target="mailto:immobiliare@garedilizia.it" TargetMode="External"/><Relationship Id="rId70" Type="http://schemas.openxmlformats.org/officeDocument/2006/relationships/hyperlink" Target="mailto:p.dellaquila@ieschool.eu" TargetMode="External"/><Relationship Id="rId91" Type="http://schemas.openxmlformats.org/officeDocument/2006/relationships/hyperlink" Target="mailto:monica.ramaschi@gmail.com" TargetMode="External"/><Relationship Id="rId145" Type="http://schemas.openxmlformats.org/officeDocument/2006/relationships/hyperlink" Target="mailto:info@impresaghilotti.it" TargetMode="External"/><Relationship Id="rId166" Type="http://schemas.openxmlformats.org/officeDocument/2006/relationships/hyperlink" Target="mailto:fvernarecci@e-team.ra.it" TargetMode="External"/><Relationship Id="rId187" Type="http://schemas.openxmlformats.org/officeDocument/2006/relationships/hyperlink" Target="mailto:nicolas.baglioni@gmail.com" TargetMode="External"/><Relationship Id="rId1" Type="http://schemas.openxmlformats.org/officeDocument/2006/relationships/hyperlink" Target="mailto:c.acampora@blackship.it" TargetMode="External"/><Relationship Id="rId212" Type="http://schemas.openxmlformats.org/officeDocument/2006/relationships/hyperlink" Target="mailto:m.losi@labanalysis.it" TargetMode="External"/><Relationship Id="rId233" Type="http://schemas.openxmlformats.org/officeDocument/2006/relationships/hyperlink" Target="mailto:marco.sciarratta@gmail.com" TargetMode="External"/><Relationship Id="rId28" Type="http://schemas.openxmlformats.org/officeDocument/2006/relationships/hyperlink" Target="mailto:stefania@mascarinstampi.it" TargetMode="External"/><Relationship Id="rId49" Type="http://schemas.openxmlformats.org/officeDocument/2006/relationships/hyperlink" Target="mailto:m.scorziello@custom.it" TargetMode="External"/><Relationship Id="rId114" Type="http://schemas.openxmlformats.org/officeDocument/2006/relationships/hyperlink" Target="mailto:vengia@opsi.it" TargetMode="External"/><Relationship Id="rId60" Type="http://schemas.openxmlformats.org/officeDocument/2006/relationships/hyperlink" Target="mailto:bittante@eurocoil.it" TargetMode="External"/><Relationship Id="rId81" Type="http://schemas.openxmlformats.org/officeDocument/2006/relationships/hyperlink" Target="mailto:c.salvetti@blackship.it" TargetMode="External"/><Relationship Id="rId135" Type="http://schemas.openxmlformats.org/officeDocument/2006/relationships/hyperlink" Target="mailto:gianluca.cazzago@putelli.it" TargetMode="External"/><Relationship Id="rId156" Type="http://schemas.openxmlformats.org/officeDocument/2006/relationships/hyperlink" Target="mailto:ragazzo.ornella@yahoo.com" TargetMode="External"/><Relationship Id="rId177" Type="http://schemas.openxmlformats.org/officeDocument/2006/relationships/hyperlink" Target="mailto:d.romano@blackship.it" TargetMode="External"/><Relationship Id="rId198" Type="http://schemas.openxmlformats.org/officeDocument/2006/relationships/hyperlink" Target="mailto:filgopro@gmail.com" TargetMode="External"/><Relationship Id="rId202" Type="http://schemas.openxmlformats.org/officeDocument/2006/relationships/hyperlink" Target="mailto:damiano.dallavalle@labrenta.com" TargetMode="External"/><Relationship Id="rId223" Type="http://schemas.openxmlformats.org/officeDocument/2006/relationships/hyperlink" Target="mailto:fmusaio@fenixdigitalgroup.com" TargetMode="External"/><Relationship Id="rId244" Type="http://schemas.openxmlformats.org/officeDocument/2006/relationships/hyperlink" Target="mailto:l.zandona@algorubber.it" TargetMode="External"/><Relationship Id="rId18" Type="http://schemas.openxmlformats.org/officeDocument/2006/relationships/hyperlink" Target="mailto:gianluca.busi@hotmail.com" TargetMode="External"/><Relationship Id="rId39" Type="http://schemas.openxmlformats.org/officeDocument/2006/relationships/hyperlink" Target="mailto:elisadallepezze@infermentum.it" TargetMode="External"/><Relationship Id="rId50" Type="http://schemas.openxmlformats.org/officeDocument/2006/relationships/hyperlink" Target="mailto:domenico.sessa@elis.com" TargetMode="External"/><Relationship Id="rId104" Type="http://schemas.openxmlformats.org/officeDocument/2006/relationships/hyperlink" Target="mailto:davideicardi@yahoo.it" TargetMode="External"/><Relationship Id="rId125" Type="http://schemas.openxmlformats.org/officeDocument/2006/relationships/hyperlink" Target="mailto:francesco@cominshop.it" TargetMode="External"/><Relationship Id="rId146" Type="http://schemas.openxmlformats.org/officeDocument/2006/relationships/hyperlink" Target="mailto:luisa@architettoghilotti.it" TargetMode="External"/><Relationship Id="rId167" Type="http://schemas.openxmlformats.org/officeDocument/2006/relationships/hyperlink" Target="mailto:paolo@greenova.biz" TargetMode="External"/><Relationship Id="rId188" Type="http://schemas.openxmlformats.org/officeDocument/2006/relationships/hyperlink" Target="mailto:silvia.bandieri@maw.it" TargetMode="External"/><Relationship Id="rId71" Type="http://schemas.openxmlformats.org/officeDocument/2006/relationships/hyperlink" Target="mailto:krc1977@libero.it" TargetMode="External"/><Relationship Id="rId92" Type="http://schemas.openxmlformats.org/officeDocument/2006/relationships/hyperlink" Target="mailto:graziano@grazianogroup.eu" TargetMode="External"/><Relationship Id="rId213" Type="http://schemas.openxmlformats.org/officeDocument/2006/relationships/hyperlink" Target="mailto:paolo.macchi@mcr.it" TargetMode="External"/><Relationship Id="rId234" Type="http://schemas.openxmlformats.org/officeDocument/2006/relationships/hyperlink" Target="mailto:commerciale@essediessetende.it" TargetMode="External"/><Relationship Id="rId2" Type="http://schemas.openxmlformats.org/officeDocument/2006/relationships/hyperlink" Target="mailto:s.giannetto@salvix.it" TargetMode="External"/><Relationship Id="rId29" Type="http://schemas.openxmlformats.org/officeDocument/2006/relationships/hyperlink" Target="mailto:monica.ramaschi@gmail.com" TargetMode="External"/><Relationship Id="rId40" Type="http://schemas.openxmlformats.org/officeDocument/2006/relationships/hyperlink" Target="mailto:s.dallepezze@blackship.it" TargetMode="External"/><Relationship Id="rId115" Type="http://schemas.openxmlformats.org/officeDocument/2006/relationships/hyperlink" Target="mailto:Roberto.Zecchinello@dag-diesel.com" TargetMode="External"/><Relationship Id="rId136" Type="http://schemas.openxmlformats.org/officeDocument/2006/relationships/hyperlink" Target="mailto:nicomatsrlit@gmail.com" TargetMode="External"/><Relationship Id="rId157" Type="http://schemas.openxmlformats.org/officeDocument/2006/relationships/hyperlink" Target="mailto:marilena.riello@studioriello.it" TargetMode="External"/><Relationship Id="rId178" Type="http://schemas.openxmlformats.org/officeDocument/2006/relationships/hyperlink" Target="mailto:gennarobodyfly@gmail.com" TargetMode="External"/><Relationship Id="rId61" Type="http://schemas.openxmlformats.org/officeDocument/2006/relationships/hyperlink" Target="mailto:ababoveandbelow@gmail.com" TargetMode="External"/><Relationship Id="rId82" Type="http://schemas.openxmlformats.org/officeDocument/2006/relationships/hyperlink" Target="mailto:alessandra.sandona@teorematoys.com" TargetMode="External"/><Relationship Id="rId199" Type="http://schemas.openxmlformats.org/officeDocument/2006/relationships/hyperlink" Target="mailto:carusosara@hotmail.it" TargetMode="External"/><Relationship Id="rId203" Type="http://schemas.openxmlformats.org/officeDocument/2006/relationships/hyperlink" Target="mailto:annalisa.dambrosio@maw.it" TargetMode="External"/><Relationship Id="rId19" Type="http://schemas.openxmlformats.org/officeDocument/2006/relationships/hyperlink" Target="mailto:Mattia.Busi@cdfoods.com" TargetMode="External"/><Relationship Id="rId224" Type="http://schemas.openxmlformats.org/officeDocument/2006/relationships/hyperlink" Target="mailto:tiscianisu@libero.it" TargetMode="External"/><Relationship Id="rId245" Type="http://schemas.openxmlformats.org/officeDocument/2006/relationships/hyperlink" Target="mailto:valentina@attilioimperiali.it" TargetMode="External"/><Relationship Id="rId30" Type="http://schemas.openxmlformats.org/officeDocument/2006/relationships/hyperlink" Target="mailto:a.tondat@mtabarbecue.com" TargetMode="External"/><Relationship Id="rId105" Type="http://schemas.openxmlformats.org/officeDocument/2006/relationships/hyperlink" Target="mailto:aryadne86@hotmail.it" TargetMode="External"/><Relationship Id="rId126" Type="http://schemas.openxmlformats.org/officeDocument/2006/relationships/hyperlink" Target="mailto:monica.brugnera@gusella-adv.com" TargetMode="External"/><Relationship Id="rId147" Type="http://schemas.openxmlformats.org/officeDocument/2006/relationships/hyperlink" Target="mailto:longo.sim@gmail.com" TargetMode="External"/><Relationship Id="rId168" Type="http://schemas.openxmlformats.org/officeDocument/2006/relationships/hyperlink" Target="mailto:a.tondat@mtabarbecue.com" TargetMode="External"/><Relationship Id="rId51" Type="http://schemas.openxmlformats.org/officeDocument/2006/relationships/hyperlink" Target="mailto:carlo@multiconsultsrl.com" TargetMode="External"/><Relationship Id="rId72" Type="http://schemas.openxmlformats.org/officeDocument/2006/relationships/hyperlink" Target="mailto:davideicardi@yahoo.it" TargetMode="External"/><Relationship Id="rId93" Type="http://schemas.openxmlformats.org/officeDocument/2006/relationships/hyperlink" Target="mailto:info@catprogetti.it" TargetMode="External"/><Relationship Id="rId189" Type="http://schemas.openxmlformats.org/officeDocument/2006/relationships/hyperlink" Target="mailto:roberta.bassani@maw.it" TargetMode="External"/><Relationship Id="rId3" Type="http://schemas.openxmlformats.org/officeDocument/2006/relationships/hyperlink" Target="mailto:andrea.colosio@redaelli.com" TargetMode="External"/><Relationship Id="rId214" Type="http://schemas.openxmlformats.org/officeDocument/2006/relationships/hyperlink" Target="mailto:d.marchetti@algorubber.it" TargetMode="External"/><Relationship Id="rId235" Type="http://schemas.openxmlformats.org/officeDocument/2006/relationships/hyperlink" Target="mailto:laura.tallarini@maw.it" TargetMode="External"/><Relationship Id="rId116" Type="http://schemas.openxmlformats.org/officeDocument/2006/relationships/hyperlink" Target="mailto:a.giannetto@salvix.it" TargetMode="External"/><Relationship Id="rId137" Type="http://schemas.openxmlformats.org/officeDocument/2006/relationships/hyperlink" Target="mailto:mauro.cheloni@gmail.com" TargetMode="External"/><Relationship Id="rId158" Type="http://schemas.openxmlformats.org/officeDocument/2006/relationships/hyperlink" Target="mailto:marcorossetto@fastwebnet.it" TargetMode="External"/><Relationship Id="rId20" Type="http://schemas.openxmlformats.org/officeDocument/2006/relationships/hyperlink" Target="mailto:serviziotecnico@ecologicanaviglio.it" TargetMode="External"/><Relationship Id="rId41" Type="http://schemas.openxmlformats.org/officeDocument/2006/relationships/hyperlink" Target="mailto:info@dawa.it" TargetMode="External"/><Relationship Id="rId62" Type="http://schemas.openxmlformats.org/officeDocument/2006/relationships/hyperlink" Target="mailto:Alessandro.Busi@cdfoods.com" TargetMode="External"/><Relationship Id="rId83" Type="http://schemas.openxmlformats.org/officeDocument/2006/relationships/hyperlink" Target="mailto:andrea.savio@autecsafety.com" TargetMode="External"/><Relationship Id="rId179" Type="http://schemas.openxmlformats.org/officeDocument/2006/relationships/hyperlink" Target="mailto:riberto140381@gmail.com" TargetMode="External"/><Relationship Id="rId190" Type="http://schemas.openxmlformats.org/officeDocument/2006/relationships/hyperlink" Target="mailto:k.bertoni@blackship.it" TargetMode="External"/><Relationship Id="rId204" Type="http://schemas.openxmlformats.org/officeDocument/2006/relationships/hyperlink" Target="mailto:davanzo.filippo@gmail.com" TargetMode="External"/><Relationship Id="rId225" Type="http://schemas.openxmlformats.org/officeDocument/2006/relationships/hyperlink" Target="mailto:orsucci.laura@gmail.com" TargetMode="External"/><Relationship Id="rId106" Type="http://schemas.openxmlformats.org/officeDocument/2006/relationships/hyperlink" Target="mailto:d.biancomomesso@blackship.it" TargetMode="External"/><Relationship Id="rId127" Type="http://schemas.openxmlformats.org/officeDocument/2006/relationships/hyperlink" Target="mailto:lucabutty@gmail.com"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Z1302"/>
  <sheetViews>
    <sheetView tabSelected="1" zoomScale="80" zoomScaleNormal="80" workbookViewId="0">
      <pane ySplit="12" topLeftCell="A434" activePane="bottomLeft" state="frozen"/>
      <selection pane="bottomLeft" activeCell="J650" sqref="J650"/>
    </sheetView>
  </sheetViews>
  <sheetFormatPr defaultColWidth="14.42578125" defaultRowHeight="15" customHeight="1" outlineLevelRow="1" outlineLevelCol="2"/>
  <cols>
    <col min="1" max="1" width="2.28515625" customWidth="1"/>
    <col min="2" max="2" width="20.7109375" customWidth="1"/>
    <col min="3" max="3" width="6.140625" customWidth="1"/>
    <col min="4" max="4" width="12" customWidth="1" outlineLevel="1"/>
    <col min="5" max="5" width="12.7109375" customWidth="1" outlineLevel="1"/>
    <col min="6" max="6" width="12.28515625" customWidth="1" outlineLevel="1"/>
    <col min="7" max="7" width="25" customWidth="1"/>
    <col min="8" max="8" width="14.7109375" customWidth="1"/>
    <col min="9" max="9" width="43.42578125" customWidth="1" outlineLevel="1"/>
    <col min="10" max="10" width="26.28515625" customWidth="1" outlineLevel="1"/>
    <col min="11" max="11" width="19.7109375" hidden="1" customWidth="1" outlineLevel="1"/>
    <col min="12" max="12" width="60.85546875" hidden="1" customWidth="1" outlineLevel="1"/>
    <col min="13" max="13" width="26.28515625" hidden="1" customWidth="1" outlineLevel="1"/>
    <col min="14" max="14" width="26" customWidth="1" outlineLevel="1"/>
    <col min="15" max="15" width="2.28515625" customWidth="1" outlineLevel="1"/>
    <col min="16" max="16" width="21.7109375" hidden="1" customWidth="1" outlineLevel="2"/>
    <col min="17" max="17" width="20.7109375" hidden="1" customWidth="1" outlineLevel="2"/>
    <col min="18" max="18" width="55.28515625" hidden="1" customWidth="1" outlineLevel="2"/>
    <col min="19" max="19" width="59.140625" hidden="1" customWidth="1" outlineLevel="2"/>
    <col min="20" max="20" width="12.7109375" hidden="1" customWidth="1" outlineLevel="2"/>
    <col min="21" max="21" width="15.42578125" hidden="1" customWidth="1" outlineLevel="2"/>
    <col min="22" max="22" width="20.42578125" hidden="1" customWidth="1" outlineLevel="2"/>
    <col min="23" max="23" width="19.42578125" hidden="1" customWidth="1" outlineLevel="2"/>
    <col min="24" max="24" width="38" hidden="1" customWidth="1" outlineLevel="2"/>
    <col min="25" max="27" width="14.5703125" hidden="1" customWidth="1" outlineLevel="2"/>
    <col min="28" max="28" width="15.5703125" hidden="1" customWidth="1" outlineLevel="2"/>
    <col min="29" max="29" width="32.42578125" hidden="1" customWidth="1" outlineLevel="2"/>
    <col min="30" max="30" width="21.5703125" customWidth="1" outlineLevel="1" collapsed="1"/>
    <col min="31" max="31" width="21.5703125" customWidth="1" outlineLevel="1"/>
    <col min="32" max="32" width="2.140625" customWidth="1"/>
    <col min="33" max="33" width="8.42578125" hidden="1" customWidth="1" outlineLevel="1"/>
    <col min="34" max="34" width="9.85546875" hidden="1" customWidth="1" outlineLevel="1"/>
    <col min="35" max="35" width="1.7109375" hidden="1" customWidth="1" outlineLevel="1"/>
    <col min="36" max="36" width="8.28515625" hidden="1" customWidth="1" outlineLevel="1"/>
    <col min="37" max="37" width="8.42578125" hidden="1" customWidth="1" outlineLevel="1"/>
    <col min="38" max="38" width="9.85546875" hidden="1" customWidth="1" outlineLevel="1"/>
    <col min="39" max="39" width="1.7109375" hidden="1" customWidth="1" outlineLevel="1"/>
    <col min="40" max="41" width="8.7109375" hidden="1" customWidth="1" outlineLevel="1"/>
    <col min="42" max="42" width="9.85546875" hidden="1" customWidth="1" outlineLevel="1"/>
    <col min="43" max="43" width="2" hidden="1" customWidth="1" outlineLevel="1"/>
    <col min="44" max="45" width="8.7109375" hidden="1" customWidth="1" outlineLevel="1"/>
    <col min="46" max="46" width="9.140625" hidden="1" customWidth="1" outlineLevel="1"/>
    <col min="47" max="47" width="1.7109375" hidden="1" customWidth="1" outlineLevel="1"/>
    <col min="48" max="50" width="11.5703125" hidden="1" customWidth="1" outlineLevel="1"/>
    <col min="51" max="51" width="1.7109375" hidden="1" customWidth="1" outlineLevel="1"/>
    <col min="52" max="52" width="9.140625" customWidth="1" collapsed="1"/>
    <col min="53" max="54" width="9.140625" customWidth="1"/>
    <col min="55" max="55" width="1.7109375" customWidth="1"/>
    <col min="56" max="58" width="9.140625" customWidth="1" outlineLevel="1"/>
    <col min="59" max="59" width="1.7109375" customWidth="1"/>
    <col min="60" max="60" width="13.5703125" customWidth="1"/>
    <col min="61" max="61" width="14" customWidth="1"/>
    <col min="62" max="62" width="13.5703125" customWidth="1"/>
    <col min="63" max="63" width="18.42578125" hidden="1" customWidth="1" outlineLevel="1"/>
    <col min="64" max="65" width="18.5703125" hidden="1" customWidth="1" outlineLevel="1"/>
    <col min="66" max="66" width="18.5703125" customWidth="1" collapsed="1"/>
    <col min="67" max="67" width="18.5703125" customWidth="1"/>
    <col min="68" max="68" width="20.85546875" customWidth="1"/>
    <col min="69" max="69" width="14.28515625" customWidth="1"/>
    <col min="70" max="70" width="18.42578125" hidden="1" customWidth="1" outlineLevel="1"/>
    <col min="71" max="71" width="15.28515625" hidden="1" customWidth="1" outlineLevel="1"/>
    <col min="72" max="72" width="16.85546875" hidden="1" customWidth="1" outlineLevel="1"/>
    <col min="73" max="73" width="15.28515625" customWidth="1" collapsed="1"/>
    <col min="74" max="74" width="15.28515625" customWidth="1"/>
    <col min="75" max="75" width="17.28515625" customWidth="1"/>
    <col min="76" max="76" width="17.5703125" customWidth="1"/>
    <col min="77" max="77" width="14.85546875" customWidth="1"/>
    <col min="78" max="78" width="18.42578125" hidden="1" customWidth="1" outlineLevel="1"/>
    <col min="79" max="80" width="15.28515625" hidden="1" customWidth="1" outlineLevel="1"/>
    <col min="81" max="81" width="15.28515625" customWidth="1" collapsed="1"/>
    <col min="82" max="83" width="15.28515625" customWidth="1"/>
    <col min="84" max="84" width="14.7109375" customWidth="1" outlineLevel="1"/>
    <col min="85" max="85" width="10.7109375" customWidth="1" outlineLevel="1"/>
    <col min="86" max="86" width="13.42578125" customWidth="1" outlineLevel="1"/>
    <col min="87" max="87" width="16" customWidth="1" outlineLevel="1"/>
    <col min="88" max="88" width="14.7109375" customWidth="1" outlineLevel="1"/>
    <col min="89" max="89" width="13.7109375" customWidth="1" outlineLevel="1"/>
    <col min="90" max="90" width="15.85546875" customWidth="1" outlineLevel="1"/>
    <col min="91" max="91" width="16" customWidth="1" outlineLevel="1"/>
    <col min="92" max="92" width="12.85546875" customWidth="1" outlineLevel="1"/>
    <col min="93" max="93" width="12.140625" customWidth="1" outlineLevel="1"/>
    <col min="94" max="95" width="10.7109375" customWidth="1" outlineLevel="1"/>
    <col min="96" max="96" width="12.140625" customWidth="1" outlineLevel="1"/>
    <col min="97" max="97" width="10.7109375" customWidth="1" outlineLevel="1"/>
    <col min="98" max="98" width="12.7109375" customWidth="1" outlineLevel="1"/>
    <col min="99" max="99" width="12.28515625" customWidth="1"/>
    <col min="100" max="100" width="39.7109375" customWidth="1" outlineLevel="1"/>
    <col min="101" max="101" width="26.28515625" customWidth="1" outlineLevel="1"/>
    <col min="102" max="102" width="24.42578125" customWidth="1" outlineLevel="1"/>
    <col min="103" max="103" width="19.7109375" customWidth="1" outlineLevel="1"/>
    <col min="104" max="104" width="15.7109375" customWidth="1" outlineLevel="1"/>
    <col min="105" max="105" width="47.7109375" customWidth="1"/>
    <col min="106" max="106" width="29.140625" customWidth="1"/>
    <col min="107" max="107" width="30.7109375" customWidth="1"/>
    <col min="108" max="108" width="20.140625" hidden="1" customWidth="1" outlineLevel="2"/>
    <col min="109" max="109" width="15.28515625" hidden="1" customWidth="1" outlineLevel="2"/>
    <col min="110" max="110" width="18.140625" hidden="1" customWidth="1" outlineLevel="2"/>
    <col min="111" max="111" width="14.140625" hidden="1" customWidth="1" outlineLevel="2"/>
    <col min="112" max="112" width="16.140625" hidden="1" customWidth="1" outlineLevel="2"/>
    <col min="113" max="113" width="16.28515625" customWidth="1" outlineLevel="1" collapsed="1"/>
    <col min="114" max="114" width="16.140625" customWidth="1" outlineLevel="1"/>
    <col min="115" max="115" width="14.7109375" customWidth="1"/>
    <col min="116" max="116" width="15.5703125" customWidth="1"/>
  </cols>
  <sheetData>
    <row r="1" spans="1:130" ht="27.75" hidden="1" customHeight="1" outlineLevel="1">
      <c r="A1" s="1"/>
      <c r="B1" s="1784" t="s">
        <v>0</v>
      </c>
      <c r="C1" s="1783"/>
      <c r="D1" s="2"/>
      <c r="E1" s="3"/>
      <c r="F1" s="2"/>
      <c r="G1" s="2" t="s">
        <v>1</v>
      </c>
      <c r="H1" s="2"/>
      <c r="I1" s="2"/>
      <c r="J1" s="3"/>
      <c r="K1" s="2"/>
      <c r="L1" s="2"/>
      <c r="M1" s="2"/>
      <c r="AD1" s="4"/>
      <c r="AE1" s="5"/>
      <c r="BM1" s="6"/>
      <c r="BN1" s="7"/>
      <c r="BO1" s="7"/>
      <c r="BT1" s="6"/>
      <c r="BU1" s="6"/>
      <c r="BV1" s="6"/>
      <c r="BW1" s="8"/>
      <c r="BX1" s="9"/>
      <c r="CB1" s="6"/>
      <c r="CC1" s="10"/>
      <c r="CD1" s="10"/>
      <c r="CE1" s="8"/>
      <c r="CU1" s="4"/>
      <c r="CY1" s="11"/>
      <c r="DA1" s="12"/>
      <c r="DB1" s="13"/>
      <c r="DC1" s="14"/>
      <c r="DH1" s="15"/>
      <c r="DM1" s="4"/>
    </row>
    <row r="2" spans="1:130" ht="15" hidden="1" customHeight="1" outlineLevel="1">
      <c r="B2" s="16"/>
      <c r="C2" s="17"/>
      <c r="D2" s="1784" t="s">
        <v>2</v>
      </c>
      <c r="E2" s="1783"/>
      <c r="F2" s="18"/>
      <c r="G2" s="19"/>
      <c r="H2" s="1" t="s">
        <v>3</v>
      </c>
      <c r="I2" s="12"/>
      <c r="J2" s="20"/>
      <c r="K2" s="21"/>
      <c r="L2" s="22"/>
      <c r="M2" s="5"/>
      <c r="AD2" s="4"/>
      <c r="AE2" s="5"/>
      <c r="BM2" s="6"/>
      <c r="BN2" s="7"/>
      <c r="BO2" s="7"/>
      <c r="BT2" s="6"/>
      <c r="BU2" s="6"/>
      <c r="BV2" s="6"/>
      <c r="BW2" s="8"/>
      <c r="BX2" s="9"/>
      <c r="CB2" s="6"/>
      <c r="CC2" s="10"/>
      <c r="CD2" s="10"/>
      <c r="CE2" s="8"/>
      <c r="CU2" s="4"/>
      <c r="CY2" s="11"/>
      <c r="DA2" s="12"/>
      <c r="DB2" s="13"/>
      <c r="DC2" s="14"/>
      <c r="DH2" s="15"/>
      <c r="DM2" s="4"/>
    </row>
    <row r="3" spans="1:130" ht="15" hidden="1" customHeight="1" outlineLevel="1">
      <c r="B3" s="23"/>
      <c r="C3" s="17"/>
      <c r="D3" s="1782" t="s">
        <v>4</v>
      </c>
      <c r="E3" s="1783"/>
      <c r="F3" s="18"/>
      <c r="G3" s="24"/>
      <c r="H3" s="1" t="s">
        <v>5</v>
      </c>
      <c r="J3" s="25"/>
      <c r="L3" s="22"/>
      <c r="M3" s="5"/>
      <c r="AD3" s="4"/>
      <c r="AE3" s="5"/>
      <c r="BM3" s="6"/>
      <c r="BN3" s="7"/>
      <c r="BO3" s="7"/>
      <c r="BT3" s="6"/>
      <c r="BU3" s="6"/>
      <c r="BV3" s="6"/>
      <c r="BW3" s="8"/>
      <c r="BX3" s="9"/>
      <c r="CB3" s="6"/>
      <c r="CC3" s="10"/>
      <c r="CD3" s="10"/>
      <c r="CE3" s="8"/>
      <c r="CU3" s="4"/>
      <c r="CY3" s="11"/>
      <c r="DA3" s="12"/>
      <c r="DB3" s="13"/>
      <c r="DC3" s="14"/>
      <c r="DH3" s="15"/>
      <c r="DM3" s="4"/>
    </row>
    <row r="4" spans="1:130" ht="15" hidden="1" customHeight="1" outlineLevel="1">
      <c r="B4" s="26"/>
      <c r="C4" s="17"/>
      <c r="D4" s="1782" t="s">
        <v>6</v>
      </c>
      <c r="E4" s="1783"/>
      <c r="F4" s="18"/>
      <c r="G4" s="27"/>
      <c r="H4" s="1" t="s">
        <v>7</v>
      </c>
      <c r="I4" s="12"/>
      <c r="J4" s="20"/>
      <c r="K4" s="21"/>
      <c r="L4" s="22"/>
      <c r="M4" s="5"/>
      <c r="AD4" s="4"/>
      <c r="AE4" s="5"/>
      <c r="BM4" s="6"/>
      <c r="BN4" s="7"/>
      <c r="BO4" s="7"/>
      <c r="BT4" s="6"/>
      <c r="BU4" s="6"/>
      <c r="BV4" s="6"/>
      <c r="BW4" s="8"/>
      <c r="BX4" s="9"/>
      <c r="CB4" s="6"/>
      <c r="CC4" s="10"/>
      <c r="CD4" s="10"/>
      <c r="CE4" s="8"/>
      <c r="CU4" s="4"/>
      <c r="CY4" s="11"/>
      <c r="DA4" s="12"/>
      <c r="DB4" s="13"/>
      <c r="DC4" s="14"/>
      <c r="DH4" s="15"/>
      <c r="DM4" s="4"/>
    </row>
    <row r="5" spans="1:130" ht="15" hidden="1" customHeight="1" outlineLevel="1">
      <c r="B5" s="28"/>
      <c r="C5" s="17"/>
      <c r="D5" s="1784" t="s">
        <v>8</v>
      </c>
      <c r="E5" s="1783"/>
      <c r="F5" s="1783"/>
      <c r="G5" s="1783"/>
      <c r="H5" s="1783"/>
      <c r="J5" s="20"/>
      <c r="K5" s="29"/>
      <c r="L5" s="22"/>
      <c r="M5" s="5"/>
      <c r="AD5" s="4"/>
      <c r="AE5" s="5"/>
      <c r="BH5" s="30" t="s">
        <v>9</v>
      </c>
      <c r="BI5" s="31"/>
      <c r="BJ5" s="31"/>
      <c r="BK5" s="31"/>
      <c r="BL5" s="31"/>
      <c r="BM5" s="32"/>
      <c r="BN5" s="7"/>
      <c r="BO5" s="7"/>
      <c r="BT5" s="6"/>
      <c r="BU5" s="6"/>
      <c r="BV5" s="6"/>
      <c r="BW5" s="8"/>
      <c r="BX5" s="9"/>
      <c r="CB5" s="6"/>
      <c r="CC5" s="10"/>
      <c r="CD5" s="10"/>
      <c r="CE5" s="8"/>
      <c r="CU5" s="4"/>
      <c r="CY5" s="11"/>
      <c r="DA5" s="12"/>
      <c r="DB5" s="13"/>
      <c r="DC5" s="14"/>
      <c r="DH5" s="15"/>
      <c r="DM5" s="4"/>
    </row>
    <row r="6" spans="1:130" ht="15" hidden="1" customHeight="1" outlineLevel="1">
      <c r="B6" s="33"/>
      <c r="C6" s="17"/>
      <c r="D6" s="1782" t="s">
        <v>10</v>
      </c>
      <c r="E6" s="1783"/>
      <c r="F6" s="1783"/>
      <c r="J6" s="20"/>
      <c r="K6" s="29"/>
      <c r="L6" s="22"/>
      <c r="M6" s="5"/>
      <c r="AD6" s="4"/>
      <c r="AE6" s="5"/>
      <c r="BH6" s="30" t="s">
        <v>11</v>
      </c>
      <c r="BI6" s="31"/>
      <c r="BJ6" s="31"/>
      <c r="BK6" s="31"/>
      <c r="BL6" s="31"/>
      <c r="BM6" s="32"/>
      <c r="BN6" s="7"/>
      <c r="BO6" s="7"/>
      <c r="BT6" s="6"/>
      <c r="BU6" s="6"/>
      <c r="BV6" s="6"/>
      <c r="BW6" s="8"/>
      <c r="BX6" s="9"/>
      <c r="CB6" s="6"/>
      <c r="CC6" s="10"/>
      <c r="CD6" s="10"/>
      <c r="CE6" s="8"/>
      <c r="CU6" s="4"/>
      <c r="CY6" s="11"/>
      <c r="DA6" s="12"/>
      <c r="DB6" s="13"/>
      <c r="DC6" s="14"/>
      <c r="DH6" s="15"/>
      <c r="DM6" s="4"/>
    </row>
    <row r="7" spans="1:130" ht="15" hidden="1" customHeight="1" outlineLevel="1">
      <c r="B7" s="34"/>
      <c r="C7" s="17"/>
      <c r="D7" s="1782" t="s">
        <v>12</v>
      </c>
      <c r="E7" s="1783"/>
      <c r="F7" s="1783"/>
      <c r="G7" s="1783"/>
      <c r="H7" s="1783"/>
      <c r="J7" s="20"/>
      <c r="K7" s="29"/>
      <c r="L7" s="22"/>
      <c r="M7" s="5"/>
      <c r="AD7" s="4"/>
      <c r="AE7" s="5"/>
      <c r="BH7" s="30" t="s">
        <v>13</v>
      </c>
      <c r="BI7" s="31"/>
      <c r="BJ7" s="31"/>
      <c r="BK7" s="31"/>
      <c r="BL7" s="31"/>
      <c r="BM7" s="32"/>
      <c r="BN7" s="7"/>
      <c r="BO7" s="7"/>
      <c r="BT7" s="6"/>
      <c r="BU7" s="6"/>
      <c r="BV7" s="6"/>
      <c r="BW7" s="8"/>
      <c r="BX7" s="9"/>
      <c r="CB7" s="6"/>
      <c r="CC7" s="10"/>
      <c r="CD7" s="10"/>
      <c r="CE7" s="8"/>
      <c r="CU7" s="4"/>
      <c r="CY7" s="11"/>
      <c r="DA7" s="12"/>
      <c r="DB7" s="13"/>
      <c r="DC7" s="14"/>
      <c r="DH7" s="15"/>
      <c r="DM7" s="4"/>
    </row>
    <row r="8" spans="1:130" ht="15" hidden="1" customHeight="1" outlineLevel="1">
      <c r="B8" s="10"/>
      <c r="C8" s="17"/>
      <c r="D8" s="1782"/>
      <c r="E8" s="1783"/>
      <c r="F8" s="1783"/>
      <c r="G8" s="1783"/>
      <c r="H8" s="1783"/>
      <c r="J8" s="20"/>
      <c r="K8" s="29"/>
      <c r="L8" s="22"/>
      <c r="M8" s="5"/>
      <c r="AD8" s="4"/>
      <c r="AE8" s="5"/>
      <c r="BM8" s="6"/>
      <c r="BN8" s="7"/>
      <c r="BO8" s="7"/>
      <c r="BT8" s="6"/>
      <c r="BU8" s="6"/>
      <c r="BV8" s="6"/>
      <c r="BW8" s="8"/>
      <c r="BX8" s="9"/>
      <c r="CB8" s="6"/>
      <c r="CC8" s="10"/>
      <c r="CD8" s="10"/>
      <c r="CE8" s="8"/>
      <c r="CU8" s="4"/>
      <c r="CY8" s="11"/>
      <c r="DA8" s="12"/>
      <c r="DB8" s="13"/>
      <c r="DC8" s="14"/>
      <c r="DH8" s="15"/>
      <c r="DM8" s="4"/>
    </row>
    <row r="9" spans="1:130" ht="15" hidden="1" customHeight="1" outlineLevel="1">
      <c r="B9" s="10"/>
      <c r="C9" s="17"/>
      <c r="E9" s="25"/>
      <c r="F9" s="35"/>
      <c r="J9" s="20"/>
      <c r="K9" s="29"/>
      <c r="L9" s="22"/>
      <c r="M9" s="5"/>
      <c r="AD9" s="4"/>
      <c r="AE9" s="5"/>
      <c r="BM9" s="6"/>
      <c r="BN9" s="7"/>
      <c r="BO9" s="7"/>
      <c r="BT9" s="6"/>
      <c r="BU9" s="6"/>
      <c r="BV9" s="6"/>
      <c r="BW9" s="8"/>
      <c r="BX9" s="9"/>
      <c r="CB9" s="6"/>
      <c r="CC9" s="10"/>
      <c r="CD9" s="10"/>
      <c r="CE9" s="8"/>
      <c r="CU9" s="4"/>
      <c r="CY9" s="11"/>
      <c r="DA9" s="12"/>
      <c r="DB9" s="13"/>
      <c r="DC9" s="14"/>
      <c r="DH9" s="15"/>
      <c r="DM9" s="4"/>
    </row>
    <row r="10" spans="1:130" ht="15" hidden="1" customHeight="1" outlineLevel="1">
      <c r="A10" s="1782"/>
      <c r="B10" s="1783"/>
      <c r="C10" s="1783"/>
      <c r="D10" s="1783"/>
      <c r="E10" s="1783"/>
      <c r="F10" s="1783"/>
      <c r="G10" s="1783"/>
      <c r="H10" s="1783"/>
      <c r="J10" s="20"/>
      <c r="K10" s="29"/>
      <c r="L10" s="22"/>
      <c r="M10" s="5"/>
      <c r="AD10" s="4"/>
      <c r="AE10" s="5"/>
      <c r="BM10" s="6"/>
      <c r="BN10" s="7"/>
      <c r="BO10" s="7"/>
      <c r="BT10" s="6"/>
      <c r="BU10" s="6"/>
      <c r="BV10" s="6"/>
      <c r="BW10" s="8"/>
      <c r="BX10" s="9"/>
      <c r="CB10" s="6"/>
      <c r="CC10" s="10"/>
      <c r="CD10" s="10"/>
      <c r="CE10" s="8"/>
      <c r="CU10" s="4"/>
      <c r="CY10" s="11"/>
      <c r="DA10" s="12"/>
      <c r="DB10" s="13"/>
      <c r="DC10" s="14"/>
      <c r="DH10" s="15"/>
      <c r="DM10" s="4"/>
    </row>
    <row r="11" spans="1:130" ht="15" customHeight="1" collapsed="1">
      <c r="B11" s="10"/>
      <c r="C11" s="17"/>
      <c r="D11" s="35">
        <f t="shared" ref="D11:F11" si="0">SUM(D13:D489)</f>
        <v>175</v>
      </c>
      <c r="E11" s="35">
        <f t="shared" si="0"/>
        <v>188</v>
      </c>
      <c r="F11" s="35">
        <f t="shared" si="0"/>
        <v>0</v>
      </c>
      <c r="J11" s="20"/>
      <c r="K11" s="29"/>
      <c r="L11" s="22"/>
      <c r="M11" s="5"/>
      <c r="AD11" s="4"/>
      <c r="AE11" s="5"/>
      <c r="BM11" s="6"/>
      <c r="BN11" s="7"/>
      <c r="BO11" s="7"/>
      <c r="BT11" s="6"/>
      <c r="BU11" s="6"/>
      <c r="BV11" s="6"/>
      <c r="BW11" s="8"/>
      <c r="BX11" s="9"/>
      <c r="CB11" s="6"/>
      <c r="CC11" s="10"/>
      <c r="CD11" s="10"/>
      <c r="CE11" s="8"/>
      <c r="CU11" s="4"/>
      <c r="CY11" s="11"/>
      <c r="DA11" s="12"/>
      <c r="DB11" s="13"/>
      <c r="DC11" s="36"/>
      <c r="DH11" s="37">
        <f>SUM(DH13:DH482)</f>
        <v>0</v>
      </c>
      <c r="DM11" s="4">
        <f>SUM(DM13:DM489)</f>
        <v>194</v>
      </c>
    </row>
    <row r="12" spans="1:130" ht="96" customHeight="1">
      <c r="A12" s="38"/>
      <c r="B12" s="39" t="s">
        <v>14</v>
      </c>
      <c r="C12" s="40" t="s">
        <v>15</v>
      </c>
      <c r="D12" s="40" t="s">
        <v>16</v>
      </c>
      <c r="E12" s="40" t="s">
        <v>17</v>
      </c>
      <c r="F12" s="40" t="s">
        <v>18</v>
      </c>
      <c r="G12" s="41" t="s">
        <v>19</v>
      </c>
      <c r="H12" s="41" t="s">
        <v>20</v>
      </c>
      <c r="I12" s="41" t="s">
        <v>21</v>
      </c>
      <c r="J12" s="42" t="s">
        <v>22</v>
      </c>
      <c r="K12" s="43" t="s">
        <v>23</v>
      </c>
      <c r="L12" s="41" t="s">
        <v>24</v>
      </c>
      <c r="M12" s="41" t="s">
        <v>25</v>
      </c>
      <c r="N12" s="44" t="s">
        <v>26</v>
      </c>
      <c r="O12" s="45"/>
      <c r="P12" s="46" t="s">
        <v>27</v>
      </c>
      <c r="Q12" s="46" t="s">
        <v>28</v>
      </c>
      <c r="R12" s="46" t="s">
        <v>29</v>
      </c>
      <c r="S12" s="46" t="s">
        <v>30</v>
      </c>
      <c r="T12" s="46" t="s">
        <v>31</v>
      </c>
      <c r="U12" s="46" t="s">
        <v>32</v>
      </c>
      <c r="V12" s="46" t="s">
        <v>33</v>
      </c>
      <c r="W12" s="46" t="s">
        <v>34</v>
      </c>
      <c r="X12" s="46" t="s">
        <v>35</v>
      </c>
      <c r="Y12" s="47" t="s">
        <v>36</v>
      </c>
      <c r="Z12" s="46" t="s">
        <v>37</v>
      </c>
      <c r="AA12" s="46" t="s">
        <v>38</v>
      </c>
      <c r="AB12" s="46" t="s">
        <v>39</v>
      </c>
      <c r="AC12" s="46" t="s">
        <v>40</v>
      </c>
      <c r="AD12" s="46" t="s">
        <v>41</v>
      </c>
      <c r="AE12" s="48" t="s">
        <v>42</v>
      </c>
      <c r="AF12" s="49"/>
      <c r="AG12" s="40" t="s">
        <v>43</v>
      </c>
      <c r="AH12" s="40" t="s">
        <v>44</v>
      </c>
      <c r="AI12" s="49"/>
      <c r="AJ12" s="40" t="s">
        <v>45</v>
      </c>
      <c r="AK12" s="40" t="s">
        <v>46</v>
      </c>
      <c r="AL12" s="40" t="s">
        <v>47</v>
      </c>
      <c r="AM12" s="49"/>
      <c r="AN12" s="50" t="s">
        <v>48</v>
      </c>
      <c r="AO12" s="50" t="s">
        <v>49</v>
      </c>
      <c r="AP12" s="50" t="s">
        <v>50</v>
      </c>
      <c r="AQ12" s="49"/>
      <c r="AR12" s="51" t="s">
        <v>51</v>
      </c>
      <c r="AS12" s="51" t="s">
        <v>52</v>
      </c>
      <c r="AT12" s="51" t="s">
        <v>53</v>
      </c>
      <c r="AU12" s="49"/>
      <c r="AV12" s="52" t="s">
        <v>54</v>
      </c>
      <c r="AW12" s="52" t="s">
        <v>55</v>
      </c>
      <c r="AX12" s="52" t="s">
        <v>56</v>
      </c>
      <c r="AY12" s="49"/>
      <c r="AZ12" s="53" t="s">
        <v>57</v>
      </c>
      <c r="BA12" s="53" t="s">
        <v>58</v>
      </c>
      <c r="BB12" s="53" t="s">
        <v>59</v>
      </c>
      <c r="BC12" s="49"/>
      <c r="BD12" s="54" t="s">
        <v>60</v>
      </c>
      <c r="BE12" s="54" t="s">
        <v>61</v>
      </c>
      <c r="BF12" s="54" t="s">
        <v>62</v>
      </c>
      <c r="BG12" s="49"/>
      <c r="BH12" s="40" t="s">
        <v>63</v>
      </c>
      <c r="BI12" s="40" t="s">
        <v>64</v>
      </c>
      <c r="BJ12" s="55" t="s">
        <v>65</v>
      </c>
      <c r="BK12" s="56" t="s">
        <v>66</v>
      </c>
      <c r="BL12" s="57" t="s">
        <v>67</v>
      </c>
      <c r="BM12" s="58" t="s">
        <v>68</v>
      </c>
      <c r="BN12" s="59" t="s">
        <v>69</v>
      </c>
      <c r="BO12" s="54" t="s">
        <v>70</v>
      </c>
      <c r="BP12" s="60" t="s">
        <v>71</v>
      </c>
      <c r="BQ12" s="40" t="s">
        <v>72</v>
      </c>
      <c r="BR12" s="56" t="s">
        <v>73</v>
      </c>
      <c r="BS12" s="61" t="s">
        <v>73</v>
      </c>
      <c r="BT12" s="52" t="s">
        <v>73</v>
      </c>
      <c r="BU12" s="53" t="s">
        <v>74</v>
      </c>
      <c r="BV12" s="54" t="s">
        <v>75</v>
      </c>
      <c r="BW12" s="40" t="s">
        <v>76</v>
      </c>
      <c r="BX12" s="48" t="s">
        <v>77</v>
      </c>
      <c r="BY12" s="40" t="s">
        <v>78</v>
      </c>
      <c r="BZ12" s="56" t="s">
        <v>79</v>
      </c>
      <c r="CA12" s="61" t="s">
        <v>80</v>
      </c>
      <c r="CB12" s="62" t="s">
        <v>80</v>
      </c>
      <c r="CC12" s="63" t="s">
        <v>81</v>
      </c>
      <c r="CD12" s="64" t="s">
        <v>81</v>
      </c>
      <c r="CE12" s="40" t="s">
        <v>82</v>
      </c>
      <c r="CF12" s="40" t="s">
        <v>83</v>
      </c>
      <c r="CG12" s="40" t="s">
        <v>84</v>
      </c>
      <c r="CH12" s="40" t="s">
        <v>85</v>
      </c>
      <c r="CI12" s="40" t="s">
        <v>86</v>
      </c>
      <c r="CJ12" s="40" t="s">
        <v>84</v>
      </c>
      <c r="CK12" s="40" t="s">
        <v>85</v>
      </c>
      <c r="CL12" s="40" t="s">
        <v>87</v>
      </c>
      <c r="CM12" s="40" t="s">
        <v>84</v>
      </c>
      <c r="CN12" s="40" t="s">
        <v>85</v>
      </c>
      <c r="CO12" s="40" t="s">
        <v>88</v>
      </c>
      <c r="CP12" s="40" t="s">
        <v>84</v>
      </c>
      <c r="CQ12" s="40" t="s">
        <v>85</v>
      </c>
      <c r="CR12" s="40" t="s">
        <v>89</v>
      </c>
      <c r="CS12" s="40" t="s">
        <v>84</v>
      </c>
      <c r="CT12" s="40" t="s">
        <v>85</v>
      </c>
      <c r="CU12" s="65" t="s">
        <v>90</v>
      </c>
      <c r="CV12" s="40" t="s">
        <v>91</v>
      </c>
      <c r="CW12" s="66" t="s">
        <v>92</v>
      </c>
      <c r="CX12" s="67" t="s">
        <v>93</v>
      </c>
      <c r="CY12" s="40" t="s">
        <v>94</v>
      </c>
      <c r="CZ12" s="40" t="s">
        <v>95</v>
      </c>
      <c r="DA12" s="68" t="s">
        <v>96</v>
      </c>
      <c r="DB12" s="68" t="s">
        <v>97</v>
      </c>
      <c r="DC12" s="68" t="s">
        <v>98</v>
      </c>
      <c r="DD12" s="69" t="s">
        <v>71</v>
      </c>
      <c r="DE12" s="70" t="s">
        <v>99</v>
      </c>
      <c r="DF12" s="71" t="s">
        <v>100</v>
      </c>
      <c r="DG12" s="69" t="s">
        <v>101</v>
      </c>
      <c r="DH12" s="69" t="s">
        <v>102</v>
      </c>
      <c r="DI12" s="72" t="s">
        <v>103</v>
      </c>
      <c r="DJ12" s="73" t="s">
        <v>104</v>
      </c>
      <c r="DK12" s="74" t="s">
        <v>105</v>
      </c>
      <c r="DL12" s="74" t="s">
        <v>106</v>
      </c>
      <c r="DM12" s="18" t="s">
        <v>107</v>
      </c>
      <c r="DN12" s="6"/>
      <c r="DO12" s="6"/>
      <c r="DP12" s="6"/>
      <c r="DQ12" s="6"/>
      <c r="DR12" s="6"/>
      <c r="DS12" s="6"/>
      <c r="DT12" s="6"/>
      <c r="DU12" s="6"/>
      <c r="DV12" s="6"/>
      <c r="DW12" s="6"/>
      <c r="DX12" s="6"/>
      <c r="DY12" s="6"/>
      <c r="DZ12" s="6"/>
    </row>
    <row r="13" spans="1:130" ht="34.5" hidden="1" customHeight="1">
      <c r="A13" s="3"/>
      <c r="B13" s="75" t="s">
        <v>108</v>
      </c>
      <c r="C13" s="75"/>
      <c r="D13" s="75">
        <v>1</v>
      </c>
      <c r="E13" s="76">
        <v>1</v>
      </c>
      <c r="F13" s="77"/>
      <c r="G13" s="78" t="s">
        <v>109</v>
      </c>
      <c r="H13" s="79" t="s">
        <v>110</v>
      </c>
      <c r="I13" s="80" t="s">
        <v>111</v>
      </c>
      <c r="J13" s="75" t="str">
        <f>CONCATENATE(G13," ",H13)</f>
        <v>Ada Garombo</v>
      </c>
      <c r="K13" s="81">
        <v>3391489657</v>
      </c>
      <c r="L13" s="82"/>
      <c r="M13" s="83" t="s">
        <v>112</v>
      </c>
      <c r="N13" s="84" t="s">
        <v>113</v>
      </c>
      <c r="O13" s="85"/>
      <c r="P13" s="86"/>
      <c r="Q13" s="86"/>
      <c r="R13" s="86"/>
      <c r="S13" s="86"/>
      <c r="T13" s="86"/>
      <c r="U13" s="86"/>
      <c r="V13" s="86"/>
      <c r="W13" s="86"/>
      <c r="X13" s="86"/>
      <c r="Y13" s="87"/>
      <c r="Z13" s="86"/>
      <c r="AA13" s="86"/>
      <c r="AB13" s="86"/>
      <c r="AC13" s="86"/>
      <c r="AD13" s="86" t="s">
        <v>114</v>
      </c>
      <c r="AE13" s="88">
        <f>L13</f>
        <v>0</v>
      </c>
      <c r="AF13" s="89"/>
      <c r="AG13" s="75"/>
      <c r="AH13" s="75"/>
      <c r="AI13" s="89"/>
      <c r="AJ13" s="75"/>
      <c r="AK13" s="75"/>
      <c r="AL13" s="75"/>
      <c r="AM13" s="89"/>
      <c r="AN13" s="90"/>
      <c r="AO13" s="90"/>
      <c r="AP13" s="90"/>
      <c r="AQ13" s="89"/>
      <c r="AR13" s="75"/>
      <c r="AS13" s="75"/>
      <c r="AT13" s="75"/>
      <c r="AU13" s="89"/>
      <c r="AV13" s="75" t="s">
        <v>115</v>
      </c>
      <c r="AW13" s="75" t="s">
        <v>115</v>
      </c>
      <c r="AX13" s="75" t="s">
        <v>115</v>
      </c>
      <c r="AY13" s="89"/>
      <c r="AZ13" s="75" t="s">
        <v>116</v>
      </c>
      <c r="BA13" s="91" t="s">
        <v>116</v>
      </c>
      <c r="BB13" s="91" t="s">
        <v>116</v>
      </c>
      <c r="BC13" s="89"/>
      <c r="BD13" s="75"/>
      <c r="BE13" s="75"/>
      <c r="BF13" s="75"/>
      <c r="BG13" s="89"/>
      <c r="BH13" s="92"/>
      <c r="BI13" s="92"/>
      <c r="BJ13" s="92"/>
      <c r="BK13" s="93"/>
      <c r="BL13" s="94"/>
      <c r="BM13" s="95">
        <v>2997</v>
      </c>
      <c r="BN13" s="96"/>
      <c r="BO13" s="97"/>
      <c r="BP13" s="80" t="s">
        <v>117</v>
      </c>
      <c r="BQ13" s="98">
        <v>0</v>
      </c>
      <c r="BR13" s="99"/>
      <c r="BS13" s="100"/>
      <c r="BT13" s="101">
        <f>BM13*BQ13</f>
        <v>0</v>
      </c>
      <c r="BU13" s="102">
        <f>BN13*BQ13</f>
        <v>0</v>
      </c>
      <c r="BV13" s="103">
        <f>BO13*BQ13</f>
        <v>0</v>
      </c>
      <c r="BW13" s="104" t="s">
        <v>118</v>
      </c>
      <c r="BX13" s="105" t="s">
        <v>119</v>
      </c>
      <c r="BY13" s="98">
        <v>0.05</v>
      </c>
      <c r="BZ13" s="99"/>
      <c r="CA13" s="100"/>
      <c r="CB13" s="101">
        <f>BM13*BY13</f>
        <v>149.85</v>
      </c>
      <c r="CC13" s="106">
        <f>BN13*BY13</f>
        <v>0</v>
      </c>
      <c r="CD13" s="107">
        <f>BO13*BY13</f>
        <v>0</v>
      </c>
      <c r="CE13" s="80" t="s">
        <v>120</v>
      </c>
      <c r="CF13" s="108"/>
      <c r="CG13" s="109"/>
      <c r="CH13" s="110"/>
      <c r="CI13" s="108"/>
      <c r="CJ13" s="109"/>
      <c r="CK13" s="111"/>
      <c r="CL13" s="111"/>
      <c r="CM13" s="109"/>
      <c r="CN13" s="111"/>
      <c r="CO13" s="111"/>
      <c r="CP13" s="111"/>
      <c r="CQ13" s="111"/>
      <c r="CR13" s="111"/>
      <c r="CS13" s="111"/>
      <c r="CT13" s="111"/>
      <c r="CU13" s="90">
        <v>1</v>
      </c>
      <c r="CV13" s="112" t="s">
        <v>121</v>
      </c>
      <c r="CW13" s="112"/>
      <c r="CX13" s="113"/>
      <c r="CY13" s="90" t="s">
        <v>122</v>
      </c>
      <c r="CZ13" s="90"/>
      <c r="DA13" s="114" t="s">
        <v>123</v>
      </c>
      <c r="DB13" s="115" t="s">
        <v>124</v>
      </c>
      <c r="DC13" s="116" t="s">
        <v>125</v>
      </c>
      <c r="DD13" s="116" t="str">
        <f>BP13</f>
        <v>blackship</v>
      </c>
      <c r="DE13" s="117">
        <f>IF(OR(D13&gt;0),IF(BJ13=0,BN13*BQ13,0))</f>
        <v>0</v>
      </c>
      <c r="DF13" s="117">
        <f>IF(OR(D13&gt;0),IF(BJ13=0,BN13*BY13,0))</f>
        <v>0</v>
      </c>
      <c r="DG13" s="118" t="str">
        <f>BX13</f>
        <v>Raffaella</v>
      </c>
      <c r="DH13" s="119"/>
      <c r="DI13" s="120" t="s">
        <v>126</v>
      </c>
      <c r="DJ13" s="120"/>
      <c r="DK13" s="121"/>
      <c r="DL13" s="121"/>
      <c r="DM13" s="122">
        <v>1</v>
      </c>
      <c r="DN13" s="6"/>
      <c r="DO13" s="6"/>
      <c r="DP13" s="6"/>
      <c r="DQ13" s="6"/>
      <c r="DR13" s="6"/>
      <c r="DS13" s="6"/>
      <c r="DT13" s="6"/>
      <c r="DU13" s="6"/>
      <c r="DV13" s="6"/>
      <c r="DW13" s="6"/>
      <c r="DX13" s="6"/>
      <c r="DY13" s="6"/>
      <c r="DZ13" s="6"/>
    </row>
    <row r="14" spans="1:130" ht="34.5" hidden="1" customHeight="1">
      <c r="A14" s="228"/>
      <c r="B14" s="75" t="s">
        <v>1359</v>
      </c>
      <c r="C14" s="90"/>
      <c r="D14" s="75">
        <v>1</v>
      </c>
      <c r="E14" s="76">
        <v>1</v>
      </c>
      <c r="F14" s="75"/>
      <c r="G14" s="1813" t="s">
        <v>135</v>
      </c>
      <c r="H14" s="400" t="s">
        <v>1403</v>
      </c>
      <c r="I14" s="113" t="s">
        <v>1404</v>
      </c>
      <c r="J14" s="75" t="str">
        <f>CONCATENATE(G14," ",H14)</f>
        <v>Alessandro Bandiera</v>
      </c>
      <c r="K14" s="81">
        <v>3924954208</v>
      </c>
      <c r="L14" s="1861"/>
      <c r="M14" s="1885" t="s">
        <v>1405</v>
      </c>
      <c r="N14" s="84" t="s">
        <v>1406</v>
      </c>
      <c r="O14" s="1923"/>
      <c r="P14" s="160"/>
      <c r="Q14" s="160"/>
      <c r="R14" s="403"/>
      <c r="S14" s="160"/>
      <c r="T14" s="160"/>
      <c r="U14" s="160"/>
      <c r="V14" s="160"/>
      <c r="W14" s="160"/>
      <c r="X14" s="131"/>
      <c r="Y14" s="160"/>
      <c r="Z14" s="160"/>
      <c r="AA14" s="160"/>
      <c r="AB14" s="37"/>
      <c r="AC14" s="131"/>
      <c r="AD14" s="121" t="s">
        <v>1407</v>
      </c>
      <c r="AE14" s="88"/>
      <c r="AF14" s="1966"/>
      <c r="AG14" s="1970"/>
      <c r="AH14" s="1970"/>
      <c r="AI14" s="1966"/>
      <c r="AJ14" s="90"/>
      <c r="AK14" s="90"/>
      <c r="AL14" s="90"/>
      <c r="AM14" s="89"/>
      <c r="AN14" s="90"/>
      <c r="AO14" s="90"/>
      <c r="AP14" s="90"/>
      <c r="AQ14" s="89"/>
      <c r="AR14" s="75"/>
      <c r="AS14" s="75"/>
      <c r="AT14" s="75"/>
      <c r="AU14" s="89"/>
      <c r="AV14" s="75"/>
      <c r="AW14" s="75"/>
      <c r="AX14" s="121"/>
      <c r="AY14" s="89"/>
      <c r="AZ14" s="75" t="s">
        <v>115</v>
      </c>
      <c r="BA14" s="75" t="s">
        <v>115</v>
      </c>
      <c r="BB14" s="1999" t="s">
        <v>115</v>
      </c>
      <c r="BC14" s="89"/>
      <c r="BD14" s="75"/>
      <c r="BE14" s="75"/>
      <c r="BF14" s="75"/>
      <c r="BG14" s="89"/>
      <c r="BH14" s="92">
        <f>CF14+CI14+CL14+CO14+CR14</f>
        <v>2997</v>
      </c>
      <c r="BI14" s="92">
        <f>CH14+CK14+CN14+CQ14+CT14</f>
        <v>2997</v>
      </c>
      <c r="BJ14" s="92">
        <f>BH14-BI14</f>
        <v>0</v>
      </c>
      <c r="BK14" s="271"/>
      <c r="BL14" s="2014"/>
      <c r="BM14" s="95"/>
      <c r="BN14" s="142">
        <v>2997</v>
      </c>
      <c r="BO14" s="182"/>
      <c r="BP14" s="2037" t="s">
        <v>160</v>
      </c>
      <c r="BQ14" s="98">
        <v>0.05</v>
      </c>
      <c r="BR14" s="108"/>
      <c r="BS14" s="276">
        <f>BL14*BQ14</f>
        <v>0</v>
      </c>
      <c r="BT14" s="101">
        <f>BM14*BQ14</f>
        <v>0</v>
      </c>
      <c r="BU14" s="102">
        <f>BN14*BQ14</f>
        <v>149.85</v>
      </c>
      <c r="BV14" s="103">
        <f>BO14*BQ14</f>
        <v>0</v>
      </c>
      <c r="BW14" s="84" t="s">
        <v>185</v>
      </c>
      <c r="BX14" s="105" t="s">
        <v>160</v>
      </c>
      <c r="BY14" s="145">
        <v>0.05</v>
      </c>
      <c r="BZ14" s="108"/>
      <c r="CA14" s="276">
        <f>BL14*BY14</f>
        <v>0</v>
      </c>
      <c r="CB14" s="101">
        <f>BM14*BY14</f>
        <v>0</v>
      </c>
      <c r="CC14" s="106">
        <f>BN14*BY14</f>
        <v>149.85</v>
      </c>
      <c r="CD14" s="107">
        <f>BO14*BY14</f>
        <v>0</v>
      </c>
      <c r="CE14" s="84" t="s">
        <v>185</v>
      </c>
      <c r="CF14" s="108">
        <v>2997</v>
      </c>
      <c r="CG14" s="109">
        <v>45198</v>
      </c>
      <c r="CH14" s="110">
        <v>2997</v>
      </c>
      <c r="CI14" s="2106"/>
      <c r="CJ14" s="184"/>
      <c r="CK14" s="2106"/>
      <c r="CL14" s="2106"/>
      <c r="CM14" s="184"/>
      <c r="CN14" s="2106"/>
      <c r="CO14" s="130"/>
      <c r="CP14" s="130"/>
      <c r="CQ14" s="130"/>
      <c r="CR14" s="130"/>
      <c r="CS14" s="130"/>
      <c r="CT14" s="130"/>
      <c r="CU14" s="90">
        <v>1</v>
      </c>
      <c r="CV14" s="112"/>
      <c r="CW14" s="438" t="s">
        <v>1408</v>
      </c>
      <c r="CX14" s="438" t="s">
        <v>1409</v>
      </c>
      <c r="CY14" s="90"/>
      <c r="CZ14" s="75"/>
      <c r="DA14" s="2131" t="s">
        <v>1410</v>
      </c>
      <c r="DB14" s="126" t="str">
        <f>PROPER(N14)</f>
        <v>Fdesteel</v>
      </c>
      <c r="DC14" s="2161" t="s">
        <v>1411</v>
      </c>
      <c r="DD14" s="116" t="str">
        <f>BP14</f>
        <v>Gianluca</v>
      </c>
      <c r="DE14" s="117">
        <f>IF(OR(D14&gt;0),IF(BJ14=0,BN14*BQ14,0))</f>
        <v>149.85</v>
      </c>
      <c r="DF14" s="117">
        <f>IF(OR(D14&gt;0),IF(BJ14=0,BN14*BY14,0))</f>
        <v>149.85</v>
      </c>
      <c r="DG14" s="118" t="str">
        <f>BX14</f>
        <v>Gianluca</v>
      </c>
      <c r="DH14" s="75"/>
      <c r="DI14" s="120" t="s">
        <v>126</v>
      </c>
      <c r="DJ14" s="120"/>
      <c r="DK14" s="74"/>
      <c r="DL14" s="74"/>
      <c r="DM14" s="122">
        <v>1</v>
      </c>
      <c r="DN14" s="6"/>
      <c r="DO14" s="6"/>
      <c r="DP14" s="6"/>
      <c r="DQ14" s="6"/>
      <c r="DR14" s="6"/>
      <c r="DS14" s="6"/>
      <c r="DT14" s="6"/>
      <c r="DU14" s="6"/>
      <c r="DV14" s="6"/>
      <c r="DW14" s="6"/>
      <c r="DX14" s="6"/>
      <c r="DY14" s="6"/>
      <c r="DZ14" s="6"/>
    </row>
    <row r="15" spans="1:130" ht="34.5" hidden="1" customHeight="1">
      <c r="A15" s="3"/>
      <c r="B15" s="75" t="s">
        <v>108</v>
      </c>
      <c r="C15" s="75"/>
      <c r="D15" s="75"/>
      <c r="E15" s="76">
        <v>1</v>
      </c>
      <c r="F15" s="75"/>
      <c r="G15" s="79" t="s">
        <v>135</v>
      </c>
      <c r="H15" s="79" t="s">
        <v>136</v>
      </c>
      <c r="I15" s="80" t="s">
        <v>137</v>
      </c>
      <c r="J15" s="75" t="str">
        <f>CONCATENATE(G15," ",H15)</f>
        <v>Alessandro D’Amico</v>
      </c>
      <c r="K15" s="81">
        <v>3479516843</v>
      </c>
      <c r="L15" s="82"/>
      <c r="M15" s="83" t="s">
        <v>138</v>
      </c>
      <c r="N15" s="84" t="s">
        <v>139</v>
      </c>
      <c r="O15" s="85"/>
      <c r="P15" s="86"/>
      <c r="Q15" s="86"/>
      <c r="R15" s="86"/>
      <c r="S15" s="86"/>
      <c r="T15" s="86"/>
      <c r="U15" s="86"/>
      <c r="V15" s="86"/>
      <c r="W15" s="86"/>
      <c r="X15" s="86"/>
      <c r="Y15" s="87"/>
      <c r="Z15" s="86"/>
      <c r="AA15" s="86"/>
      <c r="AB15" s="86"/>
      <c r="AC15" s="86"/>
      <c r="AD15" s="86" t="s">
        <v>140</v>
      </c>
      <c r="AE15" s="88">
        <f>L15</f>
        <v>0</v>
      </c>
      <c r="AF15" s="89"/>
      <c r="AG15" s="75"/>
      <c r="AH15" s="75"/>
      <c r="AI15" s="89"/>
      <c r="AJ15" s="75"/>
      <c r="AK15" s="75"/>
      <c r="AL15" s="75"/>
      <c r="AM15" s="89"/>
      <c r="AN15" s="90"/>
      <c r="AO15" s="90"/>
      <c r="AP15" s="90"/>
      <c r="AQ15" s="89"/>
      <c r="AR15" s="75"/>
      <c r="AS15" s="75"/>
      <c r="AT15" s="75"/>
      <c r="AU15" s="89"/>
      <c r="AV15" s="75"/>
      <c r="AW15" s="75"/>
      <c r="AX15" s="121"/>
      <c r="AY15" s="89"/>
      <c r="AZ15" s="75"/>
      <c r="BA15" s="75" t="s">
        <v>115</v>
      </c>
      <c r="BB15" s="121" t="s">
        <v>115</v>
      </c>
      <c r="BC15" s="89"/>
      <c r="BD15" s="75" t="s">
        <v>115</v>
      </c>
      <c r="BE15" s="75"/>
      <c r="BF15" s="75"/>
      <c r="BG15" s="89"/>
      <c r="BH15" s="92">
        <f>CF15+CI15+CL15+CO15+CR15</f>
        <v>2797</v>
      </c>
      <c r="BI15" s="92">
        <f>CH15+CK15+CN15+CQ15+CT15</f>
        <v>2797</v>
      </c>
      <c r="BJ15" s="92">
        <f>BH15-BI15</f>
        <v>0</v>
      </c>
      <c r="BK15" s="93"/>
      <c r="BL15" s="94"/>
      <c r="BM15" s="95"/>
      <c r="BN15" s="127">
        <v>2797</v>
      </c>
      <c r="BO15" s="128"/>
      <c r="BP15" s="80" t="s">
        <v>141</v>
      </c>
      <c r="BQ15" s="98">
        <v>0.15</v>
      </c>
      <c r="BR15" s="99"/>
      <c r="BS15" s="100"/>
      <c r="BT15" s="101">
        <f>BM15*BQ15</f>
        <v>0</v>
      </c>
      <c r="BU15" s="102"/>
      <c r="BV15" s="103">
        <f>BO15*BQ15</f>
        <v>0</v>
      </c>
      <c r="BW15" s="80" t="s">
        <v>142</v>
      </c>
      <c r="BX15" s="105" t="s">
        <v>141</v>
      </c>
      <c r="BY15" s="98">
        <v>0.05</v>
      </c>
      <c r="BZ15" s="99"/>
      <c r="CA15" s="100"/>
      <c r="CB15" s="101">
        <f>BM15*BY15</f>
        <v>0</v>
      </c>
      <c r="CC15" s="106"/>
      <c r="CD15" s="107">
        <f>BO15*BY15</f>
        <v>0</v>
      </c>
      <c r="CE15" s="80" t="s">
        <v>142</v>
      </c>
      <c r="CF15" s="108">
        <v>2797</v>
      </c>
      <c r="CG15" s="109">
        <v>45008</v>
      </c>
      <c r="CH15" s="108">
        <v>2797</v>
      </c>
      <c r="CI15" s="108"/>
      <c r="CJ15" s="109"/>
      <c r="CK15" s="111"/>
      <c r="CL15" s="111"/>
      <c r="CM15" s="109"/>
      <c r="CN15" s="111"/>
      <c r="CO15" s="111"/>
      <c r="CP15" s="111"/>
      <c r="CQ15" s="111"/>
      <c r="CR15" s="111"/>
      <c r="CS15" s="111"/>
      <c r="CT15" s="111"/>
      <c r="CU15" s="90">
        <v>1</v>
      </c>
      <c r="CV15" s="112" t="s">
        <v>121</v>
      </c>
      <c r="CW15" s="112"/>
      <c r="CX15" s="113"/>
      <c r="CY15" s="90" t="s">
        <v>122</v>
      </c>
      <c r="CZ15" s="90"/>
      <c r="DA15" s="80" t="s">
        <v>143</v>
      </c>
      <c r="DB15" s="115" t="str">
        <f>PROPER(N15)</f>
        <v>Ribes Solutions</v>
      </c>
      <c r="DC15" s="116" t="s">
        <v>144</v>
      </c>
      <c r="DD15" s="116" t="str">
        <f>BP15</f>
        <v>Daniele</v>
      </c>
      <c r="DE15" s="117" t="b">
        <f>IF(OR(D15&gt;0),IF(BJ15=0,BN15*BQ15,0))</f>
        <v>0</v>
      </c>
      <c r="DF15" s="117" t="b">
        <f>IF(OR(D15&gt;0),IF(BJ15=0,BN15*BY15,0))</f>
        <v>0</v>
      </c>
      <c r="DG15" s="116" t="str">
        <f>BX15</f>
        <v>Daniele</v>
      </c>
      <c r="DH15" s="76"/>
      <c r="DI15" s="120" t="s">
        <v>126</v>
      </c>
      <c r="DJ15" s="120"/>
      <c r="DK15" s="121"/>
      <c r="DL15" s="121"/>
      <c r="DM15" s="122">
        <v>1</v>
      </c>
      <c r="DN15" s="6"/>
      <c r="DO15" s="6"/>
      <c r="DP15" s="6"/>
      <c r="DQ15" s="6"/>
      <c r="DR15" s="6"/>
      <c r="DS15" s="6"/>
      <c r="DT15" s="6"/>
      <c r="DU15" s="6"/>
      <c r="DV15" s="6"/>
      <c r="DW15" s="6"/>
      <c r="DX15" s="6"/>
      <c r="DY15" s="6"/>
      <c r="DZ15" s="6"/>
    </row>
    <row r="16" spans="1:130" ht="34.5" hidden="1" customHeight="1">
      <c r="A16" s="3"/>
      <c r="B16" s="129" t="s">
        <v>108</v>
      </c>
      <c r="C16" s="75"/>
      <c r="D16" s="75"/>
      <c r="E16" s="76"/>
      <c r="F16" s="75"/>
      <c r="G16" s="79" t="s">
        <v>135</v>
      </c>
      <c r="H16" s="79" t="s">
        <v>145</v>
      </c>
      <c r="I16" s="80" t="s">
        <v>146</v>
      </c>
      <c r="J16" s="90" t="str">
        <f>CONCATENATE(G16," ",H16)</f>
        <v>Alessandro Franceschini</v>
      </c>
      <c r="K16" s="81" t="s">
        <v>147</v>
      </c>
      <c r="L16" s="83" t="s">
        <v>148</v>
      </c>
      <c r="M16" s="83" t="s">
        <v>149</v>
      </c>
      <c r="N16" s="84" t="s">
        <v>150</v>
      </c>
      <c r="O16" s="85"/>
      <c r="P16" s="86"/>
      <c r="Q16" s="86"/>
      <c r="R16" s="86"/>
      <c r="S16" s="86"/>
      <c r="T16" s="86"/>
      <c r="U16" s="86"/>
      <c r="V16" s="86"/>
      <c r="W16" s="86"/>
      <c r="X16" s="86"/>
      <c r="Y16" s="87"/>
      <c r="Z16" s="86"/>
      <c r="AA16" s="86"/>
      <c r="AB16" s="86"/>
      <c r="AC16" s="86"/>
      <c r="AD16" s="86"/>
      <c r="AE16" s="88" t="str">
        <f>L16</f>
        <v>Detto anche che essendo una StartUp non avevano comunque a budget l'investimento, poi detto che non era un tema di investimento</v>
      </c>
      <c r="AF16" s="89"/>
      <c r="AG16" s="75"/>
      <c r="AH16" s="75"/>
      <c r="AI16" s="89"/>
      <c r="AJ16" s="75"/>
      <c r="AK16" s="75"/>
      <c r="AL16" s="75"/>
      <c r="AM16" s="89"/>
      <c r="AN16" s="90"/>
      <c r="AO16" s="90"/>
      <c r="AP16" s="90"/>
      <c r="AQ16" s="89"/>
      <c r="AR16" s="75"/>
      <c r="AS16" s="75"/>
      <c r="AT16" s="75"/>
      <c r="AU16" s="89"/>
      <c r="AV16" s="75"/>
      <c r="AW16" s="75"/>
      <c r="AX16" s="121"/>
      <c r="AY16" s="89"/>
      <c r="AZ16" s="75"/>
      <c r="BA16" s="75"/>
      <c r="BB16" s="75"/>
      <c r="BC16" s="89"/>
      <c r="BD16" s="75" t="s">
        <v>151</v>
      </c>
      <c r="BE16" s="75" t="s">
        <v>151</v>
      </c>
      <c r="BF16" s="75" t="s">
        <v>151</v>
      </c>
      <c r="BG16" s="89"/>
      <c r="BH16" s="92">
        <f>CF16+CI16+CL16+CO16+CR16</f>
        <v>0</v>
      </c>
      <c r="BI16" s="92">
        <f>CH16+CK16+CN16+CQ16+CT16</f>
        <v>0</v>
      </c>
      <c r="BJ16" s="92">
        <f>BH16-BI16</f>
        <v>0</v>
      </c>
      <c r="BK16" s="93"/>
      <c r="BL16" s="94"/>
      <c r="BM16" s="95"/>
      <c r="BN16" s="96"/>
      <c r="BO16" s="97"/>
      <c r="BP16" s="80" t="s">
        <v>117</v>
      </c>
      <c r="BQ16" s="98">
        <v>0</v>
      </c>
      <c r="BR16" s="99"/>
      <c r="BS16" s="100"/>
      <c r="BT16" s="101">
        <f>BM16*BQ16</f>
        <v>0</v>
      </c>
      <c r="BU16" s="102">
        <f>BN16*BQ16</f>
        <v>0</v>
      </c>
      <c r="BV16" s="103">
        <f>BO16*BQ16</f>
        <v>0</v>
      </c>
      <c r="BW16" s="80" t="s">
        <v>118</v>
      </c>
      <c r="BX16" s="105" t="s">
        <v>152</v>
      </c>
      <c r="BY16" s="98">
        <v>0.05</v>
      </c>
      <c r="BZ16" s="99"/>
      <c r="CA16" s="100"/>
      <c r="CB16" s="101">
        <f>BM16*BY16</f>
        <v>0</v>
      </c>
      <c r="CC16" s="106">
        <f>BN16*BY16</f>
        <v>0</v>
      </c>
      <c r="CD16" s="107">
        <f>BO16*BY16</f>
        <v>0</v>
      </c>
      <c r="CE16" s="90"/>
      <c r="CF16" s="108">
        <v>0</v>
      </c>
      <c r="CG16" s="130" t="s">
        <v>153</v>
      </c>
      <c r="CH16" s="110"/>
      <c r="CI16" s="108"/>
      <c r="CJ16" s="109"/>
      <c r="CK16" s="111"/>
      <c r="CL16" s="108"/>
      <c r="CM16" s="109"/>
      <c r="CN16" s="111"/>
      <c r="CO16" s="111"/>
      <c r="CP16" s="111"/>
      <c r="CQ16" s="111"/>
      <c r="CR16" s="111"/>
      <c r="CS16" s="111"/>
      <c r="CT16" s="111"/>
      <c r="CU16" s="90">
        <v>1</v>
      </c>
      <c r="CV16" s="112" t="s">
        <v>121</v>
      </c>
      <c r="CW16" s="112"/>
      <c r="CX16" s="113"/>
      <c r="CY16" s="90" t="s">
        <v>122</v>
      </c>
      <c r="CZ16" s="90"/>
      <c r="DA16" s="131"/>
      <c r="DB16" s="115" t="str">
        <f>PROPER(N16)</f>
        <v>Squp</v>
      </c>
      <c r="DC16" s="116"/>
      <c r="DD16" s="116" t="str">
        <f>BP16</f>
        <v>blackship</v>
      </c>
      <c r="DE16" s="117" t="b">
        <f>IF(OR(D16&gt;0),IF(BJ16=0,BN16*BQ16,0))</f>
        <v>0</v>
      </c>
      <c r="DF16" s="117" t="b">
        <f>IF(OR(D16&gt;0),IF(BJ16=0,BN16*BY16,0))</f>
        <v>0</v>
      </c>
      <c r="DG16" s="116" t="str">
        <f>BX16</f>
        <v>Client Angel</v>
      </c>
      <c r="DH16" s="76"/>
      <c r="DI16" s="120" t="s">
        <v>154</v>
      </c>
      <c r="DJ16" s="120"/>
      <c r="DK16" s="121"/>
      <c r="DL16" s="121"/>
      <c r="DM16" s="122"/>
      <c r="DN16" s="6"/>
      <c r="DO16" s="6"/>
      <c r="DP16" s="6"/>
      <c r="DQ16" s="6"/>
      <c r="DR16" s="6"/>
      <c r="DS16" s="6"/>
      <c r="DT16" s="6"/>
      <c r="DU16" s="6"/>
      <c r="DV16" s="6"/>
      <c r="DW16" s="6"/>
      <c r="DX16" s="6"/>
      <c r="DY16" s="6"/>
      <c r="DZ16" s="6"/>
    </row>
    <row r="17" spans="1:130" ht="34.5" hidden="1" customHeight="1">
      <c r="A17" s="3"/>
      <c r="B17" s="129" t="s">
        <v>108</v>
      </c>
      <c r="C17" s="75"/>
      <c r="D17" s="75"/>
      <c r="E17" s="76"/>
      <c r="F17" s="75"/>
      <c r="G17" s="79" t="s">
        <v>135</v>
      </c>
      <c r="H17" s="79" t="s">
        <v>155</v>
      </c>
      <c r="I17" s="80" t="s">
        <v>156</v>
      </c>
      <c r="J17" s="90" t="str">
        <f>CONCATENATE(G17," ",H17)</f>
        <v>Alessandro Marchesi</v>
      </c>
      <c r="K17" s="81">
        <v>3393454198</v>
      </c>
      <c r="L17" s="82" t="s">
        <v>157</v>
      </c>
      <c r="M17" s="83" t="s">
        <v>158</v>
      </c>
      <c r="N17" s="84" t="s">
        <v>159</v>
      </c>
      <c r="O17" s="85"/>
      <c r="P17" s="86"/>
      <c r="Q17" s="86"/>
      <c r="R17" s="86"/>
      <c r="S17" s="86"/>
      <c r="T17" s="86"/>
      <c r="U17" s="86"/>
      <c r="V17" s="86"/>
      <c r="W17" s="86"/>
      <c r="X17" s="86"/>
      <c r="Y17" s="87"/>
      <c r="Z17" s="86"/>
      <c r="AA17" s="86"/>
      <c r="AB17" s="86"/>
      <c r="AC17" s="86"/>
      <c r="AD17" s="86" t="s">
        <v>118</v>
      </c>
      <c r="AE17" s="88" t="str">
        <f>L17</f>
        <v>NON risponde</v>
      </c>
      <c r="AF17" s="89"/>
      <c r="AG17" s="75"/>
      <c r="AH17" s="75"/>
      <c r="AI17" s="89"/>
      <c r="AJ17" s="75"/>
      <c r="AK17" s="75"/>
      <c r="AL17" s="75"/>
      <c r="AM17" s="89"/>
      <c r="AN17" s="90"/>
      <c r="AO17" s="90"/>
      <c r="AP17" s="90"/>
      <c r="AQ17" s="89"/>
      <c r="AR17" s="75"/>
      <c r="AS17" s="75"/>
      <c r="AT17" s="75"/>
      <c r="AU17" s="89"/>
      <c r="AV17" s="75"/>
      <c r="AW17" s="75"/>
      <c r="AX17" s="75"/>
      <c r="AY17" s="89"/>
      <c r="AZ17" s="75"/>
      <c r="BA17" s="75"/>
      <c r="BB17" s="75"/>
      <c r="BC17" s="89"/>
      <c r="BD17" s="75" t="s">
        <v>151</v>
      </c>
      <c r="BE17" s="75" t="s">
        <v>151</v>
      </c>
      <c r="BF17" s="75" t="s">
        <v>151</v>
      </c>
      <c r="BG17" s="89"/>
      <c r="BH17" s="92">
        <f>CF17+CI17+CL17+CO17+CR17</f>
        <v>0</v>
      </c>
      <c r="BI17" s="92">
        <f>CH17+CK17+CN17+CQ17+CT17</f>
        <v>0</v>
      </c>
      <c r="BJ17" s="92">
        <f>BH17-BI17</f>
        <v>0</v>
      </c>
      <c r="BK17" s="93"/>
      <c r="BL17" s="94"/>
      <c r="BM17" s="95"/>
      <c r="BN17" s="127"/>
      <c r="BO17" s="128"/>
      <c r="BP17" s="80" t="s">
        <v>160</v>
      </c>
      <c r="BQ17" s="98">
        <v>0.15</v>
      </c>
      <c r="BR17" s="99"/>
      <c r="BS17" s="100"/>
      <c r="BT17" s="101">
        <f>BM17*BQ17</f>
        <v>0</v>
      </c>
      <c r="BU17" s="102">
        <f>BN17*BQ17</f>
        <v>0</v>
      </c>
      <c r="BV17" s="103">
        <f>BO17*BQ17</f>
        <v>0</v>
      </c>
      <c r="BW17" s="80"/>
      <c r="BX17" s="105" t="s">
        <v>160</v>
      </c>
      <c r="BY17" s="98">
        <v>0.05</v>
      </c>
      <c r="BZ17" s="99"/>
      <c r="CA17" s="100"/>
      <c r="CB17" s="101">
        <f>BM17*BY17</f>
        <v>0</v>
      </c>
      <c r="CC17" s="106">
        <f>BN17*BY17</f>
        <v>0</v>
      </c>
      <c r="CD17" s="107">
        <f>BO17*BY17</f>
        <v>0</v>
      </c>
      <c r="CE17" s="90"/>
      <c r="CF17" s="108">
        <v>0</v>
      </c>
      <c r="CG17" s="130" t="s">
        <v>153</v>
      </c>
      <c r="CH17" s="110"/>
      <c r="CI17" s="108"/>
      <c r="CJ17" s="109"/>
      <c r="CK17" s="111"/>
      <c r="CL17" s="111"/>
      <c r="CM17" s="109"/>
      <c r="CN17" s="111"/>
      <c r="CO17" s="111"/>
      <c r="CP17" s="111"/>
      <c r="CQ17" s="111"/>
      <c r="CR17" s="111"/>
      <c r="CS17" s="111"/>
      <c r="CT17" s="111"/>
      <c r="CU17" s="90"/>
      <c r="CV17" s="112"/>
      <c r="CW17" s="112"/>
      <c r="CX17" s="113"/>
      <c r="CY17" s="90" t="s">
        <v>122</v>
      </c>
      <c r="CZ17" s="90"/>
      <c r="DA17" s="131"/>
      <c r="DB17" s="115" t="str">
        <f>PROPER(N17)</f>
        <v>Global Utilities</v>
      </c>
      <c r="DC17" s="116"/>
      <c r="DD17" s="116" t="str">
        <f>BP17</f>
        <v>Gianluca</v>
      </c>
      <c r="DE17" s="117" t="b">
        <f>IF(OR(D17&gt;0),IF(BJ17=0,BN17*BQ17,0))</f>
        <v>0</v>
      </c>
      <c r="DF17" s="117" t="b">
        <f>IF(OR(D17&gt;0),IF(BJ17=0,BN17*BY17,0))</f>
        <v>0</v>
      </c>
      <c r="DG17" s="116" t="str">
        <f>BX17</f>
        <v>Gianluca</v>
      </c>
      <c r="DH17" s="76"/>
      <c r="DI17" s="120" t="s">
        <v>154</v>
      </c>
      <c r="DJ17" s="120"/>
      <c r="DK17" s="121"/>
      <c r="DL17" s="121"/>
      <c r="DM17" s="122">
        <v>1</v>
      </c>
      <c r="DN17" s="6"/>
      <c r="DO17" s="6"/>
      <c r="DP17" s="6"/>
      <c r="DQ17" s="6"/>
      <c r="DR17" s="6"/>
      <c r="DS17" s="6"/>
      <c r="DT17" s="6"/>
      <c r="DU17" s="6"/>
      <c r="DV17" s="6"/>
      <c r="DW17" s="6"/>
      <c r="DX17" s="6"/>
      <c r="DY17" s="6"/>
      <c r="DZ17" s="6"/>
    </row>
    <row r="18" spans="1:130" ht="34.5" hidden="1" customHeight="1">
      <c r="A18" s="3"/>
      <c r="B18" s="75" t="s">
        <v>108</v>
      </c>
      <c r="C18" s="75"/>
      <c r="D18" s="75"/>
      <c r="E18" s="76"/>
      <c r="F18" s="75"/>
      <c r="G18" s="79" t="s">
        <v>135</v>
      </c>
      <c r="H18" s="79" t="s">
        <v>161</v>
      </c>
      <c r="I18" s="80" t="s">
        <v>162</v>
      </c>
      <c r="J18" s="90" t="str">
        <f>CONCATENATE(G18," ",H18)</f>
        <v>Alessandro Volpe</v>
      </c>
      <c r="K18" s="81" t="s">
        <v>163</v>
      </c>
      <c r="L18" s="83"/>
      <c r="M18" s="83" t="s">
        <v>138</v>
      </c>
      <c r="N18" s="84" t="s">
        <v>164</v>
      </c>
      <c r="O18" s="85"/>
      <c r="P18" s="86"/>
      <c r="Q18" s="86"/>
      <c r="R18" s="86"/>
      <c r="S18" s="86"/>
      <c r="T18" s="86"/>
      <c r="U18" s="86"/>
      <c r="V18" s="86"/>
      <c r="W18" s="86"/>
      <c r="X18" s="86"/>
      <c r="Y18" s="87"/>
      <c r="Z18" s="86"/>
      <c r="AA18" s="86"/>
      <c r="AB18" s="86"/>
      <c r="AC18" s="86"/>
      <c r="AD18" s="86"/>
      <c r="AE18" s="88">
        <f>L18</f>
        <v>0</v>
      </c>
      <c r="AF18" s="89"/>
      <c r="AG18" s="75"/>
      <c r="AH18" s="75"/>
      <c r="AI18" s="89"/>
      <c r="AJ18" s="75"/>
      <c r="AK18" s="75"/>
      <c r="AL18" s="75"/>
      <c r="AM18" s="89"/>
      <c r="AN18" s="90"/>
      <c r="AO18" s="90"/>
      <c r="AP18" s="90"/>
      <c r="AQ18" s="89"/>
      <c r="AR18" s="75"/>
      <c r="AS18" s="75"/>
      <c r="AT18" s="75"/>
      <c r="AU18" s="89"/>
      <c r="AV18" s="124"/>
      <c r="AW18" s="124"/>
      <c r="AX18" s="124"/>
      <c r="AY18" s="89"/>
      <c r="AZ18" s="129" t="s">
        <v>165</v>
      </c>
      <c r="BA18" s="129" t="s">
        <v>165</v>
      </c>
      <c r="BB18" s="129" t="s">
        <v>165</v>
      </c>
      <c r="BC18" s="89"/>
      <c r="BD18" s="75"/>
      <c r="BE18" s="75"/>
      <c r="BF18" s="75"/>
      <c r="BG18" s="89"/>
      <c r="BH18" s="92">
        <f>CF18+CI18+CL18+CO18+CR18</f>
        <v>0</v>
      </c>
      <c r="BI18" s="92">
        <f>CH18+CK18+CN18+CQ18+CT18</f>
        <v>0</v>
      </c>
      <c r="BJ18" s="92">
        <f>BH18-BI18</f>
        <v>0</v>
      </c>
      <c r="BK18" s="93"/>
      <c r="BL18" s="94"/>
      <c r="BM18" s="95"/>
      <c r="BN18" s="127"/>
      <c r="BO18" s="128"/>
      <c r="BP18" s="80" t="s">
        <v>166</v>
      </c>
      <c r="BQ18" s="98">
        <v>0.15</v>
      </c>
      <c r="BR18" s="99"/>
      <c r="BS18" s="100"/>
      <c r="BT18" s="101">
        <f>BM18*BQ18</f>
        <v>0</v>
      </c>
      <c r="BU18" s="102">
        <f>BN18*BQ18</f>
        <v>0</v>
      </c>
      <c r="BV18" s="103">
        <f>BO18*BQ18</f>
        <v>0</v>
      </c>
      <c r="BW18" s="80"/>
      <c r="BX18" s="105" t="s">
        <v>166</v>
      </c>
      <c r="BY18" s="98">
        <v>0.05</v>
      </c>
      <c r="BZ18" s="99"/>
      <c r="CA18" s="100"/>
      <c r="CB18" s="101">
        <f>BM18*BY18</f>
        <v>0</v>
      </c>
      <c r="CC18" s="106">
        <f>BN18*BY18</f>
        <v>0</v>
      </c>
      <c r="CD18" s="107">
        <f>BO18*BY18</f>
        <v>0</v>
      </c>
      <c r="CE18" s="90"/>
      <c r="CF18" s="108"/>
      <c r="CG18" s="109"/>
      <c r="CH18" s="110"/>
      <c r="CI18" s="108"/>
      <c r="CJ18" s="109"/>
      <c r="CK18" s="111"/>
      <c r="CL18" s="111"/>
      <c r="CM18" s="109"/>
      <c r="CN18" s="111"/>
      <c r="CO18" s="111"/>
      <c r="CP18" s="111"/>
      <c r="CQ18" s="111"/>
      <c r="CR18" s="111"/>
      <c r="CS18" s="111"/>
      <c r="CT18" s="111"/>
      <c r="CU18" s="90">
        <v>1</v>
      </c>
      <c r="CV18" s="112" t="s">
        <v>121</v>
      </c>
      <c r="CW18" s="112"/>
      <c r="CX18" s="113"/>
      <c r="CY18" s="90" t="s">
        <v>122</v>
      </c>
      <c r="CZ18" s="90"/>
      <c r="DA18" s="80"/>
      <c r="DB18" s="115" t="str">
        <f>PROPER(N18)</f>
        <v>V Media</v>
      </c>
      <c r="DC18" s="116"/>
      <c r="DD18" s="116" t="str">
        <f>BP18</f>
        <v>Matteo</v>
      </c>
      <c r="DE18" s="117" t="b">
        <f>IF(OR(D18&gt;0),IF(BJ18=0,BN18*BQ18,0))</f>
        <v>0</v>
      </c>
      <c r="DF18" s="117" t="b">
        <f>IF(OR(D18&gt;0),IF(BJ18=0,BN18*BY18,0))</f>
        <v>0</v>
      </c>
      <c r="DG18" s="116" t="str">
        <f>BX18</f>
        <v>Matteo</v>
      </c>
      <c r="DH18" s="76"/>
      <c r="DI18" s="120" t="s">
        <v>154</v>
      </c>
      <c r="DJ18" s="120"/>
      <c r="DK18" s="121"/>
      <c r="DL18" s="121"/>
      <c r="DM18" s="122"/>
      <c r="DN18" s="6"/>
      <c r="DO18" s="6"/>
      <c r="DP18" s="6"/>
      <c r="DQ18" s="6"/>
      <c r="DR18" s="6"/>
      <c r="DS18" s="6"/>
      <c r="DT18" s="6"/>
      <c r="DU18" s="6"/>
      <c r="DV18" s="6"/>
      <c r="DW18" s="6"/>
      <c r="DX18" s="6"/>
      <c r="DY18" s="6"/>
      <c r="DZ18" s="6"/>
    </row>
    <row r="19" spans="1:130" ht="34.5" hidden="1" customHeight="1">
      <c r="A19" s="3"/>
      <c r="B19" s="75" t="s">
        <v>108</v>
      </c>
      <c r="C19" s="75"/>
      <c r="D19" s="75">
        <v>1</v>
      </c>
      <c r="E19" s="76">
        <v>1</v>
      </c>
      <c r="F19" s="132"/>
      <c r="G19" s="79" t="s">
        <v>167</v>
      </c>
      <c r="H19" s="79" t="s">
        <v>168</v>
      </c>
      <c r="I19" s="80" t="s">
        <v>169</v>
      </c>
      <c r="J19" s="90" t="str">
        <f>CONCATENATE(G19," ",H19)</f>
        <v>Alessia Passarini</v>
      </c>
      <c r="K19" s="133" t="s">
        <v>170</v>
      </c>
      <c r="L19" s="82"/>
      <c r="M19" s="83" t="s">
        <v>171</v>
      </c>
      <c r="N19" s="134" t="s">
        <v>172</v>
      </c>
      <c r="O19" s="85"/>
      <c r="P19" s="86"/>
      <c r="Q19" s="86"/>
      <c r="R19" s="86"/>
      <c r="S19" s="86"/>
      <c r="T19" s="86"/>
      <c r="U19" s="86"/>
      <c r="V19" s="86"/>
      <c r="W19" s="86"/>
      <c r="X19" s="86"/>
      <c r="Y19" s="87"/>
      <c r="Z19" s="86"/>
      <c r="AA19" s="86"/>
      <c r="AB19" s="86"/>
      <c r="AC19" s="86"/>
      <c r="AD19" s="86" t="s">
        <v>173</v>
      </c>
      <c r="AE19" s="88">
        <f>L19</f>
        <v>0</v>
      </c>
      <c r="AF19" s="89"/>
      <c r="AG19" s="75"/>
      <c r="AH19" s="75"/>
      <c r="AI19" s="89"/>
      <c r="AJ19" s="75"/>
      <c r="AK19" s="75"/>
      <c r="AL19" s="75"/>
      <c r="AM19" s="89"/>
      <c r="AN19" s="90"/>
      <c r="AO19" s="90"/>
      <c r="AP19" s="90"/>
      <c r="AQ19" s="89"/>
      <c r="AR19" s="75"/>
      <c r="AS19" s="75"/>
      <c r="AT19" s="75"/>
      <c r="AU19" s="89"/>
      <c r="AV19" s="75"/>
      <c r="AW19" s="75"/>
      <c r="AX19" s="75" t="s">
        <v>115</v>
      </c>
      <c r="AY19" s="89"/>
      <c r="AZ19" s="75" t="s">
        <v>115</v>
      </c>
      <c r="BA19" s="75" t="s">
        <v>115</v>
      </c>
      <c r="BB19" s="135" t="s">
        <v>154</v>
      </c>
      <c r="BC19" s="89"/>
      <c r="BD19" s="75"/>
      <c r="BE19" s="75"/>
      <c r="BF19" s="75"/>
      <c r="BG19" s="89"/>
      <c r="BH19" s="92">
        <f>CF19+CI19+CL19+CO19+CR19</f>
        <v>2997</v>
      </c>
      <c r="BI19" s="92">
        <f>CH19+CK19+CN19+CQ19+CT19</f>
        <v>2997</v>
      </c>
      <c r="BJ19" s="92">
        <f>BH19-BI19</f>
        <v>0</v>
      </c>
      <c r="BK19" s="93"/>
      <c r="BL19" s="94"/>
      <c r="BM19" s="95">
        <v>2997</v>
      </c>
      <c r="BN19" s="127"/>
      <c r="BO19" s="128"/>
      <c r="BP19" s="80" t="s">
        <v>133</v>
      </c>
      <c r="BQ19" s="98">
        <v>0.15</v>
      </c>
      <c r="BR19" s="99"/>
      <c r="BS19" s="100"/>
      <c r="BT19" s="101">
        <f>BM19*BQ19</f>
        <v>449.55</v>
      </c>
      <c r="BU19" s="102">
        <f>BN19*BQ19</f>
        <v>0</v>
      </c>
      <c r="BV19" s="103">
        <f>BO19*BQ19</f>
        <v>0</v>
      </c>
      <c r="BW19" s="80" t="s">
        <v>174</v>
      </c>
      <c r="BX19" s="105" t="s">
        <v>133</v>
      </c>
      <c r="BY19" s="98">
        <v>0.05</v>
      </c>
      <c r="BZ19" s="99"/>
      <c r="CA19" s="100"/>
      <c r="CB19" s="101">
        <f>BM19*BY19</f>
        <v>149.85</v>
      </c>
      <c r="CC19" s="106">
        <f>BN19*BY19</f>
        <v>0</v>
      </c>
      <c r="CD19" s="107">
        <f>BO19*BY19</f>
        <v>0</v>
      </c>
      <c r="CE19" s="80" t="s">
        <v>174</v>
      </c>
      <c r="CF19" s="108">
        <v>2997</v>
      </c>
      <c r="CG19" s="109">
        <v>45012</v>
      </c>
      <c r="CH19" s="110">
        <v>2997</v>
      </c>
      <c r="CI19" s="108"/>
      <c r="CJ19" s="109"/>
      <c r="CK19" s="111"/>
      <c r="CL19" s="111"/>
      <c r="CM19" s="109"/>
      <c r="CN19" s="111"/>
      <c r="CO19" s="111"/>
      <c r="CP19" s="111"/>
      <c r="CQ19" s="111"/>
      <c r="CR19" s="111"/>
      <c r="CS19" s="111"/>
      <c r="CT19" s="111"/>
      <c r="CU19" s="90">
        <v>1</v>
      </c>
      <c r="CV19" s="112" t="s">
        <v>121</v>
      </c>
      <c r="CW19" s="112"/>
      <c r="CX19" s="113"/>
      <c r="CY19" s="90" t="s">
        <v>122</v>
      </c>
      <c r="CZ19" s="90"/>
      <c r="DA19" s="136" t="s">
        <v>175</v>
      </c>
      <c r="DB19" s="115" t="s">
        <v>172</v>
      </c>
      <c r="DC19" s="116" t="s">
        <v>176</v>
      </c>
      <c r="DD19" s="116" t="str">
        <f>BP19</f>
        <v>Cristian B</v>
      </c>
      <c r="DE19" s="117">
        <f>IF(OR(D19&gt;0),IF(BJ19=0,BN19*BQ19,0))</f>
        <v>0</v>
      </c>
      <c r="DF19" s="117">
        <f>IF(OR(D19&gt;0),IF(BJ19=0,BN19*BY19,0))</f>
        <v>0</v>
      </c>
      <c r="DG19" s="116" t="str">
        <f>BX19</f>
        <v>Cristian B</v>
      </c>
      <c r="DH19" s="76"/>
      <c r="DI19" s="120" t="s">
        <v>154</v>
      </c>
      <c r="DJ19" s="120"/>
      <c r="DK19" s="121"/>
      <c r="DL19" s="121"/>
      <c r="DM19" s="122"/>
      <c r="DN19" s="6"/>
      <c r="DO19" s="6"/>
      <c r="DP19" s="6"/>
      <c r="DQ19" s="6"/>
      <c r="DR19" s="6"/>
      <c r="DS19" s="6"/>
      <c r="DT19" s="6"/>
      <c r="DU19" s="6"/>
      <c r="DV19" s="6"/>
      <c r="DW19" s="6"/>
      <c r="DX19" s="6"/>
      <c r="DY19" s="6"/>
      <c r="DZ19" s="6"/>
    </row>
    <row r="20" spans="1:130" ht="34.5" hidden="1" customHeight="1">
      <c r="A20" s="228"/>
      <c r="B20" s="75" t="s">
        <v>1928</v>
      </c>
      <c r="C20" s="75"/>
      <c r="D20" s="75">
        <v>1</v>
      </c>
      <c r="E20" s="76" t="s">
        <v>154</v>
      </c>
      <c r="F20" s="75"/>
      <c r="G20" s="181" t="s">
        <v>135</v>
      </c>
      <c r="H20" s="181" t="s">
        <v>2517</v>
      </c>
      <c r="I20" s="1834" t="s">
        <v>2518</v>
      </c>
      <c r="J20" s="75" t="str">
        <f>CONCATENATE(G20," ",H20)</f>
        <v>Alessandro Gigliotti</v>
      </c>
      <c r="K20" s="1851"/>
      <c r="L20" s="112"/>
      <c r="M20" s="1867"/>
      <c r="N20" s="84" t="s">
        <v>2519</v>
      </c>
      <c r="O20" s="1925"/>
      <c r="P20" s="37"/>
      <c r="Q20" s="37"/>
      <c r="R20" s="131"/>
      <c r="S20" s="160"/>
      <c r="T20" s="160"/>
      <c r="U20" s="160"/>
      <c r="V20" s="160"/>
      <c r="W20" s="233"/>
      <c r="X20" s="234"/>
      <c r="Y20" s="233"/>
      <c r="Z20" s="233"/>
      <c r="AA20" s="233"/>
      <c r="AB20" s="37"/>
      <c r="AC20" s="37"/>
      <c r="AD20" s="37" t="s">
        <v>118</v>
      </c>
      <c r="AE20" s="138"/>
      <c r="AF20" s="89"/>
      <c r="AG20" s="75"/>
      <c r="AH20" s="75"/>
      <c r="AI20" s="89"/>
      <c r="AJ20" s="75"/>
      <c r="AK20" s="75"/>
      <c r="AL20" s="75"/>
      <c r="AM20" s="89"/>
      <c r="AN20" s="90"/>
      <c r="AO20" s="90"/>
      <c r="AP20" s="90"/>
      <c r="AQ20" s="89"/>
      <c r="AR20" s="75"/>
      <c r="AS20" s="75"/>
      <c r="AT20" s="75"/>
      <c r="AU20" s="89"/>
      <c r="AV20" s="75"/>
      <c r="AW20" s="75"/>
      <c r="AX20" s="75"/>
      <c r="AY20" s="89"/>
      <c r="AZ20" s="75" t="s">
        <v>116</v>
      </c>
      <c r="BA20" s="129" t="s">
        <v>297</v>
      </c>
      <c r="BB20" s="121" t="s">
        <v>116</v>
      </c>
      <c r="BC20" s="89"/>
      <c r="BD20" s="75"/>
      <c r="BE20" s="75"/>
      <c r="BF20" s="75"/>
      <c r="BG20" s="89"/>
      <c r="BH20" s="92"/>
      <c r="BI20" s="92"/>
      <c r="BJ20" s="92"/>
      <c r="BK20" s="271"/>
      <c r="BL20" s="2014"/>
      <c r="BM20" s="95"/>
      <c r="BN20" s="127"/>
      <c r="BO20" s="128"/>
      <c r="BP20" s="80"/>
      <c r="BQ20" s="98"/>
      <c r="BR20" s="108"/>
      <c r="BS20" s="276"/>
      <c r="BT20" s="101"/>
      <c r="BU20" s="102">
        <f>BN20*BQ20</f>
        <v>0</v>
      </c>
      <c r="BV20" s="103">
        <f>BO20*BQ20</f>
        <v>0</v>
      </c>
      <c r="BW20" s="2042"/>
      <c r="BX20" s="275"/>
      <c r="BY20" s="145"/>
      <c r="BZ20" s="108"/>
      <c r="CA20" s="276"/>
      <c r="CB20" s="101"/>
      <c r="CC20" s="106">
        <f>BN20*BY20</f>
        <v>0</v>
      </c>
      <c r="CD20" s="107">
        <f>BO20*BY20</f>
        <v>0</v>
      </c>
      <c r="CE20" s="411"/>
      <c r="CF20" s="108"/>
      <c r="CG20" s="109"/>
      <c r="CH20" s="110"/>
      <c r="CI20" s="108"/>
      <c r="CJ20" s="109"/>
      <c r="CK20" s="111"/>
      <c r="CL20" s="111"/>
      <c r="CM20" s="109"/>
      <c r="CN20" s="111"/>
      <c r="CO20" s="111"/>
      <c r="CP20" s="111"/>
      <c r="CQ20" s="111"/>
      <c r="CR20" s="111"/>
      <c r="CS20" s="111"/>
      <c r="CT20" s="111"/>
      <c r="CU20" s="90">
        <v>1</v>
      </c>
      <c r="CV20" s="112"/>
      <c r="CW20" s="112"/>
      <c r="CX20" s="113"/>
      <c r="CY20" s="90"/>
      <c r="CZ20" s="90"/>
      <c r="DA20" s="80" t="s">
        <v>2520</v>
      </c>
      <c r="DB20" s="115" t="str">
        <f>PROPER(N20)</f>
        <v>Global-Com</v>
      </c>
      <c r="DC20" s="116" t="s">
        <v>2521</v>
      </c>
      <c r="DD20" s="116">
        <f>BP20</f>
        <v>0</v>
      </c>
      <c r="DE20" s="117">
        <f>IF(OR(D20&gt;0),IF(BJ20=0,BN20*BQ20,0))</f>
        <v>0</v>
      </c>
      <c r="DF20" s="117">
        <f>IF(OR(D20&gt;0),IF(BJ20=0,BN20*BY20,0))</f>
        <v>0</v>
      </c>
      <c r="DG20" s="113">
        <f>BX20</f>
        <v>0</v>
      </c>
      <c r="DH20" s="510"/>
      <c r="DI20" s="120" t="s">
        <v>126</v>
      </c>
      <c r="DJ20" s="120"/>
      <c r="DK20" s="207"/>
      <c r="DL20" s="207"/>
      <c r="DM20" s="248">
        <v>1</v>
      </c>
    </row>
    <row r="21" spans="1:130" ht="34.5" hidden="1" customHeight="1">
      <c r="A21" s="228"/>
      <c r="B21" s="75" t="s">
        <v>1928</v>
      </c>
      <c r="C21" s="75"/>
      <c r="D21" s="75">
        <v>1</v>
      </c>
      <c r="E21" s="76">
        <v>1</v>
      </c>
      <c r="F21" s="75"/>
      <c r="G21" s="181" t="s">
        <v>135</v>
      </c>
      <c r="H21" s="181" t="s">
        <v>2541</v>
      </c>
      <c r="I21" s="1843" t="s">
        <v>2542</v>
      </c>
      <c r="J21" s="75" t="str">
        <f>CONCATENATE(G21," ",H21)</f>
        <v>Alessandro Mantovani</v>
      </c>
      <c r="K21" s="1851"/>
      <c r="L21" s="1867"/>
      <c r="M21" s="1867"/>
      <c r="N21" s="84" t="s">
        <v>2013</v>
      </c>
      <c r="O21" s="1925"/>
      <c r="P21" s="37"/>
      <c r="Q21" s="37"/>
      <c r="R21" s="131"/>
      <c r="S21" s="160"/>
      <c r="T21" s="160"/>
      <c r="U21" s="160"/>
      <c r="V21" s="160"/>
      <c r="W21" s="233"/>
      <c r="X21" s="234"/>
      <c r="Y21" s="233"/>
      <c r="Z21" s="233"/>
      <c r="AA21" s="233"/>
      <c r="AB21" s="37"/>
      <c r="AC21" s="37"/>
      <c r="AD21" s="37" t="s">
        <v>118</v>
      </c>
      <c r="AE21" s="138"/>
      <c r="AF21" s="89"/>
      <c r="AG21" s="75"/>
      <c r="AH21" s="75"/>
      <c r="AI21" s="89"/>
      <c r="AJ21" s="75"/>
      <c r="AK21" s="75"/>
      <c r="AL21" s="75"/>
      <c r="AM21" s="89"/>
      <c r="AN21" s="90"/>
      <c r="AO21" s="90"/>
      <c r="AP21" s="90"/>
      <c r="AQ21" s="89"/>
      <c r="AR21" s="75"/>
      <c r="AS21" s="75"/>
      <c r="AT21" s="75"/>
      <c r="AU21" s="89"/>
      <c r="AV21" s="75"/>
      <c r="AW21" s="75"/>
      <c r="AX21" s="75"/>
      <c r="AY21" s="89"/>
      <c r="AZ21" s="75" t="s">
        <v>116</v>
      </c>
      <c r="BA21" s="75" t="s">
        <v>116</v>
      </c>
      <c r="BB21" s="91" t="s">
        <v>116</v>
      </c>
      <c r="BC21" s="89"/>
      <c r="BD21" s="75"/>
      <c r="BE21" s="75"/>
      <c r="BF21" s="75"/>
      <c r="BG21" s="89"/>
      <c r="BH21" s="92"/>
      <c r="BI21" s="92"/>
      <c r="BJ21" s="92"/>
      <c r="BK21" s="271"/>
      <c r="BL21" s="2014"/>
      <c r="BM21" s="95"/>
      <c r="BN21" s="127"/>
      <c r="BO21" s="128"/>
      <c r="BP21" s="80"/>
      <c r="BQ21" s="98"/>
      <c r="BR21" s="108"/>
      <c r="BS21" s="276"/>
      <c r="BT21" s="101"/>
      <c r="BU21" s="102">
        <f>BN21*BQ21</f>
        <v>0</v>
      </c>
      <c r="BV21" s="103">
        <f>BO21*BQ21</f>
        <v>0</v>
      </c>
      <c r="BW21" s="2042"/>
      <c r="BX21" s="275"/>
      <c r="BY21" s="145"/>
      <c r="BZ21" s="108"/>
      <c r="CA21" s="276"/>
      <c r="CB21" s="101"/>
      <c r="CC21" s="106">
        <f>BN21*BY21</f>
        <v>0</v>
      </c>
      <c r="CD21" s="107">
        <f>BO21*BY21</f>
        <v>0</v>
      </c>
      <c r="CE21" s="411"/>
      <c r="CF21" s="108"/>
      <c r="CG21" s="109"/>
      <c r="CH21" s="110"/>
      <c r="CI21" s="108"/>
      <c r="CJ21" s="109"/>
      <c r="CK21" s="111"/>
      <c r="CL21" s="111"/>
      <c r="CM21" s="109"/>
      <c r="CN21" s="111"/>
      <c r="CO21" s="111"/>
      <c r="CP21" s="111"/>
      <c r="CQ21" s="111"/>
      <c r="CR21" s="111"/>
      <c r="CS21" s="111"/>
      <c r="CT21" s="111"/>
      <c r="CU21" s="90">
        <v>1</v>
      </c>
      <c r="CV21" s="112"/>
      <c r="CW21" s="112"/>
      <c r="CX21" s="113"/>
      <c r="CY21" s="90"/>
      <c r="CZ21" s="90"/>
      <c r="DA21" s="2132" t="s">
        <v>2015</v>
      </c>
      <c r="DB21" s="115" t="str">
        <f>PROPER(N21)</f>
        <v>Fenix Digital Group</v>
      </c>
      <c r="DC21" s="2162" t="s">
        <v>2016</v>
      </c>
      <c r="DD21" s="116">
        <f>BP21</f>
        <v>0</v>
      </c>
      <c r="DE21" s="117">
        <f>IF(OR(D21&gt;0),IF(BJ21=0,BN21*BQ21,0))</f>
        <v>0</v>
      </c>
      <c r="DF21" s="117">
        <f>IF(OR(D21&gt;0),IF(BJ21=0,BN21*BY21,0))</f>
        <v>0</v>
      </c>
      <c r="DG21" s="113">
        <f>BX21</f>
        <v>0</v>
      </c>
      <c r="DH21" s="510"/>
      <c r="DI21" s="120" t="s">
        <v>126</v>
      </c>
      <c r="DJ21" s="120"/>
      <c r="DK21" s="207"/>
      <c r="DL21" s="207"/>
      <c r="DM21" s="248">
        <v>1</v>
      </c>
    </row>
    <row r="22" spans="1:130" ht="34.5" hidden="1" customHeight="1">
      <c r="A22" s="3"/>
      <c r="B22" s="75" t="s">
        <v>108</v>
      </c>
      <c r="C22" s="75"/>
      <c r="D22" s="75">
        <v>1</v>
      </c>
      <c r="E22" s="76">
        <v>1</v>
      </c>
      <c r="F22" s="75"/>
      <c r="G22" s="79" t="s">
        <v>177</v>
      </c>
      <c r="H22" s="79" t="s">
        <v>178</v>
      </c>
      <c r="I22" s="80" t="s">
        <v>179</v>
      </c>
      <c r="J22" s="75" t="str">
        <f>CONCATENATE(G22," ",H22)</f>
        <v>Ambra Guasconi</v>
      </c>
      <c r="K22" s="81">
        <v>3381275344</v>
      </c>
      <c r="L22" s="1864" t="s">
        <v>180</v>
      </c>
      <c r="M22" s="137" t="s">
        <v>181</v>
      </c>
      <c r="N22" s="84" t="s">
        <v>182</v>
      </c>
      <c r="O22" s="85"/>
      <c r="P22" s="86"/>
      <c r="Q22" s="86"/>
      <c r="R22" s="86"/>
      <c r="S22" s="86"/>
      <c r="T22" s="86"/>
      <c r="U22" s="86"/>
      <c r="V22" s="86"/>
      <c r="W22" s="86"/>
      <c r="X22" s="86"/>
      <c r="Y22" s="87"/>
      <c r="Z22" s="86"/>
      <c r="AA22" s="86"/>
      <c r="AB22" s="86"/>
      <c r="AC22" s="86"/>
      <c r="AD22" s="86" t="s">
        <v>183</v>
      </c>
      <c r="AE22" s="138" t="str">
        <f>L22</f>
        <v>faremo entrambi un bonifico di 200€ e poi Luigi salderà ad Ottobre ed io prima dell'estate va bene</v>
      </c>
      <c r="AF22" s="89"/>
      <c r="AG22" s="75"/>
      <c r="AH22" s="75"/>
      <c r="AI22" s="89"/>
      <c r="AJ22" s="75"/>
      <c r="AK22" s="75"/>
      <c r="AL22" s="75"/>
      <c r="AM22" s="89"/>
      <c r="AN22" s="90"/>
      <c r="AO22" s="90"/>
      <c r="AP22" s="90"/>
      <c r="AQ22" s="89"/>
      <c r="AR22" s="75"/>
      <c r="AS22" s="75"/>
      <c r="AT22" s="75"/>
      <c r="AU22" s="89"/>
      <c r="AV22" s="75"/>
      <c r="AW22" s="75"/>
      <c r="AX22" s="75"/>
      <c r="AY22" s="89"/>
      <c r="AZ22" s="75" t="s">
        <v>115</v>
      </c>
      <c r="BA22" s="75" t="s">
        <v>115</v>
      </c>
      <c r="BB22" s="135" t="s">
        <v>115</v>
      </c>
      <c r="BC22" s="89"/>
      <c r="BD22" s="75"/>
      <c r="BE22" s="75"/>
      <c r="BF22" s="75"/>
      <c r="BG22" s="89"/>
      <c r="BH22" s="92">
        <f>CF22+CI22+CL22+CO22+CR22</f>
        <v>2997.0044262295082</v>
      </c>
      <c r="BI22" s="92">
        <f>CH22+CK22+CN22+CQ22+CT22</f>
        <v>2997</v>
      </c>
      <c r="BJ22" s="92">
        <f>BH22-BI22</f>
        <v>4.4262295082262426E-3</v>
      </c>
      <c r="BK22" s="93"/>
      <c r="BL22" s="94"/>
      <c r="BM22" s="95"/>
      <c r="BN22" s="127">
        <v>2997</v>
      </c>
      <c r="BO22" s="128"/>
      <c r="BP22" s="80" t="s">
        <v>184</v>
      </c>
      <c r="BQ22" s="98">
        <v>0.15</v>
      </c>
      <c r="BR22" s="99"/>
      <c r="BS22" s="100"/>
      <c r="BT22" s="101">
        <f>BM22*BQ22</f>
        <v>0</v>
      </c>
      <c r="BU22" s="102">
        <f>BN22*BQ22</f>
        <v>449.55</v>
      </c>
      <c r="BV22" s="103">
        <f>BO22*BQ22</f>
        <v>0</v>
      </c>
      <c r="BW22" s="84" t="s">
        <v>185</v>
      </c>
      <c r="BX22" s="105" t="s">
        <v>184</v>
      </c>
      <c r="BY22" s="98">
        <v>0.05</v>
      </c>
      <c r="BZ22" s="99"/>
      <c r="CA22" s="100"/>
      <c r="CB22" s="101">
        <f>BM22*BY22</f>
        <v>0</v>
      </c>
      <c r="CC22" s="106">
        <f>BN22*BY22</f>
        <v>149.85</v>
      </c>
      <c r="CD22" s="107">
        <f>BO22*BY22</f>
        <v>0</v>
      </c>
      <c r="CE22" s="84" t="s">
        <v>185</v>
      </c>
      <c r="CF22" s="108">
        <f>200/1.22</f>
        <v>163.9344262295082</v>
      </c>
      <c r="CG22" s="109">
        <v>45009</v>
      </c>
      <c r="CH22" s="108">
        <v>163.93</v>
      </c>
      <c r="CI22" s="108">
        <f>2997-163.93</f>
        <v>2833.07</v>
      </c>
      <c r="CJ22" s="109">
        <v>45142</v>
      </c>
      <c r="CK22" s="108">
        <f>2997-163.93</f>
        <v>2833.07</v>
      </c>
      <c r="CL22" s="111"/>
      <c r="CM22" s="109"/>
      <c r="CN22" s="111"/>
      <c r="CO22" s="111"/>
      <c r="CP22" s="111"/>
      <c r="CQ22" s="111"/>
      <c r="CR22" s="111"/>
      <c r="CS22" s="111"/>
      <c r="CT22" s="111"/>
      <c r="CU22" s="90">
        <v>1</v>
      </c>
      <c r="CV22" s="112" t="s">
        <v>121</v>
      </c>
      <c r="CW22" s="112"/>
      <c r="CX22" s="113"/>
      <c r="CY22" s="90" t="s">
        <v>122</v>
      </c>
      <c r="CZ22" s="90"/>
      <c r="DA22" s="139" t="s">
        <v>186</v>
      </c>
      <c r="DB22" s="115" t="str">
        <f>PROPER(N22)</f>
        <v>Golden Group</v>
      </c>
      <c r="DC22" s="116" t="s">
        <v>187</v>
      </c>
      <c r="DD22" s="116" t="str">
        <f>BP22</f>
        <v>Cristian A</v>
      </c>
      <c r="DE22" s="117">
        <f>BU22</f>
        <v>449.55</v>
      </c>
      <c r="DF22" s="117">
        <f>CC22</f>
        <v>149.85</v>
      </c>
      <c r="DG22" s="116" t="str">
        <f>BX22</f>
        <v>Cristian A</v>
      </c>
      <c r="DH22" s="76"/>
      <c r="DI22" s="120" t="s">
        <v>126</v>
      </c>
      <c r="DJ22" s="120"/>
      <c r="DK22" s="121"/>
      <c r="DL22" s="121"/>
      <c r="DM22" s="122">
        <v>1</v>
      </c>
      <c r="DN22" s="6"/>
      <c r="DO22" s="6"/>
      <c r="DP22" s="6"/>
      <c r="DQ22" s="6"/>
      <c r="DR22" s="6"/>
      <c r="DS22" s="6"/>
      <c r="DT22" s="6"/>
      <c r="DU22" s="6"/>
      <c r="DV22" s="6"/>
      <c r="DW22" s="6"/>
      <c r="DX22" s="6"/>
      <c r="DY22" s="6"/>
      <c r="DZ22" s="6"/>
    </row>
    <row r="23" spans="1:130" ht="34.5" hidden="1" customHeight="1">
      <c r="A23" s="228"/>
      <c r="B23" s="75" t="s">
        <v>1078</v>
      </c>
      <c r="C23" s="90"/>
      <c r="D23" s="75"/>
      <c r="E23" s="76"/>
      <c r="F23" s="75"/>
      <c r="G23" s="320" t="s">
        <v>188</v>
      </c>
      <c r="H23" s="320" t="s">
        <v>1098</v>
      </c>
      <c r="I23" s="1833" t="s">
        <v>1099</v>
      </c>
      <c r="J23" s="123" t="str">
        <f>CONCATENATE(G23," ",H23)</f>
        <v>Andrea Andrigo</v>
      </c>
      <c r="K23" s="1850">
        <v>3913427217</v>
      </c>
      <c r="L23" s="1867" t="s">
        <v>1094</v>
      </c>
      <c r="M23" s="1905"/>
      <c r="N23" s="84" t="s">
        <v>1095</v>
      </c>
      <c r="O23" s="1932"/>
      <c r="P23" s="255"/>
      <c r="Q23" s="255"/>
      <c r="R23" s="289" t="s">
        <v>1096</v>
      </c>
      <c r="S23" s="598"/>
      <c r="T23" s="598"/>
      <c r="U23" s="598"/>
      <c r="V23" s="598"/>
      <c r="W23" s="258"/>
      <c r="X23" s="330"/>
      <c r="Y23" s="258"/>
      <c r="Z23" s="258"/>
      <c r="AA23" s="258"/>
      <c r="AB23" s="255"/>
      <c r="AC23" s="256"/>
      <c r="AD23" s="121" t="s">
        <v>1100</v>
      </c>
      <c r="AE23" s="138" t="str">
        <f>L23</f>
        <v>fatturazione mensile con importi ad hoc, anticipata, 1 settimana prima di inizo modulo</v>
      </c>
      <c r="AF23" s="1966"/>
      <c r="AG23" s="90"/>
      <c r="AH23" s="90"/>
      <c r="AI23" s="1966"/>
      <c r="AJ23" s="90"/>
      <c r="AK23" s="90"/>
      <c r="AL23" s="90"/>
      <c r="AM23" s="1966"/>
      <c r="AN23" s="90" t="s">
        <v>115</v>
      </c>
      <c r="AO23" s="90" t="s">
        <v>115</v>
      </c>
      <c r="AP23" s="90"/>
      <c r="AQ23" s="1966"/>
      <c r="AR23" s="75"/>
      <c r="AS23" s="75"/>
      <c r="AT23" s="1988"/>
      <c r="AU23" s="1966"/>
      <c r="AV23" s="75"/>
      <c r="AW23" s="75"/>
      <c r="AX23" s="1988"/>
      <c r="AY23" s="1966"/>
      <c r="AZ23" s="75"/>
      <c r="BA23" s="75"/>
      <c r="BB23" s="177" t="s">
        <v>115</v>
      </c>
      <c r="BC23" s="1966"/>
      <c r="BD23" s="75"/>
      <c r="BE23" s="75"/>
      <c r="BF23" s="75"/>
      <c r="BG23" s="1966"/>
      <c r="BH23" s="92">
        <f>CF23+CI23+CL23+CO23+CR23</f>
        <v>3497</v>
      </c>
      <c r="BI23" s="92">
        <f>CH23+CK23+CN23+CQ23+CT23</f>
        <v>2600</v>
      </c>
      <c r="BJ23" s="92">
        <f>BH23-BI23</f>
        <v>897</v>
      </c>
      <c r="BK23" s="2013"/>
      <c r="BL23" s="2014"/>
      <c r="BM23" s="95"/>
      <c r="BN23" s="127">
        <v>3497</v>
      </c>
      <c r="BO23" s="128"/>
      <c r="BP23" s="80" t="s">
        <v>1034</v>
      </c>
      <c r="BQ23" s="145">
        <v>0.15</v>
      </c>
      <c r="BR23" s="2063"/>
      <c r="BS23" s="276">
        <f>BL23*BQ23</f>
        <v>0</v>
      </c>
      <c r="BT23" s="101">
        <f>BM23*BQ23</f>
        <v>0</v>
      </c>
      <c r="BU23" s="102">
        <f>BN23*BQ23</f>
        <v>524.54999999999995</v>
      </c>
      <c r="BV23" s="103">
        <f>BO23*BQ23</f>
        <v>0</v>
      </c>
      <c r="BW23" s="2042"/>
      <c r="BX23" s="105" t="s">
        <v>525</v>
      </c>
      <c r="BY23" s="98">
        <v>0.1</v>
      </c>
      <c r="BZ23" s="2063"/>
      <c r="CA23" s="276">
        <f>BL23*BY23</f>
        <v>0</v>
      </c>
      <c r="CB23" s="101">
        <f>BM23*BY23</f>
        <v>0</v>
      </c>
      <c r="CC23" s="106">
        <f>BN23*BY23</f>
        <v>349.70000000000005</v>
      </c>
      <c r="CD23" s="107">
        <f>BO23*BY23</f>
        <v>0</v>
      </c>
      <c r="CE23" s="2095"/>
      <c r="CF23" s="108">
        <v>1300</v>
      </c>
      <c r="CG23" s="279">
        <v>44694</v>
      </c>
      <c r="CH23" s="108">
        <v>1300</v>
      </c>
      <c r="CI23" s="108">
        <v>1300</v>
      </c>
      <c r="CJ23" s="109">
        <v>44718</v>
      </c>
      <c r="CK23" s="108">
        <v>1300</v>
      </c>
      <c r="CL23" s="108">
        <v>897</v>
      </c>
      <c r="CM23" s="2116">
        <v>45100</v>
      </c>
      <c r="CN23" s="2096"/>
      <c r="CO23" s="2096"/>
      <c r="CP23" s="2096"/>
      <c r="CQ23" s="2096"/>
      <c r="CR23" s="2096"/>
      <c r="CS23" s="2096"/>
      <c r="CT23" s="2096"/>
      <c r="CU23" s="90"/>
      <c r="CV23" s="112"/>
      <c r="CW23" s="112"/>
      <c r="CX23" s="113"/>
      <c r="CY23" s="2128" t="s">
        <v>122</v>
      </c>
      <c r="CZ23" s="90"/>
      <c r="DA23" s="80"/>
      <c r="DB23" s="115" t="str">
        <f>PROPER(N23)</f>
        <v>Maior Group</v>
      </c>
      <c r="DC23" s="116"/>
      <c r="DD23" s="116" t="str">
        <f>BP23</f>
        <v>Mirco Gasparotto (OSA)</v>
      </c>
      <c r="DE23" s="117" t="b">
        <f>IF(OR(D23&gt;0),IF(BJ23=0,BN23*BQ23,0))</f>
        <v>0</v>
      </c>
      <c r="DF23" s="117" t="b">
        <f>IF(OR(D23&gt;0),IF(BJ23=0,BN23*BY23,0))</f>
        <v>0</v>
      </c>
      <c r="DG23" s="116" t="str">
        <f>BX23</f>
        <v>Bruno</v>
      </c>
      <c r="DH23" s="76"/>
      <c r="DI23" s="120" t="s">
        <v>126</v>
      </c>
      <c r="DJ23" s="120"/>
      <c r="DK23" s="207"/>
      <c r="DL23" s="207"/>
      <c r="DM23" s="248"/>
    </row>
    <row r="24" spans="1:130" ht="34.5" hidden="1" customHeight="1">
      <c r="A24" s="228"/>
      <c r="B24" s="75" t="s">
        <v>1359</v>
      </c>
      <c r="C24" s="90"/>
      <c r="D24" s="75">
        <v>1</v>
      </c>
      <c r="E24" s="76">
        <v>1</v>
      </c>
      <c r="F24" s="75"/>
      <c r="G24" s="400" t="s">
        <v>188</v>
      </c>
      <c r="H24" s="400" t="s">
        <v>1457</v>
      </c>
      <c r="I24" s="113" t="s">
        <v>1458</v>
      </c>
      <c r="J24" s="75" t="str">
        <f>CONCATENATE(G24," ",H24)</f>
        <v>Andrea Bonato</v>
      </c>
      <c r="K24" s="81">
        <v>3496252366</v>
      </c>
      <c r="L24" s="1875" t="s">
        <v>1459</v>
      </c>
      <c r="M24" s="1894" t="s">
        <v>1460</v>
      </c>
      <c r="N24" s="84" t="s">
        <v>1461</v>
      </c>
      <c r="O24" s="1923"/>
      <c r="P24" s="160"/>
      <c r="Q24" s="160"/>
      <c r="R24" s="403"/>
      <c r="S24" s="160"/>
      <c r="T24" s="160"/>
      <c r="U24" s="160"/>
      <c r="V24" s="160"/>
      <c r="W24" s="160"/>
      <c r="X24" s="131"/>
      <c r="Y24" s="160"/>
      <c r="Z24" s="160"/>
      <c r="AA24" s="160"/>
      <c r="AB24" s="37"/>
      <c r="AC24" s="131"/>
      <c r="AD24" s="121" t="s">
        <v>1462</v>
      </c>
      <c r="AE24" s="88"/>
      <c r="AF24" s="1966"/>
      <c r="AG24" s="1970"/>
      <c r="AH24" s="1970"/>
      <c r="AI24" s="1966"/>
      <c r="AJ24" s="90"/>
      <c r="AK24" s="90"/>
      <c r="AL24" s="90"/>
      <c r="AM24" s="89"/>
      <c r="AN24" s="90"/>
      <c r="AO24" s="90"/>
      <c r="AP24" s="90"/>
      <c r="AQ24" s="89"/>
      <c r="AR24" s="75"/>
      <c r="AS24" s="75"/>
      <c r="AT24" s="75"/>
      <c r="AU24" s="89"/>
      <c r="AV24" s="75"/>
      <c r="AW24" s="75"/>
      <c r="AX24" s="75"/>
      <c r="AY24" s="89"/>
      <c r="AZ24" s="75" t="s">
        <v>115</v>
      </c>
      <c r="BA24" s="75" t="s">
        <v>115</v>
      </c>
      <c r="BB24" s="135" t="s">
        <v>115</v>
      </c>
      <c r="BC24" s="89"/>
      <c r="BD24" s="75"/>
      <c r="BE24" s="75"/>
      <c r="BF24" s="75"/>
      <c r="BG24" s="89"/>
      <c r="BH24" s="92">
        <f>CF24+CI24+CL24+CO24+CR24</f>
        <v>2997</v>
      </c>
      <c r="BI24" s="92">
        <f>CH24+CK24+CN24+CQ24+CT24</f>
        <v>2997</v>
      </c>
      <c r="BJ24" s="92">
        <f>BH24-BI24</f>
        <v>0</v>
      </c>
      <c r="BK24" s="271"/>
      <c r="BL24" s="2014"/>
      <c r="BM24" s="95"/>
      <c r="BN24" s="127">
        <v>2997</v>
      </c>
      <c r="BO24" s="128"/>
      <c r="BP24" s="2037" t="s">
        <v>690</v>
      </c>
      <c r="BQ24" s="98">
        <v>0.15</v>
      </c>
      <c r="BR24" s="108"/>
      <c r="BS24" s="276">
        <f>BL24*BQ24</f>
        <v>0</v>
      </c>
      <c r="BT24" s="101">
        <f>BM24*BQ24</f>
        <v>0</v>
      </c>
      <c r="BU24" s="102">
        <f>BN24*BQ24</f>
        <v>449.55</v>
      </c>
      <c r="BV24" s="103">
        <f>BO24*BQ24</f>
        <v>0</v>
      </c>
      <c r="BW24" s="84" t="s">
        <v>185</v>
      </c>
      <c r="BX24" s="105" t="s">
        <v>262</v>
      </c>
      <c r="BY24" s="145">
        <v>0.05</v>
      </c>
      <c r="BZ24" s="108"/>
      <c r="CA24" s="276">
        <f>BL24*BY24</f>
        <v>0</v>
      </c>
      <c r="CB24" s="101">
        <f>BM24*BY24</f>
        <v>0</v>
      </c>
      <c r="CC24" s="106">
        <f>BN24*BY24</f>
        <v>149.85</v>
      </c>
      <c r="CD24" s="107">
        <f>BO24*BY24</f>
        <v>0</v>
      </c>
      <c r="CE24" s="84" t="s">
        <v>185</v>
      </c>
      <c r="CF24" s="108">
        <v>2997</v>
      </c>
      <c r="CG24" s="109">
        <v>45201</v>
      </c>
      <c r="CH24" s="443">
        <v>2997</v>
      </c>
      <c r="CI24" s="2106"/>
      <c r="CJ24" s="184"/>
      <c r="CK24" s="2106"/>
      <c r="CL24" s="2106"/>
      <c r="CM24" s="184"/>
      <c r="CN24" s="2106"/>
      <c r="CO24" s="130"/>
      <c r="CP24" s="130"/>
      <c r="CQ24" s="130"/>
      <c r="CR24" s="130"/>
      <c r="CS24" s="130"/>
      <c r="CT24" s="130"/>
      <c r="CU24" s="90">
        <v>1</v>
      </c>
      <c r="CV24" s="112"/>
      <c r="CW24" s="112"/>
      <c r="CX24" s="112"/>
      <c r="CY24" s="90"/>
      <c r="CZ24" s="75"/>
      <c r="DA24" s="2132" t="s">
        <v>501</v>
      </c>
      <c r="DB24" s="115" t="str">
        <f>PROPER(N24)</f>
        <v>Forgia Rapida</v>
      </c>
      <c r="DC24" s="2162" t="s">
        <v>1463</v>
      </c>
      <c r="DD24" s="116" t="str">
        <f>BP24</f>
        <v>MAW</v>
      </c>
      <c r="DE24" s="117">
        <f>IF(OR(D24&gt;0),IF(BJ24=0,BN24*BQ24,0))</f>
        <v>449.55</v>
      </c>
      <c r="DF24" s="117">
        <f>IF(OR(D24&gt;0),IF(BJ24=0,BN24*BY24,0))</f>
        <v>149.85</v>
      </c>
      <c r="DG24" s="118" t="str">
        <f>BX24</f>
        <v>Pacci</v>
      </c>
      <c r="DH24" s="76"/>
      <c r="DI24" s="120" t="s">
        <v>126</v>
      </c>
      <c r="DJ24" s="120"/>
      <c r="DK24" s="74" t="s">
        <v>1418</v>
      </c>
      <c r="DL24" s="74" t="s">
        <v>1418</v>
      </c>
      <c r="DM24" s="122"/>
      <c r="DN24" s="6"/>
      <c r="DO24" s="6"/>
      <c r="DP24" s="6"/>
      <c r="DQ24" s="6"/>
      <c r="DR24" s="6"/>
      <c r="DS24" s="6"/>
      <c r="DT24" s="6"/>
      <c r="DU24" s="6"/>
      <c r="DV24" s="6"/>
      <c r="DW24" s="6"/>
      <c r="DX24" s="6"/>
      <c r="DY24" s="6"/>
      <c r="DZ24" s="6"/>
    </row>
    <row r="25" spans="1:130" ht="34.5" hidden="1" customHeight="1">
      <c r="A25" s="3"/>
      <c r="B25" s="75" t="s">
        <v>108</v>
      </c>
      <c r="C25" s="75"/>
      <c r="D25" s="75"/>
      <c r="E25" s="76"/>
      <c r="F25" s="75"/>
      <c r="G25" s="79" t="s">
        <v>188</v>
      </c>
      <c r="H25" s="79" t="s">
        <v>210</v>
      </c>
      <c r="I25" s="80" t="s">
        <v>211</v>
      </c>
      <c r="J25" s="90" t="str">
        <f>CONCATENATE(G25," ",H25)</f>
        <v>Andrea Silvestri</v>
      </c>
      <c r="K25" s="81">
        <v>3313523810</v>
      </c>
      <c r="L25" s="82" t="s">
        <v>212</v>
      </c>
      <c r="M25" s="83" t="s">
        <v>213</v>
      </c>
      <c r="N25" s="141" t="s">
        <v>214</v>
      </c>
      <c r="O25" s="85"/>
      <c r="P25" s="86"/>
      <c r="Q25" s="86"/>
      <c r="R25" s="86"/>
      <c r="S25" s="86"/>
      <c r="T25" s="86"/>
      <c r="U25" s="86"/>
      <c r="V25" s="86"/>
      <c r="W25" s="86"/>
      <c r="X25" s="86"/>
      <c r="Y25" s="87"/>
      <c r="Z25" s="86"/>
      <c r="AA25" s="86"/>
      <c r="AB25" s="86"/>
      <c r="AC25" s="86"/>
      <c r="AD25" s="86"/>
      <c r="AE25" s="88" t="str">
        <f>L25</f>
        <v>Fatturazione a Matteo Limenta, pagamento il ???</v>
      </c>
      <c r="AF25" s="89"/>
      <c r="AG25" s="75"/>
      <c r="AH25" s="75"/>
      <c r="AI25" s="89"/>
      <c r="AJ25" s="75"/>
      <c r="AK25" s="75"/>
      <c r="AL25" s="75"/>
      <c r="AM25" s="89"/>
      <c r="AN25" s="90"/>
      <c r="AO25" s="90"/>
      <c r="AP25" s="90"/>
      <c r="AQ25" s="89"/>
      <c r="AR25" s="75"/>
      <c r="AS25" s="75"/>
      <c r="AT25" s="75"/>
      <c r="AU25" s="89"/>
      <c r="AV25" s="75"/>
      <c r="AW25" s="75"/>
      <c r="AX25" s="75"/>
      <c r="AY25" s="89"/>
      <c r="AZ25" s="75"/>
      <c r="BA25" s="75"/>
      <c r="BB25" s="75"/>
      <c r="BC25" s="89"/>
      <c r="BD25" s="75" t="s">
        <v>151</v>
      </c>
      <c r="BE25" s="75" t="s">
        <v>151</v>
      </c>
      <c r="BF25" s="75" t="s">
        <v>151</v>
      </c>
      <c r="BG25" s="89"/>
      <c r="BH25" s="92">
        <f>CF25+CI25+CL25+CO25+CR25</f>
        <v>0</v>
      </c>
      <c r="BI25" s="92">
        <f>CH25+CK25+CN25+CQ25+CT25</f>
        <v>0</v>
      </c>
      <c r="BJ25" s="92">
        <f>BH25-BI25</f>
        <v>0</v>
      </c>
      <c r="BK25" s="93"/>
      <c r="BL25" s="94"/>
      <c r="BM25" s="95"/>
      <c r="BN25" s="142"/>
      <c r="BO25" s="128"/>
      <c r="BP25" s="80" t="s">
        <v>166</v>
      </c>
      <c r="BQ25" s="98">
        <v>0.15</v>
      </c>
      <c r="BR25" s="99"/>
      <c r="BS25" s="100"/>
      <c r="BT25" s="101">
        <f>BM25*BQ25</f>
        <v>0</v>
      </c>
      <c r="BU25" s="102">
        <f>BN25*BQ25</f>
        <v>0</v>
      </c>
      <c r="BV25" s="103">
        <f>BO25*BQ25</f>
        <v>0</v>
      </c>
      <c r="BW25" s="80"/>
      <c r="BX25" s="105" t="s">
        <v>166</v>
      </c>
      <c r="BY25" s="98">
        <v>0.05</v>
      </c>
      <c r="BZ25" s="99"/>
      <c r="CA25" s="100"/>
      <c r="CB25" s="101">
        <f>BM25*BY25</f>
        <v>0</v>
      </c>
      <c r="CC25" s="106">
        <f>BN25*BY25</f>
        <v>0</v>
      </c>
      <c r="CD25" s="107">
        <f>BO25*BY25</f>
        <v>0</v>
      </c>
      <c r="CE25" s="90"/>
      <c r="CF25" s="108">
        <v>0</v>
      </c>
      <c r="CG25" s="130" t="s">
        <v>153</v>
      </c>
      <c r="CH25" s="110"/>
      <c r="CI25" s="108"/>
      <c r="CJ25" s="109"/>
      <c r="CK25" s="111"/>
      <c r="CL25" s="111"/>
      <c r="CM25" s="109"/>
      <c r="CN25" s="111"/>
      <c r="CO25" s="111"/>
      <c r="CP25" s="111"/>
      <c r="CQ25" s="111"/>
      <c r="CR25" s="111"/>
      <c r="CS25" s="111"/>
      <c r="CT25" s="111"/>
      <c r="CU25" s="90">
        <v>1</v>
      </c>
      <c r="CV25" s="112" t="s">
        <v>121</v>
      </c>
      <c r="CW25" s="112"/>
      <c r="CX25" s="113"/>
      <c r="CY25" s="90" t="s">
        <v>215</v>
      </c>
      <c r="CZ25" s="90"/>
      <c r="DA25" s="80"/>
      <c r="DB25" s="115" t="str">
        <f>PROPER(N25)</f>
        <v>Rigsave Capital</v>
      </c>
      <c r="DC25" s="116"/>
      <c r="DD25" s="116" t="str">
        <f>BP25</f>
        <v>Matteo</v>
      </c>
      <c r="DE25" s="117" t="b">
        <f>IF(OR(D25&gt;0),IF(BJ25=0,BN25*BQ25,0))</f>
        <v>0</v>
      </c>
      <c r="DF25" s="117" t="b">
        <f>IF(OR(D25&gt;0),IF(BJ25=0,BN25*BY25,0))</f>
        <v>0</v>
      </c>
      <c r="DG25" s="116" t="str">
        <f>BX25</f>
        <v>Matteo</v>
      </c>
      <c r="DH25" s="76"/>
      <c r="DI25" s="120" t="s">
        <v>154</v>
      </c>
      <c r="DJ25" s="120"/>
      <c r="DK25" s="121"/>
      <c r="DL25" s="121"/>
      <c r="DM25" s="122"/>
      <c r="DN25" s="6"/>
      <c r="DO25" s="6"/>
      <c r="DP25" s="6"/>
      <c r="DQ25" s="6"/>
      <c r="DR25" s="6"/>
      <c r="DS25" s="6"/>
      <c r="DT25" s="6"/>
      <c r="DU25" s="6"/>
      <c r="DV25" s="6"/>
      <c r="DW25" s="6"/>
      <c r="DX25" s="6"/>
      <c r="DY25" s="6"/>
      <c r="DZ25" s="6"/>
    </row>
    <row r="26" spans="1:130" ht="34.5" hidden="1" customHeight="1">
      <c r="A26" s="3"/>
      <c r="B26" s="75" t="s">
        <v>108</v>
      </c>
      <c r="C26" s="75"/>
      <c r="D26" s="75"/>
      <c r="E26" s="76"/>
      <c r="F26" s="75"/>
      <c r="G26" s="79" t="s">
        <v>216</v>
      </c>
      <c r="H26" s="79" t="s">
        <v>217</v>
      </c>
      <c r="I26" s="80" t="s">
        <v>218</v>
      </c>
      <c r="J26" s="90" t="str">
        <f>CONCATENATE(G26," ",H26)</f>
        <v>Giulia Moraglia</v>
      </c>
      <c r="K26" s="81">
        <v>3493828504</v>
      </c>
      <c r="L26" s="82" t="s">
        <v>212</v>
      </c>
      <c r="M26" s="83" t="s">
        <v>219</v>
      </c>
      <c r="N26" s="141" t="s">
        <v>214</v>
      </c>
      <c r="O26" s="85"/>
      <c r="P26" s="86"/>
      <c r="Q26" s="86"/>
      <c r="R26" s="86"/>
      <c r="S26" s="86"/>
      <c r="T26" s="86"/>
      <c r="U26" s="86"/>
      <c r="V26" s="86"/>
      <c r="W26" s="86"/>
      <c r="X26" s="86"/>
      <c r="Y26" s="87"/>
      <c r="Z26" s="86"/>
      <c r="AA26" s="86"/>
      <c r="AB26" s="86"/>
      <c r="AC26" s="86"/>
      <c r="AD26" s="86"/>
      <c r="AE26" s="88" t="str">
        <f>L26</f>
        <v>Fatturazione a Matteo Limenta, pagamento il ???</v>
      </c>
      <c r="AF26" s="89"/>
      <c r="AG26" s="75"/>
      <c r="AH26" s="75"/>
      <c r="AI26" s="89"/>
      <c r="AJ26" s="75"/>
      <c r="AK26" s="75"/>
      <c r="AL26" s="75"/>
      <c r="AM26" s="89"/>
      <c r="AN26" s="90"/>
      <c r="AO26" s="90"/>
      <c r="AP26" s="90"/>
      <c r="AQ26" s="89"/>
      <c r="AR26" s="75"/>
      <c r="AS26" s="75"/>
      <c r="AT26" s="75"/>
      <c r="AU26" s="89"/>
      <c r="AV26" s="75"/>
      <c r="AW26" s="75"/>
      <c r="AX26" s="75"/>
      <c r="AY26" s="89"/>
      <c r="AZ26" s="121"/>
      <c r="BA26" s="121"/>
      <c r="BB26" s="121"/>
      <c r="BC26" s="89"/>
      <c r="BD26" s="129" t="s">
        <v>165</v>
      </c>
      <c r="BE26" s="129" t="s">
        <v>165</v>
      </c>
      <c r="BF26" s="129" t="s">
        <v>165</v>
      </c>
      <c r="BG26" s="89"/>
      <c r="BH26" s="92">
        <f>CF26+CI26+CL26+CO26+CR26</f>
        <v>0</v>
      </c>
      <c r="BI26" s="92">
        <f>CH26+CK26+CN26+CQ26+CT26</f>
        <v>0</v>
      </c>
      <c r="BJ26" s="92">
        <f>BH26-BI26</f>
        <v>0</v>
      </c>
      <c r="BK26" s="93"/>
      <c r="BL26" s="94"/>
      <c r="BM26" s="95"/>
      <c r="BN26" s="142"/>
      <c r="BO26" s="128"/>
      <c r="BP26" s="80" t="s">
        <v>166</v>
      </c>
      <c r="BQ26" s="98">
        <v>0.15</v>
      </c>
      <c r="BR26" s="99"/>
      <c r="BS26" s="100"/>
      <c r="BT26" s="101">
        <f>BM26*BQ26</f>
        <v>0</v>
      </c>
      <c r="BU26" s="102">
        <f>BO26*BQ26</f>
        <v>0</v>
      </c>
      <c r="BV26" s="103">
        <f>BO26*BQ26</f>
        <v>0</v>
      </c>
      <c r="BW26" s="80"/>
      <c r="BX26" s="105" t="s">
        <v>166</v>
      </c>
      <c r="BY26" s="98">
        <v>0.05</v>
      </c>
      <c r="BZ26" s="99"/>
      <c r="CA26" s="100"/>
      <c r="CB26" s="101">
        <f>BM26*BY26</f>
        <v>0</v>
      </c>
      <c r="CC26" s="106">
        <f>BN26*BY26</f>
        <v>0</v>
      </c>
      <c r="CD26" s="107">
        <f>BO26*BY26</f>
        <v>0</v>
      </c>
      <c r="CE26" s="90"/>
      <c r="CF26" s="108">
        <v>0</v>
      </c>
      <c r="CG26" s="130" t="s">
        <v>153</v>
      </c>
      <c r="CH26" s="110"/>
      <c r="CI26" s="108"/>
      <c r="CJ26" s="109"/>
      <c r="CK26" s="111"/>
      <c r="CL26" s="111"/>
      <c r="CM26" s="109"/>
      <c r="CN26" s="111"/>
      <c r="CO26" s="111"/>
      <c r="CP26" s="111"/>
      <c r="CQ26" s="111"/>
      <c r="CR26" s="111"/>
      <c r="CS26" s="111"/>
      <c r="CT26" s="111"/>
      <c r="CU26" s="90">
        <v>1</v>
      </c>
      <c r="CV26" s="112" t="s">
        <v>121</v>
      </c>
      <c r="CW26" s="112"/>
      <c r="CX26" s="113"/>
      <c r="CY26" s="90" t="s">
        <v>122</v>
      </c>
      <c r="CZ26" s="90"/>
      <c r="DA26" s="80"/>
      <c r="DB26" s="115" t="str">
        <f>PROPER(N26)</f>
        <v>Rigsave Capital</v>
      </c>
      <c r="DC26" s="116"/>
      <c r="DD26" s="116" t="str">
        <f>BP26</f>
        <v>Matteo</v>
      </c>
      <c r="DE26" s="117" t="b">
        <f>IF(OR(D26&gt;0),IF(BJ26=0,BN26*BQ26,0))</f>
        <v>0</v>
      </c>
      <c r="DF26" s="117" t="b">
        <f>IF(OR(D26&gt;0),IF(BJ26=0,BN26*BY26,0))</f>
        <v>0</v>
      </c>
      <c r="DG26" s="116" t="str">
        <f>BX26</f>
        <v>Matteo</v>
      </c>
      <c r="DH26" s="76"/>
      <c r="DI26" s="120" t="s">
        <v>154</v>
      </c>
      <c r="DJ26" s="120"/>
      <c r="DK26" s="121"/>
      <c r="DL26" s="121"/>
      <c r="DM26" s="122"/>
      <c r="DN26" s="6"/>
      <c r="DO26" s="6"/>
      <c r="DP26" s="6"/>
      <c r="DQ26" s="6"/>
      <c r="DR26" s="6"/>
      <c r="DS26" s="6"/>
      <c r="DT26" s="6"/>
      <c r="DU26" s="6"/>
      <c r="DV26" s="6"/>
      <c r="DW26" s="6"/>
      <c r="DX26" s="6"/>
      <c r="DY26" s="6"/>
      <c r="DZ26" s="6"/>
    </row>
    <row r="27" spans="1:130" ht="34.5" hidden="1" customHeight="1">
      <c r="A27" s="3"/>
      <c r="B27" s="75" t="s">
        <v>108</v>
      </c>
      <c r="C27" s="75"/>
      <c r="D27" s="75">
        <v>1</v>
      </c>
      <c r="E27" s="76"/>
      <c r="F27" s="75"/>
      <c r="G27" s="79" t="s">
        <v>188</v>
      </c>
      <c r="H27" s="79" t="s">
        <v>189</v>
      </c>
      <c r="I27" s="80" t="s">
        <v>190</v>
      </c>
      <c r="J27" s="75" t="str">
        <f>CONCATENATE(G27," ",H27)</f>
        <v>Andrea Bono</v>
      </c>
      <c r="K27" s="81">
        <v>3381650140</v>
      </c>
      <c r="L27" s="82" t="s">
        <v>191</v>
      </c>
      <c r="M27" s="83"/>
      <c r="N27" s="84" t="s">
        <v>192</v>
      </c>
      <c r="O27" s="85"/>
      <c r="P27" s="86"/>
      <c r="Q27" s="86"/>
      <c r="R27" s="86"/>
      <c r="S27" s="86"/>
      <c r="T27" s="86"/>
      <c r="U27" s="86"/>
      <c r="V27" s="86"/>
      <c r="W27" s="86"/>
      <c r="X27" s="86"/>
      <c r="Y27" s="87"/>
      <c r="Z27" s="86"/>
      <c r="AA27" s="86"/>
      <c r="AB27" s="86"/>
      <c r="AC27" s="86"/>
      <c r="AD27" s="86" t="s">
        <v>193</v>
      </c>
      <c r="AE27" s="88" t="str">
        <f>L27</f>
        <v>Non indicare i nomi dei partecipanti in fattura</v>
      </c>
      <c r="AF27" s="89"/>
      <c r="AG27" s="75"/>
      <c r="AH27" s="75"/>
      <c r="AI27" s="89"/>
      <c r="AJ27" s="75"/>
      <c r="AK27" s="75"/>
      <c r="AL27" s="75"/>
      <c r="AM27" s="89"/>
      <c r="AN27" s="90"/>
      <c r="AO27" s="90"/>
      <c r="AP27" s="90"/>
      <c r="AQ27" s="89"/>
      <c r="AR27" s="75"/>
      <c r="AS27" s="75"/>
      <c r="AT27" s="75"/>
      <c r="AU27" s="89"/>
      <c r="AV27" s="75"/>
      <c r="AW27" s="75"/>
      <c r="AX27" s="75"/>
      <c r="AY27" s="89"/>
      <c r="AZ27" s="75" t="s">
        <v>115</v>
      </c>
      <c r="BA27" s="129" t="s">
        <v>194</v>
      </c>
      <c r="BB27" s="121" t="s">
        <v>115</v>
      </c>
      <c r="BC27" s="89"/>
      <c r="BD27" s="75"/>
      <c r="BE27" s="75" t="s">
        <v>115</v>
      </c>
      <c r="BF27" s="75"/>
      <c r="BG27" s="89"/>
      <c r="BH27" s="92">
        <f>CF27+CI27+CL27+CO27+CR27</f>
        <v>2997</v>
      </c>
      <c r="BI27" s="92">
        <f>CH27+CK27+CN27+CQ27+CT27</f>
        <v>2997</v>
      </c>
      <c r="BJ27" s="92">
        <f>BH27-BI27</f>
        <v>0</v>
      </c>
      <c r="BK27" s="93"/>
      <c r="BL27" s="94"/>
      <c r="BM27" s="95"/>
      <c r="BN27" s="127">
        <v>2997</v>
      </c>
      <c r="BO27" s="128"/>
      <c r="BP27" s="80" t="s">
        <v>184</v>
      </c>
      <c r="BQ27" s="98">
        <v>0.15</v>
      </c>
      <c r="BR27" s="99"/>
      <c r="BS27" s="100"/>
      <c r="BT27" s="101">
        <f>BM27*BQ27</f>
        <v>0</v>
      </c>
      <c r="BU27" s="102">
        <f>BN27*BQ27</f>
        <v>449.55</v>
      </c>
      <c r="BV27" s="103">
        <f>BO27*BQ27</f>
        <v>0</v>
      </c>
      <c r="BW27" s="84" t="s">
        <v>185</v>
      </c>
      <c r="BX27" s="105" t="s">
        <v>184</v>
      </c>
      <c r="BY27" s="98">
        <v>0.05</v>
      </c>
      <c r="BZ27" s="99"/>
      <c r="CA27" s="100"/>
      <c r="CB27" s="101">
        <f>BM27*BY27</f>
        <v>0</v>
      </c>
      <c r="CC27" s="106">
        <f>BN27*BY27</f>
        <v>149.85</v>
      </c>
      <c r="CD27" s="107">
        <f>BO27*BY27</f>
        <v>0</v>
      </c>
      <c r="CE27" s="84" t="s">
        <v>185</v>
      </c>
      <c r="CF27" s="108">
        <v>2997</v>
      </c>
      <c r="CG27" s="109">
        <v>45012</v>
      </c>
      <c r="CH27" s="108">
        <v>2997</v>
      </c>
      <c r="CI27" s="108"/>
      <c r="CJ27" s="109"/>
      <c r="CK27" s="111"/>
      <c r="CL27" s="111"/>
      <c r="CM27" s="109"/>
      <c r="CN27" s="111"/>
      <c r="CO27" s="111"/>
      <c r="CP27" s="111"/>
      <c r="CQ27" s="111"/>
      <c r="CR27" s="111"/>
      <c r="CS27" s="111"/>
      <c r="CT27" s="111"/>
      <c r="CU27" s="90">
        <v>1</v>
      </c>
      <c r="CV27" s="112" t="s">
        <v>121</v>
      </c>
      <c r="CW27" s="112"/>
      <c r="CX27" s="113"/>
      <c r="CY27" s="90" t="s">
        <v>122</v>
      </c>
      <c r="CZ27" s="90"/>
      <c r="DA27" s="80" t="s">
        <v>195</v>
      </c>
      <c r="DB27" s="115" t="str">
        <f>PROPER(N27)</f>
        <v>Depur-Vebo</v>
      </c>
      <c r="DC27" s="116" t="s">
        <v>196</v>
      </c>
      <c r="DD27" s="116" t="str">
        <f>BP27</f>
        <v>Cristian A</v>
      </c>
      <c r="DE27" s="117">
        <f>IF(OR(D27&gt;0),IF(BJ27=0,BN27*BQ27,0))</f>
        <v>449.55</v>
      </c>
      <c r="DF27" s="117">
        <f>IF(OR(D27&gt;0),IF(BJ27=0,BN27*BY27,0))</f>
        <v>149.85</v>
      </c>
      <c r="DG27" s="116" t="str">
        <f>BX27</f>
        <v>Cristian A</v>
      </c>
      <c r="DH27" s="76"/>
      <c r="DI27" s="120" t="s">
        <v>126</v>
      </c>
      <c r="DJ27" s="120"/>
      <c r="DK27" s="121"/>
      <c r="DL27" s="121"/>
      <c r="DM27" s="122"/>
      <c r="DN27" s="6"/>
      <c r="DO27" s="6"/>
      <c r="DP27" s="6"/>
      <c r="DQ27" s="6"/>
      <c r="DR27" s="6"/>
      <c r="DS27" s="6"/>
      <c r="DT27" s="6"/>
      <c r="DU27" s="6"/>
      <c r="DV27" s="6"/>
      <c r="DW27" s="6"/>
      <c r="DX27" s="6"/>
      <c r="DY27" s="6"/>
      <c r="DZ27" s="6"/>
    </row>
    <row r="28" spans="1:130" ht="34.5" hidden="1" customHeight="1">
      <c r="A28" s="3"/>
      <c r="B28" s="129" t="s">
        <v>108</v>
      </c>
      <c r="C28" s="75"/>
      <c r="D28" s="75"/>
      <c r="E28" s="76"/>
      <c r="F28" s="75"/>
      <c r="G28" s="79" t="s">
        <v>225</v>
      </c>
      <c r="H28" s="79" t="s">
        <v>226</v>
      </c>
      <c r="I28" s="80" t="s">
        <v>227</v>
      </c>
      <c r="J28" s="90" t="str">
        <f>CONCATENATE(G28," ",H28)</f>
        <v>Julius Andreas Bergman</v>
      </c>
      <c r="K28" s="81">
        <v>3484423473</v>
      </c>
      <c r="L28" s="138" t="s">
        <v>228</v>
      </c>
      <c r="M28" s="83"/>
      <c r="N28" s="84" t="s">
        <v>229</v>
      </c>
      <c r="O28" s="85"/>
      <c r="P28" s="86"/>
      <c r="Q28" s="86"/>
      <c r="R28" s="86"/>
      <c r="S28" s="86"/>
      <c r="T28" s="86"/>
      <c r="U28" s="86"/>
      <c r="V28" s="86"/>
      <c r="W28" s="86"/>
      <c r="X28" s="86"/>
      <c r="Y28" s="87"/>
      <c r="Z28" s="86"/>
      <c r="AA28" s="86"/>
      <c r="AB28" s="86"/>
      <c r="AC28" s="86"/>
      <c r="AD28" s="86"/>
      <c r="AE28" s="138" t="str">
        <f>L28</f>
        <v>opzione di pagamento e date da confermare. Momento di difficoltà aziendale, stanno facendo tagli anche su altre cose e quindi problema economico.</v>
      </c>
      <c r="AF28" s="89"/>
      <c r="AG28" s="75"/>
      <c r="AH28" s="75"/>
      <c r="AI28" s="89"/>
      <c r="AJ28" s="75"/>
      <c r="AK28" s="75"/>
      <c r="AL28" s="75"/>
      <c r="AM28" s="89"/>
      <c r="AN28" s="90"/>
      <c r="AO28" s="90"/>
      <c r="AP28" s="90"/>
      <c r="AQ28" s="89"/>
      <c r="AR28" s="75"/>
      <c r="AS28" s="75"/>
      <c r="AT28" s="75"/>
      <c r="AU28" s="89"/>
      <c r="AV28" s="75"/>
      <c r="AW28" s="75"/>
      <c r="AX28" s="75"/>
      <c r="AY28" s="89"/>
      <c r="AZ28" s="75"/>
      <c r="BA28" s="75"/>
      <c r="BB28" s="75"/>
      <c r="BC28" s="89"/>
      <c r="BD28" s="75" t="s">
        <v>151</v>
      </c>
      <c r="BE28" s="75" t="s">
        <v>151</v>
      </c>
      <c r="BF28" s="75" t="s">
        <v>151</v>
      </c>
      <c r="BG28" s="89"/>
      <c r="BH28" s="92">
        <f>CF28+CI28+CL28+CO28+CR28</f>
        <v>0</v>
      </c>
      <c r="BI28" s="92">
        <f>CH28+CK28+CN28+CQ28+CT28</f>
        <v>0</v>
      </c>
      <c r="BJ28" s="92">
        <f>BH28-BI28</f>
        <v>0</v>
      </c>
      <c r="BK28" s="93"/>
      <c r="BL28" s="94"/>
      <c r="BM28" s="95"/>
      <c r="BN28" s="96"/>
      <c r="BO28" s="97"/>
      <c r="BP28" s="80" t="s">
        <v>117</v>
      </c>
      <c r="BQ28" s="98">
        <v>0</v>
      </c>
      <c r="BR28" s="99"/>
      <c r="BS28" s="100"/>
      <c r="BT28" s="101">
        <f>BM28*BQ28</f>
        <v>0</v>
      </c>
      <c r="BU28" s="102">
        <f>BN28*BQ28</f>
        <v>0</v>
      </c>
      <c r="BV28" s="103">
        <f>BO28*BQ28</f>
        <v>0</v>
      </c>
      <c r="BW28" s="80" t="s">
        <v>118</v>
      </c>
      <c r="BX28" s="105" t="s">
        <v>152</v>
      </c>
      <c r="BY28" s="98">
        <v>0.05</v>
      </c>
      <c r="BZ28" s="99"/>
      <c r="CA28" s="100"/>
      <c r="CB28" s="101">
        <f>BM28*BY28</f>
        <v>0</v>
      </c>
      <c r="CC28" s="106">
        <f>BN28*BY28</f>
        <v>0</v>
      </c>
      <c r="CD28" s="107">
        <f>BO28*BY28</f>
        <v>0</v>
      </c>
      <c r="CE28" s="90"/>
      <c r="CF28" s="108">
        <v>0</v>
      </c>
      <c r="CG28" s="109"/>
      <c r="CH28" s="110"/>
      <c r="CI28" s="108"/>
      <c r="CJ28" s="109"/>
      <c r="CK28" s="111"/>
      <c r="CL28" s="111"/>
      <c r="CM28" s="109"/>
      <c r="CN28" s="111"/>
      <c r="CO28" s="111"/>
      <c r="CP28" s="111"/>
      <c r="CQ28" s="111"/>
      <c r="CR28" s="111"/>
      <c r="CS28" s="111"/>
      <c r="CT28" s="111"/>
      <c r="CU28" s="90">
        <v>1</v>
      </c>
      <c r="CV28" s="112" t="s">
        <v>121</v>
      </c>
      <c r="CW28" s="112"/>
      <c r="CX28" s="113"/>
      <c r="CY28" s="90" t="s">
        <v>122</v>
      </c>
      <c r="CZ28" s="90"/>
      <c r="DA28" s="80"/>
      <c r="DB28" s="115" t="str">
        <f>PROPER(N28)</f>
        <v>Eurocomponents</v>
      </c>
      <c r="DC28" s="116"/>
      <c r="DD28" s="116" t="str">
        <f>BP28</f>
        <v>blackship</v>
      </c>
      <c r="DE28" s="117" t="b">
        <f>IF(OR(D28&gt;0),IF(BJ28=0,BN28*BQ28,0))</f>
        <v>0</v>
      </c>
      <c r="DF28" s="117" t="b">
        <f>IF(OR(D28&gt;0),IF(BJ28=0,BN28*BY28,0))</f>
        <v>0</v>
      </c>
      <c r="DG28" s="116" t="str">
        <f>BX28</f>
        <v>Client Angel</v>
      </c>
      <c r="DH28" s="76"/>
      <c r="DI28" s="120" t="s">
        <v>154</v>
      </c>
      <c r="DJ28" s="120"/>
      <c r="DK28" s="121"/>
      <c r="DL28" s="121"/>
      <c r="DM28" s="122"/>
      <c r="DN28" s="6"/>
      <c r="DO28" s="6"/>
      <c r="DP28" s="6"/>
      <c r="DQ28" s="6"/>
      <c r="DR28" s="6"/>
      <c r="DS28" s="6"/>
      <c r="DT28" s="6"/>
      <c r="DU28" s="6"/>
      <c r="DV28" s="6"/>
      <c r="DW28" s="6"/>
      <c r="DX28" s="6"/>
      <c r="DY28" s="6"/>
      <c r="DZ28" s="6"/>
    </row>
    <row r="29" spans="1:130" ht="34.5" hidden="1" customHeight="1">
      <c r="A29" s="228"/>
      <c r="B29" s="75" t="s">
        <v>961</v>
      </c>
      <c r="C29" s="90"/>
      <c r="D29" s="75"/>
      <c r="E29" s="76"/>
      <c r="F29" s="75"/>
      <c r="G29" s="283" t="s">
        <v>188</v>
      </c>
      <c r="H29" s="283" t="s">
        <v>962</v>
      </c>
      <c r="I29" s="113" t="s">
        <v>963</v>
      </c>
      <c r="J29" s="123" t="str">
        <f>CONCATENATE(G29," ",H29)</f>
        <v>Andrea Bugatti</v>
      </c>
      <c r="K29" s="1850">
        <v>3358131218</v>
      </c>
      <c r="L29" s="1867" t="s">
        <v>964</v>
      </c>
      <c r="M29" s="80"/>
      <c r="N29" s="84" t="s">
        <v>965</v>
      </c>
      <c r="O29" s="1925"/>
      <c r="P29" s="37"/>
      <c r="Q29" s="37"/>
      <c r="R29" s="131" t="s">
        <v>966</v>
      </c>
      <c r="S29" s="160"/>
      <c r="T29" s="160"/>
      <c r="U29" s="160"/>
      <c r="V29" s="160"/>
      <c r="W29" s="233"/>
      <c r="X29" s="234"/>
      <c r="Y29" s="233"/>
      <c r="Z29" s="233"/>
      <c r="AA29" s="233"/>
      <c r="AB29" s="37"/>
      <c r="AC29" s="37"/>
      <c r="AD29" s="37" t="s">
        <v>967</v>
      </c>
      <c r="AE29" s="138" t="str">
        <f>L29</f>
        <v>gli altri due colleghi hanno espresso la volontà di ritornare ma NON hanno il sb</v>
      </c>
      <c r="AF29" s="89"/>
      <c r="AG29" s="75"/>
      <c r="AH29" s="75"/>
      <c r="AI29" s="89"/>
      <c r="AJ29" s="75"/>
      <c r="AK29" s="75"/>
      <c r="AL29" s="75"/>
      <c r="AM29" s="89"/>
      <c r="AN29" s="90" t="s">
        <v>115</v>
      </c>
      <c r="AO29" s="90" t="s">
        <v>115</v>
      </c>
      <c r="AP29" s="90"/>
      <c r="AQ29" s="89"/>
      <c r="AR29" s="75"/>
      <c r="AS29" s="75"/>
      <c r="AT29" s="75"/>
      <c r="AU29" s="89"/>
      <c r="AV29" s="75"/>
      <c r="AW29" s="75"/>
      <c r="AX29" s="129" t="s">
        <v>194</v>
      </c>
      <c r="AY29" s="89"/>
      <c r="AZ29" s="75"/>
      <c r="BA29" s="75"/>
      <c r="BB29" s="121" t="s">
        <v>115</v>
      </c>
      <c r="BC29" s="89"/>
      <c r="BD29" s="75"/>
      <c r="BE29" s="75"/>
      <c r="BF29" s="75"/>
      <c r="BG29" s="89"/>
      <c r="BH29" s="92">
        <f>CF29+CI29+CL29+CO29+CR29</f>
        <v>0</v>
      </c>
      <c r="BI29" s="92">
        <f>CH29+CK29+CN29+CQ29+CT29</f>
        <v>0</v>
      </c>
      <c r="BJ29" s="92">
        <f>BH29-BI29</f>
        <v>0</v>
      </c>
      <c r="BK29" s="271">
        <f>BH29</f>
        <v>0</v>
      </c>
      <c r="BL29" s="2014">
        <f>BH29-BK29</f>
        <v>0</v>
      </c>
      <c r="BM29" s="95"/>
      <c r="BN29" s="127"/>
      <c r="BO29" s="128"/>
      <c r="BP29" s="2042" t="s">
        <v>184</v>
      </c>
      <c r="BQ29" s="98">
        <v>0.05</v>
      </c>
      <c r="BR29" s="108">
        <f>BH29*BQ29</f>
        <v>0</v>
      </c>
      <c r="BS29" s="276"/>
      <c r="BT29" s="101"/>
      <c r="BU29" s="102">
        <f>BN29*BQ29</f>
        <v>0</v>
      </c>
      <c r="BV29" s="103">
        <f>BO29*BQ29</f>
        <v>0</v>
      </c>
      <c r="BW29" s="2042" t="s">
        <v>968</v>
      </c>
      <c r="BX29" s="105" t="s">
        <v>184</v>
      </c>
      <c r="BY29" s="98">
        <v>0.05</v>
      </c>
      <c r="BZ29" s="108">
        <f>BH29*BY29</f>
        <v>0</v>
      </c>
      <c r="CA29" s="276"/>
      <c r="CB29" s="101">
        <f>BM29*BY29</f>
        <v>0</v>
      </c>
      <c r="CC29" s="106">
        <f>BN29*BY29</f>
        <v>0</v>
      </c>
      <c r="CD29" s="107">
        <f>BO29*BY29</f>
        <v>0</v>
      </c>
      <c r="CE29" s="411" t="s">
        <v>968</v>
      </c>
      <c r="CF29" s="108"/>
      <c r="CG29" s="279"/>
      <c r="CH29" s="110"/>
      <c r="CI29" s="108"/>
      <c r="CJ29" s="109"/>
      <c r="CK29" s="111"/>
      <c r="CL29" s="111"/>
      <c r="CM29" s="109"/>
      <c r="CN29" s="111"/>
      <c r="CO29" s="111"/>
      <c r="CP29" s="111"/>
      <c r="CQ29" s="111"/>
      <c r="CR29" s="111"/>
      <c r="CS29" s="111"/>
      <c r="CT29" s="111"/>
      <c r="CU29" s="90">
        <v>1</v>
      </c>
      <c r="CV29" s="112"/>
      <c r="CW29" s="112"/>
      <c r="CX29" s="113" t="s">
        <v>969</v>
      </c>
      <c r="CY29" s="2128" t="s">
        <v>122</v>
      </c>
      <c r="CZ29" s="90"/>
      <c r="DA29" s="80"/>
      <c r="DB29" s="115" t="str">
        <f>PROPER(N29)</f>
        <v>Landa Illuminotecnica</v>
      </c>
      <c r="DC29" s="116"/>
      <c r="DD29" s="116" t="str">
        <f>BP29</f>
        <v>Cristian A</v>
      </c>
      <c r="DE29" s="117" t="b">
        <f>IF(OR(D29&gt;0),IF(BJ29=0,BN29*BQ29,0))</f>
        <v>0</v>
      </c>
      <c r="DF29" s="117" t="b">
        <f>IF(OR(D29&gt;0),IF(BJ29=0,BN29*BY29,0))</f>
        <v>0</v>
      </c>
      <c r="DG29" s="116" t="str">
        <f>BX29</f>
        <v>Cristian A</v>
      </c>
      <c r="DH29" s="76"/>
      <c r="DI29" s="120" t="s">
        <v>126</v>
      </c>
      <c r="DJ29" s="120"/>
      <c r="DK29" s="207"/>
      <c r="DL29" s="207"/>
      <c r="DM29" s="248">
        <v>1</v>
      </c>
    </row>
    <row r="30" spans="1:130" ht="34.5" hidden="1" customHeight="1">
      <c r="A30" s="3"/>
      <c r="B30" s="75" t="s">
        <v>108</v>
      </c>
      <c r="C30" s="75"/>
      <c r="D30" s="75"/>
      <c r="E30" s="76"/>
      <c r="F30" s="75"/>
      <c r="G30" s="79" t="s">
        <v>238</v>
      </c>
      <c r="H30" s="79" t="s">
        <v>239</v>
      </c>
      <c r="I30" s="80" t="s">
        <v>240</v>
      </c>
      <c r="J30" s="90" t="str">
        <f>CONCATENATE(G30," ",H30)</f>
        <v>Carlo Bonanno</v>
      </c>
      <c r="K30" s="81">
        <v>3284189359</v>
      </c>
      <c r="L30" s="82" t="s">
        <v>241</v>
      </c>
      <c r="M30" s="83" t="s">
        <v>242</v>
      </c>
      <c r="N30" s="84" t="s">
        <v>243</v>
      </c>
      <c r="O30" s="85"/>
      <c r="P30" s="86"/>
      <c r="Q30" s="86"/>
      <c r="R30" s="86"/>
      <c r="S30" s="86"/>
      <c r="T30" s="86"/>
      <c r="U30" s="86"/>
      <c r="V30" s="86"/>
      <c r="W30" s="86"/>
      <c r="X30" s="86"/>
      <c r="Y30" s="87"/>
      <c r="Z30" s="86"/>
      <c r="AA30" s="86"/>
      <c r="AB30" s="86"/>
      <c r="AC30" s="86"/>
      <c r="AD30" s="86" t="s">
        <v>244</v>
      </c>
      <c r="AE30" s="88" t="str">
        <f>L30</f>
        <v>30.09.23 Marco - Difficoltà economiche. Rinviato ad edizione 2024</v>
      </c>
      <c r="AF30" s="89"/>
      <c r="AG30" s="75"/>
      <c r="AH30" s="75"/>
      <c r="AI30" s="89"/>
      <c r="AJ30" s="75"/>
      <c r="AK30" s="75"/>
      <c r="AL30" s="75"/>
      <c r="AM30" s="89"/>
      <c r="AN30" s="90"/>
      <c r="AO30" s="90"/>
      <c r="AP30" s="90"/>
      <c r="AQ30" s="89"/>
      <c r="AR30" s="75"/>
      <c r="AS30" s="75"/>
      <c r="AT30" s="75"/>
      <c r="AU30" s="89"/>
      <c r="AV30" s="75"/>
      <c r="AW30" s="75"/>
      <c r="AX30" s="75"/>
      <c r="AY30" s="89"/>
      <c r="AZ30" s="75"/>
      <c r="BA30" s="75"/>
      <c r="BB30" s="75"/>
      <c r="BC30" s="89"/>
      <c r="BD30" s="75" t="s">
        <v>245</v>
      </c>
      <c r="BE30" s="75" t="s">
        <v>245</v>
      </c>
      <c r="BF30" s="75" t="s">
        <v>245</v>
      </c>
      <c r="BG30" s="89"/>
      <c r="BH30" s="92">
        <f>CF30+CI30+CL30+CO30+CR30</f>
        <v>3497.0044262295082</v>
      </c>
      <c r="BI30" s="92">
        <f>CH30+CK30+CN30+CQ30+CT30</f>
        <v>163.9344262295082</v>
      </c>
      <c r="BJ30" s="92">
        <f>BH30-BI30</f>
        <v>3333.07</v>
      </c>
      <c r="BK30" s="93"/>
      <c r="BL30" s="94"/>
      <c r="BM30" s="95"/>
      <c r="BN30" s="127"/>
      <c r="BO30" s="128">
        <v>3497</v>
      </c>
      <c r="BP30" s="80" t="s">
        <v>246</v>
      </c>
      <c r="BQ30" s="98">
        <v>0.15</v>
      </c>
      <c r="BR30" s="99"/>
      <c r="BS30" s="100"/>
      <c r="BT30" s="101">
        <f>BM30*BQ30</f>
        <v>0</v>
      </c>
      <c r="BU30" s="102">
        <f>BN30*BQ30</f>
        <v>0</v>
      </c>
      <c r="BV30" s="103">
        <f>BO30*BQ30</f>
        <v>524.54999999999995</v>
      </c>
      <c r="BW30" s="80"/>
      <c r="BX30" s="105" t="s">
        <v>246</v>
      </c>
      <c r="BY30" s="98">
        <v>0.05</v>
      </c>
      <c r="BZ30" s="99"/>
      <c r="CA30" s="100"/>
      <c r="CB30" s="101">
        <f>BM30*BY30</f>
        <v>0</v>
      </c>
      <c r="CC30" s="106">
        <f>BN30*BY30</f>
        <v>0</v>
      </c>
      <c r="CD30" s="107">
        <f>BO30*BY30</f>
        <v>174.85000000000002</v>
      </c>
      <c r="CE30" s="90"/>
      <c r="CF30" s="108">
        <f>200/1.22</f>
        <v>163.9344262295082</v>
      </c>
      <c r="CG30" s="109">
        <v>45012</v>
      </c>
      <c r="CH30" s="108">
        <f>200/1.22</f>
        <v>163.9344262295082</v>
      </c>
      <c r="CI30" s="108">
        <v>3333.07</v>
      </c>
      <c r="CJ30" s="146" t="s">
        <v>247</v>
      </c>
      <c r="CK30" s="111"/>
      <c r="CL30" s="108"/>
      <c r="CM30" s="109"/>
      <c r="CN30" s="111"/>
      <c r="CO30" s="111"/>
      <c r="CP30" s="111"/>
      <c r="CQ30" s="111"/>
      <c r="CR30" s="111"/>
      <c r="CS30" s="111"/>
      <c r="CT30" s="111"/>
      <c r="CU30" s="90">
        <v>1</v>
      </c>
      <c r="CV30" s="112" t="s">
        <v>121</v>
      </c>
      <c r="CW30" s="112"/>
      <c r="CX30" s="113"/>
      <c r="CY30" s="90" t="s">
        <v>122</v>
      </c>
      <c r="CZ30" s="90"/>
      <c r="DA30" s="80" t="s">
        <v>248</v>
      </c>
      <c r="DB30" s="115" t="str">
        <f>PROPER(N30)</f>
        <v>Paghera Ecoproject Group</v>
      </c>
      <c r="DC30" s="116"/>
      <c r="DD30" s="116" t="str">
        <f>BP30</f>
        <v>Marco</v>
      </c>
      <c r="DE30" s="117" t="b">
        <f>IF(OR(D30&gt;0),IF(BJ30=0,BN30*BQ30,0))</f>
        <v>0</v>
      </c>
      <c r="DF30" s="117" t="b">
        <f>IF(OR(D30&gt;0),IF(BJ30=0,BN30*BY30,0))</f>
        <v>0</v>
      </c>
      <c r="DG30" s="116" t="str">
        <f>BX30</f>
        <v>Marco</v>
      </c>
      <c r="DH30" s="76"/>
      <c r="DI30" s="120" t="s">
        <v>154</v>
      </c>
      <c r="DJ30" s="120"/>
      <c r="DK30" s="121"/>
      <c r="DL30" s="121"/>
      <c r="DM30" s="122"/>
      <c r="DN30" s="6"/>
      <c r="DO30" s="6"/>
      <c r="DP30" s="6"/>
      <c r="DQ30" s="6"/>
      <c r="DR30" s="6"/>
      <c r="DS30" s="6"/>
      <c r="DT30" s="6"/>
      <c r="DU30" s="6"/>
      <c r="DV30" s="6"/>
      <c r="DW30" s="6"/>
      <c r="DX30" s="6"/>
      <c r="DY30" s="6"/>
      <c r="DZ30" s="6"/>
    </row>
    <row r="31" spans="1:130" ht="34.5" hidden="1" customHeight="1">
      <c r="A31" s="228"/>
      <c r="B31" s="75" t="s">
        <v>1359</v>
      </c>
      <c r="C31" s="90"/>
      <c r="D31" s="75">
        <v>1</v>
      </c>
      <c r="E31" s="76">
        <v>1</v>
      </c>
      <c r="F31" s="75"/>
      <c r="G31" s="400" t="s">
        <v>188</v>
      </c>
      <c r="H31" s="400" t="s">
        <v>1476</v>
      </c>
      <c r="I31" s="113" t="s">
        <v>1477</v>
      </c>
      <c r="J31" s="75" t="str">
        <f>CONCATENATE(G31," ",H31)</f>
        <v>Andrea Cavina</v>
      </c>
      <c r="K31" s="81">
        <v>3398439076</v>
      </c>
      <c r="L31" s="1871" t="s">
        <v>1478</v>
      </c>
      <c r="M31" s="1902" t="s">
        <v>1479</v>
      </c>
      <c r="N31" s="84" t="s">
        <v>1480</v>
      </c>
      <c r="O31" s="1923"/>
      <c r="P31" s="160"/>
      <c r="Q31" s="160"/>
      <c r="R31" s="403"/>
      <c r="S31" s="160"/>
      <c r="T31" s="160"/>
      <c r="U31" s="160"/>
      <c r="V31" s="160"/>
      <c r="W31" s="160"/>
      <c r="X31" s="131"/>
      <c r="Y31" s="160"/>
      <c r="Z31" s="160"/>
      <c r="AA31" s="160"/>
      <c r="AB31" s="37"/>
      <c r="AC31" s="131"/>
      <c r="AD31" s="121" t="s">
        <v>1481</v>
      </c>
      <c r="AE31" s="88"/>
      <c r="AF31" s="1966"/>
      <c r="AG31" s="1970"/>
      <c r="AH31" s="1970"/>
      <c r="AI31" s="1966"/>
      <c r="AJ31" s="90"/>
      <c r="AK31" s="90"/>
      <c r="AL31" s="90"/>
      <c r="AM31" s="89"/>
      <c r="AN31" s="90"/>
      <c r="AO31" s="90"/>
      <c r="AP31" s="90"/>
      <c r="AQ31" s="89"/>
      <c r="AR31" s="75"/>
      <c r="AS31" s="75"/>
      <c r="AT31" s="75"/>
      <c r="AU31" s="89"/>
      <c r="AV31" s="75"/>
      <c r="AW31" s="75"/>
      <c r="AX31" s="75"/>
      <c r="AY31" s="89"/>
      <c r="AZ31" s="75" t="s">
        <v>115</v>
      </c>
      <c r="BA31" s="75" t="s">
        <v>115</v>
      </c>
      <c r="BB31" s="135" t="s">
        <v>115</v>
      </c>
      <c r="BC31" s="89"/>
      <c r="BD31" s="75"/>
      <c r="BE31" s="75"/>
      <c r="BF31" s="75"/>
      <c r="BG31" s="89"/>
      <c r="BH31" s="92">
        <f>CF31+CI31+CL31+CO31+CR31</f>
        <v>2997</v>
      </c>
      <c r="BI31" s="92">
        <f>CH31+CK31+CN31+CQ31+CT31</f>
        <v>2997</v>
      </c>
      <c r="BJ31" s="92">
        <f>BH31-BI31</f>
        <v>0</v>
      </c>
      <c r="BK31" s="271"/>
      <c r="BL31" s="2014"/>
      <c r="BM31" s="95"/>
      <c r="BN31" s="142">
        <v>2997</v>
      </c>
      <c r="BO31" s="182"/>
      <c r="BP31" s="2037" t="s">
        <v>690</v>
      </c>
      <c r="BQ31" s="98">
        <v>0.15</v>
      </c>
      <c r="BR31" s="108"/>
      <c r="BS31" s="276">
        <f>BL31*BQ31</f>
        <v>0</v>
      </c>
      <c r="BT31" s="101">
        <f>BM31*BQ31</f>
        <v>0</v>
      </c>
      <c r="BU31" s="102">
        <f>BN31*BQ31</f>
        <v>449.55</v>
      </c>
      <c r="BV31" s="103">
        <f>BO31*BQ31</f>
        <v>0</v>
      </c>
      <c r="BW31" s="84" t="s">
        <v>185</v>
      </c>
      <c r="BX31" s="105" t="s">
        <v>184</v>
      </c>
      <c r="BY31" s="145">
        <v>0.05</v>
      </c>
      <c r="BZ31" s="108"/>
      <c r="CA31" s="276">
        <f>BL31*BY31</f>
        <v>0</v>
      </c>
      <c r="CB31" s="101">
        <f>BM31*BY31</f>
        <v>0</v>
      </c>
      <c r="CC31" s="106">
        <f>BN31*BY31</f>
        <v>149.85</v>
      </c>
      <c r="CD31" s="107">
        <f>BO31*BY31</f>
        <v>0</v>
      </c>
      <c r="CE31" s="84" t="s">
        <v>185</v>
      </c>
      <c r="CF31" s="108">
        <v>2997</v>
      </c>
      <c r="CG31" s="446">
        <v>45198</v>
      </c>
      <c r="CH31" s="110">
        <v>2997</v>
      </c>
      <c r="CI31" s="2106"/>
      <c r="CJ31" s="184"/>
      <c r="CK31" s="2106"/>
      <c r="CL31" s="2106"/>
      <c r="CM31" s="184"/>
      <c r="CN31" s="2106"/>
      <c r="CO31" s="130"/>
      <c r="CP31" s="130"/>
      <c r="CQ31" s="130"/>
      <c r="CR31" s="130"/>
      <c r="CS31" s="130"/>
      <c r="CT31" s="130"/>
      <c r="CU31" s="90">
        <v>1</v>
      </c>
      <c r="CV31" s="112"/>
      <c r="CW31" s="112"/>
      <c r="CX31" s="112"/>
      <c r="CY31" s="90"/>
      <c r="CZ31" s="75"/>
      <c r="DA31" s="2131" t="s">
        <v>1482</v>
      </c>
      <c r="DB31" s="126" t="str">
        <f>PROPER(N31)</f>
        <v>Sall</v>
      </c>
      <c r="DC31" s="2162" t="s">
        <v>470</v>
      </c>
      <c r="DD31" s="116" t="str">
        <f>BP31</f>
        <v>MAW</v>
      </c>
      <c r="DE31" s="117">
        <f>IF(OR(D31&gt;0),IF(BJ31=0,BN31*BQ31,0))</f>
        <v>449.55</v>
      </c>
      <c r="DF31" s="117">
        <f>IF(OR(D31&gt;0),IF(BJ31=0,BN31*BY31,0))</f>
        <v>149.85</v>
      </c>
      <c r="DG31" s="118" t="str">
        <f>BX31</f>
        <v>Cristian A</v>
      </c>
      <c r="DH31" s="76"/>
      <c r="DI31" s="120" t="s">
        <v>126</v>
      </c>
      <c r="DJ31" s="120"/>
      <c r="DK31" s="74" t="s">
        <v>1366</v>
      </c>
      <c r="DL31" s="74" t="s">
        <v>1399</v>
      </c>
      <c r="DM31" s="122"/>
      <c r="DN31" s="6"/>
      <c r="DO31" s="6"/>
      <c r="DP31" s="6"/>
      <c r="DQ31" s="6"/>
      <c r="DR31" s="6"/>
      <c r="DS31" s="6"/>
      <c r="DT31" s="6"/>
      <c r="DU31" s="6"/>
      <c r="DV31" s="6"/>
      <c r="DW31" s="6"/>
      <c r="DX31" s="6"/>
      <c r="DY31" s="6"/>
      <c r="DZ31" s="6"/>
    </row>
    <row r="32" spans="1:130" ht="34.5" hidden="1" customHeight="1">
      <c r="A32" s="228"/>
      <c r="B32" s="371" t="s">
        <v>1359</v>
      </c>
      <c r="C32" s="90"/>
      <c r="D32" s="75">
        <v>1</v>
      </c>
      <c r="E32" s="76">
        <v>1</v>
      </c>
      <c r="F32" s="75"/>
      <c r="G32" s="400" t="s">
        <v>188</v>
      </c>
      <c r="H32" s="400" t="s">
        <v>1501</v>
      </c>
      <c r="I32" s="113" t="s">
        <v>1502</v>
      </c>
      <c r="J32" s="75" t="str">
        <f>CONCATENATE(G32," ",H32)</f>
        <v>Andrea De Santi</v>
      </c>
      <c r="K32" s="81">
        <v>3317070000</v>
      </c>
      <c r="L32" s="1861"/>
      <c r="M32" s="1911" t="s">
        <v>1148</v>
      </c>
      <c r="N32" s="84" t="s">
        <v>1503</v>
      </c>
      <c r="O32" s="1923"/>
      <c r="P32" s="160"/>
      <c r="Q32" s="160"/>
      <c r="R32" s="403"/>
      <c r="S32" s="160"/>
      <c r="T32" s="160"/>
      <c r="U32" s="160"/>
      <c r="V32" s="160"/>
      <c r="W32" s="160"/>
      <c r="X32" s="131"/>
      <c r="Y32" s="160"/>
      <c r="Z32" s="160"/>
      <c r="AA32" s="160"/>
      <c r="AB32" s="37"/>
      <c r="AC32" s="131"/>
      <c r="AD32" s="121" t="s">
        <v>1504</v>
      </c>
      <c r="AE32" s="88"/>
      <c r="AF32" s="1966"/>
      <c r="AG32" s="1970"/>
      <c r="AH32" s="1970"/>
      <c r="AI32" s="1966"/>
      <c r="AJ32" s="90"/>
      <c r="AK32" s="90"/>
      <c r="AL32" s="90"/>
      <c r="AM32" s="89"/>
      <c r="AN32" s="90"/>
      <c r="AO32" s="90"/>
      <c r="AP32" s="90"/>
      <c r="AQ32" s="89"/>
      <c r="AR32" s="75"/>
      <c r="AS32" s="75"/>
      <c r="AT32" s="75"/>
      <c r="AU32" s="89"/>
      <c r="AV32" s="75"/>
      <c r="AW32" s="75"/>
      <c r="AX32" s="75"/>
      <c r="AY32" s="89"/>
      <c r="AZ32" s="148" t="s">
        <v>115</v>
      </c>
      <c r="BA32" s="148" t="s">
        <v>115</v>
      </c>
      <c r="BB32" s="135" t="s">
        <v>115</v>
      </c>
      <c r="BC32" s="89"/>
      <c r="BD32" s="75"/>
      <c r="BE32" s="75"/>
      <c r="BF32" s="75"/>
      <c r="BG32" s="89"/>
      <c r="BH32" s="92">
        <f>CF32+CI32+CL32+CO32+CR32</f>
        <v>2997</v>
      </c>
      <c r="BI32" s="92">
        <f>CH32+CK32+CN32+CQ32+CT32</f>
        <v>2997</v>
      </c>
      <c r="BJ32" s="92">
        <f>BH32-BI32</f>
        <v>0</v>
      </c>
      <c r="BK32" s="271"/>
      <c r="BL32" s="2014"/>
      <c r="BM32" s="95"/>
      <c r="BN32" s="127">
        <v>2997</v>
      </c>
      <c r="BO32" s="128"/>
      <c r="BP32" s="2040" t="s">
        <v>451</v>
      </c>
      <c r="BQ32" s="145">
        <v>0.15</v>
      </c>
      <c r="BR32" s="108"/>
      <c r="BS32" s="276">
        <f>BL32*BQ32</f>
        <v>0</v>
      </c>
      <c r="BT32" s="101">
        <f>BM32*BQ32</f>
        <v>0</v>
      </c>
      <c r="BU32" s="106">
        <f>BN32*BQ32</f>
        <v>449.55</v>
      </c>
      <c r="BV32" s="103">
        <f>BO32*BQ32</f>
        <v>0</v>
      </c>
      <c r="BW32" s="84" t="s">
        <v>185</v>
      </c>
      <c r="BX32" s="441" t="s">
        <v>451</v>
      </c>
      <c r="BY32" s="145">
        <v>0.05</v>
      </c>
      <c r="BZ32" s="108"/>
      <c r="CA32" s="276">
        <f>BL32*BY32</f>
        <v>0</v>
      </c>
      <c r="CB32" s="101">
        <f>BM32*BY32</f>
        <v>0</v>
      </c>
      <c r="CC32" s="106">
        <f>BN32*BY32</f>
        <v>149.85</v>
      </c>
      <c r="CD32" s="107">
        <f>BO32*BY32</f>
        <v>0</v>
      </c>
      <c r="CE32" s="84" t="s">
        <v>185</v>
      </c>
      <c r="CF32" s="108">
        <v>2997</v>
      </c>
      <c r="CG32" s="109">
        <v>45216</v>
      </c>
      <c r="CH32" s="108">
        <v>2997</v>
      </c>
      <c r="CI32" s="2106"/>
      <c r="CJ32" s="184"/>
      <c r="CK32" s="2106"/>
      <c r="CL32" s="2106"/>
      <c r="CM32" s="184"/>
      <c r="CN32" s="2106"/>
      <c r="CO32" s="130"/>
      <c r="CP32" s="130"/>
      <c r="CQ32" s="130"/>
      <c r="CR32" s="130"/>
      <c r="CS32" s="130"/>
      <c r="CT32" s="130"/>
      <c r="CU32" s="90">
        <v>1</v>
      </c>
      <c r="CV32" s="112"/>
      <c r="CW32" s="112"/>
      <c r="CX32" s="112"/>
      <c r="CY32" s="90"/>
      <c r="CZ32" s="75"/>
      <c r="DA32" s="2132" t="s">
        <v>960</v>
      </c>
      <c r="DB32" s="115" t="str">
        <f>PROPER(N32)</f>
        <v>Logika</v>
      </c>
      <c r="DC32" s="2162" t="s">
        <v>1505</v>
      </c>
      <c r="DD32" s="116" t="str">
        <f>BP32</f>
        <v>Fabio</v>
      </c>
      <c r="DE32" s="117">
        <f>IF(OR(D32&gt;0),IF(BJ32=0,BN32*BQ32,0))</f>
        <v>449.55</v>
      </c>
      <c r="DF32" s="117">
        <f>IF(OR(D32&gt;0),IF(BJ32=0,BN32*BY32,0))</f>
        <v>149.85</v>
      </c>
      <c r="DG32" s="118" t="str">
        <f>BX32</f>
        <v>Fabio</v>
      </c>
      <c r="DH32" s="76"/>
      <c r="DI32" s="120" t="s">
        <v>126</v>
      </c>
      <c r="DJ32" s="120"/>
      <c r="DK32" s="74" t="s">
        <v>1399</v>
      </c>
      <c r="DL32" s="74" t="s">
        <v>1399</v>
      </c>
      <c r="DM32" s="122"/>
      <c r="DN32" s="6"/>
      <c r="DO32" s="6"/>
      <c r="DP32" s="6"/>
      <c r="DQ32" s="6"/>
      <c r="DR32" s="6"/>
      <c r="DS32" s="6"/>
      <c r="DT32" s="6"/>
      <c r="DU32" s="6"/>
      <c r="DV32" s="6"/>
      <c r="DW32" s="6"/>
      <c r="DX32" s="6"/>
      <c r="DY32" s="6"/>
      <c r="DZ32" s="6"/>
    </row>
    <row r="33" spans="1:130" ht="34.5" hidden="1" customHeight="1">
      <c r="A33" s="3"/>
      <c r="B33" s="75" t="s">
        <v>108</v>
      </c>
      <c r="C33" s="75"/>
      <c r="D33" s="75"/>
      <c r="E33" s="76"/>
      <c r="F33" s="75"/>
      <c r="G33" s="79" t="s">
        <v>265</v>
      </c>
      <c r="H33" s="79" t="s">
        <v>266</v>
      </c>
      <c r="I33" s="80" t="s">
        <v>267</v>
      </c>
      <c r="J33" s="90" t="str">
        <f>CONCATENATE(G33," ",H33)</f>
        <v>Carlotta Corrias</v>
      </c>
      <c r="K33" s="81" t="s">
        <v>268</v>
      </c>
      <c r="L33" s="138" t="s">
        <v>269</v>
      </c>
      <c r="M33" s="83"/>
      <c r="N33" s="84" t="s">
        <v>270</v>
      </c>
      <c r="O33" s="85"/>
      <c r="P33" s="86"/>
      <c r="Q33" s="86"/>
      <c r="R33" s="86"/>
      <c r="S33" s="86"/>
      <c r="T33" s="86"/>
      <c r="U33" s="86"/>
      <c r="V33" s="86"/>
      <c r="W33" s="86"/>
      <c r="X33" s="86"/>
      <c r="Y33" s="87"/>
      <c r="Z33" s="86"/>
      <c r="AA33" s="86"/>
      <c r="AB33" s="86"/>
      <c r="AC33" s="86"/>
      <c r="AD33" s="86"/>
      <c r="AE33" s="138" t="str">
        <f>L33</f>
        <v>CI FA SAPERE ENTRO 24/3</v>
      </c>
      <c r="AF33" s="89"/>
      <c r="AG33" s="75"/>
      <c r="AH33" s="75"/>
      <c r="AI33" s="89"/>
      <c r="AJ33" s="75"/>
      <c r="AK33" s="75"/>
      <c r="AL33" s="75"/>
      <c r="AM33" s="89"/>
      <c r="AN33" s="90"/>
      <c r="AO33" s="90"/>
      <c r="AP33" s="90"/>
      <c r="AQ33" s="89"/>
      <c r="AR33" s="75"/>
      <c r="AS33" s="75"/>
      <c r="AT33" s="75"/>
      <c r="AU33" s="89"/>
      <c r="AV33" s="75"/>
      <c r="AW33" s="75"/>
      <c r="AX33" s="75"/>
      <c r="AY33" s="89"/>
      <c r="AZ33" s="129" t="s">
        <v>165</v>
      </c>
      <c r="BA33" s="129" t="s">
        <v>165</v>
      </c>
      <c r="BB33" s="129" t="s">
        <v>165</v>
      </c>
      <c r="BC33" s="89"/>
      <c r="BD33" s="75"/>
      <c r="BE33" s="75"/>
      <c r="BF33" s="75"/>
      <c r="BG33" s="89"/>
      <c r="BH33" s="92">
        <f>CF33+CI33+CL33+CO33+CR33</f>
        <v>0</v>
      </c>
      <c r="BI33" s="92">
        <f>CH33+CK33+CN33+CQ33+CT33</f>
        <v>0</v>
      </c>
      <c r="BJ33" s="92">
        <f>BH33-BI33</f>
        <v>0</v>
      </c>
      <c r="BK33" s="93"/>
      <c r="BL33" s="94"/>
      <c r="BM33" s="95"/>
      <c r="BN33" s="127"/>
      <c r="BO33" s="128"/>
      <c r="BP33" s="80" t="s">
        <v>160</v>
      </c>
      <c r="BQ33" s="98">
        <v>0.15</v>
      </c>
      <c r="BR33" s="99"/>
      <c r="BS33" s="100"/>
      <c r="BT33" s="101">
        <f>BM33*BQ33</f>
        <v>0</v>
      </c>
      <c r="BU33" s="102">
        <f>BN33*BQ33</f>
        <v>0</v>
      </c>
      <c r="BV33" s="103">
        <f>BO33*BQ33</f>
        <v>0</v>
      </c>
      <c r="BW33" s="80"/>
      <c r="BX33" s="105" t="s">
        <v>160</v>
      </c>
      <c r="BY33" s="98">
        <v>0.05</v>
      </c>
      <c r="BZ33" s="99"/>
      <c r="CA33" s="100"/>
      <c r="CB33" s="101">
        <f>BM33*BY33</f>
        <v>0</v>
      </c>
      <c r="CC33" s="106">
        <f>BN33*BY33</f>
        <v>0</v>
      </c>
      <c r="CD33" s="107">
        <f>BO33*BY33</f>
        <v>0</v>
      </c>
      <c r="CE33" s="90"/>
      <c r="CF33" s="108">
        <v>0</v>
      </c>
      <c r="CG33" s="109"/>
      <c r="CH33" s="110"/>
      <c r="CI33" s="108"/>
      <c r="CJ33" s="109"/>
      <c r="CK33" s="111"/>
      <c r="CL33" s="108"/>
      <c r="CM33" s="109"/>
      <c r="CN33" s="111"/>
      <c r="CO33" s="111"/>
      <c r="CP33" s="111"/>
      <c r="CQ33" s="111"/>
      <c r="CR33" s="111"/>
      <c r="CS33" s="111"/>
      <c r="CT33" s="111"/>
      <c r="CU33" s="90"/>
      <c r="CV33" s="112"/>
      <c r="CW33" s="112"/>
      <c r="CX33" s="113"/>
      <c r="CY33" s="90" t="s">
        <v>122</v>
      </c>
      <c r="CZ33" s="90"/>
      <c r="DA33" s="80"/>
      <c r="DB33" s="115" t="str">
        <f>PROPER(N33)</f>
        <v>Valdera Color</v>
      </c>
      <c r="DC33" s="116"/>
      <c r="DD33" s="116" t="str">
        <f>BP33</f>
        <v>Gianluca</v>
      </c>
      <c r="DE33" s="117" t="b">
        <f>IF(OR(D33&gt;0),IF(BJ33=0,BN33*BQ33,0))</f>
        <v>0</v>
      </c>
      <c r="DF33" s="117" t="b">
        <f>IF(OR(D33&gt;0),IF(BJ33=0,BN33*BY33,0))</f>
        <v>0</v>
      </c>
      <c r="DG33" s="116" t="str">
        <f>BX33</f>
        <v>Gianluca</v>
      </c>
      <c r="DH33" s="76"/>
      <c r="DI33" s="120" t="s">
        <v>154</v>
      </c>
      <c r="DJ33" s="120"/>
      <c r="DK33" s="121"/>
      <c r="DL33" s="121"/>
      <c r="DM33" s="122"/>
      <c r="DN33" s="6"/>
      <c r="DO33" s="6"/>
      <c r="DP33" s="6"/>
      <c r="DQ33" s="6"/>
      <c r="DR33" s="6"/>
      <c r="DS33" s="6"/>
      <c r="DT33" s="6"/>
      <c r="DU33" s="6"/>
      <c r="DV33" s="6"/>
      <c r="DW33" s="6"/>
      <c r="DX33" s="6"/>
      <c r="DY33" s="6"/>
      <c r="DZ33" s="6"/>
    </row>
    <row r="34" spans="1:130" ht="34.5" hidden="1" customHeight="1">
      <c r="A34" s="3"/>
      <c r="B34" s="75" t="s">
        <v>108</v>
      </c>
      <c r="C34" s="75"/>
      <c r="D34" s="75"/>
      <c r="E34" s="76"/>
      <c r="F34" s="75"/>
      <c r="G34" s="79" t="s">
        <v>271</v>
      </c>
      <c r="H34" s="79" t="s">
        <v>266</v>
      </c>
      <c r="I34" s="80" t="s">
        <v>272</v>
      </c>
      <c r="J34" s="90" t="str">
        <f>CONCATENATE(G34," ",H34)</f>
        <v>Clementina Corrias</v>
      </c>
      <c r="K34" s="81" t="s">
        <v>273</v>
      </c>
      <c r="L34" s="138" t="s">
        <v>274</v>
      </c>
      <c r="M34" s="83"/>
      <c r="N34" s="84" t="s">
        <v>270</v>
      </c>
      <c r="O34" s="85"/>
      <c r="P34" s="86"/>
      <c r="Q34" s="86"/>
      <c r="R34" s="86"/>
      <c r="S34" s="86"/>
      <c r="T34" s="86"/>
      <c r="U34" s="86"/>
      <c r="V34" s="86"/>
      <c r="W34" s="86"/>
      <c r="X34" s="86"/>
      <c r="Y34" s="87"/>
      <c r="Z34" s="86"/>
      <c r="AA34" s="86"/>
      <c r="AB34" s="86"/>
      <c r="AC34" s="86"/>
      <c r="AD34" s="86"/>
      <c r="AE34" s="138" t="str">
        <f>L34</f>
        <v>CI FA SAPERE ENTRO 24/3. Disdetta</v>
      </c>
      <c r="AF34" s="89"/>
      <c r="AG34" s="75"/>
      <c r="AH34" s="75"/>
      <c r="AI34" s="89"/>
      <c r="AJ34" s="75"/>
      <c r="AK34" s="75"/>
      <c r="AL34" s="75"/>
      <c r="AM34" s="89"/>
      <c r="AN34" s="90"/>
      <c r="AO34" s="90"/>
      <c r="AP34" s="90"/>
      <c r="AQ34" s="89"/>
      <c r="AR34" s="75"/>
      <c r="AS34" s="75"/>
      <c r="AT34" s="75"/>
      <c r="AU34" s="89"/>
      <c r="AV34" s="75"/>
      <c r="AW34" s="75"/>
      <c r="AX34" s="75"/>
      <c r="AY34" s="89"/>
      <c r="AZ34" s="129" t="s">
        <v>165</v>
      </c>
      <c r="BA34" s="129" t="s">
        <v>165</v>
      </c>
      <c r="BB34" s="129" t="s">
        <v>165</v>
      </c>
      <c r="BC34" s="89"/>
      <c r="BD34" s="75"/>
      <c r="BE34" s="75"/>
      <c r="BF34" s="75"/>
      <c r="BG34" s="89"/>
      <c r="BH34" s="92">
        <f>CF34+CI34+CL34+CO34+CR34</f>
        <v>0</v>
      </c>
      <c r="BI34" s="92">
        <f>CH34+CK34+CN34+CQ34+CT34</f>
        <v>0</v>
      </c>
      <c r="BJ34" s="92">
        <f>BH34-BI34</f>
        <v>0</v>
      </c>
      <c r="BK34" s="93"/>
      <c r="BL34" s="94"/>
      <c r="BM34" s="95"/>
      <c r="BN34" s="127"/>
      <c r="BO34" s="128"/>
      <c r="BP34" s="80" t="s">
        <v>160</v>
      </c>
      <c r="BQ34" s="98">
        <v>0.15</v>
      </c>
      <c r="BR34" s="99"/>
      <c r="BS34" s="100"/>
      <c r="BT34" s="101">
        <f>BM34*BQ34</f>
        <v>0</v>
      </c>
      <c r="BU34" s="102">
        <f>BN34*BQ34</f>
        <v>0</v>
      </c>
      <c r="BV34" s="103">
        <f>BO34*BQ34</f>
        <v>0</v>
      </c>
      <c r="BW34" s="80"/>
      <c r="BX34" s="105" t="s">
        <v>160</v>
      </c>
      <c r="BY34" s="98">
        <v>0.05</v>
      </c>
      <c r="BZ34" s="99"/>
      <c r="CA34" s="100"/>
      <c r="CB34" s="101">
        <f>BM34*BY34</f>
        <v>0</v>
      </c>
      <c r="CC34" s="106">
        <f>BN34*BY34</f>
        <v>0</v>
      </c>
      <c r="CD34" s="107">
        <f>BO34*BY34</f>
        <v>0</v>
      </c>
      <c r="CE34" s="90"/>
      <c r="CF34" s="108">
        <v>0</v>
      </c>
      <c r="CG34" s="109"/>
      <c r="CH34" s="110"/>
      <c r="CI34" s="108"/>
      <c r="CJ34" s="109"/>
      <c r="CK34" s="111"/>
      <c r="CL34" s="108"/>
      <c r="CM34" s="109"/>
      <c r="CN34" s="111"/>
      <c r="CO34" s="111"/>
      <c r="CP34" s="111"/>
      <c r="CQ34" s="111"/>
      <c r="CR34" s="111"/>
      <c r="CS34" s="111"/>
      <c r="CT34" s="111"/>
      <c r="CU34" s="90"/>
      <c r="CV34" s="112"/>
      <c r="CW34" s="112"/>
      <c r="CX34" s="113"/>
      <c r="CY34" s="90" t="s">
        <v>122</v>
      </c>
      <c r="CZ34" s="90"/>
      <c r="DA34" s="80"/>
      <c r="DB34" s="115" t="str">
        <f>PROPER(N34)</f>
        <v>Valdera Color</v>
      </c>
      <c r="DC34" s="116"/>
      <c r="DD34" s="116" t="str">
        <f>BP34</f>
        <v>Gianluca</v>
      </c>
      <c r="DE34" s="117" t="b">
        <f>IF(OR(D34&gt;0),IF(BJ34=0,BN34*BQ34,0))</f>
        <v>0</v>
      </c>
      <c r="DF34" s="117" t="b">
        <f>IF(OR(D34&gt;0),IF(BJ34=0,BN34*BY34,0))</f>
        <v>0</v>
      </c>
      <c r="DG34" s="116" t="str">
        <f>BX34</f>
        <v>Gianluca</v>
      </c>
      <c r="DH34" s="76"/>
      <c r="DI34" s="120" t="s">
        <v>154</v>
      </c>
      <c r="DJ34" s="120"/>
      <c r="DK34" s="121"/>
      <c r="DL34" s="121"/>
      <c r="DM34" s="122"/>
      <c r="DN34" s="6"/>
      <c r="DO34" s="6"/>
      <c r="DP34" s="6"/>
      <c r="DQ34" s="6"/>
      <c r="DR34" s="6"/>
      <c r="DS34" s="6"/>
      <c r="DT34" s="6"/>
      <c r="DU34" s="6"/>
      <c r="DV34" s="6"/>
      <c r="DW34" s="6"/>
      <c r="DX34" s="6"/>
      <c r="DY34" s="6"/>
      <c r="DZ34" s="6"/>
    </row>
    <row r="35" spans="1:130" ht="34.5" hidden="1" customHeight="1">
      <c r="A35" s="3"/>
      <c r="B35" s="75" t="s">
        <v>108</v>
      </c>
      <c r="C35" s="75"/>
      <c r="D35" s="75">
        <v>1</v>
      </c>
      <c r="E35" s="76"/>
      <c r="F35" s="148"/>
      <c r="G35" s="79" t="s">
        <v>275</v>
      </c>
      <c r="H35" s="79" t="s">
        <v>276</v>
      </c>
      <c r="I35" s="80" t="s">
        <v>277</v>
      </c>
      <c r="J35" s="90" t="str">
        <f>CONCATENATE(G35," ",H35)</f>
        <v>Chiara Alzati</v>
      </c>
      <c r="K35" s="81">
        <v>3335892097</v>
      </c>
      <c r="L35" s="82"/>
      <c r="M35" s="143" t="s">
        <v>278</v>
      </c>
      <c r="N35" s="84"/>
      <c r="O35" s="85"/>
      <c r="P35" s="86"/>
      <c r="Q35" s="86"/>
      <c r="R35" s="86"/>
      <c r="S35" s="86"/>
      <c r="T35" s="86"/>
      <c r="U35" s="86"/>
      <c r="V35" s="86"/>
      <c r="W35" s="86"/>
      <c r="X35" s="86"/>
      <c r="Y35" s="87"/>
      <c r="Z35" s="86"/>
      <c r="AA35" s="86"/>
      <c r="AB35" s="86"/>
      <c r="AC35" s="86"/>
      <c r="AD35" s="86" t="s">
        <v>279</v>
      </c>
      <c r="AE35" s="88">
        <f>L35</f>
        <v>0</v>
      </c>
      <c r="AF35" s="89"/>
      <c r="AG35" s="75"/>
      <c r="AH35" s="75"/>
      <c r="AI35" s="89"/>
      <c r="AJ35" s="75"/>
      <c r="AK35" s="75"/>
      <c r="AL35" s="75"/>
      <c r="AM35" s="89"/>
      <c r="AN35" s="90"/>
      <c r="AO35" s="90"/>
      <c r="AP35" s="90"/>
      <c r="AQ35" s="89"/>
      <c r="AR35" s="75"/>
      <c r="AS35" s="75"/>
      <c r="AT35" s="75"/>
      <c r="AU35" s="89"/>
      <c r="AV35" s="75"/>
      <c r="AW35" s="75" t="s">
        <v>115</v>
      </c>
      <c r="AX35" s="75" t="s">
        <v>115</v>
      </c>
      <c r="AY35" s="89"/>
      <c r="AZ35" s="75" t="s">
        <v>115</v>
      </c>
      <c r="BA35" s="75"/>
      <c r="BB35" s="75"/>
      <c r="BC35" s="89"/>
      <c r="BD35" s="75"/>
      <c r="BE35" s="75"/>
      <c r="BF35" s="75"/>
      <c r="BG35" s="89"/>
      <c r="BH35" s="92">
        <f>CF35+CI35+CL35+CO35+CR35</f>
        <v>2997</v>
      </c>
      <c r="BI35" s="92">
        <f>CH35+CK35+CN35+CQ35+CT35</f>
        <v>2997</v>
      </c>
      <c r="BJ35" s="92">
        <f>BH35-BI35</f>
        <v>0</v>
      </c>
      <c r="BK35" s="93"/>
      <c r="BL35" s="94"/>
      <c r="BM35" s="95">
        <v>2997</v>
      </c>
      <c r="BN35" s="96"/>
      <c r="BO35" s="97"/>
      <c r="BP35" s="80" t="s">
        <v>184</v>
      </c>
      <c r="BQ35" s="98">
        <v>0.15</v>
      </c>
      <c r="BR35" s="99"/>
      <c r="BS35" s="100"/>
      <c r="BT35" s="101">
        <f>BM35*BQ35</f>
        <v>449.55</v>
      </c>
      <c r="BU35" s="102">
        <f>BN35*BQ35</f>
        <v>0</v>
      </c>
      <c r="BV35" s="103">
        <f>BO35*BQ35</f>
        <v>0</v>
      </c>
      <c r="BW35" s="80" t="s">
        <v>174</v>
      </c>
      <c r="BX35" s="105" t="s">
        <v>184</v>
      </c>
      <c r="BY35" s="98">
        <v>0.05</v>
      </c>
      <c r="BZ35" s="99"/>
      <c r="CA35" s="100"/>
      <c r="CB35" s="101">
        <f>BM35*BY35</f>
        <v>149.85</v>
      </c>
      <c r="CC35" s="106">
        <f>BN35*BY35</f>
        <v>0</v>
      </c>
      <c r="CD35" s="107">
        <f>BO35*BY35</f>
        <v>0</v>
      </c>
      <c r="CE35" s="80" t="s">
        <v>174</v>
      </c>
      <c r="CF35" s="108">
        <v>2997</v>
      </c>
      <c r="CG35" s="109">
        <v>45029</v>
      </c>
      <c r="CH35" s="110">
        <v>2997</v>
      </c>
      <c r="CI35" s="108"/>
      <c r="CJ35" s="109"/>
      <c r="CK35" s="111"/>
      <c r="CL35" s="111"/>
      <c r="CM35" s="109"/>
      <c r="CN35" s="111"/>
      <c r="CO35" s="111"/>
      <c r="CP35" s="111"/>
      <c r="CQ35" s="111"/>
      <c r="CR35" s="111"/>
      <c r="CS35" s="111"/>
      <c r="CT35" s="111"/>
      <c r="CU35" s="90">
        <v>1</v>
      </c>
      <c r="CV35" s="112"/>
      <c r="CW35" s="112"/>
      <c r="CX35" s="113"/>
      <c r="CY35" s="90" t="s">
        <v>215</v>
      </c>
      <c r="CZ35" s="90"/>
      <c r="DA35" s="136" t="s">
        <v>280</v>
      </c>
      <c r="DB35" s="115" t="str">
        <f>PROPER(N35)</f>
        <v/>
      </c>
      <c r="DC35" s="116" t="s">
        <v>281</v>
      </c>
      <c r="DD35" s="116" t="str">
        <f>BP35</f>
        <v>Cristian A</v>
      </c>
      <c r="DE35" s="117">
        <f>IF(OR(D35&gt;0),IF(BJ35=0,BN35*BQ35,0))</f>
        <v>0</v>
      </c>
      <c r="DF35" s="117">
        <f>IF(OR(D35&gt;0),IF(BJ35=0,BN35*BY35,0))</f>
        <v>0</v>
      </c>
      <c r="DG35" s="116" t="str">
        <f>BX35</f>
        <v>Cristian A</v>
      </c>
      <c r="DH35" s="76"/>
      <c r="DI35" s="120" t="s">
        <v>154</v>
      </c>
      <c r="DJ35" s="120"/>
      <c r="DK35" s="121"/>
      <c r="DL35" s="121"/>
      <c r="DM35" s="122">
        <v>1</v>
      </c>
      <c r="DN35" s="6"/>
      <c r="DO35" s="6"/>
      <c r="DP35" s="6"/>
      <c r="DQ35" s="6"/>
      <c r="DR35" s="6"/>
      <c r="DS35" s="6"/>
      <c r="DT35" s="6"/>
      <c r="DU35" s="6"/>
      <c r="DV35" s="6"/>
      <c r="DW35" s="6"/>
      <c r="DX35" s="6"/>
      <c r="DY35" s="6"/>
      <c r="DZ35" s="6"/>
    </row>
    <row r="36" spans="1:130" ht="34.5" hidden="1" customHeight="1">
      <c r="A36" s="3"/>
      <c r="B36" s="75" t="s">
        <v>108</v>
      </c>
      <c r="C36" s="75"/>
      <c r="D36" s="75"/>
      <c r="E36" s="76"/>
      <c r="F36" s="148"/>
      <c r="G36" s="79" t="s">
        <v>275</v>
      </c>
      <c r="H36" s="79" t="s">
        <v>282</v>
      </c>
      <c r="I36" s="80" t="s">
        <v>283</v>
      </c>
      <c r="J36" s="90" t="str">
        <f>CONCATENATE(G36," ",H36)</f>
        <v>Chiara Invernizzi</v>
      </c>
      <c r="K36" s="81">
        <v>3286364437</v>
      </c>
      <c r="L36" s="82"/>
      <c r="M36" s="83" t="s">
        <v>284</v>
      </c>
      <c r="N36" s="84" t="s">
        <v>285</v>
      </c>
      <c r="O36" s="85"/>
      <c r="P36" s="86"/>
      <c r="Q36" s="86"/>
      <c r="R36" s="86"/>
      <c r="S36" s="86"/>
      <c r="T36" s="86"/>
      <c r="U36" s="86"/>
      <c r="V36" s="86"/>
      <c r="W36" s="86"/>
      <c r="X36" s="86"/>
      <c r="Y36" s="87"/>
      <c r="Z36" s="86"/>
      <c r="AA36" s="86"/>
      <c r="AB36" s="86"/>
      <c r="AC36" s="86"/>
      <c r="AD36" s="86" t="s">
        <v>286</v>
      </c>
      <c r="AE36" s="88">
        <f>L36</f>
        <v>0</v>
      </c>
      <c r="AF36" s="89"/>
      <c r="AG36" s="75"/>
      <c r="AH36" s="75"/>
      <c r="AI36" s="89"/>
      <c r="AJ36" s="75"/>
      <c r="AK36" s="75"/>
      <c r="AL36" s="75"/>
      <c r="AM36" s="89"/>
      <c r="AN36" s="90"/>
      <c r="AO36" s="90"/>
      <c r="AP36" s="90"/>
      <c r="AQ36" s="89"/>
      <c r="AR36" s="75"/>
      <c r="AS36" s="75"/>
      <c r="AT36" s="75"/>
      <c r="AU36" s="89"/>
      <c r="AV36" s="75" t="s">
        <v>115</v>
      </c>
      <c r="AW36" s="75"/>
      <c r="AX36" s="75" t="s">
        <v>115</v>
      </c>
      <c r="AY36" s="89"/>
      <c r="AZ36" s="75"/>
      <c r="BA36" s="129" t="s">
        <v>194</v>
      </c>
      <c r="BB36" s="75"/>
      <c r="BC36" s="89"/>
      <c r="BD36" s="75"/>
      <c r="BE36" s="75" t="s">
        <v>115</v>
      </c>
      <c r="BF36" s="75"/>
      <c r="BG36" s="89"/>
      <c r="BH36" s="92">
        <f>CF36+CI36+CL36+CO36+CR36</f>
        <v>2997</v>
      </c>
      <c r="BI36" s="92">
        <f>CH36+CK36+CN36+CQ36+CT36</f>
        <v>2997</v>
      </c>
      <c r="BJ36" s="92">
        <f>BH36-BI36</f>
        <v>0</v>
      </c>
      <c r="BK36" s="93"/>
      <c r="BL36" s="94"/>
      <c r="BM36" s="95">
        <v>2997</v>
      </c>
      <c r="BN36" s="96"/>
      <c r="BO36" s="97"/>
      <c r="BP36" s="80" t="s">
        <v>287</v>
      </c>
      <c r="BQ36" s="98">
        <v>0.15</v>
      </c>
      <c r="BR36" s="99"/>
      <c r="BS36" s="100"/>
      <c r="BT36" s="101">
        <f>BM36*BQ36</f>
        <v>449.55</v>
      </c>
      <c r="BU36" s="102">
        <f>BN36*BQ36</f>
        <v>0</v>
      </c>
      <c r="BV36" s="103">
        <f>BO36*BQ36</f>
        <v>0</v>
      </c>
      <c r="BW36" s="80" t="s">
        <v>120</v>
      </c>
      <c r="BX36" s="105" t="s">
        <v>133</v>
      </c>
      <c r="BY36" s="98">
        <v>0.05</v>
      </c>
      <c r="BZ36" s="99"/>
      <c r="CA36" s="100"/>
      <c r="CB36" s="101">
        <f>BM36*BY36</f>
        <v>149.85</v>
      </c>
      <c r="CC36" s="106">
        <f>BN36*BY36</f>
        <v>0</v>
      </c>
      <c r="CD36" s="107">
        <f>BO36*BY36</f>
        <v>0</v>
      </c>
      <c r="CE36" s="90" t="s">
        <v>120</v>
      </c>
      <c r="CF36" s="108">
        <v>2997</v>
      </c>
      <c r="CG36" s="109">
        <v>45012</v>
      </c>
      <c r="CH36" s="110">
        <v>2997</v>
      </c>
      <c r="CI36" s="108"/>
      <c r="CJ36" s="109"/>
      <c r="CK36" s="111"/>
      <c r="CL36" s="111"/>
      <c r="CM36" s="109"/>
      <c r="CN36" s="111"/>
      <c r="CO36" s="111"/>
      <c r="CP36" s="111"/>
      <c r="CQ36" s="111"/>
      <c r="CR36" s="111"/>
      <c r="CS36" s="111"/>
      <c r="CT36" s="111"/>
      <c r="CU36" s="90">
        <v>1</v>
      </c>
      <c r="CV36" s="112" t="s">
        <v>121</v>
      </c>
      <c r="CW36" s="112"/>
      <c r="CX36" s="113"/>
      <c r="CY36" s="90" t="s">
        <v>122</v>
      </c>
      <c r="CZ36" s="90"/>
      <c r="DA36" s="149" t="s">
        <v>288</v>
      </c>
      <c r="DB36" s="126" t="str">
        <f>PROPER(N36)</f>
        <v>Invernizzi Assicurazioni</v>
      </c>
      <c r="DC36" s="116" t="s">
        <v>289</v>
      </c>
      <c r="DD36" s="116" t="str">
        <f>BP36</f>
        <v>Riccardo</v>
      </c>
      <c r="DE36" s="117" t="b">
        <f>IF(OR(D36&gt;0),IF(BJ36=0,BN36*BQ36,0))</f>
        <v>0</v>
      </c>
      <c r="DF36" s="117" t="b">
        <f>IF(OR(D36&gt;0),IF(BJ36=0,BN36*BY36,0))</f>
        <v>0</v>
      </c>
      <c r="DG36" s="118" t="str">
        <f>BX36</f>
        <v>Cristian B</v>
      </c>
      <c r="DH36" s="76"/>
      <c r="DI36" s="120" t="s">
        <v>154</v>
      </c>
      <c r="DJ36" s="120"/>
      <c r="DK36" s="121"/>
      <c r="DL36" s="121"/>
      <c r="DM36" s="122">
        <v>1</v>
      </c>
      <c r="DN36" s="6"/>
      <c r="DO36" s="6"/>
      <c r="DP36" s="6"/>
      <c r="DQ36" s="6"/>
      <c r="DR36" s="6"/>
      <c r="DS36" s="6"/>
      <c r="DT36" s="6"/>
      <c r="DU36" s="6"/>
      <c r="DV36" s="6"/>
      <c r="DW36" s="6"/>
      <c r="DX36" s="6"/>
      <c r="DY36" s="6"/>
      <c r="DZ36" s="6"/>
    </row>
    <row r="37" spans="1:130" ht="34.5" hidden="1" customHeight="1">
      <c r="A37" s="228"/>
      <c r="B37" s="75" t="s">
        <v>1359</v>
      </c>
      <c r="C37" s="90"/>
      <c r="D37" s="75">
        <v>1</v>
      </c>
      <c r="E37" s="76">
        <v>1</v>
      </c>
      <c r="F37" s="75"/>
      <c r="G37" s="400" t="s">
        <v>188</v>
      </c>
      <c r="H37" s="400" t="s">
        <v>1333</v>
      </c>
      <c r="I37" s="113" t="s">
        <v>1506</v>
      </c>
      <c r="J37" s="75" t="str">
        <f>CONCATENATE(G37," ",H37)</f>
        <v>Andrea Fantini</v>
      </c>
      <c r="K37" s="81">
        <v>3515555751</v>
      </c>
      <c r="L37" s="1884" t="s">
        <v>1507</v>
      </c>
      <c r="M37" s="1894"/>
      <c r="N37" s="84" t="s">
        <v>1508</v>
      </c>
      <c r="O37" s="1923"/>
      <c r="P37" s="160"/>
      <c r="Q37" s="160"/>
      <c r="R37" s="403"/>
      <c r="S37" s="160"/>
      <c r="T37" s="160"/>
      <c r="U37" s="160"/>
      <c r="V37" s="160"/>
      <c r="W37" s="160"/>
      <c r="X37" s="131"/>
      <c r="Y37" s="160"/>
      <c r="Z37" s="160"/>
      <c r="AA37" s="160"/>
      <c r="AB37" s="37"/>
      <c r="AC37" s="131"/>
      <c r="AD37" s="121" t="s">
        <v>1509</v>
      </c>
      <c r="AE37" s="88"/>
      <c r="AF37" s="1966"/>
      <c r="AG37" s="1970"/>
      <c r="AH37" s="1970"/>
      <c r="AI37" s="1966"/>
      <c r="AJ37" s="90"/>
      <c r="AK37" s="90"/>
      <c r="AL37" s="90"/>
      <c r="AM37" s="89"/>
      <c r="AN37" s="90"/>
      <c r="AO37" s="90"/>
      <c r="AP37" s="90"/>
      <c r="AQ37" s="89"/>
      <c r="AR37" s="75"/>
      <c r="AS37" s="75"/>
      <c r="AT37" s="75"/>
      <c r="AU37" s="89"/>
      <c r="AV37" s="75"/>
      <c r="AW37" s="75"/>
      <c r="AX37" s="75"/>
      <c r="AY37" s="89"/>
      <c r="AZ37" s="148" t="s">
        <v>115</v>
      </c>
      <c r="BA37" s="148" t="s">
        <v>115</v>
      </c>
      <c r="BB37" s="1999" t="s">
        <v>115</v>
      </c>
      <c r="BC37" s="89"/>
      <c r="BD37" s="75"/>
      <c r="BE37" s="75"/>
      <c r="BF37" s="75"/>
      <c r="BG37" s="89"/>
      <c r="BH37" s="92">
        <f>CF37+CI37+CL37+CO37+CR37</f>
        <v>2997</v>
      </c>
      <c r="BI37" s="92">
        <f>CH37+CK37+CN37+CQ37+CT37</f>
        <v>2996.9972131147542</v>
      </c>
      <c r="BJ37" s="92">
        <f>BH37-BI37</f>
        <v>2.7868852457686444E-3</v>
      </c>
      <c r="BK37" s="271"/>
      <c r="BL37" s="2014"/>
      <c r="BM37" s="95"/>
      <c r="BN37" s="142">
        <v>2997</v>
      </c>
      <c r="BO37" s="182"/>
      <c r="BP37" s="2037" t="s">
        <v>166</v>
      </c>
      <c r="BQ37" s="98">
        <v>0.15</v>
      </c>
      <c r="BR37" s="108"/>
      <c r="BS37" s="276">
        <f>BL37*BQ37</f>
        <v>0</v>
      </c>
      <c r="BT37" s="101">
        <f>BM37*BQ37</f>
        <v>0</v>
      </c>
      <c r="BU37" s="102">
        <f>BN37*BQ37</f>
        <v>449.55</v>
      </c>
      <c r="BV37" s="103">
        <f>BO37*BQ37</f>
        <v>0</v>
      </c>
      <c r="BW37" s="80"/>
      <c r="BX37" s="105" t="s">
        <v>166</v>
      </c>
      <c r="BY37" s="145">
        <v>0.05</v>
      </c>
      <c r="BZ37" s="108"/>
      <c r="CA37" s="276">
        <f>BL37*BY37</f>
        <v>0</v>
      </c>
      <c r="CB37" s="101">
        <f>BM37*BY37</f>
        <v>0</v>
      </c>
      <c r="CC37" s="106">
        <f>BN37*BY37</f>
        <v>149.85</v>
      </c>
      <c r="CD37" s="107">
        <f>BO37*BY37</f>
        <v>0</v>
      </c>
      <c r="CE37" s="411"/>
      <c r="CF37" s="108">
        <f>200/1.22</f>
        <v>163.9344262295082</v>
      </c>
      <c r="CG37" s="109">
        <v>45198</v>
      </c>
      <c r="CH37" s="108">
        <f>200/1.22</f>
        <v>163.9344262295082</v>
      </c>
      <c r="CI37" s="108">
        <f>1728.17/1.22</f>
        <v>1416.532786885246</v>
      </c>
      <c r="CJ37" s="109">
        <v>45205</v>
      </c>
      <c r="CK37" s="108">
        <v>1416.53</v>
      </c>
      <c r="CL37" s="108">
        <f>1728.17/1.22</f>
        <v>1416.532786885246</v>
      </c>
      <c r="CM37" s="109">
        <v>45233</v>
      </c>
      <c r="CN37" s="108">
        <f>1728.17/1.22</f>
        <v>1416.532786885246</v>
      </c>
      <c r="CO37" s="130"/>
      <c r="CP37" s="130"/>
      <c r="CQ37" s="130"/>
      <c r="CR37" s="130"/>
      <c r="CS37" s="130"/>
      <c r="CT37" s="130"/>
      <c r="CU37" s="90">
        <v>1</v>
      </c>
      <c r="CV37" s="112"/>
      <c r="CW37" s="112"/>
      <c r="CX37" s="112"/>
      <c r="CY37" s="90"/>
      <c r="CZ37" s="75"/>
      <c r="DA37" s="2139" t="s">
        <v>1510</v>
      </c>
      <c r="DB37" s="126" t="str">
        <f>PROPER(N37)</f>
        <v>Studio Fantini</v>
      </c>
      <c r="DC37" s="2162" t="s">
        <v>809</v>
      </c>
      <c r="DD37" s="116" t="str">
        <f>BP37</f>
        <v>Matteo</v>
      </c>
      <c r="DE37" s="117">
        <f>IF(OR(D37&gt;0),IF(BJ37=0,BN37*BQ37,0))</f>
        <v>0</v>
      </c>
      <c r="DF37" s="117">
        <f>IF(OR(D37&gt;0),IF(BJ37=0,BN37*BY37,0))</f>
        <v>0</v>
      </c>
      <c r="DG37" s="118" t="str">
        <f>BX37</f>
        <v>Matteo</v>
      </c>
      <c r="DH37" s="76"/>
      <c r="DI37" s="120" t="s">
        <v>126</v>
      </c>
      <c r="DJ37" s="120"/>
      <c r="DK37" s="74" t="s">
        <v>1366</v>
      </c>
      <c r="DL37" s="74" t="s">
        <v>1366</v>
      </c>
      <c r="DM37" s="122">
        <v>1</v>
      </c>
      <c r="DN37" s="6"/>
      <c r="DO37" s="6"/>
      <c r="DP37" s="6"/>
      <c r="DQ37" s="6"/>
      <c r="DR37" s="6"/>
      <c r="DS37" s="6"/>
      <c r="DT37" s="6"/>
      <c r="DU37" s="6"/>
      <c r="DV37" s="6"/>
      <c r="DW37" s="6"/>
      <c r="DX37" s="6"/>
      <c r="DY37" s="6"/>
      <c r="DZ37" s="6"/>
    </row>
    <row r="38" spans="1:130" ht="34.5" hidden="1" customHeight="1">
      <c r="A38" s="3"/>
      <c r="B38" s="129" t="s">
        <v>108</v>
      </c>
      <c r="C38" s="75"/>
      <c r="D38" s="75"/>
      <c r="E38" s="76"/>
      <c r="F38" s="148"/>
      <c r="G38" s="79" t="s">
        <v>300</v>
      </c>
      <c r="H38" s="79" t="s">
        <v>301</v>
      </c>
      <c r="I38" s="80" t="s">
        <v>302</v>
      </c>
      <c r="J38" s="90" t="str">
        <f>CONCATENATE(G38," ",H38)</f>
        <v>Cristina Pasqualotto</v>
      </c>
      <c r="K38" s="81" t="s">
        <v>303</v>
      </c>
      <c r="L38" s="82"/>
      <c r="M38" s="83" t="s">
        <v>304</v>
      </c>
      <c r="N38" s="84" t="s">
        <v>305</v>
      </c>
      <c r="O38" s="85"/>
      <c r="P38" s="86"/>
      <c r="Q38" s="86"/>
      <c r="R38" s="86"/>
      <c r="S38" s="86"/>
      <c r="T38" s="86"/>
      <c r="U38" s="86"/>
      <c r="V38" s="86"/>
      <c r="W38" s="86"/>
      <c r="X38" s="86"/>
      <c r="Y38" s="87"/>
      <c r="Z38" s="86"/>
      <c r="AA38" s="86"/>
      <c r="AB38" s="86"/>
      <c r="AC38" s="86"/>
      <c r="AD38" s="86" t="s">
        <v>306</v>
      </c>
      <c r="AE38" s="88">
        <f>L38</f>
        <v>0</v>
      </c>
      <c r="AF38" s="89"/>
      <c r="AG38" s="75"/>
      <c r="AH38" s="75"/>
      <c r="AI38" s="89"/>
      <c r="AJ38" s="75"/>
      <c r="AK38" s="75"/>
      <c r="AL38" s="75"/>
      <c r="AM38" s="89"/>
      <c r="AN38" s="90"/>
      <c r="AO38" s="90"/>
      <c r="AP38" s="90"/>
      <c r="AQ38" s="89"/>
      <c r="AR38" s="75"/>
      <c r="AS38" s="75"/>
      <c r="AT38" s="75"/>
      <c r="AU38" s="89"/>
      <c r="AV38" s="75" t="s">
        <v>115</v>
      </c>
      <c r="AW38" s="75" t="s">
        <v>115</v>
      </c>
      <c r="AX38" s="75" t="s">
        <v>115</v>
      </c>
      <c r="AY38" s="89"/>
      <c r="AZ38" s="75"/>
      <c r="BA38" s="75"/>
      <c r="BB38" s="75"/>
      <c r="BC38" s="89"/>
      <c r="BD38" s="75"/>
      <c r="BE38" s="75"/>
      <c r="BF38" s="75"/>
      <c r="BG38" s="89"/>
      <c r="BH38" s="92">
        <f>CF38+CI38+CL38+CO38+CR38</f>
        <v>2797</v>
      </c>
      <c r="BI38" s="92">
        <f>CH38+CK38+CN38+CQ38+CT38</f>
        <v>2797</v>
      </c>
      <c r="BJ38" s="92">
        <f>BH38-BI38</f>
        <v>0</v>
      </c>
      <c r="BK38" s="93"/>
      <c r="BL38" s="94"/>
      <c r="BM38" s="95">
        <v>2797</v>
      </c>
      <c r="BN38" s="96"/>
      <c r="BO38" s="97"/>
      <c r="BP38" s="80" t="s">
        <v>117</v>
      </c>
      <c r="BQ38" s="98">
        <v>0</v>
      </c>
      <c r="BR38" s="99"/>
      <c r="BS38" s="100"/>
      <c r="BT38" s="101">
        <f>BM38*BQ38</f>
        <v>0</v>
      </c>
      <c r="BU38" s="102">
        <f>BN38*BQ38</f>
        <v>0</v>
      </c>
      <c r="BV38" s="103">
        <f>BO38*BQ38</f>
        <v>0</v>
      </c>
      <c r="BW38" s="104" t="s">
        <v>118</v>
      </c>
      <c r="BX38" s="105" t="s">
        <v>166</v>
      </c>
      <c r="BY38" s="98">
        <v>0.05</v>
      </c>
      <c r="BZ38" s="99"/>
      <c r="CA38" s="100"/>
      <c r="CB38" s="101">
        <f>BM38*BY38</f>
        <v>139.85</v>
      </c>
      <c r="CC38" s="106">
        <f>BN38*BY38</f>
        <v>0</v>
      </c>
      <c r="CD38" s="107">
        <f>BO38*BY38</f>
        <v>0</v>
      </c>
      <c r="CE38" s="90" t="s">
        <v>120</v>
      </c>
      <c r="CF38" s="108">
        <v>2797</v>
      </c>
      <c r="CG38" s="109">
        <v>45013</v>
      </c>
      <c r="CH38" s="110">
        <v>2797</v>
      </c>
      <c r="CI38" s="108"/>
      <c r="CJ38" s="109"/>
      <c r="CK38" s="111"/>
      <c r="CL38" s="111"/>
      <c r="CM38" s="109"/>
      <c r="CN38" s="111"/>
      <c r="CO38" s="111"/>
      <c r="CP38" s="111"/>
      <c r="CQ38" s="111"/>
      <c r="CR38" s="111"/>
      <c r="CS38" s="111"/>
      <c r="CT38" s="111"/>
      <c r="CU38" s="90">
        <v>1</v>
      </c>
      <c r="CV38" s="112" t="s">
        <v>121</v>
      </c>
      <c r="CW38" s="112"/>
      <c r="CX38" s="113"/>
      <c r="CY38" s="90" t="s">
        <v>122</v>
      </c>
      <c r="CZ38" s="90"/>
      <c r="DA38" s="80" t="s">
        <v>307</v>
      </c>
      <c r="DB38" s="126" t="str">
        <f>PROPER(N38)</f>
        <v>Hypatia Consulting</v>
      </c>
      <c r="DC38" s="116"/>
      <c r="DD38" s="116" t="str">
        <f>BP38</f>
        <v>blackship</v>
      </c>
      <c r="DE38" s="117" t="b">
        <f>IF(OR(D38&gt;0),IF(BJ38=0,BN38*BQ38,0))</f>
        <v>0</v>
      </c>
      <c r="DF38" s="117" t="b">
        <f>IF(OR(D38&gt;0),IF(BJ38=0,BN38*BY38,0))</f>
        <v>0</v>
      </c>
      <c r="DG38" s="118" t="str">
        <f>BX38</f>
        <v>Matteo</v>
      </c>
      <c r="DH38" s="76"/>
      <c r="DI38" s="120" t="s">
        <v>154</v>
      </c>
      <c r="DJ38" s="120"/>
      <c r="DK38" s="121"/>
      <c r="DL38" s="121"/>
      <c r="DM38" s="122"/>
      <c r="DN38" s="6"/>
      <c r="DO38" s="6"/>
      <c r="DP38" s="6"/>
      <c r="DQ38" s="6"/>
      <c r="DR38" s="6"/>
      <c r="DS38" s="6"/>
      <c r="DT38" s="6"/>
      <c r="DU38" s="6"/>
      <c r="DV38" s="6"/>
      <c r="DW38" s="6"/>
      <c r="DX38" s="6"/>
      <c r="DY38" s="6"/>
      <c r="DZ38" s="6"/>
    </row>
    <row r="39" spans="1:130" ht="34.5" hidden="1" customHeight="1">
      <c r="A39" s="3"/>
      <c r="B39" s="75" t="s">
        <v>108</v>
      </c>
      <c r="C39" s="75"/>
      <c r="D39" s="75">
        <v>1</v>
      </c>
      <c r="E39" s="76">
        <v>1</v>
      </c>
      <c r="F39" s="132"/>
      <c r="G39" s="79" t="s">
        <v>300</v>
      </c>
      <c r="H39" s="79" t="s">
        <v>308</v>
      </c>
      <c r="I39" s="147" t="s">
        <v>309</v>
      </c>
      <c r="J39" s="90" t="str">
        <f>CONCATENATE(G39," ",H39)</f>
        <v>Cristina Trombetta</v>
      </c>
      <c r="K39" s="133" t="s">
        <v>310</v>
      </c>
      <c r="L39" s="82"/>
      <c r="M39" s="144" t="s">
        <v>311</v>
      </c>
      <c r="N39" s="150" t="s">
        <v>312</v>
      </c>
      <c r="O39" s="85"/>
      <c r="P39" s="86"/>
      <c r="Q39" s="86"/>
      <c r="R39" s="86"/>
      <c r="S39" s="86"/>
      <c r="T39" s="86"/>
      <c r="U39" s="86"/>
      <c r="V39" s="86"/>
      <c r="W39" s="86"/>
      <c r="X39" s="86"/>
      <c r="Y39" s="87"/>
      <c r="Z39" s="86"/>
      <c r="AA39" s="86"/>
      <c r="AB39" s="86"/>
      <c r="AC39" s="86"/>
      <c r="AD39" s="86" t="s">
        <v>313</v>
      </c>
      <c r="AE39" s="88">
        <f>L39</f>
        <v>0</v>
      </c>
      <c r="AF39" s="89"/>
      <c r="AG39" s="75"/>
      <c r="AH39" s="75"/>
      <c r="AI39" s="89"/>
      <c r="AJ39" s="75"/>
      <c r="AK39" s="75"/>
      <c r="AL39" s="75"/>
      <c r="AM39" s="89"/>
      <c r="AN39" s="90"/>
      <c r="AO39" s="90"/>
      <c r="AP39" s="90"/>
      <c r="AQ39" s="89"/>
      <c r="AR39" s="75"/>
      <c r="AS39" s="75"/>
      <c r="AT39" s="75"/>
      <c r="AU39" s="89"/>
      <c r="AV39" s="75"/>
      <c r="AW39" s="75"/>
      <c r="AX39" s="75" t="s">
        <v>115</v>
      </c>
      <c r="AY39" s="89"/>
      <c r="AZ39" s="75" t="s">
        <v>115</v>
      </c>
      <c r="BA39" s="75" t="s">
        <v>115</v>
      </c>
      <c r="BB39" s="135" t="s">
        <v>154</v>
      </c>
      <c r="BC39" s="89"/>
      <c r="BD39" s="75"/>
      <c r="BE39" s="75"/>
      <c r="BF39" s="75"/>
      <c r="BG39" s="89"/>
      <c r="BH39" s="92">
        <f>CF39+CI39+CL39+CO39+CR39</f>
        <v>2997</v>
      </c>
      <c r="BI39" s="92">
        <f>CH39+CK39+CN39+CQ39+CT39</f>
        <v>2997</v>
      </c>
      <c r="BJ39" s="92">
        <f>BH39-BI39</f>
        <v>0</v>
      </c>
      <c r="BK39" s="93"/>
      <c r="BL39" s="94"/>
      <c r="BM39" s="95">
        <v>2997</v>
      </c>
      <c r="BN39" s="96"/>
      <c r="BO39" s="97"/>
      <c r="BP39" s="80" t="s">
        <v>133</v>
      </c>
      <c r="BQ39" s="98">
        <v>0.15</v>
      </c>
      <c r="BR39" s="99"/>
      <c r="BS39" s="100"/>
      <c r="BT39" s="101">
        <f>BM39*BQ39</f>
        <v>449.55</v>
      </c>
      <c r="BU39" s="102">
        <f>BN39*BQ39</f>
        <v>0</v>
      </c>
      <c r="BV39" s="103">
        <f>BO39*BQ39</f>
        <v>0</v>
      </c>
      <c r="BW39" s="80" t="s">
        <v>174</v>
      </c>
      <c r="BX39" s="105" t="s">
        <v>133</v>
      </c>
      <c r="BY39" s="98">
        <v>0.05</v>
      </c>
      <c r="BZ39" s="99"/>
      <c r="CA39" s="100"/>
      <c r="CB39" s="101">
        <f>BM39*BY39</f>
        <v>149.85</v>
      </c>
      <c r="CC39" s="106">
        <f>BN39*BY39</f>
        <v>0</v>
      </c>
      <c r="CD39" s="107">
        <f>BO39*BY39</f>
        <v>0</v>
      </c>
      <c r="CE39" s="80" t="s">
        <v>174</v>
      </c>
      <c r="CF39" s="108">
        <v>2997</v>
      </c>
      <c r="CG39" s="109">
        <v>45009</v>
      </c>
      <c r="CH39" s="108">
        <v>2997</v>
      </c>
      <c r="CI39" s="108"/>
      <c r="CJ39" s="109"/>
      <c r="CK39" s="111"/>
      <c r="CL39" s="111"/>
      <c r="CM39" s="109"/>
      <c r="CN39" s="111"/>
      <c r="CO39" s="111"/>
      <c r="CP39" s="111"/>
      <c r="CQ39" s="111"/>
      <c r="CR39" s="111"/>
      <c r="CS39" s="111"/>
      <c r="CT39" s="111"/>
      <c r="CU39" s="90">
        <v>1</v>
      </c>
      <c r="CV39" s="112"/>
      <c r="CW39" s="112"/>
      <c r="CX39" s="113"/>
      <c r="CY39" s="90" t="s">
        <v>122</v>
      </c>
      <c r="CZ39" s="90"/>
      <c r="DA39" s="151" t="s">
        <v>314</v>
      </c>
      <c r="DB39" s="115" t="str">
        <f>PROPER(N39)</f>
        <v>Cc4U</v>
      </c>
      <c r="DC39" s="116" t="s">
        <v>315</v>
      </c>
      <c r="DD39" s="116" t="str">
        <f>BP39</f>
        <v>Cristian B</v>
      </c>
      <c r="DE39" s="117">
        <f>IF(OR(D39&gt;0),IF(BJ39=0,BN39*BQ39,0))</f>
        <v>0</v>
      </c>
      <c r="DF39" s="117">
        <f>IF(OR(D39&gt;0),IF(BJ39=0,BN39*BY39,0))</f>
        <v>0</v>
      </c>
      <c r="DG39" s="116" t="str">
        <f>BX39</f>
        <v>Cristian B</v>
      </c>
      <c r="DH39" s="76"/>
      <c r="DI39" s="120" t="s">
        <v>154</v>
      </c>
      <c r="DJ39" s="120"/>
      <c r="DK39" s="121"/>
      <c r="DL39" s="121"/>
      <c r="DM39" s="122"/>
      <c r="DN39" s="6"/>
      <c r="DO39" s="6"/>
      <c r="DP39" s="6"/>
      <c r="DQ39" s="6"/>
      <c r="DR39" s="6"/>
      <c r="DS39" s="6"/>
      <c r="DT39" s="6"/>
      <c r="DU39" s="6"/>
      <c r="DV39" s="6"/>
      <c r="DW39" s="6"/>
      <c r="DX39" s="6"/>
      <c r="DY39" s="6"/>
      <c r="DZ39" s="6"/>
    </row>
    <row r="40" spans="1:130" ht="34.5" hidden="1" customHeight="1">
      <c r="A40" s="3"/>
      <c r="B40" s="129" t="s">
        <v>108</v>
      </c>
      <c r="C40" s="75"/>
      <c r="D40" s="75"/>
      <c r="E40" s="76"/>
      <c r="F40" s="75"/>
      <c r="G40" s="79" t="s">
        <v>141</v>
      </c>
      <c r="H40" s="79" t="s">
        <v>316</v>
      </c>
      <c r="I40" s="80" t="s">
        <v>317</v>
      </c>
      <c r="J40" s="90" t="str">
        <f>CONCATENATE(G40," ",H40)</f>
        <v>Daniele Lombardi</v>
      </c>
      <c r="K40" s="81">
        <v>3477679753</v>
      </c>
      <c r="L40" s="82" t="s">
        <v>318</v>
      </c>
      <c r="M40" s="83" t="s">
        <v>319</v>
      </c>
      <c r="N40" s="84" t="s">
        <v>320</v>
      </c>
      <c r="O40" s="85"/>
      <c r="P40" s="86"/>
      <c r="Q40" s="86"/>
      <c r="R40" s="86"/>
      <c r="S40" s="86"/>
      <c r="T40" s="86"/>
      <c r="U40" s="86"/>
      <c r="V40" s="86"/>
      <c r="W40" s="86"/>
      <c r="X40" s="86"/>
      <c r="Y40" s="87"/>
      <c r="Z40" s="86"/>
      <c r="AA40" s="86"/>
      <c r="AB40" s="86"/>
      <c r="AC40" s="86"/>
      <c r="AD40" s="86"/>
      <c r="AE40" s="88" t="str">
        <f>L40</f>
        <v>DEVE PARLARE CON L'AZIENDA. Vorrebbe portare tutto il Team Commerciale (sono in 3). Invitato Titolare e direttore Commerciale al Tour di Giugno 23. Ci sentiamo il 4 maggio per aggiornamenti su partecipazione e budget con HR per MiV. Dopo Tour applicato metodologia, trattiva da 8Milioni sta girando bene (è 1/3 del loro fatturato).</v>
      </c>
      <c r="AF40" s="89"/>
      <c r="AG40" s="75"/>
      <c r="AH40" s="75"/>
      <c r="AI40" s="89"/>
      <c r="AJ40" s="75"/>
      <c r="AK40" s="75"/>
      <c r="AL40" s="75"/>
      <c r="AM40" s="89"/>
      <c r="AN40" s="90"/>
      <c r="AO40" s="90"/>
      <c r="AP40" s="90"/>
      <c r="AQ40" s="89"/>
      <c r="AR40" s="75"/>
      <c r="AS40" s="75"/>
      <c r="AT40" s="75"/>
      <c r="AU40" s="89"/>
      <c r="AV40" s="75"/>
      <c r="AW40" s="75"/>
      <c r="AX40" s="75"/>
      <c r="AY40" s="89"/>
      <c r="AZ40" s="75"/>
      <c r="BA40" s="75"/>
      <c r="BB40" s="75"/>
      <c r="BC40" s="89"/>
      <c r="BD40" s="75" t="s">
        <v>151</v>
      </c>
      <c r="BE40" s="75" t="s">
        <v>151</v>
      </c>
      <c r="BF40" s="75" t="s">
        <v>151</v>
      </c>
      <c r="BG40" s="89"/>
      <c r="BH40" s="92">
        <f>CF40+CI40+CL40+CO40+CR40</f>
        <v>0</v>
      </c>
      <c r="BI40" s="92">
        <f>CH40+CK40+CN40+CQ40+CT40</f>
        <v>0</v>
      </c>
      <c r="BJ40" s="92">
        <f>BH40-BI40</f>
        <v>0</v>
      </c>
      <c r="BK40" s="93"/>
      <c r="BL40" s="94"/>
      <c r="BM40" s="95"/>
      <c r="BN40" s="96"/>
      <c r="BO40" s="97"/>
      <c r="BP40" s="80" t="s">
        <v>117</v>
      </c>
      <c r="BQ40" s="98">
        <v>0</v>
      </c>
      <c r="BR40" s="99"/>
      <c r="BS40" s="100"/>
      <c r="BT40" s="101">
        <f>BM40*BQ40</f>
        <v>0</v>
      </c>
      <c r="BU40" s="102">
        <f>BN40*BQ40</f>
        <v>0</v>
      </c>
      <c r="BV40" s="103">
        <f>BO40*BQ40</f>
        <v>0</v>
      </c>
      <c r="BW40" s="80" t="s">
        <v>118</v>
      </c>
      <c r="BX40" s="105" t="s">
        <v>152</v>
      </c>
      <c r="BY40" s="98">
        <v>0.05</v>
      </c>
      <c r="BZ40" s="99"/>
      <c r="CA40" s="100"/>
      <c r="CB40" s="101">
        <f>BM40*BY40</f>
        <v>0</v>
      </c>
      <c r="CC40" s="106">
        <f>BN40*BY40</f>
        <v>0</v>
      </c>
      <c r="CD40" s="107">
        <f>BO40*BY40</f>
        <v>0</v>
      </c>
      <c r="CE40" s="90"/>
      <c r="CF40" s="108">
        <v>0</v>
      </c>
      <c r="CG40" s="109"/>
      <c r="CH40" s="110"/>
      <c r="CI40" s="108"/>
      <c r="CJ40" s="109"/>
      <c r="CK40" s="111"/>
      <c r="CL40" s="111"/>
      <c r="CM40" s="109"/>
      <c r="CN40" s="111"/>
      <c r="CO40" s="111"/>
      <c r="CP40" s="111"/>
      <c r="CQ40" s="111"/>
      <c r="CR40" s="111"/>
      <c r="CS40" s="111"/>
      <c r="CT40" s="111"/>
      <c r="CU40" s="90">
        <v>1</v>
      </c>
      <c r="CV40" s="112" t="s">
        <v>121</v>
      </c>
      <c r="CW40" s="112"/>
      <c r="CX40" s="113"/>
      <c r="CY40" s="90" t="s">
        <v>122</v>
      </c>
      <c r="CZ40" s="90"/>
      <c r="DA40" s="80"/>
      <c r="DB40" s="115" t="str">
        <f>PROPER(N40)</f>
        <v>Novastilmec</v>
      </c>
      <c r="DC40" s="116"/>
      <c r="DD40" s="116" t="str">
        <f>BP40</f>
        <v>blackship</v>
      </c>
      <c r="DE40" s="117" t="b">
        <f>IF(OR(D40&gt;0),IF(BJ40=0,BN40*BQ40,0))</f>
        <v>0</v>
      </c>
      <c r="DF40" s="117" t="b">
        <f>IF(OR(D40&gt;0),IF(BJ40=0,BN40*BY40,0))</f>
        <v>0</v>
      </c>
      <c r="DG40" s="116" t="str">
        <f>BX40</f>
        <v>Client Angel</v>
      </c>
      <c r="DH40" s="76"/>
      <c r="DI40" s="120" t="s">
        <v>154</v>
      </c>
      <c r="DJ40" s="120"/>
      <c r="DK40" s="121"/>
      <c r="DL40" s="121"/>
      <c r="DM40" s="122"/>
      <c r="DN40" s="6"/>
      <c r="DO40" s="6"/>
      <c r="DP40" s="6"/>
      <c r="DQ40" s="6"/>
      <c r="DR40" s="6"/>
      <c r="DS40" s="6"/>
      <c r="DT40" s="6"/>
      <c r="DU40" s="6"/>
      <c r="DV40" s="6"/>
      <c r="DW40" s="6"/>
      <c r="DX40" s="6"/>
      <c r="DY40" s="6"/>
      <c r="DZ40" s="6"/>
    </row>
    <row r="41" spans="1:130" ht="34.5" hidden="1" customHeight="1">
      <c r="A41" s="3"/>
      <c r="B41" s="75" t="s">
        <v>108</v>
      </c>
      <c r="C41" s="75"/>
      <c r="D41" s="75">
        <v>1</v>
      </c>
      <c r="E41" s="76">
        <v>1</v>
      </c>
      <c r="F41" s="75"/>
      <c r="G41" s="79" t="s">
        <v>188</v>
      </c>
      <c r="H41" s="79" t="s">
        <v>197</v>
      </c>
      <c r="I41" s="80" t="s">
        <v>198</v>
      </c>
      <c r="J41" s="75" t="str">
        <f>CONCATENATE(G41," ",H41)</f>
        <v>Andrea Laurini</v>
      </c>
      <c r="K41" s="81">
        <v>3492387366</v>
      </c>
      <c r="L41" s="82"/>
      <c r="M41" s="83" t="s">
        <v>199</v>
      </c>
      <c r="N41" s="84" t="s">
        <v>200</v>
      </c>
      <c r="O41" s="85"/>
      <c r="P41" s="86"/>
      <c r="Q41" s="86"/>
      <c r="R41" s="86"/>
      <c r="S41" s="86"/>
      <c r="T41" s="86"/>
      <c r="U41" s="86"/>
      <c r="V41" s="86"/>
      <c r="W41" s="86"/>
      <c r="X41" s="86"/>
      <c r="Y41" s="87"/>
      <c r="Z41" s="86"/>
      <c r="AA41" s="86"/>
      <c r="AB41" s="86"/>
      <c r="AC41" s="86"/>
      <c r="AD41" s="86" t="s">
        <v>201</v>
      </c>
      <c r="AE41" s="88">
        <f>L41</f>
        <v>0</v>
      </c>
      <c r="AF41" s="89"/>
      <c r="AG41" s="75"/>
      <c r="AH41" s="75"/>
      <c r="AI41" s="89"/>
      <c r="AJ41" s="75"/>
      <c r="AK41" s="75"/>
      <c r="AL41" s="75"/>
      <c r="AM41" s="89"/>
      <c r="AN41" s="90"/>
      <c r="AO41" s="90"/>
      <c r="AP41" s="90"/>
      <c r="AQ41" s="89"/>
      <c r="AR41" s="75"/>
      <c r="AS41" s="75"/>
      <c r="AT41" s="75"/>
      <c r="AU41" s="89"/>
      <c r="AV41" s="75"/>
      <c r="AW41" s="75"/>
      <c r="AX41" s="75"/>
      <c r="AY41" s="89"/>
      <c r="AZ41" s="75" t="s">
        <v>115</v>
      </c>
      <c r="BA41" s="75" t="s">
        <v>115</v>
      </c>
      <c r="BB41" s="1999" t="s">
        <v>115</v>
      </c>
      <c r="BC41" s="89"/>
      <c r="BD41" s="75"/>
      <c r="BE41" s="75"/>
      <c r="BF41" s="75"/>
      <c r="BG41" s="89"/>
      <c r="BH41" s="92">
        <f>CF41+CI41+CL41+CO41+CR41</f>
        <v>2996.9986885245903</v>
      </c>
      <c r="BI41" s="92">
        <f>CH41+CK41+CN41+CQ41+CT41</f>
        <v>2996.9986885245903</v>
      </c>
      <c r="BJ41" s="92">
        <f>BH41-BI41</f>
        <v>0</v>
      </c>
      <c r="BK41" s="93"/>
      <c r="BL41" s="94"/>
      <c r="BM41" s="95"/>
      <c r="BN41" s="142">
        <v>2997</v>
      </c>
      <c r="BO41" s="182"/>
      <c r="BP41" s="80" t="s">
        <v>184</v>
      </c>
      <c r="BQ41" s="98">
        <v>0.15</v>
      </c>
      <c r="BR41" s="99"/>
      <c r="BS41" s="100"/>
      <c r="BT41" s="101">
        <f>BM41*BQ41</f>
        <v>0</v>
      </c>
      <c r="BU41" s="102">
        <f>BN41*BQ41</f>
        <v>449.55</v>
      </c>
      <c r="BV41" s="103">
        <f>BO41*BQ41</f>
        <v>0</v>
      </c>
      <c r="BW41" s="84" t="s">
        <v>185</v>
      </c>
      <c r="BX41" s="105" t="s">
        <v>184</v>
      </c>
      <c r="BY41" s="98">
        <v>0.05</v>
      </c>
      <c r="BZ41" s="99"/>
      <c r="CA41" s="100"/>
      <c r="CB41" s="101">
        <f>BM41*BY41</f>
        <v>0</v>
      </c>
      <c r="CC41" s="106">
        <f>BN41*BY41</f>
        <v>149.85</v>
      </c>
      <c r="CD41" s="107">
        <f>BO41*BY41</f>
        <v>0</v>
      </c>
      <c r="CE41" s="84" t="s">
        <v>185</v>
      </c>
      <c r="CF41" s="108">
        <f>2997/2/1.22</f>
        <v>1228.2786885245903</v>
      </c>
      <c r="CG41" s="109">
        <v>45040</v>
      </c>
      <c r="CH41" s="108">
        <f>2997/2/1.22</f>
        <v>1228.2786885245903</v>
      </c>
      <c r="CI41" s="108">
        <v>1768.72</v>
      </c>
      <c r="CJ41" s="109">
        <v>45169</v>
      </c>
      <c r="CK41" s="108">
        <v>1768.72</v>
      </c>
      <c r="CL41" s="111"/>
      <c r="CM41" s="109"/>
      <c r="CN41" s="111"/>
      <c r="CO41" s="111"/>
      <c r="CP41" s="111"/>
      <c r="CQ41" s="111"/>
      <c r="CR41" s="111"/>
      <c r="CS41" s="111"/>
      <c r="CT41" s="111"/>
      <c r="CU41" s="90">
        <v>1</v>
      </c>
      <c r="CV41" s="112" t="s">
        <v>121</v>
      </c>
      <c r="CW41" s="112"/>
      <c r="CX41" s="113"/>
      <c r="CY41" s="90" t="s">
        <v>122</v>
      </c>
      <c r="CZ41" s="90"/>
      <c r="DA41" s="798" t="s">
        <v>202</v>
      </c>
      <c r="DB41" s="126" t="str">
        <f>PROPER(N41)</f>
        <v>Veicoli Blindati Nom</v>
      </c>
      <c r="DC41" s="116" t="s">
        <v>203</v>
      </c>
      <c r="DD41" s="116" t="str">
        <f>BP41</f>
        <v>Cristian A</v>
      </c>
      <c r="DE41" s="117">
        <f>IF(OR(D41&gt;0),IF(BJ41=0,BN41*BQ41,0))</f>
        <v>449.55</v>
      </c>
      <c r="DF41" s="117">
        <f>IF(OR(D41&gt;0),IF(BJ41=0,BN41*BY41,0))</f>
        <v>149.85</v>
      </c>
      <c r="DG41" s="116" t="str">
        <f>BX41</f>
        <v>Cristian A</v>
      </c>
      <c r="DH41" s="76"/>
      <c r="DI41" s="120" t="s">
        <v>126</v>
      </c>
      <c r="DJ41" s="120"/>
      <c r="DK41" s="121"/>
      <c r="DL41" s="121"/>
      <c r="DM41" s="122">
        <v>1</v>
      </c>
      <c r="DN41" s="6"/>
      <c r="DO41" s="6"/>
      <c r="DP41" s="6"/>
      <c r="DQ41" s="6"/>
      <c r="DR41" s="6"/>
      <c r="DS41" s="6"/>
      <c r="DT41" s="6"/>
      <c r="DU41" s="6"/>
      <c r="DV41" s="6"/>
      <c r="DW41" s="6"/>
      <c r="DX41" s="6"/>
      <c r="DY41" s="6"/>
      <c r="DZ41" s="6"/>
    </row>
    <row r="42" spans="1:130" ht="34.5" hidden="1" customHeight="1">
      <c r="A42" s="3"/>
      <c r="B42" s="75" t="s">
        <v>108</v>
      </c>
      <c r="C42" s="75"/>
      <c r="D42" s="75"/>
      <c r="E42" s="76"/>
      <c r="F42" s="75"/>
      <c r="G42" s="79" t="s">
        <v>329</v>
      </c>
      <c r="H42" s="79" t="s">
        <v>330</v>
      </c>
      <c r="I42" s="80" t="s">
        <v>331</v>
      </c>
      <c r="J42" s="90" t="str">
        <f>CONCATENATE(G42," ",H42)</f>
        <v>Diego Brunelli</v>
      </c>
      <c r="K42" s="81">
        <v>3483890705</v>
      </c>
      <c r="L42" s="152" t="s">
        <v>332</v>
      </c>
      <c r="M42" s="83" t="s">
        <v>333</v>
      </c>
      <c r="N42" s="84" t="s">
        <v>334</v>
      </c>
      <c r="O42" s="85"/>
      <c r="P42" s="86"/>
      <c r="Q42" s="86"/>
      <c r="R42" s="86"/>
      <c r="S42" s="86"/>
      <c r="T42" s="86"/>
      <c r="U42" s="86"/>
      <c r="V42" s="86"/>
      <c r="W42" s="86"/>
      <c r="X42" s="86"/>
      <c r="Y42" s="87"/>
      <c r="Z42" s="86"/>
      <c r="AA42" s="86"/>
      <c r="AB42" s="86"/>
      <c r="AC42" s="86"/>
      <c r="AE42" s="88" t="str">
        <f>L42</f>
        <v>Fatto cambio nome da Diego che aveva acquistato il master da VB2B mar 23 a Simonetta Isella, acquistato invece da VB2B set 23</v>
      </c>
      <c r="AF42" s="89"/>
      <c r="AG42" s="75"/>
      <c r="AH42" s="75"/>
      <c r="AI42" s="89"/>
      <c r="AJ42" s="75"/>
      <c r="AK42" s="75"/>
      <c r="AL42" s="75"/>
      <c r="AM42" s="89"/>
      <c r="AN42" s="90"/>
      <c r="AO42" s="90"/>
      <c r="AP42" s="90"/>
      <c r="AQ42" s="89"/>
      <c r="AR42" s="75"/>
      <c r="AS42" s="75"/>
      <c r="AT42" s="75"/>
      <c r="AU42" s="89"/>
      <c r="AV42" s="75"/>
      <c r="AW42" s="75"/>
      <c r="AX42" s="75"/>
      <c r="AY42" s="89"/>
      <c r="AZ42" s="153"/>
      <c r="BA42" s="153"/>
      <c r="BB42" s="153"/>
      <c r="BC42" s="89"/>
      <c r="BD42" s="121" t="s">
        <v>335</v>
      </c>
      <c r="BE42" s="121" t="s">
        <v>245</v>
      </c>
      <c r="BF42" s="121" t="s">
        <v>245</v>
      </c>
      <c r="BG42" s="89"/>
      <c r="BH42" s="92">
        <v>2597</v>
      </c>
      <c r="BI42" s="92">
        <f>CH42+CK42+CN42+CQ42+CT42</f>
        <v>0</v>
      </c>
      <c r="BJ42" s="92">
        <f>BH42-BI42</f>
        <v>2597</v>
      </c>
      <c r="BK42" s="93"/>
      <c r="BL42" s="94"/>
      <c r="BM42" s="95"/>
      <c r="BN42" s="127"/>
      <c r="BO42" s="128">
        <v>2597</v>
      </c>
      <c r="BP42" s="80" t="s">
        <v>184</v>
      </c>
      <c r="BQ42" s="98">
        <v>0.15</v>
      </c>
      <c r="BR42" s="99"/>
      <c r="BS42" s="100"/>
      <c r="BT42" s="101">
        <f>BM42*BQ42</f>
        <v>0</v>
      </c>
      <c r="BU42" s="102">
        <f>BN42*BQ42</f>
        <v>0</v>
      </c>
      <c r="BV42" s="103">
        <f>BO42*BQ42</f>
        <v>389.55</v>
      </c>
      <c r="BW42" s="80"/>
      <c r="BX42" s="105" t="s">
        <v>184</v>
      </c>
      <c r="BY42" s="98">
        <v>0.05</v>
      </c>
      <c r="BZ42" s="99"/>
      <c r="CA42" s="100"/>
      <c r="CB42" s="101">
        <f>BM42*BY42</f>
        <v>0</v>
      </c>
      <c r="CC42" s="106">
        <f>BN42*BY42</f>
        <v>0</v>
      </c>
      <c r="CD42" s="107">
        <f>BO42*BY42</f>
        <v>129.85</v>
      </c>
      <c r="CE42" s="90"/>
      <c r="CF42" s="108">
        <v>2597</v>
      </c>
      <c r="CG42" s="109">
        <v>45013</v>
      </c>
      <c r="CH42" s="110"/>
      <c r="CI42" s="108"/>
      <c r="CJ42" s="109"/>
      <c r="CK42" s="111"/>
      <c r="CL42" s="111"/>
      <c r="CM42" s="109"/>
      <c r="CN42" s="111"/>
      <c r="CO42" s="111"/>
      <c r="CP42" s="111"/>
      <c r="CQ42" s="111"/>
      <c r="CR42" s="111"/>
      <c r="CS42" s="111"/>
      <c r="CT42" s="111"/>
      <c r="CU42" s="90">
        <v>1</v>
      </c>
      <c r="CV42" s="112" t="s">
        <v>121</v>
      </c>
      <c r="CW42" s="112"/>
      <c r="CX42" s="113"/>
      <c r="CY42" s="90" t="s">
        <v>122</v>
      </c>
      <c r="CZ42" s="90"/>
      <c r="DA42" s="80" t="s">
        <v>336</v>
      </c>
      <c r="DB42" s="115" t="str">
        <f>PROPER(N42)</f>
        <v>Ellepack</v>
      </c>
      <c r="DC42" s="116"/>
      <c r="DD42" s="116" t="str">
        <f>BP42</f>
        <v>Cristian A</v>
      </c>
      <c r="DE42" s="117" t="b">
        <f>IF(OR(D42&gt;0),IF(BJ42=0,BN42*BQ42,0))</f>
        <v>0</v>
      </c>
      <c r="DF42" s="117" t="b">
        <f>IF(OR(D42&gt;0),IF(BJ42=0,BN42*BY42,0))</f>
        <v>0</v>
      </c>
      <c r="DG42" s="116" t="str">
        <f>BX42</f>
        <v>Cristian A</v>
      </c>
      <c r="DH42" s="76"/>
      <c r="DI42" s="120" t="s">
        <v>154</v>
      </c>
      <c r="DJ42" s="120"/>
      <c r="DK42" s="121"/>
      <c r="DL42" s="121"/>
      <c r="DM42" s="122">
        <v>1</v>
      </c>
      <c r="DN42" s="6"/>
      <c r="DO42" s="6"/>
      <c r="DP42" s="6"/>
      <c r="DQ42" s="6"/>
      <c r="DR42" s="6"/>
      <c r="DS42" s="6"/>
      <c r="DT42" s="6"/>
      <c r="DU42" s="6"/>
      <c r="DV42" s="6"/>
      <c r="DW42" s="6"/>
      <c r="DX42" s="6"/>
      <c r="DY42" s="6"/>
      <c r="DZ42" s="6"/>
    </row>
    <row r="43" spans="1:130" ht="34.5" hidden="1" customHeight="1">
      <c r="A43" s="228"/>
      <c r="B43" s="75" t="s">
        <v>1359</v>
      </c>
      <c r="C43" s="90"/>
      <c r="D43" s="75">
        <v>1</v>
      </c>
      <c r="E43" s="76">
        <v>1</v>
      </c>
      <c r="F43" s="75"/>
      <c r="G43" s="400" t="s">
        <v>188</v>
      </c>
      <c r="H43" s="400" t="s">
        <v>1512</v>
      </c>
      <c r="I43" s="113" t="s">
        <v>1513</v>
      </c>
      <c r="J43" s="75" t="str">
        <f>CONCATENATE(G43," ",H43)</f>
        <v>Andrea Pegoraro</v>
      </c>
      <c r="K43" s="81">
        <v>3495519650</v>
      </c>
      <c r="L43" s="1861" t="s">
        <v>1514</v>
      </c>
      <c r="M43" s="1907" t="s">
        <v>1148</v>
      </c>
      <c r="N43" s="1864" t="s">
        <v>1515</v>
      </c>
      <c r="O43" s="1923"/>
      <c r="P43" s="160"/>
      <c r="Q43" s="160"/>
      <c r="R43" s="403"/>
      <c r="S43" s="160"/>
      <c r="T43" s="160"/>
      <c r="U43" s="160"/>
      <c r="V43" s="160"/>
      <c r="W43" s="160"/>
      <c r="X43" s="131"/>
      <c r="Y43" s="160"/>
      <c r="Z43" s="160"/>
      <c r="AA43" s="160"/>
      <c r="AB43" s="37"/>
      <c r="AC43" s="131"/>
      <c r="AD43" s="121" t="s">
        <v>1516</v>
      </c>
      <c r="AE43" s="88"/>
      <c r="AF43" s="1966"/>
      <c r="AG43" s="1970"/>
      <c r="AH43" s="1970"/>
      <c r="AI43" s="1966"/>
      <c r="AJ43" s="90"/>
      <c r="AK43" s="90"/>
      <c r="AL43" s="90"/>
      <c r="AM43" s="89"/>
      <c r="AN43" s="90"/>
      <c r="AO43" s="90"/>
      <c r="AP43" s="90"/>
      <c r="AQ43" s="89"/>
      <c r="AR43" s="75"/>
      <c r="AS43" s="75"/>
      <c r="AT43" s="75"/>
      <c r="AU43" s="89"/>
      <c r="AV43" s="75"/>
      <c r="AW43" s="75"/>
      <c r="AX43" s="75"/>
      <c r="AY43" s="89"/>
      <c r="AZ43" s="121" t="s">
        <v>115</v>
      </c>
      <c r="BA43" s="121" t="s">
        <v>115</v>
      </c>
      <c r="BB43" s="135" t="s">
        <v>115</v>
      </c>
      <c r="BC43" s="89"/>
      <c r="BD43" s="121"/>
      <c r="BE43" s="121"/>
      <c r="BF43" s="121"/>
      <c r="BG43" s="89"/>
      <c r="BH43" s="92">
        <f>CF43+CI43+CL43+CO43+CR43</f>
        <v>2997</v>
      </c>
      <c r="BI43" s="92">
        <f>CH43+CK43+CN43+CQ43+CT43</f>
        <v>2997</v>
      </c>
      <c r="BJ43" s="92">
        <f>BH43-BI43</f>
        <v>0</v>
      </c>
      <c r="BK43" s="271"/>
      <c r="BL43" s="2014"/>
      <c r="BM43" s="95"/>
      <c r="BN43" s="127">
        <v>2997</v>
      </c>
      <c r="BO43" s="128"/>
      <c r="BP43" s="2037" t="s">
        <v>141</v>
      </c>
      <c r="BQ43" s="98">
        <v>0.15</v>
      </c>
      <c r="BR43" s="108"/>
      <c r="BS43" s="276">
        <f>BL43*BQ43</f>
        <v>0</v>
      </c>
      <c r="BT43" s="101">
        <f>BM43*BQ43</f>
        <v>0</v>
      </c>
      <c r="BU43" s="102">
        <f>BN43*BQ43</f>
        <v>449.55</v>
      </c>
      <c r="BV43" s="103">
        <f>BO43*BQ43</f>
        <v>0</v>
      </c>
      <c r="BW43" s="84" t="s">
        <v>185</v>
      </c>
      <c r="BX43" s="105" t="s">
        <v>141</v>
      </c>
      <c r="BY43" s="145">
        <v>0.05</v>
      </c>
      <c r="BZ43" s="108"/>
      <c r="CA43" s="276">
        <f>BL43*BY43</f>
        <v>0</v>
      </c>
      <c r="CB43" s="101">
        <f>BM43*BY43</f>
        <v>0</v>
      </c>
      <c r="CC43" s="106">
        <f>BN43*BY43</f>
        <v>149.85</v>
      </c>
      <c r="CD43" s="107">
        <f>BO43*BY43</f>
        <v>0</v>
      </c>
      <c r="CE43" s="84" t="s">
        <v>185</v>
      </c>
      <c r="CF43" s="108">
        <v>2997</v>
      </c>
      <c r="CG43" s="109">
        <v>45198</v>
      </c>
      <c r="CH43" s="110">
        <v>2997</v>
      </c>
      <c r="CI43" s="2106"/>
      <c r="CJ43" s="184"/>
      <c r="CK43" s="2106"/>
      <c r="CL43" s="2106"/>
      <c r="CM43" s="184"/>
      <c r="CN43" s="2106"/>
      <c r="CO43" s="130"/>
      <c r="CP43" s="130"/>
      <c r="CQ43" s="130"/>
      <c r="CR43" s="130"/>
      <c r="CS43" s="130"/>
      <c r="CT43" s="130"/>
      <c r="CU43" s="90">
        <v>1</v>
      </c>
      <c r="CV43" s="112"/>
      <c r="CW43" s="112"/>
      <c r="CX43" s="112"/>
      <c r="CY43" s="90"/>
      <c r="CZ43" s="75"/>
      <c r="DA43" s="2132" t="s">
        <v>1517</v>
      </c>
      <c r="DB43" s="115" t="str">
        <f>PROPER(N43)</f>
        <v>Trytech</v>
      </c>
      <c r="DC43" s="2162" t="s">
        <v>1518</v>
      </c>
      <c r="DD43" s="116" t="str">
        <f>BP43</f>
        <v>Daniele</v>
      </c>
      <c r="DE43" s="117">
        <f>IF(OR(D43&gt;0),IF(BJ43=0,BN43*BQ43,0))</f>
        <v>449.55</v>
      </c>
      <c r="DF43" s="117">
        <f>IF(OR(D43&gt;0),IF(BJ43=0,BN43*BY43,0))</f>
        <v>149.85</v>
      </c>
      <c r="DG43" s="118" t="str">
        <f>BX43</f>
        <v>Daniele</v>
      </c>
      <c r="DH43" s="76"/>
      <c r="DI43" s="120" t="s">
        <v>126</v>
      </c>
      <c r="DJ43" s="120"/>
      <c r="DK43" s="74" t="s">
        <v>1418</v>
      </c>
      <c r="DL43" s="74" t="s">
        <v>1418</v>
      </c>
      <c r="DM43" s="122">
        <v>1</v>
      </c>
      <c r="DN43" s="6"/>
      <c r="DO43" s="6"/>
      <c r="DP43" s="6"/>
      <c r="DQ43" s="6"/>
      <c r="DR43" s="6"/>
      <c r="DS43" s="6"/>
      <c r="DT43" s="6"/>
      <c r="DU43" s="6"/>
      <c r="DV43" s="6"/>
      <c r="DW43" s="6"/>
      <c r="DX43" s="6"/>
      <c r="DY43" s="6"/>
      <c r="DZ43" s="6"/>
    </row>
    <row r="44" spans="1:130" ht="34.5" hidden="1" customHeight="1">
      <c r="A44" s="3"/>
      <c r="B44" s="75" t="s">
        <v>108</v>
      </c>
      <c r="C44" s="75"/>
      <c r="D44" s="75"/>
      <c r="E44" s="76"/>
      <c r="F44" s="75"/>
      <c r="G44" s="79" t="s">
        <v>343</v>
      </c>
      <c r="H44" s="79" t="s">
        <v>344</v>
      </c>
      <c r="I44" s="80" t="s">
        <v>345</v>
      </c>
      <c r="J44" s="90" t="str">
        <f>CONCATENATE(G44," ",H44)</f>
        <v>Domenico De Vito</v>
      </c>
      <c r="K44" s="81">
        <v>3933326367</v>
      </c>
      <c r="L44" s="138" t="s">
        <v>346</v>
      </c>
      <c r="M44" s="83" t="s">
        <v>347</v>
      </c>
      <c r="N44" s="84" t="s">
        <v>348</v>
      </c>
      <c r="O44" s="85"/>
      <c r="P44" s="86"/>
      <c r="Q44" s="86"/>
      <c r="R44" s="86"/>
      <c r="S44" s="86"/>
      <c r="T44" s="86"/>
      <c r="U44" s="86"/>
      <c r="V44" s="86"/>
      <c r="W44" s="86"/>
      <c r="X44" s="86"/>
      <c r="Y44" s="87"/>
      <c r="Z44" s="86"/>
      <c r="AA44" s="86"/>
      <c r="AB44" s="86"/>
      <c r="AC44" s="86"/>
      <c r="AD44" s="86"/>
      <c r="AE44" s="138" t="str">
        <f>L44</f>
        <v>FORSE X 3 PARTECIPANTI. se porta 3 persone allora sconto di 200+iva nel totale: Forse vengono ad ottobre se Pacci li convince</v>
      </c>
      <c r="AF44" s="89"/>
      <c r="AG44" s="75"/>
      <c r="AH44" s="75"/>
      <c r="AI44" s="89"/>
      <c r="AJ44" s="75"/>
      <c r="AK44" s="75"/>
      <c r="AL44" s="75"/>
      <c r="AM44" s="89"/>
      <c r="AN44" s="90"/>
      <c r="AO44" s="90"/>
      <c r="AP44" s="90"/>
      <c r="AQ44" s="89"/>
      <c r="AR44" s="75"/>
      <c r="AS44" s="75"/>
      <c r="AT44" s="75"/>
      <c r="AU44" s="89"/>
      <c r="AV44" s="124"/>
      <c r="AW44" s="124"/>
      <c r="AX44" s="124"/>
      <c r="AY44" s="89"/>
      <c r="AZ44" s="154" t="s">
        <v>165</v>
      </c>
      <c r="BA44" s="154" t="s">
        <v>165</v>
      </c>
      <c r="BB44" s="154" t="s">
        <v>165</v>
      </c>
      <c r="BC44" s="89"/>
      <c r="BD44" s="121"/>
      <c r="BE44" s="121"/>
      <c r="BF44" s="121"/>
      <c r="BG44" s="89"/>
      <c r="BH44" s="92">
        <f>CF44+CI44+CL44+CO44+CR44</f>
        <v>0</v>
      </c>
      <c r="BI44" s="92">
        <f>CH44+CK44+CN44+CQ44+CT44</f>
        <v>0</v>
      </c>
      <c r="BJ44" s="92">
        <f>BH44-BI44</f>
        <v>0</v>
      </c>
      <c r="BK44" s="93"/>
      <c r="BL44" s="94"/>
      <c r="BM44" s="95"/>
      <c r="BN44" s="127"/>
      <c r="BO44" s="128"/>
      <c r="BP44" s="80" t="s">
        <v>262</v>
      </c>
      <c r="BQ44" s="98">
        <v>0.15</v>
      </c>
      <c r="BR44" s="99"/>
      <c r="BS44" s="100"/>
      <c r="BT44" s="101">
        <f>BM44*BQ44</f>
        <v>0</v>
      </c>
      <c r="BU44" s="102">
        <f>BN44*BQ44</f>
        <v>0</v>
      </c>
      <c r="BV44" s="103">
        <f>BO44*BQ44</f>
        <v>0</v>
      </c>
      <c r="BW44" s="80"/>
      <c r="BX44" s="105" t="s">
        <v>262</v>
      </c>
      <c r="BY44" s="98">
        <v>0.05</v>
      </c>
      <c r="BZ44" s="99"/>
      <c r="CA44" s="100"/>
      <c r="CB44" s="101">
        <f>BM44*BY44</f>
        <v>0</v>
      </c>
      <c r="CC44" s="106">
        <f>BN44*BY44</f>
        <v>0</v>
      </c>
      <c r="CD44" s="107">
        <f>BO44*BY44</f>
        <v>0</v>
      </c>
      <c r="CE44" s="90"/>
      <c r="CF44" s="108"/>
      <c r="CG44" s="109"/>
      <c r="CH44" s="110"/>
      <c r="CI44" s="108"/>
      <c r="CJ44" s="109"/>
      <c r="CK44" s="111"/>
      <c r="CL44" s="111"/>
      <c r="CM44" s="109"/>
      <c r="CN44" s="111"/>
      <c r="CO44" s="111"/>
      <c r="CP44" s="111"/>
      <c r="CQ44" s="111"/>
      <c r="CR44" s="111"/>
      <c r="CS44" s="111"/>
      <c r="CT44" s="111"/>
      <c r="CU44" s="90">
        <v>1</v>
      </c>
      <c r="CV44" s="112" t="s">
        <v>121</v>
      </c>
      <c r="CW44" s="112"/>
      <c r="CX44" s="113"/>
      <c r="CY44" s="90" t="s">
        <v>122</v>
      </c>
      <c r="CZ44" s="90"/>
      <c r="DA44" s="80"/>
      <c r="DB44" s="115" t="str">
        <f>PROPER(N44)</f>
        <v>Medicaltools</v>
      </c>
      <c r="DC44" s="116"/>
      <c r="DD44" s="116" t="str">
        <f>BP44</f>
        <v>Pacci</v>
      </c>
      <c r="DE44" s="117" t="b">
        <f>IF(OR(D44&gt;0),IF(BJ44=0,BN44*BQ44,0))</f>
        <v>0</v>
      </c>
      <c r="DF44" s="117" t="b">
        <f>IF(OR(D44&gt;0),IF(BJ44=0,BN44*BY44,0))</f>
        <v>0</v>
      </c>
      <c r="DG44" s="116" t="str">
        <f>BX44</f>
        <v>Pacci</v>
      </c>
      <c r="DH44" s="76"/>
      <c r="DI44" s="120" t="s">
        <v>154</v>
      </c>
      <c r="DJ44" s="120"/>
      <c r="DK44" s="121"/>
      <c r="DL44" s="121"/>
      <c r="DM44" s="122"/>
      <c r="DN44" s="6"/>
      <c r="DO44" s="6"/>
      <c r="DP44" s="6"/>
      <c r="DQ44" s="6"/>
      <c r="DR44" s="6"/>
      <c r="DS44" s="6"/>
      <c r="DT44" s="6"/>
      <c r="DU44" s="6"/>
      <c r="DV44" s="6"/>
      <c r="DW44" s="6"/>
      <c r="DX44" s="6"/>
      <c r="DY44" s="6"/>
      <c r="DZ44" s="6"/>
    </row>
    <row r="45" spans="1:130" ht="34.5" hidden="1" customHeight="1">
      <c r="A45" s="3"/>
      <c r="B45" s="75" t="s">
        <v>108</v>
      </c>
      <c r="C45" s="75"/>
      <c r="D45" s="75"/>
      <c r="E45" s="76"/>
      <c r="F45" s="75"/>
      <c r="G45" s="140" t="s">
        <v>349</v>
      </c>
      <c r="H45" s="79"/>
      <c r="I45" s="80"/>
      <c r="J45" s="90" t="str">
        <f>CONCATENATE(G45," ",H45)</f>
        <v xml:space="preserve">Partecipante 1 Domenico De Vito </v>
      </c>
      <c r="K45" s="81"/>
      <c r="L45" s="138"/>
      <c r="M45" s="83" t="s">
        <v>347</v>
      </c>
      <c r="N45" s="84" t="s">
        <v>348</v>
      </c>
      <c r="O45" s="85"/>
      <c r="P45" s="86"/>
      <c r="Q45" s="86"/>
      <c r="R45" s="86"/>
      <c r="S45" s="86"/>
      <c r="T45" s="86"/>
      <c r="U45" s="86"/>
      <c r="V45" s="86"/>
      <c r="W45" s="86"/>
      <c r="X45" s="86"/>
      <c r="Y45" s="87"/>
      <c r="Z45" s="86"/>
      <c r="AA45" s="86"/>
      <c r="AB45" s="86"/>
      <c r="AC45" s="86"/>
      <c r="AD45" s="86"/>
      <c r="AE45" s="138">
        <f>L45</f>
        <v>0</v>
      </c>
      <c r="AF45" s="89"/>
      <c r="AG45" s="75"/>
      <c r="AH45" s="75"/>
      <c r="AI45" s="89"/>
      <c r="AJ45" s="75"/>
      <c r="AK45" s="75"/>
      <c r="AL45" s="75"/>
      <c r="AM45" s="89"/>
      <c r="AN45" s="90"/>
      <c r="AO45" s="90"/>
      <c r="AP45" s="90"/>
      <c r="AQ45" s="89"/>
      <c r="AR45" s="75"/>
      <c r="AS45" s="75"/>
      <c r="AT45" s="75"/>
      <c r="AU45" s="89"/>
      <c r="AV45" s="124"/>
      <c r="AW45" s="124"/>
      <c r="AX45" s="124"/>
      <c r="AY45" s="89"/>
      <c r="AZ45" s="154" t="s">
        <v>165</v>
      </c>
      <c r="BA45" s="154" t="s">
        <v>165</v>
      </c>
      <c r="BB45" s="154" t="s">
        <v>165</v>
      </c>
      <c r="BC45" s="89"/>
      <c r="BD45" s="121"/>
      <c r="BE45" s="121"/>
      <c r="BF45" s="121"/>
      <c r="BG45" s="89"/>
      <c r="BH45" s="92">
        <f>CF45+CI45+CL45+CO45+CR45</f>
        <v>0</v>
      </c>
      <c r="BI45" s="92">
        <f>CH45+CK45+CN45+CQ45+CT45</f>
        <v>0</v>
      </c>
      <c r="BJ45" s="92">
        <f>BH45-BI45</f>
        <v>0</v>
      </c>
      <c r="BK45" s="93"/>
      <c r="BL45" s="94"/>
      <c r="BM45" s="95"/>
      <c r="BN45" s="127"/>
      <c r="BO45" s="128"/>
      <c r="BP45" s="80" t="s">
        <v>262</v>
      </c>
      <c r="BQ45" s="98">
        <v>0.15</v>
      </c>
      <c r="BR45" s="99"/>
      <c r="BS45" s="100"/>
      <c r="BT45" s="101">
        <f>BM45*BQ45</f>
        <v>0</v>
      </c>
      <c r="BU45" s="102">
        <f>BN45*BQ45</f>
        <v>0</v>
      </c>
      <c r="BV45" s="103">
        <f>BO45*BQ45</f>
        <v>0</v>
      </c>
      <c r="BW45" s="80"/>
      <c r="BX45" s="105" t="s">
        <v>262</v>
      </c>
      <c r="BY45" s="98">
        <v>0.05</v>
      </c>
      <c r="BZ45" s="99"/>
      <c r="CA45" s="100"/>
      <c r="CB45" s="101">
        <f>BM45*BY45</f>
        <v>0</v>
      </c>
      <c r="CC45" s="106">
        <f>BN45*BY45</f>
        <v>0</v>
      </c>
      <c r="CD45" s="107">
        <f>BO45*BY45</f>
        <v>0</v>
      </c>
      <c r="CE45" s="90"/>
      <c r="CF45" s="108"/>
      <c r="CG45" s="109"/>
      <c r="CH45" s="110"/>
      <c r="CI45" s="108"/>
      <c r="CJ45" s="109"/>
      <c r="CK45" s="111"/>
      <c r="CL45" s="111"/>
      <c r="CM45" s="109"/>
      <c r="CN45" s="111"/>
      <c r="CO45" s="111"/>
      <c r="CP45" s="111"/>
      <c r="CQ45" s="111"/>
      <c r="CR45" s="111"/>
      <c r="CS45" s="111"/>
      <c r="CT45" s="111"/>
      <c r="CU45" s="90">
        <v>1</v>
      </c>
      <c r="CV45" s="112" t="s">
        <v>121</v>
      </c>
      <c r="CW45" s="112"/>
      <c r="CX45" s="113"/>
      <c r="CY45" s="90" t="s">
        <v>122</v>
      </c>
      <c r="CZ45" s="90"/>
      <c r="DA45" s="80"/>
      <c r="DB45" s="115" t="str">
        <f>PROPER(N45)</f>
        <v>Medicaltools</v>
      </c>
      <c r="DC45" s="116"/>
      <c r="DD45" s="116" t="str">
        <f>BP45</f>
        <v>Pacci</v>
      </c>
      <c r="DE45" s="117" t="b">
        <f>IF(OR(D45&gt;0),IF(BJ45=0,BN45*BQ45,0))</f>
        <v>0</v>
      </c>
      <c r="DF45" s="117" t="b">
        <f>IF(OR(D45&gt;0),IF(BJ45=0,BN45*BY45,0))</f>
        <v>0</v>
      </c>
      <c r="DG45" s="116" t="str">
        <f>BX45</f>
        <v>Pacci</v>
      </c>
      <c r="DH45" s="76"/>
      <c r="DI45" s="120" t="s">
        <v>154</v>
      </c>
      <c r="DJ45" s="120"/>
      <c r="DK45" s="121"/>
      <c r="DL45" s="121"/>
      <c r="DM45" s="122"/>
      <c r="DN45" s="6"/>
      <c r="DO45" s="6"/>
      <c r="DP45" s="6"/>
      <c r="DQ45" s="6"/>
      <c r="DR45" s="6"/>
      <c r="DS45" s="6"/>
      <c r="DT45" s="6"/>
      <c r="DU45" s="6"/>
      <c r="DV45" s="6"/>
      <c r="DW45" s="6"/>
      <c r="DX45" s="6"/>
      <c r="DY45" s="6"/>
      <c r="DZ45" s="6"/>
    </row>
    <row r="46" spans="1:130" ht="34.5" hidden="1" customHeight="1">
      <c r="A46" s="3"/>
      <c r="B46" s="75" t="s">
        <v>108</v>
      </c>
      <c r="C46" s="75"/>
      <c r="D46" s="75"/>
      <c r="E46" s="76"/>
      <c r="F46" s="75"/>
      <c r="G46" s="140" t="s">
        <v>350</v>
      </c>
      <c r="H46" s="79"/>
      <c r="I46" s="80" t="s">
        <v>345</v>
      </c>
      <c r="J46" s="90" t="str">
        <f>CONCATENATE(G46," ",H46)</f>
        <v xml:space="preserve">Partecipante 2 Domenico De Vito </v>
      </c>
      <c r="K46" s="81"/>
      <c r="L46" s="138"/>
      <c r="M46" s="83" t="s">
        <v>347</v>
      </c>
      <c r="N46" s="84" t="s">
        <v>348</v>
      </c>
      <c r="O46" s="85"/>
      <c r="P46" s="86"/>
      <c r="Q46" s="86"/>
      <c r="R46" s="86"/>
      <c r="S46" s="86"/>
      <c r="T46" s="86"/>
      <c r="U46" s="86"/>
      <c r="V46" s="86"/>
      <c r="W46" s="86"/>
      <c r="X46" s="86"/>
      <c r="Y46" s="87"/>
      <c r="Z46" s="86"/>
      <c r="AA46" s="86"/>
      <c r="AB46" s="86"/>
      <c r="AC46" s="86"/>
      <c r="AD46" s="86"/>
      <c r="AE46" s="138">
        <f>L46</f>
        <v>0</v>
      </c>
      <c r="AF46" s="89"/>
      <c r="AG46" s="75"/>
      <c r="AH46" s="75"/>
      <c r="AI46" s="89"/>
      <c r="AJ46" s="75"/>
      <c r="AK46" s="75"/>
      <c r="AL46" s="75"/>
      <c r="AM46" s="89"/>
      <c r="AN46" s="90"/>
      <c r="AO46" s="90"/>
      <c r="AP46" s="90"/>
      <c r="AQ46" s="89"/>
      <c r="AR46" s="75"/>
      <c r="AS46" s="75"/>
      <c r="AT46" s="75"/>
      <c r="AU46" s="89"/>
      <c r="AV46" s="124"/>
      <c r="AW46" s="124"/>
      <c r="AX46" s="124"/>
      <c r="AY46" s="89"/>
      <c r="AZ46" s="154" t="s">
        <v>165</v>
      </c>
      <c r="BA46" s="154" t="s">
        <v>165</v>
      </c>
      <c r="BB46" s="154" t="s">
        <v>165</v>
      </c>
      <c r="BC46" s="89"/>
      <c r="BD46" s="121"/>
      <c r="BE46" s="121"/>
      <c r="BF46" s="121"/>
      <c r="BG46" s="89"/>
      <c r="BH46" s="92">
        <f>CF46+CI46+CL46+CO46+CR46</f>
        <v>0</v>
      </c>
      <c r="BI46" s="92">
        <f>CH46+CK46+CN46+CQ46+CT46</f>
        <v>0</v>
      </c>
      <c r="BJ46" s="92">
        <f>BH46-BI46</f>
        <v>0</v>
      </c>
      <c r="BK46" s="93"/>
      <c r="BL46" s="94"/>
      <c r="BM46" s="95"/>
      <c r="BN46" s="127"/>
      <c r="BO46" s="128"/>
      <c r="BP46" s="80" t="s">
        <v>262</v>
      </c>
      <c r="BQ46" s="98">
        <v>0.15</v>
      </c>
      <c r="BR46" s="99"/>
      <c r="BS46" s="100"/>
      <c r="BT46" s="101">
        <f>BM46*BQ46</f>
        <v>0</v>
      </c>
      <c r="BU46" s="102">
        <f>BN46*BQ46</f>
        <v>0</v>
      </c>
      <c r="BV46" s="103">
        <f>BO46*BQ46</f>
        <v>0</v>
      </c>
      <c r="BW46" s="80"/>
      <c r="BX46" s="105" t="s">
        <v>262</v>
      </c>
      <c r="BY46" s="98">
        <v>0.05</v>
      </c>
      <c r="BZ46" s="99"/>
      <c r="CA46" s="100"/>
      <c r="CB46" s="101">
        <f>BM46*BY46</f>
        <v>0</v>
      </c>
      <c r="CC46" s="106">
        <f>BN46*BY46</f>
        <v>0</v>
      </c>
      <c r="CD46" s="107">
        <f>BO46*BY46</f>
        <v>0</v>
      </c>
      <c r="CE46" s="90"/>
      <c r="CF46" s="108"/>
      <c r="CG46" s="109"/>
      <c r="CH46" s="110"/>
      <c r="CI46" s="108"/>
      <c r="CJ46" s="109"/>
      <c r="CK46" s="111"/>
      <c r="CL46" s="111"/>
      <c r="CM46" s="109"/>
      <c r="CN46" s="111"/>
      <c r="CO46" s="111"/>
      <c r="CP46" s="111"/>
      <c r="CQ46" s="111"/>
      <c r="CR46" s="111"/>
      <c r="CS46" s="111"/>
      <c r="CT46" s="111"/>
      <c r="CU46" s="90">
        <v>1</v>
      </c>
      <c r="CV46" s="112" t="s">
        <v>121</v>
      </c>
      <c r="CW46" s="112"/>
      <c r="CX46" s="113"/>
      <c r="CY46" s="90" t="s">
        <v>122</v>
      </c>
      <c r="CZ46" s="90"/>
      <c r="DA46" s="80"/>
      <c r="DB46" s="115" t="str">
        <f>PROPER(N46)</f>
        <v>Medicaltools</v>
      </c>
      <c r="DC46" s="116"/>
      <c r="DD46" s="116" t="str">
        <f>BP46</f>
        <v>Pacci</v>
      </c>
      <c r="DE46" s="117" t="b">
        <f>IF(OR(D46&gt;0),IF(BJ46=0,BN46*BQ46,0))</f>
        <v>0</v>
      </c>
      <c r="DF46" s="117" t="b">
        <f>IF(OR(D46&gt;0),IF(BJ46=0,BN46*BY46,0))</f>
        <v>0</v>
      </c>
      <c r="DG46" s="116" t="str">
        <f>BX46</f>
        <v>Pacci</v>
      </c>
      <c r="DH46" s="76"/>
      <c r="DI46" s="120" t="s">
        <v>154</v>
      </c>
      <c r="DJ46" s="120"/>
      <c r="DK46" s="121"/>
      <c r="DL46" s="121"/>
      <c r="DM46" s="122"/>
      <c r="DN46" s="6"/>
      <c r="DO46" s="6"/>
      <c r="DP46" s="6"/>
      <c r="DQ46" s="6"/>
      <c r="DR46" s="6"/>
      <c r="DS46" s="6"/>
      <c r="DT46" s="6"/>
      <c r="DU46" s="6"/>
      <c r="DV46" s="6"/>
      <c r="DW46" s="6"/>
      <c r="DX46" s="6"/>
      <c r="DY46" s="6"/>
      <c r="DZ46" s="6"/>
    </row>
    <row r="47" spans="1:130" ht="34.5" hidden="1" customHeight="1">
      <c r="A47" s="228"/>
      <c r="B47" s="75" t="s">
        <v>1359</v>
      </c>
      <c r="C47" s="90"/>
      <c r="D47" s="75">
        <v>1</v>
      </c>
      <c r="E47" s="76">
        <v>1</v>
      </c>
      <c r="F47" s="75"/>
      <c r="G47" s="400" t="s">
        <v>188</v>
      </c>
      <c r="H47" s="400" t="s">
        <v>1672</v>
      </c>
      <c r="I47" s="1829" t="s">
        <v>1678</v>
      </c>
      <c r="J47" s="75" t="str">
        <f>CONCATENATE(G47," ",H47)</f>
        <v>Andrea Poropat</v>
      </c>
      <c r="K47" s="81">
        <v>3357260179</v>
      </c>
      <c r="L47" s="1861"/>
      <c r="M47" s="1886" t="s">
        <v>355</v>
      </c>
      <c r="N47" s="84" t="s">
        <v>1674</v>
      </c>
      <c r="O47" s="1923"/>
      <c r="P47" s="160"/>
      <c r="Q47" s="160"/>
      <c r="R47" s="403"/>
      <c r="S47" s="160"/>
      <c r="T47" s="160"/>
      <c r="U47" s="160"/>
      <c r="V47" s="160"/>
      <c r="W47" s="160"/>
      <c r="X47" s="131"/>
      <c r="Y47" s="160"/>
      <c r="Z47" s="160"/>
      <c r="AA47" s="160"/>
      <c r="AB47" s="37"/>
      <c r="AC47" s="131"/>
      <c r="AD47" s="121" t="s">
        <v>1675</v>
      </c>
      <c r="AE47" s="88"/>
      <c r="AF47" s="1966"/>
      <c r="AG47" s="1970"/>
      <c r="AH47" s="1970"/>
      <c r="AI47" s="1966"/>
      <c r="AJ47" s="90"/>
      <c r="AK47" s="90"/>
      <c r="AL47" s="90"/>
      <c r="AM47" s="89"/>
      <c r="AN47" s="90"/>
      <c r="AO47" s="90"/>
      <c r="AP47" s="90"/>
      <c r="AQ47" s="89"/>
      <c r="AR47" s="75"/>
      <c r="AS47" s="75"/>
      <c r="AT47" s="75"/>
      <c r="AU47" s="89"/>
      <c r="AV47" s="121"/>
      <c r="AW47" s="121"/>
      <c r="AX47" s="169"/>
      <c r="AY47" s="89"/>
      <c r="AZ47" s="121" t="s">
        <v>115</v>
      </c>
      <c r="BA47" s="121" t="s">
        <v>115</v>
      </c>
      <c r="BB47" s="1999" t="s">
        <v>115</v>
      </c>
      <c r="BC47" s="89"/>
      <c r="BD47" s="121"/>
      <c r="BE47" s="121"/>
      <c r="BF47" s="121"/>
      <c r="BG47" s="89"/>
      <c r="BH47" s="92">
        <f>CF47+CI47+CL47+CO47+CR47</f>
        <v>2997</v>
      </c>
      <c r="BI47" s="92">
        <f>CH47+CK47+CN47+CQ47+CT47</f>
        <v>2997</v>
      </c>
      <c r="BJ47" s="92">
        <f>BH47-BI47</f>
        <v>0</v>
      </c>
      <c r="BK47" s="271"/>
      <c r="BL47" s="2014"/>
      <c r="BM47" s="95"/>
      <c r="BN47" s="142">
        <v>2997</v>
      </c>
      <c r="BO47" s="128"/>
      <c r="BP47" s="2037" t="s">
        <v>160</v>
      </c>
      <c r="BQ47" s="98">
        <v>0.15</v>
      </c>
      <c r="BR47" s="108"/>
      <c r="BS47" s="276">
        <f>BL47*BQ47</f>
        <v>0</v>
      </c>
      <c r="BT47" s="101">
        <f>BM47*BQ47</f>
        <v>0</v>
      </c>
      <c r="BU47" s="102">
        <f>BN47*BQ47</f>
        <v>449.55</v>
      </c>
      <c r="BV47" s="103">
        <f>BO47*BQ47</f>
        <v>0</v>
      </c>
      <c r="BW47" s="84" t="s">
        <v>185</v>
      </c>
      <c r="BX47" s="105" t="s">
        <v>160</v>
      </c>
      <c r="BY47" s="145">
        <v>0.1</v>
      </c>
      <c r="BZ47" s="108"/>
      <c r="CA47" s="276">
        <f>BL47*BY47</f>
        <v>0</v>
      </c>
      <c r="CB47" s="101">
        <f>BM47*BY47</f>
        <v>0</v>
      </c>
      <c r="CC47" s="106">
        <f>BN47*BY47</f>
        <v>299.7</v>
      </c>
      <c r="CD47" s="107">
        <f>BO47*BY47</f>
        <v>0</v>
      </c>
      <c r="CE47" s="84" t="s">
        <v>185</v>
      </c>
      <c r="CF47" s="108">
        <v>2997</v>
      </c>
      <c r="CG47" s="109">
        <v>45198</v>
      </c>
      <c r="CH47" s="108">
        <v>2997</v>
      </c>
      <c r="CI47" s="2106"/>
      <c r="CJ47" s="184"/>
      <c r="CK47" s="2106"/>
      <c r="CL47" s="2106"/>
      <c r="CM47" s="184"/>
      <c r="CN47" s="2106"/>
      <c r="CO47" s="130"/>
      <c r="CP47" s="130"/>
      <c r="CQ47" s="130"/>
      <c r="CR47" s="130"/>
      <c r="CS47" s="130"/>
      <c r="CT47" s="130"/>
      <c r="CU47" s="90">
        <v>1</v>
      </c>
      <c r="CV47" s="112"/>
      <c r="CW47" s="112"/>
      <c r="CX47" s="112"/>
      <c r="CY47" s="90"/>
      <c r="CZ47" s="75"/>
      <c r="DA47" s="2132" t="s">
        <v>1676</v>
      </c>
      <c r="DB47" s="126" t="str">
        <f>PROPER(N47)</f>
        <v>Elcom</v>
      </c>
      <c r="DC47" s="2162" t="s">
        <v>1677</v>
      </c>
      <c r="DD47" s="116" t="str">
        <f>BP47</f>
        <v>Gianluca</v>
      </c>
      <c r="DE47" s="117">
        <f>IF(OR(D47&gt;0),IF(BJ47=0,BN47*BQ47,0))</f>
        <v>449.55</v>
      </c>
      <c r="DF47" s="117">
        <f>IF(OR(D47&gt;0),IF(BJ47=0,BN47*BY47,0))</f>
        <v>299.7</v>
      </c>
      <c r="DG47" s="118" t="str">
        <f>BX47</f>
        <v>Gianluca</v>
      </c>
      <c r="DH47" s="76"/>
      <c r="DI47" s="120" t="s">
        <v>126</v>
      </c>
      <c r="DJ47" s="120"/>
      <c r="DK47" s="74" t="s">
        <v>1399</v>
      </c>
      <c r="DL47" s="74" t="s">
        <v>1399</v>
      </c>
      <c r="DM47" s="122">
        <v>1</v>
      </c>
      <c r="DN47" s="6"/>
      <c r="DO47" s="6"/>
      <c r="DP47" s="6"/>
      <c r="DQ47" s="6"/>
      <c r="DR47" s="6"/>
      <c r="DS47" s="6"/>
      <c r="DT47" s="6"/>
      <c r="DU47" s="6"/>
      <c r="DV47" s="6"/>
      <c r="DW47" s="6"/>
      <c r="DX47" s="6"/>
      <c r="DY47" s="6"/>
      <c r="DZ47" s="6"/>
    </row>
    <row r="48" spans="1:130" ht="34.5" hidden="1" customHeight="1">
      <c r="A48" s="228"/>
      <c r="B48" s="75" t="s">
        <v>1359</v>
      </c>
      <c r="C48" s="90"/>
      <c r="D48" s="75">
        <v>1</v>
      </c>
      <c r="E48" s="76">
        <v>1</v>
      </c>
      <c r="F48" s="75"/>
      <c r="G48" s="400" t="s">
        <v>188</v>
      </c>
      <c r="H48" s="400" t="s">
        <v>1530</v>
      </c>
      <c r="I48" s="113" t="s">
        <v>1531</v>
      </c>
      <c r="J48" s="75" t="str">
        <f>CONCATENATE(G48," ",H48)</f>
        <v>Andrea Terranova</v>
      </c>
      <c r="K48" s="81">
        <v>3496406378</v>
      </c>
      <c r="L48" s="1872"/>
      <c r="M48" s="1903" t="s">
        <v>112</v>
      </c>
      <c r="N48" s="1917" t="s">
        <v>1532</v>
      </c>
      <c r="O48" s="1923"/>
      <c r="P48" s="160"/>
      <c r="Q48" s="160"/>
      <c r="R48" s="403"/>
      <c r="S48" s="160"/>
      <c r="T48" s="160"/>
      <c r="U48" s="160"/>
      <c r="V48" s="160"/>
      <c r="W48" s="160"/>
      <c r="X48" s="131"/>
      <c r="Y48" s="160"/>
      <c r="Z48" s="160"/>
      <c r="AA48" s="160"/>
      <c r="AB48" s="37"/>
      <c r="AC48" s="131"/>
      <c r="AD48" s="121" t="s">
        <v>1533</v>
      </c>
      <c r="AE48" s="88"/>
      <c r="AF48" s="1966"/>
      <c r="AG48" s="1970"/>
      <c r="AH48" s="1970"/>
      <c r="AI48" s="1966"/>
      <c r="AJ48" s="90"/>
      <c r="AK48" s="90"/>
      <c r="AL48" s="90"/>
      <c r="AM48" s="89"/>
      <c r="AN48" s="90"/>
      <c r="AO48" s="90"/>
      <c r="AP48" s="90"/>
      <c r="AQ48" s="89"/>
      <c r="AR48" s="75"/>
      <c r="AS48" s="75"/>
      <c r="AT48" s="75"/>
      <c r="AU48" s="89"/>
      <c r="AV48" s="121"/>
      <c r="AW48" s="121"/>
      <c r="AX48" s="121"/>
      <c r="AY48" s="89"/>
      <c r="AZ48" s="121" t="s">
        <v>115</v>
      </c>
      <c r="BA48" s="121" t="s">
        <v>115</v>
      </c>
      <c r="BB48" s="135" t="s">
        <v>115</v>
      </c>
      <c r="BC48" s="89"/>
      <c r="BD48" s="121"/>
      <c r="BE48" s="121"/>
      <c r="BF48" s="121"/>
      <c r="BG48" s="89"/>
      <c r="BH48" s="92">
        <f>CF48+CI48+CL48+CO48+CR48</f>
        <v>3497.0000000000005</v>
      </c>
      <c r="BI48" s="92">
        <f>CH48+CK48+CN48+CQ48+CT48</f>
        <v>3497.0039344262295</v>
      </c>
      <c r="BJ48" s="92">
        <f>BH48-BI48</f>
        <v>-3.9344262290796905E-3</v>
      </c>
      <c r="BK48" s="271"/>
      <c r="BL48" s="2014"/>
      <c r="BM48" s="95"/>
      <c r="BN48" s="142">
        <v>3497</v>
      </c>
      <c r="BO48" s="182"/>
      <c r="BP48" s="2037" t="s">
        <v>166</v>
      </c>
      <c r="BQ48" s="98">
        <v>0.15</v>
      </c>
      <c r="BR48" s="108"/>
      <c r="BS48" s="276">
        <f>BL48*BQ48</f>
        <v>0</v>
      </c>
      <c r="BT48" s="101">
        <f>BM48*BQ48</f>
        <v>0</v>
      </c>
      <c r="BU48" s="102">
        <f>BN48*BQ48</f>
        <v>524.54999999999995</v>
      </c>
      <c r="BV48" s="103">
        <f>BO48*BQ48</f>
        <v>0</v>
      </c>
      <c r="BW48" s="84" t="s">
        <v>185</v>
      </c>
      <c r="BX48" s="105" t="s">
        <v>166</v>
      </c>
      <c r="BY48" s="145">
        <v>0.05</v>
      </c>
      <c r="BZ48" s="108"/>
      <c r="CA48" s="276">
        <f>BL48*BY48</f>
        <v>0</v>
      </c>
      <c r="CB48" s="101">
        <f>BM48*BY48</f>
        <v>0</v>
      </c>
      <c r="CC48" s="106">
        <f>BN48*BY48</f>
        <v>174.85000000000002</v>
      </c>
      <c r="CD48" s="107">
        <f>BO48*BY48</f>
        <v>0</v>
      </c>
      <c r="CE48" s="84" t="s">
        <v>185</v>
      </c>
      <c r="CF48" s="108">
        <f>200/1.22</f>
        <v>163.9344262295082</v>
      </c>
      <c r="CG48" s="109">
        <v>45198</v>
      </c>
      <c r="CH48" s="110">
        <f>200/1.22</f>
        <v>163.9344262295082</v>
      </c>
      <c r="CI48" s="108">
        <f>1720/1.22</f>
        <v>1409.8360655737706</v>
      </c>
      <c r="CJ48" s="109">
        <v>45205</v>
      </c>
      <c r="CK48" s="108">
        <v>1409.84</v>
      </c>
      <c r="CL48" s="108">
        <f>2346.34/1.22</f>
        <v>1923.2295081967216</v>
      </c>
      <c r="CM48" s="109">
        <v>45233</v>
      </c>
      <c r="CN48" s="108">
        <f>2346.34/1.22</f>
        <v>1923.2295081967216</v>
      </c>
      <c r="CO48" s="130"/>
      <c r="CP48" s="130"/>
      <c r="CQ48" s="130"/>
      <c r="CR48" s="130"/>
      <c r="CS48" s="130"/>
      <c r="CT48" s="130"/>
      <c r="CU48" s="90">
        <v>1</v>
      </c>
      <c r="CV48" s="112"/>
      <c r="CW48" s="112"/>
      <c r="CX48" s="112"/>
      <c r="CY48" s="90"/>
      <c r="CZ48" s="75"/>
      <c r="DA48" s="2140" t="s">
        <v>1534</v>
      </c>
      <c r="DB48" s="126" t="s">
        <v>1535</v>
      </c>
      <c r="DC48" s="2162" t="s">
        <v>1536</v>
      </c>
      <c r="DD48" s="116" t="str">
        <f>BP48</f>
        <v>Matteo</v>
      </c>
      <c r="DE48" s="117">
        <v>524.54999999999995</v>
      </c>
      <c r="DF48" s="117">
        <v>174.85</v>
      </c>
      <c r="DG48" s="118" t="str">
        <f>BX48</f>
        <v>Matteo</v>
      </c>
      <c r="DH48" s="76"/>
      <c r="DI48" s="120" t="s">
        <v>126</v>
      </c>
      <c r="DJ48" s="120"/>
      <c r="DK48" s="74" t="s">
        <v>1366</v>
      </c>
      <c r="DL48" s="74" t="s">
        <v>1366</v>
      </c>
      <c r="DM48" s="122">
        <v>1</v>
      </c>
      <c r="DN48" s="6"/>
      <c r="DO48" s="6"/>
      <c r="DP48" s="6"/>
      <c r="DQ48" s="6"/>
      <c r="DR48" s="6"/>
      <c r="DS48" s="6"/>
      <c r="DT48" s="6"/>
      <c r="DU48" s="6"/>
      <c r="DV48" s="6"/>
      <c r="DW48" s="6"/>
      <c r="DX48" s="6"/>
      <c r="DY48" s="6"/>
      <c r="DZ48" s="6"/>
    </row>
    <row r="49" spans="1:130" ht="34.5" hidden="1" customHeight="1">
      <c r="A49" s="3"/>
      <c r="B49" s="75" t="s">
        <v>108</v>
      </c>
      <c r="C49" s="75"/>
      <c r="D49" s="75"/>
      <c r="E49" s="76"/>
      <c r="F49" s="75"/>
      <c r="G49" s="79" t="s">
        <v>368</v>
      </c>
      <c r="H49" s="79" t="s">
        <v>369</v>
      </c>
      <c r="I49" s="80" t="s">
        <v>370</v>
      </c>
      <c r="J49" s="90" t="str">
        <f>CONCATENATE(G49," ",H49)</f>
        <v>Eddy Gemin</v>
      </c>
      <c r="K49" s="81" t="s">
        <v>371</v>
      </c>
      <c r="L49" s="82"/>
      <c r="M49" s="83" t="s">
        <v>372</v>
      </c>
      <c r="N49" s="84" t="s">
        <v>373</v>
      </c>
      <c r="O49" s="85"/>
      <c r="P49" s="86"/>
      <c r="Q49" s="86"/>
      <c r="R49" s="86"/>
      <c r="S49" s="86"/>
      <c r="T49" s="86"/>
      <c r="U49" s="86"/>
      <c r="V49" s="86"/>
      <c r="W49" s="86"/>
      <c r="X49" s="86"/>
      <c r="Y49" s="87"/>
      <c r="Z49" s="86"/>
      <c r="AA49" s="86"/>
      <c r="AB49" s="86"/>
      <c r="AC49" s="86"/>
      <c r="AD49" s="86" t="s">
        <v>374</v>
      </c>
      <c r="AE49" s="88">
        <f>L49</f>
        <v>0</v>
      </c>
      <c r="AF49" s="89"/>
      <c r="AG49" s="75"/>
      <c r="AH49" s="75"/>
      <c r="AI49" s="89"/>
      <c r="AJ49" s="75"/>
      <c r="AK49" s="75"/>
      <c r="AL49" s="75"/>
      <c r="AM49" s="89"/>
      <c r="AN49" s="90"/>
      <c r="AO49" s="90"/>
      <c r="AP49" s="90"/>
      <c r="AQ49" s="89"/>
      <c r="AR49" s="75"/>
      <c r="AS49" s="75"/>
      <c r="AT49" s="75"/>
      <c r="AU49" s="89"/>
      <c r="AV49" s="75"/>
      <c r="AW49" s="75"/>
      <c r="AX49" s="75"/>
      <c r="AY49" s="89"/>
      <c r="AZ49" s="153"/>
      <c r="BA49" s="153"/>
      <c r="BB49" s="153"/>
      <c r="BC49" s="89"/>
      <c r="BD49" s="121" t="s">
        <v>115</v>
      </c>
      <c r="BE49" s="121" t="s">
        <v>115</v>
      </c>
      <c r="BF49" s="121" t="s">
        <v>115</v>
      </c>
      <c r="BG49" s="89"/>
      <c r="BH49" s="92">
        <f>CF49+CI49+CL49+CO49+CR49</f>
        <v>2997</v>
      </c>
      <c r="BI49" s="92">
        <f>CH49+CK49+CN49+CQ49+CT49</f>
        <v>2997</v>
      </c>
      <c r="BJ49" s="92">
        <f>BH49-BI49</f>
        <v>0</v>
      </c>
      <c r="BK49" s="93"/>
      <c r="BL49" s="94"/>
      <c r="BM49" s="95"/>
      <c r="BN49" s="127"/>
      <c r="BO49" s="128">
        <v>2997</v>
      </c>
      <c r="BP49" s="80" t="s">
        <v>184</v>
      </c>
      <c r="BQ49" s="98">
        <v>0.15</v>
      </c>
      <c r="BR49" s="99"/>
      <c r="BS49" s="100"/>
      <c r="BT49" s="101">
        <f>BM49*BQ49</f>
        <v>0</v>
      </c>
      <c r="BU49" s="102">
        <f>BN49*BQ49</f>
        <v>0</v>
      </c>
      <c r="BV49" s="103">
        <f>BO49*BQ49</f>
        <v>449.55</v>
      </c>
      <c r="BW49" s="80"/>
      <c r="BX49" s="105" t="s">
        <v>184</v>
      </c>
      <c r="BY49" s="98">
        <v>0.05</v>
      </c>
      <c r="BZ49" s="99"/>
      <c r="CA49" s="100"/>
      <c r="CB49" s="101">
        <f>BM49*BY49</f>
        <v>0</v>
      </c>
      <c r="CC49" s="106">
        <f>BN49*BY49</f>
        <v>0</v>
      </c>
      <c r="CD49" s="107">
        <f>BO49*BY49</f>
        <v>149.85</v>
      </c>
      <c r="CE49" s="90"/>
      <c r="CF49" s="108">
        <v>2997</v>
      </c>
      <c r="CG49" s="109">
        <v>45049</v>
      </c>
      <c r="CH49" s="108">
        <v>2997</v>
      </c>
      <c r="CI49" s="108"/>
      <c r="CJ49" s="109"/>
      <c r="CK49" s="111"/>
      <c r="CL49" s="111"/>
      <c r="CM49" s="109"/>
      <c r="CN49" s="111"/>
      <c r="CO49" s="111"/>
      <c r="CP49" s="111"/>
      <c r="CQ49" s="111"/>
      <c r="CR49" s="111"/>
      <c r="CS49" s="111"/>
      <c r="CT49" s="111"/>
      <c r="CU49" s="90">
        <v>1</v>
      </c>
      <c r="CV49" s="112" t="s">
        <v>121</v>
      </c>
      <c r="CW49" s="112"/>
      <c r="CX49" s="113"/>
      <c r="CY49" s="90" t="s">
        <v>122</v>
      </c>
      <c r="CZ49" s="90"/>
      <c r="DA49" s="80" t="s">
        <v>375</v>
      </c>
      <c r="DB49" s="115" t="str">
        <f>PROPER(N49)</f>
        <v>Im Group</v>
      </c>
      <c r="DC49" s="116"/>
      <c r="DD49" s="116" t="str">
        <f>BP49</f>
        <v>Cristian A</v>
      </c>
      <c r="DE49" s="117" t="b">
        <f>IF(OR(D49&gt;0),IF(BJ49=0,BN49*BQ49,0))</f>
        <v>0</v>
      </c>
      <c r="DF49" s="117" t="b">
        <f>IF(OR(D49&gt;0),IF(BJ49=0,BN49*BY49,0))</f>
        <v>0</v>
      </c>
      <c r="DG49" s="116" t="str">
        <f>BX49</f>
        <v>Cristian A</v>
      </c>
      <c r="DH49" s="76"/>
      <c r="DI49" s="120" t="s">
        <v>154</v>
      </c>
      <c r="DJ49" s="120"/>
      <c r="DK49" s="121"/>
      <c r="DL49" s="121"/>
      <c r="DM49" s="122"/>
      <c r="DN49" s="6"/>
      <c r="DO49" s="6"/>
      <c r="DP49" s="6"/>
      <c r="DQ49" s="6"/>
      <c r="DR49" s="6"/>
      <c r="DS49" s="6"/>
      <c r="DT49" s="6"/>
      <c r="DU49" s="6"/>
      <c r="DV49" s="6"/>
      <c r="DW49" s="6"/>
      <c r="DX49" s="6"/>
      <c r="DY49" s="6"/>
      <c r="DZ49" s="6"/>
    </row>
    <row r="50" spans="1:130" ht="34.5" hidden="1" customHeight="1">
      <c r="A50" s="3"/>
      <c r="B50" s="75" t="s">
        <v>108</v>
      </c>
      <c r="C50" s="75"/>
      <c r="D50" s="75"/>
      <c r="E50" s="76"/>
      <c r="F50" s="75"/>
      <c r="G50" s="79" t="s">
        <v>376</v>
      </c>
      <c r="H50" s="79" t="s">
        <v>377</v>
      </c>
      <c r="I50" s="80" t="s">
        <v>378</v>
      </c>
      <c r="J50" s="90" t="str">
        <f>CONCATENATE(G50," ",H50)</f>
        <v>Edo Falini</v>
      </c>
      <c r="K50" s="81" t="s">
        <v>379</v>
      </c>
      <c r="L50" s="82"/>
      <c r="M50" s="83" t="s">
        <v>380</v>
      </c>
      <c r="N50" s="84" t="s">
        <v>381</v>
      </c>
      <c r="O50" s="85"/>
      <c r="P50" s="86"/>
      <c r="Q50" s="86"/>
      <c r="R50" s="86"/>
      <c r="S50" s="86"/>
      <c r="T50" s="86"/>
      <c r="U50" s="86"/>
      <c r="V50" s="86"/>
      <c r="W50" s="86"/>
      <c r="X50" s="86"/>
      <c r="Y50" s="87"/>
      <c r="Z50" s="86"/>
      <c r="AA50" s="86"/>
      <c r="AB50" s="86"/>
      <c r="AC50" s="86"/>
      <c r="AD50" s="86" t="s">
        <v>118</v>
      </c>
      <c r="AE50" s="88">
        <f>L50</f>
        <v>0</v>
      </c>
      <c r="AF50" s="89"/>
      <c r="AG50" s="75"/>
      <c r="AH50" s="75"/>
      <c r="AI50" s="89"/>
      <c r="AJ50" s="75"/>
      <c r="AK50" s="75"/>
      <c r="AL50" s="75"/>
      <c r="AM50" s="89"/>
      <c r="AN50" s="90"/>
      <c r="AO50" s="90"/>
      <c r="AP50" s="90"/>
      <c r="AQ50" s="89"/>
      <c r="AR50" s="75"/>
      <c r="AS50" s="75"/>
      <c r="AT50" s="75"/>
      <c r="AU50" s="89"/>
      <c r="AV50" s="129" t="s">
        <v>165</v>
      </c>
      <c r="AW50" s="129" t="s">
        <v>165</v>
      </c>
      <c r="AX50" s="129" t="s">
        <v>165</v>
      </c>
      <c r="AY50" s="89"/>
      <c r="AZ50" s="121"/>
      <c r="BA50" s="121"/>
      <c r="BB50" s="121"/>
      <c r="BC50" s="89"/>
      <c r="BD50" s="121"/>
      <c r="BE50" s="121"/>
      <c r="BF50" s="121"/>
      <c r="BG50" s="89"/>
      <c r="BH50" s="92">
        <f>CF50+CI50+CL50+CO50+CR50</f>
        <v>0</v>
      </c>
      <c r="BI50" s="92">
        <f>CH50+CK50+CN50+CQ50+CT50</f>
        <v>0</v>
      </c>
      <c r="BJ50" s="92">
        <f>BH50-BI50</f>
        <v>0</v>
      </c>
      <c r="BK50" s="93"/>
      <c r="BL50" s="94"/>
      <c r="BM50" s="95"/>
      <c r="BN50" s="96"/>
      <c r="BO50" s="97"/>
      <c r="BP50" s="80" t="s">
        <v>117</v>
      </c>
      <c r="BQ50" s="98">
        <v>0</v>
      </c>
      <c r="BR50" s="99"/>
      <c r="BS50" s="100"/>
      <c r="BT50" s="101">
        <f>BM50*BQ50</f>
        <v>0</v>
      </c>
      <c r="BU50" s="102">
        <f>BN50*BQ50</f>
        <v>0</v>
      </c>
      <c r="BV50" s="103">
        <f>BO50*BQ50</f>
        <v>0</v>
      </c>
      <c r="BW50" s="80" t="s">
        <v>118</v>
      </c>
      <c r="BX50" s="105" t="s">
        <v>152</v>
      </c>
      <c r="BY50" s="98">
        <v>0.05</v>
      </c>
      <c r="BZ50" s="99"/>
      <c r="CA50" s="100"/>
      <c r="CB50" s="101">
        <f>BM50*BY50</f>
        <v>0</v>
      </c>
      <c r="CC50" s="106">
        <f>BN50*BY50</f>
        <v>0</v>
      </c>
      <c r="CD50" s="107">
        <f>BO50*BY50</f>
        <v>0</v>
      </c>
      <c r="CE50" s="90"/>
      <c r="CF50" s="108">
        <v>0</v>
      </c>
      <c r="CG50" s="130" t="s">
        <v>118</v>
      </c>
      <c r="CH50" s="110"/>
      <c r="CI50" s="108"/>
      <c r="CJ50" s="109"/>
      <c r="CK50" s="111"/>
      <c r="CL50" s="111"/>
      <c r="CM50" s="109"/>
      <c r="CN50" s="111"/>
      <c r="CO50" s="111"/>
      <c r="CP50" s="111"/>
      <c r="CQ50" s="111"/>
      <c r="CR50" s="111"/>
      <c r="CS50" s="111"/>
      <c r="CT50" s="111"/>
      <c r="CU50" s="90"/>
      <c r="CV50" s="112"/>
      <c r="CW50" s="112"/>
      <c r="CX50" s="113"/>
      <c r="CY50" s="90" t="s">
        <v>122</v>
      </c>
      <c r="CZ50" s="90"/>
      <c r="DA50" s="80"/>
      <c r="DB50" s="115" t="str">
        <f>PROPER(N50)</f>
        <v>Itinera Scuola On Line</v>
      </c>
      <c r="DC50" s="116"/>
      <c r="DD50" s="116" t="str">
        <f>BP50</f>
        <v>blackship</v>
      </c>
      <c r="DE50" s="117" t="b">
        <f>IF(OR(D50&gt;0),IF(BJ50=0,BN50*BQ50,0))</f>
        <v>0</v>
      </c>
      <c r="DF50" s="117" t="b">
        <f>IF(OR(D50&gt;0),IF(BJ50=0,BN50*BY50,0))</f>
        <v>0</v>
      </c>
      <c r="DG50" s="116" t="str">
        <f>BX50</f>
        <v>Client Angel</v>
      </c>
      <c r="DH50" s="76"/>
      <c r="DI50" s="120" t="s">
        <v>154</v>
      </c>
      <c r="DJ50" s="120"/>
      <c r="DK50" s="121"/>
      <c r="DL50" s="121"/>
      <c r="DM50" s="122"/>
      <c r="DN50" s="6"/>
      <c r="DO50" s="6"/>
      <c r="DP50" s="6"/>
      <c r="DQ50" s="6"/>
      <c r="DR50" s="6"/>
      <c r="DS50" s="6"/>
      <c r="DT50" s="6"/>
      <c r="DU50" s="6"/>
      <c r="DV50" s="6"/>
      <c r="DW50" s="6"/>
      <c r="DX50" s="6"/>
      <c r="DY50" s="6"/>
      <c r="DZ50" s="6"/>
    </row>
    <row r="51" spans="1:130" ht="34.5" hidden="1" customHeight="1">
      <c r="A51" s="3"/>
      <c r="B51" s="129" t="s">
        <v>108</v>
      </c>
      <c r="C51" s="75"/>
      <c r="D51" s="75"/>
      <c r="E51" s="76"/>
      <c r="F51" s="75"/>
      <c r="G51" s="79" t="s">
        <v>382</v>
      </c>
      <c r="H51" s="79" t="s">
        <v>383</v>
      </c>
      <c r="I51" s="80" t="s">
        <v>384</v>
      </c>
      <c r="J51" s="90" t="str">
        <f>CONCATENATE(G51," ",H51)</f>
        <v>GIulia Ricciarini</v>
      </c>
      <c r="K51" s="81" t="s">
        <v>385</v>
      </c>
      <c r="L51" s="82" t="s">
        <v>386</v>
      </c>
      <c r="M51" s="83" t="s">
        <v>387</v>
      </c>
      <c r="N51" s="84" t="s">
        <v>381</v>
      </c>
      <c r="O51" s="85"/>
      <c r="P51" s="86"/>
      <c r="Q51" s="86"/>
      <c r="R51" s="86"/>
      <c r="S51" s="86"/>
      <c r="T51" s="86"/>
      <c r="U51" s="86"/>
      <c r="V51" s="86"/>
      <c r="W51" s="86"/>
      <c r="X51" s="86"/>
      <c r="Y51" s="87"/>
      <c r="Z51" s="86"/>
      <c r="AA51" s="86"/>
      <c r="AB51" s="86"/>
      <c r="AC51" s="86"/>
      <c r="AD51" s="86"/>
      <c r="AE51" s="88" t="str">
        <f>L51</f>
        <v>iscriviamo anche la sua collega (?!?!?)</v>
      </c>
      <c r="AF51" s="89"/>
      <c r="AG51" s="75"/>
      <c r="AH51" s="75"/>
      <c r="AI51" s="89"/>
      <c r="AJ51" s="75"/>
      <c r="AK51" s="75"/>
      <c r="AL51" s="75"/>
      <c r="AM51" s="89"/>
      <c r="AN51" s="90"/>
      <c r="AO51" s="90"/>
      <c r="AP51" s="90"/>
      <c r="AQ51" s="89"/>
      <c r="AR51" s="75"/>
      <c r="AS51" s="75"/>
      <c r="AT51" s="75"/>
      <c r="AU51" s="89"/>
      <c r="AV51" s="75"/>
      <c r="AW51" s="75"/>
      <c r="AX51" s="75"/>
      <c r="AY51" s="89"/>
      <c r="AZ51" s="121"/>
      <c r="BA51" s="121"/>
      <c r="BB51" s="121"/>
      <c r="BC51" s="89"/>
      <c r="BD51" s="121" t="s">
        <v>151</v>
      </c>
      <c r="BE51" s="121" t="s">
        <v>151</v>
      </c>
      <c r="BF51" s="121" t="s">
        <v>151</v>
      </c>
      <c r="BG51" s="89"/>
      <c r="BH51" s="92">
        <f>CF51+CI51+CL51+CO51+CR51</f>
        <v>0</v>
      </c>
      <c r="BI51" s="92">
        <f>CH51+CK51+CN51+CQ51+CT51</f>
        <v>0</v>
      </c>
      <c r="BJ51" s="92">
        <f>BH51-BI51</f>
        <v>0</v>
      </c>
      <c r="BK51" s="93"/>
      <c r="BL51" s="94"/>
      <c r="BM51" s="95"/>
      <c r="BN51" s="127"/>
      <c r="BO51" s="128"/>
      <c r="BP51" s="80" t="s">
        <v>117</v>
      </c>
      <c r="BQ51" s="98">
        <v>0</v>
      </c>
      <c r="BR51" s="99"/>
      <c r="BS51" s="100"/>
      <c r="BT51" s="101">
        <f>BM51*BQ51</f>
        <v>0</v>
      </c>
      <c r="BU51" s="102">
        <f>BN51*BQ51</f>
        <v>0</v>
      </c>
      <c r="BV51" s="103">
        <f>BO51*BQ51</f>
        <v>0</v>
      </c>
      <c r="BW51" s="80" t="s">
        <v>118</v>
      </c>
      <c r="BX51" s="105" t="s">
        <v>152</v>
      </c>
      <c r="BY51" s="98">
        <v>0.05</v>
      </c>
      <c r="BZ51" s="99"/>
      <c r="CA51" s="100"/>
      <c r="CB51" s="101">
        <f>BM51*BY51</f>
        <v>0</v>
      </c>
      <c r="CC51" s="106">
        <f>BN51*BY51</f>
        <v>0</v>
      </c>
      <c r="CD51" s="107">
        <f>BO51*BY51</f>
        <v>0</v>
      </c>
      <c r="CE51" s="90"/>
      <c r="CF51" s="108">
        <v>0</v>
      </c>
      <c r="CG51" s="130" t="s">
        <v>118</v>
      </c>
      <c r="CH51" s="110"/>
      <c r="CI51" s="108"/>
      <c r="CJ51" s="109"/>
      <c r="CK51" s="111"/>
      <c r="CL51" s="111"/>
      <c r="CM51" s="109"/>
      <c r="CN51" s="111"/>
      <c r="CO51" s="111"/>
      <c r="CP51" s="111"/>
      <c r="CQ51" s="111"/>
      <c r="CR51" s="111"/>
      <c r="CS51" s="111"/>
      <c r="CT51" s="111"/>
      <c r="CU51" s="90">
        <v>1</v>
      </c>
      <c r="CV51" s="112" t="s">
        <v>121</v>
      </c>
      <c r="CW51" s="112"/>
      <c r="CX51" s="113"/>
      <c r="CY51" s="90" t="s">
        <v>122</v>
      </c>
      <c r="CZ51" s="90"/>
      <c r="DA51" s="80"/>
      <c r="DB51" s="115" t="str">
        <f>PROPER(N51)</f>
        <v>Itinera Scuola On Line</v>
      </c>
      <c r="DC51" s="116"/>
      <c r="DD51" s="116" t="str">
        <f>BP51</f>
        <v>blackship</v>
      </c>
      <c r="DE51" s="117" t="b">
        <f>IF(OR(D51&gt;0),IF(BJ51=0,BN51*BQ51,0))</f>
        <v>0</v>
      </c>
      <c r="DF51" s="117" t="b">
        <f>IF(OR(D51&gt;0),IF(BJ51=0,BN51*BY51,0))</f>
        <v>0</v>
      </c>
      <c r="DG51" s="116" t="str">
        <f>BX51</f>
        <v>Client Angel</v>
      </c>
      <c r="DH51" s="76"/>
      <c r="DI51" s="120" t="s">
        <v>154</v>
      </c>
      <c r="DJ51" s="120"/>
      <c r="DK51" s="121"/>
      <c r="DL51" s="121"/>
      <c r="DM51" s="122"/>
      <c r="DN51" s="6"/>
      <c r="DO51" s="6"/>
      <c r="DP51" s="6"/>
      <c r="DQ51" s="6"/>
      <c r="DR51" s="6"/>
      <c r="DS51" s="6"/>
      <c r="DT51" s="6"/>
      <c r="DU51" s="6"/>
      <c r="DV51" s="6"/>
      <c r="DW51" s="6"/>
      <c r="DX51" s="6"/>
      <c r="DY51" s="6"/>
      <c r="DZ51" s="6"/>
    </row>
    <row r="52" spans="1:130" ht="34.5" hidden="1" customHeight="1">
      <c r="A52" s="3"/>
      <c r="B52" s="75" t="s">
        <v>108</v>
      </c>
      <c r="C52" s="75"/>
      <c r="D52" s="75"/>
      <c r="E52" s="76"/>
      <c r="F52" s="75"/>
      <c r="G52" s="79" t="s">
        <v>388</v>
      </c>
      <c r="H52" s="79" t="s">
        <v>389</v>
      </c>
      <c r="I52" s="80" t="s">
        <v>390</v>
      </c>
      <c r="J52" s="155" t="str">
        <f>CONCATENATE(G52," ",H52)</f>
        <v>Saverio Vitucci</v>
      </c>
      <c r="K52" s="156">
        <v>3928339868</v>
      </c>
      <c r="L52" s="157"/>
      <c r="M52" s="83" t="s">
        <v>391</v>
      </c>
      <c r="N52" s="84" t="s">
        <v>381</v>
      </c>
      <c r="O52" s="85"/>
      <c r="P52" s="86"/>
      <c r="Q52" s="86"/>
      <c r="R52" s="86"/>
      <c r="S52" s="86"/>
      <c r="T52" s="86"/>
      <c r="U52" s="86"/>
      <c r="V52" s="86"/>
      <c r="W52" s="86"/>
      <c r="X52" s="86"/>
      <c r="Y52" s="87"/>
      <c r="Z52" s="86"/>
      <c r="AA52" s="86"/>
      <c r="AB52" s="86"/>
      <c r="AC52" s="86"/>
      <c r="AD52" s="86" t="s">
        <v>118</v>
      </c>
      <c r="AE52" s="88">
        <f>L52</f>
        <v>0</v>
      </c>
      <c r="AF52" s="89"/>
      <c r="AG52" s="75"/>
      <c r="AH52" s="75"/>
      <c r="AI52" s="89"/>
      <c r="AJ52" s="75"/>
      <c r="AK52" s="75"/>
      <c r="AL52" s="75"/>
      <c r="AM52" s="89"/>
      <c r="AN52" s="90"/>
      <c r="AO52" s="90"/>
      <c r="AP52" s="90"/>
      <c r="AQ52" s="89"/>
      <c r="AR52" s="75"/>
      <c r="AS52" s="75"/>
      <c r="AT52" s="75"/>
      <c r="AU52" s="89"/>
      <c r="AV52" s="129" t="s">
        <v>165</v>
      </c>
      <c r="AW52" s="129" t="s">
        <v>165</v>
      </c>
      <c r="AX52" s="129" t="s">
        <v>165</v>
      </c>
      <c r="AY52" s="89"/>
      <c r="AZ52" s="121"/>
      <c r="BA52" s="121"/>
      <c r="BB52" s="121"/>
      <c r="BC52" s="89"/>
      <c r="BD52" s="121"/>
      <c r="BE52" s="121"/>
      <c r="BF52" s="121"/>
      <c r="BG52" s="89"/>
      <c r="BH52" s="92">
        <f>CF52+CI52+CL52+CO52+CR52</f>
        <v>0</v>
      </c>
      <c r="BI52" s="92">
        <f>CH52+CK52+CN52+CQ52+CT52</f>
        <v>0</v>
      </c>
      <c r="BJ52" s="92">
        <f>BH52-BI52</f>
        <v>0</v>
      </c>
      <c r="BK52" s="93"/>
      <c r="BL52" s="94"/>
      <c r="BM52" s="95"/>
      <c r="BN52" s="96"/>
      <c r="BO52" s="97"/>
      <c r="BP52" s="80" t="s">
        <v>117</v>
      </c>
      <c r="BQ52" s="98">
        <v>0</v>
      </c>
      <c r="BR52" s="99"/>
      <c r="BS52" s="100"/>
      <c r="BT52" s="101">
        <f>BM52*BQ52</f>
        <v>0</v>
      </c>
      <c r="BU52" s="102">
        <f>BN52*BQ52</f>
        <v>0</v>
      </c>
      <c r="BV52" s="103">
        <f>BO52*BQ52</f>
        <v>0</v>
      </c>
      <c r="BW52" s="80" t="s">
        <v>118</v>
      </c>
      <c r="BX52" s="105" t="s">
        <v>152</v>
      </c>
      <c r="BY52" s="98">
        <v>0.05</v>
      </c>
      <c r="BZ52" s="99"/>
      <c r="CA52" s="100"/>
      <c r="CB52" s="101">
        <f>BM52*BY52</f>
        <v>0</v>
      </c>
      <c r="CC52" s="106">
        <f>BN52*BY52</f>
        <v>0</v>
      </c>
      <c r="CD52" s="107">
        <f>BO52*BY52</f>
        <v>0</v>
      </c>
      <c r="CE52" s="90"/>
      <c r="CF52" s="108">
        <v>0</v>
      </c>
      <c r="CG52" s="130" t="s">
        <v>118</v>
      </c>
      <c r="CH52" s="110"/>
      <c r="CI52" s="108"/>
      <c r="CJ52" s="109"/>
      <c r="CK52" s="111"/>
      <c r="CL52" s="111"/>
      <c r="CM52" s="109"/>
      <c r="CN52" s="111"/>
      <c r="CO52" s="111"/>
      <c r="CP52" s="111"/>
      <c r="CQ52" s="111"/>
      <c r="CR52" s="111"/>
      <c r="CS52" s="111"/>
      <c r="CT52" s="111"/>
      <c r="CU52" s="90"/>
      <c r="CV52" s="112"/>
      <c r="CW52" s="112"/>
      <c r="CX52" s="113"/>
      <c r="CY52" s="90" t="s">
        <v>122</v>
      </c>
      <c r="CZ52" s="90"/>
      <c r="DA52" s="80"/>
      <c r="DB52" s="115" t="str">
        <f>PROPER(N52)</f>
        <v>Itinera Scuola On Line</v>
      </c>
      <c r="DC52" s="116"/>
      <c r="DD52" s="116" t="str">
        <f>BP52</f>
        <v>blackship</v>
      </c>
      <c r="DE52" s="117" t="b">
        <f>IF(OR(D52&gt;0),IF(BJ52=0,BN52*BQ52,0))</f>
        <v>0</v>
      </c>
      <c r="DF52" s="117" t="b">
        <f>IF(OR(D52&gt;0),IF(BJ52=0,BN52*BY52,0))</f>
        <v>0</v>
      </c>
      <c r="DG52" s="116" t="str">
        <f>BX52</f>
        <v>Client Angel</v>
      </c>
      <c r="DH52" s="76"/>
      <c r="DI52" s="120" t="s">
        <v>154</v>
      </c>
      <c r="DJ52" s="120"/>
      <c r="DK52" s="121"/>
      <c r="DL52" s="121"/>
      <c r="DM52" s="122"/>
      <c r="DN52" s="6"/>
      <c r="DO52" s="6"/>
      <c r="DP52" s="6"/>
      <c r="DQ52" s="6"/>
      <c r="DR52" s="6"/>
      <c r="DS52" s="6"/>
      <c r="DT52" s="6"/>
      <c r="DU52" s="6"/>
      <c r="DV52" s="6"/>
      <c r="DW52" s="6"/>
      <c r="DX52" s="6"/>
      <c r="DY52" s="6"/>
      <c r="DZ52" s="6"/>
    </row>
    <row r="53" spans="1:130" ht="34.5" hidden="1" customHeight="1">
      <c r="A53" s="228"/>
      <c r="B53" s="75" t="s">
        <v>1359</v>
      </c>
      <c r="C53" s="90"/>
      <c r="D53" s="75">
        <v>1</v>
      </c>
      <c r="E53" s="76">
        <v>1</v>
      </c>
      <c r="F53" s="75"/>
      <c r="G53" s="400" t="s">
        <v>188</v>
      </c>
      <c r="H53" s="400" t="s">
        <v>1537</v>
      </c>
      <c r="I53" s="113" t="s">
        <v>1538</v>
      </c>
      <c r="J53" s="75" t="str">
        <f>CONCATENATE(G53," ",H53)</f>
        <v>Andrea Vecchio</v>
      </c>
      <c r="K53" s="81">
        <v>3389056721</v>
      </c>
      <c r="L53" s="1877" t="s">
        <v>1539</v>
      </c>
      <c r="M53" s="1903" t="s">
        <v>259</v>
      </c>
      <c r="N53" s="84" t="s">
        <v>1540</v>
      </c>
      <c r="O53" s="1923"/>
      <c r="P53" s="160"/>
      <c r="Q53" s="160"/>
      <c r="R53" s="403"/>
      <c r="S53" s="160"/>
      <c r="T53" s="160"/>
      <c r="U53" s="160"/>
      <c r="V53" s="160"/>
      <c r="W53" s="160"/>
      <c r="X53" s="131"/>
      <c r="Y53" s="160"/>
      <c r="Z53" s="160"/>
      <c r="AA53" s="160"/>
      <c r="AB53" s="37"/>
      <c r="AC53" s="131"/>
      <c r="AD53" s="121" t="s">
        <v>1541</v>
      </c>
      <c r="AE53" s="88"/>
      <c r="AF53" s="1966"/>
      <c r="AG53" s="1970"/>
      <c r="AH53" s="1970"/>
      <c r="AI53" s="1966"/>
      <c r="AJ53" s="90"/>
      <c r="AK53" s="90"/>
      <c r="AL53" s="90"/>
      <c r="AM53" s="89"/>
      <c r="AN53" s="90"/>
      <c r="AO53" s="90"/>
      <c r="AP53" s="90"/>
      <c r="AQ53" s="89"/>
      <c r="AR53" s="75"/>
      <c r="AS53" s="75"/>
      <c r="AT53" s="75"/>
      <c r="AU53" s="89"/>
      <c r="AV53" s="75"/>
      <c r="AW53" s="75"/>
      <c r="AX53" s="75"/>
      <c r="AY53" s="89"/>
      <c r="AZ53" s="460" t="s">
        <v>115</v>
      </c>
      <c r="BA53" s="460" t="s">
        <v>115</v>
      </c>
      <c r="BB53" s="135" t="s">
        <v>115</v>
      </c>
      <c r="BC53" s="89"/>
      <c r="BD53" s="121"/>
      <c r="BE53" s="121"/>
      <c r="BF53" s="121"/>
      <c r="BG53" s="89"/>
      <c r="BH53" s="92">
        <f>CF53+CI53+CL53+CO53+CR53</f>
        <v>2997</v>
      </c>
      <c r="BI53" s="92">
        <f>CH53+CK53+CN53+CQ53+CT53</f>
        <v>2997</v>
      </c>
      <c r="BJ53" s="92">
        <f>BH53-BI53</f>
        <v>0</v>
      </c>
      <c r="BK53" s="271"/>
      <c r="BL53" s="2014"/>
      <c r="BM53" s="95"/>
      <c r="BN53" s="142">
        <v>2997</v>
      </c>
      <c r="BO53" s="182"/>
      <c r="BP53" s="2037" t="s">
        <v>861</v>
      </c>
      <c r="BQ53" s="98">
        <v>0.15</v>
      </c>
      <c r="BR53" s="108"/>
      <c r="BS53" s="276">
        <f>BL53*BQ53</f>
        <v>0</v>
      </c>
      <c r="BT53" s="101">
        <f>BM53*BQ53</f>
        <v>0</v>
      </c>
      <c r="BU53" s="102">
        <f>BN53*BQ53</f>
        <v>449.55</v>
      </c>
      <c r="BV53" s="103">
        <f>BO53*BQ53</f>
        <v>0</v>
      </c>
      <c r="BW53" s="84" t="s">
        <v>185</v>
      </c>
      <c r="BX53" s="105" t="s">
        <v>861</v>
      </c>
      <c r="BY53" s="145">
        <v>0.05</v>
      </c>
      <c r="BZ53" s="108"/>
      <c r="CA53" s="276">
        <f>BL53*BY53</f>
        <v>0</v>
      </c>
      <c r="CB53" s="101">
        <f>BM53*BY53</f>
        <v>0</v>
      </c>
      <c r="CC53" s="106">
        <f>BN53*BY53</f>
        <v>149.85</v>
      </c>
      <c r="CD53" s="107">
        <f>BO53*BY53</f>
        <v>0</v>
      </c>
      <c r="CE53" s="84" t="s">
        <v>185</v>
      </c>
      <c r="CF53" s="2097">
        <v>2997</v>
      </c>
      <c r="CG53" s="109">
        <v>45198</v>
      </c>
      <c r="CH53" s="2097">
        <v>2997</v>
      </c>
      <c r="CI53" s="2106"/>
      <c r="CJ53" s="184"/>
      <c r="CK53" s="2106"/>
      <c r="CL53" s="2106"/>
      <c r="CM53" s="184"/>
      <c r="CN53" s="2106"/>
      <c r="CO53" s="130"/>
      <c r="CP53" s="130"/>
      <c r="CQ53" s="130"/>
      <c r="CR53" s="130"/>
      <c r="CS53" s="130"/>
      <c r="CT53" s="130"/>
      <c r="CU53" s="90">
        <v>1</v>
      </c>
      <c r="CV53" s="112"/>
      <c r="CW53" s="112"/>
      <c r="CX53" s="112"/>
      <c r="CY53" s="90"/>
      <c r="CZ53" s="75"/>
      <c r="DA53" s="2131" t="s">
        <v>1542</v>
      </c>
      <c r="DB53" s="126" t="s">
        <v>1543</v>
      </c>
      <c r="DC53" s="2162" t="s">
        <v>1544</v>
      </c>
      <c r="DD53" s="116" t="str">
        <f>BP53</f>
        <v>Simone</v>
      </c>
      <c r="DE53" s="820">
        <f>IF(OR(D53&gt;0),IF(BJ53=0,BN53*BQ53,0))</f>
        <v>449.55</v>
      </c>
      <c r="DF53" s="2171">
        <f>IF(OR(D53&gt;0),IF(BJ53=0,BN53*BY53,0))</f>
        <v>149.85</v>
      </c>
      <c r="DG53" s="118" t="str">
        <f>BX53</f>
        <v>Simone</v>
      </c>
      <c r="DH53" s="76"/>
      <c r="DI53" s="120" t="s">
        <v>126</v>
      </c>
      <c r="DJ53" s="120"/>
      <c r="DK53" s="74" t="s">
        <v>1418</v>
      </c>
      <c r="DL53" s="74" t="s">
        <v>1418</v>
      </c>
      <c r="DM53" s="122">
        <v>1</v>
      </c>
      <c r="DN53" s="6"/>
      <c r="DO53" s="6"/>
      <c r="DP53" s="6"/>
      <c r="DQ53" s="6"/>
      <c r="DR53" s="6"/>
      <c r="DS53" s="6"/>
      <c r="DT53" s="6"/>
      <c r="DU53" s="6"/>
      <c r="DV53" s="6"/>
      <c r="DW53" s="6"/>
      <c r="DX53" s="6"/>
      <c r="DY53" s="6"/>
      <c r="DZ53" s="6"/>
    </row>
    <row r="54" spans="1:130" ht="34.5" hidden="1" customHeight="1">
      <c r="A54" s="3"/>
      <c r="B54" s="75" t="s">
        <v>108</v>
      </c>
      <c r="C54" s="75"/>
      <c r="D54" s="75"/>
      <c r="E54" s="76"/>
      <c r="F54" s="75"/>
      <c r="G54" s="79" t="s">
        <v>400</v>
      </c>
      <c r="H54" s="79" t="s">
        <v>401</v>
      </c>
      <c r="I54" s="80" t="s">
        <v>402</v>
      </c>
      <c r="J54" s="90" t="str">
        <f>CONCATENATE(G54," ",H54)</f>
        <v>Eleonora Zeni</v>
      </c>
      <c r="K54" s="81" t="s">
        <v>403</v>
      </c>
      <c r="L54" s="138" t="s">
        <v>404</v>
      </c>
      <c r="M54" s="83" t="s">
        <v>405</v>
      </c>
      <c r="N54" s="84" t="s">
        <v>406</v>
      </c>
      <c r="O54" s="85"/>
      <c r="P54" s="86"/>
      <c r="Q54" s="86"/>
      <c r="R54" s="86"/>
      <c r="S54" s="86"/>
      <c r="T54" s="86"/>
      <c r="U54" s="86"/>
      <c r="V54" s="86"/>
      <c r="W54" s="86"/>
      <c r="X54" s="86"/>
      <c r="Y54" s="87"/>
      <c r="Z54" s="86"/>
      <c r="AA54" s="86"/>
      <c r="AB54" s="86"/>
      <c r="AC54" s="86"/>
      <c r="AD54" s="86"/>
      <c r="AE54" s="138" t="str">
        <f>L54</f>
        <v>CONFERMA ENTRO IL 21/03/2023</v>
      </c>
      <c r="AF54" s="89"/>
      <c r="AG54" s="75"/>
      <c r="AH54" s="75"/>
      <c r="AI54" s="89"/>
      <c r="AJ54" s="75"/>
      <c r="AK54" s="75"/>
      <c r="AL54" s="75"/>
      <c r="AM54" s="89"/>
      <c r="AN54" s="90"/>
      <c r="AO54" s="90"/>
      <c r="AP54" s="90"/>
      <c r="AQ54" s="89"/>
      <c r="AR54" s="75"/>
      <c r="AS54" s="75"/>
      <c r="AT54" s="75"/>
      <c r="AU54" s="89"/>
      <c r="AV54" s="129" t="s">
        <v>165</v>
      </c>
      <c r="AW54" s="129" t="s">
        <v>165</v>
      </c>
      <c r="AX54" s="129" t="s">
        <v>165</v>
      </c>
      <c r="AY54" s="89"/>
      <c r="AZ54" s="121"/>
      <c r="BA54" s="121"/>
      <c r="BB54" s="121"/>
      <c r="BC54" s="89"/>
      <c r="BD54" s="121"/>
      <c r="BE54" s="121"/>
      <c r="BF54" s="121"/>
      <c r="BG54" s="89"/>
      <c r="BH54" s="92">
        <f>CF54+CI54+CL54+CO54+CR54</f>
        <v>0</v>
      </c>
      <c r="BI54" s="92">
        <f>CH54+CK54+CN54+CQ54+CT54</f>
        <v>0</v>
      </c>
      <c r="BJ54" s="92">
        <f>BH54-BI54</f>
        <v>0</v>
      </c>
      <c r="BK54" s="93"/>
      <c r="BL54" s="94"/>
      <c r="BM54" s="95"/>
      <c r="BN54" s="96"/>
      <c r="BO54" s="97"/>
      <c r="BP54" s="80" t="s">
        <v>407</v>
      </c>
      <c r="BQ54" s="98">
        <v>0.15</v>
      </c>
      <c r="BR54" s="99"/>
      <c r="BS54" s="100"/>
      <c r="BT54" s="101">
        <f>BM54*BQ54</f>
        <v>0</v>
      </c>
      <c r="BU54" s="102">
        <f>BN54*BQ54</f>
        <v>0</v>
      </c>
      <c r="BV54" s="103">
        <f>BO54*BQ54</f>
        <v>0</v>
      </c>
      <c r="BW54" s="80"/>
      <c r="BX54" s="105" t="s">
        <v>407</v>
      </c>
      <c r="BY54" s="98">
        <v>0.05</v>
      </c>
      <c r="BZ54" s="99"/>
      <c r="CA54" s="100"/>
      <c r="CB54" s="101">
        <f>BM54*BY54</f>
        <v>0</v>
      </c>
      <c r="CC54" s="106">
        <f>BN54*BY54</f>
        <v>0</v>
      </c>
      <c r="CD54" s="107">
        <f>BO54*BY54</f>
        <v>0</v>
      </c>
      <c r="CE54" s="90"/>
      <c r="CF54" s="108">
        <v>0</v>
      </c>
      <c r="CG54" s="109"/>
      <c r="CH54" s="110"/>
      <c r="CI54" s="108"/>
      <c r="CJ54" s="109"/>
      <c r="CK54" s="111"/>
      <c r="CL54" s="111"/>
      <c r="CM54" s="109"/>
      <c r="CN54" s="111"/>
      <c r="CO54" s="111"/>
      <c r="CP54" s="111"/>
      <c r="CQ54" s="111"/>
      <c r="CR54" s="111"/>
      <c r="CS54" s="111"/>
      <c r="CT54" s="111"/>
      <c r="CU54" s="90">
        <v>1</v>
      </c>
      <c r="CV54" s="112" t="s">
        <v>121</v>
      </c>
      <c r="CW54" s="112"/>
      <c r="CX54" s="113"/>
      <c r="CY54" s="90" t="s">
        <v>122</v>
      </c>
      <c r="CZ54" s="90"/>
      <c r="DA54" s="80"/>
      <c r="DB54" s="115" t="str">
        <f>PROPER(N54)</f>
        <v xml:space="preserve">Ellefree Srl </v>
      </c>
      <c r="DC54" s="116"/>
      <c r="DD54" s="116" t="str">
        <f>BP54</f>
        <v>Stefano</v>
      </c>
      <c r="DE54" s="117" t="b">
        <f>IF(OR(D54&gt;0),IF(BJ54=0,BN54*BQ54,0))</f>
        <v>0</v>
      </c>
      <c r="DF54" s="117" t="b">
        <f>IF(OR(D54&gt;0),IF(BJ54=0,BN54*BY54,0))</f>
        <v>0</v>
      </c>
      <c r="DG54" s="116" t="str">
        <f>BX54</f>
        <v>Stefano</v>
      </c>
      <c r="DH54" s="76"/>
      <c r="DI54" s="120" t="s">
        <v>154</v>
      </c>
      <c r="DJ54" s="120"/>
      <c r="DK54" s="121"/>
      <c r="DL54" s="121"/>
      <c r="DM54" s="122"/>
      <c r="DN54" s="6"/>
      <c r="DO54" s="6"/>
      <c r="DP54" s="6"/>
      <c r="DQ54" s="6"/>
      <c r="DR54" s="6"/>
      <c r="DS54" s="6"/>
      <c r="DT54" s="6"/>
      <c r="DU54" s="6"/>
      <c r="DV54" s="6"/>
      <c r="DW54" s="6"/>
      <c r="DX54" s="6"/>
      <c r="DY54" s="6"/>
      <c r="DZ54" s="6"/>
    </row>
    <row r="55" spans="1:130" ht="34.5" hidden="1" customHeight="1">
      <c r="A55" s="3"/>
      <c r="B55" s="75" t="s">
        <v>108</v>
      </c>
      <c r="C55" s="75"/>
      <c r="D55" s="75">
        <v>1</v>
      </c>
      <c r="E55" s="76"/>
      <c r="F55" s="148"/>
      <c r="G55" s="79" t="s">
        <v>408</v>
      </c>
      <c r="H55" s="79" t="s">
        <v>409</v>
      </c>
      <c r="I55" s="80" t="s">
        <v>410</v>
      </c>
      <c r="J55" s="90" t="str">
        <f>CONCATENATE(G55," ",H55)</f>
        <v>Elia Cainarca</v>
      </c>
      <c r="K55" s="81">
        <v>3343307588</v>
      </c>
      <c r="L55" s="82" t="s">
        <v>411</v>
      </c>
      <c r="M55" s="83"/>
      <c r="N55" s="84" t="s">
        <v>412</v>
      </c>
      <c r="O55" s="85"/>
      <c r="P55" s="86"/>
      <c r="Q55" s="86"/>
      <c r="R55" s="86"/>
      <c r="S55" s="86"/>
      <c r="T55" s="86"/>
      <c r="U55" s="86"/>
      <c r="V55" s="86"/>
      <c r="W55" s="86"/>
      <c r="X55" s="86"/>
      <c r="Y55" s="87"/>
      <c r="Z55" s="86"/>
      <c r="AA55" s="86"/>
      <c r="AB55" s="86"/>
      <c r="AC55" s="86"/>
      <c r="AD55" s="86" t="s">
        <v>413</v>
      </c>
      <c r="AE55" s="88" t="str">
        <f>L55</f>
        <v>IN DATA 26/03 HA CHIESTO DI MODIFICARE P/TO IN 3 RATE</v>
      </c>
      <c r="AF55" s="89"/>
      <c r="AG55" s="75"/>
      <c r="AH55" s="75"/>
      <c r="AI55" s="89"/>
      <c r="AJ55" s="75"/>
      <c r="AK55" s="75"/>
      <c r="AL55" s="75"/>
      <c r="AM55" s="89"/>
      <c r="AN55" s="90"/>
      <c r="AO55" s="90"/>
      <c r="AP55" s="90"/>
      <c r="AQ55" s="89"/>
      <c r="AR55" s="75"/>
      <c r="AS55" s="75"/>
      <c r="AT55" s="75"/>
      <c r="AU55" s="89"/>
      <c r="AV55" s="75"/>
      <c r="AW55" s="75" t="s">
        <v>115</v>
      </c>
      <c r="AX55" s="75" t="s">
        <v>115</v>
      </c>
      <c r="AY55" s="89"/>
      <c r="AZ55" s="121" t="s">
        <v>115</v>
      </c>
      <c r="BA55" s="121"/>
      <c r="BB55" s="121"/>
      <c r="BC55" s="89"/>
      <c r="BD55" s="121"/>
      <c r="BE55" s="121"/>
      <c r="BF55" s="121"/>
      <c r="BG55" s="89"/>
      <c r="BH55" s="92">
        <v>2997</v>
      </c>
      <c r="BI55" s="92">
        <f>CH55+CK55+CN55+CQ55+CT55</f>
        <v>2997</v>
      </c>
      <c r="BJ55" s="92">
        <f>BH55-BI55</f>
        <v>0</v>
      </c>
      <c r="BK55" s="93"/>
      <c r="BL55" s="94"/>
      <c r="BM55" s="95">
        <v>2997</v>
      </c>
      <c r="BN55" s="96"/>
      <c r="BO55" s="97"/>
      <c r="BP55" s="80" t="s">
        <v>414</v>
      </c>
      <c r="BQ55" s="98">
        <v>0.15</v>
      </c>
      <c r="BR55" s="99"/>
      <c r="BS55" s="100"/>
      <c r="BT55" s="101">
        <f>BM55*BQ55</f>
        <v>449.55</v>
      </c>
      <c r="BU55" s="102">
        <f>BN55*BQ55</f>
        <v>0</v>
      </c>
      <c r="BV55" s="103">
        <f>BO55*BQ55</f>
        <v>0</v>
      </c>
      <c r="BW55" s="80" t="s">
        <v>174</v>
      </c>
      <c r="BX55" s="105" t="s">
        <v>414</v>
      </c>
      <c r="BY55" s="98">
        <v>0.05</v>
      </c>
      <c r="BZ55" s="99"/>
      <c r="CA55" s="100"/>
      <c r="CB55" s="101">
        <f>BM55*BY55</f>
        <v>149.85</v>
      </c>
      <c r="CC55" s="106">
        <f>BN55*BY55</f>
        <v>0</v>
      </c>
      <c r="CD55" s="107">
        <f>BO55*BY55</f>
        <v>0</v>
      </c>
      <c r="CE55" s="80" t="s">
        <v>174</v>
      </c>
      <c r="CF55" s="108">
        <v>2997</v>
      </c>
      <c r="CG55" s="109">
        <v>45014</v>
      </c>
      <c r="CH55" s="110">
        <v>2997</v>
      </c>
      <c r="CI55" s="108"/>
      <c r="CJ55" s="109"/>
      <c r="CK55" s="111"/>
      <c r="CL55" s="108"/>
      <c r="CM55" s="109"/>
      <c r="CN55" s="111"/>
      <c r="CO55" s="111"/>
      <c r="CP55" s="111"/>
      <c r="CQ55" s="111"/>
      <c r="CR55" s="111"/>
      <c r="CS55" s="111"/>
      <c r="CT55" s="111"/>
      <c r="CU55" s="90">
        <v>1</v>
      </c>
      <c r="CV55" s="112" t="s">
        <v>121</v>
      </c>
      <c r="CW55" s="112"/>
      <c r="CX55" s="113"/>
      <c r="CY55" s="90" t="s">
        <v>122</v>
      </c>
      <c r="CZ55" s="90"/>
      <c r="DA55" s="80" t="s">
        <v>415</v>
      </c>
      <c r="DB55" s="115" t="str">
        <f>PROPER(N55)</f>
        <v>Mollfam</v>
      </c>
      <c r="DC55" s="116" t="s">
        <v>416</v>
      </c>
      <c r="DD55" s="116" t="str">
        <f>BP55</f>
        <v>Barbara</v>
      </c>
      <c r="DE55" s="158">
        <f>IF(OR(D55&gt;0),IF(BJ55=0,BN55*BQ55,0))</f>
        <v>0</v>
      </c>
      <c r="DF55" s="159">
        <f>IF(OR(D55&gt;0),IF(BJ55=0,BN55*BY55,0))</f>
        <v>0</v>
      </c>
      <c r="DG55" s="116" t="str">
        <f>BX55</f>
        <v>Barbara</v>
      </c>
      <c r="DH55" s="76"/>
      <c r="DI55" s="120" t="s">
        <v>154</v>
      </c>
      <c r="DJ55" s="120"/>
      <c r="DK55" s="121"/>
      <c r="DL55" s="121"/>
      <c r="DM55" s="122"/>
      <c r="DN55" s="6"/>
      <c r="DO55" s="6"/>
      <c r="DP55" s="6"/>
      <c r="DQ55" s="6"/>
      <c r="DR55" s="6"/>
      <c r="DS55" s="6"/>
      <c r="DT55" s="6"/>
      <c r="DU55" s="6"/>
      <c r="DV55" s="6"/>
      <c r="DW55" s="6"/>
      <c r="DX55" s="6"/>
      <c r="DY55" s="6"/>
      <c r="DZ55" s="6"/>
    </row>
    <row r="56" spans="1:130" ht="34.5" hidden="1" customHeight="1">
      <c r="A56" s="228"/>
      <c r="B56" s="75" t="s">
        <v>1139</v>
      </c>
      <c r="C56" s="90"/>
      <c r="D56" s="75"/>
      <c r="E56" s="76">
        <v>1</v>
      </c>
      <c r="F56" s="75"/>
      <c r="G56" s="181" t="s">
        <v>1185</v>
      </c>
      <c r="H56" s="181" t="s">
        <v>1186</v>
      </c>
      <c r="I56" s="113" t="s">
        <v>1187</v>
      </c>
      <c r="J56" s="75" t="str">
        <f>CONCATENATE(G56," ",H56)</f>
        <v>Angelo Piccoli</v>
      </c>
      <c r="K56" s="81">
        <v>3460522558</v>
      </c>
      <c r="L56" s="125" t="s">
        <v>1188</v>
      </c>
      <c r="M56" s="1867"/>
      <c r="N56" s="84" t="s">
        <v>907</v>
      </c>
      <c r="O56" s="1929"/>
      <c r="P56" s="131"/>
      <c r="Q56" s="131"/>
      <c r="R56" s="252" t="s">
        <v>1120</v>
      </c>
      <c r="S56" s="254"/>
      <c r="T56" s="254"/>
      <c r="U56" s="254"/>
      <c r="V56" s="254"/>
      <c r="W56" s="131"/>
      <c r="X56" s="131"/>
      <c r="Y56" s="131"/>
      <c r="Z56" s="131"/>
      <c r="AA56" s="131"/>
      <c r="AB56" s="255"/>
      <c r="AC56" s="256"/>
      <c r="AD56" s="121" t="s">
        <v>118</v>
      </c>
      <c r="AE56" s="138" t="str">
        <f>L56</f>
        <v>Vincitore Quizzone VB2B Sett. 22</v>
      </c>
      <c r="AF56" s="89"/>
      <c r="AG56" s="90"/>
      <c r="AH56" s="90"/>
      <c r="AI56" s="89"/>
      <c r="AJ56" s="90"/>
      <c r="AK56" s="90"/>
      <c r="AL56" s="90"/>
      <c r="AM56" s="89"/>
      <c r="AN56" s="1485"/>
      <c r="AO56" s="1485"/>
      <c r="AP56" s="1485"/>
      <c r="AQ56" s="89"/>
      <c r="AR56" s="1985" t="s">
        <v>115</v>
      </c>
      <c r="AS56" s="75"/>
      <c r="AT56" s="75"/>
      <c r="AU56" s="89"/>
      <c r="AV56" s="75"/>
      <c r="AW56" s="75"/>
      <c r="AX56" s="1997"/>
      <c r="AY56" s="89"/>
      <c r="AZ56" s="121"/>
      <c r="BA56" s="121" t="s">
        <v>115</v>
      </c>
      <c r="BB56" s="135" t="s">
        <v>115</v>
      </c>
      <c r="BC56" s="89"/>
      <c r="BD56" s="121"/>
      <c r="BE56" s="121"/>
      <c r="BF56" s="121"/>
      <c r="BG56" s="89"/>
      <c r="BH56" s="92">
        <f>CF56+CI56+CL56+CO56+CR56</f>
        <v>0</v>
      </c>
      <c r="BI56" s="92">
        <f>CH56+CK56+CN56+CQ56+CT56</f>
        <v>0</v>
      </c>
      <c r="BJ56" s="92">
        <f>BH56-BI56</f>
        <v>0</v>
      </c>
      <c r="BK56" s="271"/>
      <c r="BL56" s="2014">
        <f>BH56</f>
        <v>0</v>
      </c>
      <c r="BM56" s="95"/>
      <c r="BN56" s="142"/>
      <c r="BO56" s="182"/>
      <c r="BP56" s="80" t="s">
        <v>141</v>
      </c>
      <c r="BQ56" s="145"/>
      <c r="BR56" s="108"/>
      <c r="BS56" s="276">
        <f>BL56*BQ56</f>
        <v>0</v>
      </c>
      <c r="BT56" s="101">
        <f>BM56*BQ56</f>
        <v>0</v>
      </c>
      <c r="BU56" s="102">
        <f>BN56*BQ56</f>
        <v>0</v>
      </c>
      <c r="BV56" s="103">
        <f>BO56*BQ56</f>
        <v>0</v>
      </c>
      <c r="BW56" s="2042" t="s">
        <v>118</v>
      </c>
      <c r="BX56" s="105" t="s">
        <v>141</v>
      </c>
      <c r="BY56" s="145"/>
      <c r="BZ56" s="108"/>
      <c r="CA56" s="276">
        <f>BL56*BY56</f>
        <v>0</v>
      </c>
      <c r="CB56" s="101">
        <f>BM56*BY56</f>
        <v>0</v>
      </c>
      <c r="CC56" s="106">
        <f>BN56*BY56</f>
        <v>0</v>
      </c>
      <c r="CD56" s="107">
        <f>BO56*BY56</f>
        <v>0</v>
      </c>
      <c r="CE56" s="411"/>
      <c r="CF56" s="108"/>
      <c r="CG56" s="109"/>
      <c r="CH56" s="110"/>
      <c r="CI56" s="108"/>
      <c r="CJ56" s="2110"/>
      <c r="CK56" s="108"/>
      <c r="CL56" s="108"/>
      <c r="CM56" s="130"/>
      <c r="CN56" s="108"/>
      <c r="CO56" s="108"/>
      <c r="CP56" s="109"/>
      <c r="CQ56" s="108"/>
      <c r="CR56" s="108"/>
      <c r="CS56" s="109"/>
      <c r="CT56" s="108"/>
      <c r="CU56" s="90">
        <v>1</v>
      </c>
      <c r="CV56" s="112" t="s">
        <v>1123</v>
      </c>
      <c r="CW56" s="112"/>
      <c r="CX56" s="113"/>
      <c r="CY56" s="2128" t="s">
        <v>122</v>
      </c>
      <c r="CZ56" s="90"/>
      <c r="DA56" s="2134" t="s">
        <v>911</v>
      </c>
      <c r="DB56" s="126" t="str">
        <f>PROPER(N56)</f>
        <v>Binnova</v>
      </c>
      <c r="DC56" s="116" t="s">
        <v>125</v>
      </c>
      <c r="DD56" s="116" t="str">
        <f>BP56</f>
        <v>Daniele</v>
      </c>
      <c r="DE56" s="117" t="b">
        <f>IF(OR(D56&gt;0),IF(BJ56=0,BN56*BQ56,0))</f>
        <v>0</v>
      </c>
      <c r="DF56" s="117" t="b">
        <f>IF(OR(D56&gt;0),IF(BJ56=0,BN56*BY56,0))</f>
        <v>0</v>
      </c>
      <c r="DG56" s="116" t="str">
        <f>BX56</f>
        <v>Daniele</v>
      </c>
      <c r="DH56" s="76"/>
      <c r="DI56" s="120" t="s">
        <v>126</v>
      </c>
      <c r="DJ56" s="120"/>
      <c r="DK56" s="207"/>
      <c r="DL56" s="207"/>
      <c r="DM56" s="264">
        <v>1</v>
      </c>
      <c r="DN56" s="265"/>
      <c r="DO56" s="265"/>
      <c r="DP56" s="265"/>
      <c r="DQ56" s="265"/>
      <c r="DR56" s="265"/>
      <c r="DS56" s="265"/>
      <c r="DT56" s="265"/>
      <c r="DU56" s="265"/>
      <c r="DV56" s="265"/>
      <c r="DW56" s="265"/>
      <c r="DX56" s="265"/>
      <c r="DY56" s="265"/>
      <c r="DZ56" s="265"/>
    </row>
    <row r="57" spans="1:130" ht="34.5" hidden="1" customHeight="1">
      <c r="A57" s="228"/>
      <c r="B57" s="75" t="s">
        <v>1359</v>
      </c>
      <c r="C57" s="90"/>
      <c r="D57" s="75">
        <v>1</v>
      </c>
      <c r="E57" s="76">
        <v>1</v>
      </c>
      <c r="F57" s="75"/>
      <c r="G57" s="400" t="s">
        <v>1185</v>
      </c>
      <c r="H57" s="400" t="s">
        <v>1498</v>
      </c>
      <c r="I57" s="113" t="s">
        <v>1499</v>
      </c>
      <c r="J57" s="75" t="str">
        <f>CONCATENATE(G57," ",H57)</f>
        <v>Angelo Rucci</v>
      </c>
      <c r="K57" s="81">
        <v>3475600740</v>
      </c>
      <c r="L57" s="1881" t="s">
        <v>1493</v>
      </c>
      <c r="M57" s="1894"/>
      <c r="N57" s="84" t="s">
        <v>1494</v>
      </c>
      <c r="O57" s="1923"/>
      <c r="P57" s="160"/>
      <c r="Q57" s="160"/>
      <c r="R57" s="403"/>
      <c r="S57" s="160"/>
      <c r="T57" s="160"/>
      <c r="U57" s="160"/>
      <c r="V57" s="160"/>
      <c r="W57" s="160"/>
      <c r="X57" s="131"/>
      <c r="Y57" s="160"/>
      <c r="Z57" s="160"/>
      <c r="AA57" s="160"/>
      <c r="AB57" s="37"/>
      <c r="AC57" s="131"/>
      <c r="AD57" s="121" t="s">
        <v>1500</v>
      </c>
      <c r="AE57" s="88"/>
      <c r="AF57" s="1966"/>
      <c r="AG57" s="1970"/>
      <c r="AH57" s="1970"/>
      <c r="AI57" s="1966"/>
      <c r="AJ57" s="90"/>
      <c r="AK57" s="90"/>
      <c r="AL57" s="90"/>
      <c r="AM57" s="89"/>
      <c r="AN57" s="90"/>
      <c r="AO57" s="90"/>
      <c r="AP57" s="90"/>
      <c r="AQ57" s="89"/>
      <c r="AR57" s="75"/>
      <c r="AS57" s="75"/>
      <c r="AT57" s="75"/>
      <c r="AU57" s="89"/>
      <c r="AV57" s="75"/>
      <c r="AW57" s="75"/>
      <c r="AX57" s="75"/>
      <c r="AY57" s="89"/>
      <c r="AZ57" s="121" t="s">
        <v>115</v>
      </c>
      <c r="BA57" s="121" t="s">
        <v>115</v>
      </c>
      <c r="BB57" s="135" t="s">
        <v>115</v>
      </c>
      <c r="BC57" s="89"/>
      <c r="BD57" s="121"/>
      <c r="BE57" s="121"/>
      <c r="BF57" s="121"/>
      <c r="BG57" s="89"/>
      <c r="BH57" s="92">
        <f>CF57+CI57+CL57+CO57+CR57</f>
        <v>2397</v>
      </c>
      <c r="BI57" s="92">
        <f>CH57+CK57+CN57+CQ57+CT57</f>
        <v>2397</v>
      </c>
      <c r="BJ57" s="92">
        <f>BH57-BI57</f>
        <v>0</v>
      </c>
      <c r="BK57" s="271"/>
      <c r="BL57" s="2014"/>
      <c r="BM57" s="95"/>
      <c r="BN57" s="127">
        <v>2397</v>
      </c>
      <c r="BO57" s="128"/>
      <c r="BP57" s="2040" t="s">
        <v>1496</v>
      </c>
      <c r="BQ57" s="145">
        <v>0.15</v>
      </c>
      <c r="BR57" s="108"/>
      <c r="BS57" s="276">
        <f>BL57*BQ57</f>
        <v>0</v>
      </c>
      <c r="BT57" s="101">
        <f>BM57*BQ57</f>
        <v>0</v>
      </c>
      <c r="BU57" s="102">
        <f>BN57*BQ57</f>
        <v>359.55</v>
      </c>
      <c r="BV57" s="103">
        <f>BO57*BQ57</f>
        <v>0</v>
      </c>
      <c r="BW57" s="84" t="s">
        <v>185</v>
      </c>
      <c r="BX57" s="441" t="s">
        <v>525</v>
      </c>
      <c r="BY57" s="145">
        <v>0.05</v>
      </c>
      <c r="BZ57" s="108"/>
      <c r="CA57" s="276">
        <f>BL57*BY57</f>
        <v>0</v>
      </c>
      <c r="CB57" s="101">
        <f>BM57*BY57</f>
        <v>0</v>
      </c>
      <c r="CC57" s="106">
        <f>BN57*BY57</f>
        <v>119.85000000000001</v>
      </c>
      <c r="CD57" s="107">
        <f>BO57*BY57</f>
        <v>0</v>
      </c>
      <c r="CE57" s="84" t="s">
        <v>185</v>
      </c>
      <c r="CF57" s="108">
        <v>2397</v>
      </c>
      <c r="CG57" s="109">
        <v>45198</v>
      </c>
      <c r="CH57" s="108">
        <v>2397</v>
      </c>
      <c r="CI57" s="2106"/>
      <c r="CJ57" s="184"/>
      <c r="CK57" s="2106"/>
      <c r="CL57" s="2106"/>
      <c r="CM57" s="184"/>
      <c r="CN57" s="2106"/>
      <c r="CO57" s="130"/>
      <c r="CP57" s="130"/>
      <c r="CQ57" s="130"/>
      <c r="CR57" s="130"/>
      <c r="CS57" s="130"/>
      <c r="CT57" s="130"/>
      <c r="CU57" s="90">
        <v>1</v>
      </c>
      <c r="CV57" s="112"/>
      <c r="CW57" s="112"/>
      <c r="CX57" s="112"/>
      <c r="CY57" s="90"/>
      <c r="CZ57" s="75"/>
      <c r="DA57" s="2132" t="s">
        <v>367</v>
      </c>
      <c r="DB57" s="115" t="str">
        <f>PROPER(N57)</f>
        <v>L'Officina Dell'Auto</v>
      </c>
      <c r="DC57" s="2162" t="s">
        <v>1497</v>
      </c>
      <c r="DD57" s="116" t="str">
        <f>BP57</f>
        <v>Patrizia Sabatino</v>
      </c>
      <c r="DE57" s="117">
        <f>IF(OR(D57&gt;0),IF(BJ57=0,BN57*BQ57,0))</f>
        <v>359.55</v>
      </c>
      <c r="DF57" s="117">
        <f>IF(OR(D57&gt;0),IF(BJ57=0,BN57*BY57,0))</f>
        <v>119.85000000000001</v>
      </c>
      <c r="DG57" s="118" t="str">
        <f>BX57</f>
        <v>Bruno</v>
      </c>
      <c r="DH57" s="76"/>
      <c r="DI57" s="120" t="s">
        <v>126</v>
      </c>
      <c r="DJ57" s="120"/>
      <c r="DK57" s="74" t="s">
        <v>1399</v>
      </c>
      <c r="DL57" s="74" t="s">
        <v>1399</v>
      </c>
      <c r="DM57" s="122">
        <v>1</v>
      </c>
      <c r="DN57" s="6"/>
      <c r="DO57" s="6"/>
      <c r="DP57" s="6"/>
      <c r="DQ57" s="6"/>
      <c r="DR57" s="6"/>
      <c r="DS57" s="6"/>
      <c r="DT57" s="6"/>
      <c r="DU57" s="6"/>
      <c r="DV57" s="6"/>
      <c r="DW57" s="6"/>
      <c r="DX57" s="6"/>
      <c r="DY57" s="6"/>
      <c r="DZ57" s="6"/>
    </row>
    <row r="58" spans="1:130" ht="34.5" hidden="1" customHeight="1">
      <c r="A58" s="3"/>
      <c r="B58" s="75" t="s">
        <v>108</v>
      </c>
      <c r="C58" s="75"/>
      <c r="D58" s="75">
        <v>1</v>
      </c>
      <c r="E58" s="76">
        <v>1</v>
      </c>
      <c r="F58" s="132"/>
      <c r="G58" s="79" t="s">
        <v>428</v>
      </c>
      <c r="H58" s="79" t="s">
        <v>429</v>
      </c>
      <c r="I58" s="80" t="s">
        <v>430</v>
      </c>
      <c r="J58" s="90" t="str">
        <f>CONCATENATE(G58," ",H58)</f>
        <v>Enrico Benassuti</v>
      </c>
      <c r="K58" s="81">
        <v>3493614955</v>
      </c>
      <c r="L58" s="138"/>
      <c r="M58" s="83" t="s">
        <v>431</v>
      </c>
      <c r="N58" s="84" t="s">
        <v>432</v>
      </c>
      <c r="O58" s="85"/>
      <c r="P58" s="86"/>
      <c r="Q58" s="86"/>
      <c r="R58" s="86"/>
      <c r="S58" s="86"/>
      <c r="T58" s="86"/>
      <c r="U58" s="86"/>
      <c r="V58" s="86"/>
      <c r="W58" s="86"/>
      <c r="X58" s="86"/>
      <c r="Y58" s="87"/>
      <c r="Z58" s="86"/>
      <c r="AA58" s="86"/>
      <c r="AB58" s="86"/>
      <c r="AC58" s="86"/>
      <c r="AD58" s="86" t="s">
        <v>433</v>
      </c>
      <c r="AE58" s="138">
        <f>L58</f>
        <v>0</v>
      </c>
      <c r="AF58" s="89"/>
      <c r="AG58" s="75"/>
      <c r="AH58" s="75"/>
      <c r="AI58" s="89"/>
      <c r="AJ58" s="75"/>
      <c r="AK58" s="75"/>
      <c r="AL58" s="75"/>
      <c r="AM58" s="89"/>
      <c r="AN58" s="90"/>
      <c r="AO58" s="90"/>
      <c r="AP58" s="90"/>
      <c r="AQ58" s="89"/>
      <c r="AR58" s="75"/>
      <c r="AS58" s="75"/>
      <c r="AT58" s="75"/>
      <c r="AU58" s="89"/>
      <c r="AV58" s="75"/>
      <c r="AW58" s="75"/>
      <c r="AX58" s="75" t="s">
        <v>115</v>
      </c>
      <c r="AY58" s="89"/>
      <c r="AZ58" s="121" t="s">
        <v>115</v>
      </c>
      <c r="BA58" s="121" t="s">
        <v>115</v>
      </c>
      <c r="BB58" s="135" t="s">
        <v>154</v>
      </c>
      <c r="BC58" s="89"/>
      <c r="BD58" s="121"/>
      <c r="BE58" s="121"/>
      <c r="BF58" s="121"/>
      <c r="BG58" s="89"/>
      <c r="BH58" s="92">
        <f>CF58+CI58+CL58+CO58+CR58</f>
        <v>2997</v>
      </c>
      <c r="BI58" s="92">
        <f>CH58+CK58+CN58+CQ58+CT58</f>
        <v>2997</v>
      </c>
      <c r="BJ58" s="92">
        <f>BH58-BI58</f>
        <v>0</v>
      </c>
      <c r="BK58" s="93"/>
      <c r="BL58" s="94"/>
      <c r="BM58" s="95">
        <v>2997</v>
      </c>
      <c r="BN58" s="96"/>
      <c r="BO58" s="97"/>
      <c r="BP58" s="80" t="s">
        <v>262</v>
      </c>
      <c r="BQ58" s="98">
        <v>0.15</v>
      </c>
      <c r="BR58" s="99"/>
      <c r="BS58" s="100"/>
      <c r="BT58" s="101">
        <f>BM58*BQ58</f>
        <v>449.55</v>
      </c>
      <c r="BU58" s="102">
        <f>BN58*BQ58</f>
        <v>0</v>
      </c>
      <c r="BV58" s="103">
        <f>BO58*BQ58</f>
        <v>0</v>
      </c>
      <c r="BW58" s="80" t="s">
        <v>174</v>
      </c>
      <c r="BX58" s="105" t="s">
        <v>262</v>
      </c>
      <c r="BY58" s="98">
        <v>0.05</v>
      </c>
      <c r="BZ58" s="99"/>
      <c r="CA58" s="100"/>
      <c r="CB58" s="101">
        <f>BM58*BY58</f>
        <v>149.85</v>
      </c>
      <c r="CC58" s="106">
        <f>BN58*BY58</f>
        <v>0</v>
      </c>
      <c r="CD58" s="107">
        <f>BO58*BY58</f>
        <v>0</v>
      </c>
      <c r="CE58" s="80" t="s">
        <v>174</v>
      </c>
      <c r="CF58" s="108">
        <v>2997</v>
      </c>
      <c r="CG58" s="109">
        <v>45028</v>
      </c>
      <c r="CH58" s="108">
        <v>2997</v>
      </c>
      <c r="CI58" s="108"/>
      <c r="CJ58" s="109"/>
      <c r="CK58" s="111"/>
      <c r="CL58" s="111"/>
      <c r="CM58" s="109"/>
      <c r="CN58" s="111"/>
      <c r="CO58" s="111"/>
      <c r="CP58" s="111"/>
      <c r="CQ58" s="111"/>
      <c r="CR58" s="111"/>
      <c r="CS58" s="111"/>
      <c r="CT58" s="111"/>
      <c r="CU58" s="90">
        <v>1</v>
      </c>
      <c r="CV58" s="112" t="s">
        <v>121</v>
      </c>
      <c r="CW58" s="112"/>
      <c r="CX58" s="113"/>
      <c r="CY58" s="90" t="s">
        <v>122</v>
      </c>
      <c r="CZ58" s="90"/>
      <c r="DA58" s="80" t="s">
        <v>434</v>
      </c>
      <c r="DB58" s="115" t="str">
        <f>PROPER(N58)</f>
        <v>Be-Lab - Axera</v>
      </c>
      <c r="DC58" s="116" t="s">
        <v>435</v>
      </c>
      <c r="DD58" s="116" t="str">
        <f>BP58</f>
        <v>Pacci</v>
      </c>
      <c r="DE58" s="117">
        <f>IF(OR(D58&gt;0),IF(BJ58=0,BN58*BQ58,0))</f>
        <v>0</v>
      </c>
      <c r="DF58" s="117">
        <f>IF(OR(D58&gt;0),IF(BJ58=0,BN58*BY58,0))</f>
        <v>0</v>
      </c>
      <c r="DG58" s="116" t="str">
        <f>BX58</f>
        <v>Pacci</v>
      </c>
      <c r="DH58" s="76"/>
      <c r="DI58" s="120" t="s">
        <v>154</v>
      </c>
      <c r="DJ58" s="120"/>
      <c r="DK58" s="121"/>
      <c r="DL58" s="121"/>
      <c r="DM58" s="122"/>
      <c r="DN58" s="6"/>
      <c r="DO58" s="6"/>
      <c r="DP58" s="6"/>
      <c r="DQ58" s="6"/>
      <c r="DR58" s="6"/>
      <c r="DS58" s="6"/>
      <c r="DT58" s="6"/>
      <c r="DU58" s="6"/>
      <c r="DV58" s="6"/>
      <c r="DW58" s="6"/>
      <c r="DX58" s="6"/>
      <c r="DY58" s="6"/>
      <c r="DZ58" s="6"/>
    </row>
    <row r="59" spans="1:130" ht="34.5" hidden="1" customHeight="1">
      <c r="A59" s="1801"/>
      <c r="B59" s="75" t="s">
        <v>1928</v>
      </c>
      <c r="C59" s="90"/>
      <c r="D59" s="75">
        <v>1</v>
      </c>
      <c r="E59" s="510">
        <v>1</v>
      </c>
      <c r="F59" s="148"/>
      <c r="G59" s="181" t="s">
        <v>2469</v>
      </c>
      <c r="H59" s="181" t="s">
        <v>2470</v>
      </c>
      <c r="I59" s="1831" t="s">
        <v>2471</v>
      </c>
      <c r="J59" s="75" t="str">
        <f>CONCATENATE(G59," ",H59)</f>
        <v>Anna Bollini</v>
      </c>
      <c r="K59" s="1851"/>
      <c r="L59" s="161"/>
      <c r="M59" s="1867"/>
      <c r="N59" s="84" t="s">
        <v>2472</v>
      </c>
      <c r="O59" s="1925"/>
      <c r="P59" s="255"/>
      <c r="Q59" s="255"/>
      <c r="R59" s="131"/>
      <c r="S59" s="131"/>
      <c r="T59" s="131"/>
      <c r="U59" s="131"/>
      <c r="V59" s="131"/>
      <c r="W59" s="514"/>
      <c r="X59" s="131"/>
      <c r="Y59" s="514"/>
      <c r="Z59" s="514"/>
      <c r="AA59" s="514"/>
      <c r="AB59" s="255"/>
      <c r="AC59" s="131"/>
      <c r="AD59" s="37" t="s">
        <v>118</v>
      </c>
      <c r="AE59" s="161"/>
      <c r="AF59" s="1966"/>
      <c r="AG59" s="1973"/>
      <c r="AH59" s="1973"/>
      <c r="AI59" s="1966"/>
      <c r="AJ59" s="90"/>
      <c r="AK59" s="90"/>
      <c r="AL59" s="90"/>
      <c r="AM59" s="1966"/>
      <c r="AN59" s="1485"/>
      <c r="AO59" s="1485"/>
      <c r="AP59" s="1485"/>
      <c r="AQ59" s="1966"/>
      <c r="AR59" s="75"/>
      <c r="AS59" s="75"/>
      <c r="AT59" s="75"/>
      <c r="AU59" s="1966"/>
      <c r="AV59" s="75"/>
      <c r="AW59" s="75"/>
      <c r="AX59" s="75"/>
      <c r="AY59" s="1966"/>
      <c r="AZ59" s="121" t="s">
        <v>116</v>
      </c>
      <c r="BA59" s="121" t="s">
        <v>116</v>
      </c>
      <c r="BB59" s="162" t="s">
        <v>116</v>
      </c>
      <c r="BC59" s="1966"/>
      <c r="BD59" s="121"/>
      <c r="BE59" s="121"/>
      <c r="BF59" s="121"/>
      <c r="BG59" s="1966"/>
      <c r="BH59" s="92"/>
      <c r="BI59" s="92"/>
      <c r="BJ59" s="92"/>
      <c r="BK59" s="271"/>
      <c r="BL59" s="2014"/>
      <c r="BM59" s="95"/>
      <c r="BN59" s="2027"/>
      <c r="BO59" s="2032"/>
      <c r="BP59" s="525"/>
      <c r="BQ59" s="145"/>
      <c r="BR59" s="108"/>
      <c r="BS59" s="276"/>
      <c r="BT59" s="101"/>
      <c r="BU59" s="102">
        <f>BN59*BQ59</f>
        <v>0</v>
      </c>
      <c r="BV59" s="103">
        <f>BO59*BQ59</f>
        <v>0</v>
      </c>
      <c r="BW59" s="80"/>
      <c r="BX59" s="2039"/>
      <c r="BY59" s="145"/>
      <c r="BZ59" s="108"/>
      <c r="CA59" s="276"/>
      <c r="CB59" s="101"/>
      <c r="CC59" s="106">
        <f>BN59*BY59</f>
        <v>0</v>
      </c>
      <c r="CD59" s="107">
        <f>BO59*BY59</f>
        <v>0</v>
      </c>
      <c r="CE59" s="677"/>
      <c r="CF59" s="108"/>
      <c r="CG59" s="109"/>
      <c r="CH59" s="110"/>
      <c r="CI59" s="108"/>
      <c r="CJ59" s="109"/>
      <c r="CK59" s="108"/>
      <c r="CL59" s="108"/>
      <c r="CM59" s="109"/>
      <c r="CN59" s="108"/>
      <c r="CO59" s="111"/>
      <c r="CP59" s="111"/>
      <c r="CQ59" s="111"/>
      <c r="CR59" s="111"/>
      <c r="CS59" s="111"/>
      <c r="CT59" s="111"/>
      <c r="CU59" s="90">
        <v>0</v>
      </c>
      <c r="CV59" s="112"/>
      <c r="CW59" s="112"/>
      <c r="CX59" s="113"/>
      <c r="CY59" s="113"/>
      <c r="CZ59" s="90"/>
      <c r="DA59" s="136" t="s">
        <v>2473</v>
      </c>
      <c r="DB59" s="115" t="str">
        <f>PROPER(N59)</f>
        <v>Louder Italia</v>
      </c>
      <c r="DC59" s="116" t="s">
        <v>144</v>
      </c>
      <c r="DD59" s="116">
        <f>BP59</f>
        <v>0</v>
      </c>
      <c r="DE59" s="117">
        <f>IF(OR(D59&gt;0),IF(BJ59=0,BN59*BQ59,0))</f>
        <v>0</v>
      </c>
      <c r="DF59" s="117">
        <f>IF(OR(D59&gt;0),IF(BJ59=0,BN59*BY59,0))</f>
        <v>0</v>
      </c>
      <c r="DG59" s="533">
        <f>BX59</f>
        <v>0</v>
      </c>
      <c r="DH59" s="510"/>
      <c r="DI59" s="120" t="s">
        <v>126</v>
      </c>
      <c r="DJ59" s="120"/>
      <c r="DK59" s="207"/>
      <c r="DL59" s="207"/>
      <c r="DM59" s="248">
        <v>1</v>
      </c>
    </row>
    <row r="60" spans="1:130" ht="34.5" hidden="1" customHeight="1">
      <c r="A60" s="228"/>
      <c r="B60" s="75" t="s">
        <v>1078</v>
      </c>
      <c r="C60" s="90"/>
      <c r="D60" s="90"/>
      <c r="E60" s="76"/>
      <c r="F60" s="90"/>
      <c r="G60" s="320" t="s">
        <v>1079</v>
      </c>
      <c r="H60" s="320" t="s">
        <v>1080</v>
      </c>
      <c r="I60" s="1833" t="s">
        <v>1081</v>
      </c>
      <c r="J60" s="123" t="str">
        <f>CONCATENATE(G60," ",H60)</f>
        <v>Anna Maria Barbieri</v>
      </c>
      <c r="K60" s="1850">
        <v>3209045358</v>
      </c>
      <c r="L60" s="161"/>
      <c r="M60" s="1867"/>
      <c r="N60" s="84" t="s">
        <v>1073</v>
      </c>
      <c r="O60" s="1925"/>
      <c r="P60" s="37"/>
      <c r="Q60" s="37"/>
      <c r="R60" s="131" t="s">
        <v>1074</v>
      </c>
      <c r="S60" s="160"/>
      <c r="T60" s="160"/>
      <c r="U60" s="160"/>
      <c r="V60" s="160"/>
      <c r="W60" s="233"/>
      <c r="X60" s="234"/>
      <c r="Y60" s="233"/>
      <c r="Z60" s="233"/>
      <c r="AA60" s="233"/>
      <c r="AB60" s="37"/>
      <c r="AC60" s="37"/>
      <c r="AD60" s="37" t="s">
        <v>1075</v>
      </c>
      <c r="AE60" s="138">
        <f>L60</f>
        <v>0</v>
      </c>
      <c r="AF60" s="1966"/>
      <c r="AG60" s="75"/>
      <c r="AH60" s="75"/>
      <c r="AI60" s="1966"/>
      <c r="AJ60" s="75"/>
      <c r="AK60" s="75"/>
      <c r="AL60" s="75"/>
      <c r="AM60" s="1966"/>
      <c r="AN60" s="90"/>
      <c r="AO60" s="90"/>
      <c r="AP60" s="90"/>
      <c r="AQ60" s="1966"/>
      <c r="AR60" s="75" t="s">
        <v>115</v>
      </c>
      <c r="AS60" s="75" t="s">
        <v>115</v>
      </c>
      <c r="AT60" s="129" t="s">
        <v>194</v>
      </c>
      <c r="AU60" s="1966"/>
      <c r="AV60" s="75"/>
      <c r="AW60" s="75"/>
      <c r="AX60" s="1988"/>
      <c r="AY60" s="1966"/>
      <c r="AZ60" s="121"/>
      <c r="BA60" s="121"/>
      <c r="BB60" s="121" t="s">
        <v>115</v>
      </c>
      <c r="BC60" s="1966"/>
      <c r="BD60" s="121"/>
      <c r="BE60" s="121"/>
      <c r="BF60" s="121"/>
      <c r="BG60" s="1966"/>
      <c r="BH60" s="92">
        <f>CF60+CI60+CL60+CO60+CR60</f>
        <v>0</v>
      </c>
      <c r="BI60" s="92">
        <f>CH60+CK60+CN60+CQ60+CT60</f>
        <v>0</v>
      </c>
      <c r="BJ60" s="92">
        <f>BH60-BI60</f>
        <v>0</v>
      </c>
      <c r="BK60" s="271"/>
      <c r="BL60" s="2014"/>
      <c r="BM60" s="95"/>
      <c r="BN60" s="142"/>
      <c r="BO60" s="182"/>
      <c r="BP60" s="2042" t="s">
        <v>184</v>
      </c>
      <c r="BQ60" s="98">
        <v>0.15</v>
      </c>
      <c r="BR60" s="108"/>
      <c r="BS60" s="276">
        <f>BH60*BQ60</f>
        <v>0</v>
      </c>
      <c r="BT60" s="101">
        <f>BM60*BQ60</f>
        <v>0</v>
      </c>
      <c r="BU60" s="102">
        <f>BN60*BQ60</f>
        <v>0</v>
      </c>
      <c r="BV60" s="103">
        <f>BO60*BQ60</f>
        <v>0</v>
      </c>
      <c r="BW60" s="2042" t="s">
        <v>1076</v>
      </c>
      <c r="BX60" s="105" t="s">
        <v>184</v>
      </c>
      <c r="BY60" s="98">
        <v>0.1</v>
      </c>
      <c r="BZ60" s="108"/>
      <c r="CA60" s="276">
        <f>BH60*BY60</f>
        <v>0</v>
      </c>
      <c r="CB60" s="101">
        <f>BM60*BY60</f>
        <v>0</v>
      </c>
      <c r="CC60" s="106">
        <f>BN60*BY60</f>
        <v>0</v>
      </c>
      <c r="CD60" s="107">
        <f>BO60*BY60</f>
        <v>0</v>
      </c>
      <c r="CE60" s="2093" t="s">
        <v>1076</v>
      </c>
      <c r="CF60" s="108"/>
      <c r="CG60" s="279"/>
      <c r="CH60" s="110"/>
      <c r="CI60" s="111"/>
      <c r="CJ60" s="111"/>
      <c r="CK60" s="111"/>
      <c r="CL60" s="111"/>
      <c r="CM60" s="111"/>
      <c r="CN60" s="111"/>
      <c r="CO60" s="111"/>
      <c r="CP60" s="111"/>
      <c r="CQ60" s="111"/>
      <c r="CR60" s="111"/>
      <c r="CS60" s="111"/>
      <c r="CT60" s="111"/>
      <c r="CU60" s="90"/>
      <c r="CV60" s="112"/>
      <c r="CW60" s="112"/>
      <c r="CX60" s="113"/>
      <c r="CY60" s="2128" t="s">
        <v>122</v>
      </c>
      <c r="CZ60" s="90"/>
      <c r="DA60" s="1867"/>
      <c r="DB60" s="126" t="str">
        <f>PROPER(N60)</f>
        <v>Credit Team</v>
      </c>
      <c r="DC60" s="116"/>
      <c r="DD60" s="116" t="str">
        <f>BP60</f>
        <v>Cristian A</v>
      </c>
      <c r="DE60" s="117" t="b">
        <f>IF(OR(D60&gt;0),IF(BJ60=0,BN60*BQ60,0))</f>
        <v>0</v>
      </c>
      <c r="DF60" s="117" t="b">
        <f>IF(OR(D60&gt;0),IF(BJ60=0,BN60*BY60,0))</f>
        <v>0</v>
      </c>
      <c r="DG60" s="116" t="str">
        <f>BX60</f>
        <v>Cristian A</v>
      </c>
      <c r="DH60" s="76"/>
      <c r="DI60" s="120" t="s">
        <v>126</v>
      </c>
      <c r="DJ60" s="120"/>
      <c r="DK60" s="207"/>
      <c r="DL60" s="207"/>
      <c r="DM60" s="248">
        <v>1</v>
      </c>
    </row>
    <row r="61" spans="1:130" ht="34.5" hidden="1" customHeight="1">
      <c r="A61" s="3"/>
      <c r="B61" s="75" t="s">
        <v>108</v>
      </c>
      <c r="C61" s="75"/>
      <c r="D61" s="75">
        <v>1</v>
      </c>
      <c r="E61" s="76">
        <v>1</v>
      </c>
      <c r="F61" s="75"/>
      <c r="G61" s="79" t="s">
        <v>230</v>
      </c>
      <c r="H61" s="79" t="s">
        <v>231</v>
      </c>
      <c r="I61" s="80" t="s">
        <v>232</v>
      </c>
      <c r="J61" s="75" t="str">
        <f>CONCATENATE(G61," ",H61)</f>
        <v>Annachiara Dodini</v>
      </c>
      <c r="K61" s="81">
        <v>3476099024</v>
      </c>
      <c r="L61" s="1865" t="s">
        <v>233</v>
      </c>
      <c r="M61" s="1910" t="s">
        <v>234</v>
      </c>
      <c r="N61" s="84"/>
      <c r="O61" s="85"/>
      <c r="P61" s="86"/>
      <c r="Q61" s="86"/>
      <c r="R61" s="86"/>
      <c r="S61" s="86"/>
      <c r="T61" s="86"/>
      <c r="U61" s="86"/>
      <c r="V61" s="86"/>
      <c r="W61" s="86"/>
      <c r="X61" s="86"/>
      <c r="Y61" s="87"/>
      <c r="Z61" s="86"/>
      <c r="AA61" s="86"/>
      <c r="AB61" s="86"/>
      <c r="AC61" s="86"/>
      <c r="AD61" s="86" t="s">
        <v>235</v>
      </c>
      <c r="AE61" s="88" t="str">
        <f>L61</f>
        <v>NON INDICARE NOME PARTECIPANTE IN FATTURA</v>
      </c>
      <c r="AF61" s="89"/>
      <c r="AG61" s="75"/>
      <c r="AH61" s="75"/>
      <c r="AI61" s="89"/>
      <c r="AJ61" s="75"/>
      <c r="AK61" s="75"/>
      <c r="AL61" s="75"/>
      <c r="AM61" s="89"/>
      <c r="AN61" s="90"/>
      <c r="AO61" s="90"/>
      <c r="AP61" s="90"/>
      <c r="AQ61" s="89"/>
      <c r="AR61" s="75"/>
      <c r="AS61" s="75"/>
      <c r="AT61" s="75"/>
      <c r="AU61" s="89"/>
      <c r="AV61" s="75"/>
      <c r="AW61" s="75"/>
      <c r="AX61" s="75"/>
      <c r="AY61" s="89"/>
      <c r="AZ61" s="121" t="s">
        <v>115</v>
      </c>
      <c r="BA61" s="162" t="s">
        <v>115</v>
      </c>
      <c r="BB61" s="1999" t="s">
        <v>115</v>
      </c>
      <c r="BC61" s="89"/>
      <c r="BD61" s="121"/>
      <c r="BE61" s="121"/>
      <c r="BF61" s="121"/>
      <c r="BG61" s="89"/>
      <c r="BH61" s="92">
        <f>CF61+CI61+CL61+CO61+CR61</f>
        <v>2997</v>
      </c>
      <c r="BI61" s="92">
        <f>CH61+CK61+CN61+CQ61+CT61</f>
        <v>2997</v>
      </c>
      <c r="BJ61" s="92">
        <f>BH61-BI61</f>
        <v>0</v>
      </c>
      <c r="BK61" s="93"/>
      <c r="BL61" s="94"/>
      <c r="BM61" s="95"/>
      <c r="BN61" s="142">
        <v>2997</v>
      </c>
      <c r="BO61" s="182"/>
      <c r="BP61" s="80" t="s">
        <v>119</v>
      </c>
      <c r="BQ61" s="145">
        <v>0.05</v>
      </c>
      <c r="BR61" s="99"/>
      <c r="BS61" s="100"/>
      <c r="BT61" s="101">
        <f>BM61*BQ61</f>
        <v>0</v>
      </c>
      <c r="BU61" s="102">
        <f>BN61*BQ61</f>
        <v>149.85</v>
      </c>
      <c r="BV61" s="103">
        <f>BO61*BQ61</f>
        <v>0</v>
      </c>
      <c r="BW61" s="84" t="s">
        <v>185</v>
      </c>
      <c r="BX61" s="105" t="s">
        <v>119</v>
      </c>
      <c r="BY61" s="98">
        <v>0.05</v>
      </c>
      <c r="BZ61" s="99"/>
      <c r="CA61" s="100"/>
      <c r="CB61" s="101">
        <f>BM61*BY61</f>
        <v>0</v>
      </c>
      <c r="CC61" s="106">
        <f>BN61*BY61</f>
        <v>149.85</v>
      </c>
      <c r="CD61" s="107">
        <f>BO61*BY61</f>
        <v>0</v>
      </c>
      <c r="CE61" s="84" t="s">
        <v>185</v>
      </c>
      <c r="CF61" s="108">
        <v>2997</v>
      </c>
      <c r="CG61" s="109">
        <v>45012</v>
      </c>
      <c r="CH61" s="110">
        <v>2997</v>
      </c>
      <c r="CI61" s="108"/>
      <c r="CJ61" s="109"/>
      <c r="CK61" s="111"/>
      <c r="CL61" s="111"/>
      <c r="CM61" s="109"/>
      <c r="CN61" s="111"/>
      <c r="CO61" s="111"/>
      <c r="CP61" s="111"/>
      <c r="CQ61" s="111"/>
      <c r="CR61" s="111"/>
      <c r="CS61" s="111"/>
      <c r="CT61" s="111"/>
      <c r="CU61" s="90">
        <v>1</v>
      </c>
      <c r="CV61" s="112" t="s">
        <v>121</v>
      </c>
      <c r="CW61" s="112"/>
      <c r="CX61" s="113"/>
      <c r="CY61" s="90" t="s">
        <v>122</v>
      </c>
      <c r="CZ61" s="90"/>
      <c r="DA61" s="136" t="s">
        <v>236</v>
      </c>
      <c r="DB61" s="115" t="str">
        <f>PROPER(N61)</f>
        <v/>
      </c>
      <c r="DC61" s="116" t="s">
        <v>237</v>
      </c>
      <c r="DD61" s="116" t="str">
        <f>BP61</f>
        <v>Raffaella</v>
      </c>
      <c r="DE61" s="820">
        <f>IF(OR(D61&gt;0),IF(BJ61=0,BN61*BQ61,0))</f>
        <v>149.85</v>
      </c>
      <c r="DF61" s="2171">
        <f>IF(OR(D61&gt;0),IF(BJ61=0,BN61*BY61,0))</f>
        <v>149.85</v>
      </c>
      <c r="DG61" s="116" t="str">
        <f>BX61</f>
        <v>Raffaella</v>
      </c>
      <c r="DH61" s="76"/>
      <c r="DI61" s="120" t="s">
        <v>126</v>
      </c>
      <c r="DJ61" s="120"/>
      <c r="DK61" s="121"/>
      <c r="DL61" s="121"/>
      <c r="DM61" s="122"/>
      <c r="DN61" s="6"/>
      <c r="DO61" s="6"/>
      <c r="DP61" s="6"/>
      <c r="DQ61" s="6"/>
      <c r="DR61" s="6"/>
      <c r="DS61" s="6"/>
      <c r="DT61" s="6"/>
      <c r="DU61" s="6"/>
      <c r="DV61" s="6"/>
      <c r="DW61" s="6"/>
      <c r="DX61" s="6"/>
      <c r="DY61" s="6"/>
      <c r="DZ61" s="6"/>
    </row>
    <row r="62" spans="1:130" ht="34.5" hidden="1" customHeight="1">
      <c r="A62" s="3"/>
      <c r="B62" s="129" t="s">
        <v>108</v>
      </c>
      <c r="C62" s="75"/>
      <c r="D62" s="75"/>
      <c r="E62" s="76"/>
      <c r="F62" s="75"/>
      <c r="G62" s="79" t="s">
        <v>451</v>
      </c>
      <c r="H62" s="79" t="s">
        <v>457</v>
      </c>
      <c r="I62" s="80" t="s">
        <v>458</v>
      </c>
      <c r="J62" s="90" t="str">
        <f>CONCATENATE(G62," ",H62)</f>
        <v>Fabio Perozzo</v>
      </c>
      <c r="K62" s="81" t="s">
        <v>459</v>
      </c>
      <c r="L62" s="138" t="s">
        <v>460</v>
      </c>
      <c r="M62" s="83"/>
      <c r="N62" s="84" t="s">
        <v>461</v>
      </c>
      <c r="O62" s="85"/>
      <c r="P62" s="86"/>
      <c r="Q62" s="86"/>
      <c r="R62" s="86"/>
      <c r="S62" s="86"/>
      <c r="T62" s="86"/>
      <c r="U62" s="86"/>
      <c r="V62" s="86"/>
      <c r="W62" s="86"/>
      <c r="X62" s="86"/>
      <c r="Y62" s="87"/>
      <c r="Z62" s="86"/>
      <c r="AA62" s="86"/>
      <c r="AB62" s="86"/>
      <c r="AC62" s="86"/>
      <c r="AD62" s="86"/>
      <c r="AE62" s="138" t="str">
        <f>L62</f>
        <v>Probabile NO, perchè il collega ha confermato e lui no</v>
      </c>
      <c r="AF62" s="89"/>
      <c r="AG62" s="75"/>
      <c r="AH62" s="75"/>
      <c r="AI62" s="89"/>
      <c r="AJ62" s="75"/>
      <c r="AK62" s="75"/>
      <c r="AL62" s="75"/>
      <c r="AM62" s="89"/>
      <c r="AN62" s="90"/>
      <c r="AO62" s="90"/>
      <c r="AP62" s="90"/>
      <c r="AQ62" s="89"/>
      <c r="AR62" s="75"/>
      <c r="AS62" s="75"/>
      <c r="AT62" s="75"/>
      <c r="AU62" s="89"/>
      <c r="AV62" s="75"/>
      <c r="AW62" s="75"/>
      <c r="AX62" s="75"/>
      <c r="AY62" s="89"/>
      <c r="AZ62" s="121"/>
      <c r="BA62" s="121"/>
      <c r="BB62" s="121"/>
      <c r="BC62" s="89"/>
      <c r="BD62" s="121" t="s">
        <v>151</v>
      </c>
      <c r="BE62" s="121" t="s">
        <v>151</v>
      </c>
      <c r="BF62" s="121" t="s">
        <v>151</v>
      </c>
      <c r="BG62" s="89"/>
      <c r="BH62" s="92">
        <f>CF62+CI62+CL62+CO62+CR62</f>
        <v>0</v>
      </c>
      <c r="BI62" s="92">
        <f>CH62+CK62+CN62+CQ62+CT62</f>
        <v>0</v>
      </c>
      <c r="BJ62" s="92">
        <f>BH62-BI62</f>
        <v>0</v>
      </c>
      <c r="BK62" s="93"/>
      <c r="BL62" s="94"/>
      <c r="BM62" s="95"/>
      <c r="BN62" s="96"/>
      <c r="BO62" s="97"/>
      <c r="BP62" s="80" t="s">
        <v>160</v>
      </c>
      <c r="BQ62" s="98">
        <v>0.15</v>
      </c>
      <c r="BR62" s="99"/>
      <c r="BS62" s="100"/>
      <c r="BT62" s="101">
        <f>BM62*BQ62</f>
        <v>0</v>
      </c>
      <c r="BU62" s="102">
        <f>BN62*BQ62</f>
        <v>0</v>
      </c>
      <c r="BV62" s="103">
        <f>BO62*BQ62</f>
        <v>0</v>
      </c>
      <c r="BW62" s="80"/>
      <c r="BX62" s="105" t="s">
        <v>160</v>
      </c>
      <c r="BY62" s="98">
        <v>0.05</v>
      </c>
      <c r="BZ62" s="99"/>
      <c r="CA62" s="100"/>
      <c r="CB62" s="101">
        <f>BM62*BY62</f>
        <v>0</v>
      </c>
      <c r="CC62" s="106">
        <f>BN62*BY62</f>
        <v>0</v>
      </c>
      <c r="CD62" s="107">
        <f>BO62*BY62</f>
        <v>0</v>
      </c>
      <c r="CE62" s="90"/>
      <c r="CF62" s="108">
        <v>0</v>
      </c>
      <c r="CG62" s="109"/>
      <c r="CH62" s="110"/>
      <c r="CI62" s="108"/>
      <c r="CJ62" s="109"/>
      <c r="CK62" s="111"/>
      <c r="CL62" s="111"/>
      <c r="CM62" s="109"/>
      <c r="CN62" s="111"/>
      <c r="CO62" s="111"/>
      <c r="CP62" s="111"/>
      <c r="CQ62" s="111"/>
      <c r="CR62" s="111"/>
      <c r="CS62" s="111"/>
      <c r="CT62" s="111"/>
      <c r="CU62" s="90">
        <v>1</v>
      </c>
      <c r="CV62" s="112" t="s">
        <v>121</v>
      </c>
      <c r="CW62" s="112"/>
      <c r="CX62" s="113"/>
      <c r="CY62" s="90" t="s">
        <v>122</v>
      </c>
      <c r="CZ62" s="90"/>
      <c r="DA62" s="80"/>
      <c r="DB62" s="115" t="str">
        <f>PROPER(N62)</f>
        <v>Color Effe</v>
      </c>
      <c r="DC62" s="116"/>
      <c r="DD62" s="116" t="str">
        <f>BP62</f>
        <v>Gianluca</v>
      </c>
      <c r="DE62" s="117" t="b">
        <f>IF(OR(D62&gt;0),IF(BJ62=0,BN62*BQ62,0))</f>
        <v>0</v>
      </c>
      <c r="DF62" s="117" t="b">
        <f>IF(OR(D62&gt;0),IF(BJ62=0,BN62*BY62,0))</f>
        <v>0</v>
      </c>
      <c r="DG62" s="116" t="str">
        <f>BX62</f>
        <v>Gianluca</v>
      </c>
      <c r="DH62" s="76"/>
      <c r="DI62" s="120" t="s">
        <v>154</v>
      </c>
      <c r="DJ62" s="120"/>
      <c r="DK62" s="121"/>
      <c r="DL62" s="121"/>
      <c r="DM62" s="122"/>
      <c r="DN62" s="6"/>
      <c r="DO62" s="6"/>
      <c r="DP62" s="6"/>
      <c r="DQ62" s="6"/>
      <c r="DR62" s="6"/>
      <c r="DS62" s="6"/>
      <c r="DT62" s="6"/>
      <c r="DU62" s="6"/>
      <c r="DV62" s="6"/>
      <c r="DW62" s="6"/>
      <c r="DX62" s="6"/>
      <c r="DY62" s="6"/>
      <c r="DZ62" s="6"/>
    </row>
    <row r="63" spans="1:130" ht="34.5" hidden="1" customHeight="1">
      <c r="A63" s="228"/>
      <c r="B63" s="75"/>
      <c r="C63" s="90"/>
      <c r="D63" s="75">
        <v>1</v>
      </c>
      <c r="E63" s="510">
        <v>1</v>
      </c>
      <c r="F63" s="148"/>
      <c r="G63" s="393" t="s">
        <v>754</v>
      </c>
      <c r="H63" s="393" t="s">
        <v>2383</v>
      </c>
      <c r="I63" s="670" t="s">
        <v>2384</v>
      </c>
      <c r="J63" s="75" t="str">
        <f>CONCATENATE(G63," ",H63)</f>
        <v>Annalisa Artoni</v>
      </c>
      <c r="K63" s="1850"/>
      <c r="L63" s="1863"/>
      <c r="M63" s="1891"/>
      <c r="N63" s="84" t="s">
        <v>2380</v>
      </c>
      <c r="O63" s="1928"/>
      <c r="P63" s="623"/>
      <c r="Q63" s="623"/>
      <c r="R63" s="624"/>
      <c r="S63" s="625"/>
      <c r="T63" s="255"/>
      <c r="U63" s="255"/>
      <c r="V63" s="131"/>
      <c r="W63" s="131"/>
      <c r="X63" s="131"/>
      <c r="Y63" s="131"/>
      <c r="Z63" s="131"/>
      <c r="AA63" s="514"/>
      <c r="AB63" s="255"/>
      <c r="AC63" s="131"/>
      <c r="AD63" s="121"/>
      <c r="AE63" s="1963"/>
      <c r="AF63" s="1968"/>
      <c r="AG63" s="1974"/>
      <c r="AH63" s="1979"/>
      <c r="AI63" s="1966"/>
      <c r="AJ63" s="1485"/>
      <c r="AK63" s="1485"/>
      <c r="AL63" s="1485"/>
      <c r="AM63" s="1968"/>
      <c r="AN63" s="113"/>
      <c r="AO63" s="113"/>
      <c r="AP63" s="113"/>
      <c r="AQ63" s="1966"/>
      <c r="AR63" s="75"/>
      <c r="AS63" s="75"/>
      <c r="AT63" s="75"/>
      <c r="AU63" s="1966"/>
      <c r="AV63" s="75"/>
      <c r="AW63" s="75"/>
      <c r="AX63" s="75"/>
      <c r="AY63" s="1966"/>
      <c r="AZ63" s="121" t="s">
        <v>115</v>
      </c>
      <c r="BA63" s="162" t="s">
        <v>115</v>
      </c>
      <c r="BB63" s="135" t="s">
        <v>115</v>
      </c>
      <c r="BC63" s="1966"/>
      <c r="BD63" s="121"/>
      <c r="BE63" s="121"/>
      <c r="BF63" s="121"/>
      <c r="BG63" s="1966"/>
      <c r="BH63" s="92">
        <f>CF63+CI63+CL63+CO63+CR63</f>
        <v>0</v>
      </c>
      <c r="BI63" s="92"/>
      <c r="BJ63" s="92"/>
      <c r="BK63" s="271"/>
      <c r="BL63" s="2014"/>
      <c r="BM63" s="95"/>
      <c r="BN63" s="2027"/>
      <c r="BO63" s="2032"/>
      <c r="BP63" s="2044"/>
      <c r="BQ63" s="191"/>
      <c r="BR63" s="108"/>
      <c r="BS63" s="276"/>
      <c r="BT63" s="101"/>
      <c r="BU63" s="102">
        <f>BN63*BQ63</f>
        <v>0</v>
      </c>
      <c r="BV63" s="103">
        <f>BO63*BQ63</f>
        <v>0</v>
      </c>
      <c r="BW63" s="131"/>
      <c r="BX63" s="281"/>
      <c r="BY63" s="207"/>
      <c r="BZ63" s="108"/>
      <c r="CA63" s="276"/>
      <c r="CB63" s="101"/>
      <c r="CC63" s="106">
        <f>BN63*BY63</f>
        <v>0</v>
      </c>
      <c r="CD63" s="107">
        <f>BO63*BY63</f>
        <v>0</v>
      </c>
      <c r="CE63" s="566"/>
      <c r="CF63" s="2096"/>
      <c r="CG63" s="2096"/>
      <c r="CH63" s="2096"/>
      <c r="CI63" s="2096"/>
      <c r="CJ63" s="2096"/>
      <c r="CK63" s="2096"/>
      <c r="CL63" s="2096"/>
      <c r="CM63" s="2096"/>
      <c r="CN63" s="2096"/>
      <c r="CO63" s="2096"/>
      <c r="CP63" s="2096"/>
      <c r="CQ63" s="2096"/>
      <c r="CR63" s="2096"/>
      <c r="CS63" s="2096"/>
      <c r="CT63" s="2096"/>
      <c r="CU63" s="972"/>
      <c r="CV63" s="972"/>
      <c r="CW63" s="972"/>
      <c r="CX63" s="972"/>
      <c r="CY63" s="90"/>
      <c r="CZ63" s="972"/>
      <c r="DA63" s="2135" t="s">
        <v>2342</v>
      </c>
      <c r="DB63" s="115" t="str">
        <f>PROPER(N63)</f>
        <v>Switch Up</v>
      </c>
      <c r="DC63" s="116" t="s">
        <v>2343</v>
      </c>
      <c r="DD63" s="116">
        <f>BP63</f>
        <v>0</v>
      </c>
      <c r="DE63" s="117">
        <f>IF(OR(D63&gt;0),IF(BJ63=0,BN63*BQ63,0))</f>
        <v>0</v>
      </c>
      <c r="DF63" s="117">
        <f>IF(OR(D63&gt;0),IF(BJ63=0,BN63*BY63,0))</f>
        <v>0</v>
      </c>
      <c r="DG63" s="116">
        <f>BX63</f>
        <v>0</v>
      </c>
      <c r="DH63" s="510"/>
      <c r="DI63" s="120" t="s">
        <v>126</v>
      </c>
      <c r="DJ63" s="120"/>
      <c r="DK63" s="331"/>
      <c r="DL63" s="331"/>
      <c r="DM63" s="248">
        <v>1</v>
      </c>
    </row>
    <row r="64" spans="1:130" ht="49.5" hidden="1" customHeight="1">
      <c r="A64" s="3"/>
      <c r="B64" s="75" t="s">
        <v>108</v>
      </c>
      <c r="C64" s="75"/>
      <c r="D64" s="75"/>
      <c r="E64" s="76"/>
      <c r="F64" s="75"/>
      <c r="G64" s="1820" t="s">
        <v>754</v>
      </c>
      <c r="H64" s="1820" t="s">
        <v>755</v>
      </c>
      <c r="I64" s="112" t="s">
        <v>756</v>
      </c>
      <c r="J64" s="123" t="str">
        <f>CONCATENATE(G64," ",H64)</f>
        <v>Annalisa Pirondi</v>
      </c>
      <c r="K64" s="81"/>
      <c r="L64" s="82"/>
      <c r="M64" s="82" t="s">
        <v>757</v>
      </c>
      <c r="N64" s="84" t="s">
        <v>758</v>
      </c>
      <c r="O64" s="85"/>
      <c r="P64" s="86"/>
      <c r="Q64" s="86"/>
      <c r="R64" s="86"/>
      <c r="S64" s="86"/>
      <c r="T64" s="86"/>
      <c r="U64" s="86"/>
      <c r="V64" s="86"/>
      <c r="W64" s="86"/>
      <c r="X64" s="86"/>
      <c r="Y64" s="87"/>
      <c r="Z64" s="86"/>
      <c r="AA64" s="86"/>
      <c r="AB64" s="86"/>
      <c r="AC64" s="86"/>
      <c r="AD64" s="86" t="s">
        <v>759</v>
      </c>
      <c r="AE64" s="88">
        <f>L64</f>
        <v>0</v>
      </c>
      <c r="AF64" s="89"/>
      <c r="AG64" s="75"/>
      <c r="AH64" s="75"/>
      <c r="AI64" s="89"/>
      <c r="AJ64" s="75"/>
      <c r="AK64" s="75"/>
      <c r="AL64" s="75"/>
      <c r="AM64" s="89"/>
      <c r="AN64" s="90"/>
      <c r="AO64" s="90"/>
      <c r="AP64" s="90"/>
      <c r="AQ64" s="89"/>
      <c r="AR64" s="75"/>
      <c r="AS64" s="75"/>
      <c r="AT64" s="75"/>
      <c r="AU64" s="89"/>
      <c r="AV64" s="75" t="s">
        <v>115</v>
      </c>
      <c r="AW64" s="75" t="s">
        <v>115</v>
      </c>
      <c r="AX64" s="75"/>
      <c r="AY64" s="89"/>
      <c r="AZ64" s="121"/>
      <c r="BA64" s="121"/>
      <c r="BB64" s="1999" t="s">
        <v>115</v>
      </c>
      <c r="BC64" s="89"/>
      <c r="BD64" s="121"/>
      <c r="BE64" s="121"/>
      <c r="BF64" s="121"/>
      <c r="BG64" s="89"/>
      <c r="BH64" s="92">
        <f>CF64+CI64+CL64+CO64+CR64</f>
        <v>2997</v>
      </c>
      <c r="BI64" s="92">
        <f>CH64+CK64+CN64+CQ64+CT64</f>
        <v>2997</v>
      </c>
      <c r="BJ64" s="92">
        <f>BH64-BI64</f>
        <v>0</v>
      </c>
      <c r="BK64" s="93"/>
      <c r="BL64" s="94"/>
      <c r="BM64" s="95">
        <v>2997</v>
      </c>
      <c r="BN64" s="142"/>
      <c r="BO64" s="182"/>
      <c r="BP64" s="80" t="s">
        <v>262</v>
      </c>
      <c r="BQ64" s="98">
        <v>0.15</v>
      </c>
      <c r="BR64" s="99"/>
      <c r="BS64" s="100"/>
      <c r="BT64" s="101">
        <f>BM64*BQ64</f>
        <v>449.55</v>
      </c>
      <c r="BU64" s="102">
        <f>BN64*BQ64</f>
        <v>0</v>
      </c>
      <c r="BV64" s="103">
        <f>BO64*BQ64</f>
        <v>0</v>
      </c>
      <c r="BW64" s="80" t="s">
        <v>120</v>
      </c>
      <c r="BX64" s="105" t="s">
        <v>262</v>
      </c>
      <c r="BY64" s="98">
        <v>0.05</v>
      </c>
      <c r="BZ64" s="99"/>
      <c r="CA64" s="100"/>
      <c r="CB64" s="101">
        <f>BM64*BY64</f>
        <v>149.85</v>
      </c>
      <c r="CC64" s="106">
        <f>BN64*BY64</f>
        <v>0</v>
      </c>
      <c r="CD64" s="107">
        <f>BO64*BY64</f>
        <v>0</v>
      </c>
      <c r="CE64" s="90" t="s">
        <v>120</v>
      </c>
      <c r="CF64" s="108">
        <v>2997</v>
      </c>
      <c r="CG64" s="109">
        <v>45062</v>
      </c>
      <c r="CH64" s="108">
        <v>2997</v>
      </c>
      <c r="CI64" s="108"/>
      <c r="CJ64" s="109"/>
      <c r="CK64" s="111"/>
      <c r="CL64" s="111"/>
      <c r="CM64" s="109"/>
      <c r="CN64" s="111"/>
      <c r="CO64" s="111"/>
      <c r="CP64" s="111"/>
      <c r="CQ64" s="111"/>
      <c r="CR64" s="111"/>
      <c r="CS64" s="111"/>
      <c r="CT64" s="111"/>
      <c r="CU64" s="90"/>
      <c r="CV64" s="112"/>
      <c r="CW64" s="112"/>
      <c r="CX64" s="113"/>
      <c r="CY64" s="90" t="s">
        <v>122</v>
      </c>
      <c r="CZ64" s="90"/>
      <c r="DA64" s="149" t="s">
        <v>760</v>
      </c>
      <c r="DB64" s="126" t="str">
        <f>PROPER(N64)</f>
        <v>Hegoone</v>
      </c>
      <c r="DC64" s="116"/>
      <c r="DD64" s="116" t="str">
        <f>BP64</f>
        <v>Pacci</v>
      </c>
      <c r="DE64" s="117" t="b">
        <f>IF(OR(D64&gt;0),IF(BJ64=0,BN64*BQ64,0))</f>
        <v>0</v>
      </c>
      <c r="DF64" s="117" t="b">
        <f>IF(OR(D64&gt;0),IF(BJ64=0,BN64*BY64,0))</f>
        <v>0</v>
      </c>
      <c r="DG64" s="118" t="str">
        <f>BX64</f>
        <v>Pacci</v>
      </c>
      <c r="DH64" s="76"/>
      <c r="DI64" s="120" t="s">
        <v>126</v>
      </c>
      <c r="DJ64" s="120"/>
      <c r="DK64" s="121"/>
      <c r="DL64" s="121"/>
      <c r="DM64" s="122">
        <v>1</v>
      </c>
      <c r="DN64" s="6"/>
      <c r="DO64" s="6"/>
      <c r="DP64" s="6"/>
      <c r="DQ64" s="6"/>
      <c r="DR64" s="6"/>
      <c r="DS64" s="6"/>
      <c r="DT64" s="6"/>
      <c r="DU64" s="6"/>
      <c r="DV64" s="6"/>
      <c r="DW64" s="6"/>
      <c r="DX64" s="6"/>
      <c r="DY64" s="6"/>
      <c r="DZ64" s="6"/>
    </row>
    <row r="65" spans="1:130" ht="34.5" hidden="1" customHeight="1">
      <c r="A65" s="1801"/>
      <c r="B65" s="75" t="s">
        <v>1928</v>
      </c>
      <c r="C65" s="90"/>
      <c r="D65" s="75">
        <v>1</v>
      </c>
      <c r="E65" s="510">
        <v>1</v>
      </c>
      <c r="F65" s="148"/>
      <c r="G65" s="181" t="s">
        <v>2439</v>
      </c>
      <c r="H65" s="181" t="s">
        <v>2440</v>
      </c>
      <c r="I65" s="112" t="s">
        <v>2441</v>
      </c>
      <c r="J65" s="75" t="str">
        <f>CONCATENATE(G65," ",H65)</f>
        <v>Antonella Provasi</v>
      </c>
      <c r="K65" s="1852"/>
      <c r="L65" s="1866" t="s">
        <v>2442</v>
      </c>
      <c r="M65" s="114" t="s">
        <v>2443</v>
      </c>
      <c r="N65" s="84" t="s">
        <v>2444</v>
      </c>
      <c r="O65" s="1925"/>
      <c r="P65" s="255"/>
      <c r="Q65" s="255"/>
      <c r="R65" s="131"/>
      <c r="S65" s="131"/>
      <c r="T65" s="131"/>
      <c r="U65" s="131"/>
      <c r="V65" s="131"/>
      <c r="W65" s="514"/>
      <c r="X65" s="131"/>
      <c r="Y65" s="514"/>
      <c r="Z65" s="514"/>
      <c r="AA65" s="514"/>
      <c r="AB65" s="255"/>
      <c r="AC65" s="131"/>
      <c r="AD65" s="37" t="s">
        <v>118</v>
      </c>
      <c r="AE65" s="161"/>
      <c r="AF65" s="1966"/>
      <c r="AG65" s="1973"/>
      <c r="AH65" s="1973"/>
      <c r="AI65" s="1966"/>
      <c r="AJ65" s="90"/>
      <c r="AK65" s="90"/>
      <c r="AL65" s="90"/>
      <c r="AM65" s="1966"/>
      <c r="AN65" s="1485"/>
      <c r="AO65" s="1485"/>
      <c r="AP65" s="1485"/>
      <c r="AQ65" s="1966"/>
      <c r="AR65" s="75"/>
      <c r="AS65" s="75"/>
      <c r="AT65" s="75"/>
      <c r="AU65" s="1966"/>
      <c r="AV65" s="75"/>
      <c r="AW65" s="75"/>
      <c r="AX65" s="75"/>
      <c r="AY65" s="1966"/>
      <c r="AZ65" s="121" t="s">
        <v>116</v>
      </c>
      <c r="BA65" s="121" t="s">
        <v>116</v>
      </c>
      <c r="BB65" s="162" t="s">
        <v>116</v>
      </c>
      <c r="BC65" s="1966"/>
      <c r="BD65" s="121"/>
      <c r="BE65" s="121"/>
      <c r="BF65" s="121"/>
      <c r="BG65" s="1966"/>
      <c r="BH65" s="92"/>
      <c r="BI65" s="92"/>
      <c r="BJ65" s="92"/>
      <c r="BK65" s="271"/>
      <c r="BL65" s="2014"/>
      <c r="BM65" s="95"/>
      <c r="BN65" s="2027"/>
      <c r="BO65" s="2032"/>
      <c r="BP65" s="525"/>
      <c r="BQ65" s="145"/>
      <c r="BR65" s="108"/>
      <c r="BS65" s="276"/>
      <c r="BT65" s="101"/>
      <c r="BU65" s="102">
        <f>BN65*BQ65</f>
        <v>0</v>
      </c>
      <c r="BV65" s="103">
        <f>BO65*BQ65</f>
        <v>0</v>
      </c>
      <c r="BW65" s="80"/>
      <c r="BX65" s="2039"/>
      <c r="BY65" s="145"/>
      <c r="BZ65" s="108"/>
      <c r="CA65" s="276"/>
      <c r="CB65" s="101"/>
      <c r="CC65" s="106">
        <f>BN65*BY65</f>
        <v>0</v>
      </c>
      <c r="CD65" s="107">
        <f>BO65*BY65</f>
        <v>0</v>
      </c>
      <c r="CE65" s="677"/>
      <c r="CF65" s="108"/>
      <c r="CG65" s="109"/>
      <c r="CH65" s="110"/>
      <c r="CI65" s="108"/>
      <c r="CJ65" s="109"/>
      <c r="CK65" s="108"/>
      <c r="CL65" s="108"/>
      <c r="CM65" s="109"/>
      <c r="CN65" s="108"/>
      <c r="CO65" s="111"/>
      <c r="CP65" s="111"/>
      <c r="CQ65" s="111"/>
      <c r="CR65" s="111"/>
      <c r="CS65" s="111"/>
      <c r="CT65" s="111"/>
      <c r="CU65" s="90">
        <v>1</v>
      </c>
      <c r="CV65" s="112"/>
      <c r="CW65" s="112"/>
      <c r="CX65" s="113"/>
      <c r="CY65" s="113"/>
      <c r="CZ65" s="90"/>
      <c r="DA65" s="114" t="s">
        <v>2445</v>
      </c>
      <c r="DB65" s="126" t="s">
        <v>2446</v>
      </c>
      <c r="DC65" s="116" t="s">
        <v>2447</v>
      </c>
      <c r="DD65" s="116">
        <f>BP65</f>
        <v>0</v>
      </c>
      <c r="DE65" s="117">
        <f>IF(OR(D65&gt;0),IF(BJ65=0,BN65*BQ65,0))</f>
        <v>0</v>
      </c>
      <c r="DF65" s="117">
        <f>IF(OR(D65&gt;0),IF(BJ65=0,BN65*BY65,0))</f>
        <v>0</v>
      </c>
      <c r="DG65" s="533">
        <f>BX65</f>
        <v>0</v>
      </c>
      <c r="DH65" s="510"/>
      <c r="DI65" s="120" t="s">
        <v>126</v>
      </c>
      <c r="DJ65" s="120"/>
      <c r="DK65" s="207"/>
      <c r="DL65" s="207"/>
      <c r="DM65" s="248"/>
    </row>
    <row r="66" spans="1:130" ht="34.5" hidden="1" customHeight="1">
      <c r="A66" s="3"/>
      <c r="B66" s="75" t="s">
        <v>108</v>
      </c>
      <c r="C66" s="75"/>
      <c r="D66" s="75"/>
      <c r="E66" s="76"/>
      <c r="F66" s="75"/>
      <c r="G66" s="79" t="s">
        <v>477</v>
      </c>
      <c r="H66" s="79" t="s">
        <v>484</v>
      </c>
      <c r="I66" s="80" t="s">
        <v>485</v>
      </c>
      <c r="J66" s="90" t="str">
        <f>CONCATENATE(G66," ",H66)</f>
        <v>Filippo Scarabello</v>
      </c>
      <c r="K66" s="81">
        <v>3427375848</v>
      </c>
      <c r="L66" s="161" t="s">
        <v>486</v>
      </c>
      <c r="M66" s="83"/>
      <c r="N66" s="84"/>
      <c r="O66" s="85"/>
      <c r="P66" s="86"/>
      <c r="Q66" s="86"/>
      <c r="R66" s="86"/>
      <c r="S66" s="86"/>
      <c r="T66" s="86"/>
      <c r="U66" s="86"/>
      <c r="V66" s="86"/>
      <c r="W66" s="86"/>
      <c r="X66" s="86"/>
      <c r="Y66" s="87"/>
      <c r="Z66" s="86"/>
      <c r="AA66" s="86"/>
      <c r="AB66" s="86"/>
      <c r="AC66" s="86"/>
      <c r="AD66" s="86" t="s">
        <v>118</v>
      </c>
      <c r="AE66" s="138" t="str">
        <f>L66</f>
        <v>CONFERMA A DANIELA ENTRO IL 24/03/2023</v>
      </c>
      <c r="AF66" s="89"/>
      <c r="AG66" s="75"/>
      <c r="AH66" s="75"/>
      <c r="AI66" s="89"/>
      <c r="AJ66" s="75"/>
      <c r="AK66" s="75"/>
      <c r="AL66" s="75"/>
      <c r="AM66" s="89"/>
      <c r="AN66" s="90"/>
      <c r="AO66" s="90"/>
      <c r="AP66" s="90"/>
      <c r="AQ66" s="89"/>
      <c r="AR66" s="75"/>
      <c r="AS66" s="75"/>
      <c r="AT66" s="75"/>
      <c r="AU66" s="89"/>
      <c r="AV66" s="129" t="s">
        <v>165</v>
      </c>
      <c r="AW66" s="129" t="s">
        <v>165</v>
      </c>
      <c r="AX66" s="129" t="s">
        <v>165</v>
      </c>
      <c r="AY66" s="89"/>
      <c r="AZ66" s="121"/>
      <c r="BA66" s="121"/>
      <c r="BB66" s="121"/>
      <c r="BC66" s="89"/>
      <c r="BD66" s="121"/>
      <c r="BE66" s="121"/>
      <c r="BF66" s="121"/>
      <c r="BG66" s="89"/>
      <c r="BH66" s="92">
        <f>CF66+CI66+CL66+CO66+CR66</f>
        <v>0</v>
      </c>
      <c r="BI66" s="92">
        <f>CH66+CK66+CN66+CQ66+CT66</f>
        <v>0</v>
      </c>
      <c r="BJ66" s="92">
        <f>BH66-BI66</f>
        <v>0</v>
      </c>
      <c r="BK66" s="93"/>
      <c r="BL66" s="94"/>
      <c r="BM66" s="95"/>
      <c r="BN66" s="96"/>
      <c r="BO66" s="97"/>
      <c r="BP66" s="80" t="s">
        <v>117</v>
      </c>
      <c r="BQ66" s="98">
        <v>0</v>
      </c>
      <c r="BR66" s="99"/>
      <c r="BS66" s="100"/>
      <c r="BT66" s="101">
        <f>BM66*BQ66</f>
        <v>0</v>
      </c>
      <c r="BU66" s="102">
        <f>BN66*BQ66</f>
        <v>0</v>
      </c>
      <c r="BV66" s="103">
        <f>BO66*BQ66</f>
        <v>0</v>
      </c>
      <c r="BW66" s="80" t="s">
        <v>118</v>
      </c>
      <c r="BX66" s="105" t="s">
        <v>487</v>
      </c>
      <c r="BY66" s="98">
        <v>0.05</v>
      </c>
      <c r="BZ66" s="99"/>
      <c r="CA66" s="100"/>
      <c r="CB66" s="101">
        <f>BM66*BY66</f>
        <v>0</v>
      </c>
      <c r="CC66" s="106">
        <f>BN66*BY66</f>
        <v>0</v>
      </c>
      <c r="CD66" s="107">
        <f>BO66*BY66</f>
        <v>0</v>
      </c>
      <c r="CE66" s="90"/>
      <c r="CF66" s="108">
        <v>0</v>
      </c>
      <c r="CG66" s="130"/>
      <c r="CH66" s="110"/>
      <c r="CI66" s="108"/>
      <c r="CJ66" s="109"/>
      <c r="CK66" s="111"/>
      <c r="CL66" s="111"/>
      <c r="CM66" s="109"/>
      <c r="CN66" s="111"/>
      <c r="CO66" s="111"/>
      <c r="CP66" s="111"/>
      <c r="CQ66" s="111"/>
      <c r="CR66" s="111"/>
      <c r="CS66" s="111"/>
      <c r="CT66" s="111"/>
      <c r="CU66" s="90"/>
      <c r="CV66" s="112"/>
      <c r="CW66" s="112"/>
      <c r="CX66" s="113"/>
      <c r="CY66" s="90" t="s">
        <v>122</v>
      </c>
      <c r="CZ66" s="90"/>
      <c r="DA66" s="80"/>
      <c r="DB66" s="115" t="str">
        <f>PROPER(N66)</f>
        <v/>
      </c>
      <c r="DC66" s="116"/>
      <c r="DD66" s="116" t="str">
        <f>BP66</f>
        <v>blackship</v>
      </c>
      <c r="DE66" s="117" t="b">
        <f>IF(OR(D66&gt;0),IF(BJ66=0,BN66*BQ66,0))</f>
        <v>0</v>
      </c>
      <c r="DF66" s="117" t="b">
        <f>IF(OR(D66&gt;0),IF(BJ66=0,BN66*BY66,0))</f>
        <v>0</v>
      </c>
      <c r="DG66" s="116" t="str">
        <f>BX66</f>
        <v>Daniela</v>
      </c>
      <c r="DH66" s="76"/>
      <c r="DI66" s="120" t="s">
        <v>154</v>
      </c>
      <c r="DJ66" s="120"/>
      <c r="DK66" s="121"/>
      <c r="DL66" s="121"/>
      <c r="DM66" s="122"/>
      <c r="DN66" s="6"/>
      <c r="DO66" s="6"/>
      <c r="DP66" s="6"/>
      <c r="DQ66" s="6"/>
      <c r="DR66" s="6"/>
      <c r="DS66" s="6"/>
      <c r="DT66" s="6"/>
      <c r="DU66" s="6"/>
      <c r="DV66" s="6"/>
      <c r="DW66" s="6"/>
      <c r="DX66" s="6"/>
      <c r="DY66" s="6"/>
      <c r="DZ66" s="6"/>
    </row>
    <row r="67" spans="1:130" ht="34.5" hidden="1" customHeight="1">
      <c r="A67" s="228"/>
      <c r="B67" s="75" t="s">
        <v>1928</v>
      </c>
      <c r="C67" s="90"/>
      <c r="D67" s="75">
        <v>1</v>
      </c>
      <c r="E67" s="76">
        <v>1</v>
      </c>
      <c r="F67" s="148"/>
      <c r="G67" s="181" t="s">
        <v>2591</v>
      </c>
      <c r="H67" s="181" t="s">
        <v>2592</v>
      </c>
      <c r="I67" s="112" t="s">
        <v>2593</v>
      </c>
      <c r="J67" s="75" t="str">
        <f>CONCATENATE(G67," ",H67)</f>
        <v>Antonietta Mastrandrea</v>
      </c>
      <c r="K67" s="1850">
        <v>3484715128</v>
      </c>
      <c r="L67" s="1869" t="s">
        <v>2594</v>
      </c>
      <c r="M67" s="1901" t="s">
        <v>454</v>
      </c>
      <c r="N67" s="84" t="s">
        <v>2595</v>
      </c>
      <c r="O67" s="1925"/>
      <c r="P67" s="255"/>
      <c r="Q67" s="255"/>
      <c r="R67" s="131"/>
      <c r="S67" s="131"/>
      <c r="T67" s="131"/>
      <c r="U67" s="131"/>
      <c r="V67" s="131"/>
      <c r="W67" s="514"/>
      <c r="X67" s="131"/>
      <c r="Y67" s="514"/>
      <c r="Z67" s="514"/>
      <c r="AA67" s="514"/>
      <c r="AB67" s="255"/>
      <c r="AC67" s="131"/>
      <c r="AD67" s="37" t="s">
        <v>118</v>
      </c>
      <c r="AE67" s="161"/>
      <c r="AF67" s="1966"/>
      <c r="AG67" s="1973"/>
      <c r="AH67" s="1973"/>
      <c r="AI67" s="1966"/>
      <c r="AJ67" s="90"/>
      <c r="AK67" s="90"/>
      <c r="AL67" s="90"/>
      <c r="AM67" s="1966"/>
      <c r="AN67" s="1485"/>
      <c r="AO67" s="1485"/>
      <c r="AP67" s="1485"/>
      <c r="AQ67" s="1966"/>
      <c r="AR67" s="75"/>
      <c r="AS67" s="75"/>
      <c r="AT67" s="75"/>
      <c r="AU67" s="1966"/>
      <c r="AV67" s="75"/>
      <c r="AW67" s="1985"/>
      <c r="AX67" s="1985"/>
      <c r="AY67" s="1966"/>
      <c r="AZ67" s="121" t="s">
        <v>116</v>
      </c>
      <c r="BA67" s="121" t="s">
        <v>116</v>
      </c>
      <c r="BB67" s="162" t="s">
        <v>116</v>
      </c>
      <c r="BC67" s="1966"/>
      <c r="BD67" s="121"/>
      <c r="BE67" s="121"/>
      <c r="BF67" s="121"/>
      <c r="BG67" s="1966"/>
      <c r="BH67" s="92"/>
      <c r="BI67" s="92"/>
      <c r="BJ67" s="92"/>
      <c r="BK67" s="271"/>
      <c r="BL67" s="2014"/>
      <c r="BM67" s="95"/>
      <c r="BN67" s="273"/>
      <c r="BO67" s="274"/>
      <c r="BP67" s="525"/>
      <c r="BQ67" s="145"/>
      <c r="BR67" s="108"/>
      <c r="BS67" s="276"/>
      <c r="BT67" s="101"/>
      <c r="BU67" s="102">
        <f>BN67*BQ67</f>
        <v>0</v>
      </c>
      <c r="BV67" s="103">
        <f>BO67*BQ67</f>
        <v>0</v>
      </c>
      <c r="BW67" s="80"/>
      <c r="BX67" s="2039"/>
      <c r="BY67" s="145"/>
      <c r="BZ67" s="108"/>
      <c r="CA67" s="276"/>
      <c r="CB67" s="101"/>
      <c r="CC67" s="106">
        <f>BN67*BY67</f>
        <v>0</v>
      </c>
      <c r="CD67" s="107">
        <f>BO67*BY67</f>
        <v>0</v>
      </c>
      <c r="CE67" s="677"/>
      <c r="CF67" s="108"/>
      <c r="CG67" s="109"/>
      <c r="CH67" s="110"/>
      <c r="CI67" s="108"/>
      <c r="CJ67" s="109"/>
      <c r="CK67" s="108"/>
      <c r="CL67" s="108"/>
      <c r="CM67" s="109"/>
      <c r="CN67" s="108"/>
      <c r="CO67" s="111"/>
      <c r="CP67" s="111"/>
      <c r="CQ67" s="111"/>
      <c r="CR67" s="111"/>
      <c r="CS67" s="111"/>
      <c r="CT67" s="111"/>
      <c r="CU67" s="90"/>
      <c r="CV67" s="112"/>
      <c r="CW67" s="112"/>
      <c r="CX67" s="113"/>
      <c r="CY67" s="113"/>
      <c r="CZ67" s="90"/>
      <c r="DA67" s="139" t="s">
        <v>2584</v>
      </c>
      <c r="DB67" s="126" t="str">
        <f>PROPER(N67)</f>
        <v>Allianz Bank</v>
      </c>
      <c r="DC67" s="116" t="s">
        <v>495</v>
      </c>
      <c r="DD67" s="116">
        <f>BP67</f>
        <v>0</v>
      </c>
      <c r="DE67" s="117">
        <f>IF(OR(D67&gt;0),IF(BJ67=0,BN67*BQ67,0))</f>
        <v>0</v>
      </c>
      <c r="DF67" s="117">
        <f>IF(OR(D67&gt;0),IF(BJ67=0,BN67*BY67,0))</f>
        <v>0</v>
      </c>
      <c r="DG67" s="533">
        <f>BX67</f>
        <v>0</v>
      </c>
      <c r="DH67" s="510"/>
      <c r="DI67" s="120" t="s">
        <v>126</v>
      </c>
      <c r="DJ67" s="120"/>
      <c r="DK67" s="207"/>
      <c r="DL67" s="207"/>
      <c r="DM67" s="248">
        <v>1</v>
      </c>
    </row>
    <row r="68" spans="1:130" ht="34.5" hidden="1" customHeight="1">
      <c r="A68" s="228"/>
      <c r="B68" s="75" t="s">
        <v>1928</v>
      </c>
      <c r="C68" s="90"/>
      <c r="D68" s="75">
        <v>1</v>
      </c>
      <c r="E68" s="76">
        <v>1</v>
      </c>
      <c r="F68" s="148"/>
      <c r="G68" s="181" t="s">
        <v>977</v>
      </c>
      <c r="H68" s="181" t="s">
        <v>2563</v>
      </c>
      <c r="I68" s="1845" t="s">
        <v>2564</v>
      </c>
      <c r="J68" s="75" t="str">
        <f>CONCATENATE(G68," ",H68)</f>
        <v>Antonio Barbera</v>
      </c>
      <c r="K68" s="1851">
        <v>3384165416</v>
      </c>
      <c r="L68" s="1864" t="s">
        <v>2565</v>
      </c>
      <c r="M68" s="1867"/>
      <c r="N68" s="84" t="s">
        <v>2566</v>
      </c>
      <c r="O68" s="1925"/>
      <c r="P68" s="255"/>
      <c r="Q68" s="255"/>
      <c r="R68" s="131"/>
      <c r="S68" s="131"/>
      <c r="T68" s="131"/>
      <c r="U68" s="131"/>
      <c r="V68" s="131"/>
      <c r="W68" s="514"/>
      <c r="X68" s="131"/>
      <c r="Y68" s="514"/>
      <c r="Z68" s="514"/>
      <c r="AA68" s="514"/>
      <c r="AB68" s="255"/>
      <c r="AC68" s="131"/>
      <c r="AD68" s="37" t="s">
        <v>118</v>
      </c>
      <c r="AE68" s="161"/>
      <c r="AF68" s="1966"/>
      <c r="AG68" s="1973"/>
      <c r="AH68" s="1973"/>
      <c r="AI68" s="1966"/>
      <c r="AJ68" s="90"/>
      <c r="AK68" s="90"/>
      <c r="AL68" s="90"/>
      <c r="AM68" s="1966"/>
      <c r="AN68" s="1485"/>
      <c r="AO68" s="1485"/>
      <c r="AP68" s="1485"/>
      <c r="AQ68" s="1966"/>
      <c r="AR68" s="75"/>
      <c r="AS68" s="75"/>
      <c r="AT68" s="75"/>
      <c r="AU68" s="1966"/>
      <c r="AV68" s="75"/>
      <c r="AW68" s="1985"/>
      <c r="AX68" s="1985"/>
      <c r="AY68" s="1966"/>
      <c r="AZ68" s="121" t="s">
        <v>116</v>
      </c>
      <c r="BA68" s="121" t="s">
        <v>116</v>
      </c>
      <c r="BB68" s="121" t="s">
        <v>116</v>
      </c>
      <c r="BC68" s="1966"/>
      <c r="BD68" s="121"/>
      <c r="BE68" s="121"/>
      <c r="BF68" s="121"/>
      <c r="BG68" s="1966"/>
      <c r="BH68" s="92"/>
      <c r="BI68" s="92"/>
      <c r="BJ68" s="92"/>
      <c r="BK68" s="271"/>
      <c r="BL68" s="2014"/>
      <c r="BM68" s="95"/>
      <c r="BN68" s="2027"/>
      <c r="BO68" s="2032"/>
      <c r="BP68" s="525"/>
      <c r="BQ68" s="145"/>
      <c r="BR68" s="108"/>
      <c r="BS68" s="276"/>
      <c r="BT68" s="101"/>
      <c r="BU68" s="102">
        <f>BN68*BQ68</f>
        <v>0</v>
      </c>
      <c r="BV68" s="103">
        <f>BO68*BQ68</f>
        <v>0</v>
      </c>
      <c r="BW68" s="80"/>
      <c r="BX68" s="2039"/>
      <c r="BY68" s="145"/>
      <c r="BZ68" s="108"/>
      <c r="CA68" s="276"/>
      <c r="CB68" s="101"/>
      <c r="CC68" s="106">
        <f>BN68*BY68</f>
        <v>0</v>
      </c>
      <c r="CD68" s="107">
        <f>BO68*BY68</f>
        <v>0</v>
      </c>
      <c r="CE68" s="677"/>
      <c r="CF68" s="108"/>
      <c r="CG68" s="109"/>
      <c r="CH68" s="110"/>
      <c r="CI68" s="108"/>
      <c r="CJ68" s="109"/>
      <c r="CK68" s="108"/>
      <c r="CL68" s="108"/>
      <c r="CM68" s="109"/>
      <c r="CN68" s="108"/>
      <c r="CO68" s="111"/>
      <c r="CP68" s="111"/>
      <c r="CQ68" s="111"/>
      <c r="CR68" s="111"/>
      <c r="CS68" s="111"/>
      <c r="CT68" s="111"/>
      <c r="CU68" s="90">
        <v>1</v>
      </c>
      <c r="CV68" s="112"/>
      <c r="CW68" s="112"/>
      <c r="CX68" s="113"/>
      <c r="CY68" s="113"/>
      <c r="CZ68" s="90"/>
      <c r="DA68" s="80" t="s">
        <v>2567</v>
      </c>
      <c r="DB68" s="115" t="str">
        <f>PROPER(N68)</f>
        <v>Ownidea Studio</v>
      </c>
      <c r="DC68" s="116" t="s">
        <v>809</v>
      </c>
      <c r="DD68" s="116">
        <f>BP68</f>
        <v>0</v>
      </c>
      <c r="DE68" s="117">
        <f>IF(OR(D68&gt;0),IF(BJ68=0,BN68*BQ68,0))</f>
        <v>0</v>
      </c>
      <c r="DF68" s="117">
        <f>IF(OR(D68&gt;0),IF(BJ68=0,BN68*BY68,0))</f>
        <v>0</v>
      </c>
      <c r="DG68" s="533">
        <f>BX68</f>
        <v>0</v>
      </c>
      <c r="DH68" s="510"/>
      <c r="DI68" s="120" t="s">
        <v>126</v>
      </c>
      <c r="DJ68" s="120"/>
      <c r="DK68" s="207"/>
      <c r="DL68" s="207"/>
      <c r="DM68" s="248">
        <v>1</v>
      </c>
    </row>
    <row r="69" spans="1:130" ht="34.5" hidden="1" customHeight="1">
      <c r="A69" s="228"/>
      <c r="B69" s="75" t="s">
        <v>961</v>
      </c>
      <c r="C69" s="90"/>
      <c r="D69" s="75"/>
      <c r="E69" s="76"/>
      <c r="F69" s="75"/>
      <c r="G69" s="283" t="s">
        <v>977</v>
      </c>
      <c r="H69" s="283" t="s">
        <v>978</v>
      </c>
      <c r="I69" s="113" t="s">
        <v>979</v>
      </c>
      <c r="J69" s="123" t="str">
        <f>CONCATENATE(G69," ",H69)</f>
        <v>Antonio Sepe</v>
      </c>
      <c r="K69" s="1850">
        <v>3292162587</v>
      </c>
      <c r="L69" s="1867"/>
      <c r="M69" s="80"/>
      <c r="N69" s="84" t="s">
        <v>980</v>
      </c>
      <c r="O69" s="266"/>
      <c r="P69" s="37"/>
      <c r="Q69" s="37"/>
      <c r="R69" s="131" t="s">
        <v>981</v>
      </c>
      <c r="S69" s="160"/>
      <c r="T69" s="160"/>
      <c r="U69" s="160"/>
      <c r="V69" s="160"/>
      <c r="W69" s="233"/>
      <c r="X69" s="234"/>
      <c r="Y69" s="233"/>
      <c r="Z69" s="233"/>
      <c r="AA69" s="233"/>
      <c r="AB69" s="37"/>
      <c r="AC69" s="37"/>
      <c r="AD69" s="37" t="s">
        <v>982</v>
      </c>
      <c r="AE69" s="138">
        <f>L69</f>
        <v>0</v>
      </c>
      <c r="AF69" s="89"/>
      <c r="AG69" s="75"/>
      <c r="AH69" s="75"/>
      <c r="AI69" s="89"/>
      <c r="AJ69" s="75"/>
      <c r="AK69" s="75"/>
      <c r="AL69" s="75"/>
      <c r="AM69" s="89"/>
      <c r="AN69" s="90" t="s">
        <v>115</v>
      </c>
      <c r="AO69" s="90" t="s">
        <v>115</v>
      </c>
      <c r="AP69" s="90"/>
      <c r="AQ69" s="89"/>
      <c r="AR69" s="75"/>
      <c r="AS69" s="75"/>
      <c r="AT69" s="129" t="s">
        <v>194</v>
      </c>
      <c r="AU69" s="89"/>
      <c r="AV69" s="75"/>
      <c r="AW69" s="75"/>
      <c r="AX69" s="75"/>
      <c r="AY69" s="89"/>
      <c r="AZ69" s="121"/>
      <c r="BA69" s="121"/>
      <c r="BB69" s="121" t="s">
        <v>115</v>
      </c>
      <c r="BC69" s="89"/>
      <c r="BD69" s="121"/>
      <c r="BE69" s="121"/>
      <c r="BF69" s="121"/>
      <c r="BG69" s="89"/>
      <c r="BH69" s="92">
        <f>CF69+CI69+CL69+CO69+CR69</f>
        <v>0</v>
      </c>
      <c r="BI69" s="92">
        <f>CH69+CK69+CN69+CQ69+CT69</f>
        <v>0</v>
      </c>
      <c r="BJ69" s="92">
        <f>BH69-BI69</f>
        <v>0</v>
      </c>
      <c r="BK69" s="271">
        <f>BI69</f>
        <v>0</v>
      </c>
      <c r="BL69" s="2014">
        <f>BH69-BK69</f>
        <v>0</v>
      </c>
      <c r="BM69" s="95"/>
      <c r="BN69" s="127"/>
      <c r="BO69" s="128"/>
      <c r="BP69" s="2042" t="s">
        <v>133</v>
      </c>
      <c r="BQ69" s="98">
        <v>0.15</v>
      </c>
      <c r="BR69" s="108">
        <f>BH69*BQ69</f>
        <v>0</v>
      </c>
      <c r="BS69" s="276"/>
      <c r="BT69" s="101"/>
      <c r="BU69" s="102">
        <f>BN69*BQ69</f>
        <v>0</v>
      </c>
      <c r="BV69" s="103">
        <f>BO69*BQ69</f>
        <v>0</v>
      </c>
      <c r="BW69" s="2042" t="s">
        <v>968</v>
      </c>
      <c r="BX69" s="105" t="s">
        <v>133</v>
      </c>
      <c r="BY69" s="98">
        <v>0.05</v>
      </c>
      <c r="BZ69" s="108">
        <f>BH69*BY69</f>
        <v>0</v>
      </c>
      <c r="CA69" s="276"/>
      <c r="CB69" s="101">
        <f>BM69*BY69</f>
        <v>0</v>
      </c>
      <c r="CC69" s="106">
        <f>BN69*BY69</f>
        <v>0</v>
      </c>
      <c r="CD69" s="107">
        <f>BO69*BY69</f>
        <v>0</v>
      </c>
      <c r="CE69" s="411" t="s">
        <v>968</v>
      </c>
      <c r="CF69" s="108"/>
      <c r="CG69" s="279"/>
      <c r="CH69" s="108"/>
      <c r="CI69" s="108"/>
      <c r="CJ69" s="111"/>
      <c r="CK69" s="111"/>
      <c r="CL69" s="111"/>
      <c r="CM69" s="111"/>
      <c r="CN69" s="111"/>
      <c r="CO69" s="111"/>
      <c r="CP69" s="111"/>
      <c r="CQ69" s="111"/>
      <c r="CR69" s="111"/>
      <c r="CS69" s="111"/>
      <c r="CT69" s="111"/>
      <c r="CU69" s="90">
        <v>1</v>
      </c>
      <c r="CV69" s="112"/>
      <c r="CW69" s="112"/>
      <c r="CX69" s="113" t="s">
        <v>983</v>
      </c>
      <c r="CY69" s="2128" t="s">
        <v>122</v>
      </c>
      <c r="CZ69" s="90"/>
      <c r="DA69" s="80"/>
      <c r="DB69" s="115" t="str">
        <f>PROPER(N69)</f>
        <v>Serin</v>
      </c>
      <c r="DC69" s="116"/>
      <c r="DD69" s="116" t="str">
        <f>BP69</f>
        <v>Cristian B</v>
      </c>
      <c r="DE69" s="117" t="b">
        <f>IF(OR(D69&gt;0),IF(BJ69=0,BN69*BQ69,0))</f>
        <v>0</v>
      </c>
      <c r="DF69" s="117" t="b">
        <f>IF(OR(D69&gt;0),IF(BJ69=0,BN69*BY69,0))</f>
        <v>0</v>
      </c>
      <c r="DG69" s="116" t="str">
        <f>BX69</f>
        <v>Cristian B</v>
      </c>
      <c r="DH69" s="76"/>
      <c r="DI69" s="120" t="s">
        <v>126</v>
      </c>
      <c r="DJ69" s="120"/>
      <c r="DK69" s="207"/>
      <c r="DL69" s="207"/>
      <c r="DM69" s="248"/>
    </row>
    <row r="70" spans="1:130" ht="34.5" hidden="1" customHeight="1">
      <c r="A70" s="228"/>
      <c r="B70" s="75" t="s">
        <v>1928</v>
      </c>
      <c r="C70" s="90"/>
      <c r="D70" s="75">
        <v>1</v>
      </c>
      <c r="E70" s="76">
        <v>1</v>
      </c>
      <c r="F70" s="148"/>
      <c r="G70" s="181" t="s">
        <v>414</v>
      </c>
      <c r="H70" s="181" t="s">
        <v>841</v>
      </c>
      <c r="I70" s="112" t="s">
        <v>842</v>
      </c>
      <c r="J70" s="75" t="str">
        <f>CONCATENATE(G70," ",H70)</f>
        <v>Barbara Bertoldo</v>
      </c>
      <c r="K70" s="1850">
        <v>3484715128</v>
      </c>
      <c r="L70" s="1867"/>
      <c r="M70" s="1867"/>
      <c r="N70" s="84" t="s">
        <v>844</v>
      </c>
      <c r="O70" s="1925"/>
      <c r="P70" s="255"/>
      <c r="Q70" s="255"/>
      <c r="R70" s="131"/>
      <c r="S70" s="131"/>
      <c r="T70" s="131"/>
      <c r="U70" s="131"/>
      <c r="V70" s="131"/>
      <c r="W70" s="514"/>
      <c r="X70" s="131"/>
      <c r="Y70" s="514"/>
      <c r="Z70" s="514"/>
      <c r="AA70" s="514"/>
      <c r="AB70" s="255"/>
      <c r="AC70" s="131"/>
      <c r="AD70" s="37" t="s">
        <v>118</v>
      </c>
      <c r="AE70" s="161"/>
      <c r="AF70" s="1966"/>
      <c r="AG70" s="1973"/>
      <c r="AH70" s="1973"/>
      <c r="AI70" s="1966"/>
      <c r="AJ70" s="90"/>
      <c r="AK70" s="90"/>
      <c r="AL70" s="90"/>
      <c r="AM70" s="1966"/>
      <c r="AN70" s="1485"/>
      <c r="AO70" s="1485"/>
      <c r="AP70" s="1485"/>
      <c r="AQ70" s="1966"/>
      <c r="AR70" s="75"/>
      <c r="AS70" s="75"/>
      <c r="AT70" s="75"/>
      <c r="AU70" s="1966"/>
      <c r="AV70" s="75"/>
      <c r="AW70" s="1985"/>
      <c r="AX70" s="1985"/>
      <c r="AY70" s="1966"/>
      <c r="AZ70" s="121" t="s">
        <v>116</v>
      </c>
      <c r="BA70" s="121" t="s">
        <v>116</v>
      </c>
      <c r="BB70" s="162" t="s">
        <v>116</v>
      </c>
      <c r="BC70" s="1966"/>
      <c r="BD70" s="121"/>
      <c r="BE70" s="121"/>
      <c r="BF70" s="121"/>
      <c r="BG70" s="1966"/>
      <c r="BH70" s="92"/>
      <c r="BI70" s="92"/>
      <c r="BJ70" s="92"/>
      <c r="BK70" s="271"/>
      <c r="BL70" s="2014"/>
      <c r="BM70" s="95"/>
      <c r="BN70" s="2027"/>
      <c r="BO70" s="2032"/>
      <c r="BP70" s="525"/>
      <c r="BQ70" s="145"/>
      <c r="BR70" s="108"/>
      <c r="BS70" s="276"/>
      <c r="BT70" s="101"/>
      <c r="BU70" s="102">
        <f>BN70*BQ70</f>
        <v>0</v>
      </c>
      <c r="BV70" s="103">
        <f>BO70*BQ70</f>
        <v>0</v>
      </c>
      <c r="BW70" s="80"/>
      <c r="BX70" s="2039"/>
      <c r="BY70" s="145"/>
      <c r="BZ70" s="108"/>
      <c r="CA70" s="276"/>
      <c r="CB70" s="101"/>
      <c r="CC70" s="106">
        <f>BN70*BY70</f>
        <v>0</v>
      </c>
      <c r="CD70" s="107">
        <f>BO70*BY70</f>
        <v>0</v>
      </c>
      <c r="CE70" s="677"/>
      <c r="CF70" s="108"/>
      <c r="CG70" s="109"/>
      <c r="CH70" s="110"/>
      <c r="CI70" s="108"/>
      <c r="CJ70" s="109"/>
      <c r="CK70" s="108"/>
      <c r="CL70" s="108"/>
      <c r="CM70" s="109"/>
      <c r="CN70" s="108"/>
      <c r="CO70" s="111"/>
      <c r="CP70" s="111"/>
      <c r="CQ70" s="111"/>
      <c r="CR70" s="111"/>
      <c r="CS70" s="111"/>
      <c r="CT70" s="111"/>
      <c r="CU70" s="90"/>
      <c r="CV70" s="112"/>
      <c r="CW70" s="112"/>
      <c r="CX70" s="113"/>
      <c r="CY70" s="113"/>
      <c r="CZ70" s="90"/>
      <c r="DA70" s="80" t="s">
        <v>846</v>
      </c>
      <c r="DB70" s="2158" t="s">
        <v>2570</v>
      </c>
      <c r="DC70" s="116" t="s">
        <v>847</v>
      </c>
      <c r="DD70" s="116">
        <f>BP70</f>
        <v>0</v>
      </c>
      <c r="DE70" s="117">
        <f>IF(OR(D70&gt;0),IF(BJ70=0,BN70*BQ70,0))</f>
        <v>0</v>
      </c>
      <c r="DF70" s="117">
        <f>IF(OR(D70&gt;0),IF(BJ70=0,BN70*BY70,0))</f>
        <v>0</v>
      </c>
      <c r="DG70" s="533">
        <f>BX70</f>
        <v>0</v>
      </c>
      <c r="DH70" s="510"/>
      <c r="DI70" s="120" t="s">
        <v>126</v>
      </c>
      <c r="DJ70" s="120"/>
      <c r="DK70" s="207"/>
      <c r="DL70" s="207"/>
      <c r="DM70" s="248">
        <v>1</v>
      </c>
    </row>
    <row r="71" spans="1:130" ht="34.5" hidden="1" customHeight="1">
      <c r="A71" s="3"/>
      <c r="B71" s="129" t="s">
        <v>108</v>
      </c>
      <c r="C71" s="75"/>
      <c r="D71" s="75"/>
      <c r="E71" s="76"/>
      <c r="F71" s="75"/>
      <c r="G71" s="79" t="s">
        <v>511</v>
      </c>
      <c r="H71" s="79" t="s">
        <v>520</v>
      </c>
      <c r="I71" s="80" t="s">
        <v>521</v>
      </c>
      <c r="J71" s="90" t="str">
        <f>CONCATENATE(G71," ",H71)</f>
        <v>Gabriele Raimondo</v>
      </c>
      <c r="K71" s="81">
        <v>3488962385</v>
      </c>
      <c r="L71" s="82" t="s">
        <v>522</v>
      </c>
      <c r="M71" s="83" t="s">
        <v>523</v>
      </c>
      <c r="N71" s="84" t="s">
        <v>524</v>
      </c>
      <c r="O71" s="85"/>
      <c r="P71" s="86"/>
      <c r="Q71" s="86"/>
      <c r="R71" s="86"/>
      <c r="S71" s="86"/>
      <c r="T71" s="86"/>
      <c r="U71" s="86"/>
      <c r="V71" s="86"/>
      <c r="W71" s="86"/>
      <c r="X71" s="86"/>
      <c r="Y71" s="87"/>
      <c r="Z71" s="86"/>
      <c r="AA71" s="86"/>
      <c r="AB71" s="86"/>
      <c r="AC71" s="86"/>
      <c r="AD71" s="86"/>
      <c r="AE71" s="88" t="str">
        <f>L71</f>
        <v>Proporre un pagamento: le date le confermerà entro fine aprile</v>
      </c>
      <c r="AF71" s="89"/>
      <c r="AG71" s="75"/>
      <c r="AH71" s="75"/>
      <c r="AI71" s="89"/>
      <c r="AJ71" s="75"/>
      <c r="AK71" s="75"/>
      <c r="AL71" s="75"/>
      <c r="AM71" s="89"/>
      <c r="AN71" s="90"/>
      <c r="AO71" s="90"/>
      <c r="AP71" s="90"/>
      <c r="AQ71" s="89"/>
      <c r="AR71" s="75"/>
      <c r="AS71" s="75"/>
      <c r="AT71" s="75"/>
      <c r="AU71" s="89"/>
      <c r="AV71" s="75"/>
      <c r="AW71" s="75"/>
      <c r="AX71" s="75"/>
      <c r="AY71" s="89"/>
      <c r="AZ71" s="121"/>
      <c r="BA71" s="121"/>
      <c r="BB71" s="121"/>
      <c r="BC71" s="89"/>
      <c r="BD71" s="121" t="s">
        <v>151</v>
      </c>
      <c r="BE71" s="121" t="s">
        <v>151</v>
      </c>
      <c r="BF71" s="121" t="s">
        <v>151</v>
      </c>
      <c r="BG71" s="89"/>
      <c r="BH71" s="92">
        <f>CF71+CI71+CL71+CO71+CR71</f>
        <v>0</v>
      </c>
      <c r="BI71" s="92">
        <f>CH71+CK71+CN71+CQ71+CT71</f>
        <v>0</v>
      </c>
      <c r="BJ71" s="92">
        <f>BH71-BI71</f>
        <v>0</v>
      </c>
      <c r="BK71" s="93"/>
      <c r="BL71" s="94"/>
      <c r="BM71" s="95"/>
      <c r="BN71" s="127"/>
      <c r="BO71" s="128"/>
      <c r="BP71" s="80" t="s">
        <v>525</v>
      </c>
      <c r="BQ71" s="98">
        <v>0.15</v>
      </c>
      <c r="BR71" s="99"/>
      <c r="BS71" s="100"/>
      <c r="BT71" s="101">
        <f>BM71*BQ71</f>
        <v>0</v>
      </c>
      <c r="BU71" s="102">
        <f>BN71*BQ71</f>
        <v>0</v>
      </c>
      <c r="BV71" s="103">
        <f>BO71*BQ71</f>
        <v>0</v>
      </c>
      <c r="BW71" s="80"/>
      <c r="BX71" s="105" t="s">
        <v>525</v>
      </c>
      <c r="BY71" s="98">
        <v>0.05</v>
      </c>
      <c r="BZ71" s="99"/>
      <c r="CA71" s="100"/>
      <c r="CB71" s="101">
        <f>BM71*BY71</f>
        <v>0</v>
      </c>
      <c r="CC71" s="106">
        <f>BN71*BY71</f>
        <v>0</v>
      </c>
      <c r="CD71" s="107">
        <f>BO71*BY71</f>
        <v>0</v>
      </c>
      <c r="CE71" s="90"/>
      <c r="CF71" s="108">
        <v>0</v>
      </c>
      <c r="CG71" s="109"/>
      <c r="CH71" s="110"/>
      <c r="CI71" s="108"/>
      <c r="CJ71" s="109"/>
      <c r="CK71" s="111"/>
      <c r="CL71" s="111"/>
      <c r="CM71" s="109"/>
      <c r="CN71" s="111"/>
      <c r="CO71" s="111"/>
      <c r="CP71" s="111"/>
      <c r="CQ71" s="111"/>
      <c r="CR71" s="111"/>
      <c r="CS71" s="111"/>
      <c r="CT71" s="111"/>
      <c r="CU71" s="90">
        <v>1</v>
      </c>
      <c r="CV71" s="112" t="s">
        <v>121</v>
      </c>
      <c r="CW71" s="112"/>
      <c r="CX71" s="113"/>
      <c r="CY71" s="90" t="s">
        <v>122</v>
      </c>
      <c r="CZ71" s="90"/>
      <c r="DA71" s="80"/>
      <c r="DB71" s="115" t="str">
        <f>PROPER(N71)</f>
        <v>Gabriele Raimondi</v>
      </c>
      <c r="DC71" s="116"/>
      <c r="DD71" s="116" t="str">
        <f>BP71</f>
        <v>Bruno</v>
      </c>
      <c r="DE71" s="117" t="b">
        <f>IF(OR(D71&gt;0),IF(BJ71=0,BN71*BQ71,0))</f>
        <v>0</v>
      </c>
      <c r="DF71" s="117" t="b">
        <f>IF(OR(D71&gt;0),IF(BJ71=0,BN71*BY71,0))</f>
        <v>0</v>
      </c>
      <c r="DG71" s="116" t="str">
        <f>BX71</f>
        <v>Bruno</v>
      </c>
      <c r="DH71" s="76"/>
      <c r="DI71" s="120" t="s">
        <v>154</v>
      </c>
      <c r="DJ71" s="120"/>
      <c r="DK71" s="121"/>
      <c r="DL71" s="121"/>
      <c r="DM71" s="122"/>
      <c r="DN71" s="6"/>
      <c r="DO71" s="6"/>
      <c r="DP71" s="6"/>
      <c r="DQ71" s="6"/>
      <c r="DR71" s="6"/>
      <c r="DS71" s="6"/>
      <c r="DT71" s="6"/>
      <c r="DU71" s="6"/>
      <c r="DV71" s="6"/>
      <c r="DW71" s="6"/>
      <c r="DX71" s="6"/>
      <c r="DY71" s="6"/>
      <c r="DZ71" s="6"/>
    </row>
    <row r="72" spans="1:130" ht="34.5" hidden="1" customHeight="1">
      <c r="A72" s="3"/>
      <c r="B72" s="75" t="s">
        <v>108</v>
      </c>
      <c r="C72" s="75"/>
      <c r="D72" s="75"/>
      <c r="E72" s="76"/>
      <c r="F72" s="75"/>
      <c r="G72" s="79" t="s">
        <v>511</v>
      </c>
      <c r="H72" s="79" t="s">
        <v>526</v>
      </c>
      <c r="I72" s="80" t="s">
        <v>527</v>
      </c>
      <c r="J72" s="90" t="str">
        <f>CONCATENATE(G72," ",H72)</f>
        <v>Gabriele Rambaldi</v>
      </c>
      <c r="K72" s="81" t="s">
        <v>528</v>
      </c>
      <c r="L72" s="82" t="s">
        <v>529</v>
      </c>
      <c r="M72" s="83"/>
      <c r="N72" s="84" t="s">
        <v>461</v>
      </c>
      <c r="O72" s="85"/>
      <c r="P72" s="86"/>
      <c r="Q72" s="86"/>
      <c r="R72" s="86"/>
      <c r="S72" s="86"/>
      <c r="T72" s="86"/>
      <c r="U72" s="86"/>
      <c r="V72" s="86"/>
      <c r="W72" s="86"/>
      <c r="X72" s="86"/>
      <c r="Y72" s="87"/>
      <c r="Z72" s="86"/>
      <c r="AA72" s="86"/>
      <c r="AB72" s="86"/>
      <c r="AC72" s="86"/>
      <c r="AD72" s="86" t="s">
        <v>530</v>
      </c>
      <c r="AE72" s="88" t="str">
        <f>L72</f>
        <v>TELEFONATA DEL 17/10/23 HA UN TRASLOCO IN CORSO E FORSE SPOSTA TUTTA LA PARTECIPAZIONE ALLA PROX EDIZIONE</v>
      </c>
      <c r="AF72" s="89"/>
      <c r="AG72" s="75"/>
      <c r="AH72" s="75"/>
      <c r="AI72" s="89"/>
      <c r="AJ72" s="75"/>
      <c r="AK72" s="75"/>
      <c r="AL72" s="75"/>
      <c r="AM72" s="89"/>
      <c r="AN72" s="90"/>
      <c r="AO72" s="90"/>
      <c r="AP72" s="90"/>
      <c r="AQ72" s="89"/>
      <c r="AR72" s="75"/>
      <c r="AS72" s="75"/>
      <c r="AT72" s="75"/>
      <c r="AU72" s="89"/>
      <c r="AV72" s="75"/>
      <c r="AW72" s="75"/>
      <c r="AX72" s="75"/>
      <c r="AY72" s="89"/>
      <c r="AZ72" s="121"/>
      <c r="BA72" s="121"/>
      <c r="BB72" s="121"/>
      <c r="BC72" s="89"/>
      <c r="BD72" s="121" t="s">
        <v>115</v>
      </c>
      <c r="BE72" s="121" t="s">
        <v>115</v>
      </c>
      <c r="BF72" s="121" t="s">
        <v>115</v>
      </c>
      <c r="BG72" s="89"/>
      <c r="BH72" s="92">
        <f>CF72+CI72+CL72+CO72+CR72</f>
        <v>2997</v>
      </c>
      <c r="BI72" s="92">
        <f>CH72+CK72+CN72+CQ72+CT72</f>
        <v>2997</v>
      </c>
      <c r="BJ72" s="92">
        <f>BH72-BI72</f>
        <v>0</v>
      </c>
      <c r="BK72" s="93"/>
      <c r="BL72" s="94"/>
      <c r="BM72" s="95"/>
      <c r="BN72" s="127"/>
      <c r="BO72" s="128">
        <v>2997</v>
      </c>
      <c r="BP72" s="80" t="s">
        <v>160</v>
      </c>
      <c r="BQ72" s="98">
        <v>0.15</v>
      </c>
      <c r="BR72" s="99"/>
      <c r="BS72" s="100"/>
      <c r="BT72" s="101">
        <f>BM72*BQ72</f>
        <v>0</v>
      </c>
      <c r="BU72" s="102">
        <f>BN72*BQ72</f>
        <v>0</v>
      </c>
      <c r="BV72" s="103">
        <f>BO72*BQ72</f>
        <v>449.55</v>
      </c>
      <c r="BW72" s="80"/>
      <c r="BX72" s="105" t="s">
        <v>160</v>
      </c>
      <c r="BY72" s="98">
        <v>0.05</v>
      </c>
      <c r="BZ72" s="99"/>
      <c r="CA72" s="100"/>
      <c r="CB72" s="101">
        <f>BM72*BY72</f>
        <v>0</v>
      </c>
      <c r="CC72" s="106">
        <f>BN72*BY72</f>
        <v>0</v>
      </c>
      <c r="CD72" s="107">
        <f>BO72*BY72</f>
        <v>149.85</v>
      </c>
      <c r="CE72" s="90"/>
      <c r="CF72" s="108">
        <v>2997</v>
      </c>
      <c r="CG72" s="109">
        <v>45007</v>
      </c>
      <c r="CH72" s="110">
        <v>2997</v>
      </c>
      <c r="CI72" s="108"/>
      <c r="CJ72" s="109"/>
      <c r="CK72" s="111"/>
      <c r="CL72" s="111"/>
      <c r="CM72" s="109"/>
      <c r="CN72" s="111"/>
      <c r="CO72" s="111"/>
      <c r="CP72" s="111"/>
      <c r="CQ72" s="111"/>
      <c r="CR72" s="111"/>
      <c r="CS72" s="111"/>
      <c r="CT72" s="111"/>
      <c r="CU72" s="90">
        <v>1</v>
      </c>
      <c r="CV72" s="112" t="s">
        <v>121</v>
      </c>
      <c r="CW72" s="112"/>
      <c r="CX72" s="113"/>
      <c r="CY72" s="90" t="s">
        <v>122</v>
      </c>
      <c r="CZ72" s="90"/>
      <c r="DA72" s="80" t="s">
        <v>531</v>
      </c>
      <c r="DB72" s="115" t="str">
        <f>PROPER(N72)</f>
        <v>Color Effe</v>
      </c>
      <c r="DC72" s="116" t="s">
        <v>532</v>
      </c>
      <c r="DD72" s="116" t="str">
        <f>BP72</f>
        <v>Gianluca</v>
      </c>
      <c r="DE72" s="117" t="b">
        <f>IF(OR(D72&gt;0),IF(BJ72=0,BN72*BQ72,0))</f>
        <v>0</v>
      </c>
      <c r="DF72" s="117" t="b">
        <f>IF(OR(D72&gt;0),IF(BJ72=0,BN72*BY72,0))</f>
        <v>0</v>
      </c>
      <c r="DG72" s="116" t="str">
        <f>BX72</f>
        <v>Gianluca</v>
      </c>
      <c r="DH72" s="76"/>
      <c r="DI72" s="120" t="s">
        <v>154</v>
      </c>
      <c r="DJ72" s="120"/>
      <c r="DK72" s="121"/>
      <c r="DL72" s="121"/>
      <c r="DM72" s="122"/>
      <c r="DN72" s="6"/>
      <c r="DO72" s="6"/>
      <c r="DP72" s="6"/>
      <c r="DQ72" s="6"/>
      <c r="DR72" s="6"/>
      <c r="DS72" s="6"/>
      <c r="DT72" s="6"/>
      <c r="DU72" s="6"/>
      <c r="DV72" s="6"/>
      <c r="DW72" s="6"/>
      <c r="DX72" s="6"/>
      <c r="DY72" s="6"/>
      <c r="DZ72" s="6"/>
    </row>
    <row r="73" spans="1:130" ht="34.5" hidden="1" customHeight="1">
      <c r="A73" s="3"/>
      <c r="B73" s="129" t="s">
        <v>108</v>
      </c>
      <c r="C73" s="75"/>
      <c r="D73" s="75"/>
      <c r="E73" s="76"/>
      <c r="F73" s="75"/>
      <c r="G73" s="79" t="s">
        <v>511</v>
      </c>
      <c r="H73" s="79" t="s">
        <v>533</v>
      </c>
      <c r="I73" s="80" t="s">
        <v>534</v>
      </c>
      <c r="J73" s="90" t="str">
        <f>CONCATENATE(G73," ",H73)</f>
        <v>Gabriele Tomasello</v>
      </c>
      <c r="K73" s="81">
        <v>3890638433</v>
      </c>
      <c r="L73" s="165" t="s">
        <v>535</v>
      </c>
      <c r="M73" s="83" t="s">
        <v>536</v>
      </c>
      <c r="N73" s="84" t="s">
        <v>537</v>
      </c>
      <c r="O73" s="85"/>
      <c r="P73" s="86"/>
      <c r="Q73" s="86"/>
      <c r="R73" s="86"/>
      <c r="S73" s="86"/>
      <c r="T73" s="86"/>
      <c r="U73" s="86"/>
      <c r="V73" s="86"/>
      <c r="W73" s="86"/>
      <c r="X73" s="86"/>
      <c r="Y73" s="87"/>
      <c r="Z73" s="86"/>
      <c r="AA73" s="86"/>
      <c r="AB73" s="86"/>
      <c r="AC73" s="86"/>
      <c r="AD73" s="86"/>
      <c r="AE73" s="88" t="str">
        <f>L73</f>
        <v>In attesa di info per finanziabilità e capire come fare. Richiamare sett. del 15 maggio</v>
      </c>
      <c r="AF73" s="89"/>
      <c r="AG73" s="75"/>
      <c r="AH73" s="75"/>
      <c r="AI73" s="89"/>
      <c r="AJ73" s="75"/>
      <c r="AK73" s="75"/>
      <c r="AL73" s="75"/>
      <c r="AM73" s="89"/>
      <c r="AN73" s="90"/>
      <c r="AO73" s="90"/>
      <c r="AP73" s="90"/>
      <c r="AQ73" s="89"/>
      <c r="AR73" s="75"/>
      <c r="AS73" s="75"/>
      <c r="AT73" s="75"/>
      <c r="AU73" s="89"/>
      <c r="AV73" s="75"/>
      <c r="AW73" s="75"/>
      <c r="AX73" s="75"/>
      <c r="AY73" s="89"/>
      <c r="AZ73" s="121"/>
      <c r="BA73" s="121"/>
      <c r="BB73" s="121"/>
      <c r="BC73" s="89"/>
      <c r="BD73" s="121" t="s">
        <v>151</v>
      </c>
      <c r="BE73" s="121" t="s">
        <v>151</v>
      </c>
      <c r="BF73" s="121" t="s">
        <v>151</v>
      </c>
      <c r="BG73" s="89"/>
      <c r="BH73" s="92">
        <f>CF73+CI73+CL73+CO73+CR73</f>
        <v>0</v>
      </c>
      <c r="BI73" s="92">
        <f>CH73+CK73+CN73+CQ73+CT73</f>
        <v>0</v>
      </c>
      <c r="BJ73" s="92">
        <f>BH73-BI73</f>
        <v>0</v>
      </c>
      <c r="BK73" s="93"/>
      <c r="BL73" s="94"/>
      <c r="BM73" s="95"/>
      <c r="BN73" s="96"/>
      <c r="BO73" s="128"/>
      <c r="BP73" s="80" t="s">
        <v>160</v>
      </c>
      <c r="BQ73" s="98">
        <v>0.15</v>
      </c>
      <c r="BR73" s="99"/>
      <c r="BS73" s="100"/>
      <c r="BT73" s="101">
        <f>BM73*BQ73</f>
        <v>0</v>
      </c>
      <c r="BU73" s="102">
        <f>BN73*BQ73</f>
        <v>0</v>
      </c>
      <c r="BV73" s="103">
        <f>BO73*BQ73</f>
        <v>0</v>
      </c>
      <c r="BW73" s="80"/>
      <c r="BX73" s="105" t="s">
        <v>160</v>
      </c>
      <c r="BY73" s="98">
        <v>0.05</v>
      </c>
      <c r="BZ73" s="99"/>
      <c r="CA73" s="100"/>
      <c r="CB73" s="101">
        <f>BM73*BY73</f>
        <v>0</v>
      </c>
      <c r="CC73" s="106">
        <f>BN73*BY73</f>
        <v>0</v>
      </c>
      <c r="CD73" s="107">
        <f>BO73*BY73</f>
        <v>0</v>
      </c>
      <c r="CE73" s="90"/>
      <c r="CF73" s="108">
        <v>0</v>
      </c>
      <c r="CG73" s="130" t="s">
        <v>153</v>
      </c>
      <c r="CH73" s="110"/>
      <c r="CI73" s="108"/>
      <c r="CJ73" s="109"/>
      <c r="CK73" s="111"/>
      <c r="CL73" s="108"/>
      <c r="CM73" s="109"/>
      <c r="CN73" s="111"/>
      <c r="CO73" s="111"/>
      <c r="CP73" s="111"/>
      <c r="CQ73" s="111"/>
      <c r="CR73" s="111"/>
      <c r="CS73" s="111"/>
      <c r="CT73" s="111"/>
      <c r="CU73" s="90">
        <v>1</v>
      </c>
      <c r="CV73" s="112" t="s">
        <v>121</v>
      </c>
      <c r="CW73" s="112"/>
      <c r="CX73" s="113"/>
      <c r="CY73" s="90" t="s">
        <v>122</v>
      </c>
      <c r="CZ73" s="90"/>
      <c r="DA73" s="80"/>
      <c r="DB73" s="115" t="str">
        <f>PROPER(N73)</f>
        <v>Mirasole</v>
      </c>
      <c r="DC73" s="116"/>
      <c r="DD73" s="116" t="str">
        <f>BP73</f>
        <v>Gianluca</v>
      </c>
      <c r="DE73" s="117" t="b">
        <f>IF(OR(D73&gt;0),IF(BJ73=0,BN73*BQ73,0))</f>
        <v>0</v>
      </c>
      <c r="DF73" s="117" t="b">
        <f>IF(OR(D73&gt;0),IF(BJ73=0,BN73*BY73,0))</f>
        <v>0</v>
      </c>
      <c r="DG73" s="116" t="str">
        <f>BX73</f>
        <v>Gianluca</v>
      </c>
      <c r="DH73" s="76"/>
      <c r="DI73" s="120" t="s">
        <v>154</v>
      </c>
      <c r="DJ73" s="120"/>
      <c r="DK73" s="121"/>
      <c r="DL73" s="121"/>
      <c r="DM73" s="122"/>
      <c r="DN73" s="6"/>
      <c r="DO73" s="6"/>
      <c r="DP73" s="6"/>
      <c r="DQ73" s="6"/>
      <c r="DR73" s="6"/>
      <c r="DS73" s="6"/>
      <c r="DT73" s="6"/>
      <c r="DU73" s="6"/>
      <c r="DV73" s="6"/>
      <c r="DW73" s="6"/>
      <c r="DX73" s="6"/>
      <c r="DY73" s="6"/>
      <c r="DZ73" s="6"/>
    </row>
    <row r="74" spans="1:130" ht="34.5" hidden="1" customHeight="1">
      <c r="A74" s="3"/>
      <c r="B74" s="75" t="s">
        <v>108</v>
      </c>
      <c r="C74" s="75"/>
      <c r="D74" s="75">
        <v>1</v>
      </c>
      <c r="E74" s="76"/>
      <c r="F74" s="148"/>
      <c r="G74" s="79" t="s">
        <v>538</v>
      </c>
      <c r="H74" s="79" t="s">
        <v>539</v>
      </c>
      <c r="I74" s="80" t="s">
        <v>540</v>
      </c>
      <c r="J74" s="90" t="str">
        <f>CONCATENATE(G74," ",H74)</f>
        <v>Giacomo Antonio Macrì</v>
      </c>
      <c r="K74" s="81" t="s">
        <v>541</v>
      </c>
      <c r="L74" s="82"/>
      <c r="M74" s="83" t="s">
        <v>542</v>
      </c>
      <c r="N74" s="84" t="s">
        <v>543</v>
      </c>
      <c r="O74" s="85"/>
      <c r="P74" s="86"/>
      <c r="Q74" s="86"/>
      <c r="R74" s="86"/>
      <c r="S74" s="86"/>
      <c r="T74" s="86"/>
      <c r="U74" s="86"/>
      <c r="V74" s="86"/>
      <c r="W74" s="86"/>
      <c r="X74" s="86"/>
      <c r="Y74" s="87"/>
      <c r="Z74" s="86"/>
      <c r="AA74" s="86"/>
      <c r="AB74" s="86"/>
      <c r="AC74" s="86"/>
      <c r="AD74" s="86" t="s">
        <v>544</v>
      </c>
      <c r="AE74" s="88">
        <f>L74</f>
        <v>0</v>
      </c>
      <c r="AF74" s="89"/>
      <c r="AG74" s="75"/>
      <c r="AH74" s="75"/>
      <c r="AI74" s="89"/>
      <c r="AJ74" s="75"/>
      <c r="AK74" s="75"/>
      <c r="AL74" s="75"/>
      <c r="AM74" s="89"/>
      <c r="AN74" s="90"/>
      <c r="AO74" s="90"/>
      <c r="AP74" s="90"/>
      <c r="AQ74" s="89"/>
      <c r="AR74" s="75"/>
      <c r="AS74" s="75"/>
      <c r="AT74" s="75"/>
      <c r="AU74" s="89"/>
      <c r="AV74" s="75"/>
      <c r="AW74" s="75" t="s">
        <v>115</v>
      </c>
      <c r="AX74" s="75" t="s">
        <v>115</v>
      </c>
      <c r="AY74" s="89"/>
      <c r="AZ74" s="121" t="s">
        <v>115</v>
      </c>
      <c r="BA74" s="121"/>
      <c r="BB74" s="121"/>
      <c r="BC74" s="89"/>
      <c r="BD74" s="121"/>
      <c r="BE74" s="121"/>
      <c r="BF74" s="121"/>
      <c r="BG74" s="89"/>
      <c r="BH74" s="92">
        <f>CF74+CI74+CL74+CO74+CR74</f>
        <v>2997</v>
      </c>
      <c r="BI74" s="92">
        <f>CH74+CK74+CN74+CQ74+CT74</f>
        <v>2997</v>
      </c>
      <c r="BJ74" s="92">
        <f>BH74-BI74</f>
        <v>0</v>
      </c>
      <c r="BK74" s="93"/>
      <c r="BL74" s="94"/>
      <c r="BM74" s="95">
        <v>2997</v>
      </c>
      <c r="BN74" s="96"/>
      <c r="BO74" s="97"/>
      <c r="BP74" s="80" t="s">
        <v>117</v>
      </c>
      <c r="BQ74" s="98">
        <v>0</v>
      </c>
      <c r="BR74" s="99"/>
      <c r="BS74" s="100"/>
      <c r="BT74" s="101">
        <f>BM74*BQ74</f>
        <v>0</v>
      </c>
      <c r="BU74" s="102">
        <f>BN74*BQ74</f>
        <v>0</v>
      </c>
      <c r="BV74" s="103">
        <f>BO74*BQ74</f>
        <v>0</v>
      </c>
      <c r="BW74" s="80" t="s">
        <v>118</v>
      </c>
      <c r="BX74" s="105" t="s">
        <v>166</v>
      </c>
      <c r="BY74" s="98">
        <v>0.05</v>
      </c>
      <c r="BZ74" s="99"/>
      <c r="CA74" s="100"/>
      <c r="CB74" s="101">
        <f>BM74*BY74</f>
        <v>149.85</v>
      </c>
      <c r="CC74" s="106">
        <f>BN74*BY74</f>
        <v>0</v>
      </c>
      <c r="CD74" s="107">
        <f>BO74*BY74</f>
        <v>0</v>
      </c>
      <c r="CE74" s="80" t="s">
        <v>174</v>
      </c>
      <c r="CF74" s="108">
        <v>2997</v>
      </c>
      <c r="CG74" s="109">
        <v>45012</v>
      </c>
      <c r="CH74" s="110">
        <v>2997</v>
      </c>
      <c r="CI74" s="108"/>
      <c r="CJ74" s="109"/>
      <c r="CK74" s="111"/>
      <c r="CL74" s="111"/>
      <c r="CM74" s="109"/>
      <c r="CN74" s="111"/>
      <c r="CO74" s="111"/>
      <c r="CP74" s="111"/>
      <c r="CQ74" s="111"/>
      <c r="CR74" s="111"/>
      <c r="CS74" s="111"/>
      <c r="CT74" s="111"/>
      <c r="CU74" s="90">
        <v>1</v>
      </c>
      <c r="CV74" s="112" t="s">
        <v>121</v>
      </c>
      <c r="CW74" s="112"/>
      <c r="CX74" s="113"/>
      <c r="CY74" s="90" t="s">
        <v>122</v>
      </c>
      <c r="CZ74" s="90"/>
      <c r="DA74" s="80" t="s">
        <v>545</v>
      </c>
      <c r="DB74" s="115" t="str">
        <f>PROPER(N74)</f>
        <v>Leanbit</v>
      </c>
      <c r="DC74" s="116" t="s">
        <v>546</v>
      </c>
      <c r="DD74" s="116" t="str">
        <f>BP74</f>
        <v>blackship</v>
      </c>
      <c r="DE74" s="158">
        <f>IF(OR(D74&gt;0),IF(BJ74=0,BN74*BQ74,0))</f>
        <v>0</v>
      </c>
      <c r="DF74" s="159">
        <f>IF(OR(D74&gt;0),IF(BJ74=0,BN74*BY74,0))</f>
        <v>0</v>
      </c>
      <c r="DG74" s="116" t="str">
        <f>BX74</f>
        <v>Matteo</v>
      </c>
      <c r="DH74" s="76"/>
      <c r="DI74" s="120" t="s">
        <v>154</v>
      </c>
      <c r="DJ74" s="120"/>
      <c r="DK74" s="121"/>
      <c r="DL74" s="121"/>
      <c r="DM74" s="122">
        <v>1</v>
      </c>
      <c r="DN74" s="6"/>
      <c r="DO74" s="6"/>
      <c r="DP74" s="6"/>
      <c r="DQ74" s="6"/>
      <c r="DR74" s="6"/>
      <c r="DS74" s="6"/>
      <c r="DT74" s="6"/>
      <c r="DU74" s="6"/>
      <c r="DV74" s="6"/>
      <c r="DW74" s="6"/>
      <c r="DX74" s="6"/>
      <c r="DY74" s="6"/>
      <c r="DZ74" s="6"/>
    </row>
    <row r="75" spans="1:130" ht="34.5" hidden="1" customHeight="1">
      <c r="A75" s="228"/>
      <c r="B75" s="75" t="s">
        <v>1324</v>
      </c>
      <c r="C75" s="90"/>
      <c r="D75" s="75"/>
      <c r="E75" s="76"/>
      <c r="F75" s="75"/>
      <c r="G75" s="400" t="s">
        <v>2250</v>
      </c>
      <c r="H75" s="400" t="s">
        <v>2251</v>
      </c>
      <c r="I75" s="1840" t="s">
        <v>2252</v>
      </c>
      <c r="J75" s="1847" t="str">
        <f>CONCATENATE(G75," ",H75)</f>
        <v>Benedetta Pavanati</v>
      </c>
      <c r="K75" s="81"/>
      <c r="L75" s="1861"/>
      <c r="M75" s="1894"/>
      <c r="N75" s="84" t="s">
        <v>2253</v>
      </c>
      <c r="O75" s="1923"/>
      <c r="P75" s="160"/>
      <c r="Q75" s="160"/>
      <c r="R75" s="403"/>
      <c r="S75" s="160"/>
      <c r="T75" s="160"/>
      <c r="U75" s="160"/>
      <c r="V75" s="160"/>
      <c r="W75" s="160"/>
      <c r="X75" s="131"/>
      <c r="Y75" s="160"/>
      <c r="Z75" s="160"/>
      <c r="AA75" s="160"/>
      <c r="AB75" s="37"/>
      <c r="AC75" s="131"/>
      <c r="AD75" s="121"/>
      <c r="AE75" s="88"/>
      <c r="AF75" s="1966"/>
      <c r="AG75" s="1970"/>
      <c r="AH75" s="1970"/>
      <c r="AI75" s="1966"/>
      <c r="AJ75" s="90"/>
      <c r="AK75" s="90"/>
      <c r="AL75" s="90"/>
      <c r="AM75" s="89"/>
      <c r="AN75" s="90"/>
      <c r="AO75" s="90"/>
      <c r="AP75" s="90"/>
      <c r="AQ75" s="89"/>
      <c r="AR75" s="75"/>
      <c r="AS75" s="75"/>
      <c r="AT75" s="75"/>
      <c r="AU75" s="89"/>
      <c r="AV75" s="75"/>
      <c r="AW75" s="75"/>
      <c r="AX75" s="75"/>
      <c r="AY75" s="89"/>
      <c r="AZ75" s="121"/>
      <c r="BA75" s="75"/>
      <c r="BB75" s="121" t="s">
        <v>115</v>
      </c>
      <c r="BC75" s="89"/>
      <c r="BD75" s="121" t="s">
        <v>115</v>
      </c>
      <c r="BE75" s="75" t="s">
        <v>115</v>
      </c>
      <c r="BF75" s="121"/>
      <c r="BG75" s="89"/>
      <c r="BH75" s="92">
        <f>CF75+CI75+CL75+CO75+CR75</f>
        <v>2997</v>
      </c>
      <c r="BI75" s="92">
        <f>CH75+CK75+CN75+CQ75+CT75</f>
        <v>0</v>
      </c>
      <c r="BJ75" s="92">
        <f>BH75-BI75</f>
        <v>2997</v>
      </c>
      <c r="BK75" s="271"/>
      <c r="BL75" s="2014"/>
      <c r="BM75" s="95"/>
      <c r="BN75" s="127">
        <v>2997</v>
      </c>
      <c r="BO75" s="128"/>
      <c r="BP75" s="2045"/>
      <c r="BQ75" s="418"/>
      <c r="BR75" s="108"/>
      <c r="BS75" s="276"/>
      <c r="BT75" s="101"/>
      <c r="BU75" s="102">
        <f>BN75*BQ75</f>
        <v>0</v>
      </c>
      <c r="BV75" s="103">
        <f>BO75*BQ75</f>
        <v>0</v>
      </c>
      <c r="BW75" s="80"/>
      <c r="BX75" s="554"/>
      <c r="BY75" s="418"/>
      <c r="BZ75" s="108"/>
      <c r="CA75" s="276"/>
      <c r="CB75" s="101"/>
      <c r="CC75" s="106">
        <f>BN75*BY75</f>
        <v>0</v>
      </c>
      <c r="CD75" s="107">
        <f>BO75*BY75</f>
        <v>0</v>
      </c>
      <c r="CE75" s="163"/>
      <c r="CF75" s="108">
        <v>2997</v>
      </c>
      <c r="CG75" s="109">
        <v>45250</v>
      </c>
      <c r="CH75" s="381"/>
      <c r="CI75" s="108"/>
      <c r="CJ75" s="109"/>
      <c r="CK75" s="2106"/>
      <c r="CL75" s="2106"/>
      <c r="CM75" s="184"/>
      <c r="CN75" s="2106"/>
      <c r="CO75" s="130"/>
      <c r="CP75" s="130"/>
      <c r="CQ75" s="130"/>
      <c r="CR75" s="130"/>
      <c r="CS75" s="130"/>
      <c r="CT75" s="130"/>
      <c r="CU75" s="90"/>
      <c r="CV75" s="112"/>
      <c r="CW75" s="438"/>
      <c r="CX75" s="438"/>
      <c r="CY75" s="90"/>
      <c r="CZ75" s="75"/>
      <c r="DA75" s="2132"/>
      <c r="DB75" s="115" t="str">
        <f>PROPER(N75)</f>
        <v>Dotblue</v>
      </c>
      <c r="DC75" s="2162" t="s">
        <v>2254</v>
      </c>
      <c r="DD75" s="116"/>
      <c r="DE75" s="117"/>
      <c r="DF75" s="117"/>
      <c r="DG75" s="118"/>
      <c r="DH75" s="76"/>
      <c r="DI75" s="120" t="s">
        <v>126</v>
      </c>
      <c r="DJ75" s="120"/>
      <c r="DK75" s="74"/>
      <c r="DL75" s="74"/>
      <c r="DM75" s="122"/>
      <c r="DN75" s="6"/>
      <c r="DO75" s="6"/>
      <c r="DP75" s="6"/>
      <c r="DQ75" s="6"/>
      <c r="DR75" s="6"/>
      <c r="DS75" s="6"/>
      <c r="DT75" s="6"/>
      <c r="DU75" s="6"/>
      <c r="DV75" s="6"/>
      <c r="DW75" s="6"/>
      <c r="DX75" s="6"/>
      <c r="DY75" s="6"/>
      <c r="DZ75" s="6"/>
    </row>
    <row r="76" spans="1:130" ht="34.5" hidden="1" customHeight="1">
      <c r="A76" s="3"/>
      <c r="B76" s="75" t="s">
        <v>108</v>
      </c>
      <c r="C76" s="75"/>
      <c r="D76" s="75"/>
      <c r="E76" s="76"/>
      <c r="F76" s="75"/>
      <c r="G76" s="79" t="s">
        <v>160</v>
      </c>
      <c r="H76" s="79" t="s">
        <v>548</v>
      </c>
      <c r="I76" s="80" t="s">
        <v>549</v>
      </c>
      <c r="J76" s="90" t="str">
        <f>CONCATENATE(G76," ",H76)</f>
        <v>Gianluca Lunardi</v>
      </c>
      <c r="K76" s="81">
        <v>3492363744</v>
      </c>
      <c r="L76" s="166" t="s">
        <v>550</v>
      </c>
      <c r="M76" s="83" t="s">
        <v>551</v>
      </c>
      <c r="N76" s="84"/>
      <c r="O76" s="85"/>
      <c r="P76" s="86"/>
      <c r="Q76" s="86"/>
      <c r="R76" s="86"/>
      <c r="S76" s="86"/>
      <c r="T76" s="86"/>
      <c r="U76" s="86"/>
      <c r="V76" s="86"/>
      <c r="W76" s="86"/>
      <c r="X76" s="86"/>
      <c r="Y76" s="87"/>
      <c r="Z76" s="86"/>
      <c r="AA76" s="86"/>
      <c r="AB76" s="86"/>
      <c r="AC76" s="86"/>
      <c r="AD76" s="86" t="s">
        <v>552</v>
      </c>
      <c r="AE76" s="138" t="str">
        <f>L76</f>
        <v>AVERE CONFERMA DA SUO AD ENTRO IL 24/03/2023. Sentito il 3.8 confermato e ci aggiorniamo per pagamento ad ottobre. DISDETTA PERCHé CAMBIA AZIENDA. Cell Old. 3470780910. Lavorava qui: RLG SYSTEMS ITALIA. da risentire se nella nuova azienda li invitiamo al Tour o cosa</v>
      </c>
      <c r="AF76" s="89"/>
      <c r="AG76" s="75"/>
      <c r="AH76" s="75"/>
      <c r="AI76" s="89"/>
      <c r="AJ76" s="75"/>
      <c r="AK76" s="75"/>
      <c r="AL76" s="75"/>
      <c r="AM76" s="89"/>
      <c r="AN76" s="90"/>
      <c r="AO76" s="90"/>
      <c r="AP76" s="90"/>
      <c r="AQ76" s="89"/>
      <c r="AR76" s="75"/>
      <c r="AS76" s="75"/>
      <c r="AT76" s="75"/>
      <c r="AU76" s="89"/>
      <c r="AV76" s="75"/>
      <c r="AW76" s="75"/>
      <c r="AX76" s="75"/>
      <c r="AY76" s="89"/>
      <c r="AZ76" s="154" t="s">
        <v>165</v>
      </c>
      <c r="BA76" s="154" t="s">
        <v>165</v>
      </c>
      <c r="BB76" s="154" t="s">
        <v>165</v>
      </c>
      <c r="BC76" s="89"/>
      <c r="BD76" s="121"/>
      <c r="BE76" s="121"/>
      <c r="BF76" s="121"/>
      <c r="BG76" s="89"/>
      <c r="BH76" s="92">
        <f>CF76+CI76+CL76+CO76+CR76</f>
        <v>163.9344262295082</v>
      </c>
      <c r="BI76" s="92">
        <f>CH76+CK76+CN76+CQ76+CT76</f>
        <v>163.9344262295082</v>
      </c>
      <c r="BJ76" s="92">
        <f>BH76-BI76</f>
        <v>0</v>
      </c>
      <c r="BK76" s="93"/>
      <c r="BL76" s="94"/>
      <c r="BM76" s="95"/>
      <c r="BN76" s="127"/>
      <c r="BO76" s="128"/>
      <c r="BP76" s="80" t="s">
        <v>117</v>
      </c>
      <c r="BQ76" s="98">
        <v>0</v>
      </c>
      <c r="BR76" s="99"/>
      <c r="BS76" s="100"/>
      <c r="BT76" s="101">
        <f>BM76*BQ76</f>
        <v>0</v>
      </c>
      <c r="BU76" s="102">
        <f>BN76*BQ76</f>
        <v>0</v>
      </c>
      <c r="BV76" s="103">
        <f>BO76*BQ76</f>
        <v>0</v>
      </c>
      <c r="BW76" s="80" t="s">
        <v>118</v>
      </c>
      <c r="BX76" s="105" t="s">
        <v>152</v>
      </c>
      <c r="BY76" s="98">
        <v>0.05</v>
      </c>
      <c r="BZ76" s="99"/>
      <c r="CA76" s="100"/>
      <c r="CB76" s="101">
        <f>BM76*BY76</f>
        <v>0</v>
      </c>
      <c r="CC76" s="106">
        <f>BN76*BY76</f>
        <v>0</v>
      </c>
      <c r="CD76" s="107">
        <f>BO76*BY76</f>
        <v>0</v>
      </c>
      <c r="CE76" s="90"/>
      <c r="CF76" s="108">
        <f>200/1.22</f>
        <v>163.9344262295082</v>
      </c>
      <c r="CG76" s="109">
        <v>45012</v>
      </c>
      <c r="CH76" s="108">
        <f>200/1.22</f>
        <v>163.9344262295082</v>
      </c>
      <c r="CI76" s="108"/>
      <c r="CJ76" s="109"/>
      <c r="CK76" s="111"/>
      <c r="CL76" s="111"/>
      <c r="CM76" s="109"/>
      <c r="CN76" s="111"/>
      <c r="CO76" s="111"/>
      <c r="CP76" s="111"/>
      <c r="CQ76" s="111"/>
      <c r="CR76" s="111"/>
      <c r="CS76" s="111"/>
      <c r="CT76" s="111"/>
      <c r="CU76" s="90">
        <v>1</v>
      </c>
      <c r="CV76" s="112" t="s">
        <v>121</v>
      </c>
      <c r="CW76" s="112"/>
      <c r="CX76" s="113"/>
      <c r="CY76" s="90" t="s">
        <v>122</v>
      </c>
      <c r="CZ76" s="90"/>
      <c r="DA76" s="80" t="s">
        <v>553</v>
      </c>
      <c r="DB76" s="115" t="str">
        <f>PROPER(N76)</f>
        <v/>
      </c>
      <c r="DC76" s="116"/>
      <c r="DD76" s="116" t="str">
        <f>BP76</f>
        <v>blackship</v>
      </c>
      <c r="DE76" s="117" t="b">
        <f>IF(OR(D76&gt;0),IF(BJ76=0,BN76*BQ76,0))</f>
        <v>0</v>
      </c>
      <c r="DF76" s="117" t="b">
        <f>IF(OR(D76&gt;0),IF(BJ76=0,BN76*BY76,0))</f>
        <v>0</v>
      </c>
      <c r="DG76" s="116" t="str">
        <f>BX76</f>
        <v>Client Angel</v>
      </c>
      <c r="DH76" s="76"/>
      <c r="DI76" s="120" t="s">
        <v>154</v>
      </c>
      <c r="DJ76" s="120"/>
      <c r="DK76" s="121"/>
      <c r="DL76" s="121"/>
      <c r="DM76" s="122"/>
      <c r="DN76" s="6"/>
      <c r="DO76" s="6"/>
      <c r="DP76" s="6"/>
      <c r="DQ76" s="6"/>
      <c r="DR76" s="6"/>
      <c r="DS76" s="6"/>
      <c r="DT76" s="6"/>
      <c r="DU76" s="6"/>
      <c r="DV76" s="6"/>
      <c r="DW76" s="6"/>
      <c r="DX76" s="6"/>
      <c r="DY76" s="6"/>
      <c r="DZ76" s="6"/>
    </row>
    <row r="77" spans="1:130" ht="34.5" hidden="1" customHeight="1">
      <c r="A77" s="3"/>
      <c r="B77" s="129" t="s">
        <v>108</v>
      </c>
      <c r="C77" s="75"/>
      <c r="D77" s="75"/>
      <c r="E77" s="76"/>
      <c r="F77" s="75"/>
      <c r="G77" s="79" t="s">
        <v>160</v>
      </c>
      <c r="H77" s="79" t="s">
        <v>554</v>
      </c>
      <c r="I77" s="80" t="s">
        <v>555</v>
      </c>
      <c r="J77" s="90" t="str">
        <f>CONCATENATE(G77," ",H77)</f>
        <v>Gianluca Sagone</v>
      </c>
      <c r="K77" s="81">
        <v>3929138662</v>
      </c>
      <c r="L77" s="82" t="s">
        <v>556</v>
      </c>
      <c r="M77" s="83" t="s">
        <v>557</v>
      </c>
      <c r="N77" s="84" t="s">
        <v>558</v>
      </c>
      <c r="O77" s="85"/>
      <c r="P77" s="86"/>
      <c r="Q77" s="86"/>
      <c r="R77" s="86"/>
      <c r="S77" s="86"/>
      <c r="T77" s="86"/>
      <c r="U77" s="86"/>
      <c r="V77" s="86"/>
      <c r="W77" s="86"/>
      <c r="X77" s="86"/>
      <c r="Y77" s="87"/>
      <c r="Z77" s="86"/>
      <c r="AA77" s="86"/>
      <c r="AB77" s="86"/>
      <c r="AC77" s="86"/>
      <c r="AD77" s="86" t="s">
        <v>559</v>
      </c>
      <c r="AE77" s="88" t="str">
        <f>L77</f>
        <v>30.9.23 Gian - Difficoltà economiche verrà edizione 2024</v>
      </c>
      <c r="AF77" s="89"/>
      <c r="AG77" s="75"/>
      <c r="AH77" s="75"/>
      <c r="AI77" s="89"/>
      <c r="AJ77" s="75"/>
      <c r="AK77" s="75"/>
      <c r="AL77" s="75"/>
      <c r="AM77" s="89"/>
      <c r="AN77" s="90"/>
      <c r="AO77" s="90"/>
      <c r="AP77" s="90"/>
      <c r="AQ77" s="89"/>
      <c r="AR77" s="75"/>
      <c r="AS77" s="75"/>
      <c r="AT77" s="75"/>
      <c r="AU77" s="89"/>
      <c r="AV77" s="75"/>
      <c r="AW77" s="75"/>
      <c r="AX77" s="75"/>
      <c r="AY77" s="89"/>
      <c r="AZ77" s="121"/>
      <c r="BA77" s="121"/>
      <c r="BB77" s="121"/>
      <c r="BC77" s="89"/>
      <c r="BD77" s="121" t="s">
        <v>560</v>
      </c>
      <c r="BE77" s="121" t="s">
        <v>245</v>
      </c>
      <c r="BF77" s="121" t="s">
        <v>245</v>
      </c>
      <c r="BG77" s="89"/>
      <c r="BH77" s="92">
        <f>CF77+CI77+CL77+CO77+CR77</f>
        <v>3497.0044262295082</v>
      </c>
      <c r="BI77" s="92">
        <f>CH77+CK77+CN77+CQ77+CT77</f>
        <v>163.9344262295082</v>
      </c>
      <c r="BJ77" s="92">
        <f>BH77-BI77</f>
        <v>3333.07</v>
      </c>
      <c r="BK77" s="93"/>
      <c r="BL77" s="94"/>
      <c r="BM77" s="95"/>
      <c r="BN77" s="142"/>
      <c r="BO77" s="128">
        <v>3497</v>
      </c>
      <c r="BP77" s="80" t="s">
        <v>262</v>
      </c>
      <c r="BQ77" s="98">
        <v>0.15</v>
      </c>
      <c r="BR77" s="99"/>
      <c r="BS77" s="100"/>
      <c r="BT77" s="101">
        <f>BM77*BQ77</f>
        <v>0</v>
      </c>
      <c r="BU77" s="167">
        <f>BN77*BQ77</f>
        <v>0</v>
      </c>
      <c r="BV77" s="168">
        <f>BO77*BQ77</f>
        <v>524.54999999999995</v>
      </c>
      <c r="BW77" s="80"/>
      <c r="BX77" s="105" t="s">
        <v>262</v>
      </c>
      <c r="BY77" s="98">
        <v>0.05</v>
      </c>
      <c r="BZ77" s="99"/>
      <c r="CA77" s="100"/>
      <c r="CB77" s="101">
        <f>BM77*BY77</f>
        <v>0</v>
      </c>
      <c r="CC77" s="106">
        <f>BN77*BY77</f>
        <v>0</v>
      </c>
      <c r="CD77" s="107">
        <f>BO77*BY77</f>
        <v>174.85000000000002</v>
      </c>
      <c r="CE77" s="90"/>
      <c r="CF77" s="108">
        <f>200/1.22</f>
        <v>163.9344262295082</v>
      </c>
      <c r="CG77" s="109">
        <v>45019</v>
      </c>
      <c r="CH77" s="108">
        <f>200/1.22</f>
        <v>163.9344262295082</v>
      </c>
      <c r="CI77" s="108">
        <v>3333.07</v>
      </c>
      <c r="CJ77" s="146" t="s">
        <v>561</v>
      </c>
      <c r="CK77" s="111"/>
      <c r="CL77" s="108"/>
      <c r="CM77" s="109"/>
      <c r="CN77" s="111"/>
      <c r="CO77" s="111"/>
      <c r="CP77" s="111"/>
      <c r="CQ77" s="111"/>
      <c r="CR77" s="111"/>
      <c r="CS77" s="111"/>
      <c r="CT77" s="111"/>
      <c r="CU77" s="90">
        <v>0</v>
      </c>
      <c r="CV77" s="112" t="s">
        <v>562</v>
      </c>
      <c r="CW77" s="112"/>
      <c r="CX77" s="113"/>
      <c r="CY77" s="90" t="s">
        <v>122</v>
      </c>
      <c r="CZ77" s="90"/>
      <c r="DA77" s="80"/>
      <c r="DB77" s="115" t="str">
        <f>PROPER(N77)</f>
        <v>Medicotop</v>
      </c>
      <c r="DC77" s="116"/>
      <c r="DD77" s="116" t="str">
        <f>BP77</f>
        <v>Pacci</v>
      </c>
      <c r="DE77" s="117" t="b">
        <f>IF(OR(D77&gt;0),IF(BJ77=0,BN77*BQ77,0))</f>
        <v>0</v>
      </c>
      <c r="DF77" s="117" t="b">
        <f>IF(OR(D77&gt;0),IF(BJ77=0,BN77*BY77,0))</f>
        <v>0</v>
      </c>
      <c r="DG77" s="116" t="str">
        <f>BX77</f>
        <v>Pacci</v>
      </c>
      <c r="DH77" s="76"/>
      <c r="DI77" s="120" t="s">
        <v>154</v>
      </c>
      <c r="DJ77" s="120"/>
      <c r="DK77" s="121"/>
      <c r="DL77" s="121"/>
      <c r="DM77" s="122"/>
      <c r="DN77" s="6"/>
      <c r="DO77" s="6"/>
      <c r="DP77" s="6"/>
      <c r="DQ77" s="6"/>
      <c r="DR77" s="6"/>
      <c r="DS77" s="6"/>
      <c r="DT77" s="6"/>
      <c r="DU77" s="6"/>
      <c r="DV77" s="6"/>
      <c r="DW77" s="6"/>
      <c r="DX77" s="6"/>
      <c r="DY77" s="6"/>
      <c r="DZ77" s="6"/>
    </row>
    <row r="78" spans="1:130" ht="34.5" hidden="1" customHeight="1">
      <c r="A78" s="3"/>
      <c r="B78" s="75" t="s">
        <v>108</v>
      </c>
      <c r="C78" s="75"/>
      <c r="D78" s="75"/>
      <c r="E78" s="76">
        <v>1</v>
      </c>
      <c r="F78" s="75"/>
      <c r="G78" s="79" t="s">
        <v>238</v>
      </c>
      <c r="H78" s="79" t="s">
        <v>249</v>
      </c>
      <c r="I78" s="80" t="s">
        <v>250</v>
      </c>
      <c r="J78" s="75" t="str">
        <f>CONCATENATE(G78," ",H78)</f>
        <v>Carlo Bonati</v>
      </c>
      <c r="K78" s="81">
        <v>3406687162</v>
      </c>
      <c r="L78" s="82"/>
      <c r="M78" s="83" t="s">
        <v>251</v>
      </c>
      <c r="N78" s="84" t="s">
        <v>252</v>
      </c>
      <c r="O78" s="85"/>
      <c r="P78" s="86"/>
      <c r="Q78" s="86"/>
      <c r="R78" s="86"/>
      <c r="S78" s="86"/>
      <c r="T78" s="86"/>
      <c r="U78" s="86"/>
      <c r="V78" s="86"/>
      <c r="W78" s="86"/>
      <c r="X78" s="86"/>
      <c r="Y78" s="87"/>
      <c r="Z78" s="86"/>
      <c r="AA78" s="86"/>
      <c r="AB78" s="86"/>
      <c r="AC78" s="86"/>
      <c r="AD78" s="86" t="s">
        <v>253</v>
      </c>
      <c r="AE78" s="88">
        <f>L78</f>
        <v>0</v>
      </c>
      <c r="AF78" s="89"/>
      <c r="AG78" s="75"/>
      <c r="AH78" s="75"/>
      <c r="AI78" s="89"/>
      <c r="AJ78" s="75"/>
      <c r="AK78" s="75"/>
      <c r="AL78" s="75"/>
      <c r="AM78" s="89"/>
      <c r="AN78" s="90"/>
      <c r="AO78" s="90"/>
      <c r="AP78" s="90"/>
      <c r="AQ78" s="89"/>
      <c r="AR78" s="75"/>
      <c r="AS78" s="75"/>
      <c r="AT78" s="75"/>
      <c r="AU78" s="89"/>
      <c r="AV78" s="75" t="s">
        <v>115</v>
      </c>
      <c r="AW78" s="75"/>
      <c r="AX78" s="169"/>
      <c r="AY78" s="89"/>
      <c r="AZ78" s="121"/>
      <c r="BA78" s="121" t="s">
        <v>115</v>
      </c>
      <c r="BB78" s="135" t="s">
        <v>115</v>
      </c>
      <c r="BC78" s="89"/>
      <c r="BD78" s="121"/>
      <c r="BE78" s="121"/>
      <c r="BF78" s="121"/>
      <c r="BG78" s="89"/>
      <c r="BH78" s="92">
        <f>CF78+CI78+CL78+CO78+CR78</f>
        <v>2997</v>
      </c>
      <c r="BI78" s="92">
        <f>CH78+CK78+CN78+CQ78+CT78</f>
        <v>2997</v>
      </c>
      <c r="BJ78" s="92">
        <f>BH78-BI78</f>
        <v>0</v>
      </c>
      <c r="BK78" s="93"/>
      <c r="BL78" s="94"/>
      <c r="BM78" s="95">
        <v>2997</v>
      </c>
      <c r="BN78" s="96"/>
      <c r="BO78" s="97"/>
      <c r="BP78" s="80" t="s">
        <v>117</v>
      </c>
      <c r="BQ78" s="98">
        <v>0</v>
      </c>
      <c r="BR78" s="99"/>
      <c r="BS78" s="100"/>
      <c r="BT78" s="101">
        <f>BM78*BQ78</f>
        <v>0</v>
      </c>
      <c r="BU78" s="102">
        <f>BN78*BQ78</f>
        <v>0</v>
      </c>
      <c r="BV78" s="103">
        <f>BO78*BQ78</f>
        <v>0</v>
      </c>
      <c r="BW78" s="104" t="s">
        <v>118</v>
      </c>
      <c r="BX78" s="105" t="s">
        <v>152</v>
      </c>
      <c r="BY78" s="98">
        <v>0.05</v>
      </c>
      <c r="BZ78" s="99"/>
      <c r="CA78" s="100"/>
      <c r="CB78" s="101">
        <f>BM78*BY78</f>
        <v>149.85</v>
      </c>
      <c r="CC78" s="106">
        <f>BN78*BY78</f>
        <v>0</v>
      </c>
      <c r="CD78" s="107">
        <f>BO78*BY78</f>
        <v>0</v>
      </c>
      <c r="CE78" s="90" t="s">
        <v>120</v>
      </c>
      <c r="CF78" s="108">
        <v>2997</v>
      </c>
      <c r="CG78" s="109">
        <v>45013</v>
      </c>
      <c r="CH78" s="110">
        <v>2997</v>
      </c>
      <c r="CI78" s="108"/>
      <c r="CJ78" s="109"/>
      <c r="CK78" s="111"/>
      <c r="CL78" s="111"/>
      <c r="CM78" s="109"/>
      <c r="CN78" s="111"/>
      <c r="CO78" s="111"/>
      <c r="CP78" s="111"/>
      <c r="CQ78" s="111"/>
      <c r="CR78" s="111"/>
      <c r="CS78" s="111"/>
      <c r="CT78" s="111"/>
      <c r="CU78" s="90">
        <v>1</v>
      </c>
      <c r="CV78" s="112" t="s">
        <v>121</v>
      </c>
      <c r="CW78" s="112"/>
      <c r="CX78" s="113"/>
      <c r="CY78" s="90" t="s">
        <v>122</v>
      </c>
      <c r="CZ78" s="90"/>
      <c r="DA78" s="136" t="s">
        <v>254</v>
      </c>
      <c r="DB78" s="126" t="str">
        <f>PROPER(N78)</f>
        <v>Travaglini</v>
      </c>
      <c r="DC78" s="116" t="s">
        <v>255</v>
      </c>
      <c r="DD78" s="116" t="str">
        <f>BP78</f>
        <v>blackship</v>
      </c>
      <c r="DE78" s="117" t="b">
        <f>IF(OR(D78&gt;0),IF(BJ78=0,BN78*BQ78,0))</f>
        <v>0</v>
      </c>
      <c r="DF78" s="117" t="b">
        <f>IF(OR(D78&gt;0),IF(BJ78=0,BN78*BY78,0))</f>
        <v>0</v>
      </c>
      <c r="DG78" s="118" t="str">
        <f>BX78</f>
        <v>Client Angel</v>
      </c>
      <c r="DH78" s="76"/>
      <c r="DI78" s="120" t="s">
        <v>126</v>
      </c>
      <c r="DJ78" s="120"/>
      <c r="DK78" s="121"/>
      <c r="DL78" s="121"/>
      <c r="DM78" s="122"/>
      <c r="DN78" s="6"/>
      <c r="DO78" s="6"/>
      <c r="DP78" s="6"/>
      <c r="DQ78" s="6"/>
      <c r="DR78" s="6"/>
      <c r="DS78" s="6"/>
      <c r="DT78" s="6"/>
      <c r="DU78" s="6"/>
      <c r="DV78" s="6"/>
      <c r="DW78" s="6"/>
      <c r="DX78" s="6"/>
      <c r="DY78" s="6"/>
      <c r="DZ78" s="6"/>
    </row>
    <row r="79" spans="1:130" ht="34.5" hidden="1" customHeight="1">
      <c r="A79" s="228"/>
      <c r="B79" s="75" t="s">
        <v>1359</v>
      </c>
      <c r="C79" s="90"/>
      <c r="D79" s="75">
        <v>1</v>
      </c>
      <c r="E79" s="76">
        <v>1</v>
      </c>
      <c r="F79" s="75"/>
      <c r="G79" s="400" t="s">
        <v>238</v>
      </c>
      <c r="H79" s="400" t="s">
        <v>1576</v>
      </c>
      <c r="I79" s="113" t="s">
        <v>1577</v>
      </c>
      <c r="J79" s="75" t="str">
        <f>CONCATENATE(G79," ",H79)</f>
        <v>Carlo Faranda</v>
      </c>
      <c r="K79" s="1859">
        <v>3331318265</v>
      </c>
      <c r="L79" s="1880"/>
      <c r="M79" s="1902" t="s">
        <v>719</v>
      </c>
      <c r="N79" s="84" t="s">
        <v>1578</v>
      </c>
      <c r="O79" s="1923"/>
      <c r="P79" s="160"/>
      <c r="Q79" s="160"/>
      <c r="R79" s="403"/>
      <c r="S79" s="160"/>
      <c r="T79" s="160"/>
      <c r="U79" s="160"/>
      <c r="V79" s="160"/>
      <c r="W79" s="160"/>
      <c r="X79" s="131"/>
      <c r="Y79" s="160"/>
      <c r="Z79" s="160"/>
      <c r="AA79" s="160"/>
      <c r="AB79" s="37"/>
      <c r="AC79" s="131"/>
      <c r="AD79" s="121" t="s">
        <v>1579</v>
      </c>
      <c r="AE79" s="88"/>
      <c r="AF79" s="1966"/>
      <c r="AG79" s="1970"/>
      <c r="AH79" s="1970"/>
      <c r="AI79" s="1966"/>
      <c r="AJ79" s="90"/>
      <c r="AK79" s="90"/>
      <c r="AL79" s="90"/>
      <c r="AM79" s="89"/>
      <c r="AN79" s="90"/>
      <c r="AO79" s="90"/>
      <c r="AP79" s="90"/>
      <c r="AQ79" s="89"/>
      <c r="AR79" s="75"/>
      <c r="AS79" s="75"/>
      <c r="AT79" s="75"/>
      <c r="AU79" s="89"/>
      <c r="AV79" s="75"/>
      <c r="AW79" s="75"/>
      <c r="AX79" s="75"/>
      <c r="AY79" s="89"/>
      <c r="AZ79" s="121" t="s">
        <v>115</v>
      </c>
      <c r="BA79" s="121" t="s">
        <v>115</v>
      </c>
      <c r="BB79" s="135" t="s">
        <v>115</v>
      </c>
      <c r="BC79" s="89"/>
      <c r="BD79" s="121"/>
      <c r="BE79" s="121"/>
      <c r="BF79" s="121"/>
      <c r="BG79" s="89"/>
      <c r="BH79" s="92">
        <f>CF79+CI79+CL79+CO79+CR79</f>
        <v>2997</v>
      </c>
      <c r="BI79" s="92">
        <f>CH79+CK79+CN79+CQ79+CT79</f>
        <v>2997</v>
      </c>
      <c r="BJ79" s="92">
        <f>BH79-BI79</f>
        <v>0</v>
      </c>
      <c r="BK79" s="271"/>
      <c r="BL79" s="2014"/>
      <c r="BM79" s="95"/>
      <c r="BN79" s="127">
        <v>2997</v>
      </c>
      <c r="BO79" s="128"/>
      <c r="BP79" s="2037" t="s">
        <v>262</v>
      </c>
      <c r="BQ79" s="98">
        <v>0.15</v>
      </c>
      <c r="BR79" s="108"/>
      <c r="BS79" s="276">
        <f>BL79*BQ79</f>
        <v>0</v>
      </c>
      <c r="BT79" s="101">
        <f>BM79*BQ79</f>
        <v>0</v>
      </c>
      <c r="BU79" s="102">
        <f>BN79*BQ79</f>
        <v>449.55</v>
      </c>
      <c r="BV79" s="103">
        <f>BO79*BQ79</f>
        <v>0</v>
      </c>
      <c r="BW79" s="84" t="s">
        <v>185</v>
      </c>
      <c r="BX79" s="105" t="s">
        <v>262</v>
      </c>
      <c r="BY79" s="145">
        <v>0.05</v>
      </c>
      <c r="BZ79" s="108"/>
      <c r="CA79" s="276">
        <f>BL79*BY79</f>
        <v>0</v>
      </c>
      <c r="CB79" s="101">
        <f>BM79*BY79</f>
        <v>0</v>
      </c>
      <c r="CC79" s="106">
        <f>BN79*BY79</f>
        <v>149.85</v>
      </c>
      <c r="CD79" s="107">
        <f>BO79*BY79</f>
        <v>0</v>
      </c>
      <c r="CE79" s="84" t="s">
        <v>185</v>
      </c>
      <c r="CF79" s="108">
        <v>2997</v>
      </c>
      <c r="CG79" s="109">
        <v>45198</v>
      </c>
      <c r="CH79" s="110">
        <v>2997</v>
      </c>
      <c r="CI79" s="2106"/>
      <c r="CJ79" s="184"/>
      <c r="CK79" s="2106"/>
      <c r="CL79" s="2106"/>
      <c r="CM79" s="184"/>
      <c r="CN79" s="2106"/>
      <c r="CO79" s="130"/>
      <c r="CP79" s="130"/>
      <c r="CQ79" s="130"/>
      <c r="CR79" s="130"/>
      <c r="CS79" s="130"/>
      <c r="CT79" s="130"/>
      <c r="CU79" s="90">
        <v>1</v>
      </c>
      <c r="CV79" s="112"/>
      <c r="CW79" s="438" t="s">
        <v>1580</v>
      </c>
      <c r="CX79" s="438" t="s">
        <v>1581</v>
      </c>
      <c r="CY79" s="90"/>
      <c r="CZ79" s="75"/>
      <c r="DA79" s="2132" t="s">
        <v>1582</v>
      </c>
      <c r="DB79" s="115" t="str">
        <f>PROPER(N79)</f>
        <v>Oto Agency</v>
      </c>
      <c r="DC79" s="2162" t="s">
        <v>1583</v>
      </c>
      <c r="DD79" s="116" t="str">
        <f>BP79</f>
        <v>Pacci</v>
      </c>
      <c r="DE79" s="117">
        <f>IF(OR(D79&gt;0),IF(BJ79=0,BN79*BQ79,0))</f>
        <v>449.55</v>
      </c>
      <c r="DF79" s="117">
        <f>IF(OR(D79&gt;0),IF(BJ79=0,BN79*BY79,0))</f>
        <v>149.85</v>
      </c>
      <c r="DG79" s="118" t="str">
        <f>BX79</f>
        <v>Pacci</v>
      </c>
      <c r="DH79" s="76"/>
      <c r="DI79" s="120" t="s">
        <v>126</v>
      </c>
      <c r="DJ79" s="120"/>
      <c r="DK79" s="74"/>
      <c r="DL79" s="74"/>
      <c r="DM79" s="122">
        <v>1</v>
      </c>
      <c r="DN79" s="6"/>
      <c r="DO79" s="6"/>
      <c r="DP79" s="6"/>
      <c r="DQ79" s="6"/>
      <c r="DR79" s="6"/>
      <c r="DS79" s="6"/>
      <c r="DT79" s="6"/>
      <c r="DU79" s="6"/>
      <c r="DV79" s="6"/>
      <c r="DW79" s="6"/>
      <c r="DX79" s="6"/>
      <c r="DY79" s="6"/>
      <c r="DZ79" s="6"/>
    </row>
    <row r="80" spans="1:130" ht="34.5" hidden="1" customHeight="1">
      <c r="A80" s="3"/>
      <c r="B80" s="75" t="s">
        <v>108</v>
      </c>
      <c r="C80" s="75"/>
      <c r="D80" s="75"/>
      <c r="E80" s="76"/>
      <c r="F80" s="75"/>
      <c r="G80" s="79" t="s">
        <v>216</v>
      </c>
      <c r="H80" s="79" t="s">
        <v>579</v>
      </c>
      <c r="I80" s="80" t="s">
        <v>580</v>
      </c>
      <c r="J80" s="90" t="str">
        <f>CONCATENATE(G80," ",H80)</f>
        <v>Giulia Airaghi</v>
      </c>
      <c r="K80" s="81" t="s">
        <v>581</v>
      </c>
      <c r="L80" s="82" t="s">
        <v>582</v>
      </c>
      <c r="M80" s="83" t="s">
        <v>583</v>
      </c>
      <c r="N80" s="84" t="s">
        <v>584</v>
      </c>
      <c r="O80" s="85"/>
      <c r="P80" s="86"/>
      <c r="Q80" s="86"/>
      <c r="R80" s="86"/>
      <c r="S80" s="86"/>
      <c r="T80" s="86"/>
      <c r="U80" s="86"/>
      <c r="V80" s="86"/>
      <c r="W80" s="86"/>
      <c r="X80" s="86"/>
      <c r="Y80" s="87"/>
      <c r="Z80" s="86"/>
      <c r="AA80" s="86"/>
      <c r="AB80" s="86"/>
      <c r="AC80" s="86"/>
      <c r="AD80" s="86"/>
      <c r="AE80" s="88" t="str">
        <f>L80</f>
        <v>CONFERMA ENTRO IL 23/03. Marco Ago 23. Conferm NON ci sono</v>
      </c>
      <c r="AF80" s="89"/>
      <c r="AG80" s="75"/>
      <c r="AH80" s="75"/>
      <c r="AI80" s="89"/>
      <c r="AJ80" s="75"/>
      <c r="AK80" s="75"/>
      <c r="AL80" s="75"/>
      <c r="AM80" s="89"/>
      <c r="AN80" s="90"/>
      <c r="AO80" s="90"/>
      <c r="AP80" s="90"/>
      <c r="AQ80" s="89"/>
      <c r="AR80" s="75"/>
      <c r="AS80" s="75"/>
      <c r="AT80" s="75"/>
      <c r="AU80" s="89"/>
      <c r="AV80" s="75"/>
      <c r="AW80" s="75"/>
      <c r="AX80" s="75"/>
      <c r="AY80" s="89"/>
      <c r="AZ80" s="154" t="s">
        <v>165</v>
      </c>
      <c r="BA80" s="154" t="s">
        <v>165</v>
      </c>
      <c r="BB80" s="154" t="s">
        <v>165</v>
      </c>
      <c r="BC80" s="89"/>
      <c r="BD80" s="121"/>
      <c r="BE80" s="121"/>
      <c r="BF80" s="121"/>
      <c r="BG80" s="89"/>
      <c r="BH80" s="92">
        <f>CF80+CI80+CL80+CO80+CR80</f>
        <v>0</v>
      </c>
      <c r="BI80" s="92">
        <f>CH80+CK80+CN80+CQ80+CT80</f>
        <v>0</v>
      </c>
      <c r="BJ80" s="92">
        <f>BH80-BI80</f>
        <v>0</v>
      </c>
      <c r="BK80" s="93"/>
      <c r="BL80" s="94"/>
      <c r="BM80" s="95"/>
      <c r="BN80" s="127"/>
      <c r="BO80" s="128"/>
      <c r="BP80" s="80" t="s">
        <v>117</v>
      </c>
      <c r="BQ80" s="98">
        <v>0</v>
      </c>
      <c r="BR80" s="99"/>
      <c r="BS80" s="100"/>
      <c r="BT80" s="101">
        <f>BM80*BQ80</f>
        <v>0</v>
      </c>
      <c r="BU80" s="102">
        <f>BN80*BQ80</f>
        <v>0</v>
      </c>
      <c r="BV80" s="103">
        <f>BO80*BQ80</f>
        <v>0</v>
      </c>
      <c r="BW80" s="80" t="s">
        <v>118</v>
      </c>
      <c r="BX80" s="105" t="s">
        <v>246</v>
      </c>
      <c r="BY80" s="98">
        <v>0.05</v>
      </c>
      <c r="BZ80" s="99"/>
      <c r="CA80" s="100"/>
      <c r="CB80" s="101">
        <f>BM80*BY80</f>
        <v>0</v>
      </c>
      <c r="CC80" s="106">
        <f>BN80*BY80</f>
        <v>0</v>
      </c>
      <c r="CD80" s="107">
        <f>BO80*BY80</f>
        <v>0</v>
      </c>
      <c r="CE80" s="90"/>
      <c r="CF80" s="108"/>
      <c r="CG80" s="109"/>
      <c r="CH80" s="110"/>
      <c r="CI80" s="108"/>
      <c r="CJ80" s="109"/>
      <c r="CK80" s="111"/>
      <c r="CL80" s="111"/>
      <c r="CM80" s="109"/>
      <c r="CN80" s="111"/>
      <c r="CO80" s="111"/>
      <c r="CP80" s="111"/>
      <c r="CQ80" s="111"/>
      <c r="CR80" s="111"/>
      <c r="CS80" s="111"/>
      <c r="CT80" s="111"/>
      <c r="CU80" s="90"/>
      <c r="CV80" s="112"/>
      <c r="CW80" s="112"/>
      <c r="CX80" s="113"/>
      <c r="CY80" s="90" t="s">
        <v>122</v>
      </c>
      <c r="CZ80" s="90"/>
      <c r="DA80" s="80"/>
      <c r="DB80" s="115" t="str">
        <f>PROPER(N80)</f>
        <v>M.D.S. Electronics</v>
      </c>
      <c r="DC80" s="116"/>
      <c r="DD80" s="116" t="str">
        <f>BP80</f>
        <v>blackship</v>
      </c>
      <c r="DE80" s="117" t="b">
        <f>IF(OR(D80&gt;0),IF(BJ80=0,BN80*BQ80,0))</f>
        <v>0</v>
      </c>
      <c r="DF80" s="117" t="b">
        <f>IF(OR(D80&gt;0),IF(BJ80=0,BN80*BY80,0))</f>
        <v>0</v>
      </c>
      <c r="DG80" s="116" t="str">
        <f>BX80</f>
        <v>Marco</v>
      </c>
      <c r="DH80" s="76"/>
      <c r="DI80" s="120" t="s">
        <v>154</v>
      </c>
      <c r="DJ80" s="120"/>
      <c r="DK80" s="121"/>
      <c r="DL80" s="121"/>
      <c r="DM80" s="122"/>
      <c r="DN80" s="6"/>
      <c r="DO80" s="6"/>
      <c r="DP80" s="6"/>
      <c r="DQ80" s="6"/>
      <c r="DR80" s="6"/>
      <c r="DS80" s="6"/>
      <c r="DT80" s="6"/>
      <c r="DU80" s="6"/>
      <c r="DV80" s="6"/>
      <c r="DW80" s="6"/>
      <c r="DX80" s="6"/>
      <c r="DY80" s="6"/>
      <c r="DZ80" s="6"/>
    </row>
    <row r="81" spans="1:130" ht="34.5" hidden="1" customHeight="1">
      <c r="A81" s="3"/>
      <c r="B81" s="75" t="s">
        <v>108</v>
      </c>
      <c r="C81" s="75"/>
      <c r="D81" s="75"/>
      <c r="E81" s="76"/>
      <c r="F81" s="75"/>
      <c r="G81" s="79" t="s">
        <v>216</v>
      </c>
      <c r="H81" s="79" t="s">
        <v>585</v>
      </c>
      <c r="I81" s="80" t="s">
        <v>586</v>
      </c>
      <c r="J81" s="90" t="str">
        <f>CONCATENATE(G81," ",H81)</f>
        <v>Giulia Fossati</v>
      </c>
      <c r="K81" s="81">
        <v>3317658429</v>
      </c>
      <c r="L81" s="82"/>
      <c r="M81" s="83"/>
      <c r="N81" s="84" t="s">
        <v>587</v>
      </c>
      <c r="O81" s="85"/>
      <c r="P81" s="86"/>
      <c r="Q81" s="86"/>
      <c r="R81" s="86"/>
      <c r="S81" s="86"/>
      <c r="T81" s="86"/>
      <c r="U81" s="86"/>
      <c r="V81" s="86"/>
      <c r="W81" s="86"/>
      <c r="X81" s="86"/>
      <c r="Y81" s="87"/>
      <c r="Z81" s="86"/>
      <c r="AA81" s="86"/>
      <c r="AB81" s="86"/>
      <c r="AC81" s="86"/>
      <c r="AD81" s="86"/>
      <c r="AE81" s="88">
        <f>L81</f>
        <v>0</v>
      </c>
      <c r="AF81" s="89"/>
      <c r="AG81" s="75"/>
      <c r="AH81" s="75"/>
      <c r="AI81" s="89"/>
      <c r="AJ81" s="75"/>
      <c r="AK81" s="75"/>
      <c r="AL81" s="75"/>
      <c r="AM81" s="89"/>
      <c r="AN81" s="90"/>
      <c r="AO81" s="90"/>
      <c r="AP81" s="90"/>
      <c r="AQ81" s="89"/>
      <c r="AR81" s="75"/>
      <c r="AS81" s="75"/>
      <c r="AT81" s="75"/>
      <c r="AU81" s="89"/>
      <c r="AV81" s="75"/>
      <c r="AW81" s="75"/>
      <c r="AX81" s="75"/>
      <c r="AY81" s="89"/>
      <c r="AZ81" s="154" t="s">
        <v>165</v>
      </c>
      <c r="BA81" s="154" t="s">
        <v>165</v>
      </c>
      <c r="BB81" s="154" t="s">
        <v>165</v>
      </c>
      <c r="BC81" s="89"/>
      <c r="BD81" s="121"/>
      <c r="BE81" s="121"/>
      <c r="BF81" s="121"/>
      <c r="BG81" s="89"/>
      <c r="BH81" s="92">
        <f>CF81+CI81+CL81+CO81+CR81</f>
        <v>0</v>
      </c>
      <c r="BI81" s="92">
        <f>CH81+CK81+CN81+CQ81+CT81</f>
        <v>0</v>
      </c>
      <c r="BJ81" s="92">
        <f>BH81-BI81</f>
        <v>0</v>
      </c>
      <c r="BK81" s="93"/>
      <c r="BL81" s="94"/>
      <c r="BM81" s="95"/>
      <c r="BN81" s="127"/>
      <c r="BO81" s="128"/>
      <c r="BP81" s="80" t="s">
        <v>117</v>
      </c>
      <c r="BQ81" s="98">
        <v>0</v>
      </c>
      <c r="BR81" s="99"/>
      <c r="BS81" s="100"/>
      <c r="BT81" s="101">
        <f>BM81*BQ81</f>
        <v>0</v>
      </c>
      <c r="BU81" s="102">
        <f>BN81*BQ81</f>
        <v>0</v>
      </c>
      <c r="BV81" s="103">
        <f>BO81*BQ81</f>
        <v>0</v>
      </c>
      <c r="BW81" s="80" t="s">
        <v>118</v>
      </c>
      <c r="BX81" s="105" t="s">
        <v>407</v>
      </c>
      <c r="BY81" s="98">
        <v>0.05</v>
      </c>
      <c r="BZ81" s="99"/>
      <c r="CA81" s="100"/>
      <c r="CB81" s="101">
        <f>BM81*BY81</f>
        <v>0</v>
      </c>
      <c r="CC81" s="106">
        <f>BN81*BY81</f>
        <v>0</v>
      </c>
      <c r="CD81" s="107">
        <f>BO81*BY81</f>
        <v>0</v>
      </c>
      <c r="CE81" s="90"/>
      <c r="CF81" s="108">
        <v>0</v>
      </c>
      <c r="CG81" s="109"/>
      <c r="CH81" s="110"/>
      <c r="CI81" s="108"/>
      <c r="CJ81" s="109"/>
      <c r="CK81" s="111"/>
      <c r="CL81" s="111"/>
      <c r="CM81" s="109"/>
      <c r="CN81" s="111"/>
      <c r="CO81" s="111"/>
      <c r="CP81" s="111"/>
      <c r="CQ81" s="111"/>
      <c r="CR81" s="111"/>
      <c r="CS81" s="111"/>
      <c r="CT81" s="111"/>
      <c r="CU81" s="90">
        <v>1</v>
      </c>
      <c r="CV81" s="112" t="s">
        <v>121</v>
      </c>
      <c r="CW81" s="112"/>
      <c r="CX81" s="113"/>
      <c r="CY81" s="90" t="s">
        <v>122</v>
      </c>
      <c r="CZ81" s="90"/>
      <c r="DA81" s="80"/>
      <c r="DB81" s="115" t="str">
        <f>PROPER(N81)</f>
        <v>Enyo</v>
      </c>
      <c r="DC81" s="116"/>
      <c r="DD81" s="116" t="str">
        <f>BP81</f>
        <v>blackship</v>
      </c>
      <c r="DE81" s="117" t="b">
        <f>IF(OR(D81&gt;0),IF(BJ81=0,BN81*BQ81,0))</f>
        <v>0</v>
      </c>
      <c r="DF81" s="117" t="b">
        <f>IF(OR(D81&gt;0),IF(BJ81=0,BN81*BY81,0))</f>
        <v>0</v>
      </c>
      <c r="DG81" s="116" t="str">
        <f>BX81</f>
        <v>Stefano</v>
      </c>
      <c r="DH81" s="76"/>
      <c r="DI81" s="120" t="s">
        <v>154</v>
      </c>
      <c r="DJ81" s="120"/>
      <c r="DK81" s="121"/>
      <c r="DL81" s="121"/>
      <c r="DM81" s="122"/>
      <c r="DN81" s="6"/>
      <c r="DO81" s="6"/>
      <c r="DP81" s="6"/>
      <c r="DQ81" s="6"/>
      <c r="DR81" s="6"/>
      <c r="DS81" s="6"/>
      <c r="DT81" s="6"/>
      <c r="DU81" s="6"/>
      <c r="DV81" s="6"/>
      <c r="DW81" s="6"/>
      <c r="DX81" s="6"/>
      <c r="DY81" s="6"/>
      <c r="DZ81" s="6"/>
    </row>
    <row r="82" spans="1:130" ht="34.5" hidden="1" customHeight="1">
      <c r="A82" s="228"/>
      <c r="B82" s="75" t="s">
        <v>1928</v>
      </c>
      <c r="C82" s="75"/>
      <c r="D82" s="75">
        <v>1</v>
      </c>
      <c r="E82" s="76">
        <v>1</v>
      </c>
      <c r="F82" s="75"/>
      <c r="G82" s="181" t="s">
        <v>238</v>
      </c>
      <c r="H82" s="181" t="s">
        <v>2496</v>
      </c>
      <c r="I82" s="1834" t="s">
        <v>2497</v>
      </c>
      <c r="J82" s="75" t="str">
        <f>CONCATENATE(G82," ",H82)</f>
        <v>Carlo Fasini</v>
      </c>
      <c r="K82" s="1857">
        <v>3480836825</v>
      </c>
      <c r="L82" s="1876" t="s">
        <v>2498</v>
      </c>
      <c r="M82" s="1867"/>
      <c r="N82" s="84" t="s">
        <v>2499</v>
      </c>
      <c r="O82" s="1925"/>
      <c r="P82" s="37"/>
      <c r="Q82" s="37"/>
      <c r="R82" s="131"/>
      <c r="S82" s="160"/>
      <c r="T82" s="160"/>
      <c r="U82" s="160"/>
      <c r="V82" s="160"/>
      <c r="W82" s="233"/>
      <c r="X82" s="234"/>
      <c r="Y82" s="233"/>
      <c r="Z82" s="233"/>
      <c r="AA82" s="233"/>
      <c r="AB82" s="37"/>
      <c r="AC82" s="37"/>
      <c r="AD82" s="37" t="s">
        <v>118</v>
      </c>
      <c r="AE82" s="138"/>
      <c r="AF82" s="89"/>
      <c r="AG82" s="75"/>
      <c r="AH82" s="75"/>
      <c r="AI82" s="89"/>
      <c r="AJ82" s="75"/>
      <c r="AK82" s="75"/>
      <c r="AL82" s="75"/>
      <c r="AM82" s="89"/>
      <c r="AN82" s="90"/>
      <c r="AO82" s="90"/>
      <c r="AP82" s="90"/>
      <c r="AQ82" s="89"/>
      <c r="AR82" s="75"/>
      <c r="AS82" s="75"/>
      <c r="AT82" s="75"/>
      <c r="AU82" s="89"/>
      <c r="AV82" s="75"/>
      <c r="AW82" s="75"/>
      <c r="AX82" s="75"/>
      <c r="AY82" s="89"/>
      <c r="AZ82" s="121" t="s">
        <v>116</v>
      </c>
      <c r="BA82" s="121" t="s">
        <v>116</v>
      </c>
      <c r="BB82" s="162" t="s">
        <v>116</v>
      </c>
      <c r="BC82" s="89"/>
      <c r="BD82" s="121"/>
      <c r="BE82" s="121"/>
      <c r="BF82" s="121"/>
      <c r="BG82" s="89"/>
      <c r="BH82" s="92"/>
      <c r="BI82" s="92"/>
      <c r="BJ82" s="92"/>
      <c r="BK82" s="271"/>
      <c r="BL82" s="2014"/>
      <c r="BM82" s="95"/>
      <c r="BN82" s="127"/>
      <c r="BO82" s="128"/>
      <c r="BP82" s="80"/>
      <c r="BQ82" s="98"/>
      <c r="BR82" s="108"/>
      <c r="BS82" s="276"/>
      <c r="BT82" s="101"/>
      <c r="BU82" s="102"/>
      <c r="BV82" s="103">
        <f>BO82*BQ82</f>
        <v>0</v>
      </c>
      <c r="BW82" s="243"/>
      <c r="BX82" s="275"/>
      <c r="BY82" s="145"/>
      <c r="BZ82" s="108"/>
      <c r="CA82" s="276"/>
      <c r="CB82" s="101"/>
      <c r="CC82" s="106"/>
      <c r="CD82" s="107">
        <f>BO82*BY82</f>
        <v>0</v>
      </c>
      <c r="CE82" s="244"/>
      <c r="CF82" s="108"/>
      <c r="CG82" s="109"/>
      <c r="CH82" s="108"/>
      <c r="CI82" s="108"/>
      <c r="CJ82" s="109"/>
      <c r="CK82" s="111"/>
      <c r="CL82" s="111"/>
      <c r="CM82" s="109"/>
      <c r="CN82" s="111"/>
      <c r="CO82" s="111"/>
      <c r="CP82" s="111"/>
      <c r="CQ82" s="111"/>
      <c r="CR82" s="111"/>
      <c r="CS82" s="111"/>
      <c r="CT82" s="111"/>
      <c r="CU82" s="90">
        <v>1</v>
      </c>
      <c r="CV82" s="112"/>
      <c r="CW82" s="112"/>
      <c r="CX82" s="113"/>
      <c r="CY82" s="90"/>
      <c r="CZ82" s="90"/>
      <c r="DA82" s="80" t="s">
        <v>2500</v>
      </c>
      <c r="DB82" s="115" t="str">
        <f>PROPER(N82)</f>
        <v xml:space="preserve">It Strategy </v>
      </c>
      <c r="DC82" s="116" t="s">
        <v>2501</v>
      </c>
      <c r="DD82" s="116">
        <f>BP82</f>
        <v>0</v>
      </c>
      <c r="DE82" s="117">
        <f>IF(OR(D82&gt;0),IF(BJ82=0,BN82*BQ82,0))</f>
        <v>0</v>
      </c>
      <c r="DF82" s="117">
        <f>IF(OR(D82&gt;0),IF(BJ82=0,BN82*BY82,0))</f>
        <v>0</v>
      </c>
      <c r="DG82" s="113">
        <f>BX82</f>
        <v>0</v>
      </c>
      <c r="DH82" s="510"/>
      <c r="DI82" s="120" t="s">
        <v>126</v>
      </c>
      <c r="DJ82" s="120"/>
      <c r="DK82" s="207"/>
      <c r="DL82" s="207"/>
      <c r="DM82" s="248"/>
    </row>
    <row r="83" spans="1:130" ht="34.5" hidden="1" customHeight="1">
      <c r="A83" s="3"/>
      <c r="B83" s="75" t="s">
        <v>108</v>
      </c>
      <c r="C83" s="75"/>
      <c r="D83" s="75">
        <v>1</v>
      </c>
      <c r="E83" s="76">
        <v>1</v>
      </c>
      <c r="F83" s="75"/>
      <c r="G83" s="79" t="s">
        <v>256</v>
      </c>
      <c r="H83" s="79" t="s">
        <v>257</v>
      </c>
      <c r="I83" s="147" t="s">
        <v>258</v>
      </c>
      <c r="J83" s="169" t="str">
        <f>CONCATENATE(G83," ",H83)</f>
        <v>Carlo Roberto Mariano</v>
      </c>
      <c r="K83" s="1860">
        <v>3394670688</v>
      </c>
      <c r="L83" s="82"/>
      <c r="M83" s="143" t="s">
        <v>259</v>
      </c>
      <c r="N83" s="84" t="s">
        <v>260</v>
      </c>
      <c r="O83" s="85"/>
      <c r="P83" s="86"/>
      <c r="Q83" s="86"/>
      <c r="R83" s="86"/>
      <c r="S83" s="86"/>
      <c r="T83" s="86"/>
      <c r="U83" s="86"/>
      <c r="V83" s="86"/>
      <c r="W83" s="86"/>
      <c r="X83" s="86"/>
      <c r="Y83" s="87"/>
      <c r="Z83" s="86"/>
      <c r="AA83" s="86"/>
      <c r="AB83" s="86"/>
      <c r="AC83" s="86"/>
      <c r="AD83" s="86" t="s">
        <v>261</v>
      </c>
      <c r="AE83" s="88">
        <f>L83</f>
        <v>0</v>
      </c>
      <c r="AF83" s="89"/>
      <c r="AG83" s="75"/>
      <c r="AH83" s="75"/>
      <c r="AI83" s="89"/>
      <c r="AJ83" s="75"/>
      <c r="AK83" s="75"/>
      <c r="AL83" s="75"/>
      <c r="AM83" s="89"/>
      <c r="AN83" s="90"/>
      <c r="AO83" s="90"/>
      <c r="AP83" s="90"/>
      <c r="AQ83" s="89"/>
      <c r="AR83" s="75"/>
      <c r="AS83" s="75"/>
      <c r="AT83" s="75"/>
      <c r="AU83" s="89"/>
      <c r="AV83" s="75"/>
      <c r="AW83" s="75"/>
      <c r="AX83" s="75"/>
      <c r="AY83" s="89"/>
      <c r="AZ83" s="121" t="s">
        <v>115</v>
      </c>
      <c r="BA83" s="121" t="s">
        <v>115</v>
      </c>
      <c r="BB83" s="135" t="s">
        <v>115</v>
      </c>
      <c r="BC83" s="89"/>
      <c r="BD83" s="121"/>
      <c r="BE83" s="121"/>
      <c r="BF83" s="121"/>
      <c r="BG83" s="89"/>
      <c r="BH83" s="92">
        <f>CF83+CI83+CL83+CO83+CR83</f>
        <v>2997</v>
      </c>
      <c r="BI83" s="92">
        <f>CH83+CK83+CN83+CQ83+CT83</f>
        <v>2997</v>
      </c>
      <c r="BJ83" s="92">
        <f>BH83-BI83</f>
        <v>0</v>
      </c>
      <c r="BK83" s="93"/>
      <c r="BL83" s="94"/>
      <c r="BM83" s="95"/>
      <c r="BN83" s="127">
        <v>2997</v>
      </c>
      <c r="BO83" s="128"/>
      <c r="BP83" s="80" t="s">
        <v>262</v>
      </c>
      <c r="BQ83" s="98">
        <v>0.15</v>
      </c>
      <c r="BR83" s="99"/>
      <c r="BS83" s="100"/>
      <c r="BT83" s="101">
        <f>BM83*BQ83</f>
        <v>0</v>
      </c>
      <c r="BU83" s="102">
        <f>BN83*BQ83</f>
        <v>449.55</v>
      </c>
      <c r="BV83" s="103">
        <f>BO83*BQ83</f>
        <v>0</v>
      </c>
      <c r="BW83" s="84" t="s">
        <v>185</v>
      </c>
      <c r="BX83" s="105" t="s">
        <v>262</v>
      </c>
      <c r="BY83" s="98">
        <v>0.05</v>
      </c>
      <c r="BZ83" s="99"/>
      <c r="CA83" s="100"/>
      <c r="CB83" s="101">
        <f>BM83*BY83</f>
        <v>0</v>
      </c>
      <c r="CC83" s="106">
        <f>BN83*BY83</f>
        <v>149.85</v>
      </c>
      <c r="CD83" s="107">
        <f>BO83*BY83</f>
        <v>0</v>
      </c>
      <c r="CE83" s="84" t="s">
        <v>185</v>
      </c>
      <c r="CF83" s="108">
        <v>2997</v>
      </c>
      <c r="CG83" s="109">
        <v>45008</v>
      </c>
      <c r="CH83" s="110">
        <v>2997</v>
      </c>
      <c r="CI83" s="108"/>
      <c r="CJ83" s="109"/>
      <c r="CK83" s="111"/>
      <c r="CL83" s="111"/>
      <c r="CM83" s="109"/>
      <c r="CN83" s="111"/>
      <c r="CO83" s="111"/>
      <c r="CP83" s="111"/>
      <c r="CQ83" s="111"/>
      <c r="CR83" s="111"/>
      <c r="CS83" s="111"/>
      <c r="CT83" s="111"/>
      <c r="CU83" s="90">
        <v>1</v>
      </c>
      <c r="CV83" s="112" t="s">
        <v>121</v>
      </c>
      <c r="CW83" s="112"/>
      <c r="CX83" s="113"/>
      <c r="CY83" s="90" t="s">
        <v>122</v>
      </c>
      <c r="CZ83" s="90"/>
      <c r="DA83" s="114" t="s">
        <v>263</v>
      </c>
      <c r="DB83" s="115" t="str">
        <f>PROPER(N83)</f>
        <v>3Msolutions</v>
      </c>
      <c r="DC83" s="116" t="s">
        <v>264</v>
      </c>
      <c r="DD83" s="116" t="str">
        <f>BP83</f>
        <v>Pacci</v>
      </c>
      <c r="DE83" s="117">
        <f>IF(OR(D83&gt;0),IF(BJ83=0,BN83*BQ83,0))</f>
        <v>449.55</v>
      </c>
      <c r="DF83" s="117">
        <f>IF(OR(D83&gt;0),IF(BJ83=0,BN83*BY83,0))</f>
        <v>149.85</v>
      </c>
      <c r="DG83" s="116" t="str">
        <f>BX83</f>
        <v>Pacci</v>
      </c>
      <c r="DH83" s="76"/>
      <c r="DI83" s="120" t="s">
        <v>126</v>
      </c>
      <c r="DJ83" s="120"/>
      <c r="DK83" s="121"/>
      <c r="DL83" s="121"/>
      <c r="DM83" s="122">
        <v>1</v>
      </c>
      <c r="DN83" s="6"/>
      <c r="DO83" s="6"/>
      <c r="DP83" s="6"/>
      <c r="DQ83" s="6"/>
      <c r="DR83" s="6"/>
      <c r="DS83" s="6"/>
      <c r="DT83" s="6"/>
      <c r="DU83" s="6"/>
      <c r="DV83" s="6"/>
      <c r="DW83" s="6"/>
      <c r="DX83" s="6"/>
      <c r="DY83" s="6"/>
      <c r="DZ83" s="6"/>
    </row>
    <row r="84" spans="1:130" ht="34.5" hidden="1" customHeight="1">
      <c r="A84" s="228"/>
      <c r="B84" s="75" t="s">
        <v>1359</v>
      </c>
      <c r="C84" s="90"/>
      <c r="D84" s="75"/>
      <c r="E84" s="76">
        <v>1</v>
      </c>
      <c r="F84" s="75"/>
      <c r="G84" s="400" t="s">
        <v>1585</v>
      </c>
      <c r="H84" s="400" t="s">
        <v>1586</v>
      </c>
      <c r="I84" s="113" t="s">
        <v>1587</v>
      </c>
      <c r="J84" s="121" t="str">
        <f>CONCATENATE(G84," ",H84)</f>
        <v>Carmen Bobbiesi</v>
      </c>
      <c r="K84" s="156">
        <v>3470924149</v>
      </c>
      <c r="L84" s="1880" t="s">
        <v>1588</v>
      </c>
      <c r="M84" s="1894" t="s">
        <v>1148</v>
      </c>
      <c r="N84" s="84" t="s">
        <v>1589</v>
      </c>
      <c r="O84" s="1923"/>
      <c r="P84" s="160"/>
      <c r="Q84" s="160"/>
      <c r="R84" s="403"/>
      <c r="S84" s="160"/>
      <c r="T84" s="160"/>
      <c r="U84" s="160"/>
      <c r="V84" s="160"/>
      <c r="W84" s="160"/>
      <c r="X84" s="131"/>
      <c r="Y84" s="160"/>
      <c r="Z84" s="160"/>
      <c r="AA84" s="160"/>
      <c r="AB84" s="37"/>
      <c r="AC84" s="131"/>
      <c r="AD84" s="121" t="s">
        <v>1590</v>
      </c>
      <c r="AE84" s="88"/>
      <c r="AF84" s="1966"/>
      <c r="AG84" s="1970"/>
      <c r="AH84" s="1970"/>
      <c r="AI84" s="1966"/>
      <c r="AJ84" s="90"/>
      <c r="AK84" s="90"/>
      <c r="AL84" s="90"/>
      <c r="AM84" s="89"/>
      <c r="AN84" s="90"/>
      <c r="AO84" s="90"/>
      <c r="AP84" s="90"/>
      <c r="AQ84" s="89"/>
      <c r="AR84" s="75"/>
      <c r="AS84" s="75"/>
      <c r="AT84" s="75"/>
      <c r="AU84" s="89"/>
      <c r="AV84" s="75"/>
      <c r="AW84" s="75"/>
      <c r="AX84" s="75"/>
      <c r="AY84" s="89"/>
      <c r="AZ84" s="121"/>
      <c r="BA84" s="121" t="s">
        <v>115</v>
      </c>
      <c r="BB84" s="1999" t="s">
        <v>115</v>
      </c>
      <c r="BC84" s="89"/>
      <c r="BD84" s="121" t="s">
        <v>115</v>
      </c>
      <c r="BE84" s="121"/>
      <c r="BF84" s="121"/>
      <c r="BG84" s="89"/>
      <c r="BH84" s="92">
        <f>CF84+CI84+CL84+CO84+CR84</f>
        <v>2997</v>
      </c>
      <c r="BI84" s="92">
        <f>CH84+CK84+CN84+CQ84+CT84</f>
        <v>2997</v>
      </c>
      <c r="BJ84" s="92">
        <f>BH84-BI84</f>
        <v>0</v>
      </c>
      <c r="BK84" s="271"/>
      <c r="BL84" s="2014"/>
      <c r="BM84" s="95"/>
      <c r="BN84" s="142">
        <v>2997</v>
      </c>
      <c r="BO84" s="182"/>
      <c r="BP84" s="2037" t="s">
        <v>487</v>
      </c>
      <c r="BQ84" s="98">
        <v>0.15</v>
      </c>
      <c r="BR84" s="108"/>
      <c r="BS84" s="276">
        <f>BL84*BQ84</f>
        <v>0</v>
      </c>
      <c r="BT84" s="101">
        <f>BM84*BQ84</f>
        <v>0</v>
      </c>
      <c r="BU84" s="102">
        <f>BN84*BQ84</f>
        <v>449.55</v>
      </c>
      <c r="BV84" s="103">
        <f>BO84*BQ84</f>
        <v>0</v>
      </c>
      <c r="BW84" s="80"/>
      <c r="BX84" s="105" t="s">
        <v>487</v>
      </c>
      <c r="BY84" s="145">
        <v>0.05</v>
      </c>
      <c r="BZ84" s="108"/>
      <c r="CA84" s="276">
        <f>BL84*BY84</f>
        <v>0</v>
      </c>
      <c r="CB84" s="101">
        <f>BM84*BY84</f>
        <v>0</v>
      </c>
      <c r="CC84" s="106">
        <f>BN84*BY84</f>
        <v>149.85</v>
      </c>
      <c r="CD84" s="107">
        <f>BO84*BY84</f>
        <v>0</v>
      </c>
      <c r="CE84" s="411"/>
      <c r="CF84" s="108">
        <v>2997</v>
      </c>
      <c r="CG84" s="109">
        <v>45198</v>
      </c>
      <c r="CH84" s="110">
        <v>2997</v>
      </c>
      <c r="CI84" s="2106"/>
      <c r="CJ84" s="184"/>
      <c r="CK84" s="2106"/>
      <c r="CL84" s="2106"/>
      <c r="CM84" s="184"/>
      <c r="CN84" s="2106"/>
      <c r="CO84" s="130"/>
      <c r="CP84" s="130"/>
      <c r="CQ84" s="130"/>
      <c r="CR84" s="130"/>
      <c r="CS84" s="130"/>
      <c r="CT84" s="130"/>
      <c r="CU84" s="90">
        <v>1</v>
      </c>
      <c r="CV84" s="112"/>
      <c r="CW84" s="112"/>
      <c r="CX84" s="112"/>
      <c r="CY84" s="90"/>
      <c r="CZ84" s="75"/>
      <c r="DA84" s="2155" t="s">
        <v>1582</v>
      </c>
      <c r="DB84" s="126" t="str">
        <f>PROPER(N84)</f>
        <v>Perseoweb</v>
      </c>
      <c r="DC84" s="2162" t="s">
        <v>1553</v>
      </c>
      <c r="DD84" s="116" t="str">
        <f>BP84</f>
        <v>Daniela</v>
      </c>
      <c r="DE84" s="117" t="b">
        <f>IF(OR(D84&gt;0),IF(BJ84=0,BN84*BQ84,0))</f>
        <v>0</v>
      </c>
      <c r="DF84" s="117" t="b">
        <f>IF(OR(D84&gt;0),IF(BJ84=0,BN84*BY84,0))</f>
        <v>0</v>
      </c>
      <c r="DG84" s="118" t="str">
        <f>BX84</f>
        <v>Daniela</v>
      </c>
      <c r="DH84" s="76"/>
      <c r="DI84" s="120" t="s">
        <v>126</v>
      </c>
      <c r="DJ84" s="120"/>
      <c r="DK84" s="74" t="s">
        <v>1399</v>
      </c>
      <c r="DL84" s="74" t="s">
        <v>1399</v>
      </c>
      <c r="DM84" s="122"/>
      <c r="DN84" s="6"/>
      <c r="DO84" s="6"/>
      <c r="DP84" s="6"/>
      <c r="DQ84" s="6"/>
      <c r="DR84" s="6"/>
      <c r="DS84" s="6"/>
      <c r="DT84" s="6"/>
      <c r="DU84" s="6"/>
      <c r="DV84" s="6"/>
      <c r="DW84" s="6"/>
      <c r="DX84" s="6"/>
      <c r="DY84" s="6"/>
      <c r="DZ84" s="6"/>
    </row>
    <row r="85" spans="1:130" ht="34.5" hidden="1" customHeight="1">
      <c r="A85" s="3"/>
      <c r="B85" s="75" t="s">
        <v>108</v>
      </c>
      <c r="C85" s="75"/>
      <c r="D85" s="75"/>
      <c r="E85" s="76"/>
      <c r="F85" s="75"/>
      <c r="G85" s="173" t="s">
        <v>611</v>
      </c>
      <c r="H85" s="173" t="s">
        <v>612</v>
      </c>
      <c r="I85" s="174"/>
      <c r="J85" s="155" t="str">
        <f>CONCATENATE(G85," ",H85)</f>
        <v>EX - Joaquin Tomas Beaulieu (licenziato) Iscritto da GP Studio</v>
      </c>
      <c r="K85" s="156">
        <v>3207092078</v>
      </c>
      <c r="L85" s="175" t="s">
        <v>613</v>
      </c>
      <c r="M85" s="176"/>
      <c r="N85" s="84" t="s">
        <v>614</v>
      </c>
      <c r="O85" s="85"/>
      <c r="P85" s="86"/>
      <c r="Q85" s="86"/>
      <c r="R85" s="86"/>
      <c r="S85" s="86"/>
      <c r="T85" s="86"/>
      <c r="U85" s="86"/>
      <c r="V85" s="86"/>
      <c r="W85" s="86"/>
      <c r="X85" s="86"/>
      <c r="Y85" s="87"/>
      <c r="Z85" s="86"/>
      <c r="AA85" s="86"/>
      <c r="AB85" s="86"/>
      <c r="AC85" s="86"/>
      <c r="AD85" s="86" t="s">
        <v>615</v>
      </c>
      <c r="AE85" s="138" t="str">
        <f>L85</f>
        <v xml:space="preserve">GP PRONTO STUDIO TECNICO ha un "buono" di 2.797 €, MASTER PAGATO MA PERSONA NON LAVORA PIU LI - Partecipazione al MiV annullata con mail del 17/05/2023. </v>
      </c>
      <c r="AF85" s="89"/>
      <c r="AG85" s="75"/>
      <c r="AH85" s="75"/>
      <c r="AI85" s="89"/>
      <c r="AJ85" s="75"/>
      <c r="AK85" s="75"/>
      <c r="AL85" s="75"/>
      <c r="AM85" s="89"/>
      <c r="AN85" s="90"/>
      <c r="AO85" s="90"/>
      <c r="AP85" s="90"/>
      <c r="AQ85" s="89"/>
      <c r="AR85" s="75"/>
      <c r="AS85" s="75"/>
      <c r="AT85" s="75"/>
      <c r="AU85" s="89"/>
      <c r="AV85" s="75"/>
      <c r="AW85" s="75"/>
      <c r="AX85" s="75"/>
      <c r="AY85" s="89"/>
      <c r="AZ85" s="121"/>
      <c r="BA85" s="121"/>
      <c r="BB85" s="121"/>
      <c r="BC85" s="89"/>
      <c r="BD85" s="177" t="s">
        <v>27</v>
      </c>
      <c r="BE85" s="177" t="s">
        <v>27</v>
      </c>
      <c r="BF85" s="177" t="s">
        <v>27</v>
      </c>
      <c r="BG85" s="89"/>
      <c r="BH85" s="92">
        <f>CF85+CI85+CL85+CO85+CR85</f>
        <v>2797</v>
      </c>
      <c r="BI85" s="92">
        <f>CH85+CK85+CN85+CQ85+CT85</f>
        <v>2797</v>
      </c>
      <c r="BJ85" s="92">
        <f>BH85-BI85</f>
        <v>0</v>
      </c>
      <c r="BK85" s="93"/>
      <c r="BL85" s="94"/>
      <c r="BM85" s="95"/>
      <c r="BN85" s="96"/>
      <c r="BO85" s="178">
        <v>2797</v>
      </c>
      <c r="BP85" s="80" t="s">
        <v>616</v>
      </c>
      <c r="BQ85" s="98">
        <v>0.15</v>
      </c>
      <c r="BR85" s="99"/>
      <c r="BS85" s="100"/>
      <c r="BT85" s="101">
        <f>BM85*BQ85</f>
        <v>0</v>
      </c>
      <c r="BU85" s="102">
        <f>BN85*BQ85</f>
        <v>0</v>
      </c>
      <c r="BV85" s="103">
        <f>BO85*BQ85</f>
        <v>419.55</v>
      </c>
      <c r="BW85" s="80"/>
      <c r="BX85" s="105" t="s">
        <v>166</v>
      </c>
      <c r="BY85" s="98">
        <v>0.05</v>
      </c>
      <c r="BZ85" s="99"/>
      <c r="CA85" s="100"/>
      <c r="CB85" s="101">
        <f>BM85*BY85</f>
        <v>0</v>
      </c>
      <c r="CC85" s="106">
        <f>BN85*BY85</f>
        <v>0</v>
      </c>
      <c r="CD85" s="107">
        <f>BO85*BY85</f>
        <v>139.85</v>
      </c>
      <c r="CE85" s="90"/>
      <c r="CF85" s="108">
        <v>2797</v>
      </c>
      <c r="CG85" s="109">
        <v>45012</v>
      </c>
      <c r="CH85" s="108">
        <v>2797</v>
      </c>
      <c r="CI85" s="108"/>
      <c r="CJ85" s="109"/>
      <c r="CK85" s="111"/>
      <c r="CL85" s="111"/>
      <c r="CM85" s="109"/>
      <c r="CN85" s="111"/>
      <c r="CO85" s="111"/>
      <c r="CP85" s="111"/>
      <c r="CQ85" s="111"/>
      <c r="CR85" s="111"/>
      <c r="CS85" s="111"/>
      <c r="CT85" s="111"/>
      <c r="CU85" s="90">
        <v>1</v>
      </c>
      <c r="CV85" s="112" t="s">
        <v>121</v>
      </c>
      <c r="CW85" s="112"/>
      <c r="CX85" s="113"/>
      <c r="CY85" s="90" t="s">
        <v>122</v>
      </c>
      <c r="CZ85" s="90"/>
      <c r="DA85" s="80" t="s">
        <v>617</v>
      </c>
      <c r="DB85" s="115" t="str">
        <f>PROPER(N85)</f>
        <v>Gr Pronto Studio Tecnico</v>
      </c>
      <c r="DC85" s="116"/>
      <c r="DD85" s="116" t="str">
        <f>BP85</f>
        <v>Gian Luca Boarini</v>
      </c>
      <c r="DE85" s="117" t="b">
        <f>IF(OR(D85&gt;0),IF(BJ85=0,BN85*BQ85,0))</f>
        <v>0</v>
      </c>
      <c r="DF85" s="117" t="b">
        <f>IF(OR(D85&gt;0),IF(BJ85=0,BN85*BY85,0))</f>
        <v>0</v>
      </c>
      <c r="DG85" s="116" t="str">
        <f>BX85</f>
        <v>Matteo</v>
      </c>
      <c r="DH85" s="76"/>
      <c r="DI85" s="120" t="s">
        <v>154</v>
      </c>
      <c r="DJ85" s="120"/>
      <c r="DK85" s="121"/>
      <c r="DL85" s="121"/>
      <c r="DM85" s="122"/>
      <c r="DN85" s="6"/>
      <c r="DO85" s="6"/>
      <c r="DP85" s="6"/>
      <c r="DQ85" s="6"/>
      <c r="DR85" s="6"/>
      <c r="DS85" s="6"/>
      <c r="DT85" s="6"/>
      <c r="DU85" s="6"/>
      <c r="DV85" s="6"/>
      <c r="DW85" s="6"/>
      <c r="DX85" s="6"/>
      <c r="DY85" s="6"/>
      <c r="DZ85" s="6"/>
    </row>
    <row r="86" spans="1:130" ht="34.5" hidden="1" customHeight="1">
      <c r="A86" s="3"/>
      <c r="B86" s="75" t="s">
        <v>108</v>
      </c>
      <c r="C86" s="75"/>
      <c r="D86" s="75"/>
      <c r="E86" s="76"/>
      <c r="F86" s="75"/>
      <c r="G86" s="79" t="s">
        <v>618</v>
      </c>
      <c r="H86" s="79" t="s">
        <v>619</v>
      </c>
      <c r="I86" s="80" t="s">
        <v>620</v>
      </c>
      <c r="J86" s="155" t="str">
        <f>CONCATENATE(G86," ",H86)</f>
        <v>Ido Miglioranza</v>
      </c>
      <c r="K86" s="156" t="s">
        <v>621</v>
      </c>
      <c r="L86" s="157"/>
      <c r="M86" s="83" t="s">
        <v>347</v>
      </c>
      <c r="N86" s="84" t="s">
        <v>373</v>
      </c>
      <c r="O86" s="85"/>
      <c r="P86" s="86"/>
      <c r="Q86" s="86"/>
      <c r="R86" s="86"/>
      <c r="S86" s="86"/>
      <c r="T86" s="86"/>
      <c r="U86" s="86"/>
      <c r="V86" s="86"/>
      <c r="W86" s="86"/>
      <c r="X86" s="86"/>
      <c r="Y86" s="87"/>
      <c r="Z86" s="86"/>
      <c r="AA86" s="86"/>
      <c r="AB86" s="86"/>
      <c r="AC86" s="86"/>
      <c r="AD86" s="86" t="s">
        <v>374</v>
      </c>
      <c r="AE86" s="88">
        <f>L86</f>
        <v>0</v>
      </c>
      <c r="AF86" s="89"/>
      <c r="AG86" s="75"/>
      <c r="AH86" s="75"/>
      <c r="AI86" s="89"/>
      <c r="AJ86" s="75"/>
      <c r="AK86" s="75"/>
      <c r="AL86" s="75"/>
      <c r="AM86" s="89"/>
      <c r="AN86" s="90"/>
      <c r="AO86" s="90"/>
      <c r="AP86" s="90"/>
      <c r="AQ86" s="89"/>
      <c r="AR86" s="75"/>
      <c r="AS86" s="75"/>
      <c r="AT86" s="75"/>
      <c r="AU86" s="89"/>
      <c r="AV86" s="75"/>
      <c r="AW86" s="75"/>
      <c r="AX86" s="75"/>
      <c r="AY86" s="89"/>
      <c r="AZ86" s="153"/>
      <c r="BA86" s="153"/>
      <c r="BB86" s="153"/>
      <c r="BC86" s="89"/>
      <c r="BD86" s="121" t="s">
        <v>115</v>
      </c>
      <c r="BE86" s="121" t="s">
        <v>115</v>
      </c>
      <c r="BF86" s="121" t="s">
        <v>115</v>
      </c>
      <c r="BG86" s="89"/>
      <c r="BH86" s="92">
        <f>CF86+CI86+CL86+CO86+CR86</f>
        <v>2997</v>
      </c>
      <c r="BI86" s="92">
        <f>CH86+CK86+CN86+CQ86+CT86</f>
        <v>2997</v>
      </c>
      <c r="BJ86" s="92">
        <f>BH86-BI86</f>
        <v>0</v>
      </c>
      <c r="BK86" s="93"/>
      <c r="BL86" s="94"/>
      <c r="BM86" s="95"/>
      <c r="BN86" s="127"/>
      <c r="BO86" s="128">
        <v>2997</v>
      </c>
      <c r="BP86" s="80" t="s">
        <v>184</v>
      </c>
      <c r="BQ86" s="98">
        <v>0.15</v>
      </c>
      <c r="BR86" s="99"/>
      <c r="BS86" s="100"/>
      <c r="BT86" s="101">
        <f>BM86*BQ86</f>
        <v>0</v>
      </c>
      <c r="BU86" s="102">
        <f>BN86*BQ86</f>
        <v>0</v>
      </c>
      <c r="BV86" s="103">
        <f>BO86*BQ86</f>
        <v>449.55</v>
      </c>
      <c r="BW86" s="80"/>
      <c r="BX86" s="105" t="s">
        <v>184</v>
      </c>
      <c r="BY86" s="98">
        <v>0.05</v>
      </c>
      <c r="BZ86" s="99"/>
      <c r="CA86" s="100"/>
      <c r="CB86" s="101">
        <f>BM86*BY86</f>
        <v>0</v>
      </c>
      <c r="CC86" s="106">
        <f>BN86*BY86</f>
        <v>0</v>
      </c>
      <c r="CD86" s="107">
        <f>BO86*BY86</f>
        <v>149.85</v>
      </c>
      <c r="CE86" s="90"/>
      <c r="CF86" s="108">
        <v>2997</v>
      </c>
      <c r="CG86" s="109">
        <v>45048</v>
      </c>
      <c r="CH86" s="108">
        <v>2997</v>
      </c>
      <c r="CI86" s="108"/>
      <c r="CJ86" s="109"/>
      <c r="CK86" s="111"/>
      <c r="CL86" s="111"/>
      <c r="CM86" s="109"/>
      <c r="CN86" s="111"/>
      <c r="CO86" s="111"/>
      <c r="CP86" s="111"/>
      <c r="CQ86" s="111"/>
      <c r="CR86" s="111"/>
      <c r="CS86" s="111"/>
      <c r="CT86" s="111"/>
      <c r="CU86" s="90">
        <v>1</v>
      </c>
      <c r="CV86" s="112" t="s">
        <v>121</v>
      </c>
      <c r="CW86" s="112"/>
      <c r="CX86" s="113"/>
      <c r="CY86" s="90" t="s">
        <v>122</v>
      </c>
      <c r="CZ86" s="90"/>
      <c r="DA86" s="80" t="s">
        <v>375</v>
      </c>
      <c r="DB86" s="115" t="str">
        <f>PROPER(N86)</f>
        <v>Im Group</v>
      </c>
      <c r="DC86" s="116"/>
      <c r="DD86" s="116" t="str">
        <f>BP86</f>
        <v>Cristian A</v>
      </c>
      <c r="DE86" s="117" t="b">
        <f>IF(OR(D86&gt;0),IF(BJ86=0,BN86*BQ86,0))</f>
        <v>0</v>
      </c>
      <c r="DF86" s="117" t="b">
        <f>IF(OR(D86&gt;0),IF(BJ86=0,BN86*BY86,0))</f>
        <v>0</v>
      </c>
      <c r="DG86" s="116" t="str">
        <f>BX86</f>
        <v>Cristian A</v>
      </c>
      <c r="DH86" s="76"/>
      <c r="DI86" s="120" t="s">
        <v>154</v>
      </c>
      <c r="DJ86" s="120"/>
      <c r="DK86" s="121"/>
      <c r="DL86" s="121"/>
      <c r="DM86" s="122"/>
      <c r="DN86" s="6"/>
      <c r="DO86" s="6"/>
      <c r="DP86" s="6"/>
      <c r="DQ86" s="6"/>
      <c r="DR86" s="6"/>
      <c r="DS86" s="6"/>
      <c r="DT86" s="6"/>
      <c r="DU86" s="6"/>
      <c r="DV86" s="6"/>
      <c r="DW86" s="6"/>
      <c r="DX86" s="6"/>
      <c r="DY86" s="6"/>
      <c r="DZ86" s="6"/>
    </row>
    <row r="87" spans="1:130" ht="34.5" hidden="1" customHeight="1">
      <c r="A87" s="3"/>
      <c r="B87" s="129" t="s">
        <v>108</v>
      </c>
      <c r="C87" s="75"/>
      <c r="D87" s="75"/>
      <c r="E87" s="76"/>
      <c r="F87" s="75"/>
      <c r="G87" s="79" t="s">
        <v>622</v>
      </c>
      <c r="H87" s="79" t="s">
        <v>623</v>
      </c>
      <c r="I87" s="80" t="s">
        <v>624</v>
      </c>
      <c r="J87" s="155" t="str">
        <f>CONCATENATE(G87," ",H87)</f>
        <v>Laura Tellaroli</v>
      </c>
      <c r="K87" s="156">
        <v>3488085981</v>
      </c>
      <c r="L87" s="160" t="s">
        <v>625</v>
      </c>
      <c r="M87" s="83"/>
      <c r="N87" s="84" t="s">
        <v>229</v>
      </c>
      <c r="O87" s="85"/>
      <c r="P87" s="86"/>
      <c r="Q87" s="86"/>
      <c r="R87" s="86"/>
      <c r="S87" s="86"/>
      <c r="T87" s="86"/>
      <c r="U87" s="86"/>
      <c r="V87" s="86"/>
      <c r="W87" s="86"/>
      <c r="X87" s="86"/>
      <c r="Y87" s="87"/>
      <c r="Z87" s="86"/>
      <c r="AA87" s="86"/>
      <c r="AB87" s="86"/>
      <c r="AC87" s="86"/>
      <c r="AD87" s="86"/>
      <c r="AE87" s="138" t="str">
        <f>L87</f>
        <v>opzione di pagamento e date da confermare</v>
      </c>
      <c r="AF87" s="89"/>
      <c r="AG87" s="75"/>
      <c r="AH87" s="75"/>
      <c r="AI87" s="89"/>
      <c r="AJ87" s="75"/>
      <c r="AK87" s="75"/>
      <c r="AL87" s="75"/>
      <c r="AM87" s="89"/>
      <c r="AN87" s="90"/>
      <c r="AO87" s="90"/>
      <c r="AP87" s="90"/>
      <c r="AQ87" s="89"/>
      <c r="AR87" s="75"/>
      <c r="AS87" s="75"/>
      <c r="AT87" s="75"/>
      <c r="AU87" s="89"/>
      <c r="AV87" s="75"/>
      <c r="AW87" s="75"/>
      <c r="AX87" s="75"/>
      <c r="AY87" s="89"/>
      <c r="AZ87" s="121"/>
      <c r="BA87" s="121"/>
      <c r="BB87" s="121"/>
      <c r="BC87" s="89"/>
      <c r="BD87" s="121" t="s">
        <v>151</v>
      </c>
      <c r="BE87" s="121" t="s">
        <v>151</v>
      </c>
      <c r="BF87" s="121" t="s">
        <v>151</v>
      </c>
      <c r="BG87" s="89"/>
      <c r="BH87" s="92">
        <f>CF87+CI87+CL87+CO87+CR87</f>
        <v>0</v>
      </c>
      <c r="BI87" s="92">
        <f>CH87+CK87+CN87+CQ87+CT87</f>
        <v>0</v>
      </c>
      <c r="BJ87" s="92">
        <f>BH87-BI87</f>
        <v>0</v>
      </c>
      <c r="BK87" s="93"/>
      <c r="BL87" s="94"/>
      <c r="BM87" s="95"/>
      <c r="BN87" s="96"/>
      <c r="BO87" s="97"/>
      <c r="BP87" s="80" t="s">
        <v>117</v>
      </c>
      <c r="BQ87" s="98">
        <v>0</v>
      </c>
      <c r="BR87" s="99"/>
      <c r="BS87" s="100"/>
      <c r="BT87" s="101">
        <f>BM87*BQ87</f>
        <v>0</v>
      </c>
      <c r="BU87" s="102">
        <f>BN87*BQ87</f>
        <v>0</v>
      </c>
      <c r="BV87" s="103">
        <f>BO87*BQ87</f>
        <v>0</v>
      </c>
      <c r="BW87" s="80" t="s">
        <v>118</v>
      </c>
      <c r="BX87" s="105" t="s">
        <v>152</v>
      </c>
      <c r="BY87" s="98">
        <v>0.05</v>
      </c>
      <c r="BZ87" s="99"/>
      <c r="CA87" s="100"/>
      <c r="CB87" s="101">
        <f>BM87*BY87</f>
        <v>0</v>
      </c>
      <c r="CC87" s="106">
        <f>BN87*BY87</f>
        <v>0</v>
      </c>
      <c r="CD87" s="107">
        <f>BO87*BY87</f>
        <v>0</v>
      </c>
      <c r="CE87" s="90"/>
      <c r="CF87" s="108"/>
      <c r="CG87" s="109"/>
      <c r="CH87" s="110"/>
      <c r="CI87" s="108"/>
      <c r="CJ87" s="109"/>
      <c r="CK87" s="111"/>
      <c r="CL87" s="111"/>
      <c r="CM87" s="109"/>
      <c r="CN87" s="111"/>
      <c r="CO87" s="111"/>
      <c r="CP87" s="111"/>
      <c r="CQ87" s="111"/>
      <c r="CR87" s="111"/>
      <c r="CS87" s="111"/>
      <c r="CT87" s="111"/>
      <c r="CU87" s="90">
        <v>1</v>
      </c>
      <c r="CV87" s="112" t="s">
        <v>121</v>
      </c>
      <c r="CW87" s="112"/>
      <c r="CX87" s="113"/>
      <c r="CY87" s="90" t="s">
        <v>122</v>
      </c>
      <c r="CZ87" s="90"/>
      <c r="DA87" s="80"/>
      <c r="DB87" s="115" t="str">
        <f>PROPER(N87)</f>
        <v>Eurocomponents</v>
      </c>
      <c r="DC87" s="116"/>
      <c r="DD87" s="116" t="str">
        <f>BP87</f>
        <v>blackship</v>
      </c>
      <c r="DE87" s="117" t="b">
        <f>IF(OR(D87&gt;0),IF(BJ87=0,BN87*BQ87,0))</f>
        <v>0</v>
      </c>
      <c r="DF87" s="117" t="b">
        <f>IF(OR(D87&gt;0),IF(BJ87=0,BN87*BY87,0))</f>
        <v>0</v>
      </c>
      <c r="DG87" s="116" t="str">
        <f>BX87</f>
        <v>Client Angel</v>
      </c>
      <c r="DH87" s="76"/>
      <c r="DI87" s="120" t="s">
        <v>154</v>
      </c>
      <c r="DJ87" s="120"/>
      <c r="DK87" s="121"/>
      <c r="DL87" s="121"/>
      <c r="DM87" s="122"/>
      <c r="DN87" s="6"/>
      <c r="DO87" s="6"/>
      <c r="DP87" s="6"/>
      <c r="DQ87" s="6"/>
      <c r="DR87" s="6"/>
      <c r="DS87" s="6"/>
      <c r="DT87" s="6"/>
      <c r="DU87" s="6"/>
      <c r="DV87" s="6"/>
      <c r="DW87" s="6"/>
      <c r="DX87" s="6"/>
      <c r="DY87" s="6"/>
      <c r="DZ87" s="6"/>
    </row>
    <row r="88" spans="1:130" ht="34.5" hidden="1" customHeight="1">
      <c r="A88" s="3"/>
      <c r="B88" s="129" t="s">
        <v>108</v>
      </c>
      <c r="C88" s="75"/>
      <c r="D88" s="75"/>
      <c r="E88" s="76"/>
      <c r="F88" s="75"/>
      <c r="G88" s="79" t="s">
        <v>626</v>
      </c>
      <c r="H88" s="79" t="s">
        <v>627</v>
      </c>
      <c r="I88" s="80" t="s">
        <v>628</v>
      </c>
      <c r="J88" s="155" t="str">
        <f>CONCATENATE(G88," ",H88)</f>
        <v>Lidia Milesi</v>
      </c>
      <c r="K88" s="156">
        <v>3343657562</v>
      </c>
      <c r="L88" s="157" t="s">
        <v>629</v>
      </c>
      <c r="M88" s="83"/>
      <c r="N88" s="84" t="s">
        <v>630</v>
      </c>
      <c r="O88" s="85"/>
      <c r="P88" s="86"/>
      <c r="Q88" s="86"/>
      <c r="R88" s="86"/>
      <c r="S88" s="86"/>
      <c r="T88" s="86"/>
      <c r="U88" s="86"/>
      <c r="V88" s="86"/>
      <c r="W88" s="86"/>
      <c r="X88" s="86"/>
      <c r="Y88" s="87"/>
      <c r="Z88" s="86"/>
      <c r="AA88" s="86"/>
      <c r="AB88" s="86"/>
      <c r="AC88" s="86"/>
      <c r="AD88" s="86"/>
      <c r="AE88" s="88" t="str">
        <f>L88</f>
        <v>30.9.23 Gian - Ha già fatto Sales Attitude perchè deve pagare rateale. Forse pagamento Azienda, NO news</v>
      </c>
      <c r="AF88" s="89"/>
      <c r="AG88" s="75"/>
      <c r="AH88" s="75"/>
      <c r="AI88" s="89"/>
      <c r="AJ88" s="75"/>
      <c r="AK88" s="75"/>
      <c r="AL88" s="75"/>
      <c r="AM88" s="89"/>
      <c r="AN88" s="90"/>
      <c r="AO88" s="90"/>
      <c r="AP88" s="90"/>
      <c r="AQ88" s="89"/>
      <c r="AR88" s="75"/>
      <c r="AS88" s="75"/>
      <c r="AT88" s="75"/>
      <c r="AU88" s="89"/>
      <c r="AV88" s="75"/>
      <c r="AW88" s="75"/>
      <c r="AX88" s="75"/>
      <c r="AY88" s="89"/>
      <c r="AZ88" s="75"/>
      <c r="BA88" s="75"/>
      <c r="BB88" s="75"/>
      <c r="BC88" s="89"/>
      <c r="BD88" s="75" t="s">
        <v>151</v>
      </c>
      <c r="BE88" s="75" t="s">
        <v>151</v>
      </c>
      <c r="BF88" s="75" t="s">
        <v>151</v>
      </c>
      <c r="BG88" s="89"/>
      <c r="BH88" s="92">
        <f>CF88+CI88+CL88+CO88+CR88</f>
        <v>0</v>
      </c>
      <c r="BI88" s="92">
        <f>CH88+CK88+CN88+CQ88+CT88</f>
        <v>0</v>
      </c>
      <c r="BJ88" s="92">
        <f>BH88-BI88</f>
        <v>0</v>
      </c>
      <c r="BK88" s="93"/>
      <c r="BL88" s="94"/>
      <c r="BM88" s="95"/>
      <c r="BN88" s="96"/>
      <c r="BO88" s="97"/>
      <c r="BP88" s="80" t="s">
        <v>287</v>
      </c>
      <c r="BQ88" s="98">
        <v>0.15</v>
      </c>
      <c r="BR88" s="99"/>
      <c r="BS88" s="100"/>
      <c r="BT88" s="101">
        <f>BM88*BQ88</f>
        <v>0</v>
      </c>
      <c r="BU88" s="102">
        <f>BN88*BQ88</f>
        <v>0</v>
      </c>
      <c r="BV88" s="103">
        <f>BO88*BQ88</f>
        <v>0</v>
      </c>
      <c r="BW88" s="80"/>
      <c r="BX88" s="105" t="s">
        <v>287</v>
      </c>
      <c r="BY88" s="98">
        <v>0.05</v>
      </c>
      <c r="BZ88" s="99"/>
      <c r="CA88" s="100"/>
      <c r="CB88" s="101">
        <f>BM88*BY88</f>
        <v>0</v>
      </c>
      <c r="CC88" s="106">
        <f>BN88*BY88</f>
        <v>0</v>
      </c>
      <c r="CD88" s="107">
        <f>BO88*BY88</f>
        <v>0</v>
      </c>
      <c r="CE88" s="90"/>
      <c r="CF88" s="108"/>
      <c r="CG88" s="109">
        <v>45009</v>
      </c>
      <c r="CH88" s="110"/>
      <c r="CI88" s="108"/>
      <c r="CJ88" s="109"/>
      <c r="CK88" s="111"/>
      <c r="CL88" s="111"/>
      <c r="CM88" s="109"/>
      <c r="CN88" s="111"/>
      <c r="CO88" s="111"/>
      <c r="CP88" s="111"/>
      <c r="CQ88" s="111"/>
      <c r="CR88" s="111"/>
      <c r="CS88" s="111"/>
      <c r="CT88" s="111"/>
      <c r="CU88" s="90">
        <v>1</v>
      </c>
      <c r="CV88" s="112" t="s">
        <v>121</v>
      </c>
      <c r="CW88" s="112"/>
      <c r="CX88" s="113"/>
      <c r="CY88" s="90" t="s">
        <v>122</v>
      </c>
      <c r="CZ88" s="90"/>
      <c r="DA88" s="80"/>
      <c r="DB88" s="115" t="str">
        <f>PROPER(N88)</f>
        <v>Lidia Milesi</v>
      </c>
      <c r="DC88" s="116"/>
      <c r="DD88" s="116" t="str">
        <f>BP88</f>
        <v>Riccardo</v>
      </c>
      <c r="DE88" s="117" t="b">
        <f>IF(OR(D88&gt;0),IF(BJ88=0,BN88*BQ88,0))</f>
        <v>0</v>
      </c>
      <c r="DF88" s="117" t="b">
        <f>IF(OR(D88&gt;0),IF(BJ88=0,BN88*BY88,0))</f>
        <v>0</v>
      </c>
      <c r="DG88" s="116" t="str">
        <f>BX88</f>
        <v>Riccardo</v>
      </c>
      <c r="DH88" s="76"/>
      <c r="DI88" s="120" t="s">
        <v>154</v>
      </c>
      <c r="DJ88" s="120"/>
      <c r="DK88" s="121"/>
      <c r="DL88" s="121"/>
      <c r="DM88" s="122"/>
      <c r="DN88" s="6"/>
      <c r="DO88" s="6"/>
      <c r="DP88" s="6"/>
      <c r="DQ88" s="6"/>
      <c r="DR88" s="6"/>
      <c r="DS88" s="6"/>
      <c r="DT88" s="6"/>
      <c r="DU88" s="6"/>
      <c r="DV88" s="6"/>
      <c r="DW88" s="6"/>
      <c r="DX88" s="6"/>
      <c r="DY88" s="6"/>
      <c r="DZ88" s="6"/>
    </row>
    <row r="89" spans="1:130" ht="34.5" hidden="1" customHeight="1">
      <c r="A89" s="3"/>
      <c r="B89" s="129" t="s">
        <v>108</v>
      </c>
      <c r="C89" s="75"/>
      <c r="D89" s="75"/>
      <c r="E89" s="76"/>
      <c r="F89" s="75"/>
      <c r="G89" s="79" t="s">
        <v>631</v>
      </c>
      <c r="H89" s="79" t="s">
        <v>632</v>
      </c>
      <c r="I89" s="80" t="s">
        <v>633</v>
      </c>
      <c r="J89" s="155" t="str">
        <f>CONCATENATE(G89," ",H89)</f>
        <v>Lorenzo Rossetti</v>
      </c>
      <c r="K89" s="156">
        <v>3386689190</v>
      </c>
      <c r="L89" s="160" t="s">
        <v>634</v>
      </c>
      <c r="M89" s="83" t="s">
        <v>635</v>
      </c>
      <c r="N89" s="84" t="s">
        <v>636</v>
      </c>
      <c r="O89" s="85"/>
      <c r="P89" s="86"/>
      <c r="Q89" s="86"/>
      <c r="R89" s="86"/>
      <c r="S89" s="86"/>
      <c r="T89" s="86"/>
      <c r="U89" s="86"/>
      <c r="V89" s="86"/>
      <c r="W89" s="86"/>
      <c r="X89" s="86"/>
      <c r="Y89" s="87"/>
      <c r="Z89" s="86"/>
      <c r="AA89" s="86"/>
      <c r="AB89" s="86"/>
      <c r="AC89" s="86"/>
      <c r="AD89" s="86"/>
      <c r="AE89" s="138" t="str">
        <f>L89</f>
        <v>Deve avere conferma dal titolare. Risentire a fine maggio perchè stanno valutando il progetto, ma ancora no news. Potrebbe essere di coinvolgere anche altri, ma tempi lunghi.</v>
      </c>
      <c r="AF89" s="89"/>
      <c r="AG89" s="75"/>
      <c r="AH89" s="75"/>
      <c r="AI89" s="89"/>
      <c r="AJ89" s="75"/>
      <c r="AK89" s="75"/>
      <c r="AL89" s="75"/>
      <c r="AM89" s="89"/>
      <c r="AN89" s="90"/>
      <c r="AO89" s="90"/>
      <c r="AP89" s="90"/>
      <c r="AQ89" s="89"/>
      <c r="AR89" s="75"/>
      <c r="AS89" s="75"/>
      <c r="AT89" s="75"/>
      <c r="AU89" s="89"/>
      <c r="AV89" s="75"/>
      <c r="AW89" s="75"/>
      <c r="AX89" s="75"/>
      <c r="AY89" s="89"/>
      <c r="AZ89" s="121"/>
      <c r="BA89" s="121"/>
      <c r="BB89" s="121"/>
      <c r="BC89" s="89"/>
      <c r="BD89" s="121" t="s">
        <v>151</v>
      </c>
      <c r="BE89" s="121" t="s">
        <v>151</v>
      </c>
      <c r="BF89" s="121" t="s">
        <v>151</v>
      </c>
      <c r="BG89" s="89"/>
      <c r="BH89" s="92">
        <f>CF89+CI89+CL89+CO89+CR89</f>
        <v>0</v>
      </c>
      <c r="BI89" s="92">
        <f>CH89+CK89+CN89+CQ89+CT89</f>
        <v>0</v>
      </c>
      <c r="BJ89" s="92">
        <f>BH89-BI89</f>
        <v>0</v>
      </c>
      <c r="BK89" s="93"/>
      <c r="BL89" s="94"/>
      <c r="BM89" s="95"/>
      <c r="BN89" s="96"/>
      <c r="BO89" s="97"/>
      <c r="BP89" s="80" t="s">
        <v>117</v>
      </c>
      <c r="BQ89" s="98">
        <v>0</v>
      </c>
      <c r="BR89" s="99"/>
      <c r="BS89" s="100"/>
      <c r="BT89" s="101">
        <f>BM89*BQ89</f>
        <v>0</v>
      </c>
      <c r="BU89" s="102">
        <f>BN89*BQ89</f>
        <v>0</v>
      </c>
      <c r="BV89" s="103">
        <f>BO89*BQ89</f>
        <v>0</v>
      </c>
      <c r="BW89" s="80" t="s">
        <v>118</v>
      </c>
      <c r="BX89" s="105" t="s">
        <v>152</v>
      </c>
      <c r="BY89" s="98">
        <v>0.05</v>
      </c>
      <c r="BZ89" s="99"/>
      <c r="CA89" s="100"/>
      <c r="CB89" s="101">
        <f>BM89*BY89</f>
        <v>0</v>
      </c>
      <c r="CC89" s="106">
        <f>BN89*BY89</f>
        <v>0</v>
      </c>
      <c r="CD89" s="107">
        <f>BO89*BY89</f>
        <v>0</v>
      </c>
      <c r="CE89" s="90"/>
      <c r="CF89" s="108"/>
      <c r="CG89" s="109"/>
      <c r="CH89" s="110"/>
      <c r="CI89" s="108"/>
      <c r="CJ89" s="109"/>
      <c r="CK89" s="111"/>
      <c r="CL89" s="111"/>
      <c r="CM89" s="109"/>
      <c r="CN89" s="111"/>
      <c r="CO89" s="111"/>
      <c r="CP89" s="111"/>
      <c r="CQ89" s="111"/>
      <c r="CR89" s="111"/>
      <c r="CS89" s="111"/>
      <c r="CT89" s="111"/>
      <c r="CU89" s="90">
        <v>1</v>
      </c>
      <c r="CV89" s="112" t="s">
        <v>121</v>
      </c>
      <c r="CW89" s="112"/>
      <c r="CX89" s="113"/>
      <c r="CY89" s="90" t="s">
        <v>122</v>
      </c>
      <c r="CZ89" s="90"/>
      <c r="DA89" s="80"/>
      <c r="DB89" s="115" t="str">
        <f>PROPER(N89)</f>
        <v>Nippon Gases</v>
      </c>
      <c r="DC89" s="116"/>
      <c r="DD89" s="116" t="str">
        <f>BP89</f>
        <v>blackship</v>
      </c>
      <c r="DE89" s="117" t="b">
        <f>IF(OR(D89&gt;0),IF(BJ89=0,BN89*BQ89,0))</f>
        <v>0</v>
      </c>
      <c r="DF89" s="117" t="b">
        <f>IF(OR(D89&gt;0),IF(BJ89=0,BN89*BY89,0))</f>
        <v>0</v>
      </c>
      <c r="DG89" s="116" t="str">
        <f>BX89</f>
        <v>Client Angel</v>
      </c>
      <c r="DH89" s="76"/>
      <c r="DI89" s="120" t="s">
        <v>154</v>
      </c>
      <c r="DJ89" s="120"/>
      <c r="DK89" s="121"/>
      <c r="DL89" s="121"/>
      <c r="DM89" s="122"/>
      <c r="DN89" s="6"/>
      <c r="DO89" s="6"/>
      <c r="DP89" s="6"/>
      <c r="DQ89" s="6"/>
      <c r="DR89" s="6"/>
      <c r="DS89" s="6"/>
      <c r="DT89" s="6"/>
      <c r="DU89" s="6"/>
      <c r="DV89" s="6"/>
      <c r="DW89" s="6"/>
      <c r="DX89" s="6"/>
      <c r="DY89" s="6"/>
      <c r="DZ89" s="6"/>
    </row>
    <row r="90" spans="1:130" ht="34.5" hidden="1" customHeight="1">
      <c r="A90" s="3"/>
      <c r="B90" s="75" t="s">
        <v>108</v>
      </c>
      <c r="C90" s="75"/>
      <c r="D90" s="75"/>
      <c r="E90" s="76"/>
      <c r="F90" s="75"/>
      <c r="G90" s="79" t="s">
        <v>631</v>
      </c>
      <c r="H90" s="79" t="s">
        <v>637</v>
      </c>
      <c r="I90" s="80" t="s">
        <v>638</v>
      </c>
      <c r="J90" s="155" t="str">
        <f>CONCATENATE(G90," ",H90)</f>
        <v>Lorenzo Zini</v>
      </c>
      <c r="K90" s="156">
        <v>3335959361</v>
      </c>
      <c r="L90" s="157" t="s">
        <v>639</v>
      </c>
      <c r="M90" s="83" t="s">
        <v>640</v>
      </c>
      <c r="N90" s="84" t="s">
        <v>641</v>
      </c>
      <c r="O90" s="85"/>
      <c r="P90" s="86"/>
      <c r="Q90" s="86"/>
      <c r="R90" s="86"/>
      <c r="S90" s="86"/>
      <c r="T90" s="86"/>
      <c r="U90" s="86"/>
      <c r="V90" s="86"/>
      <c r="W90" s="86"/>
      <c r="X90" s="86"/>
      <c r="Y90" s="87"/>
      <c r="Z90" s="86"/>
      <c r="AA90" s="86"/>
      <c r="AB90" s="86"/>
      <c r="AC90" s="86"/>
      <c r="AD90" s="86" t="s">
        <v>642</v>
      </c>
      <c r="AE90" s="88" t="str">
        <f>L90</f>
        <v>Marco - AGO 23 - Conferma che ci sarà</v>
      </c>
      <c r="AF90" s="89"/>
      <c r="AG90" s="75"/>
      <c r="AH90" s="75"/>
      <c r="AI90" s="89"/>
      <c r="AJ90" s="75"/>
      <c r="AK90" s="75"/>
      <c r="AL90" s="75"/>
      <c r="AM90" s="89"/>
      <c r="AN90" s="90"/>
      <c r="AO90" s="90"/>
      <c r="AP90" s="90"/>
      <c r="AQ90" s="89"/>
      <c r="AR90" s="75"/>
      <c r="AS90" s="75"/>
      <c r="AT90" s="75"/>
      <c r="AU90" s="89"/>
      <c r="AV90" s="75"/>
      <c r="AW90" s="75"/>
      <c r="AX90" s="75"/>
      <c r="AY90" s="89"/>
      <c r="AZ90" s="153"/>
      <c r="BA90" s="153"/>
      <c r="BB90" s="153"/>
      <c r="BC90" s="89"/>
      <c r="BD90" s="154" t="s">
        <v>165</v>
      </c>
      <c r="BE90" s="154" t="s">
        <v>165</v>
      </c>
      <c r="BF90" s="154" t="s">
        <v>165</v>
      </c>
      <c r="BG90" s="89"/>
      <c r="BH90" s="92">
        <f>CF90+CI90+CL90+CO90+CR90</f>
        <v>2997</v>
      </c>
      <c r="BI90" s="92">
        <f>CH90+CK90+CN90+CQ90+CT90</f>
        <v>2997</v>
      </c>
      <c r="BJ90" s="92">
        <f>BH90-BI90</f>
        <v>0</v>
      </c>
      <c r="BK90" s="93"/>
      <c r="BL90" s="94"/>
      <c r="BM90" s="95"/>
      <c r="BN90" s="127"/>
      <c r="BO90" s="128">
        <v>2997</v>
      </c>
      <c r="BP90" s="80" t="s">
        <v>246</v>
      </c>
      <c r="BQ90" s="98">
        <v>0.15</v>
      </c>
      <c r="BR90" s="99"/>
      <c r="BS90" s="100"/>
      <c r="BT90" s="101">
        <f>BM90*BQ90</f>
        <v>0</v>
      </c>
      <c r="BU90" s="102">
        <f>BN90*BQ90</f>
        <v>0</v>
      </c>
      <c r="BV90" s="103">
        <f>BO90*BQ90</f>
        <v>449.55</v>
      </c>
      <c r="BW90" s="80"/>
      <c r="BX90" s="105" t="s">
        <v>246</v>
      </c>
      <c r="BY90" s="98">
        <v>0.05</v>
      </c>
      <c r="BZ90" s="99"/>
      <c r="CA90" s="100"/>
      <c r="CB90" s="101">
        <f>BM90*BY90</f>
        <v>0</v>
      </c>
      <c r="CC90" s="106">
        <f>BN90*BY90</f>
        <v>0</v>
      </c>
      <c r="CD90" s="107">
        <f>BO90*BY90</f>
        <v>149.85</v>
      </c>
      <c r="CE90" s="90"/>
      <c r="CF90" s="108">
        <v>2997</v>
      </c>
      <c r="CG90" s="109">
        <v>45008</v>
      </c>
      <c r="CH90" s="110">
        <v>2997</v>
      </c>
      <c r="CI90" s="108"/>
      <c r="CJ90" s="109"/>
      <c r="CK90" s="111"/>
      <c r="CL90" s="111"/>
      <c r="CM90" s="109"/>
      <c r="CN90" s="111"/>
      <c r="CO90" s="111"/>
      <c r="CP90" s="111"/>
      <c r="CQ90" s="111"/>
      <c r="CR90" s="111"/>
      <c r="CS90" s="111"/>
      <c r="CT90" s="111"/>
      <c r="CU90" s="90">
        <v>1</v>
      </c>
      <c r="CV90" s="112" t="s">
        <v>121</v>
      </c>
      <c r="CW90" s="112"/>
      <c r="CX90" s="113"/>
      <c r="CY90" s="90" t="s">
        <v>122</v>
      </c>
      <c r="CZ90" s="90"/>
      <c r="DA90" s="80" t="s">
        <v>643</v>
      </c>
      <c r="DB90" s="115" t="str">
        <f>PROPER(N90)</f>
        <v>Farco Group</v>
      </c>
      <c r="DC90" s="116" t="s">
        <v>644</v>
      </c>
      <c r="DD90" s="116" t="str">
        <f>BP90</f>
        <v>Marco</v>
      </c>
      <c r="DE90" s="117" t="b">
        <f>IF(OR(D90&gt;0),IF(BJ90=0,BN90*BQ90,0))</f>
        <v>0</v>
      </c>
      <c r="DF90" s="117" t="b">
        <f>IF(OR(D90&gt;0),IF(BJ90=0,BN90*BY90,0))</f>
        <v>0</v>
      </c>
      <c r="DG90" s="116" t="str">
        <f>BX90</f>
        <v>Marco</v>
      </c>
      <c r="DH90" s="76"/>
      <c r="DI90" s="120" t="s">
        <v>154</v>
      </c>
      <c r="DJ90" s="120"/>
      <c r="DK90" s="121"/>
      <c r="DL90" s="121"/>
      <c r="DM90" s="122"/>
      <c r="DN90" s="6"/>
      <c r="DO90" s="6"/>
      <c r="DP90" s="6"/>
      <c r="DQ90" s="6"/>
      <c r="DR90" s="6"/>
      <c r="DS90" s="6"/>
      <c r="DT90" s="6"/>
      <c r="DU90" s="6"/>
      <c r="DV90" s="6"/>
      <c r="DW90" s="6"/>
      <c r="DX90" s="6"/>
      <c r="DY90" s="6"/>
      <c r="DZ90" s="6"/>
    </row>
    <row r="91" spans="1:130" ht="34.5" hidden="1" customHeight="1">
      <c r="A91" s="228"/>
      <c r="B91" s="75" t="s">
        <v>1359</v>
      </c>
      <c r="C91" s="90"/>
      <c r="D91" s="75">
        <v>1</v>
      </c>
      <c r="E91" s="76">
        <v>1</v>
      </c>
      <c r="F91" s="75"/>
      <c r="G91" s="400" t="s">
        <v>1592</v>
      </c>
      <c r="H91" s="400" t="s">
        <v>1593</v>
      </c>
      <c r="I91" s="113" t="s">
        <v>1594</v>
      </c>
      <c r="J91" s="121" t="str">
        <f>CONCATENATE(G91," ",H91)</f>
        <v>Carolina Vitali</v>
      </c>
      <c r="K91" s="156">
        <v>3669318158</v>
      </c>
      <c r="L91" s="435"/>
      <c r="M91" s="1894" t="s">
        <v>1148</v>
      </c>
      <c r="N91" s="1921" t="s">
        <v>1595</v>
      </c>
      <c r="O91" s="1923" t="s">
        <v>1596</v>
      </c>
      <c r="P91" s="160"/>
      <c r="Q91" s="160"/>
      <c r="R91" s="403"/>
      <c r="S91" s="160"/>
      <c r="T91" s="160"/>
      <c r="U91" s="160"/>
      <c r="V91" s="160"/>
      <c r="W91" s="160"/>
      <c r="X91" s="131"/>
      <c r="Y91" s="160"/>
      <c r="Z91" s="160"/>
      <c r="AA91" s="160"/>
      <c r="AB91" s="37"/>
      <c r="AC91" s="131"/>
      <c r="AD91" s="121" t="s">
        <v>1597</v>
      </c>
      <c r="AE91" s="88"/>
      <c r="AF91" s="1966"/>
      <c r="AG91" s="1970"/>
      <c r="AH91" s="1970"/>
      <c r="AI91" s="1966"/>
      <c r="AJ91" s="90"/>
      <c r="AK91" s="90"/>
      <c r="AL91" s="90"/>
      <c r="AM91" s="89"/>
      <c r="AN91" s="90"/>
      <c r="AO91" s="90"/>
      <c r="AP91" s="90"/>
      <c r="AQ91" s="89"/>
      <c r="AR91" s="75"/>
      <c r="AS91" s="75"/>
      <c r="AT91" s="75"/>
      <c r="AU91" s="89"/>
      <c r="AV91" s="75"/>
      <c r="AW91" s="75"/>
      <c r="AX91" s="75"/>
      <c r="AY91" s="89"/>
      <c r="AZ91" s="121" t="s">
        <v>115</v>
      </c>
      <c r="BA91" s="121" t="s">
        <v>115</v>
      </c>
      <c r="BB91" s="135" t="s">
        <v>115</v>
      </c>
      <c r="BC91" s="89"/>
      <c r="BD91" s="121"/>
      <c r="BE91" s="121"/>
      <c r="BF91" s="121"/>
      <c r="BG91" s="89"/>
      <c r="BH91" s="92">
        <f>CF91+CI91+CL91+CO91+CR91</f>
        <v>2997</v>
      </c>
      <c r="BI91" s="92">
        <f>CH91+CK91+CN91+CQ91+CT91</f>
        <v>2997</v>
      </c>
      <c r="BJ91" s="92">
        <f>BH91-BI91</f>
        <v>0</v>
      </c>
      <c r="BK91" s="271"/>
      <c r="BL91" s="2014"/>
      <c r="BM91" s="95"/>
      <c r="BN91" s="127">
        <v>2997</v>
      </c>
      <c r="BO91" s="128"/>
      <c r="BP91" s="2037" t="s">
        <v>487</v>
      </c>
      <c r="BQ91" s="98">
        <v>0.15</v>
      </c>
      <c r="BR91" s="108"/>
      <c r="BS91" s="276">
        <f>BL91*BQ91</f>
        <v>0</v>
      </c>
      <c r="BT91" s="101">
        <f>BM91*BQ91</f>
        <v>0</v>
      </c>
      <c r="BU91" s="102">
        <f>BN91*BQ91</f>
        <v>449.55</v>
      </c>
      <c r="BV91" s="103">
        <f>BO91*BQ91</f>
        <v>0</v>
      </c>
      <c r="BW91" s="84" t="s">
        <v>185</v>
      </c>
      <c r="BX91" s="105" t="s">
        <v>487</v>
      </c>
      <c r="BY91" s="145">
        <v>0.05</v>
      </c>
      <c r="BZ91" s="108"/>
      <c r="CA91" s="276">
        <f>BL91*BY91</f>
        <v>0</v>
      </c>
      <c r="CB91" s="101">
        <f>BM91*BY91</f>
        <v>0</v>
      </c>
      <c r="CC91" s="106">
        <f>BN91*BY91</f>
        <v>149.85</v>
      </c>
      <c r="CD91" s="107">
        <f>BO91*BY91</f>
        <v>0</v>
      </c>
      <c r="CE91" s="84" t="s">
        <v>185</v>
      </c>
      <c r="CF91" s="108">
        <v>2997</v>
      </c>
      <c r="CG91" s="109">
        <v>45198</v>
      </c>
      <c r="CH91" s="110">
        <v>2997</v>
      </c>
      <c r="CI91" s="108"/>
      <c r="CJ91" s="109"/>
      <c r="CK91" s="108"/>
      <c r="CL91" s="108"/>
      <c r="CM91" s="109"/>
      <c r="CN91" s="2106"/>
      <c r="CO91" s="130"/>
      <c r="CP91" s="130"/>
      <c r="CQ91" s="130"/>
      <c r="CR91" s="130"/>
      <c r="CS91" s="130"/>
      <c r="CT91" s="130"/>
      <c r="CU91" s="90">
        <v>1</v>
      </c>
      <c r="CV91" s="112"/>
      <c r="CW91" s="112"/>
      <c r="CX91" s="112"/>
      <c r="CY91" s="90"/>
      <c r="CZ91" s="75"/>
      <c r="DA91" s="2154" t="s">
        <v>1598</v>
      </c>
      <c r="DB91" s="115" t="str">
        <f>PROPER(N91)</f>
        <v>Yellow Solutions</v>
      </c>
      <c r="DC91" s="2162" t="s">
        <v>1599</v>
      </c>
      <c r="DD91" s="116" t="str">
        <f>BP91</f>
        <v>Daniela</v>
      </c>
      <c r="DE91" s="117">
        <f>IF(OR(D91&gt;0),IF(BJ91=0,BN91*BQ91,0))</f>
        <v>449.55</v>
      </c>
      <c r="DF91" s="117">
        <f>IF(OR(D91&gt;0),IF(BJ91=0,BN91*BY91,0))</f>
        <v>149.85</v>
      </c>
      <c r="DG91" s="118" t="str">
        <f>BX91</f>
        <v>Daniela</v>
      </c>
      <c r="DH91" s="76"/>
      <c r="DI91" s="120" t="s">
        <v>126</v>
      </c>
      <c r="DJ91" s="120"/>
      <c r="DK91" s="74" t="s">
        <v>1418</v>
      </c>
      <c r="DL91" s="74" t="s">
        <v>1418</v>
      </c>
      <c r="DM91" s="122">
        <v>1</v>
      </c>
      <c r="DN91" s="6"/>
      <c r="DO91" s="6"/>
      <c r="DP91" s="6"/>
      <c r="DQ91" s="6"/>
      <c r="DR91" s="6"/>
      <c r="DS91" s="6"/>
      <c r="DT91" s="6"/>
      <c r="DU91" s="6"/>
      <c r="DV91" s="6"/>
      <c r="DW91" s="6"/>
      <c r="DX91" s="6"/>
      <c r="DY91" s="6"/>
      <c r="DZ91" s="6"/>
    </row>
    <row r="92" spans="1:130" ht="34.5" hidden="1" customHeight="1">
      <c r="A92" s="1803"/>
      <c r="B92" s="1805" t="s">
        <v>1928</v>
      </c>
      <c r="C92" s="1806"/>
      <c r="D92" s="1805"/>
      <c r="E92" s="1809"/>
      <c r="F92" s="1806"/>
      <c r="G92" s="1819" t="s">
        <v>2588</v>
      </c>
      <c r="H92" s="1819" t="s">
        <v>2589</v>
      </c>
      <c r="I92" s="1841" t="s">
        <v>2590</v>
      </c>
      <c r="J92" s="1848" t="str">
        <f>CONCATENATE(G92," ",H92)</f>
        <v>Cesare Bagnari</v>
      </c>
      <c r="K92" s="1856"/>
      <c r="L92" s="1873"/>
      <c r="M92" s="1867"/>
      <c r="N92" s="84" t="s">
        <v>1913</v>
      </c>
      <c r="O92" s="1934"/>
      <c r="P92" s="1868"/>
      <c r="Q92" s="1868"/>
      <c r="R92" s="461"/>
      <c r="S92" s="461"/>
      <c r="T92" s="461"/>
      <c r="U92" s="461"/>
      <c r="V92" s="461"/>
      <c r="W92" s="1868"/>
      <c r="X92" s="461"/>
      <c r="Y92" s="1868"/>
      <c r="Z92" s="1868"/>
      <c r="AA92" s="1868"/>
      <c r="AB92" s="1868"/>
      <c r="AC92" s="461"/>
      <c r="AD92" s="1962" t="s">
        <v>118</v>
      </c>
      <c r="AE92" s="1965"/>
      <c r="AF92" s="1969"/>
      <c r="AG92" s="1977"/>
      <c r="AH92" s="1977"/>
      <c r="AI92" s="1969"/>
      <c r="AJ92" s="1806"/>
      <c r="AK92" s="1806"/>
      <c r="AL92" s="1806"/>
      <c r="AM92" s="1969"/>
      <c r="AN92" s="1806"/>
      <c r="AO92" s="1806"/>
      <c r="AP92" s="1806"/>
      <c r="AQ92" s="1969"/>
      <c r="AR92" s="1806"/>
      <c r="AS92" s="1806"/>
      <c r="AT92" s="1806"/>
      <c r="AU92" s="1969"/>
      <c r="AV92" s="1806"/>
      <c r="AW92" s="1995"/>
      <c r="AX92" s="1995"/>
      <c r="AY92" s="1969"/>
      <c r="AZ92" s="460"/>
      <c r="BA92" s="1997"/>
      <c r="BB92" s="135" t="s">
        <v>116</v>
      </c>
      <c r="BC92" s="1969"/>
      <c r="BD92" s="461"/>
      <c r="BE92" s="461"/>
      <c r="BF92" s="461"/>
      <c r="BG92" s="1969"/>
      <c r="BH92" s="2005"/>
      <c r="BI92" s="2005"/>
      <c r="BJ92" s="2005"/>
      <c r="BK92" s="2011"/>
      <c r="BL92" s="2021"/>
      <c r="BM92" s="2025"/>
      <c r="BN92" s="273"/>
      <c r="BO92" s="274"/>
      <c r="BP92" s="2048"/>
      <c r="BQ92" s="2055"/>
      <c r="BR92" s="2062"/>
      <c r="BS92" s="2069"/>
      <c r="BT92" s="2073"/>
      <c r="BU92" s="2078">
        <f>BN92*BQ92</f>
        <v>0</v>
      </c>
      <c r="BV92" s="2081">
        <f>BO92*BQ92</f>
        <v>0</v>
      </c>
      <c r="BW92" s="1806"/>
      <c r="BX92" s="2050"/>
      <c r="BY92" s="2055"/>
      <c r="BZ92" s="2062"/>
      <c r="CA92" s="2069"/>
      <c r="CB92" s="2073"/>
      <c r="CC92" s="2088">
        <f>BN92*BY92</f>
        <v>0</v>
      </c>
      <c r="CD92" s="2091">
        <f>BO92*BY92</f>
        <v>0</v>
      </c>
      <c r="CE92" s="2094"/>
      <c r="CF92" s="2062"/>
      <c r="CG92" s="2102"/>
      <c r="CH92" s="2062"/>
      <c r="CI92" s="2062"/>
      <c r="CJ92" s="2102"/>
      <c r="CK92" s="2062"/>
      <c r="CL92" s="2062"/>
      <c r="CM92" s="2102"/>
      <c r="CN92" s="2062"/>
      <c r="CO92" s="2120"/>
      <c r="CP92" s="2120"/>
      <c r="CQ92" s="2120"/>
      <c r="CR92" s="2120"/>
      <c r="CS92" s="2120"/>
      <c r="CT92" s="2120"/>
      <c r="CU92" s="1806"/>
      <c r="CV92" s="1806"/>
      <c r="CW92" s="1806"/>
      <c r="CX92" s="1806"/>
      <c r="CY92" s="1806"/>
      <c r="CZ92" s="1806"/>
      <c r="DA92" s="1867" t="s">
        <v>1915</v>
      </c>
      <c r="DB92" s="2159" t="str">
        <f>PROPER(N92)</f>
        <v>Ciclat Trasporti Ambiente</v>
      </c>
      <c r="DC92" s="2162" t="s">
        <v>1195</v>
      </c>
      <c r="DD92" s="116">
        <f>BP92</f>
        <v>0</v>
      </c>
      <c r="DE92" s="2169" t="b">
        <f>IF(OR(D92&gt;0),IF(BJ92=0,BN92*BQ92,0))</f>
        <v>0</v>
      </c>
      <c r="DF92" s="2169" t="b">
        <f>IF(OR(D92&gt;0),IF(BJ92=0,BN92*BY92,0))</f>
        <v>0</v>
      </c>
      <c r="DG92" s="2048">
        <f>BX92</f>
        <v>0</v>
      </c>
      <c r="DH92" s="2175"/>
      <c r="DI92" s="120" t="s">
        <v>126</v>
      </c>
      <c r="DJ92" s="120"/>
      <c r="DK92" s="461"/>
      <c r="DL92" s="461"/>
      <c r="DM92" s="248">
        <v>1</v>
      </c>
      <c r="DN92" s="458"/>
      <c r="DO92" s="458"/>
      <c r="DP92" s="458"/>
      <c r="DQ92" s="458"/>
      <c r="DR92" s="458"/>
      <c r="DS92" s="458"/>
      <c r="DT92" s="458"/>
      <c r="DU92" s="458"/>
      <c r="DV92" s="458"/>
      <c r="DW92" s="458"/>
      <c r="DX92" s="458"/>
      <c r="DY92" s="458"/>
      <c r="DZ92" s="458"/>
    </row>
    <row r="93" spans="1:130" ht="34.5" hidden="1" customHeight="1">
      <c r="A93" s="228"/>
      <c r="B93" s="75" t="s">
        <v>1324</v>
      </c>
      <c r="C93" s="90"/>
      <c r="D93" s="75"/>
      <c r="E93" s="76"/>
      <c r="F93" s="75"/>
      <c r="G93" s="400" t="s">
        <v>275</v>
      </c>
      <c r="H93" s="400" t="s">
        <v>2255</v>
      </c>
      <c r="I93" s="113"/>
      <c r="J93" s="185" t="str">
        <f>CONCATENATE(G93," ",H93)</f>
        <v>Chiara Sirocchi</v>
      </c>
      <c r="K93" s="156"/>
      <c r="L93" s="435"/>
      <c r="M93" s="1894"/>
      <c r="N93" s="84" t="s">
        <v>2253</v>
      </c>
      <c r="O93" s="1923"/>
      <c r="P93" s="160"/>
      <c r="Q93" s="160"/>
      <c r="R93" s="403"/>
      <c r="S93" s="160"/>
      <c r="T93" s="160"/>
      <c r="U93" s="160"/>
      <c r="V93" s="160"/>
      <c r="W93" s="160"/>
      <c r="X93" s="131"/>
      <c r="Y93" s="160"/>
      <c r="Z93" s="160"/>
      <c r="AA93" s="160"/>
      <c r="AB93" s="37"/>
      <c r="AC93" s="131"/>
      <c r="AD93" s="121"/>
      <c r="AE93" s="88"/>
      <c r="AF93" s="1966"/>
      <c r="AG93" s="1970"/>
      <c r="AH93" s="1970"/>
      <c r="AI93" s="1966"/>
      <c r="AJ93" s="90"/>
      <c r="AK93" s="90"/>
      <c r="AL93" s="90"/>
      <c r="AM93" s="89"/>
      <c r="AN93" s="90"/>
      <c r="AO93" s="90"/>
      <c r="AP93" s="90"/>
      <c r="AQ93" s="89"/>
      <c r="AR93" s="75"/>
      <c r="AS93" s="75"/>
      <c r="AT93" s="75"/>
      <c r="AU93" s="89"/>
      <c r="AV93" s="75"/>
      <c r="AW93" s="75"/>
      <c r="AX93" s="75"/>
      <c r="AY93" s="89"/>
      <c r="AZ93" s="121"/>
      <c r="BA93" s="121"/>
      <c r="BB93" s="121" t="s">
        <v>115</v>
      </c>
      <c r="BC93" s="89"/>
      <c r="BD93" s="121" t="s">
        <v>115</v>
      </c>
      <c r="BE93" s="121" t="s">
        <v>115</v>
      </c>
      <c r="BF93" s="121"/>
      <c r="BG93" s="89"/>
      <c r="BH93" s="92">
        <f>CF93+CI93+CL93+CO93+CR93</f>
        <v>2997</v>
      </c>
      <c r="BI93" s="92">
        <f>CH93+CK93+CN93+CQ93+CT93</f>
        <v>0</v>
      </c>
      <c r="BJ93" s="92">
        <f>BH93-BI93</f>
        <v>2997</v>
      </c>
      <c r="BK93" s="271"/>
      <c r="BL93" s="2014"/>
      <c r="BM93" s="95"/>
      <c r="BN93" s="142">
        <v>2997</v>
      </c>
      <c r="BO93" s="182"/>
      <c r="BP93" s="2045"/>
      <c r="BQ93" s="418"/>
      <c r="BR93" s="108"/>
      <c r="BS93" s="276"/>
      <c r="BT93" s="101"/>
      <c r="BU93" s="102">
        <f>BN93*BQ93</f>
        <v>0</v>
      </c>
      <c r="BV93" s="103">
        <f>BO93*BQ93</f>
        <v>0</v>
      </c>
      <c r="BW93" s="80"/>
      <c r="BX93" s="554"/>
      <c r="BY93" s="418"/>
      <c r="BZ93" s="108"/>
      <c r="CA93" s="276"/>
      <c r="CB93" s="101"/>
      <c r="CC93" s="106">
        <f>BN93*BY93</f>
        <v>0</v>
      </c>
      <c r="CD93" s="107">
        <f>BO93*BY93</f>
        <v>0</v>
      </c>
      <c r="CE93" s="163"/>
      <c r="CF93" s="108">
        <v>2997</v>
      </c>
      <c r="CG93" s="109">
        <v>45250</v>
      </c>
      <c r="CH93" s="227"/>
      <c r="CI93" s="108"/>
      <c r="CJ93" s="109"/>
      <c r="CK93" s="2106"/>
      <c r="CL93" s="2106"/>
      <c r="CM93" s="184"/>
      <c r="CN93" s="2106"/>
      <c r="CO93" s="130"/>
      <c r="CP93" s="130"/>
      <c r="CQ93" s="130"/>
      <c r="CR93" s="130"/>
      <c r="CS93" s="130"/>
      <c r="CT93" s="130"/>
      <c r="CU93" s="90"/>
      <c r="CV93" s="112"/>
      <c r="CW93" s="438"/>
      <c r="CX93" s="438"/>
      <c r="CY93" s="90"/>
      <c r="CZ93" s="75"/>
      <c r="DA93" s="2139"/>
      <c r="DB93" s="126" t="str">
        <f>PROPER(N93)</f>
        <v>Dotblue</v>
      </c>
      <c r="DC93" s="2162" t="s">
        <v>2254</v>
      </c>
      <c r="DD93" s="116"/>
      <c r="DE93" s="117"/>
      <c r="DF93" s="117"/>
      <c r="DG93" s="118"/>
      <c r="DH93" s="76"/>
      <c r="DI93" s="120" t="s">
        <v>126</v>
      </c>
      <c r="DJ93" s="120"/>
      <c r="DK93" s="74"/>
      <c r="DL93" s="74"/>
      <c r="DM93" s="122"/>
      <c r="DN93" s="6"/>
      <c r="DO93" s="6"/>
      <c r="DP93" s="6"/>
      <c r="DQ93" s="6"/>
      <c r="DR93" s="6"/>
      <c r="DS93" s="6"/>
      <c r="DT93" s="6"/>
      <c r="DU93" s="6"/>
      <c r="DV93" s="6"/>
      <c r="DW93" s="6"/>
      <c r="DX93" s="6"/>
      <c r="DY93" s="6"/>
      <c r="DZ93" s="6"/>
    </row>
    <row r="94" spans="1:130" ht="34.5" hidden="1" customHeight="1">
      <c r="A94" s="3"/>
      <c r="B94" s="75" t="s">
        <v>108</v>
      </c>
      <c r="C94" s="75"/>
      <c r="D94" s="75"/>
      <c r="E94" s="76"/>
      <c r="F94" s="75"/>
      <c r="G94" s="79" t="s">
        <v>204</v>
      </c>
      <c r="H94" s="79" t="s">
        <v>660</v>
      </c>
      <c r="I94" s="80" t="s">
        <v>661</v>
      </c>
      <c r="J94" s="155" t="str">
        <f>CONCATENATE(G94," ",H94)</f>
        <v>Luca Trivini Bellini</v>
      </c>
      <c r="K94" s="156" t="s">
        <v>662</v>
      </c>
      <c r="L94" s="82" t="s">
        <v>582</v>
      </c>
      <c r="M94" s="83" t="s">
        <v>583</v>
      </c>
      <c r="N94" s="84" t="s">
        <v>584</v>
      </c>
      <c r="O94" s="85"/>
      <c r="P94" s="86"/>
      <c r="Q94" s="86"/>
      <c r="R94" s="86"/>
      <c r="S94" s="86"/>
      <c r="T94" s="86"/>
      <c r="U94" s="86"/>
      <c r="V94" s="86"/>
      <c r="W94" s="86"/>
      <c r="X94" s="86"/>
      <c r="Y94" s="87"/>
      <c r="Z94" s="86"/>
      <c r="AA94" s="86"/>
      <c r="AB94" s="86"/>
      <c r="AC94" s="86"/>
      <c r="AD94" s="86"/>
      <c r="AE94" s="88" t="str">
        <f>L94</f>
        <v>CONFERMA ENTRO IL 23/03. Marco Ago 23. Conferm NON ci sono</v>
      </c>
      <c r="AF94" s="89"/>
      <c r="AG94" s="75"/>
      <c r="AH94" s="75"/>
      <c r="AI94" s="89"/>
      <c r="AJ94" s="75"/>
      <c r="AK94" s="75"/>
      <c r="AL94" s="75"/>
      <c r="AM94" s="89"/>
      <c r="AN94" s="90"/>
      <c r="AO94" s="90"/>
      <c r="AP94" s="90"/>
      <c r="AQ94" s="89"/>
      <c r="AR94" s="75"/>
      <c r="AS94" s="75"/>
      <c r="AT94" s="75"/>
      <c r="AU94" s="89"/>
      <c r="AV94" s="75"/>
      <c r="AW94" s="75"/>
      <c r="AX94" s="75"/>
      <c r="AY94" s="89"/>
      <c r="AZ94" s="154" t="s">
        <v>165</v>
      </c>
      <c r="BA94" s="154" t="s">
        <v>165</v>
      </c>
      <c r="BB94" s="154" t="s">
        <v>165</v>
      </c>
      <c r="BC94" s="89"/>
      <c r="BD94" s="121"/>
      <c r="BE94" s="121"/>
      <c r="BF94" s="121"/>
      <c r="BG94" s="89"/>
      <c r="BH94" s="92">
        <f>CF94+CI94+CL94+CO94+CR94</f>
        <v>0</v>
      </c>
      <c r="BI94" s="92">
        <f>CH94+CK94+CN94+CQ94+CT94</f>
        <v>0</v>
      </c>
      <c r="BJ94" s="92">
        <f>BH94-BI94</f>
        <v>0</v>
      </c>
      <c r="BK94" s="93"/>
      <c r="BL94" s="94"/>
      <c r="BM94" s="95"/>
      <c r="BN94" s="127"/>
      <c r="BO94" s="128"/>
      <c r="BP94" s="80" t="s">
        <v>117</v>
      </c>
      <c r="BQ94" s="98">
        <v>0</v>
      </c>
      <c r="BR94" s="99"/>
      <c r="BS94" s="100"/>
      <c r="BT94" s="101">
        <f>BM94*BQ94</f>
        <v>0</v>
      </c>
      <c r="BU94" s="102">
        <f>BN94*BQ94</f>
        <v>0</v>
      </c>
      <c r="BV94" s="103">
        <f>BO94*BQ94</f>
        <v>0</v>
      </c>
      <c r="BW94" s="80" t="s">
        <v>118</v>
      </c>
      <c r="BX94" s="105" t="s">
        <v>246</v>
      </c>
      <c r="BY94" s="98">
        <v>0.05</v>
      </c>
      <c r="BZ94" s="99"/>
      <c r="CA94" s="100"/>
      <c r="CB94" s="101">
        <f>BM94*BY94</f>
        <v>0</v>
      </c>
      <c r="CC94" s="106">
        <f>BN94*BY94</f>
        <v>0</v>
      </c>
      <c r="CD94" s="107">
        <f>BO94*BY94</f>
        <v>0</v>
      </c>
      <c r="CE94" s="90"/>
      <c r="CF94" s="108"/>
      <c r="CG94" s="109"/>
      <c r="CH94" s="110"/>
      <c r="CI94" s="108"/>
      <c r="CJ94" s="109"/>
      <c r="CK94" s="111"/>
      <c r="CL94" s="111"/>
      <c r="CM94" s="109"/>
      <c r="CN94" s="111"/>
      <c r="CO94" s="111"/>
      <c r="CP94" s="111"/>
      <c r="CQ94" s="111"/>
      <c r="CR94" s="111"/>
      <c r="CS94" s="111"/>
      <c r="CT94" s="111"/>
      <c r="CU94" s="90"/>
      <c r="CV94" s="112"/>
      <c r="CW94" s="112"/>
      <c r="CX94" s="113"/>
      <c r="CY94" s="90" t="s">
        <v>122</v>
      </c>
      <c r="CZ94" s="90"/>
      <c r="DA94" s="80"/>
      <c r="DB94" s="115" t="str">
        <f>PROPER(N94)</f>
        <v>M.D.S. Electronics</v>
      </c>
      <c r="DC94" s="116"/>
      <c r="DD94" s="116" t="str">
        <f>BP94</f>
        <v>blackship</v>
      </c>
      <c r="DE94" s="117" t="b">
        <f>IF(OR(D94&gt;0),IF(BJ94=0,BN94*BQ94,0))</f>
        <v>0</v>
      </c>
      <c r="DF94" s="117" t="b">
        <f>IF(OR(D94&gt;0),IF(BJ94=0,BN94*BY94,0))</f>
        <v>0</v>
      </c>
      <c r="DG94" s="116" t="str">
        <f>BX94</f>
        <v>Marco</v>
      </c>
      <c r="DH94" s="76"/>
      <c r="DI94" s="120" t="s">
        <v>154</v>
      </c>
      <c r="DJ94" s="120"/>
      <c r="DK94" s="121"/>
      <c r="DL94" s="121"/>
      <c r="DM94" s="122"/>
      <c r="DN94" s="6"/>
      <c r="DO94" s="6"/>
      <c r="DP94" s="6"/>
      <c r="DQ94" s="6"/>
      <c r="DR94" s="6"/>
      <c r="DS94" s="6"/>
      <c r="DT94" s="6"/>
      <c r="DU94" s="6"/>
      <c r="DV94" s="6"/>
      <c r="DW94" s="6"/>
      <c r="DX94" s="6"/>
      <c r="DY94" s="6"/>
      <c r="DZ94" s="6"/>
    </row>
    <row r="95" spans="1:130" ht="34.5" hidden="1" customHeight="1">
      <c r="A95" s="3"/>
      <c r="B95" s="75" t="s">
        <v>108</v>
      </c>
      <c r="C95" s="75"/>
      <c r="D95" s="75">
        <v>1</v>
      </c>
      <c r="E95" s="76"/>
      <c r="F95" s="148"/>
      <c r="G95" s="79" t="s">
        <v>290</v>
      </c>
      <c r="H95" s="79" t="s">
        <v>291</v>
      </c>
      <c r="I95" s="80" t="s">
        <v>292</v>
      </c>
      <c r="J95" s="121" t="str">
        <f>CONCATENATE(G95," ",H95)</f>
        <v>Claudio Ghilardini</v>
      </c>
      <c r="K95" s="156">
        <v>3357813112</v>
      </c>
      <c r="L95" s="160" t="s">
        <v>293</v>
      </c>
      <c r="M95" s="83" t="s">
        <v>294</v>
      </c>
      <c r="N95" s="84" t="s">
        <v>295</v>
      </c>
      <c r="O95" s="85"/>
      <c r="P95" s="86"/>
      <c r="Q95" s="86"/>
      <c r="R95" s="86"/>
      <c r="S95" s="86"/>
      <c r="T95" s="86"/>
      <c r="U95" s="86"/>
      <c r="V95" s="86"/>
      <c r="W95" s="86"/>
      <c r="X95" s="86"/>
      <c r="Y95" s="87"/>
      <c r="Z95" s="86"/>
      <c r="AA95" s="86"/>
      <c r="AB95" s="86"/>
      <c r="AC95" s="86"/>
      <c r="AD95" s="86" t="s">
        <v>296</v>
      </c>
      <c r="AE95" s="138" t="str">
        <f>L95</f>
        <v>non indicare nome partecipante</v>
      </c>
      <c r="AF95" s="89"/>
      <c r="AG95" s="75"/>
      <c r="AH95" s="75"/>
      <c r="AI95" s="89"/>
      <c r="AJ95" s="75"/>
      <c r="AK95" s="75"/>
      <c r="AL95" s="75"/>
      <c r="AM95" s="89"/>
      <c r="AN95" s="90"/>
      <c r="AO95" s="90"/>
      <c r="AP95" s="90"/>
      <c r="AQ95" s="89"/>
      <c r="AR95" s="75"/>
      <c r="AS95" s="75"/>
      <c r="AT95" s="75"/>
      <c r="AU95" s="89"/>
      <c r="AV95" s="75" t="s">
        <v>115</v>
      </c>
      <c r="AW95" s="75" t="s">
        <v>115</v>
      </c>
      <c r="AX95" s="75" t="s">
        <v>115</v>
      </c>
      <c r="AY95" s="89"/>
      <c r="AZ95" s="121" t="s">
        <v>116</v>
      </c>
      <c r="BA95" s="154" t="s">
        <v>297</v>
      </c>
      <c r="BB95" s="121" t="s">
        <v>116</v>
      </c>
      <c r="BC95" s="89"/>
      <c r="BD95" s="121"/>
      <c r="BE95" s="121"/>
      <c r="BF95" s="121"/>
      <c r="BG95" s="89"/>
      <c r="BH95" s="92"/>
      <c r="BI95" s="92"/>
      <c r="BJ95" s="92"/>
      <c r="BK95" s="93"/>
      <c r="BL95" s="94"/>
      <c r="BM95" s="95">
        <v>2997</v>
      </c>
      <c r="BN95" s="2031"/>
      <c r="BO95" s="2036"/>
      <c r="BP95" s="80" t="s">
        <v>246</v>
      </c>
      <c r="BQ95" s="98">
        <v>0.15</v>
      </c>
      <c r="BR95" s="99"/>
      <c r="BS95" s="100"/>
      <c r="BT95" s="101">
        <f>BM95*BQ95</f>
        <v>449.55</v>
      </c>
      <c r="BU95" s="102">
        <f>BN95*BQ95</f>
        <v>0</v>
      </c>
      <c r="BV95" s="103">
        <f>BO95*BQ95</f>
        <v>0</v>
      </c>
      <c r="BW95" s="131" t="s">
        <v>120</v>
      </c>
      <c r="BX95" s="105" t="s">
        <v>246</v>
      </c>
      <c r="BY95" s="98">
        <v>0.05</v>
      </c>
      <c r="BZ95" s="99"/>
      <c r="CA95" s="100"/>
      <c r="CB95" s="101">
        <f>BM95*BY95</f>
        <v>149.85</v>
      </c>
      <c r="CC95" s="106">
        <f>BN95*BY95</f>
        <v>0</v>
      </c>
      <c r="CD95" s="107">
        <f>BO95*BY95</f>
        <v>0</v>
      </c>
      <c r="CE95" s="155" t="s">
        <v>120</v>
      </c>
      <c r="CF95" s="108">
        <v>2997</v>
      </c>
      <c r="CG95" s="109">
        <v>45009</v>
      </c>
      <c r="CH95" s="108">
        <v>2997</v>
      </c>
      <c r="CI95" s="108"/>
      <c r="CJ95" s="109"/>
      <c r="CK95" s="111"/>
      <c r="CL95" s="111"/>
      <c r="CM95" s="109"/>
      <c r="CN95" s="111"/>
      <c r="CO95" s="111"/>
      <c r="CP95" s="111"/>
      <c r="CQ95" s="111"/>
      <c r="CR95" s="111"/>
      <c r="CS95" s="111"/>
      <c r="CT95" s="111"/>
      <c r="CU95" s="90">
        <v>1</v>
      </c>
      <c r="CV95" s="112" t="s">
        <v>121</v>
      </c>
      <c r="CW95" s="112"/>
      <c r="CX95" s="113"/>
      <c r="CY95" s="90" t="s">
        <v>122</v>
      </c>
      <c r="CZ95" s="90"/>
      <c r="DA95" s="2134" t="s">
        <v>298</v>
      </c>
      <c r="DB95" s="115" t="str">
        <f>PROPER(N95)</f>
        <v>Moveo Rent</v>
      </c>
      <c r="DC95" s="116" t="s">
        <v>299</v>
      </c>
      <c r="DD95" s="116" t="str">
        <f>BP95</f>
        <v>Marco</v>
      </c>
      <c r="DE95" s="117">
        <f>IF(OR(D95&gt;0),IF(BJ95=0,BN95*BQ95,0))</f>
        <v>0</v>
      </c>
      <c r="DF95" s="117">
        <f>IF(OR(D95&gt;0),IF(BJ95=0,BN95*BY95,0))</f>
        <v>0</v>
      </c>
      <c r="DG95" s="118" t="str">
        <f>BX95</f>
        <v>Marco</v>
      </c>
      <c r="DH95" s="76"/>
      <c r="DI95" s="120" t="s">
        <v>126</v>
      </c>
      <c r="DJ95" s="120"/>
      <c r="DK95" s="121"/>
      <c r="DL95" s="121"/>
      <c r="DM95" s="122">
        <v>1</v>
      </c>
      <c r="DN95" s="6"/>
      <c r="DO95" s="6"/>
      <c r="DP95" s="6"/>
      <c r="DQ95" s="6"/>
      <c r="DR95" s="6"/>
      <c r="DS95" s="6"/>
      <c r="DT95" s="6"/>
      <c r="DU95" s="6"/>
      <c r="DV95" s="6"/>
      <c r="DW95" s="6"/>
      <c r="DX95" s="6"/>
      <c r="DY95" s="6"/>
      <c r="DZ95" s="6"/>
    </row>
    <row r="96" spans="1:130" ht="34.5" hidden="1" customHeight="1">
      <c r="A96" s="228"/>
      <c r="B96" s="75" t="s">
        <v>1324</v>
      </c>
      <c r="C96" s="90"/>
      <c r="D96" s="75">
        <v>1</v>
      </c>
      <c r="E96" s="76">
        <v>1</v>
      </c>
      <c r="F96" s="75"/>
      <c r="G96" s="400" t="s">
        <v>1325</v>
      </c>
      <c r="H96" s="400" t="s">
        <v>1326</v>
      </c>
      <c r="I96" s="113" t="s">
        <v>1327</v>
      </c>
      <c r="J96" s="121" t="str">
        <f>CONCATENATE(G96," ",H96)</f>
        <v>Corrado Bortolussi</v>
      </c>
      <c r="K96" s="401"/>
      <c r="L96" s="156"/>
      <c r="M96" s="1894"/>
      <c r="N96" s="84" t="s">
        <v>937</v>
      </c>
      <c r="O96" s="1923"/>
      <c r="P96" s="160"/>
      <c r="Q96" s="160"/>
      <c r="R96" s="403"/>
      <c r="S96" s="160"/>
      <c r="T96" s="160"/>
      <c r="U96" s="160"/>
      <c r="V96" s="160"/>
      <c r="W96" s="160"/>
      <c r="X96" s="131"/>
      <c r="Y96" s="160"/>
      <c r="Z96" s="160"/>
      <c r="AA96" s="160"/>
      <c r="AB96" s="37"/>
      <c r="AC96" s="131"/>
      <c r="AD96" s="121" t="s">
        <v>1328</v>
      </c>
      <c r="AE96" s="88"/>
      <c r="AF96" s="1966"/>
      <c r="AG96" s="1970"/>
      <c r="AH96" s="1970"/>
      <c r="AI96" s="1966"/>
      <c r="AJ96" s="90"/>
      <c r="AK96" s="90"/>
      <c r="AL96" s="90"/>
      <c r="AM96" s="89"/>
      <c r="AN96" s="90"/>
      <c r="AO96" s="90"/>
      <c r="AP96" s="90"/>
      <c r="AQ96" s="89"/>
      <c r="AR96" s="75"/>
      <c r="AS96" s="75"/>
      <c r="AT96" s="75"/>
      <c r="AU96" s="89"/>
      <c r="AV96" s="75"/>
      <c r="AW96" s="75"/>
      <c r="AX96" s="75"/>
      <c r="AY96" s="89"/>
      <c r="AZ96" s="121" t="s">
        <v>245</v>
      </c>
      <c r="BA96" s="121" t="s">
        <v>245</v>
      </c>
      <c r="BB96" s="135" t="s">
        <v>115</v>
      </c>
      <c r="BC96" s="89"/>
      <c r="BD96" s="121"/>
      <c r="BE96" s="121"/>
      <c r="BF96" s="121"/>
      <c r="BG96" s="89"/>
      <c r="BH96" s="92">
        <f>CF96+CI96+CL96+CO96+CR96</f>
        <v>2397</v>
      </c>
      <c r="BI96" s="92">
        <f>CH96+CK96+CN96+CQ96+CT96</f>
        <v>0</v>
      </c>
      <c r="BJ96" s="92">
        <f>BH96-BI96</f>
        <v>2397</v>
      </c>
      <c r="BK96" s="271"/>
      <c r="BL96" s="2014"/>
      <c r="BM96" s="95"/>
      <c r="BN96" s="127">
        <v>2397</v>
      </c>
      <c r="BO96" s="128"/>
      <c r="BP96" s="2042" t="s">
        <v>262</v>
      </c>
      <c r="BQ96" s="98">
        <v>0.15</v>
      </c>
      <c r="BR96" s="108"/>
      <c r="BS96" s="276"/>
      <c r="BT96" s="101"/>
      <c r="BU96" s="102">
        <f>BN96*BQ96</f>
        <v>359.55</v>
      </c>
      <c r="BV96" s="103">
        <f>BO96*BQ96</f>
        <v>0</v>
      </c>
      <c r="BW96" s="80"/>
      <c r="BX96" s="105" t="s">
        <v>262</v>
      </c>
      <c r="BY96" s="145">
        <v>0.1</v>
      </c>
      <c r="BZ96" s="108"/>
      <c r="CA96" s="276"/>
      <c r="CB96" s="101"/>
      <c r="CC96" s="102">
        <f>BV96*BY96</f>
        <v>0</v>
      </c>
      <c r="CD96" s="103">
        <f>BW96*BY96</f>
        <v>0</v>
      </c>
      <c r="CE96" s="411"/>
      <c r="CF96" s="108">
        <v>2397</v>
      </c>
      <c r="CG96" s="109"/>
      <c r="CH96" s="414"/>
      <c r="CI96" s="2106"/>
      <c r="CJ96" s="184"/>
      <c r="CK96" s="2106"/>
      <c r="CL96" s="2106"/>
      <c r="CM96" s="184"/>
      <c r="CN96" s="2106"/>
      <c r="CO96" s="130"/>
      <c r="CP96" s="130"/>
      <c r="CQ96" s="130"/>
      <c r="CR96" s="130"/>
      <c r="CS96" s="130"/>
      <c r="CT96" s="130"/>
      <c r="CU96" s="90"/>
      <c r="CV96" s="112"/>
      <c r="CW96" s="112"/>
      <c r="CX96" s="112"/>
      <c r="CY96" s="90"/>
      <c r="CZ96" s="75"/>
      <c r="DA96" s="136" t="s">
        <v>938</v>
      </c>
      <c r="DB96" s="115" t="str">
        <f>PROPER(N96)</f>
        <v>Ey</v>
      </c>
      <c r="DC96" s="116" t="s">
        <v>264</v>
      </c>
      <c r="DD96" s="116" t="str">
        <f>BP96</f>
        <v>Pacci</v>
      </c>
      <c r="DE96" s="117">
        <f>IF(OR(D96&gt;0),IF(BJ96=0,BN96*BQ96,0))</f>
        <v>0</v>
      </c>
      <c r="DF96" s="117">
        <f>IF(OR(D96&gt;0),IF(BJ96=0,BN96*BY96,0))</f>
        <v>0</v>
      </c>
      <c r="DG96" s="118" t="str">
        <f>BX96</f>
        <v>Pacci</v>
      </c>
      <c r="DH96" s="76"/>
      <c r="DI96" s="120" t="s">
        <v>126</v>
      </c>
      <c r="DJ96" s="120"/>
      <c r="DK96" s="74"/>
      <c r="DL96" s="74"/>
      <c r="DM96" s="122"/>
      <c r="DN96" s="6"/>
      <c r="DO96" s="6"/>
      <c r="DP96" s="6"/>
      <c r="DQ96" s="6"/>
      <c r="DR96" s="6"/>
      <c r="DS96" s="6"/>
      <c r="DT96" s="6"/>
      <c r="DU96" s="6"/>
      <c r="DV96" s="6"/>
      <c r="DW96" s="6"/>
      <c r="DX96" s="6"/>
      <c r="DY96" s="6"/>
      <c r="DZ96" s="6"/>
    </row>
    <row r="97" spans="1:130" ht="34.5" hidden="1" customHeight="1">
      <c r="A97" s="3"/>
      <c r="B97" s="75" t="s">
        <v>108</v>
      </c>
      <c r="C97" s="75"/>
      <c r="D97" s="75"/>
      <c r="E97" s="76"/>
      <c r="F97" s="75"/>
      <c r="G97" s="79" t="s">
        <v>671</v>
      </c>
      <c r="H97" s="79" t="s">
        <v>672</v>
      </c>
      <c r="I97" s="80" t="s">
        <v>673</v>
      </c>
      <c r="J97" s="155" t="str">
        <f>CONCATENATE(G97," ",H97)</f>
        <v>Maela Gaggero</v>
      </c>
      <c r="K97" s="156" t="s">
        <v>674</v>
      </c>
      <c r="L97" s="157" t="s">
        <v>675</v>
      </c>
      <c r="M97" s="83" t="s">
        <v>676</v>
      </c>
      <c r="N97" s="84" t="s">
        <v>677</v>
      </c>
      <c r="O97" s="85"/>
      <c r="P97" s="86"/>
      <c r="Q97" s="86"/>
      <c r="R97" s="86"/>
      <c r="S97" s="86"/>
      <c r="T97" s="86"/>
      <c r="U97" s="86"/>
      <c r="V97" s="86"/>
      <c r="W97" s="86"/>
      <c r="X97" s="86"/>
      <c r="Y97" s="87"/>
      <c r="Z97" s="86"/>
      <c r="AA97" s="86"/>
      <c r="AB97" s="86"/>
      <c r="AC97" s="86"/>
      <c r="AD97" s="86" t="s">
        <v>678</v>
      </c>
      <c r="AE97" s="88" t="str">
        <f>L97</f>
        <v>Da confermare a seguito di colloquio con AD entro il 24/3</v>
      </c>
      <c r="AF97" s="89"/>
      <c r="AG97" s="75"/>
      <c r="AH97" s="75"/>
      <c r="AI97" s="89"/>
      <c r="AJ97" s="75"/>
      <c r="AK97" s="75"/>
      <c r="AL97" s="75"/>
      <c r="AM97" s="89"/>
      <c r="AN97" s="90"/>
      <c r="AO97" s="90"/>
      <c r="AP97" s="90"/>
      <c r="AQ97" s="89"/>
      <c r="AR97" s="75"/>
      <c r="AS97" s="75"/>
      <c r="AT97" s="75"/>
      <c r="AU97" s="89"/>
      <c r="AV97" s="75"/>
      <c r="AW97" s="75"/>
      <c r="AX97" s="75"/>
      <c r="AY97" s="89"/>
      <c r="AZ97" s="121"/>
      <c r="BA97" s="121"/>
      <c r="BB97" s="121"/>
      <c r="BC97" s="89"/>
      <c r="BD97" s="121" t="s">
        <v>245</v>
      </c>
      <c r="BE97" s="121" t="s">
        <v>245</v>
      </c>
      <c r="BF97" s="121" t="s">
        <v>245</v>
      </c>
      <c r="BG97" s="89"/>
      <c r="BH97" s="92">
        <f>CF97+CI97+CL97+CO97+CR97</f>
        <v>3497.0044262295082</v>
      </c>
      <c r="BI97" s="92">
        <f>CH97+CK97+CN97+CQ97+CT97</f>
        <v>163.9344262295082</v>
      </c>
      <c r="BJ97" s="92">
        <f>BH97-BI97</f>
        <v>3333.07</v>
      </c>
      <c r="BK97" s="93"/>
      <c r="BL97" s="94"/>
      <c r="BM97" s="95"/>
      <c r="BN97" s="142"/>
      <c r="BO97" s="128">
        <v>3497</v>
      </c>
      <c r="BP97" s="80" t="s">
        <v>117</v>
      </c>
      <c r="BQ97" s="98">
        <v>0</v>
      </c>
      <c r="BR97" s="99"/>
      <c r="BS97" s="100"/>
      <c r="BT97" s="101">
        <f>BM97*BQ97</f>
        <v>0</v>
      </c>
      <c r="BU97" s="167">
        <f>BN97*BQ97</f>
        <v>0</v>
      </c>
      <c r="BV97" s="168">
        <f>BO97*BQ97</f>
        <v>0</v>
      </c>
      <c r="BW97" s="80" t="s">
        <v>118</v>
      </c>
      <c r="BX97" s="105" t="s">
        <v>152</v>
      </c>
      <c r="BY97" s="98">
        <v>0.05</v>
      </c>
      <c r="BZ97" s="99"/>
      <c r="CA97" s="100"/>
      <c r="CB97" s="101">
        <f>BM97*BY97</f>
        <v>0</v>
      </c>
      <c r="CC97" s="106">
        <f>BN97*BY97</f>
        <v>0</v>
      </c>
      <c r="CD97" s="107">
        <f>BO97*BY97</f>
        <v>174.85000000000002</v>
      </c>
      <c r="CE97" s="90"/>
      <c r="CF97" s="108">
        <f>200/1.22</f>
        <v>163.9344262295082</v>
      </c>
      <c r="CG97" s="109">
        <v>45012</v>
      </c>
      <c r="CH97" s="108">
        <f>200/1.22</f>
        <v>163.9344262295082</v>
      </c>
      <c r="CI97" s="108">
        <v>3333.07</v>
      </c>
      <c r="CJ97" s="146" t="s">
        <v>561</v>
      </c>
      <c r="CK97" s="111"/>
      <c r="CL97" s="111"/>
      <c r="CM97" s="109"/>
      <c r="CN97" s="111"/>
      <c r="CO97" s="111"/>
      <c r="CP97" s="111"/>
      <c r="CQ97" s="111"/>
      <c r="CR97" s="111"/>
      <c r="CS97" s="111"/>
      <c r="CT97" s="111"/>
      <c r="CU97" s="90">
        <v>1</v>
      </c>
      <c r="CV97" s="112" t="s">
        <v>121</v>
      </c>
      <c r="CW97" s="112"/>
      <c r="CX97" s="113"/>
      <c r="CY97" s="90" t="s">
        <v>122</v>
      </c>
      <c r="CZ97" s="90"/>
      <c r="DA97" s="80" t="s">
        <v>553</v>
      </c>
      <c r="DB97" s="115" t="str">
        <f>PROPER(N97)</f>
        <v>Rlg Systems Italia</v>
      </c>
      <c r="DC97" s="116"/>
      <c r="DD97" s="116" t="str">
        <f>BP97</f>
        <v>blackship</v>
      </c>
      <c r="DE97" s="117" t="b">
        <f>IF(OR(D97&gt;0),IF(BJ97=0,BN97*BQ97,0))</f>
        <v>0</v>
      </c>
      <c r="DF97" s="117" t="b">
        <f>IF(OR(D97&gt;0),IF(BJ97=0,BN97*BY97,0))</f>
        <v>0</v>
      </c>
      <c r="DG97" s="116" t="str">
        <f>BX97</f>
        <v>Client Angel</v>
      </c>
      <c r="DH97" s="76"/>
      <c r="DI97" s="120" t="s">
        <v>154</v>
      </c>
      <c r="DJ97" s="120"/>
      <c r="DK97" s="121"/>
      <c r="DL97" s="121"/>
      <c r="DM97" s="122"/>
      <c r="DN97" s="6"/>
      <c r="DO97" s="6"/>
      <c r="DP97" s="6"/>
      <c r="DQ97" s="6"/>
      <c r="DR97" s="6"/>
      <c r="DS97" s="6"/>
      <c r="DT97" s="6"/>
      <c r="DU97" s="6"/>
      <c r="DV97" s="6"/>
      <c r="DW97" s="6"/>
      <c r="DX97" s="6"/>
      <c r="DY97" s="6"/>
      <c r="DZ97" s="6"/>
    </row>
    <row r="98" spans="1:130" ht="34.5" hidden="1" customHeight="1">
      <c r="A98" s="3"/>
      <c r="B98" s="75" t="s">
        <v>108</v>
      </c>
      <c r="C98" s="75"/>
      <c r="D98" s="75"/>
      <c r="E98" s="76"/>
      <c r="F98" s="75"/>
      <c r="G98" s="79" t="s">
        <v>679</v>
      </c>
      <c r="H98" s="79" t="s">
        <v>680</v>
      </c>
      <c r="I98" s="80" t="s">
        <v>681</v>
      </c>
      <c r="J98" s="155" t="str">
        <f>CONCATENATE(G98," ",H98)</f>
        <v>Marcello Presi</v>
      </c>
      <c r="K98" s="156" t="s">
        <v>682</v>
      </c>
      <c r="L98" s="157" t="s">
        <v>683</v>
      </c>
      <c r="M98" s="83" t="s">
        <v>251</v>
      </c>
      <c r="N98" s="84" t="s">
        <v>684</v>
      </c>
      <c r="O98" s="85"/>
      <c r="P98" s="86"/>
      <c r="Q98" s="86"/>
      <c r="R98" s="86"/>
      <c r="S98" s="86"/>
      <c r="T98" s="86"/>
      <c r="U98" s="86"/>
      <c r="V98" s="86"/>
      <c r="W98" s="86"/>
      <c r="X98" s="86"/>
      <c r="Y98" s="87"/>
      <c r="Z98" s="86"/>
      <c r="AA98" s="86"/>
      <c r="AB98" s="86"/>
      <c r="AC98" s="86"/>
      <c r="AD98" s="86" t="s">
        <v>118</v>
      </c>
      <c r="AE98" s="88" t="str">
        <f>L98</f>
        <v>dato la possibilità fino al 1 aprile di pensare e rivalutare la decisione di disdetta</v>
      </c>
      <c r="AF98" s="89"/>
      <c r="AG98" s="75"/>
      <c r="AH98" s="75"/>
      <c r="AI98" s="89"/>
      <c r="AJ98" s="75"/>
      <c r="AK98" s="75"/>
      <c r="AL98" s="75"/>
      <c r="AM98" s="89"/>
      <c r="AN98" s="90"/>
      <c r="AO98" s="90"/>
      <c r="AP98" s="90"/>
      <c r="AQ98" s="89"/>
      <c r="AR98" s="75"/>
      <c r="AS98" s="75"/>
      <c r="AT98" s="75"/>
      <c r="AU98" s="89"/>
      <c r="AV98" s="129" t="s">
        <v>165</v>
      </c>
      <c r="AW98" s="129" t="s">
        <v>165</v>
      </c>
      <c r="AX98" s="129" t="s">
        <v>165</v>
      </c>
      <c r="AY98" s="89"/>
      <c r="AZ98" s="121"/>
      <c r="BA98" s="121"/>
      <c r="BB98" s="121"/>
      <c r="BC98" s="89"/>
      <c r="BD98" s="121"/>
      <c r="BE98" s="121"/>
      <c r="BF98" s="121"/>
      <c r="BG98" s="89"/>
      <c r="BH98" s="92">
        <f>CF98+CI98+CL98+CO98+CR98</f>
        <v>0</v>
      </c>
      <c r="BI98" s="92">
        <f>CH98+CK98+CN98+CQ98+CT98</f>
        <v>0</v>
      </c>
      <c r="BJ98" s="92">
        <f>BH98-BI98</f>
        <v>0</v>
      </c>
      <c r="BK98" s="93"/>
      <c r="BL98" s="94"/>
      <c r="BM98" s="95"/>
      <c r="BN98" s="96"/>
      <c r="BO98" s="97"/>
      <c r="BP98" s="80" t="s">
        <v>117</v>
      </c>
      <c r="BQ98" s="98">
        <v>0</v>
      </c>
      <c r="BR98" s="99"/>
      <c r="BS98" s="100"/>
      <c r="BT98" s="101">
        <f>BM98*BQ98</f>
        <v>0</v>
      </c>
      <c r="BU98" s="102">
        <f>BN98*BQ98</f>
        <v>0</v>
      </c>
      <c r="BV98" s="103">
        <f>BO98*BQ98</f>
        <v>0</v>
      </c>
      <c r="BW98" s="80" t="s">
        <v>118</v>
      </c>
      <c r="BX98" s="105" t="s">
        <v>152</v>
      </c>
      <c r="BY98" s="98">
        <v>0.05</v>
      </c>
      <c r="BZ98" s="99"/>
      <c r="CA98" s="100"/>
      <c r="CB98" s="101">
        <f>BM98*BY98</f>
        <v>0</v>
      </c>
      <c r="CC98" s="106">
        <f>BN98*BY98</f>
        <v>0</v>
      </c>
      <c r="CD98" s="107">
        <f>BO98*BY98</f>
        <v>0</v>
      </c>
      <c r="CE98" s="90"/>
      <c r="CF98" s="108">
        <v>0</v>
      </c>
      <c r="CG98" s="109"/>
      <c r="CH98" s="110"/>
      <c r="CI98" s="108"/>
      <c r="CJ98" s="109"/>
      <c r="CK98" s="111"/>
      <c r="CL98" s="111"/>
      <c r="CM98" s="109"/>
      <c r="CN98" s="111"/>
      <c r="CO98" s="111"/>
      <c r="CP98" s="111"/>
      <c r="CQ98" s="111"/>
      <c r="CR98" s="111"/>
      <c r="CS98" s="111"/>
      <c r="CT98" s="111"/>
      <c r="CU98" s="90"/>
      <c r="CV98" s="112"/>
      <c r="CW98" s="112"/>
      <c r="CX98" s="113"/>
      <c r="CY98" s="90" t="s">
        <v>122</v>
      </c>
      <c r="CZ98" s="90"/>
      <c r="DA98" s="80"/>
      <c r="DB98" s="115" t="str">
        <f>PROPER(N98)</f>
        <v>Lenergia</v>
      </c>
      <c r="DC98" s="116"/>
      <c r="DD98" s="116" t="str">
        <f>BP98</f>
        <v>blackship</v>
      </c>
      <c r="DE98" s="117" t="b">
        <f>IF(OR(D98&gt;0),IF(BJ98=0,BN98*BQ98,0))</f>
        <v>0</v>
      </c>
      <c r="DF98" s="117" t="b">
        <f>IF(OR(D98&gt;0),IF(BJ98=0,BN98*BY98,0))</f>
        <v>0</v>
      </c>
      <c r="DG98" s="116" t="str">
        <f>BX98</f>
        <v>Client Angel</v>
      </c>
      <c r="DH98" s="76"/>
      <c r="DI98" s="120" t="s">
        <v>154</v>
      </c>
      <c r="DJ98" s="120"/>
      <c r="DK98" s="121"/>
      <c r="DL98" s="121"/>
      <c r="DM98" s="122"/>
      <c r="DN98" s="6"/>
      <c r="DO98" s="6"/>
      <c r="DP98" s="6"/>
      <c r="DQ98" s="6"/>
      <c r="DR98" s="6"/>
      <c r="DS98" s="6"/>
      <c r="DT98" s="6"/>
      <c r="DU98" s="6"/>
      <c r="DV98" s="6"/>
      <c r="DW98" s="6"/>
      <c r="DX98" s="6"/>
      <c r="DY98" s="6"/>
      <c r="DZ98" s="6"/>
    </row>
    <row r="99" spans="1:130" ht="34.5" hidden="1" customHeight="1">
      <c r="A99" s="1801"/>
      <c r="B99" s="75" t="s">
        <v>1928</v>
      </c>
      <c r="C99" s="90"/>
      <c r="D99" s="75">
        <v>1</v>
      </c>
      <c r="E99" s="510">
        <v>1</v>
      </c>
      <c r="F99" s="148"/>
      <c r="G99" s="181" t="s">
        <v>300</v>
      </c>
      <c r="H99" s="181" t="s">
        <v>2481</v>
      </c>
      <c r="I99" s="1831" t="s">
        <v>2482</v>
      </c>
      <c r="J99" s="121" t="str">
        <f>CONCATENATE(G99," ",H99)</f>
        <v>Cristina Pezzaglia</v>
      </c>
      <c r="K99" s="181"/>
      <c r="L99" s="124"/>
      <c r="M99" s="1867" t="s">
        <v>1321</v>
      </c>
      <c r="N99" s="84"/>
      <c r="O99" s="1925"/>
      <c r="P99" s="255"/>
      <c r="Q99" s="255"/>
      <c r="R99" s="131"/>
      <c r="S99" s="131"/>
      <c r="T99" s="131"/>
      <c r="U99" s="131"/>
      <c r="V99" s="131"/>
      <c r="W99" s="514"/>
      <c r="X99" s="131"/>
      <c r="Y99" s="514"/>
      <c r="Z99" s="514"/>
      <c r="AA99" s="514"/>
      <c r="AB99" s="255"/>
      <c r="AC99" s="131"/>
      <c r="AD99" s="37" t="s">
        <v>118</v>
      </c>
      <c r="AE99" s="161"/>
      <c r="AF99" s="1966"/>
      <c r="AG99" s="1973"/>
      <c r="AH99" s="1973"/>
      <c r="AI99" s="1966"/>
      <c r="AJ99" s="90"/>
      <c r="AK99" s="90"/>
      <c r="AL99" s="90"/>
      <c r="AM99" s="1966"/>
      <c r="AN99" s="1485"/>
      <c r="AO99" s="1485"/>
      <c r="AP99" s="1485"/>
      <c r="AQ99" s="1966"/>
      <c r="AR99" s="75"/>
      <c r="AS99" s="75"/>
      <c r="AT99" s="75"/>
      <c r="AU99" s="1966"/>
      <c r="AV99" s="121"/>
      <c r="AW99" s="121"/>
      <c r="AX99" s="121"/>
      <c r="AY99" s="1966"/>
      <c r="AZ99" s="121" t="s">
        <v>116</v>
      </c>
      <c r="BA99" s="121" t="s">
        <v>116</v>
      </c>
      <c r="BB99" s="162" t="s">
        <v>116</v>
      </c>
      <c r="BC99" s="1966"/>
      <c r="BD99" s="121"/>
      <c r="BE99" s="121"/>
      <c r="BF99" s="121"/>
      <c r="BG99" s="1966"/>
      <c r="BH99" s="92"/>
      <c r="BI99" s="92"/>
      <c r="BJ99" s="92"/>
      <c r="BK99" s="271"/>
      <c r="BL99" s="2014"/>
      <c r="BM99" s="95"/>
      <c r="BN99" s="273"/>
      <c r="BO99" s="274"/>
      <c r="BP99" s="525"/>
      <c r="BQ99" s="145"/>
      <c r="BR99" s="108"/>
      <c r="BS99" s="276"/>
      <c r="BT99" s="101"/>
      <c r="BU99" s="102">
        <f>BN99*BQ99</f>
        <v>0</v>
      </c>
      <c r="BV99" s="103">
        <f>BO99*BQ99</f>
        <v>0</v>
      </c>
      <c r="BW99" s="80"/>
      <c r="BX99" s="2039"/>
      <c r="BY99" s="145"/>
      <c r="BZ99" s="108"/>
      <c r="CA99" s="276"/>
      <c r="CB99" s="101"/>
      <c r="CC99" s="106">
        <f>BN99*BY99</f>
        <v>0</v>
      </c>
      <c r="CD99" s="107">
        <f>BO99*BY99</f>
        <v>0</v>
      </c>
      <c r="CE99" s="677"/>
      <c r="CF99" s="108"/>
      <c r="CG99" s="109"/>
      <c r="CH99" s="108"/>
      <c r="CI99" s="108"/>
      <c r="CJ99" s="109"/>
      <c r="CK99" s="108"/>
      <c r="CL99" s="108"/>
      <c r="CM99" s="109"/>
      <c r="CN99" s="108"/>
      <c r="CO99" s="111"/>
      <c r="CP99" s="111"/>
      <c r="CQ99" s="111"/>
      <c r="CR99" s="111"/>
      <c r="CS99" s="111"/>
      <c r="CT99" s="111"/>
      <c r="CU99" s="90">
        <v>1</v>
      </c>
      <c r="CV99" s="112"/>
      <c r="CW99" s="112"/>
      <c r="CX99" s="113"/>
      <c r="CY99" s="113"/>
      <c r="CZ99" s="90"/>
      <c r="DA99" s="1867" t="s">
        <v>2483</v>
      </c>
      <c r="DB99" s="126" t="str">
        <f>PROPER(N99)</f>
        <v/>
      </c>
      <c r="DC99" s="116" t="s">
        <v>495</v>
      </c>
      <c r="DD99" s="116">
        <f>BP99</f>
        <v>0</v>
      </c>
      <c r="DE99" s="117">
        <f>IF(OR(D99&gt;0),IF(BJ99=0,BN99*BQ99,0))</f>
        <v>0</v>
      </c>
      <c r="DF99" s="117">
        <f>IF(OR(D99&gt;0),IF(BJ99=0,BN99*BY99,0))</f>
        <v>0</v>
      </c>
      <c r="DG99" s="533">
        <f>BX99</f>
        <v>0</v>
      </c>
      <c r="DH99" s="510"/>
      <c r="DI99" s="120" t="s">
        <v>126</v>
      </c>
      <c r="DJ99" s="120"/>
      <c r="DK99" s="207"/>
      <c r="DL99" s="207"/>
      <c r="DM99" s="248">
        <v>1</v>
      </c>
    </row>
    <row r="100" spans="1:130" ht="34.5" hidden="1" customHeight="1">
      <c r="A100" s="228"/>
      <c r="B100" s="75" t="s">
        <v>1359</v>
      </c>
      <c r="C100" s="90"/>
      <c r="D100" s="75"/>
      <c r="E100" s="76">
        <v>1</v>
      </c>
      <c r="F100" s="75"/>
      <c r="G100" s="400" t="s">
        <v>1600</v>
      </c>
      <c r="H100" s="400" t="s">
        <v>1601</v>
      </c>
      <c r="I100" s="113" t="s">
        <v>1602</v>
      </c>
      <c r="J100" s="121" t="str">
        <f>CONCATENATE(G100," ",H100)</f>
        <v>Damiano Grandi</v>
      </c>
      <c r="K100" s="156">
        <v>3428910498</v>
      </c>
      <c r="L100" s="435"/>
      <c r="M100" s="1894" t="s">
        <v>514</v>
      </c>
      <c r="N100" s="84" t="s">
        <v>1603</v>
      </c>
      <c r="O100" s="1923"/>
      <c r="P100" s="160"/>
      <c r="Q100" s="160"/>
      <c r="R100" s="403"/>
      <c r="S100" s="160"/>
      <c r="T100" s="160"/>
      <c r="U100" s="160"/>
      <c r="V100" s="160"/>
      <c r="W100" s="160"/>
      <c r="X100" s="131"/>
      <c r="Y100" s="160"/>
      <c r="Z100" s="160"/>
      <c r="AA100" s="160"/>
      <c r="AB100" s="37"/>
      <c r="AC100" s="131"/>
      <c r="AD100" s="121" t="s">
        <v>1604</v>
      </c>
      <c r="AE100" s="88"/>
      <c r="AF100" s="1966"/>
      <c r="AG100" s="1970"/>
      <c r="AH100" s="1970"/>
      <c r="AI100" s="1966"/>
      <c r="AJ100" s="90"/>
      <c r="AK100" s="90"/>
      <c r="AL100" s="90"/>
      <c r="AM100" s="89"/>
      <c r="AN100" s="90"/>
      <c r="AO100" s="90"/>
      <c r="AP100" s="90"/>
      <c r="AQ100" s="89"/>
      <c r="AR100" s="75"/>
      <c r="AS100" s="75"/>
      <c r="AT100" s="75"/>
      <c r="AU100" s="89"/>
      <c r="AV100" s="121"/>
      <c r="AW100" s="121"/>
      <c r="AX100" s="121"/>
      <c r="AY100" s="89"/>
      <c r="AZ100" s="121"/>
      <c r="BA100" s="121" t="s">
        <v>115</v>
      </c>
      <c r="BB100" s="135" t="s">
        <v>115</v>
      </c>
      <c r="BC100" s="89"/>
      <c r="BD100" s="121" t="s">
        <v>115</v>
      </c>
      <c r="BE100" s="121"/>
      <c r="BF100" s="121"/>
      <c r="BG100" s="89"/>
      <c r="BH100" s="92">
        <f>CF100+CI100+CL100+CO100+CR100</f>
        <v>3497.0000000000005</v>
      </c>
      <c r="BI100" s="92">
        <f>CH100+CK100+CN100+CQ100+CT100</f>
        <v>3497.0000000000005</v>
      </c>
      <c r="BJ100" s="92">
        <f>BH100-BI100</f>
        <v>0</v>
      </c>
      <c r="BK100" s="271"/>
      <c r="BL100" s="2014"/>
      <c r="BM100" s="95"/>
      <c r="BN100" s="142">
        <v>3497</v>
      </c>
      <c r="BO100" s="182"/>
      <c r="BP100" s="2037" t="s">
        <v>407</v>
      </c>
      <c r="BQ100" s="98">
        <v>0.15</v>
      </c>
      <c r="BR100" s="108"/>
      <c r="BS100" s="276">
        <f>BL100*BQ100</f>
        <v>0</v>
      </c>
      <c r="BT100" s="101">
        <f>BM100*BQ100</f>
        <v>0</v>
      </c>
      <c r="BU100" s="102">
        <f>BN100*BQ100</f>
        <v>524.54999999999995</v>
      </c>
      <c r="BV100" s="103">
        <f>BO100*BQ100</f>
        <v>0</v>
      </c>
      <c r="BW100" s="80"/>
      <c r="BX100" s="105" t="s">
        <v>407</v>
      </c>
      <c r="BY100" s="145">
        <v>0.05</v>
      </c>
      <c r="BZ100" s="108"/>
      <c r="CA100" s="276">
        <f>BL100*BY100</f>
        <v>0</v>
      </c>
      <c r="CB100" s="101">
        <f>BM100*BY100</f>
        <v>0</v>
      </c>
      <c r="CC100" s="106">
        <f>BN100*BY100</f>
        <v>174.85000000000002</v>
      </c>
      <c r="CD100" s="107">
        <f>BO100*BY100</f>
        <v>0</v>
      </c>
      <c r="CE100" s="411"/>
      <c r="CF100" s="108">
        <f>200/1.22</f>
        <v>163.9344262295082</v>
      </c>
      <c r="CG100" s="109">
        <v>45198</v>
      </c>
      <c r="CH100" s="108">
        <f>200/1.22</f>
        <v>163.9344262295082</v>
      </c>
      <c r="CI100" s="108">
        <f>1720/1.22</f>
        <v>1409.8360655737706</v>
      </c>
      <c r="CJ100" s="109">
        <v>45205</v>
      </c>
      <c r="CK100" s="108">
        <f>1720/1.22</f>
        <v>1409.8360655737706</v>
      </c>
      <c r="CL100" s="108">
        <f>2346.34/1.22</f>
        <v>1923.2295081967216</v>
      </c>
      <c r="CM100" s="109">
        <v>45233</v>
      </c>
      <c r="CN100" s="108">
        <f>2346.34/1.22</f>
        <v>1923.2295081967216</v>
      </c>
      <c r="CO100" s="130"/>
      <c r="CP100" s="130"/>
      <c r="CQ100" s="130"/>
      <c r="CR100" s="130"/>
      <c r="CS100" s="130"/>
      <c r="CT100" s="130"/>
      <c r="CU100" s="90">
        <v>1</v>
      </c>
      <c r="CV100" s="112"/>
      <c r="CW100" s="112"/>
      <c r="CX100" s="112"/>
      <c r="CY100" s="90"/>
      <c r="CZ100" s="75"/>
      <c r="DA100" s="2144" t="s">
        <v>1605</v>
      </c>
      <c r="DB100" s="126" t="str">
        <f>PROPER(N100)</f>
        <v>Rassicura</v>
      </c>
      <c r="DC100" s="2162" t="s">
        <v>1195</v>
      </c>
      <c r="DD100" s="116" t="str">
        <f>BP100</f>
        <v>Stefano</v>
      </c>
      <c r="DE100" s="117" t="b">
        <f>IF(OR(D100&gt;0),IF(BJ100=0,BN100*BQ100,0))</f>
        <v>0</v>
      </c>
      <c r="DF100" s="117" t="b">
        <f>IF(OR(D100&gt;0),IF(BJ100=0,BN100*BY100,0))</f>
        <v>0</v>
      </c>
      <c r="DG100" s="118" t="str">
        <f>BX100</f>
        <v>Stefano</v>
      </c>
      <c r="DH100" s="76"/>
      <c r="DI100" s="120" t="s">
        <v>126</v>
      </c>
      <c r="DJ100" s="120"/>
      <c r="DK100" s="74" t="s">
        <v>1418</v>
      </c>
      <c r="DL100" s="74" t="s">
        <v>1418</v>
      </c>
      <c r="DM100" s="122">
        <v>1</v>
      </c>
      <c r="DN100" s="6"/>
      <c r="DO100" s="6"/>
      <c r="DP100" s="6"/>
      <c r="DQ100" s="6"/>
      <c r="DR100" s="6"/>
      <c r="DS100" s="6"/>
      <c r="DT100" s="6"/>
      <c r="DU100" s="6"/>
      <c r="DV100" s="6"/>
      <c r="DW100" s="6"/>
      <c r="DX100" s="6"/>
      <c r="DY100" s="6"/>
      <c r="DZ100" s="6"/>
    </row>
    <row r="101" spans="1:130" ht="34.5" hidden="1" customHeight="1">
      <c r="A101" s="228"/>
      <c r="B101" s="75" t="s">
        <v>1324</v>
      </c>
      <c r="C101" s="90"/>
      <c r="D101" s="75"/>
      <c r="E101" s="1808">
        <v>1</v>
      </c>
      <c r="F101" s="75"/>
      <c r="G101" s="400" t="s">
        <v>487</v>
      </c>
      <c r="H101" s="400" t="s">
        <v>1348</v>
      </c>
      <c r="I101" s="113" t="s">
        <v>1349</v>
      </c>
      <c r="J101" s="121" t="str">
        <f>CONCATENATE(G101," ",H101)</f>
        <v>Daniela Cibien</v>
      </c>
      <c r="K101" s="156"/>
      <c r="L101" s="156"/>
      <c r="M101" s="1894"/>
      <c r="N101" s="84" t="s">
        <v>1350</v>
      </c>
      <c r="O101" s="1923"/>
      <c r="P101" s="160"/>
      <c r="Q101" s="160"/>
      <c r="R101" s="403"/>
      <c r="S101" s="160"/>
      <c r="T101" s="160"/>
      <c r="U101" s="160"/>
      <c r="V101" s="160"/>
      <c r="W101" s="160"/>
      <c r="X101" s="131"/>
      <c r="Y101" s="160"/>
      <c r="Z101" s="160"/>
      <c r="AA101" s="160"/>
      <c r="AB101" s="37"/>
      <c r="AC101" s="131"/>
      <c r="AD101" s="121" t="s">
        <v>1351</v>
      </c>
      <c r="AE101" s="88"/>
      <c r="AF101" s="1966"/>
      <c r="AG101" s="1970"/>
      <c r="AH101" s="1970"/>
      <c r="AI101" s="1966"/>
      <c r="AJ101" s="90"/>
      <c r="AK101" s="90"/>
      <c r="AL101" s="90"/>
      <c r="AM101" s="89"/>
      <c r="AN101" s="90"/>
      <c r="AO101" s="90"/>
      <c r="AP101" s="90"/>
      <c r="AQ101" s="89"/>
      <c r="AR101" s="75"/>
      <c r="AS101" s="75"/>
      <c r="AT101" s="75"/>
      <c r="AU101" s="89"/>
      <c r="AV101" s="121"/>
      <c r="AW101" s="121"/>
      <c r="AX101" s="121"/>
      <c r="AY101" s="89"/>
      <c r="AZ101" s="121"/>
      <c r="BA101" s="121" t="s">
        <v>115</v>
      </c>
      <c r="BB101" s="135" t="s">
        <v>115</v>
      </c>
      <c r="BC101" s="89"/>
      <c r="BD101" s="121" t="s">
        <v>115</v>
      </c>
      <c r="BE101" s="121"/>
      <c r="BF101" s="121"/>
      <c r="BG101" s="89"/>
      <c r="BH101" s="92">
        <f>CF101+CI101+CL101+CO101+CR101</f>
        <v>2997</v>
      </c>
      <c r="BI101" s="92">
        <f>CH101+CK101+CN101+CQ101+CT101</f>
        <v>2997</v>
      </c>
      <c r="BJ101" s="92">
        <f>BH101-BI101</f>
        <v>0</v>
      </c>
      <c r="BK101" s="271"/>
      <c r="BL101" s="2014"/>
      <c r="BM101" s="95"/>
      <c r="BN101" s="142">
        <v>2997</v>
      </c>
      <c r="BO101" s="182"/>
      <c r="BP101" s="174" t="s">
        <v>1352</v>
      </c>
      <c r="BQ101" s="418">
        <v>0.15</v>
      </c>
      <c r="BR101" s="108"/>
      <c r="BS101" s="276"/>
      <c r="BT101" s="101"/>
      <c r="BU101" s="102">
        <f>BN101*BQ101</f>
        <v>449.55</v>
      </c>
      <c r="BV101" s="103">
        <f>BO101*BQ101</f>
        <v>0</v>
      </c>
      <c r="BW101" s="80"/>
      <c r="BX101" s="105" t="s">
        <v>487</v>
      </c>
      <c r="BY101" s="145">
        <v>0.1</v>
      </c>
      <c r="BZ101" s="108"/>
      <c r="CA101" s="276"/>
      <c r="CB101" s="101"/>
      <c r="CC101" s="102">
        <f>BN101*BY101</f>
        <v>299.7</v>
      </c>
      <c r="CD101" s="103">
        <f>BO101*BY101</f>
        <v>0</v>
      </c>
      <c r="CE101" s="411"/>
      <c r="CF101" s="108">
        <v>2997</v>
      </c>
      <c r="CG101" s="109">
        <v>45230</v>
      </c>
      <c r="CH101" s="108">
        <v>2997</v>
      </c>
      <c r="CI101" s="2106"/>
      <c r="CJ101" s="184"/>
      <c r="CK101" s="2106"/>
      <c r="CL101" s="2106"/>
      <c r="CM101" s="184"/>
      <c r="CN101" s="2106"/>
      <c r="CO101" s="130"/>
      <c r="CP101" s="130"/>
      <c r="CQ101" s="130"/>
      <c r="CR101" s="130"/>
      <c r="CS101" s="130"/>
      <c r="CT101" s="130"/>
      <c r="CU101" s="90"/>
      <c r="CV101" s="112"/>
      <c r="CW101" s="112"/>
      <c r="CX101" s="112"/>
      <c r="CY101" s="90"/>
      <c r="CZ101" s="75"/>
      <c r="DA101" s="2143" t="s">
        <v>1353</v>
      </c>
      <c r="DB101" s="126" t="str">
        <f>PROPER(N101)</f>
        <v>Nim Wave</v>
      </c>
      <c r="DC101" s="116" t="s">
        <v>264</v>
      </c>
      <c r="DD101" s="116" t="str">
        <f>BP101</f>
        <v>Hal Service 10% + Gianluca 5%</v>
      </c>
      <c r="DE101" s="117" t="b">
        <f>IF(OR(D101&gt;0),IF(BJ101=0,BN101*BQ101,0))</f>
        <v>0</v>
      </c>
      <c r="DF101" s="117" t="b">
        <f>IF(OR(D101&gt;0),IF(BJ101=0,BN101*BY101,0))</f>
        <v>0</v>
      </c>
      <c r="DG101" s="118" t="str">
        <f>BX101</f>
        <v>Daniela</v>
      </c>
      <c r="DH101" s="76"/>
      <c r="DI101" s="120" t="s">
        <v>126</v>
      </c>
      <c r="DJ101" s="120"/>
      <c r="DK101" s="74"/>
      <c r="DL101" s="74"/>
      <c r="DM101" s="122">
        <v>1</v>
      </c>
      <c r="DN101" s="6"/>
      <c r="DO101" s="6"/>
      <c r="DP101" s="6"/>
      <c r="DQ101" s="6"/>
      <c r="DR101" s="6"/>
      <c r="DS101" s="6"/>
      <c r="DT101" s="6"/>
      <c r="DU101" s="6"/>
      <c r="DV101" s="6"/>
      <c r="DW101" s="6"/>
      <c r="DX101" s="6"/>
      <c r="DY101" s="6"/>
      <c r="DZ101" s="6"/>
    </row>
    <row r="102" spans="1:130" ht="34.5" hidden="1" customHeight="1">
      <c r="A102" s="228"/>
      <c r="B102" s="1804" t="s">
        <v>1108</v>
      </c>
      <c r="C102" s="90"/>
      <c r="D102" s="75"/>
      <c r="E102" s="76">
        <v>1</v>
      </c>
      <c r="F102" s="75"/>
      <c r="G102" s="344" t="s">
        <v>141</v>
      </c>
      <c r="H102" s="344" t="s">
        <v>1126</v>
      </c>
      <c r="I102" s="113" t="s">
        <v>1127</v>
      </c>
      <c r="J102" s="121" t="str">
        <f>CONCATENATE(G102," ",H102)</f>
        <v>Daniele Andreani</v>
      </c>
      <c r="K102" s="156">
        <v>3939546800</v>
      </c>
      <c r="L102" s="204" t="s">
        <v>1119</v>
      </c>
      <c r="M102" s="1867"/>
      <c r="N102" s="84" t="s">
        <v>907</v>
      </c>
      <c r="O102" s="1929"/>
      <c r="P102" s="131"/>
      <c r="Q102" s="131"/>
      <c r="R102" s="252" t="s">
        <v>1120</v>
      </c>
      <c r="S102" s="254"/>
      <c r="T102" s="254"/>
      <c r="U102" s="254"/>
      <c r="V102" s="254"/>
      <c r="W102" s="131"/>
      <c r="X102" s="131"/>
      <c r="Y102" s="131"/>
      <c r="Z102" s="131"/>
      <c r="AA102" s="131"/>
      <c r="AB102" s="255"/>
      <c r="AC102" s="256"/>
      <c r="AD102" s="121" t="s">
        <v>1121</v>
      </c>
      <c r="AE102" s="138" t="str">
        <f>L102</f>
        <v>Inserito Importo MiV (binnova paga già decurtate provvigioni Daniele)</v>
      </c>
      <c r="AF102" s="89"/>
      <c r="AG102" s="90"/>
      <c r="AH102" s="90"/>
      <c r="AI102" s="89"/>
      <c r="AJ102" s="90"/>
      <c r="AK102" s="90"/>
      <c r="AL102" s="90"/>
      <c r="AM102" s="89"/>
      <c r="AN102" s="1485"/>
      <c r="AO102" s="1485"/>
      <c r="AP102" s="1485"/>
      <c r="AQ102" s="89"/>
      <c r="AR102" s="1985" t="s">
        <v>115</v>
      </c>
      <c r="AS102" s="75"/>
      <c r="AT102" s="75"/>
      <c r="AU102" s="89"/>
      <c r="AV102" s="121"/>
      <c r="AW102" s="124"/>
      <c r="AX102" s="124"/>
      <c r="AY102" s="89"/>
      <c r="AZ102" s="121"/>
      <c r="BA102" s="121" t="s">
        <v>115</v>
      </c>
      <c r="BB102" s="135" t="s">
        <v>115</v>
      </c>
      <c r="BC102" s="89"/>
      <c r="BD102" s="121"/>
      <c r="BE102" s="121"/>
      <c r="BF102" s="121"/>
      <c r="BG102" s="89"/>
      <c r="BH102" s="92">
        <f>CF102+CI102+CL102+CO102+CR102</f>
        <v>0</v>
      </c>
      <c r="BI102" s="92">
        <f>CH102+CK102+CN102+CQ102+CT102</f>
        <v>0</v>
      </c>
      <c r="BJ102" s="92">
        <f>BH102-BI102</f>
        <v>0</v>
      </c>
      <c r="BK102" s="271"/>
      <c r="BL102" s="2014">
        <f>BH102</f>
        <v>0</v>
      </c>
      <c r="BM102" s="95"/>
      <c r="BN102" s="142"/>
      <c r="BO102" s="182"/>
      <c r="BP102" s="80" t="s">
        <v>141</v>
      </c>
      <c r="BQ102" s="145">
        <v>0.15</v>
      </c>
      <c r="BR102" s="108"/>
      <c r="BS102" s="276">
        <f>BL102*BQ102</f>
        <v>0</v>
      </c>
      <c r="BT102" s="101"/>
      <c r="BU102" s="102">
        <f>BN102*BQ102</f>
        <v>0</v>
      </c>
      <c r="BV102" s="103">
        <f>BO102*BQ102</f>
        <v>0</v>
      </c>
      <c r="BW102" s="2042" t="s">
        <v>1122</v>
      </c>
      <c r="BX102" s="105" t="s">
        <v>141</v>
      </c>
      <c r="BY102" s="145">
        <v>0.1</v>
      </c>
      <c r="BZ102" s="108"/>
      <c r="CA102" s="276">
        <f>BL102*BY102</f>
        <v>0</v>
      </c>
      <c r="CB102" s="101">
        <f>BM102*BY102</f>
        <v>0</v>
      </c>
      <c r="CC102" s="106">
        <f>BN102*BY102</f>
        <v>0</v>
      </c>
      <c r="CD102" s="107">
        <f>BO102*BY102</f>
        <v>0</v>
      </c>
      <c r="CE102" s="411" t="s">
        <v>1122</v>
      </c>
      <c r="CF102" s="108"/>
      <c r="CG102" s="109"/>
      <c r="CH102" s="108"/>
      <c r="CI102" s="108"/>
      <c r="CJ102" s="2110"/>
      <c r="CK102" s="108"/>
      <c r="CL102" s="108"/>
      <c r="CM102" s="130"/>
      <c r="CN102" s="108"/>
      <c r="CO102" s="108"/>
      <c r="CP102" s="109"/>
      <c r="CQ102" s="108"/>
      <c r="CR102" s="108"/>
      <c r="CS102" s="109"/>
      <c r="CT102" s="108"/>
      <c r="CU102" s="90">
        <v>1</v>
      </c>
      <c r="CV102" s="112" t="s">
        <v>1123</v>
      </c>
      <c r="CW102" s="112"/>
      <c r="CX102" s="113"/>
      <c r="CY102" s="90" t="s">
        <v>215</v>
      </c>
      <c r="CZ102" s="90"/>
      <c r="DA102" s="149" t="s">
        <v>911</v>
      </c>
      <c r="DB102" s="126" t="str">
        <f>PROPER(N102)</f>
        <v>Binnova</v>
      </c>
      <c r="DC102" s="116" t="s">
        <v>125</v>
      </c>
      <c r="DD102" s="116" t="str">
        <f>BP102</f>
        <v>Daniele</v>
      </c>
      <c r="DE102" s="117" t="b">
        <f>IF(OR(D102&gt;0),IF(BJ102=0,BN102*BQ102,0))</f>
        <v>0</v>
      </c>
      <c r="DF102" s="117" t="b">
        <f>IF(OR(D102&gt;0),IF(BJ102=0,BN102*BY102,0))</f>
        <v>0</v>
      </c>
      <c r="DG102" s="116" t="str">
        <f>BX102</f>
        <v>Daniele</v>
      </c>
      <c r="DH102" s="76"/>
      <c r="DI102" s="120" t="s">
        <v>126</v>
      </c>
      <c r="DJ102" s="120"/>
      <c r="DK102" s="207"/>
      <c r="DL102" s="207"/>
      <c r="DM102" s="264">
        <v>1</v>
      </c>
      <c r="DN102" s="265"/>
      <c r="DO102" s="265"/>
      <c r="DP102" s="265"/>
      <c r="DQ102" s="265"/>
      <c r="DR102" s="265"/>
      <c r="DS102" s="265"/>
      <c r="DT102" s="265"/>
      <c r="DU102" s="265"/>
      <c r="DV102" s="265"/>
      <c r="DW102" s="265"/>
      <c r="DX102" s="265"/>
      <c r="DY102" s="265"/>
      <c r="DZ102" s="265"/>
    </row>
    <row r="103" spans="1:130" ht="34.5" hidden="1" customHeight="1">
      <c r="A103" s="3"/>
      <c r="B103" s="75" t="s">
        <v>108</v>
      </c>
      <c r="C103" s="75"/>
      <c r="D103" s="75"/>
      <c r="E103" s="76"/>
      <c r="F103" s="148"/>
      <c r="G103" s="140" t="s">
        <v>703</v>
      </c>
      <c r="H103" s="140" t="s">
        <v>704</v>
      </c>
      <c r="I103" s="80" t="s">
        <v>705</v>
      </c>
      <c r="J103" s="155" t="str">
        <f>CONCATENATE(G103," ",H103)</f>
        <v>Margherita Michelini</v>
      </c>
      <c r="K103" s="156">
        <v>3494007360</v>
      </c>
      <c r="L103" s="160" t="s">
        <v>706</v>
      </c>
      <c r="M103" s="83" t="s">
        <v>707</v>
      </c>
      <c r="N103" s="84"/>
      <c r="O103" s="85"/>
      <c r="P103" s="86"/>
      <c r="Q103" s="86"/>
      <c r="R103" s="86"/>
      <c r="S103" s="86"/>
      <c r="T103" s="86"/>
      <c r="U103" s="86"/>
      <c r="V103" s="86"/>
      <c r="W103" s="86"/>
      <c r="X103" s="86"/>
      <c r="Y103" s="87"/>
      <c r="Z103" s="86"/>
      <c r="AA103" s="86"/>
      <c r="AB103" s="86"/>
      <c r="AC103" s="86"/>
      <c r="AD103" s="86" t="s">
        <v>708</v>
      </c>
      <c r="AE103" s="138" t="str">
        <f>L103</f>
        <v>p/to 12 mesi con bonifico bancario entro il 30 di ogni mese</v>
      </c>
      <c r="AF103" s="89"/>
      <c r="AG103" s="75"/>
      <c r="AH103" s="75"/>
      <c r="AI103" s="89"/>
      <c r="AJ103" s="75"/>
      <c r="AK103" s="75"/>
      <c r="AL103" s="75"/>
      <c r="AM103" s="89"/>
      <c r="AN103" s="90"/>
      <c r="AO103" s="90"/>
      <c r="AP103" s="90"/>
      <c r="AQ103" s="89"/>
      <c r="AR103" s="75"/>
      <c r="AS103" s="75"/>
      <c r="AT103" s="75"/>
      <c r="AU103" s="89"/>
      <c r="AV103" s="75" t="s">
        <v>115</v>
      </c>
      <c r="AW103" s="121" t="s">
        <v>115</v>
      </c>
      <c r="AX103" s="121" t="s">
        <v>115</v>
      </c>
      <c r="AY103" s="89"/>
      <c r="AZ103" s="121"/>
      <c r="BA103" s="121"/>
      <c r="BB103" s="121"/>
      <c r="BC103" s="89"/>
      <c r="BD103" s="121"/>
      <c r="BE103" s="121"/>
      <c r="BF103" s="121"/>
      <c r="BG103" s="89"/>
      <c r="BH103" s="92">
        <v>2997</v>
      </c>
      <c r="BI103" s="92">
        <f>(300+309.4+304.7+304.7+304.7+304.7)/1.22</f>
        <v>1498.5245901639346</v>
      </c>
      <c r="BJ103" s="92">
        <f>BH103-BI103</f>
        <v>1498.4754098360654</v>
      </c>
      <c r="BK103" s="93"/>
      <c r="BL103" s="94"/>
      <c r="BM103" s="95">
        <v>2997</v>
      </c>
      <c r="BN103" s="96"/>
      <c r="BO103" s="97"/>
      <c r="BP103" s="80" t="s">
        <v>166</v>
      </c>
      <c r="BQ103" s="98">
        <v>0.15</v>
      </c>
      <c r="BR103" s="99"/>
      <c r="BS103" s="100"/>
      <c r="BT103" s="101">
        <f>BM103*BQ103</f>
        <v>449.55</v>
      </c>
      <c r="BU103" s="102">
        <f>BN103*BQ103</f>
        <v>0</v>
      </c>
      <c r="BV103" s="103">
        <f>BO103*BQ103</f>
        <v>0</v>
      </c>
      <c r="BW103" s="80"/>
      <c r="BX103" s="105" t="s">
        <v>166</v>
      </c>
      <c r="BY103" s="98">
        <v>0.05</v>
      </c>
      <c r="BZ103" s="99"/>
      <c r="CA103" s="100"/>
      <c r="CB103" s="101">
        <f>BM103*BY103</f>
        <v>149.85</v>
      </c>
      <c r="CC103" s="106">
        <f>BN103*BY103</f>
        <v>0</v>
      </c>
      <c r="CD103" s="107">
        <f>BO103*BY103</f>
        <v>0</v>
      </c>
      <c r="CE103" s="90"/>
      <c r="CF103" s="108">
        <v>245.9</v>
      </c>
      <c r="CG103" s="109">
        <v>45050</v>
      </c>
      <c r="CH103" s="108">
        <v>245.9</v>
      </c>
      <c r="CI103" s="108">
        <v>250.09</v>
      </c>
      <c r="CJ103" s="109">
        <v>45090</v>
      </c>
      <c r="CK103" s="108">
        <v>253.6</v>
      </c>
      <c r="CL103" s="108">
        <v>249.75</v>
      </c>
      <c r="CM103" s="109">
        <v>45120</v>
      </c>
      <c r="CN103" s="108">
        <v>249.75</v>
      </c>
      <c r="CO103" s="108">
        <v>249.75</v>
      </c>
      <c r="CP103" s="180">
        <v>45217</v>
      </c>
      <c r="CQ103" s="111"/>
      <c r="CR103" s="108"/>
      <c r="CS103" s="109">
        <v>45184</v>
      </c>
      <c r="CT103" s="111"/>
      <c r="CU103" s="90">
        <v>1</v>
      </c>
      <c r="CV103" s="112" t="s">
        <v>121</v>
      </c>
      <c r="CW103" s="112"/>
      <c r="CX103" s="113"/>
      <c r="CY103" s="90" t="s">
        <v>122</v>
      </c>
      <c r="CZ103" s="90"/>
      <c r="DA103" s="80" t="s">
        <v>709</v>
      </c>
      <c r="DB103" s="126" t="str">
        <f>PROPER(N103)</f>
        <v/>
      </c>
      <c r="DC103" s="116"/>
      <c r="DD103" s="116" t="str">
        <f>BP103</f>
        <v>Matteo</v>
      </c>
      <c r="DE103" s="117" t="b">
        <f>IF(OR(D103&gt;0),IF(BJ103=0,BN103*BQ103,0))</f>
        <v>0</v>
      </c>
      <c r="DF103" s="117" t="b">
        <f>IF(OR(D103&gt;0),IF(BJ103=0,BN103*BY103,0))</f>
        <v>0</v>
      </c>
      <c r="DG103" s="118" t="str">
        <f>BX103</f>
        <v>Matteo</v>
      </c>
      <c r="DH103" s="76"/>
      <c r="DI103" s="120" t="s">
        <v>154</v>
      </c>
      <c r="DJ103" s="120"/>
      <c r="DK103" s="121"/>
      <c r="DL103" s="121"/>
      <c r="DM103" s="122"/>
      <c r="DN103" s="6"/>
      <c r="DO103" s="6"/>
      <c r="DP103" s="6"/>
      <c r="DQ103" s="6"/>
      <c r="DR103" s="6"/>
      <c r="DS103" s="6"/>
      <c r="DT103" s="6"/>
      <c r="DU103" s="6"/>
      <c r="DV103" s="6"/>
      <c r="DW103" s="6"/>
      <c r="DX103" s="6"/>
      <c r="DY103" s="6"/>
      <c r="DZ103" s="6"/>
    </row>
    <row r="104" spans="1:130" ht="34.5" hidden="1" customHeight="1">
      <c r="A104" s="3"/>
      <c r="B104" s="75" t="s">
        <v>108</v>
      </c>
      <c r="C104" s="75"/>
      <c r="D104" s="75"/>
      <c r="E104" s="76"/>
      <c r="F104" s="75"/>
      <c r="G104" s="79" t="s">
        <v>710</v>
      </c>
      <c r="H104" s="79" t="s">
        <v>711</v>
      </c>
      <c r="I104" s="80" t="s">
        <v>712</v>
      </c>
      <c r="J104" s="155" t="str">
        <f>CONCATENATE(G104," ",H104)</f>
        <v>Mario Massardi</v>
      </c>
      <c r="K104" s="156">
        <v>3913594909</v>
      </c>
      <c r="L104" s="157"/>
      <c r="M104" s="83" t="s">
        <v>259</v>
      </c>
      <c r="N104" s="84" t="s">
        <v>713</v>
      </c>
      <c r="O104" s="85"/>
      <c r="P104" s="86"/>
      <c r="Q104" s="86"/>
      <c r="R104" s="86"/>
      <c r="S104" s="86"/>
      <c r="T104" s="86"/>
      <c r="U104" s="86"/>
      <c r="V104" s="86"/>
      <c r="W104" s="86"/>
      <c r="X104" s="86"/>
      <c r="Y104" s="87"/>
      <c r="Z104" s="86"/>
      <c r="AA104" s="86"/>
      <c r="AB104" s="86"/>
      <c r="AC104" s="86"/>
      <c r="AD104" s="86" t="s">
        <v>714</v>
      </c>
      <c r="AE104" s="88">
        <f>L104</f>
        <v>0</v>
      </c>
      <c r="AF104" s="89"/>
      <c r="AG104" s="75"/>
      <c r="AH104" s="75"/>
      <c r="AI104" s="89"/>
      <c r="AJ104" s="75"/>
      <c r="AK104" s="75"/>
      <c r="AL104" s="75"/>
      <c r="AM104" s="89"/>
      <c r="AN104" s="90"/>
      <c r="AO104" s="90"/>
      <c r="AP104" s="90"/>
      <c r="AQ104" s="89"/>
      <c r="AR104" s="75"/>
      <c r="AS104" s="75"/>
      <c r="AT104" s="75"/>
      <c r="AU104" s="89"/>
      <c r="AV104" s="75"/>
      <c r="AW104" s="75"/>
      <c r="AX104" s="75"/>
      <c r="AY104" s="89"/>
      <c r="AZ104" s="75"/>
      <c r="BA104" s="121"/>
      <c r="BB104" s="121"/>
      <c r="BC104" s="89"/>
      <c r="BD104" s="121" t="s">
        <v>115</v>
      </c>
      <c r="BE104" s="121" t="s">
        <v>115</v>
      </c>
      <c r="BF104" s="121" t="s">
        <v>115</v>
      </c>
      <c r="BG104" s="89"/>
      <c r="BH104" s="92">
        <f>CF104+CI104+CL104+CO104+CR104</f>
        <v>2997</v>
      </c>
      <c r="BI104" s="92">
        <f>CH104+CK104+CN104+CQ104+CT104</f>
        <v>2997</v>
      </c>
      <c r="BJ104" s="92">
        <f>BH104-BI104</f>
        <v>0</v>
      </c>
      <c r="BK104" s="93"/>
      <c r="BL104" s="94"/>
      <c r="BM104" s="95"/>
      <c r="BN104" s="127"/>
      <c r="BO104" s="128">
        <v>2997</v>
      </c>
      <c r="BP104" s="80" t="s">
        <v>160</v>
      </c>
      <c r="BQ104" s="98">
        <v>0.15</v>
      </c>
      <c r="BR104" s="99"/>
      <c r="BS104" s="100"/>
      <c r="BT104" s="101">
        <f>BM104*BQ104</f>
        <v>0</v>
      </c>
      <c r="BU104" s="102">
        <f>BN104*BQ104</f>
        <v>0</v>
      </c>
      <c r="BV104" s="103">
        <f>BO104*BQ104</f>
        <v>449.55</v>
      </c>
      <c r="BW104" s="80"/>
      <c r="BX104" s="105" t="s">
        <v>160</v>
      </c>
      <c r="BY104" s="98">
        <v>0.05</v>
      </c>
      <c r="BZ104" s="99"/>
      <c r="CA104" s="100"/>
      <c r="CB104" s="101">
        <f>BM104*BY104</f>
        <v>0</v>
      </c>
      <c r="CC104" s="106">
        <f>BN104*BY104</f>
        <v>0</v>
      </c>
      <c r="CD104" s="107">
        <f>BO104*BY104</f>
        <v>149.85</v>
      </c>
      <c r="CE104" s="90"/>
      <c r="CF104" s="108">
        <v>2997</v>
      </c>
      <c r="CG104" s="109">
        <v>45189</v>
      </c>
      <c r="CH104" s="110">
        <v>2997</v>
      </c>
      <c r="CI104" s="108"/>
      <c r="CJ104" s="109"/>
      <c r="CK104" s="111"/>
      <c r="CL104" s="111"/>
      <c r="CM104" s="109"/>
      <c r="CN104" s="111"/>
      <c r="CO104" s="111"/>
      <c r="CP104" s="111"/>
      <c r="CQ104" s="111"/>
      <c r="CR104" s="111"/>
      <c r="CS104" s="111"/>
      <c r="CT104" s="111"/>
      <c r="CU104" s="90">
        <v>1</v>
      </c>
      <c r="CV104" s="112" t="s">
        <v>121</v>
      </c>
      <c r="CW104" s="112"/>
      <c r="CX104" s="113"/>
      <c r="CY104" s="90" t="s">
        <v>122</v>
      </c>
      <c r="CZ104" s="90"/>
      <c r="DA104" s="80"/>
      <c r="DB104" s="115" t="str">
        <f>PROPER(N104)</f>
        <v>Abm Consulting</v>
      </c>
      <c r="DC104" s="116" t="s">
        <v>715</v>
      </c>
      <c r="DD104" s="116" t="str">
        <f>BP104</f>
        <v>Gianluca</v>
      </c>
      <c r="DE104" s="117" t="b">
        <f>IF(OR(D104&gt;0),IF(BJ104=0,BN104*BQ104,0))</f>
        <v>0</v>
      </c>
      <c r="DF104" s="117" t="b">
        <f>IF(OR(D104&gt;0),IF(BJ104=0,BN104*BY104,0))</f>
        <v>0</v>
      </c>
      <c r="DG104" s="116" t="str">
        <f>BX104</f>
        <v>Gianluca</v>
      </c>
      <c r="DH104" s="76"/>
      <c r="DI104" s="120" t="s">
        <v>154</v>
      </c>
      <c r="DJ104" s="120"/>
      <c r="DK104" s="121"/>
      <c r="DL104" s="121"/>
      <c r="DM104" s="122"/>
      <c r="DN104" s="6"/>
      <c r="DO104" s="6"/>
      <c r="DP104" s="6"/>
      <c r="DQ104" s="6"/>
      <c r="DR104" s="6"/>
      <c r="DS104" s="6"/>
      <c r="DT104" s="6"/>
      <c r="DU104" s="6"/>
      <c r="DV104" s="6"/>
      <c r="DW104" s="6"/>
      <c r="DX104" s="6"/>
      <c r="DY104" s="6"/>
      <c r="DZ104" s="6"/>
    </row>
    <row r="105" spans="1:130" ht="34.5" hidden="1" customHeight="1">
      <c r="A105" s="3"/>
      <c r="B105" s="75" t="s">
        <v>108</v>
      </c>
      <c r="C105" s="75"/>
      <c r="D105" s="75">
        <v>1</v>
      </c>
      <c r="E105" s="76">
        <v>1</v>
      </c>
      <c r="F105" s="132"/>
      <c r="G105" s="79" t="s">
        <v>716</v>
      </c>
      <c r="H105" s="79" t="s">
        <v>717</v>
      </c>
      <c r="I105" s="80" t="s">
        <v>718</v>
      </c>
      <c r="J105" s="155" t="str">
        <f>CONCATENATE(G105," ",H105)</f>
        <v>Mario Luis Bonito Alberto</v>
      </c>
      <c r="K105" s="156">
        <v>3423502751</v>
      </c>
      <c r="L105" s="157"/>
      <c r="M105" s="143" t="s">
        <v>719</v>
      </c>
      <c r="N105" s="84" t="s">
        <v>720</v>
      </c>
      <c r="O105" s="85"/>
      <c r="P105" s="86"/>
      <c r="Q105" s="86"/>
      <c r="R105" s="86"/>
      <c r="S105" s="86"/>
      <c r="T105" s="86"/>
      <c r="U105" s="86"/>
      <c r="V105" s="86"/>
      <c r="W105" s="86"/>
      <c r="X105" s="86"/>
      <c r="Y105" s="87"/>
      <c r="Z105" s="86"/>
      <c r="AA105" s="86"/>
      <c r="AB105" s="86"/>
      <c r="AC105" s="86"/>
      <c r="AD105" s="86" t="s">
        <v>721</v>
      </c>
      <c r="AE105" s="88">
        <f>L105</f>
        <v>0</v>
      </c>
      <c r="AF105" s="89"/>
      <c r="AG105" s="75"/>
      <c r="AH105" s="75"/>
      <c r="AI105" s="89"/>
      <c r="AJ105" s="75"/>
      <c r="AK105" s="75"/>
      <c r="AL105" s="75"/>
      <c r="AM105" s="89"/>
      <c r="AN105" s="90"/>
      <c r="AO105" s="90"/>
      <c r="AP105" s="90"/>
      <c r="AQ105" s="89"/>
      <c r="AR105" s="75"/>
      <c r="AS105" s="75"/>
      <c r="AT105" s="75"/>
      <c r="AU105" s="89"/>
      <c r="AV105" s="124"/>
      <c r="AW105" s="124"/>
      <c r="AX105" s="75" t="s">
        <v>115</v>
      </c>
      <c r="AY105" s="89"/>
      <c r="AZ105" s="121" t="s">
        <v>115</v>
      </c>
      <c r="BA105" s="121" t="s">
        <v>115</v>
      </c>
      <c r="BB105" s="135" t="s">
        <v>154</v>
      </c>
      <c r="BC105" s="89"/>
      <c r="BD105" s="121"/>
      <c r="BE105" s="121"/>
      <c r="BF105" s="121"/>
      <c r="BG105" s="89"/>
      <c r="BH105" s="92">
        <f>CF105+CI105+CL105+CO105+CR105</f>
        <v>2997</v>
      </c>
      <c r="BI105" s="92">
        <f>CH105+CK105+CN105+CQ105+CT105</f>
        <v>2997</v>
      </c>
      <c r="BJ105" s="92">
        <f>BH105-BI105</f>
        <v>0</v>
      </c>
      <c r="BK105" s="93"/>
      <c r="BL105" s="94"/>
      <c r="BM105" s="95">
        <v>2997</v>
      </c>
      <c r="BN105" s="96"/>
      <c r="BO105" s="97"/>
      <c r="BP105" s="80" t="s">
        <v>117</v>
      </c>
      <c r="BQ105" s="98">
        <v>0</v>
      </c>
      <c r="BR105" s="99"/>
      <c r="BS105" s="100"/>
      <c r="BT105" s="101">
        <f>BM105*BQ105</f>
        <v>0</v>
      </c>
      <c r="BU105" s="102">
        <f>BN105*BQ105</f>
        <v>0</v>
      </c>
      <c r="BV105" s="103">
        <f>BO105*BQ105</f>
        <v>0</v>
      </c>
      <c r="BW105" s="80" t="s">
        <v>118</v>
      </c>
      <c r="BX105" s="105" t="s">
        <v>152</v>
      </c>
      <c r="BY105" s="98">
        <v>0.05</v>
      </c>
      <c r="BZ105" s="99"/>
      <c r="CA105" s="100"/>
      <c r="CB105" s="101">
        <f>BM105*BY105</f>
        <v>149.85</v>
      </c>
      <c r="CC105" s="106">
        <f>BN105*BY105</f>
        <v>0</v>
      </c>
      <c r="CD105" s="107">
        <f>BO105*BY105</f>
        <v>0</v>
      </c>
      <c r="CE105" s="80" t="s">
        <v>174</v>
      </c>
      <c r="CF105" s="108">
        <f>2997/2</f>
        <v>1498.5</v>
      </c>
      <c r="CG105" s="109">
        <v>45014</v>
      </c>
      <c r="CH105" s="110">
        <v>1498.5</v>
      </c>
      <c r="CI105" s="108">
        <f>2997/2</f>
        <v>1498.5</v>
      </c>
      <c r="CJ105" s="109">
        <v>45044</v>
      </c>
      <c r="CK105" s="108">
        <f>2997/2</f>
        <v>1498.5</v>
      </c>
      <c r="CL105" s="111"/>
      <c r="CM105" s="109"/>
      <c r="CN105" s="111"/>
      <c r="CO105" s="111"/>
      <c r="CP105" s="111"/>
      <c r="CQ105" s="111"/>
      <c r="CR105" s="111"/>
      <c r="CS105" s="111"/>
      <c r="CT105" s="111"/>
      <c r="CU105" s="90">
        <v>1</v>
      </c>
      <c r="CV105" s="112" t="s">
        <v>121</v>
      </c>
      <c r="CW105" s="112"/>
      <c r="CX105" s="113"/>
      <c r="CY105" s="90" t="s">
        <v>122</v>
      </c>
      <c r="CZ105" s="90"/>
      <c r="DA105" s="80" t="s">
        <v>722</v>
      </c>
      <c r="DB105" s="126" t="s">
        <v>720</v>
      </c>
      <c r="DC105" s="116" t="s">
        <v>723</v>
      </c>
      <c r="DD105" s="116" t="str">
        <f>BP105</f>
        <v>blackship</v>
      </c>
      <c r="DE105" s="117">
        <f>IF(OR(D105&gt;0),IF(BJ105=0,BN105*BQ105,0))</f>
        <v>0</v>
      </c>
      <c r="DF105" s="117">
        <f>IF(OR(D105&gt;0),IF(BJ105=0,BN105*BY105,0))</f>
        <v>0</v>
      </c>
      <c r="DG105" s="118" t="str">
        <f>BX105</f>
        <v>Client Angel</v>
      </c>
      <c r="DH105" s="76"/>
      <c r="DI105" s="120" t="s">
        <v>154</v>
      </c>
      <c r="DJ105" s="120"/>
      <c r="DK105" s="121"/>
      <c r="DL105" s="121"/>
      <c r="DM105" s="122"/>
      <c r="DN105" s="6"/>
      <c r="DO105" s="6"/>
      <c r="DP105" s="6"/>
      <c r="DQ105" s="6"/>
      <c r="DR105" s="6"/>
      <c r="DS105" s="6"/>
      <c r="DT105" s="6"/>
      <c r="DU105" s="6"/>
      <c r="DV105" s="6"/>
      <c r="DW105" s="6"/>
      <c r="DX105" s="6"/>
      <c r="DY105" s="6"/>
      <c r="DZ105" s="6"/>
    </row>
    <row r="106" spans="1:130" ht="34.5" hidden="1" customHeight="1">
      <c r="A106" s="228"/>
      <c r="B106" s="1804" t="s">
        <v>1108</v>
      </c>
      <c r="C106" s="90"/>
      <c r="D106" s="75"/>
      <c r="E106" s="76">
        <v>1</v>
      </c>
      <c r="F106" s="75"/>
      <c r="G106" s="344" t="s">
        <v>141</v>
      </c>
      <c r="H106" s="344" t="s">
        <v>1124</v>
      </c>
      <c r="I106" s="113" t="s">
        <v>1125</v>
      </c>
      <c r="J106" s="121" t="str">
        <f>CONCATENATE(G106," ",H106)</f>
        <v>Daniele Bettini</v>
      </c>
      <c r="K106" s="156">
        <v>3297941283</v>
      </c>
      <c r="L106" s="204" t="s">
        <v>1119</v>
      </c>
      <c r="M106" s="1867"/>
      <c r="N106" s="84" t="s">
        <v>907</v>
      </c>
      <c r="O106" s="1929"/>
      <c r="P106" s="131"/>
      <c r="Q106" s="131"/>
      <c r="R106" s="252" t="s">
        <v>1120</v>
      </c>
      <c r="S106" s="254"/>
      <c r="T106" s="254"/>
      <c r="U106" s="254"/>
      <c r="V106" s="254"/>
      <c r="W106" s="131"/>
      <c r="X106" s="131"/>
      <c r="Y106" s="131"/>
      <c r="Z106" s="131"/>
      <c r="AA106" s="131"/>
      <c r="AB106" s="255"/>
      <c r="AC106" s="256"/>
      <c r="AD106" s="121" t="s">
        <v>1121</v>
      </c>
      <c r="AE106" s="138" t="str">
        <f>L106</f>
        <v>Inserito Importo MiV (binnova paga già decurtate provvigioni Daniele)</v>
      </c>
      <c r="AF106" s="89"/>
      <c r="AG106" s="90"/>
      <c r="AH106" s="90"/>
      <c r="AI106" s="89"/>
      <c r="AJ106" s="90"/>
      <c r="AK106" s="90"/>
      <c r="AL106" s="90"/>
      <c r="AM106" s="89"/>
      <c r="AN106" s="1485"/>
      <c r="AO106" s="1485"/>
      <c r="AP106" s="1485"/>
      <c r="AQ106" s="89"/>
      <c r="AR106" s="1985" t="s">
        <v>115</v>
      </c>
      <c r="AS106" s="75"/>
      <c r="AT106" s="75"/>
      <c r="AU106" s="89"/>
      <c r="AV106" s="121"/>
      <c r="AW106" s="124"/>
      <c r="AX106" s="124"/>
      <c r="AY106" s="89"/>
      <c r="AZ106" s="121"/>
      <c r="BA106" s="121" t="s">
        <v>115</v>
      </c>
      <c r="BB106" s="135" t="s">
        <v>115</v>
      </c>
      <c r="BC106" s="89"/>
      <c r="BD106" s="121"/>
      <c r="BE106" s="121"/>
      <c r="BF106" s="121"/>
      <c r="BG106" s="89"/>
      <c r="BH106" s="92">
        <f>CF106+CI106+CL106+CO106+CR106</f>
        <v>0</v>
      </c>
      <c r="BI106" s="92">
        <f>CH106+CK106+CN106+CQ106+CT106</f>
        <v>0</v>
      </c>
      <c r="BJ106" s="92">
        <f>BH106-BI106</f>
        <v>0</v>
      </c>
      <c r="BK106" s="271"/>
      <c r="BL106" s="2014">
        <f>BH106</f>
        <v>0</v>
      </c>
      <c r="BM106" s="95"/>
      <c r="BN106" s="127"/>
      <c r="BO106" s="128"/>
      <c r="BP106" s="80" t="s">
        <v>141</v>
      </c>
      <c r="BQ106" s="145">
        <v>0.15</v>
      </c>
      <c r="BR106" s="108"/>
      <c r="BS106" s="276">
        <f>BL106*BQ106</f>
        <v>0</v>
      </c>
      <c r="BT106" s="101"/>
      <c r="BU106" s="102">
        <f>BN106*BQ106</f>
        <v>0</v>
      </c>
      <c r="BV106" s="103">
        <f>BO106*BQ106</f>
        <v>0</v>
      </c>
      <c r="BW106" s="2042" t="s">
        <v>1122</v>
      </c>
      <c r="BX106" s="105" t="s">
        <v>141</v>
      </c>
      <c r="BY106" s="145">
        <v>0.1</v>
      </c>
      <c r="BZ106" s="108"/>
      <c r="CA106" s="276">
        <f>BL106*BY106</f>
        <v>0</v>
      </c>
      <c r="CB106" s="101">
        <f>BM106*BY106</f>
        <v>0</v>
      </c>
      <c r="CC106" s="106">
        <f>BN106*BY106</f>
        <v>0</v>
      </c>
      <c r="CD106" s="107">
        <f>BO106*BY106</f>
        <v>0</v>
      </c>
      <c r="CE106" s="411" t="s">
        <v>1122</v>
      </c>
      <c r="CF106" s="108"/>
      <c r="CG106" s="109"/>
      <c r="CH106" s="108"/>
      <c r="CI106" s="108"/>
      <c r="CJ106" s="2110"/>
      <c r="CK106" s="108"/>
      <c r="CL106" s="108"/>
      <c r="CM106" s="130"/>
      <c r="CN106" s="108"/>
      <c r="CO106" s="108"/>
      <c r="CP106" s="109"/>
      <c r="CQ106" s="108"/>
      <c r="CR106" s="108"/>
      <c r="CS106" s="109"/>
      <c r="CT106" s="108"/>
      <c r="CU106" s="90">
        <v>1</v>
      </c>
      <c r="CV106" s="112" t="s">
        <v>1123</v>
      </c>
      <c r="CW106" s="112"/>
      <c r="CX106" s="113"/>
      <c r="CY106" s="90" t="s">
        <v>215</v>
      </c>
      <c r="CZ106" s="90"/>
      <c r="DA106" s="2134" t="s">
        <v>911</v>
      </c>
      <c r="DB106" s="115" t="str">
        <f>PROPER(N106)</f>
        <v>Binnova</v>
      </c>
      <c r="DC106" s="116" t="s">
        <v>125</v>
      </c>
      <c r="DD106" s="116" t="str">
        <f>BP106</f>
        <v>Daniele</v>
      </c>
      <c r="DE106" s="117" t="b">
        <f>IF(OR(D106&gt;0),IF(BJ106=0,BN106*BQ106,0))</f>
        <v>0</v>
      </c>
      <c r="DF106" s="117" t="b">
        <f>IF(OR(D106&gt;0),IF(BJ106=0,BN106*BY106,0))</f>
        <v>0</v>
      </c>
      <c r="DG106" s="116" t="str">
        <f>BX106</f>
        <v>Daniele</v>
      </c>
      <c r="DH106" s="76"/>
      <c r="DI106" s="120" t="s">
        <v>126</v>
      </c>
      <c r="DJ106" s="120"/>
      <c r="DK106" s="207"/>
      <c r="DL106" s="207"/>
      <c r="DM106" s="264">
        <v>1</v>
      </c>
      <c r="DN106" s="265"/>
      <c r="DO106" s="265"/>
      <c r="DP106" s="265"/>
      <c r="DQ106" s="265"/>
      <c r="DR106" s="265"/>
      <c r="DS106" s="265"/>
      <c r="DT106" s="265"/>
      <c r="DU106" s="265"/>
      <c r="DV106" s="265"/>
      <c r="DW106" s="265"/>
      <c r="DX106" s="265"/>
      <c r="DY106" s="265"/>
      <c r="DZ106" s="265"/>
    </row>
    <row r="107" spans="1:130" ht="34.5" hidden="1" customHeight="1">
      <c r="A107" s="3"/>
      <c r="B107" s="75" t="s">
        <v>108</v>
      </c>
      <c r="C107" s="75"/>
      <c r="D107" s="75"/>
      <c r="E107" s="76"/>
      <c r="F107" s="75"/>
      <c r="G107" s="79" t="s">
        <v>166</v>
      </c>
      <c r="H107" s="79" t="s">
        <v>727</v>
      </c>
      <c r="I107" s="80" t="s">
        <v>728</v>
      </c>
      <c r="J107" s="155" t="str">
        <f>CONCATENATE(G107," ",H107)</f>
        <v>Matteo Marcato</v>
      </c>
      <c r="K107" s="156">
        <v>3356054247</v>
      </c>
      <c r="L107" s="157"/>
      <c r="M107" s="83"/>
      <c r="N107" s="84" t="s">
        <v>729</v>
      </c>
      <c r="O107" s="85"/>
      <c r="P107" s="86"/>
      <c r="Q107" s="86"/>
      <c r="R107" s="86"/>
      <c r="S107" s="86"/>
      <c r="T107" s="86"/>
      <c r="U107" s="86"/>
      <c r="V107" s="86"/>
      <c r="W107" s="86"/>
      <c r="X107" s="86"/>
      <c r="Y107" s="87"/>
      <c r="Z107" s="86"/>
      <c r="AA107" s="86"/>
      <c r="AB107" s="86"/>
      <c r="AC107" s="86"/>
      <c r="AD107" s="86" t="s">
        <v>118</v>
      </c>
      <c r="AE107" s="88">
        <f>L107</f>
        <v>0</v>
      </c>
      <c r="AF107" s="89"/>
      <c r="AG107" s="75"/>
      <c r="AH107" s="75"/>
      <c r="AI107" s="89"/>
      <c r="AJ107" s="75"/>
      <c r="AK107" s="75"/>
      <c r="AL107" s="75"/>
      <c r="AM107" s="89"/>
      <c r="AN107" s="90"/>
      <c r="AO107" s="90"/>
      <c r="AP107" s="90"/>
      <c r="AQ107" s="89"/>
      <c r="AR107" s="75"/>
      <c r="AS107" s="75"/>
      <c r="AT107" s="75"/>
      <c r="AU107" s="89"/>
      <c r="AV107" s="129" t="s">
        <v>165</v>
      </c>
      <c r="AW107" s="129" t="s">
        <v>165</v>
      </c>
      <c r="AX107" s="129" t="s">
        <v>165</v>
      </c>
      <c r="AY107" s="89"/>
      <c r="AZ107" s="121"/>
      <c r="BA107" s="121"/>
      <c r="BB107" s="121"/>
      <c r="BC107" s="89"/>
      <c r="BD107" s="121"/>
      <c r="BE107" s="121"/>
      <c r="BF107" s="121"/>
      <c r="BG107" s="89"/>
      <c r="BH107" s="92">
        <f>CF107+CI107+CL107+CO107+CR107</f>
        <v>0</v>
      </c>
      <c r="BI107" s="92">
        <f>CH107+CK107+CN107+CQ107+CT107</f>
        <v>0</v>
      </c>
      <c r="BJ107" s="92">
        <f>BH107-BI107</f>
        <v>0</v>
      </c>
      <c r="BK107" s="93"/>
      <c r="BL107" s="94"/>
      <c r="BM107" s="95"/>
      <c r="BN107" s="96"/>
      <c r="BO107" s="97"/>
      <c r="BP107" s="80" t="s">
        <v>117</v>
      </c>
      <c r="BQ107" s="98">
        <v>0</v>
      </c>
      <c r="BR107" s="99"/>
      <c r="BS107" s="100"/>
      <c r="BT107" s="101">
        <f>BM107*BQ107</f>
        <v>0</v>
      </c>
      <c r="BU107" s="102">
        <f>BN107*BQ107</f>
        <v>0</v>
      </c>
      <c r="BV107" s="103">
        <f>BO107*BQ107</f>
        <v>0</v>
      </c>
      <c r="BW107" s="80" t="s">
        <v>118</v>
      </c>
      <c r="BX107" s="105" t="s">
        <v>166</v>
      </c>
      <c r="BY107" s="98">
        <v>0.05</v>
      </c>
      <c r="BZ107" s="99"/>
      <c r="CA107" s="100"/>
      <c r="CB107" s="101">
        <f>BM107*BY107</f>
        <v>0</v>
      </c>
      <c r="CC107" s="106">
        <f>BN107*BY107</f>
        <v>0</v>
      </c>
      <c r="CD107" s="107">
        <f>BO107*BY107</f>
        <v>0</v>
      </c>
      <c r="CE107" s="90"/>
      <c r="CF107" s="108">
        <v>0</v>
      </c>
      <c r="CG107" s="130"/>
      <c r="CH107" s="110"/>
      <c r="CI107" s="108"/>
      <c r="CJ107" s="109"/>
      <c r="CK107" s="111"/>
      <c r="CL107" s="111"/>
      <c r="CM107" s="109"/>
      <c r="CN107" s="111"/>
      <c r="CO107" s="111"/>
      <c r="CP107" s="111"/>
      <c r="CQ107" s="111"/>
      <c r="CR107" s="111"/>
      <c r="CS107" s="111"/>
      <c r="CT107" s="111"/>
      <c r="CU107" s="90"/>
      <c r="CV107" s="112"/>
      <c r="CW107" s="112"/>
      <c r="CX107" s="113"/>
      <c r="CY107" s="90" t="s">
        <v>122</v>
      </c>
      <c r="CZ107" s="90"/>
      <c r="DA107" s="80"/>
      <c r="DB107" s="115" t="str">
        <f>PROPER(N107)</f>
        <v>Parsifal</v>
      </c>
      <c r="DC107" s="116"/>
      <c r="DD107" s="116" t="str">
        <f>BP107</f>
        <v>blackship</v>
      </c>
      <c r="DE107" s="117" t="b">
        <f>IF(OR(D107&gt;0),IF(BJ107=0,BN107*BQ107,0))</f>
        <v>0</v>
      </c>
      <c r="DF107" s="117" t="b">
        <f>IF(OR(D107&gt;0),IF(BJ107=0,BN107*BY107,0))</f>
        <v>0</v>
      </c>
      <c r="DG107" s="116" t="str">
        <f>BX107</f>
        <v>Matteo</v>
      </c>
      <c r="DH107" s="76"/>
      <c r="DI107" s="120" t="s">
        <v>154</v>
      </c>
      <c r="DJ107" s="120"/>
      <c r="DK107" s="121"/>
      <c r="DL107" s="121"/>
      <c r="DM107" s="122"/>
      <c r="DN107" s="6"/>
      <c r="DO107" s="6"/>
      <c r="DP107" s="6"/>
      <c r="DQ107" s="6"/>
      <c r="DR107" s="6"/>
      <c r="DS107" s="6"/>
      <c r="DT107" s="6"/>
      <c r="DU107" s="6"/>
      <c r="DV107" s="6"/>
      <c r="DW107" s="6"/>
      <c r="DX107" s="6"/>
      <c r="DY107" s="6"/>
      <c r="DZ107" s="6"/>
    </row>
    <row r="108" spans="1:130" ht="34.5" hidden="1" customHeight="1">
      <c r="A108" s="3"/>
      <c r="B108" s="75" t="s">
        <v>108</v>
      </c>
      <c r="C108" s="75"/>
      <c r="D108" s="75"/>
      <c r="E108" s="76"/>
      <c r="F108" s="148"/>
      <c r="G108" s="79" t="s">
        <v>730</v>
      </c>
      <c r="H108" s="79" t="s">
        <v>731</v>
      </c>
      <c r="I108" s="80" t="s">
        <v>732</v>
      </c>
      <c r="J108" s="155" t="str">
        <f>CONCATENATE(G108," ",H108)</f>
        <v>Mauro Salvi</v>
      </c>
      <c r="K108" s="156">
        <v>3478144333</v>
      </c>
      <c r="L108" s="157"/>
      <c r="M108" s="83" t="s">
        <v>733</v>
      </c>
      <c r="N108" s="84" t="s">
        <v>734</v>
      </c>
      <c r="O108" s="85"/>
      <c r="P108" s="86"/>
      <c r="Q108" s="86"/>
      <c r="R108" s="86"/>
      <c r="S108" s="86"/>
      <c r="T108" s="86"/>
      <c r="U108" s="86"/>
      <c r="V108" s="86"/>
      <c r="W108" s="86"/>
      <c r="X108" s="86"/>
      <c r="Y108" s="87"/>
      <c r="Z108" s="86"/>
      <c r="AA108" s="86"/>
      <c r="AB108" s="86"/>
      <c r="AC108" s="86"/>
      <c r="AD108" s="86" t="s">
        <v>735</v>
      </c>
      <c r="AE108" s="88">
        <f>L108</f>
        <v>0</v>
      </c>
      <c r="AF108" s="89"/>
      <c r="AG108" s="75"/>
      <c r="AH108" s="75"/>
      <c r="AI108" s="89"/>
      <c r="AJ108" s="75"/>
      <c r="AK108" s="75"/>
      <c r="AL108" s="75"/>
      <c r="AM108" s="89"/>
      <c r="AN108" s="90"/>
      <c r="AO108" s="90"/>
      <c r="AP108" s="90"/>
      <c r="AQ108" s="89"/>
      <c r="AR108" s="75"/>
      <c r="AS108" s="75"/>
      <c r="AT108" s="75"/>
      <c r="AU108" s="89"/>
      <c r="AV108" s="75" t="s">
        <v>115</v>
      </c>
      <c r="AW108" s="75" t="s">
        <v>115</v>
      </c>
      <c r="AX108" s="75" t="s">
        <v>115</v>
      </c>
      <c r="AY108" s="89"/>
      <c r="AZ108" s="154" t="s">
        <v>297</v>
      </c>
      <c r="BA108" s="154" t="s">
        <v>297</v>
      </c>
      <c r="BB108" s="154" t="s">
        <v>297</v>
      </c>
      <c r="BC108" s="89"/>
      <c r="BD108" s="121" t="s">
        <v>116</v>
      </c>
      <c r="BE108" s="121" t="s">
        <v>116</v>
      </c>
      <c r="BF108" s="121" t="s">
        <v>116</v>
      </c>
      <c r="BG108" s="89"/>
      <c r="BH108" s="92"/>
      <c r="BI108" s="92"/>
      <c r="BJ108" s="92"/>
      <c r="BK108" s="93"/>
      <c r="BL108" s="94"/>
      <c r="BM108" s="95">
        <v>2997</v>
      </c>
      <c r="BN108" s="96"/>
      <c r="BO108" s="97"/>
      <c r="BP108" s="80" t="s">
        <v>160</v>
      </c>
      <c r="BQ108" s="98">
        <v>0.15</v>
      </c>
      <c r="BR108" s="99"/>
      <c r="BS108" s="100"/>
      <c r="BT108" s="101">
        <f>BM108*BQ108</f>
        <v>449.55</v>
      </c>
      <c r="BU108" s="102">
        <f>BN108*BQ108</f>
        <v>0</v>
      </c>
      <c r="BV108" s="103">
        <f>BO108*BQ108</f>
        <v>0</v>
      </c>
      <c r="BW108" s="80" t="s">
        <v>120</v>
      </c>
      <c r="BX108" s="105" t="s">
        <v>160</v>
      </c>
      <c r="BY108" s="98">
        <v>0.05</v>
      </c>
      <c r="BZ108" s="99"/>
      <c r="CA108" s="100"/>
      <c r="CB108" s="101">
        <f>BM108*BY108</f>
        <v>149.85</v>
      </c>
      <c r="CC108" s="106">
        <f>BN108*BY108</f>
        <v>0</v>
      </c>
      <c r="CD108" s="107">
        <f>BO108*BY108</f>
        <v>0</v>
      </c>
      <c r="CE108" s="90" t="s">
        <v>120</v>
      </c>
      <c r="CF108" s="108">
        <v>2997</v>
      </c>
      <c r="CG108" s="109">
        <v>45009</v>
      </c>
      <c r="CH108" s="110">
        <v>2997</v>
      </c>
      <c r="CI108" s="108"/>
      <c r="CJ108" s="109"/>
      <c r="CK108" s="111"/>
      <c r="CL108" s="111"/>
      <c r="CM108" s="109"/>
      <c r="CN108" s="111"/>
      <c r="CO108" s="111"/>
      <c r="CP108" s="111"/>
      <c r="CQ108" s="111"/>
      <c r="CR108" s="111"/>
      <c r="CS108" s="111"/>
      <c r="CT108" s="111"/>
      <c r="CU108" s="90">
        <v>1</v>
      </c>
      <c r="CV108" s="112" t="s">
        <v>121</v>
      </c>
      <c r="CW108" s="112"/>
      <c r="CX108" s="113"/>
      <c r="CY108" s="90" t="s">
        <v>122</v>
      </c>
      <c r="CZ108" s="90"/>
      <c r="DA108" s="149" t="s">
        <v>736</v>
      </c>
      <c r="DB108" s="126" t="str">
        <f>PROPER(N108)</f>
        <v>Smart</v>
      </c>
      <c r="DC108" s="116" t="s">
        <v>737</v>
      </c>
      <c r="DD108" s="116" t="str">
        <f>BP108</f>
        <v>Gianluca</v>
      </c>
      <c r="DE108" s="117" t="b">
        <f>IF(OR(D108&gt;0),IF(BJ108=0,BN108*BQ108,0))</f>
        <v>0</v>
      </c>
      <c r="DF108" s="117" t="b">
        <f>IF(OR(D108&gt;0),IF(BJ108=0,BN108*BY108,0))</f>
        <v>0</v>
      </c>
      <c r="DG108" s="118" t="str">
        <f>BX108</f>
        <v>Gianluca</v>
      </c>
      <c r="DH108" s="76"/>
      <c r="DI108" s="120" t="s">
        <v>154</v>
      </c>
      <c r="DJ108" s="120"/>
      <c r="DK108" s="121"/>
      <c r="DL108" s="121"/>
      <c r="DM108" s="122">
        <v>1</v>
      </c>
      <c r="DN108" s="6"/>
      <c r="DO108" s="6"/>
      <c r="DP108" s="6"/>
      <c r="DQ108" s="6"/>
      <c r="DR108" s="6"/>
      <c r="DS108" s="6"/>
      <c r="DT108" s="6"/>
      <c r="DU108" s="6"/>
      <c r="DV108" s="6"/>
      <c r="DW108" s="6"/>
      <c r="DX108" s="6"/>
      <c r="DY108" s="6"/>
      <c r="DZ108" s="6"/>
    </row>
    <row r="109" spans="1:130" ht="34.5" hidden="1" customHeight="1">
      <c r="A109" s="3"/>
      <c r="B109" s="129" t="s">
        <v>108</v>
      </c>
      <c r="C109" s="75"/>
      <c r="D109" s="75"/>
      <c r="E109" s="76"/>
      <c r="F109" s="75"/>
      <c r="G109" s="79" t="s">
        <v>738</v>
      </c>
      <c r="H109" s="79" t="s">
        <v>739</v>
      </c>
      <c r="I109" s="80" t="s">
        <v>740</v>
      </c>
      <c r="J109" s="155" t="str">
        <f>CONCATENATE(G109," ",H109)</f>
        <v xml:space="preserve">Melita Djordjevic </v>
      </c>
      <c r="K109" s="156">
        <v>3398540230</v>
      </c>
      <c r="L109" s="157" t="s">
        <v>148</v>
      </c>
      <c r="M109" s="83"/>
      <c r="N109" s="84" t="s">
        <v>229</v>
      </c>
      <c r="O109" s="85"/>
      <c r="P109" s="86"/>
      <c r="Q109" s="86"/>
      <c r="R109" s="86"/>
      <c r="S109" s="86"/>
      <c r="T109" s="86"/>
      <c r="U109" s="86"/>
      <c r="V109" s="86"/>
      <c r="W109" s="86"/>
      <c r="X109" s="86"/>
      <c r="Y109" s="87"/>
      <c r="Z109" s="86"/>
      <c r="AA109" s="86"/>
      <c r="AB109" s="86"/>
      <c r="AC109" s="86"/>
      <c r="AD109" s="86"/>
      <c r="AE109" s="88" t="str">
        <f>L109</f>
        <v>Detto anche che essendo una StartUp non avevano comunque a budget l'investimento, poi detto che non era un tema di investimento</v>
      </c>
      <c r="AF109" s="89"/>
      <c r="AG109" s="75"/>
      <c r="AH109" s="75"/>
      <c r="AI109" s="89"/>
      <c r="AJ109" s="75"/>
      <c r="AK109" s="75"/>
      <c r="AL109" s="75"/>
      <c r="AM109" s="89"/>
      <c r="AN109" s="90"/>
      <c r="AO109" s="90"/>
      <c r="AP109" s="90"/>
      <c r="AQ109" s="89"/>
      <c r="AR109" s="75"/>
      <c r="AS109" s="75"/>
      <c r="AT109" s="75"/>
      <c r="AU109" s="89"/>
      <c r="AV109" s="124"/>
      <c r="AW109" s="124"/>
      <c r="AX109" s="124"/>
      <c r="AY109" s="89"/>
      <c r="AZ109" s="121"/>
      <c r="BA109" s="121"/>
      <c r="BB109" s="121"/>
      <c r="BC109" s="89"/>
      <c r="BD109" s="121" t="s">
        <v>151</v>
      </c>
      <c r="BE109" s="121" t="s">
        <v>151</v>
      </c>
      <c r="BF109" s="121" t="s">
        <v>151</v>
      </c>
      <c r="BG109" s="89"/>
      <c r="BH109" s="92">
        <f>CF109+CI109+CL109+CO109+CR109</f>
        <v>0</v>
      </c>
      <c r="BI109" s="92">
        <f>CH109+CK109+CN109+CQ109+CT109</f>
        <v>0</v>
      </c>
      <c r="BJ109" s="92">
        <f>BH109-BI109</f>
        <v>0</v>
      </c>
      <c r="BK109" s="93"/>
      <c r="BL109" s="94"/>
      <c r="BM109" s="95"/>
      <c r="BN109" s="96"/>
      <c r="BO109" s="97"/>
      <c r="BP109" s="80" t="s">
        <v>117</v>
      </c>
      <c r="BQ109" s="98">
        <v>0</v>
      </c>
      <c r="BR109" s="99"/>
      <c r="BS109" s="100"/>
      <c r="BT109" s="101">
        <f>BM109*BQ109</f>
        <v>0</v>
      </c>
      <c r="BU109" s="102">
        <f>BN109*BQ109</f>
        <v>0</v>
      </c>
      <c r="BV109" s="103">
        <f>BO109*BQ109</f>
        <v>0</v>
      </c>
      <c r="BW109" s="80" t="s">
        <v>118</v>
      </c>
      <c r="BX109" s="105" t="s">
        <v>152</v>
      </c>
      <c r="BY109" s="98">
        <v>0.05</v>
      </c>
      <c r="BZ109" s="99"/>
      <c r="CA109" s="100"/>
      <c r="CB109" s="101">
        <f>BM109*BY109</f>
        <v>0</v>
      </c>
      <c r="CC109" s="106">
        <f>BN109*BY109</f>
        <v>0</v>
      </c>
      <c r="CD109" s="107">
        <f>BO109*BY109</f>
        <v>0</v>
      </c>
      <c r="CE109" s="90"/>
      <c r="CF109" s="108"/>
      <c r="CG109" s="109"/>
      <c r="CH109" s="110"/>
      <c r="CI109" s="108"/>
      <c r="CJ109" s="109"/>
      <c r="CK109" s="111"/>
      <c r="CL109" s="111"/>
      <c r="CM109" s="109"/>
      <c r="CN109" s="111"/>
      <c r="CO109" s="111"/>
      <c r="CP109" s="111"/>
      <c r="CQ109" s="111"/>
      <c r="CR109" s="111"/>
      <c r="CS109" s="111"/>
      <c r="CT109" s="111"/>
      <c r="CU109" s="90">
        <v>1</v>
      </c>
      <c r="CV109" s="112" t="s">
        <v>121</v>
      </c>
      <c r="CW109" s="112"/>
      <c r="CX109" s="113"/>
      <c r="CY109" s="90" t="s">
        <v>122</v>
      </c>
      <c r="CZ109" s="90"/>
      <c r="DA109" s="80"/>
      <c r="DB109" s="115" t="str">
        <f>PROPER(N109)</f>
        <v>Eurocomponents</v>
      </c>
      <c r="DC109" s="116"/>
      <c r="DD109" s="116" t="str">
        <f>BP109</f>
        <v>blackship</v>
      </c>
      <c r="DE109" s="117" t="b">
        <f>IF(OR(D109&gt;0),IF(BJ109=0,BN109*BQ109,0))</f>
        <v>0</v>
      </c>
      <c r="DF109" s="117" t="b">
        <f>IF(OR(D109&gt;0),IF(BJ109=0,BN109*BY109,0))</f>
        <v>0</v>
      </c>
      <c r="DG109" s="116" t="str">
        <f>BX109</f>
        <v>Client Angel</v>
      </c>
      <c r="DH109" s="76"/>
      <c r="DI109" s="120" t="s">
        <v>154</v>
      </c>
      <c r="DJ109" s="120"/>
      <c r="DK109" s="121"/>
      <c r="DL109" s="121"/>
      <c r="DM109" s="122"/>
      <c r="DN109" s="6"/>
      <c r="DO109" s="6"/>
      <c r="DP109" s="6"/>
      <c r="DQ109" s="6"/>
      <c r="DR109" s="6"/>
      <c r="DS109" s="6"/>
      <c r="DT109" s="6"/>
      <c r="DU109" s="6"/>
      <c r="DV109" s="6"/>
      <c r="DW109" s="6"/>
      <c r="DX109" s="6"/>
      <c r="DY109" s="6"/>
      <c r="DZ109" s="6"/>
    </row>
    <row r="110" spans="1:130" ht="34.5" hidden="1" customHeight="1">
      <c r="A110" s="3"/>
      <c r="B110" s="75" t="s">
        <v>108</v>
      </c>
      <c r="C110" s="75"/>
      <c r="D110" s="75"/>
      <c r="E110" s="76"/>
      <c r="F110" s="75"/>
      <c r="G110" s="79" t="s">
        <v>741</v>
      </c>
      <c r="H110" s="79" t="s">
        <v>742</v>
      </c>
      <c r="I110" s="80" t="s">
        <v>743</v>
      </c>
      <c r="J110" s="155" t="str">
        <f>CONCATENATE(G110," ",H110)</f>
        <v>Michele Molini</v>
      </c>
      <c r="K110" s="156" t="s">
        <v>744</v>
      </c>
      <c r="L110" s="157"/>
      <c r="M110" s="83" t="s">
        <v>745</v>
      </c>
      <c r="N110" s="84" t="s">
        <v>746</v>
      </c>
      <c r="O110" s="85"/>
      <c r="P110" s="86"/>
      <c r="Q110" s="86"/>
      <c r="R110" s="86"/>
      <c r="S110" s="86"/>
      <c r="T110" s="86"/>
      <c r="U110" s="86"/>
      <c r="V110" s="86"/>
      <c r="W110" s="86"/>
      <c r="X110" s="86"/>
      <c r="Y110" s="87"/>
      <c r="Z110" s="86"/>
      <c r="AA110" s="86"/>
      <c r="AB110" s="86"/>
      <c r="AC110" s="86"/>
      <c r="AD110" s="86" t="s">
        <v>747</v>
      </c>
      <c r="AE110" s="88">
        <f>L110</f>
        <v>0</v>
      </c>
      <c r="AF110" s="89"/>
      <c r="AG110" s="75"/>
      <c r="AH110" s="75"/>
      <c r="AI110" s="89"/>
      <c r="AJ110" s="75"/>
      <c r="AK110" s="75"/>
      <c r="AL110" s="75"/>
      <c r="AM110" s="89"/>
      <c r="AN110" s="90"/>
      <c r="AO110" s="90"/>
      <c r="AP110" s="90"/>
      <c r="AQ110" s="89"/>
      <c r="AR110" s="75"/>
      <c r="AS110" s="75"/>
      <c r="AT110" s="75"/>
      <c r="AU110" s="89"/>
      <c r="AV110" s="121"/>
      <c r="AW110" s="121"/>
      <c r="AX110" s="121"/>
      <c r="AY110" s="89"/>
      <c r="AZ110" s="153"/>
      <c r="BA110" s="153"/>
      <c r="BB110" s="153"/>
      <c r="BC110" s="89"/>
      <c r="BD110" s="121" t="s">
        <v>115</v>
      </c>
      <c r="BE110" s="121" t="s">
        <v>115</v>
      </c>
      <c r="BF110" s="121" t="s">
        <v>115</v>
      </c>
      <c r="BG110" s="89"/>
      <c r="BH110" s="92">
        <f>CF110+CI110+CL110+CO110+CR110</f>
        <v>2997</v>
      </c>
      <c r="BI110" s="92">
        <f>CH110+CK110+CN110+CQ110+CT110</f>
        <v>2997</v>
      </c>
      <c r="BJ110" s="92">
        <f>BH110-BI110</f>
        <v>0</v>
      </c>
      <c r="BK110" s="93"/>
      <c r="BL110" s="94"/>
      <c r="BM110" s="95"/>
      <c r="BN110" s="96"/>
      <c r="BO110" s="128">
        <v>2997</v>
      </c>
      <c r="BP110" s="80" t="s">
        <v>487</v>
      </c>
      <c r="BQ110" s="98">
        <v>0.15</v>
      </c>
      <c r="BR110" s="99"/>
      <c r="BS110" s="100"/>
      <c r="BT110" s="101">
        <f>BM110*BQ110</f>
        <v>0</v>
      </c>
      <c r="BU110" s="102">
        <f>BN110*BQ110</f>
        <v>0</v>
      </c>
      <c r="BV110" s="103">
        <f>BO110*BQ110</f>
        <v>449.55</v>
      </c>
      <c r="BW110" s="84" t="s">
        <v>142</v>
      </c>
      <c r="BX110" s="105" t="s">
        <v>487</v>
      </c>
      <c r="BY110" s="98">
        <v>0.05</v>
      </c>
      <c r="BZ110" s="99"/>
      <c r="CA110" s="100"/>
      <c r="CB110" s="101">
        <f>BM110*BY110</f>
        <v>0</v>
      </c>
      <c r="CC110" s="106">
        <f>BN110*BY110</f>
        <v>0</v>
      </c>
      <c r="CD110" s="107">
        <f>BO110*BY110</f>
        <v>149.85</v>
      </c>
      <c r="CE110" s="75" t="s">
        <v>142</v>
      </c>
      <c r="CF110" s="108">
        <v>2997</v>
      </c>
      <c r="CG110" s="109">
        <v>45009</v>
      </c>
      <c r="CH110" s="110">
        <v>2997</v>
      </c>
      <c r="CI110" s="108"/>
      <c r="CJ110" s="109"/>
      <c r="CK110" s="111"/>
      <c r="CL110" s="111"/>
      <c r="CM110" s="109"/>
      <c r="CN110" s="111"/>
      <c r="CO110" s="111"/>
      <c r="CP110" s="111"/>
      <c r="CQ110" s="111"/>
      <c r="CR110" s="111"/>
      <c r="CS110" s="111"/>
      <c r="CT110" s="111"/>
      <c r="CU110" s="90">
        <v>1</v>
      </c>
      <c r="CV110" s="112" t="s">
        <v>121</v>
      </c>
      <c r="CW110" s="112"/>
      <c r="CX110" s="113"/>
      <c r="CY110" s="90" t="s">
        <v>122</v>
      </c>
      <c r="CZ110" s="90"/>
      <c r="DA110" s="80"/>
      <c r="DB110" s="115" t="str">
        <f>PROPER(N110)</f>
        <v>Michele Molini</v>
      </c>
      <c r="DC110" s="116"/>
      <c r="DD110" s="116" t="str">
        <f>BP110</f>
        <v>Daniela</v>
      </c>
      <c r="DE110" s="117" t="b">
        <f>IF(OR(D110&gt;0),IF(BJ110=0,BN110*BQ110,0))</f>
        <v>0</v>
      </c>
      <c r="DF110" s="117" t="b">
        <f>IF(OR(D110&gt;0),IF(BJ110=0,BN110*BY110,0))</f>
        <v>0</v>
      </c>
      <c r="DG110" s="116" t="str">
        <f>BX110</f>
        <v>Daniela</v>
      </c>
      <c r="DH110" s="76"/>
      <c r="DI110" s="120" t="s">
        <v>154</v>
      </c>
      <c r="DJ110" s="120"/>
      <c r="DK110" s="121"/>
      <c r="DL110" s="121"/>
      <c r="DM110" s="122"/>
      <c r="DN110" s="6"/>
      <c r="DO110" s="6"/>
      <c r="DP110" s="6"/>
      <c r="DQ110" s="6"/>
      <c r="DR110" s="6"/>
      <c r="DS110" s="6"/>
      <c r="DT110" s="6"/>
      <c r="DU110" s="6"/>
      <c r="DV110" s="6"/>
      <c r="DW110" s="6"/>
      <c r="DX110" s="6"/>
      <c r="DY110" s="6"/>
      <c r="DZ110" s="6"/>
    </row>
    <row r="111" spans="1:130" ht="34.5" hidden="1" customHeight="1">
      <c r="A111" s="3"/>
      <c r="B111" s="75" t="s">
        <v>108</v>
      </c>
      <c r="C111" s="75"/>
      <c r="D111" s="75"/>
      <c r="E111" s="76"/>
      <c r="F111" s="75"/>
      <c r="G111" s="79" t="s">
        <v>748</v>
      </c>
      <c r="H111" s="79" t="s">
        <v>749</v>
      </c>
      <c r="I111" s="80" t="s">
        <v>750</v>
      </c>
      <c r="J111" s="155" t="str">
        <f>CONCATENATE(G111," ",H111)</f>
        <v>Mirko Allevi</v>
      </c>
      <c r="K111" s="156">
        <v>3383649856</v>
      </c>
      <c r="L111" s="157" t="s">
        <v>751</v>
      </c>
      <c r="M111" s="83" t="s">
        <v>752</v>
      </c>
      <c r="N111" s="84" t="s">
        <v>753</v>
      </c>
      <c r="O111" s="85"/>
      <c r="P111" s="86"/>
      <c r="Q111" s="86"/>
      <c r="R111" s="86"/>
      <c r="S111" s="86"/>
      <c r="T111" s="86"/>
      <c r="U111" s="86"/>
      <c r="V111" s="86"/>
      <c r="W111" s="86"/>
      <c r="X111" s="86"/>
      <c r="Y111" s="87"/>
      <c r="Z111" s="86"/>
      <c r="AA111" s="86"/>
      <c r="AB111" s="86"/>
      <c r="AC111" s="86"/>
      <c r="AD111" s="86"/>
      <c r="AE111" s="88" t="str">
        <f>L111</f>
        <v>Data la possibilità di prendersi fino a mercoledì 2/5/2023 per confermare la tua partecipazione e fare il bonifico</v>
      </c>
      <c r="AF111" s="89"/>
      <c r="AG111" s="75"/>
      <c r="AH111" s="75"/>
      <c r="AI111" s="89"/>
      <c r="AJ111" s="75"/>
      <c r="AK111" s="75"/>
      <c r="AL111" s="75"/>
      <c r="AM111" s="89"/>
      <c r="AN111" s="90"/>
      <c r="AO111" s="90"/>
      <c r="AP111" s="90"/>
      <c r="AQ111" s="89"/>
      <c r="AR111" s="75"/>
      <c r="AS111" s="75"/>
      <c r="AT111" s="75"/>
      <c r="AU111" s="89"/>
      <c r="AV111" s="129" t="s">
        <v>165</v>
      </c>
      <c r="AW111" s="129" t="s">
        <v>165</v>
      </c>
      <c r="AX111" s="129" t="s">
        <v>165</v>
      </c>
      <c r="AY111" s="89"/>
      <c r="AZ111" s="154" t="s">
        <v>165</v>
      </c>
      <c r="BA111" s="154" t="s">
        <v>165</v>
      </c>
      <c r="BB111" s="154" t="s">
        <v>165</v>
      </c>
      <c r="BC111" s="89"/>
      <c r="BD111" s="121"/>
      <c r="BE111" s="121"/>
      <c r="BF111" s="121"/>
      <c r="BG111" s="89"/>
      <c r="BH111" s="92">
        <f>CF111+CI111+CL111+CO111+CR111</f>
        <v>0</v>
      </c>
      <c r="BI111" s="92">
        <f>CH111+CK111+CN111+CQ111+CT111</f>
        <v>0</v>
      </c>
      <c r="BJ111" s="92">
        <f>BH111-BI111</f>
        <v>0</v>
      </c>
      <c r="BK111" s="93"/>
      <c r="BL111" s="94"/>
      <c r="BM111" s="95"/>
      <c r="BN111" s="96"/>
      <c r="BO111" s="97"/>
      <c r="BP111" s="80" t="s">
        <v>166</v>
      </c>
      <c r="BQ111" s="98">
        <v>0.15</v>
      </c>
      <c r="BR111" s="99"/>
      <c r="BS111" s="100"/>
      <c r="BT111" s="101">
        <f>BM111*BQ111</f>
        <v>0</v>
      </c>
      <c r="BU111" s="102">
        <f>BN111*BQ111</f>
        <v>0</v>
      </c>
      <c r="BV111" s="103">
        <f>BO111*BQ111</f>
        <v>0</v>
      </c>
      <c r="BW111" s="80"/>
      <c r="BX111" s="105" t="s">
        <v>166</v>
      </c>
      <c r="BY111" s="98">
        <v>0.05</v>
      </c>
      <c r="BZ111" s="99"/>
      <c r="CA111" s="100"/>
      <c r="CB111" s="101">
        <f>BM111*BY111</f>
        <v>0</v>
      </c>
      <c r="CC111" s="106">
        <f>BN111*BY111</f>
        <v>0</v>
      </c>
      <c r="CD111" s="107">
        <f>BO111*BY111</f>
        <v>0</v>
      </c>
      <c r="CE111" s="90"/>
      <c r="CF111" s="108">
        <v>0</v>
      </c>
      <c r="CG111" s="109"/>
      <c r="CH111" s="110"/>
      <c r="CI111" s="108"/>
      <c r="CJ111" s="109"/>
      <c r="CK111" s="111"/>
      <c r="CL111" s="111"/>
      <c r="CM111" s="109"/>
      <c r="CN111" s="111"/>
      <c r="CO111" s="111"/>
      <c r="CP111" s="111"/>
      <c r="CQ111" s="111"/>
      <c r="CR111" s="111"/>
      <c r="CS111" s="111"/>
      <c r="CT111" s="111"/>
      <c r="CU111" s="90">
        <v>1</v>
      </c>
      <c r="CV111" s="112" t="s">
        <v>121</v>
      </c>
      <c r="CW111" s="112"/>
      <c r="CX111" s="113"/>
      <c r="CY111" s="90" t="s">
        <v>122</v>
      </c>
      <c r="CZ111" s="90"/>
      <c r="DA111" s="80"/>
      <c r="DB111" s="115" t="str">
        <f>PROPER(N111)</f>
        <v>Teknoarreda</v>
      </c>
      <c r="DC111" s="116"/>
      <c r="DD111" s="116" t="str">
        <f>BP111</f>
        <v>Matteo</v>
      </c>
      <c r="DE111" s="117" t="b">
        <f>IF(OR(D111&gt;0),IF(BJ111=0,BN111*BQ111,0))</f>
        <v>0</v>
      </c>
      <c r="DF111" s="117" t="b">
        <f>IF(OR(D111&gt;0),IF(BJ111=0,BN111*BY111,0))</f>
        <v>0</v>
      </c>
      <c r="DG111" s="116" t="str">
        <f>BX111</f>
        <v>Matteo</v>
      </c>
      <c r="DH111" s="76"/>
      <c r="DI111" s="120" t="s">
        <v>154</v>
      </c>
      <c r="DJ111" s="120"/>
      <c r="DK111" s="121"/>
      <c r="DL111" s="121"/>
      <c r="DM111" s="122"/>
      <c r="DN111" s="6"/>
      <c r="DO111" s="6"/>
      <c r="DP111" s="6"/>
      <c r="DQ111" s="6"/>
      <c r="DR111" s="6"/>
      <c r="DS111" s="6"/>
      <c r="DT111" s="6"/>
      <c r="DU111" s="6"/>
      <c r="DV111" s="6"/>
      <c r="DW111" s="6"/>
      <c r="DX111" s="6"/>
      <c r="DY111" s="6"/>
      <c r="DZ111" s="6"/>
    </row>
    <row r="112" spans="1:130" ht="34.5" hidden="1" customHeight="1">
      <c r="A112" s="228"/>
      <c r="B112" s="75" t="s">
        <v>1359</v>
      </c>
      <c r="C112" s="90"/>
      <c r="D112" s="75">
        <v>1</v>
      </c>
      <c r="E112" s="76">
        <v>1</v>
      </c>
      <c r="F112" s="75"/>
      <c r="G112" s="1821" t="s">
        <v>321</v>
      </c>
      <c r="H112" s="1826" t="s">
        <v>1630</v>
      </c>
      <c r="I112" s="294" t="s">
        <v>1631</v>
      </c>
      <c r="J112" s="121" t="str">
        <f>CONCATENATE(G112," ",H112)</f>
        <v>Davide Dell'Orto</v>
      </c>
      <c r="K112" s="156">
        <v>3484114211</v>
      </c>
      <c r="L112" s="485"/>
      <c r="M112" s="1902" t="s">
        <v>259</v>
      </c>
      <c r="N112" s="84" t="s">
        <v>1632</v>
      </c>
      <c r="O112" s="1923"/>
      <c r="P112" s="160"/>
      <c r="Q112" s="160"/>
      <c r="R112" s="403"/>
      <c r="S112" s="160"/>
      <c r="T112" s="160"/>
      <c r="U112" s="160"/>
      <c r="V112" s="160"/>
      <c r="W112" s="160"/>
      <c r="X112" s="131"/>
      <c r="Y112" s="160"/>
      <c r="Z112" s="160"/>
      <c r="AA112" s="160"/>
      <c r="AB112" s="37"/>
      <c r="AC112" s="131"/>
      <c r="AD112" s="121" t="s">
        <v>1633</v>
      </c>
      <c r="AE112" s="88"/>
      <c r="AF112" s="1966"/>
      <c r="AG112" s="1970"/>
      <c r="AH112" s="1970"/>
      <c r="AI112" s="1966"/>
      <c r="AJ112" s="90"/>
      <c r="AK112" s="90"/>
      <c r="AL112" s="90"/>
      <c r="AM112" s="89"/>
      <c r="AN112" s="90"/>
      <c r="AO112" s="90"/>
      <c r="AP112" s="90"/>
      <c r="AQ112" s="89"/>
      <c r="AR112" s="75"/>
      <c r="AS112" s="75"/>
      <c r="AT112" s="75"/>
      <c r="AU112" s="89"/>
      <c r="AV112" s="75"/>
      <c r="AW112" s="75"/>
      <c r="AX112" s="75"/>
      <c r="AY112" s="89"/>
      <c r="AZ112" s="121" t="s">
        <v>115</v>
      </c>
      <c r="BA112" s="121" t="s">
        <v>115</v>
      </c>
      <c r="BB112" s="135" t="s">
        <v>115</v>
      </c>
      <c r="BC112" s="89"/>
      <c r="BD112" s="121"/>
      <c r="BE112" s="121"/>
      <c r="BF112" s="121"/>
      <c r="BG112" s="89"/>
      <c r="BH112" s="92">
        <f>CF112+CI112+CL112+CO112+CR112</f>
        <v>2997</v>
      </c>
      <c r="BI112" s="92">
        <f>CH112+CK112+CN112+CQ112+CT112</f>
        <v>2997</v>
      </c>
      <c r="BJ112" s="92">
        <f>BH112-BI112</f>
        <v>0</v>
      </c>
      <c r="BK112" s="271"/>
      <c r="BL112" s="2014"/>
      <c r="BM112" s="95"/>
      <c r="BN112" s="142">
        <v>2997</v>
      </c>
      <c r="BO112" s="182"/>
      <c r="BP112" s="2037" t="s">
        <v>117</v>
      </c>
      <c r="BQ112" s="98">
        <v>0</v>
      </c>
      <c r="BR112" s="108"/>
      <c r="BS112" s="276">
        <f>BL112*BQ112</f>
        <v>0</v>
      </c>
      <c r="BT112" s="101">
        <f>BM112*BQ112</f>
        <v>0</v>
      </c>
      <c r="BU112" s="102">
        <f>BN112*BQ112</f>
        <v>0</v>
      </c>
      <c r="BV112" s="103">
        <f>BO112*BQ112</f>
        <v>0</v>
      </c>
      <c r="BW112" s="80"/>
      <c r="BX112" s="105" t="s">
        <v>160</v>
      </c>
      <c r="BY112" s="145">
        <v>0.05</v>
      </c>
      <c r="BZ112" s="108"/>
      <c r="CA112" s="276">
        <f>BL112*BY112</f>
        <v>0</v>
      </c>
      <c r="CB112" s="101">
        <f>BM112*BY112</f>
        <v>0</v>
      </c>
      <c r="CC112" s="106">
        <f>BN112*BY112</f>
        <v>149.85</v>
      </c>
      <c r="CD112" s="107">
        <f>BO112*BY112</f>
        <v>0</v>
      </c>
      <c r="CE112" s="163" t="s">
        <v>185</v>
      </c>
      <c r="CF112" s="108">
        <v>2997</v>
      </c>
      <c r="CG112" s="109">
        <v>45198</v>
      </c>
      <c r="CH112" s="108">
        <v>2997</v>
      </c>
      <c r="CI112" s="2106"/>
      <c r="CJ112" s="184"/>
      <c r="CK112" s="2106"/>
      <c r="CL112" s="2106"/>
      <c r="CM112" s="184"/>
      <c r="CN112" s="2106"/>
      <c r="CO112" s="130"/>
      <c r="CP112" s="130"/>
      <c r="CQ112" s="130"/>
      <c r="CR112" s="130"/>
      <c r="CS112" s="130"/>
      <c r="CT112" s="130"/>
      <c r="CU112" s="90">
        <v>1</v>
      </c>
      <c r="CV112" s="112"/>
      <c r="CW112" s="438"/>
      <c r="CX112" s="438"/>
      <c r="CY112" s="90"/>
      <c r="CZ112" s="75"/>
      <c r="DA112" s="2146" t="s">
        <v>1634</v>
      </c>
      <c r="DB112" s="126" t="str">
        <f>PROPER(N112)</f>
        <v>Deletron</v>
      </c>
      <c r="DC112" s="2162" t="s">
        <v>1635</v>
      </c>
      <c r="DD112" s="116" t="str">
        <f>BP112</f>
        <v>blackship</v>
      </c>
      <c r="DE112" s="117">
        <f>IF(OR(D112&gt;0),IF(BJ112=0,BN112*BQ112,0))</f>
        <v>0</v>
      </c>
      <c r="DF112" s="117">
        <f>IF(OR(D112&gt;0),IF(BJ112=0,BN112*BY112,0))</f>
        <v>149.85</v>
      </c>
      <c r="DG112" s="118" t="str">
        <f>BX112</f>
        <v>Gianluca</v>
      </c>
      <c r="DH112" s="76"/>
      <c r="DI112" s="120" t="s">
        <v>126</v>
      </c>
      <c r="DJ112" s="120"/>
      <c r="DK112" s="74" t="s">
        <v>1399</v>
      </c>
      <c r="DL112" s="74" t="s">
        <v>1399</v>
      </c>
      <c r="DM112" s="122">
        <v>1</v>
      </c>
      <c r="DN112" s="6"/>
      <c r="DO112" s="6"/>
      <c r="DP112" s="6"/>
      <c r="DQ112" s="6"/>
      <c r="DR112" s="6"/>
      <c r="DS112" s="6"/>
      <c r="DT112" s="6"/>
      <c r="DU112" s="6"/>
      <c r="DV112" s="6"/>
      <c r="DW112" s="6"/>
      <c r="DX112" s="6"/>
      <c r="DY112" s="6"/>
      <c r="DZ112" s="6"/>
    </row>
    <row r="113" spans="1:130" ht="34.5" hidden="1" customHeight="1">
      <c r="A113" s="228"/>
      <c r="B113" s="75" t="s">
        <v>1359</v>
      </c>
      <c r="C113" s="90"/>
      <c r="D113" s="75">
        <v>1</v>
      </c>
      <c r="E113" s="76">
        <v>1</v>
      </c>
      <c r="F113" s="75"/>
      <c r="G113" s="400" t="s">
        <v>321</v>
      </c>
      <c r="H113" s="400" t="s">
        <v>1636</v>
      </c>
      <c r="I113" s="113" t="s">
        <v>1637</v>
      </c>
      <c r="J113" s="121" t="str">
        <f>CONCATENATE(G113," ",H113)</f>
        <v>Davide Gaglione</v>
      </c>
      <c r="K113" s="156">
        <v>3317900638</v>
      </c>
      <c r="L113" s="152" t="s">
        <v>1493</v>
      </c>
      <c r="M113" s="1888" t="s">
        <v>1638</v>
      </c>
      <c r="N113" s="84" t="s">
        <v>1639</v>
      </c>
      <c r="O113" s="1923"/>
      <c r="P113" s="160"/>
      <c r="Q113" s="160"/>
      <c r="R113" s="403"/>
      <c r="S113" s="160"/>
      <c r="T113" s="160"/>
      <c r="U113" s="160"/>
      <c r="V113" s="160"/>
      <c r="W113" s="160"/>
      <c r="X113" s="131"/>
      <c r="Y113" s="160"/>
      <c r="Z113" s="160"/>
      <c r="AA113" s="160"/>
      <c r="AB113" s="37"/>
      <c r="AC113" s="131"/>
      <c r="AD113" s="121" t="s">
        <v>1640</v>
      </c>
      <c r="AE113" s="88"/>
      <c r="AF113" s="1966"/>
      <c r="AG113" s="1970"/>
      <c r="AH113" s="1970"/>
      <c r="AI113" s="1966"/>
      <c r="AJ113" s="90"/>
      <c r="AK113" s="90"/>
      <c r="AL113" s="90"/>
      <c r="AM113" s="89"/>
      <c r="AN113" s="90"/>
      <c r="AO113" s="90"/>
      <c r="AP113" s="90"/>
      <c r="AQ113" s="89"/>
      <c r="AR113" s="75"/>
      <c r="AS113" s="75"/>
      <c r="AT113" s="75"/>
      <c r="AU113" s="89"/>
      <c r="AV113" s="75"/>
      <c r="AW113" s="75"/>
      <c r="AX113" s="169"/>
      <c r="AY113" s="89"/>
      <c r="AZ113" s="121" t="s">
        <v>115</v>
      </c>
      <c r="BA113" s="121" t="s">
        <v>115</v>
      </c>
      <c r="BB113" s="135" t="s">
        <v>115</v>
      </c>
      <c r="BC113" s="89"/>
      <c r="BD113" s="121"/>
      <c r="BE113" s="121"/>
      <c r="BF113" s="121"/>
      <c r="BG113" s="89"/>
      <c r="BH113" s="92">
        <f>CF113+CI113+CL113+CO113+CR113</f>
        <v>2897</v>
      </c>
      <c r="BI113" s="92">
        <f>CH113+CK113+CN113+CQ113+CT113</f>
        <v>2897.0039344262295</v>
      </c>
      <c r="BJ113" s="92">
        <f>BH113-BI113</f>
        <v>-3.9344262295344379E-3</v>
      </c>
      <c r="BK113" s="271"/>
      <c r="BL113" s="2014"/>
      <c r="BM113" s="95"/>
      <c r="BN113" s="142">
        <v>2897</v>
      </c>
      <c r="BO113" s="182"/>
      <c r="BP113" s="2040" t="s">
        <v>1496</v>
      </c>
      <c r="BQ113" s="145">
        <v>0.15</v>
      </c>
      <c r="BR113" s="108"/>
      <c r="BS113" s="276">
        <f>BL113*BQ113</f>
        <v>0</v>
      </c>
      <c r="BT113" s="101">
        <f>BM113*BQ113</f>
        <v>0</v>
      </c>
      <c r="BU113" s="102">
        <f>BN113*BQ113</f>
        <v>434.55</v>
      </c>
      <c r="BV113" s="103">
        <f>BO113*BQ113</f>
        <v>0</v>
      </c>
      <c r="BW113" s="84" t="s">
        <v>185</v>
      </c>
      <c r="BX113" s="441" t="s">
        <v>525</v>
      </c>
      <c r="BY113" s="145">
        <v>0.05</v>
      </c>
      <c r="BZ113" s="108"/>
      <c r="CA113" s="276">
        <f>BL113*BY113</f>
        <v>0</v>
      </c>
      <c r="CB113" s="101">
        <f>BM113*BY113</f>
        <v>0</v>
      </c>
      <c r="CC113" s="106">
        <f>BN113*BY113</f>
        <v>144.85</v>
      </c>
      <c r="CD113" s="107">
        <f>BO113*BY113</f>
        <v>0</v>
      </c>
      <c r="CE113" s="84" t="s">
        <v>185</v>
      </c>
      <c r="CF113" s="108">
        <f>200/1.22</f>
        <v>163.9344262295082</v>
      </c>
      <c r="CG113" s="109">
        <v>45198</v>
      </c>
      <c r="CH113" s="110">
        <f>200/1.22</f>
        <v>163.9344262295082</v>
      </c>
      <c r="CI113" s="108">
        <f>1720/1.22</f>
        <v>1409.8360655737706</v>
      </c>
      <c r="CJ113" s="109">
        <v>45205</v>
      </c>
      <c r="CK113" s="108">
        <v>1409.84</v>
      </c>
      <c r="CL113" s="108">
        <f>1614.34/1.22</f>
        <v>1323.2295081967213</v>
      </c>
      <c r="CM113" s="109">
        <v>45233</v>
      </c>
      <c r="CN113" s="108">
        <f>1614.34/1.22</f>
        <v>1323.2295081967213</v>
      </c>
      <c r="CO113" s="130"/>
      <c r="CP113" s="130"/>
      <c r="CQ113" s="130"/>
      <c r="CR113" s="130"/>
      <c r="CS113" s="130"/>
      <c r="CT113" s="130"/>
      <c r="CU113" s="90">
        <v>1</v>
      </c>
      <c r="CV113" s="112"/>
      <c r="CW113" s="112"/>
      <c r="CX113" s="112"/>
      <c r="CY113" s="90"/>
      <c r="CZ113" s="75"/>
      <c r="DA113" s="2133" t="s">
        <v>878</v>
      </c>
      <c r="DB113" s="126" t="str">
        <f>PROPER(N113)</f>
        <v>Dgfly</v>
      </c>
      <c r="DC113" s="2162" t="s">
        <v>1641</v>
      </c>
      <c r="DD113" s="116" t="str">
        <f>BP113</f>
        <v>Patrizia Sabatino</v>
      </c>
      <c r="DE113" s="117">
        <v>434.55</v>
      </c>
      <c r="DF113" s="117">
        <v>144.85</v>
      </c>
      <c r="DG113" s="118" t="str">
        <f>BX113</f>
        <v>Bruno</v>
      </c>
      <c r="DH113" s="76"/>
      <c r="DI113" s="120" t="s">
        <v>126</v>
      </c>
      <c r="DJ113" s="120"/>
      <c r="DK113" s="74" t="s">
        <v>1399</v>
      </c>
      <c r="DL113" s="74" t="s">
        <v>1399</v>
      </c>
      <c r="DM113" s="122">
        <v>1</v>
      </c>
      <c r="DN113" s="6"/>
      <c r="DO113" s="6"/>
      <c r="DP113" s="6"/>
      <c r="DQ113" s="6"/>
      <c r="DR113" s="6"/>
      <c r="DS113" s="6"/>
      <c r="DT113" s="6"/>
      <c r="DU113" s="6"/>
      <c r="DV113" s="6"/>
      <c r="DW113" s="6"/>
      <c r="DX113" s="6"/>
      <c r="DY113" s="6"/>
      <c r="DZ113" s="6"/>
    </row>
    <row r="114" spans="1:130" ht="34.5" hidden="1" customHeight="1">
      <c r="A114" s="3"/>
      <c r="B114" s="75" t="s">
        <v>108</v>
      </c>
      <c r="C114" s="75"/>
      <c r="D114" s="75"/>
      <c r="E114" s="76"/>
      <c r="F114" s="75"/>
      <c r="G114" s="79" t="s">
        <v>769</v>
      </c>
      <c r="H114" s="79" t="s">
        <v>770</v>
      </c>
      <c r="I114" s="80" t="s">
        <v>771</v>
      </c>
      <c r="J114" s="155" t="str">
        <f>CONCATENATE(G114," ",H114)</f>
        <v>Paolo Colombo</v>
      </c>
      <c r="K114" s="156" t="s">
        <v>772</v>
      </c>
      <c r="L114" s="82" t="s">
        <v>582</v>
      </c>
      <c r="M114" s="83" t="s">
        <v>719</v>
      </c>
      <c r="N114" s="84" t="s">
        <v>584</v>
      </c>
      <c r="O114" s="85"/>
      <c r="P114" s="86"/>
      <c r="Q114" s="86"/>
      <c r="R114" s="86"/>
      <c r="S114" s="86"/>
      <c r="T114" s="86"/>
      <c r="U114" s="86"/>
      <c r="V114" s="86"/>
      <c r="W114" s="86"/>
      <c r="X114" s="86"/>
      <c r="Y114" s="87"/>
      <c r="Z114" s="86"/>
      <c r="AA114" s="86"/>
      <c r="AB114" s="86"/>
      <c r="AC114" s="86"/>
      <c r="AD114" s="86"/>
      <c r="AE114" s="88" t="str">
        <f>L114</f>
        <v>CONFERMA ENTRO IL 23/03. Marco Ago 23. Conferm NON ci sono</v>
      </c>
      <c r="AF114" s="89"/>
      <c r="AG114" s="75"/>
      <c r="AH114" s="75"/>
      <c r="AI114" s="89"/>
      <c r="AJ114" s="75"/>
      <c r="AK114" s="75"/>
      <c r="AL114" s="75"/>
      <c r="AM114" s="89"/>
      <c r="AN114" s="90"/>
      <c r="AO114" s="90"/>
      <c r="AP114" s="90"/>
      <c r="AQ114" s="89"/>
      <c r="AR114" s="75"/>
      <c r="AS114" s="75"/>
      <c r="AT114" s="75"/>
      <c r="AU114" s="89"/>
      <c r="AV114" s="129" t="s">
        <v>165</v>
      </c>
      <c r="AW114" s="129" t="s">
        <v>165</v>
      </c>
      <c r="AX114" s="129" t="s">
        <v>165</v>
      </c>
      <c r="AY114" s="89"/>
      <c r="AZ114" s="121"/>
      <c r="BA114" s="121"/>
      <c r="BB114" s="121"/>
      <c r="BC114" s="89"/>
      <c r="BD114" s="121"/>
      <c r="BE114" s="121"/>
      <c r="BF114" s="121"/>
      <c r="BG114" s="89"/>
      <c r="BH114" s="92">
        <f>CF114+CI114+CL114+CO114+CR114</f>
        <v>0</v>
      </c>
      <c r="BI114" s="92">
        <f>CH114+CK114+CN114+CQ114+CT114</f>
        <v>0</v>
      </c>
      <c r="BJ114" s="92">
        <f>BH114-BI114</f>
        <v>0</v>
      </c>
      <c r="BK114" s="93"/>
      <c r="BL114" s="94"/>
      <c r="BM114" s="95"/>
      <c r="BN114" s="127"/>
      <c r="BO114" s="128"/>
      <c r="BP114" s="80" t="s">
        <v>117</v>
      </c>
      <c r="BQ114" s="98">
        <v>0</v>
      </c>
      <c r="BR114" s="99"/>
      <c r="BS114" s="100"/>
      <c r="BT114" s="101">
        <f>BM114*BQ114</f>
        <v>0</v>
      </c>
      <c r="BU114" s="102">
        <f>BN114*BQ114</f>
        <v>0</v>
      </c>
      <c r="BV114" s="103">
        <f>BO114*BQ114</f>
        <v>0</v>
      </c>
      <c r="BW114" s="80" t="s">
        <v>118</v>
      </c>
      <c r="BX114" s="105" t="s">
        <v>246</v>
      </c>
      <c r="BY114" s="98">
        <v>0.05</v>
      </c>
      <c r="BZ114" s="99"/>
      <c r="CA114" s="100"/>
      <c r="CB114" s="101">
        <f>BM114*BY114</f>
        <v>0</v>
      </c>
      <c r="CC114" s="106">
        <f>BN114*BY114</f>
        <v>0</v>
      </c>
      <c r="CD114" s="107">
        <f>BO114*BY114</f>
        <v>0</v>
      </c>
      <c r="CE114" s="90"/>
      <c r="CF114" s="108"/>
      <c r="CG114" s="109"/>
      <c r="CH114" s="110"/>
      <c r="CI114" s="108"/>
      <c r="CJ114" s="109"/>
      <c r="CK114" s="111"/>
      <c r="CL114" s="111"/>
      <c r="CM114" s="109"/>
      <c r="CN114" s="111"/>
      <c r="CO114" s="111"/>
      <c r="CP114" s="111"/>
      <c r="CQ114" s="111"/>
      <c r="CR114" s="111"/>
      <c r="CS114" s="111"/>
      <c r="CT114" s="111"/>
      <c r="CU114" s="90"/>
      <c r="CV114" s="112"/>
      <c r="CW114" s="112"/>
      <c r="CX114" s="113"/>
      <c r="CY114" s="90" t="s">
        <v>122</v>
      </c>
      <c r="CZ114" s="90"/>
      <c r="DA114" s="80"/>
      <c r="DB114" s="115" t="str">
        <f>PROPER(N114)</f>
        <v>M.D.S. Electronics</v>
      </c>
      <c r="DC114" s="116"/>
      <c r="DD114" s="116" t="str">
        <f>BP114</f>
        <v>blackship</v>
      </c>
      <c r="DE114" s="117" t="b">
        <f>IF(OR(D114&gt;0),IF(BJ114=0,BN114*BQ114,0))</f>
        <v>0</v>
      </c>
      <c r="DF114" s="117" t="b">
        <f>IF(OR(D114&gt;0),IF(BJ114=0,BN114*BY114,0))</f>
        <v>0</v>
      </c>
      <c r="DG114" s="116" t="str">
        <f>BX114</f>
        <v>Marco</v>
      </c>
      <c r="DH114" s="76"/>
      <c r="DI114" s="120" t="s">
        <v>154</v>
      </c>
      <c r="DJ114" s="120"/>
      <c r="DK114" s="121"/>
      <c r="DL114" s="121"/>
      <c r="DM114" s="122"/>
      <c r="DN114" s="6"/>
      <c r="DO114" s="6"/>
      <c r="DP114" s="6"/>
      <c r="DQ114" s="6"/>
      <c r="DR114" s="6"/>
      <c r="DS114" s="6"/>
      <c r="DT114" s="6"/>
      <c r="DU114" s="6"/>
      <c r="DV114" s="6"/>
      <c r="DW114" s="6"/>
      <c r="DX114" s="6"/>
      <c r="DY114" s="6"/>
      <c r="DZ114" s="6"/>
    </row>
    <row r="115" spans="1:130" ht="34.5" hidden="1" customHeight="1">
      <c r="A115" s="228"/>
      <c r="B115" s="75" t="s">
        <v>1359</v>
      </c>
      <c r="C115" s="90"/>
      <c r="D115" s="75">
        <v>1</v>
      </c>
      <c r="E115" s="76">
        <v>1</v>
      </c>
      <c r="F115" s="75"/>
      <c r="G115" s="400" t="s">
        <v>321</v>
      </c>
      <c r="H115" s="400" t="s">
        <v>1647</v>
      </c>
      <c r="I115" s="1836" t="s">
        <v>1648</v>
      </c>
      <c r="J115" s="313" t="str">
        <f>CONCATENATE(G115," ",H115)</f>
        <v>Davide Gatti</v>
      </c>
      <c r="K115" s="156">
        <v>3335446074</v>
      </c>
      <c r="L115" s="400"/>
      <c r="M115" s="1904" t="s">
        <v>1649</v>
      </c>
      <c r="N115" s="1918" t="s">
        <v>1650</v>
      </c>
      <c r="O115" s="1923"/>
      <c r="P115" s="160"/>
      <c r="Q115" s="160"/>
      <c r="R115" s="403"/>
      <c r="S115" s="160"/>
      <c r="T115" s="160"/>
      <c r="U115" s="160"/>
      <c r="V115" s="160"/>
      <c r="W115" s="160"/>
      <c r="X115" s="131"/>
      <c r="Y115" s="160"/>
      <c r="Z115" s="160"/>
      <c r="AA115" s="160"/>
      <c r="AB115" s="37"/>
      <c r="AC115" s="131"/>
      <c r="AD115" s="121" t="s">
        <v>1651</v>
      </c>
      <c r="AE115" s="88"/>
      <c r="AF115" s="1966"/>
      <c r="AG115" s="1970"/>
      <c r="AH115" s="1970"/>
      <c r="AI115" s="1966"/>
      <c r="AJ115" s="90"/>
      <c r="AK115" s="90"/>
      <c r="AL115" s="90"/>
      <c r="AM115" s="89"/>
      <c r="AN115" s="90"/>
      <c r="AO115" s="90"/>
      <c r="AP115" s="90"/>
      <c r="AQ115" s="89"/>
      <c r="AR115" s="75"/>
      <c r="AS115" s="75"/>
      <c r="AT115" s="75"/>
      <c r="AU115" s="89"/>
      <c r="AV115" s="75"/>
      <c r="AW115" s="75"/>
      <c r="AX115" s="75"/>
      <c r="AY115" s="89"/>
      <c r="AZ115" s="121" t="s">
        <v>115</v>
      </c>
      <c r="BA115" s="121" t="s">
        <v>115</v>
      </c>
      <c r="BB115" s="1999" t="s">
        <v>115</v>
      </c>
      <c r="BC115" s="89"/>
      <c r="BD115" s="121"/>
      <c r="BE115" s="121"/>
      <c r="BF115" s="121"/>
      <c r="BG115" s="89"/>
      <c r="BH115" s="92">
        <f>CF115+CI115+CL115+CO115+CR115</f>
        <v>2997</v>
      </c>
      <c r="BI115" s="92">
        <f>CH115+CK115+CN115+CQ115+CT115</f>
        <v>2997</v>
      </c>
      <c r="BJ115" s="92">
        <f>BH115-BI115</f>
        <v>0</v>
      </c>
      <c r="BK115" s="271"/>
      <c r="BL115" s="2014"/>
      <c r="BM115" s="95"/>
      <c r="BN115" s="142">
        <v>2997</v>
      </c>
      <c r="BO115" s="182"/>
      <c r="BP115" s="2037" t="s">
        <v>414</v>
      </c>
      <c r="BQ115" s="98">
        <v>0.15</v>
      </c>
      <c r="BR115" s="108"/>
      <c r="BS115" s="276">
        <f>BL115*BQ115</f>
        <v>0</v>
      </c>
      <c r="BT115" s="101">
        <f>BM115*BQ115</f>
        <v>0</v>
      </c>
      <c r="BU115" s="102">
        <f>BN115*BQ115</f>
        <v>449.55</v>
      </c>
      <c r="BV115" s="103">
        <f>BO115*BQ115</f>
        <v>0</v>
      </c>
      <c r="BW115" s="84" t="s">
        <v>185</v>
      </c>
      <c r="BX115" s="105" t="s">
        <v>414</v>
      </c>
      <c r="BY115" s="145">
        <v>0.05</v>
      </c>
      <c r="BZ115" s="108"/>
      <c r="CA115" s="276">
        <f>BL115*BY115</f>
        <v>0</v>
      </c>
      <c r="CB115" s="101">
        <f>BM115*BY115</f>
        <v>0</v>
      </c>
      <c r="CC115" s="106">
        <f>BN115*BY115</f>
        <v>149.85</v>
      </c>
      <c r="CD115" s="107">
        <f>BO115*BY115</f>
        <v>0</v>
      </c>
      <c r="CE115" s="84" t="s">
        <v>185</v>
      </c>
      <c r="CF115" s="108">
        <v>2997</v>
      </c>
      <c r="CG115" s="109">
        <v>45198</v>
      </c>
      <c r="CH115" s="110">
        <v>2997</v>
      </c>
      <c r="CI115" s="2106"/>
      <c r="CJ115" s="184"/>
      <c r="CK115" s="2106"/>
      <c r="CL115" s="2106"/>
      <c r="CM115" s="184"/>
      <c r="CN115" s="2106"/>
      <c r="CO115" s="130"/>
      <c r="CP115" s="130"/>
      <c r="CQ115" s="130"/>
      <c r="CR115" s="130"/>
      <c r="CS115" s="130"/>
      <c r="CT115" s="130"/>
      <c r="CU115" s="90">
        <v>1</v>
      </c>
      <c r="CV115" s="112"/>
      <c r="CW115" s="112"/>
      <c r="CX115" s="112"/>
      <c r="CY115" s="90"/>
      <c r="CZ115" s="75"/>
      <c r="DA115" s="2145" t="s">
        <v>1652</v>
      </c>
      <c r="DB115" s="115" t="str">
        <f>PROPER(N115)</f>
        <v>Elevate</v>
      </c>
      <c r="DC115" s="2162" t="s">
        <v>1614</v>
      </c>
      <c r="DD115" s="116" t="str">
        <f>BP115</f>
        <v>Barbara</v>
      </c>
      <c r="DE115" s="117">
        <f>IF(OR(D115&gt;0),IF(BJ115=0,BN115*BQ115,0))</f>
        <v>449.55</v>
      </c>
      <c r="DF115" s="117">
        <f>IF(OR(D115&gt;0),IF(BJ115=0,BN115*BY115,0))</f>
        <v>149.85</v>
      </c>
      <c r="DG115" s="118" t="str">
        <f>BX115</f>
        <v>Barbara</v>
      </c>
      <c r="DH115" s="76"/>
      <c r="DI115" s="120" t="s">
        <v>126</v>
      </c>
      <c r="DJ115" s="120"/>
      <c r="DK115" s="74" t="s">
        <v>1399</v>
      </c>
      <c r="DL115" s="74" t="s">
        <v>1399</v>
      </c>
      <c r="DM115" s="122">
        <v>1</v>
      </c>
      <c r="DN115" s="6"/>
      <c r="DO115" s="6"/>
      <c r="DP115" s="6"/>
      <c r="DQ115" s="6"/>
      <c r="DR115" s="6"/>
      <c r="DS115" s="6"/>
      <c r="DT115" s="6"/>
      <c r="DU115" s="6"/>
      <c r="DV115" s="6"/>
      <c r="DW115" s="6"/>
      <c r="DX115" s="6"/>
      <c r="DY115" s="6"/>
      <c r="DZ115" s="6"/>
    </row>
    <row r="116" spans="1:130" ht="34.5" hidden="1" customHeight="1">
      <c r="A116" s="228"/>
      <c r="B116" s="75" t="s">
        <v>1359</v>
      </c>
      <c r="C116" s="90"/>
      <c r="D116" s="75">
        <v>1</v>
      </c>
      <c r="E116" s="76">
        <v>1</v>
      </c>
      <c r="F116" s="75"/>
      <c r="G116" s="400" t="s">
        <v>321</v>
      </c>
      <c r="H116" s="400" t="s">
        <v>1653</v>
      </c>
      <c r="I116" s="1836" t="s">
        <v>1654</v>
      </c>
      <c r="J116" s="313" t="str">
        <f>CONCATENATE(G116," ",H116)</f>
        <v>Davide Manni</v>
      </c>
      <c r="K116" s="391" t="s">
        <v>1655</v>
      </c>
      <c r="L116" s="400"/>
      <c r="M116" s="1886" t="s">
        <v>1656</v>
      </c>
      <c r="N116" s="84" t="s">
        <v>1657</v>
      </c>
      <c r="O116" s="1923"/>
      <c r="P116" s="160"/>
      <c r="Q116" s="160"/>
      <c r="R116" s="403"/>
      <c r="S116" s="160"/>
      <c r="T116" s="160"/>
      <c r="U116" s="160"/>
      <c r="V116" s="160"/>
      <c r="W116" s="160"/>
      <c r="X116" s="131"/>
      <c r="Y116" s="160"/>
      <c r="Z116" s="160"/>
      <c r="AA116" s="160"/>
      <c r="AB116" s="37"/>
      <c r="AC116" s="131"/>
      <c r="AD116" s="121" t="s">
        <v>1658</v>
      </c>
      <c r="AE116" s="88"/>
      <c r="AF116" s="1966"/>
      <c r="AG116" s="1970"/>
      <c r="AH116" s="1970"/>
      <c r="AI116" s="1966"/>
      <c r="AJ116" s="90"/>
      <c r="AK116" s="90"/>
      <c r="AL116" s="90"/>
      <c r="AM116" s="89"/>
      <c r="AN116" s="90"/>
      <c r="AO116" s="90"/>
      <c r="AP116" s="90"/>
      <c r="AQ116" s="89"/>
      <c r="AR116" s="75"/>
      <c r="AS116" s="75"/>
      <c r="AT116" s="75"/>
      <c r="AU116" s="89"/>
      <c r="AV116" s="75"/>
      <c r="AW116" s="75"/>
      <c r="AX116" s="75"/>
      <c r="AY116" s="89"/>
      <c r="AZ116" s="1987" t="s">
        <v>115</v>
      </c>
      <c r="BA116" s="121" t="s">
        <v>115</v>
      </c>
      <c r="BB116" s="135" t="s">
        <v>115</v>
      </c>
      <c r="BC116" s="89"/>
      <c r="BD116" s="121"/>
      <c r="BE116" s="121"/>
      <c r="BF116" s="121"/>
      <c r="BG116" s="89"/>
      <c r="BH116" s="92">
        <f>CF116+CI116+CL116+CO116+CR116</f>
        <v>2997</v>
      </c>
      <c r="BI116" s="92">
        <f>CH116+CK116+CN116+CQ116+CT116</f>
        <v>2997</v>
      </c>
      <c r="BJ116" s="92">
        <f>BH116-BI116</f>
        <v>0</v>
      </c>
      <c r="BK116" s="271"/>
      <c r="BL116" s="2014"/>
      <c r="BM116" s="95"/>
      <c r="BN116" s="127">
        <v>2997</v>
      </c>
      <c r="BO116" s="128"/>
      <c r="BP116" s="2037" t="s">
        <v>133</v>
      </c>
      <c r="BQ116" s="98">
        <v>0.15</v>
      </c>
      <c r="BR116" s="108"/>
      <c r="BS116" s="276">
        <f>BL116*BQ116</f>
        <v>0</v>
      </c>
      <c r="BT116" s="101">
        <f>BM116*BQ116</f>
        <v>0</v>
      </c>
      <c r="BU116" s="102">
        <f>BN116*BQ116</f>
        <v>449.55</v>
      </c>
      <c r="BV116" s="103">
        <f>BO116*BQ116</f>
        <v>0</v>
      </c>
      <c r="BW116" s="84" t="s">
        <v>185</v>
      </c>
      <c r="BX116" s="105" t="s">
        <v>133</v>
      </c>
      <c r="BY116" s="145">
        <v>0.05</v>
      </c>
      <c r="BZ116" s="108"/>
      <c r="CA116" s="276">
        <f>BL116*BY116</f>
        <v>0</v>
      </c>
      <c r="CB116" s="101">
        <f>BM116*BY116</f>
        <v>0</v>
      </c>
      <c r="CC116" s="106">
        <f>BN116*BY116</f>
        <v>149.85</v>
      </c>
      <c r="CD116" s="107">
        <f>BO116*BY116</f>
        <v>0</v>
      </c>
      <c r="CE116" s="84" t="s">
        <v>185</v>
      </c>
      <c r="CF116" s="108">
        <v>2997</v>
      </c>
      <c r="CG116" s="109">
        <v>45198</v>
      </c>
      <c r="CH116" s="108">
        <v>2997</v>
      </c>
      <c r="CI116" s="2106"/>
      <c r="CJ116" s="184"/>
      <c r="CK116" s="2106"/>
      <c r="CL116" s="2106"/>
      <c r="CM116" s="184"/>
      <c r="CN116" s="2106"/>
      <c r="CO116" s="130"/>
      <c r="CP116" s="130"/>
      <c r="CQ116" s="130"/>
      <c r="CR116" s="130"/>
      <c r="CS116" s="130"/>
      <c r="CT116" s="130"/>
      <c r="CU116" s="90">
        <v>1</v>
      </c>
      <c r="CV116" s="112"/>
      <c r="CW116" s="112"/>
      <c r="CX116" s="112"/>
      <c r="CY116" s="90"/>
      <c r="CZ116" s="75"/>
      <c r="DA116" s="2132" t="s">
        <v>1659</v>
      </c>
      <c r="DB116" s="115" t="str">
        <f>PROPER(N116)</f>
        <v>Axure</v>
      </c>
      <c r="DC116" s="2162" t="s">
        <v>1660</v>
      </c>
      <c r="DD116" s="116" t="str">
        <f>BP116</f>
        <v>Cristian B</v>
      </c>
      <c r="DE116" s="117">
        <f>IF(OR(D116&gt;0),IF(BJ116=0,BN116*BQ116,0))</f>
        <v>449.55</v>
      </c>
      <c r="DF116" s="117">
        <f>IF(OR(D116&gt;0),IF(BJ116=0,BN116*BY116,0))</f>
        <v>149.85</v>
      </c>
      <c r="DG116" s="118" t="str">
        <f>BX116</f>
        <v>Cristian B</v>
      </c>
      <c r="DH116" s="76"/>
      <c r="DI116" s="120" t="s">
        <v>126</v>
      </c>
      <c r="DJ116" s="120"/>
      <c r="DK116" s="74" t="s">
        <v>1418</v>
      </c>
      <c r="DL116" s="74" t="s">
        <v>1418</v>
      </c>
      <c r="DM116" s="122">
        <v>1</v>
      </c>
      <c r="DN116" s="6"/>
      <c r="DO116" s="6"/>
      <c r="DP116" s="6"/>
      <c r="DQ116" s="6"/>
      <c r="DR116" s="6"/>
      <c r="DS116" s="6"/>
      <c r="DT116" s="6"/>
      <c r="DU116" s="6"/>
      <c r="DV116" s="6"/>
      <c r="DW116" s="6"/>
      <c r="DX116" s="6"/>
      <c r="DY116" s="6"/>
      <c r="DZ116" s="6"/>
    </row>
    <row r="117" spans="1:130" ht="34.5" hidden="1" customHeight="1">
      <c r="A117" s="228"/>
      <c r="B117" s="75" t="s">
        <v>1359</v>
      </c>
      <c r="C117" s="90"/>
      <c r="D117" s="75">
        <v>1</v>
      </c>
      <c r="E117" s="76">
        <v>1</v>
      </c>
      <c r="F117" s="75"/>
      <c r="G117" s="400" t="s">
        <v>321</v>
      </c>
      <c r="H117" s="400" t="s">
        <v>1672</v>
      </c>
      <c r="I117" s="1836" t="s">
        <v>1673</v>
      </c>
      <c r="J117" s="313" t="str">
        <f>CONCATENATE(G117," ",H117)</f>
        <v>Davide Poropat</v>
      </c>
      <c r="K117" s="156">
        <v>3357260179</v>
      </c>
      <c r="L117" s="400"/>
      <c r="M117" s="1886" t="s">
        <v>355</v>
      </c>
      <c r="N117" s="84" t="s">
        <v>1674</v>
      </c>
      <c r="O117" s="1923"/>
      <c r="P117" s="160"/>
      <c r="Q117" s="160"/>
      <c r="R117" s="403"/>
      <c r="S117" s="160"/>
      <c r="T117" s="160"/>
      <c r="U117" s="160"/>
      <c r="V117" s="160"/>
      <c r="W117" s="160"/>
      <c r="X117" s="131"/>
      <c r="Y117" s="160"/>
      <c r="Z117" s="160"/>
      <c r="AA117" s="160"/>
      <c r="AB117" s="37"/>
      <c r="AC117" s="131"/>
      <c r="AD117" s="121" t="s">
        <v>1675</v>
      </c>
      <c r="AE117" s="88"/>
      <c r="AF117" s="1966"/>
      <c r="AG117" s="1970"/>
      <c r="AH117" s="1970"/>
      <c r="AI117" s="1966"/>
      <c r="AJ117" s="90"/>
      <c r="AK117" s="90"/>
      <c r="AL117" s="90"/>
      <c r="AM117" s="89"/>
      <c r="AN117" s="90"/>
      <c r="AO117" s="90"/>
      <c r="AP117" s="90"/>
      <c r="AQ117" s="89"/>
      <c r="AR117" s="75"/>
      <c r="AS117" s="75"/>
      <c r="AT117" s="75"/>
      <c r="AU117" s="89"/>
      <c r="AV117" s="75"/>
      <c r="AW117" s="75"/>
      <c r="AX117" s="75"/>
      <c r="AY117" s="89"/>
      <c r="AZ117" s="121" t="s">
        <v>115</v>
      </c>
      <c r="BA117" s="75" t="s">
        <v>115</v>
      </c>
      <c r="BB117" s="135" t="s">
        <v>115</v>
      </c>
      <c r="BC117" s="89"/>
      <c r="BD117" s="121"/>
      <c r="BE117" s="75"/>
      <c r="BF117" s="121"/>
      <c r="BG117" s="89"/>
      <c r="BH117" s="92">
        <f>CF117+CI117+CL117+CO117+CR117</f>
        <v>2997</v>
      </c>
      <c r="BI117" s="92">
        <f>CH117+CK117+CN117+CQ117+CT117</f>
        <v>2997</v>
      </c>
      <c r="BJ117" s="92">
        <f>BH117-BI117</f>
        <v>0</v>
      </c>
      <c r="BK117" s="271"/>
      <c r="BL117" s="2014"/>
      <c r="BM117" s="95"/>
      <c r="BN117" s="127">
        <v>2997</v>
      </c>
      <c r="BO117" s="128"/>
      <c r="BP117" s="2037" t="s">
        <v>160</v>
      </c>
      <c r="BQ117" s="98">
        <v>0.15</v>
      </c>
      <c r="BR117" s="108"/>
      <c r="BS117" s="276">
        <f>BL117*BQ117</f>
        <v>0</v>
      </c>
      <c r="BT117" s="101">
        <f>BM117*BQ117</f>
        <v>0</v>
      </c>
      <c r="BU117" s="102">
        <f>BN117*BQ117</f>
        <v>449.55</v>
      </c>
      <c r="BV117" s="103">
        <f>BO117*BQ117</f>
        <v>0</v>
      </c>
      <c r="BW117" s="84" t="s">
        <v>185</v>
      </c>
      <c r="BX117" s="105" t="s">
        <v>160</v>
      </c>
      <c r="BY117" s="145">
        <v>0.05</v>
      </c>
      <c r="BZ117" s="108"/>
      <c r="CA117" s="276">
        <f>BL117*BY117</f>
        <v>0</v>
      </c>
      <c r="CB117" s="101">
        <f>BM117*BY117</f>
        <v>0</v>
      </c>
      <c r="CC117" s="106">
        <f>BN117*BY117</f>
        <v>149.85</v>
      </c>
      <c r="CD117" s="107">
        <f>BO117*BY117</f>
        <v>0</v>
      </c>
      <c r="CE117" s="84" t="s">
        <v>185</v>
      </c>
      <c r="CF117" s="108">
        <v>2997</v>
      </c>
      <c r="CG117" s="109">
        <v>45198</v>
      </c>
      <c r="CH117" s="110">
        <v>2997</v>
      </c>
      <c r="CI117" s="2106"/>
      <c r="CJ117" s="184"/>
      <c r="CK117" s="2106"/>
      <c r="CL117" s="2106"/>
      <c r="CM117" s="184"/>
      <c r="CN117" s="2106"/>
      <c r="CO117" s="130"/>
      <c r="CP117" s="130"/>
      <c r="CQ117" s="130"/>
      <c r="CR117" s="130"/>
      <c r="CS117" s="130"/>
      <c r="CT117" s="130"/>
      <c r="CU117" s="90">
        <v>1</v>
      </c>
      <c r="CV117" s="112"/>
      <c r="CW117" s="112"/>
      <c r="CX117" s="112"/>
      <c r="CY117" s="90"/>
      <c r="CZ117" s="75"/>
      <c r="DA117" s="2132" t="s">
        <v>1676</v>
      </c>
      <c r="DB117" s="115" t="str">
        <f>PROPER(N117)</f>
        <v>Elcom</v>
      </c>
      <c r="DC117" s="2162" t="s">
        <v>1677</v>
      </c>
      <c r="DD117" s="116" t="str">
        <f>BP117</f>
        <v>Gianluca</v>
      </c>
      <c r="DE117" s="117">
        <f>IF(OR(D117&gt;0),IF(BJ117=0,BN117*BQ117,0))</f>
        <v>449.55</v>
      </c>
      <c r="DF117" s="117">
        <f>IF(OR(D117&gt;0),IF(BJ117=0,BN117*BY117,0))</f>
        <v>149.85</v>
      </c>
      <c r="DG117" s="118" t="str">
        <f>BX117</f>
        <v>Gianluca</v>
      </c>
      <c r="DH117" s="76"/>
      <c r="DI117" s="120" t="s">
        <v>126</v>
      </c>
      <c r="DJ117" s="120"/>
      <c r="DK117" s="74" t="s">
        <v>1399</v>
      </c>
      <c r="DL117" s="74" t="s">
        <v>1399</v>
      </c>
      <c r="DM117" s="122">
        <v>1</v>
      </c>
      <c r="DN117" s="6"/>
      <c r="DO117" s="6"/>
      <c r="DP117" s="6"/>
      <c r="DQ117" s="6"/>
      <c r="DR117" s="6"/>
      <c r="DS117" s="6"/>
      <c r="DT117" s="6"/>
      <c r="DU117" s="6"/>
      <c r="DV117" s="6"/>
      <c r="DW117" s="6"/>
      <c r="DX117" s="6"/>
      <c r="DY117" s="6"/>
      <c r="DZ117" s="6"/>
    </row>
    <row r="118" spans="1:130" ht="34.5" hidden="1" customHeight="1">
      <c r="A118" s="3"/>
      <c r="B118" s="75" t="s">
        <v>108</v>
      </c>
      <c r="C118" s="75"/>
      <c r="D118" s="75"/>
      <c r="E118" s="76"/>
      <c r="F118" s="75"/>
      <c r="G118" s="79" t="s">
        <v>787</v>
      </c>
      <c r="H118" s="79" t="s">
        <v>788</v>
      </c>
      <c r="I118" s="80" t="s">
        <v>789</v>
      </c>
      <c r="J118" s="155" t="str">
        <f>CONCATENATE(G118," ",H118)</f>
        <v>Peter Perrone</v>
      </c>
      <c r="K118" s="156" t="s">
        <v>790</v>
      </c>
      <c r="L118" s="157"/>
      <c r="M118" s="83"/>
      <c r="N118" s="84"/>
      <c r="O118" s="85"/>
      <c r="P118" s="86"/>
      <c r="Q118" s="86"/>
      <c r="R118" s="86"/>
      <c r="S118" s="86"/>
      <c r="T118" s="86"/>
      <c r="U118" s="86"/>
      <c r="V118" s="86"/>
      <c r="W118" s="86"/>
      <c r="X118" s="86"/>
      <c r="Y118" s="87"/>
      <c r="Z118" s="86"/>
      <c r="AA118" s="86"/>
      <c r="AB118" s="86"/>
      <c r="AC118" s="86"/>
      <c r="AD118" s="86" t="s">
        <v>118</v>
      </c>
      <c r="AE118" s="88">
        <f>L118</f>
        <v>0</v>
      </c>
      <c r="AF118" s="89"/>
      <c r="AG118" s="75"/>
      <c r="AH118" s="75"/>
      <c r="AI118" s="89"/>
      <c r="AJ118" s="75"/>
      <c r="AK118" s="75"/>
      <c r="AL118" s="75"/>
      <c r="AM118" s="89"/>
      <c r="AN118" s="90"/>
      <c r="AO118" s="90"/>
      <c r="AP118" s="90"/>
      <c r="AQ118" s="89"/>
      <c r="AR118" s="75"/>
      <c r="AS118" s="75"/>
      <c r="AT118" s="75"/>
      <c r="AU118" s="89"/>
      <c r="AV118" s="129" t="s">
        <v>165</v>
      </c>
      <c r="AW118" s="129" t="s">
        <v>165</v>
      </c>
      <c r="AX118" s="129" t="s">
        <v>165</v>
      </c>
      <c r="AY118" s="89"/>
      <c r="AZ118" s="121"/>
      <c r="BA118" s="121"/>
      <c r="BB118" s="121"/>
      <c r="BC118" s="89"/>
      <c r="BD118" s="121"/>
      <c r="BE118" s="121"/>
      <c r="BF118" s="121"/>
      <c r="BG118" s="89"/>
      <c r="BH118" s="92">
        <f>CF118+CI118+CL118+CO118+CR118</f>
        <v>0</v>
      </c>
      <c r="BI118" s="92">
        <f>CH118+CK118+CN118+CQ118+CT118</f>
        <v>0</v>
      </c>
      <c r="BJ118" s="92">
        <f>BH118-BI118</f>
        <v>0</v>
      </c>
      <c r="BK118" s="93"/>
      <c r="BL118" s="94"/>
      <c r="BM118" s="95"/>
      <c r="BN118" s="96"/>
      <c r="BO118" s="97"/>
      <c r="BP118" s="80" t="s">
        <v>117</v>
      </c>
      <c r="BQ118" s="98">
        <v>0</v>
      </c>
      <c r="BR118" s="99"/>
      <c r="BS118" s="100"/>
      <c r="BT118" s="101">
        <f>BM118*BQ118</f>
        <v>0</v>
      </c>
      <c r="BU118" s="102">
        <f>BN118*BQ118</f>
        <v>0</v>
      </c>
      <c r="BV118" s="103">
        <f>BO118*BQ118</f>
        <v>0</v>
      </c>
      <c r="BW118" s="80" t="s">
        <v>118</v>
      </c>
      <c r="BX118" s="105" t="s">
        <v>152</v>
      </c>
      <c r="BY118" s="98">
        <v>0.05</v>
      </c>
      <c r="BZ118" s="99"/>
      <c r="CA118" s="100"/>
      <c r="CB118" s="101">
        <f>BM118*BY118</f>
        <v>0</v>
      </c>
      <c r="CC118" s="106">
        <f>BN118*BY118</f>
        <v>0</v>
      </c>
      <c r="CD118" s="107">
        <f>BO118*BY118</f>
        <v>0</v>
      </c>
      <c r="CE118" s="90"/>
      <c r="CF118" s="108">
        <v>0</v>
      </c>
      <c r="CG118" s="109"/>
      <c r="CH118" s="110"/>
      <c r="CI118" s="108"/>
      <c r="CJ118" s="109"/>
      <c r="CK118" s="111"/>
      <c r="CL118" s="108"/>
      <c r="CM118" s="109"/>
      <c r="CN118" s="111"/>
      <c r="CO118" s="111"/>
      <c r="CP118" s="111"/>
      <c r="CQ118" s="111"/>
      <c r="CR118" s="111"/>
      <c r="CS118" s="111"/>
      <c r="CT118" s="111"/>
      <c r="CU118" s="90">
        <v>1</v>
      </c>
      <c r="CV118" s="112" t="s">
        <v>121</v>
      </c>
      <c r="CW118" s="112"/>
      <c r="CX118" s="113"/>
      <c r="CY118" s="90" t="s">
        <v>122</v>
      </c>
      <c r="CZ118" s="90"/>
      <c r="DA118" s="80"/>
      <c r="DB118" s="115" t="str">
        <f>PROPER(N118)</f>
        <v/>
      </c>
      <c r="DC118" s="116"/>
      <c r="DD118" s="116" t="str">
        <f>BP118</f>
        <v>blackship</v>
      </c>
      <c r="DE118" s="117" t="b">
        <f>IF(OR(D118&gt;0),IF(BJ118=0,BN118*BQ118,0))</f>
        <v>0</v>
      </c>
      <c r="DF118" s="117" t="b">
        <f>IF(OR(D118&gt;0),IF(BJ118=0,BN118*BY118,0))</f>
        <v>0</v>
      </c>
      <c r="DG118" s="116" t="str">
        <f>BX118</f>
        <v>Client Angel</v>
      </c>
      <c r="DH118" s="76"/>
      <c r="DI118" s="120" t="s">
        <v>154</v>
      </c>
      <c r="DJ118" s="120"/>
      <c r="DK118" s="121"/>
      <c r="DL118" s="121"/>
      <c r="DM118" s="122"/>
      <c r="DN118" s="6"/>
      <c r="DO118" s="6"/>
      <c r="DP118" s="6"/>
      <c r="DQ118" s="6"/>
      <c r="DR118" s="6"/>
      <c r="DS118" s="6"/>
      <c r="DT118" s="6"/>
      <c r="DU118" s="6"/>
      <c r="DV118" s="6"/>
      <c r="DW118" s="6"/>
      <c r="DX118" s="6"/>
      <c r="DY118" s="6"/>
      <c r="DZ118" s="6"/>
    </row>
    <row r="119" spans="1:130" ht="34.5" hidden="1" customHeight="1">
      <c r="A119" s="3"/>
      <c r="B119" s="75" t="s">
        <v>108</v>
      </c>
      <c r="C119" s="75"/>
      <c r="D119" s="75"/>
      <c r="E119" s="76"/>
      <c r="F119" s="75"/>
      <c r="G119" s="79" t="s">
        <v>791</v>
      </c>
      <c r="H119" s="79" t="s">
        <v>792</v>
      </c>
      <c r="I119" s="80" t="s">
        <v>793</v>
      </c>
      <c r="J119" s="155" t="str">
        <f>CONCATENATE(G119," ",H119)</f>
        <v>Raffaele Viscusi</v>
      </c>
      <c r="K119" s="156" t="s">
        <v>794</v>
      </c>
      <c r="L119" s="157" t="s">
        <v>795</v>
      </c>
      <c r="M119" s="83" t="s">
        <v>796</v>
      </c>
      <c r="N119" s="84" t="s">
        <v>797</v>
      </c>
      <c r="O119" s="85"/>
      <c r="P119" s="86"/>
      <c r="Q119" s="86"/>
      <c r="R119" s="86"/>
      <c r="S119" s="86"/>
      <c r="T119" s="86"/>
      <c r="U119" s="86"/>
      <c r="V119" s="86"/>
      <c r="W119" s="86"/>
      <c r="X119" s="86"/>
      <c r="Y119" s="87"/>
      <c r="Z119" s="86"/>
      <c r="AA119" s="86"/>
      <c r="AB119" s="86"/>
      <c r="AC119" s="86"/>
      <c r="AD119" s="86" t="s">
        <v>798</v>
      </c>
      <c r="AE119" s="88" t="str">
        <f>L119</f>
        <v>p/to € 200 da conto personale e saldo entro 3 settimane da conto aziendale (da aprile)</v>
      </c>
      <c r="AF119" s="89"/>
      <c r="AG119" s="75"/>
      <c r="AH119" s="75"/>
      <c r="AI119" s="89"/>
      <c r="AJ119" s="75"/>
      <c r="AK119" s="75"/>
      <c r="AL119" s="75"/>
      <c r="AM119" s="89"/>
      <c r="AN119" s="90"/>
      <c r="AO119" s="90"/>
      <c r="AP119" s="90"/>
      <c r="AQ119" s="89"/>
      <c r="AR119" s="75"/>
      <c r="AS119" s="75"/>
      <c r="AT119" s="75"/>
      <c r="AU119" s="89"/>
      <c r="AV119" s="75"/>
      <c r="AW119" s="75"/>
      <c r="AX119" s="75"/>
      <c r="AY119" s="89"/>
      <c r="AZ119" s="154" t="s">
        <v>165</v>
      </c>
      <c r="BA119" s="154" t="s">
        <v>165</v>
      </c>
      <c r="BB119" s="154" t="s">
        <v>165</v>
      </c>
      <c r="BC119" s="89"/>
      <c r="BD119" s="121"/>
      <c r="BE119" s="121"/>
      <c r="BF119" s="121"/>
      <c r="BG119" s="89"/>
      <c r="BH119" s="92">
        <f>CF119+CI119+CL119+CO119+CR119</f>
        <v>4.4262295081978209E-3</v>
      </c>
      <c r="BI119" s="92">
        <f>CH119+CK119+CN119+CQ119+CT119</f>
        <v>4.4262295081978209E-3</v>
      </c>
      <c r="BJ119" s="92">
        <f>BH119-BI119</f>
        <v>0</v>
      </c>
      <c r="BK119" s="93"/>
      <c r="BL119" s="94"/>
      <c r="BM119" s="95"/>
      <c r="BN119" s="127"/>
      <c r="BO119" s="128"/>
      <c r="BP119" s="80" t="s">
        <v>117</v>
      </c>
      <c r="BQ119" s="98">
        <v>0</v>
      </c>
      <c r="BR119" s="99"/>
      <c r="BS119" s="100"/>
      <c r="BT119" s="101">
        <f>BM119*BQ119</f>
        <v>0</v>
      </c>
      <c r="BU119" s="102">
        <f>BN119*BQ119</f>
        <v>0</v>
      </c>
      <c r="BV119" s="103">
        <f>BO119*BQ119</f>
        <v>0</v>
      </c>
      <c r="BW119" s="80" t="s">
        <v>118</v>
      </c>
      <c r="BX119" s="105" t="s">
        <v>321</v>
      </c>
      <c r="BY119" s="98">
        <v>0.05</v>
      </c>
      <c r="BZ119" s="99"/>
      <c r="CA119" s="100"/>
      <c r="CB119" s="101">
        <f>BM119*BY119</f>
        <v>0</v>
      </c>
      <c r="CC119" s="106">
        <f>BN119*BY119</f>
        <v>0</v>
      </c>
      <c r="CD119" s="107">
        <f>BO119*BY119</f>
        <v>0</v>
      </c>
      <c r="CE119" s="90"/>
      <c r="CF119" s="110">
        <f>200/1.22</f>
        <v>163.9344262295082</v>
      </c>
      <c r="CG119" s="109">
        <v>45013</v>
      </c>
      <c r="CH119" s="110">
        <f>200/1.22</f>
        <v>163.9344262295082</v>
      </c>
      <c r="CI119" s="108">
        <v>-163.93</v>
      </c>
      <c r="CJ119" s="109">
        <v>45217</v>
      </c>
      <c r="CK119" s="108">
        <v>-163.93</v>
      </c>
      <c r="CL119" s="111"/>
      <c r="CM119" s="109"/>
      <c r="CN119" s="111"/>
      <c r="CO119" s="111"/>
      <c r="CP119" s="111"/>
      <c r="CQ119" s="111"/>
      <c r="CR119" s="111"/>
      <c r="CS119" s="111"/>
      <c r="CT119" s="111"/>
      <c r="CU119" s="90">
        <v>1</v>
      </c>
      <c r="CV119" s="112" t="s">
        <v>121</v>
      </c>
      <c r="CW119" s="112"/>
      <c r="CX119" s="113"/>
      <c r="CY119" s="90" t="s">
        <v>122</v>
      </c>
      <c r="CZ119" s="90"/>
      <c r="DA119" s="80"/>
      <c r="DB119" s="115" t="str">
        <f>PROPER(N119)</f>
        <v>Diritto Debitori</v>
      </c>
      <c r="DC119" s="116"/>
      <c r="DD119" s="116" t="str">
        <f>BP119</f>
        <v>blackship</v>
      </c>
      <c r="DE119" s="117" t="b">
        <f>IF(OR(D119&gt;0),IF(BJ119=0,BN119*BQ119,0))</f>
        <v>0</v>
      </c>
      <c r="DF119" s="117" t="b">
        <f>IF(OR(D119&gt;0),IF(BJ119=0,BN119*BY119,0))</f>
        <v>0</v>
      </c>
      <c r="DG119" s="118" t="str">
        <f>BX119</f>
        <v>Davide</v>
      </c>
      <c r="DH119" s="76"/>
      <c r="DI119" s="120" t="s">
        <v>154</v>
      </c>
      <c r="DJ119" s="120"/>
      <c r="DK119" s="121"/>
      <c r="DL119" s="121"/>
      <c r="DM119" s="122"/>
      <c r="DN119" s="6"/>
      <c r="DO119" s="6"/>
      <c r="DP119" s="6"/>
      <c r="DQ119" s="6"/>
      <c r="DR119" s="6"/>
      <c r="DS119" s="6"/>
      <c r="DT119" s="6"/>
      <c r="DU119" s="6"/>
      <c r="DV119" s="6"/>
      <c r="DW119" s="6"/>
      <c r="DX119" s="6"/>
      <c r="DY119" s="6"/>
      <c r="DZ119" s="6"/>
    </row>
    <row r="120" spans="1:130" ht="34.5" hidden="1" customHeight="1">
      <c r="A120" s="3"/>
      <c r="B120" s="75" t="s">
        <v>108</v>
      </c>
      <c r="C120" s="75"/>
      <c r="D120" s="75"/>
      <c r="E120" s="76"/>
      <c r="F120" s="75"/>
      <c r="G120" s="79" t="s">
        <v>287</v>
      </c>
      <c r="H120" s="79" t="s">
        <v>799</v>
      </c>
      <c r="I120" s="80" t="s">
        <v>800</v>
      </c>
      <c r="J120" s="155" t="str">
        <f>CONCATENATE(G120," ",H120)</f>
        <v>Riccardo Baldi</v>
      </c>
      <c r="K120" s="156" t="s">
        <v>801</v>
      </c>
      <c r="L120" s="157"/>
      <c r="M120" s="83"/>
      <c r="N120" s="84" t="s">
        <v>802</v>
      </c>
      <c r="O120" s="85"/>
      <c r="P120" s="86"/>
      <c r="Q120" s="86"/>
      <c r="R120" s="86"/>
      <c r="S120" s="86"/>
      <c r="T120" s="86"/>
      <c r="U120" s="86"/>
      <c r="V120" s="86"/>
      <c r="W120" s="86"/>
      <c r="X120" s="86"/>
      <c r="Y120" s="87"/>
      <c r="Z120" s="86"/>
      <c r="AA120" s="86"/>
      <c r="AB120" s="86"/>
      <c r="AC120" s="86"/>
      <c r="AD120" s="86"/>
      <c r="AE120" s="88">
        <f>L120</f>
        <v>0</v>
      </c>
      <c r="AF120" s="89"/>
      <c r="AG120" s="75"/>
      <c r="AH120" s="75"/>
      <c r="AI120" s="89"/>
      <c r="AJ120" s="75"/>
      <c r="AK120" s="75"/>
      <c r="AL120" s="75"/>
      <c r="AM120" s="89"/>
      <c r="AN120" s="90"/>
      <c r="AO120" s="90"/>
      <c r="AP120" s="90"/>
      <c r="AQ120" s="89"/>
      <c r="AR120" s="75"/>
      <c r="AS120" s="75"/>
      <c r="AT120" s="75"/>
      <c r="AU120" s="89"/>
      <c r="AV120" s="129" t="s">
        <v>165</v>
      </c>
      <c r="AW120" s="129" t="s">
        <v>165</v>
      </c>
      <c r="AX120" s="129" t="s">
        <v>165</v>
      </c>
      <c r="AY120" s="89"/>
      <c r="AZ120" s="121"/>
      <c r="BA120" s="121"/>
      <c r="BB120" s="121"/>
      <c r="BC120" s="89"/>
      <c r="BD120" s="121"/>
      <c r="BE120" s="121"/>
      <c r="BF120" s="121"/>
      <c r="BG120" s="89"/>
      <c r="BH120" s="92">
        <f>CF120+CI120+CL120+CO120+CR120</f>
        <v>0</v>
      </c>
      <c r="BI120" s="92">
        <f>CH120+CK120+CN120+CQ120+CT120</f>
        <v>0</v>
      </c>
      <c r="BJ120" s="92">
        <f>BH120-BI120</f>
        <v>0</v>
      </c>
      <c r="BK120" s="93"/>
      <c r="BL120" s="94"/>
      <c r="BM120" s="95"/>
      <c r="BN120" s="96"/>
      <c r="BO120" s="97"/>
      <c r="BP120" s="80" t="s">
        <v>141</v>
      </c>
      <c r="BQ120" s="98">
        <v>0.15</v>
      </c>
      <c r="BR120" s="99"/>
      <c r="BS120" s="100"/>
      <c r="BT120" s="101">
        <f>BM120*BQ120</f>
        <v>0</v>
      </c>
      <c r="BU120" s="102">
        <f>BN120*BQ120</f>
        <v>0</v>
      </c>
      <c r="BV120" s="103">
        <f>BO120*BQ120</f>
        <v>0</v>
      </c>
      <c r="BW120" s="80"/>
      <c r="BX120" s="105" t="s">
        <v>141</v>
      </c>
      <c r="BY120" s="98">
        <v>0.05</v>
      </c>
      <c r="BZ120" s="99"/>
      <c r="CA120" s="100"/>
      <c r="CB120" s="101">
        <f>BM120*BY120</f>
        <v>0</v>
      </c>
      <c r="CC120" s="106">
        <f>BN120*BY120</f>
        <v>0</v>
      </c>
      <c r="CD120" s="107">
        <f>BO120*BY120</f>
        <v>0</v>
      </c>
      <c r="CE120" s="90"/>
      <c r="CF120" s="108">
        <v>0</v>
      </c>
      <c r="CG120" s="109"/>
      <c r="CH120" s="110"/>
      <c r="CI120" s="108"/>
      <c r="CJ120" s="109"/>
      <c r="CK120" s="111"/>
      <c r="CL120" s="111"/>
      <c r="CM120" s="109"/>
      <c r="CN120" s="111"/>
      <c r="CO120" s="111"/>
      <c r="CP120" s="111"/>
      <c r="CQ120" s="111"/>
      <c r="CR120" s="111"/>
      <c r="CS120" s="111"/>
      <c r="CT120" s="111"/>
      <c r="CU120" s="90"/>
      <c r="CV120" s="112"/>
      <c r="CW120" s="112"/>
      <c r="CX120" s="113"/>
      <c r="CY120" s="90" t="s">
        <v>122</v>
      </c>
      <c r="CZ120" s="90"/>
      <c r="DA120" s="80"/>
      <c r="DB120" s="115" t="str">
        <f>PROPER(N120)</f>
        <v>Baldi</v>
      </c>
      <c r="DC120" s="116"/>
      <c r="DD120" s="116" t="str">
        <f>BP120</f>
        <v>Daniele</v>
      </c>
      <c r="DE120" s="117" t="b">
        <f>IF(OR(D120&gt;0),IF(BJ120=0,BN120*BQ120,0))</f>
        <v>0</v>
      </c>
      <c r="DF120" s="117" t="b">
        <f>IF(OR(D120&gt;0),IF(BJ120=0,BN120*BY120,0))</f>
        <v>0</v>
      </c>
      <c r="DG120" s="116" t="str">
        <f>BX120</f>
        <v>Daniele</v>
      </c>
      <c r="DH120" s="76"/>
      <c r="DI120" s="120" t="s">
        <v>154</v>
      </c>
      <c r="DJ120" s="120"/>
      <c r="DK120" s="121"/>
      <c r="DL120" s="121"/>
      <c r="DM120" s="122">
        <v>1</v>
      </c>
      <c r="DN120" s="6"/>
      <c r="DO120" s="6"/>
      <c r="DP120" s="6"/>
      <c r="DQ120" s="6"/>
      <c r="DR120" s="6"/>
      <c r="DS120" s="6"/>
      <c r="DT120" s="6"/>
      <c r="DU120" s="6"/>
      <c r="DV120" s="6"/>
      <c r="DW120" s="6"/>
      <c r="DX120" s="6"/>
      <c r="DY120" s="6"/>
      <c r="DZ120" s="6"/>
    </row>
    <row r="121" spans="1:130" ht="34.5" hidden="1" customHeight="1">
      <c r="A121" s="3"/>
      <c r="B121" s="75" t="s">
        <v>108</v>
      </c>
      <c r="C121" s="75"/>
      <c r="D121" s="75">
        <v>1</v>
      </c>
      <c r="E121" s="76">
        <v>1</v>
      </c>
      <c r="F121" s="148"/>
      <c r="G121" s="79" t="s">
        <v>321</v>
      </c>
      <c r="H121" s="79" t="s">
        <v>322</v>
      </c>
      <c r="I121" s="80" t="s">
        <v>323</v>
      </c>
      <c r="J121" s="121" t="str">
        <f>CONCATENATE(G121," ",H121)</f>
        <v>Davide Tisato</v>
      </c>
      <c r="K121" s="156">
        <v>3387823700</v>
      </c>
      <c r="L121" s="157"/>
      <c r="M121" s="83" t="s">
        <v>324</v>
      </c>
      <c r="N121" s="84" t="s">
        <v>325</v>
      </c>
      <c r="O121" s="85"/>
      <c r="P121" s="86"/>
      <c r="Q121" s="86"/>
      <c r="R121" s="86"/>
      <c r="S121" s="86"/>
      <c r="T121" s="86"/>
      <c r="U121" s="86"/>
      <c r="V121" s="86"/>
      <c r="W121" s="86"/>
      <c r="X121" s="86"/>
      <c r="Y121" s="87"/>
      <c r="Z121" s="86"/>
      <c r="AA121" s="86"/>
      <c r="AB121" s="86"/>
      <c r="AC121" s="86"/>
      <c r="AD121" s="86" t="s">
        <v>326</v>
      </c>
      <c r="AE121" s="88">
        <f>L121</f>
        <v>0</v>
      </c>
      <c r="AF121" s="89"/>
      <c r="AG121" s="75"/>
      <c r="AH121" s="75"/>
      <c r="AI121" s="89"/>
      <c r="AJ121" s="75"/>
      <c r="AK121" s="75"/>
      <c r="AL121" s="75"/>
      <c r="AM121" s="89"/>
      <c r="AN121" s="90"/>
      <c r="AO121" s="90"/>
      <c r="AP121" s="90"/>
      <c r="AQ121" s="89"/>
      <c r="AR121" s="75"/>
      <c r="AS121" s="75"/>
      <c r="AT121" s="75"/>
      <c r="AU121" s="89"/>
      <c r="AV121" s="75" t="s">
        <v>115</v>
      </c>
      <c r="AW121" s="121" t="s">
        <v>115</v>
      </c>
      <c r="AX121" s="75" t="s">
        <v>115</v>
      </c>
      <c r="AY121" s="89"/>
      <c r="AZ121" s="121" t="s">
        <v>116</v>
      </c>
      <c r="BA121" s="121" t="s">
        <v>116</v>
      </c>
      <c r="BB121" s="91" t="s">
        <v>116</v>
      </c>
      <c r="BC121" s="89"/>
      <c r="BD121" s="121"/>
      <c r="BE121" s="121"/>
      <c r="BF121" s="121"/>
      <c r="BG121" s="89"/>
      <c r="BH121" s="92"/>
      <c r="BI121" s="92"/>
      <c r="BJ121" s="92"/>
      <c r="BK121" s="93"/>
      <c r="BL121" s="94"/>
      <c r="BM121" s="95">
        <v>2997</v>
      </c>
      <c r="BN121" s="96"/>
      <c r="BO121" s="97"/>
      <c r="BP121" s="80" t="s">
        <v>117</v>
      </c>
      <c r="BQ121" s="98">
        <v>0</v>
      </c>
      <c r="BR121" s="99"/>
      <c r="BS121" s="100"/>
      <c r="BT121" s="101">
        <f>BM121*BQ121</f>
        <v>0</v>
      </c>
      <c r="BU121" s="102">
        <f>BN121*BQ121</f>
        <v>0</v>
      </c>
      <c r="BV121" s="103">
        <f>BO121*BQ121</f>
        <v>0</v>
      </c>
      <c r="BW121" s="104" t="s">
        <v>118</v>
      </c>
      <c r="BX121" s="105" t="s">
        <v>321</v>
      </c>
      <c r="BY121" s="98">
        <v>0.05</v>
      </c>
      <c r="BZ121" s="99"/>
      <c r="CA121" s="100"/>
      <c r="CB121" s="101">
        <f>BM121*BY121</f>
        <v>149.85</v>
      </c>
      <c r="CC121" s="106">
        <f>BN121*BY121</f>
        <v>0</v>
      </c>
      <c r="CD121" s="107">
        <f>BO121*BY121</f>
        <v>0</v>
      </c>
      <c r="CE121" s="90" t="s">
        <v>120</v>
      </c>
      <c r="CF121" s="108">
        <v>2997</v>
      </c>
      <c r="CG121" s="109">
        <v>45009</v>
      </c>
      <c r="CH121" s="110">
        <v>2997</v>
      </c>
      <c r="CI121" s="108"/>
      <c r="CJ121" s="109"/>
      <c r="CK121" s="111"/>
      <c r="CL121" s="111"/>
      <c r="CM121" s="109"/>
      <c r="CN121" s="111"/>
      <c r="CO121" s="111"/>
      <c r="CP121" s="111"/>
      <c r="CQ121" s="111"/>
      <c r="CR121" s="111"/>
      <c r="CS121" s="111"/>
      <c r="CT121" s="111"/>
      <c r="CU121" s="90">
        <v>1</v>
      </c>
      <c r="CV121" s="112" t="s">
        <v>121</v>
      </c>
      <c r="CW121" s="112"/>
      <c r="CX121" s="113"/>
      <c r="CY121" s="90" t="s">
        <v>122</v>
      </c>
      <c r="CZ121" s="90"/>
      <c r="DA121" s="2134" t="s">
        <v>327</v>
      </c>
      <c r="DB121" s="115" t="str">
        <f>PROPER(N121)</f>
        <v>Areaseb</v>
      </c>
      <c r="DC121" s="116" t="s">
        <v>328</v>
      </c>
      <c r="DD121" s="116" t="str">
        <f>BP121</f>
        <v>blackship</v>
      </c>
      <c r="DE121" s="820">
        <f>IF(OR(D121&gt;0),IF(BJ121=0,BN121*BQ121,0))</f>
        <v>0</v>
      </c>
      <c r="DF121" s="2171">
        <f>IF(OR(D121&gt;0),IF(BJ121=0,BN121*BY121,0))</f>
        <v>0</v>
      </c>
      <c r="DG121" s="118" t="str">
        <f>BX121</f>
        <v>Davide</v>
      </c>
      <c r="DH121" s="76"/>
      <c r="DI121" s="120" t="s">
        <v>126</v>
      </c>
      <c r="DJ121" s="120"/>
      <c r="DK121" s="121"/>
      <c r="DL121" s="121"/>
      <c r="DM121" s="122">
        <v>1</v>
      </c>
      <c r="DN121" s="6"/>
      <c r="DO121" s="6"/>
      <c r="DP121" s="6"/>
      <c r="DQ121" s="6"/>
      <c r="DR121" s="6"/>
      <c r="DS121" s="6"/>
      <c r="DT121" s="6"/>
      <c r="DU121" s="6"/>
      <c r="DV121" s="6"/>
      <c r="DW121" s="6"/>
      <c r="DX121" s="6"/>
      <c r="DY121" s="6"/>
      <c r="DZ121" s="6"/>
    </row>
    <row r="122" spans="1:130" ht="34.5" hidden="1" customHeight="1">
      <c r="A122" s="228"/>
      <c r="B122" s="75" t="s">
        <v>1359</v>
      </c>
      <c r="C122" s="90"/>
      <c r="D122" s="75">
        <v>1</v>
      </c>
      <c r="E122" s="76">
        <v>1</v>
      </c>
      <c r="F122" s="75"/>
      <c r="G122" s="400" t="s">
        <v>329</v>
      </c>
      <c r="H122" s="400" t="s">
        <v>1684</v>
      </c>
      <c r="I122" s="207" t="s">
        <v>1685</v>
      </c>
      <c r="J122" s="121" t="str">
        <f>CONCATENATE(G122," ",H122)</f>
        <v>Diego Bottazzi</v>
      </c>
      <c r="K122" s="156">
        <v>3385083936</v>
      </c>
      <c r="L122" s="435"/>
      <c r="M122" s="1894" t="s">
        <v>514</v>
      </c>
      <c r="N122" s="84" t="s">
        <v>1686</v>
      </c>
      <c r="O122" s="1923"/>
      <c r="P122" s="160"/>
      <c r="Q122" s="160"/>
      <c r="R122" s="403"/>
      <c r="S122" s="160"/>
      <c r="T122" s="160"/>
      <c r="U122" s="160"/>
      <c r="V122" s="160"/>
      <c r="W122" s="160"/>
      <c r="X122" s="131"/>
      <c r="Y122" s="160"/>
      <c r="Z122" s="160"/>
      <c r="AA122" s="160"/>
      <c r="AB122" s="37"/>
      <c r="AC122" s="131"/>
      <c r="AD122" s="121" t="s">
        <v>1687</v>
      </c>
      <c r="AE122" s="88"/>
      <c r="AF122" s="1966"/>
      <c r="AG122" s="1970"/>
      <c r="AH122" s="1970"/>
      <c r="AI122" s="1966"/>
      <c r="AJ122" s="90"/>
      <c r="AK122" s="90"/>
      <c r="AL122" s="90"/>
      <c r="AM122" s="89"/>
      <c r="AN122" s="90"/>
      <c r="AO122" s="90"/>
      <c r="AP122" s="90"/>
      <c r="AQ122" s="89"/>
      <c r="AR122" s="75"/>
      <c r="AS122" s="75"/>
      <c r="AT122" s="75"/>
      <c r="AU122" s="89"/>
      <c r="AV122" s="75"/>
      <c r="AW122" s="75"/>
      <c r="AX122" s="75"/>
      <c r="AY122" s="89"/>
      <c r="AZ122" s="121" t="s">
        <v>115</v>
      </c>
      <c r="BA122" s="121" t="s">
        <v>115</v>
      </c>
      <c r="BB122" s="1999" t="s">
        <v>115</v>
      </c>
      <c r="BC122" s="89"/>
      <c r="BD122" s="121"/>
      <c r="BE122" s="121"/>
      <c r="BF122" s="121"/>
      <c r="BG122" s="89"/>
      <c r="BH122" s="92">
        <f>CF122+CI122+CL122+CO122+CR122</f>
        <v>2597</v>
      </c>
      <c r="BI122" s="92">
        <f>CH122+CK122+CN122+CQ122+CT122</f>
        <v>2597</v>
      </c>
      <c r="BJ122" s="92">
        <f>BH122-BI122</f>
        <v>0</v>
      </c>
      <c r="BK122" s="271"/>
      <c r="BL122" s="2014"/>
      <c r="BM122" s="95"/>
      <c r="BN122" s="142">
        <v>2597</v>
      </c>
      <c r="BO122" s="182"/>
      <c r="BP122" s="2037" t="s">
        <v>160</v>
      </c>
      <c r="BQ122" s="98">
        <v>0.15</v>
      </c>
      <c r="BR122" s="108"/>
      <c r="BS122" s="276">
        <f>BL122*BQ122</f>
        <v>0</v>
      </c>
      <c r="BT122" s="101">
        <f>BM122*BQ122</f>
        <v>0</v>
      </c>
      <c r="BU122" s="102">
        <f>BN122*BQ122</f>
        <v>389.55</v>
      </c>
      <c r="BV122" s="103">
        <f>BO122*BQ122</f>
        <v>0</v>
      </c>
      <c r="BW122" s="84" t="s">
        <v>185</v>
      </c>
      <c r="BX122" s="105" t="s">
        <v>160</v>
      </c>
      <c r="BY122" s="145">
        <v>0.05</v>
      </c>
      <c r="BZ122" s="108"/>
      <c r="CA122" s="276">
        <f>BL122*BY122</f>
        <v>0</v>
      </c>
      <c r="CB122" s="101">
        <f>BM122*BY122</f>
        <v>0</v>
      </c>
      <c r="CC122" s="106">
        <f>BN122*BY122</f>
        <v>129.85</v>
      </c>
      <c r="CD122" s="107">
        <f>BO122*BY122</f>
        <v>0</v>
      </c>
      <c r="CE122" s="84" t="s">
        <v>185</v>
      </c>
      <c r="CF122" s="108">
        <v>2597</v>
      </c>
      <c r="CG122" s="109">
        <v>45198</v>
      </c>
      <c r="CH122" s="443">
        <v>2597</v>
      </c>
      <c r="CI122" s="2106"/>
      <c r="CJ122" s="184"/>
      <c r="CK122" s="2106"/>
      <c r="CL122" s="2106"/>
      <c r="CM122" s="184"/>
      <c r="CN122" s="2106"/>
      <c r="CO122" s="130"/>
      <c r="CP122" s="130"/>
      <c r="CQ122" s="130"/>
      <c r="CR122" s="130"/>
      <c r="CS122" s="130"/>
      <c r="CT122" s="130"/>
      <c r="CU122" s="90">
        <v>1</v>
      </c>
      <c r="CV122" s="112"/>
      <c r="CW122" s="112"/>
      <c r="CX122" s="112"/>
      <c r="CY122" s="90"/>
      <c r="CZ122" s="75"/>
      <c r="DA122" s="2132" t="s">
        <v>1688</v>
      </c>
      <c r="DB122" s="115" t="str">
        <f>PROPER(N122)</f>
        <v>Simply Water</v>
      </c>
      <c r="DC122" s="2162" t="s">
        <v>1689</v>
      </c>
      <c r="DD122" s="116" t="str">
        <f>BP122</f>
        <v>Gianluca</v>
      </c>
      <c r="DE122" s="820">
        <f>IF(OR(D122&gt;0),IF(BJ122=0,BN122*BQ122,0))</f>
        <v>389.55</v>
      </c>
      <c r="DF122" s="2171">
        <f>IF(OR(D122&gt;0),IF(BJ122=0,BN122*BY122,0))</f>
        <v>129.85</v>
      </c>
      <c r="DG122" s="118" t="str">
        <f>BX122</f>
        <v>Gianluca</v>
      </c>
      <c r="DH122" s="76"/>
      <c r="DI122" s="120" t="s">
        <v>126</v>
      </c>
      <c r="DJ122" s="120"/>
      <c r="DK122" s="74" t="s">
        <v>1418</v>
      </c>
      <c r="DL122" s="74" t="s">
        <v>1418</v>
      </c>
      <c r="DM122" s="122">
        <v>1</v>
      </c>
      <c r="DN122" s="6"/>
      <c r="DO122" s="6"/>
      <c r="DP122" s="6"/>
      <c r="DQ122" s="6"/>
      <c r="DR122" s="6"/>
      <c r="DS122" s="6"/>
      <c r="DT122" s="6"/>
      <c r="DU122" s="6"/>
      <c r="DV122" s="6"/>
      <c r="DW122" s="6"/>
      <c r="DX122" s="6"/>
      <c r="DY122" s="6"/>
      <c r="DZ122" s="6"/>
    </row>
    <row r="123" spans="1:130" ht="34.5" hidden="1" customHeight="1">
      <c r="A123" s="228"/>
      <c r="B123" s="75" t="s">
        <v>1359</v>
      </c>
      <c r="C123" s="90"/>
      <c r="D123" s="75">
        <v>1</v>
      </c>
      <c r="E123" s="76">
        <v>1</v>
      </c>
      <c r="F123" s="75"/>
      <c r="G123" s="400" t="s">
        <v>329</v>
      </c>
      <c r="H123" s="400" t="s">
        <v>1700</v>
      </c>
      <c r="I123" s="207" t="s">
        <v>1701</v>
      </c>
      <c r="J123" s="121" t="str">
        <f>CONCATENATE(G123," ",H123)</f>
        <v>Diego Guerrieri</v>
      </c>
      <c r="K123" s="1854">
        <v>3357259158</v>
      </c>
      <c r="L123" s="435"/>
      <c r="M123" s="1886" t="s">
        <v>1702</v>
      </c>
      <c r="N123" s="84" t="s">
        <v>312</v>
      </c>
      <c r="O123" s="1923"/>
      <c r="P123" s="160"/>
      <c r="Q123" s="160"/>
      <c r="R123" s="403"/>
      <c r="S123" s="160"/>
      <c r="T123" s="160"/>
      <c r="U123" s="160"/>
      <c r="V123" s="160"/>
      <c r="W123" s="160"/>
      <c r="X123" s="131"/>
      <c r="Y123" s="160"/>
      <c r="Z123" s="160"/>
      <c r="AA123" s="160"/>
      <c r="AB123" s="37"/>
      <c r="AC123" s="131"/>
      <c r="AD123" s="121" t="s">
        <v>1703</v>
      </c>
      <c r="AE123" s="88"/>
      <c r="AF123" s="1966"/>
      <c r="AG123" s="1970"/>
      <c r="AH123" s="1970"/>
      <c r="AI123" s="1966"/>
      <c r="AJ123" s="90"/>
      <c r="AK123" s="90"/>
      <c r="AL123" s="90"/>
      <c r="AM123" s="89"/>
      <c r="AN123" s="90"/>
      <c r="AO123" s="90"/>
      <c r="AP123" s="90"/>
      <c r="AQ123" s="89"/>
      <c r="AR123" s="75"/>
      <c r="AS123" s="75"/>
      <c r="AT123" s="75"/>
      <c r="AU123" s="89"/>
      <c r="AV123" s="75"/>
      <c r="AW123" s="75"/>
      <c r="AX123" s="75"/>
      <c r="AY123" s="89"/>
      <c r="AZ123" s="121" t="s">
        <v>115</v>
      </c>
      <c r="BA123" s="121" t="s">
        <v>115</v>
      </c>
      <c r="BB123" s="135" t="s">
        <v>115</v>
      </c>
      <c r="BC123" s="89"/>
      <c r="BD123" s="121"/>
      <c r="BE123" s="121"/>
      <c r="BF123" s="121"/>
      <c r="BG123" s="89"/>
      <c r="BH123" s="92">
        <f>CF123+CI123+CL123+CO123+CR123</f>
        <v>2997</v>
      </c>
      <c r="BI123" s="92">
        <f>CH123+CK123+CN123+CQ123+CT123</f>
        <v>2997</v>
      </c>
      <c r="BJ123" s="92">
        <f>BH123-BI123</f>
        <v>0</v>
      </c>
      <c r="BK123" s="271"/>
      <c r="BL123" s="2014"/>
      <c r="BM123" s="95"/>
      <c r="BN123" s="127">
        <v>2997</v>
      </c>
      <c r="BO123" s="128"/>
      <c r="BP123" s="2037" t="s">
        <v>487</v>
      </c>
      <c r="BQ123" s="98">
        <v>0.15</v>
      </c>
      <c r="BR123" s="108"/>
      <c r="BS123" s="276">
        <f>BL123*BQ123</f>
        <v>0</v>
      </c>
      <c r="BT123" s="101">
        <f>BM123*BQ123</f>
        <v>0</v>
      </c>
      <c r="BU123" s="102">
        <f>BN123*BQ123</f>
        <v>449.55</v>
      </c>
      <c r="BV123" s="103">
        <f>BO123*BQ123</f>
        <v>0</v>
      </c>
      <c r="BW123" s="84" t="s">
        <v>185</v>
      </c>
      <c r="BX123" s="105" t="s">
        <v>487</v>
      </c>
      <c r="BY123" s="145">
        <v>0.05</v>
      </c>
      <c r="BZ123" s="108"/>
      <c r="CA123" s="276">
        <f>BL123*BY123</f>
        <v>0</v>
      </c>
      <c r="CB123" s="101">
        <f>BM123*BY123</f>
        <v>0</v>
      </c>
      <c r="CC123" s="106">
        <f>BN123*BY123</f>
        <v>149.85</v>
      </c>
      <c r="CD123" s="107">
        <f>BO123*BY123</f>
        <v>0</v>
      </c>
      <c r="CE123" s="84" t="s">
        <v>185</v>
      </c>
      <c r="CF123" s="108">
        <v>2997</v>
      </c>
      <c r="CG123" s="109">
        <v>45198</v>
      </c>
      <c r="CH123" s="108">
        <v>2997</v>
      </c>
      <c r="CI123" s="2106"/>
      <c r="CJ123" s="184"/>
      <c r="CK123" s="2106"/>
      <c r="CL123" s="2106"/>
      <c r="CM123" s="184"/>
      <c r="CN123" s="2106"/>
      <c r="CO123" s="130"/>
      <c r="CP123" s="130"/>
      <c r="CQ123" s="130"/>
      <c r="CR123" s="130"/>
      <c r="CS123" s="130"/>
      <c r="CT123" s="130"/>
      <c r="CU123" s="90">
        <v>1</v>
      </c>
      <c r="CV123" s="112"/>
      <c r="CW123" s="112"/>
      <c r="CX123" s="112"/>
      <c r="CY123" s="90"/>
      <c r="CZ123" s="75"/>
      <c r="DA123" s="2140" t="s">
        <v>314</v>
      </c>
      <c r="DB123" s="115" t="s">
        <v>312</v>
      </c>
      <c r="DC123" s="2162" t="s">
        <v>1704</v>
      </c>
      <c r="DD123" s="116" t="str">
        <f>BP123</f>
        <v>Daniela</v>
      </c>
      <c r="DE123" s="117">
        <f>IF(OR(D123&gt;0),IF(BJ123=0,BN123*BQ123,0))</f>
        <v>449.55</v>
      </c>
      <c r="DF123" s="189">
        <f>IF(OR(D123&gt;0),IF(BJ123=0,BN123*BY123,0))</f>
        <v>149.85</v>
      </c>
      <c r="DG123" s="118" t="str">
        <f>BX123</f>
        <v>Daniela</v>
      </c>
      <c r="DH123" s="76"/>
      <c r="DI123" s="120" t="s">
        <v>126</v>
      </c>
      <c r="DJ123" s="120"/>
      <c r="DK123" s="74" t="s">
        <v>1399</v>
      </c>
      <c r="DL123" s="74" t="s">
        <v>1399</v>
      </c>
      <c r="DM123" s="122">
        <v>1</v>
      </c>
      <c r="DN123" s="6"/>
      <c r="DO123" s="6"/>
      <c r="DP123" s="6"/>
      <c r="DQ123" s="6"/>
      <c r="DR123" s="6"/>
      <c r="DS123" s="6"/>
      <c r="DT123" s="6"/>
      <c r="DU123" s="6"/>
      <c r="DV123" s="6"/>
      <c r="DW123" s="6"/>
      <c r="DX123" s="6"/>
      <c r="DY123" s="6"/>
      <c r="DZ123" s="6"/>
    </row>
    <row r="124" spans="1:130" ht="34.5" hidden="1" customHeight="1">
      <c r="A124" s="3"/>
      <c r="B124" s="75" t="s">
        <v>108</v>
      </c>
      <c r="C124" s="75"/>
      <c r="D124" s="75"/>
      <c r="E124" s="76">
        <v>1</v>
      </c>
      <c r="F124" s="75"/>
      <c r="G124" s="79" t="s">
        <v>329</v>
      </c>
      <c r="H124" s="79" t="s">
        <v>337</v>
      </c>
      <c r="I124" s="80" t="s">
        <v>338</v>
      </c>
      <c r="J124" s="121" t="str">
        <f>CONCATENATE(G124," ",H124)</f>
        <v>Diego Ravenna</v>
      </c>
      <c r="K124" s="156">
        <v>3270870699</v>
      </c>
      <c r="L124" s="157"/>
      <c r="M124" s="83" t="s">
        <v>339</v>
      </c>
      <c r="N124" s="1920"/>
      <c r="O124" s="85"/>
      <c r="P124" s="86"/>
      <c r="Q124" s="86"/>
      <c r="R124" s="86"/>
      <c r="S124" s="86"/>
      <c r="T124" s="86"/>
      <c r="U124" s="86"/>
      <c r="V124" s="86"/>
      <c r="W124" s="86"/>
      <c r="X124" s="86"/>
      <c r="Y124" s="87"/>
      <c r="Z124" s="86"/>
      <c r="AA124" s="86"/>
      <c r="AB124" s="86"/>
      <c r="AC124" s="86"/>
      <c r="AD124" s="86" t="s">
        <v>340</v>
      </c>
      <c r="AE124" s="88">
        <f>L124</f>
        <v>0</v>
      </c>
      <c r="AF124" s="89"/>
      <c r="AG124" s="75"/>
      <c r="AH124" s="75"/>
      <c r="AI124" s="89"/>
      <c r="AJ124" s="75"/>
      <c r="AK124" s="75"/>
      <c r="AL124" s="75"/>
      <c r="AM124" s="89"/>
      <c r="AN124" s="90"/>
      <c r="AO124" s="90"/>
      <c r="AP124" s="90"/>
      <c r="AQ124" s="89"/>
      <c r="AR124" s="75"/>
      <c r="AS124" s="75"/>
      <c r="AT124" s="75"/>
      <c r="AU124" s="89"/>
      <c r="AV124" s="121"/>
      <c r="AW124" s="121"/>
      <c r="AX124" s="121"/>
      <c r="AY124" s="89"/>
      <c r="AZ124" s="121"/>
      <c r="BA124" s="121" t="s">
        <v>115</v>
      </c>
      <c r="BB124" s="135" t="s">
        <v>115</v>
      </c>
      <c r="BC124" s="89"/>
      <c r="BD124" s="121" t="s">
        <v>115</v>
      </c>
      <c r="BE124" s="121"/>
      <c r="BF124" s="121"/>
      <c r="BG124" s="89"/>
      <c r="BH124" s="92">
        <f>CF124+CI124+CL124+CO124+CR124</f>
        <v>2997</v>
      </c>
      <c r="BI124" s="92">
        <f>CH124+CK124+CN124+CQ124+CT124</f>
        <v>2997</v>
      </c>
      <c r="BJ124" s="92">
        <f>BH124-BI124</f>
        <v>0</v>
      </c>
      <c r="BK124" s="93"/>
      <c r="BL124" s="94"/>
      <c r="BM124" s="95"/>
      <c r="BN124" s="142">
        <v>2997</v>
      </c>
      <c r="BO124" s="182"/>
      <c r="BP124" s="80" t="s">
        <v>117</v>
      </c>
      <c r="BQ124" s="98">
        <v>0</v>
      </c>
      <c r="BR124" s="99"/>
      <c r="BS124" s="100"/>
      <c r="BT124" s="101">
        <f>BM124*BQ124</f>
        <v>0</v>
      </c>
      <c r="BU124" s="102">
        <f>BN124*BQ124</f>
        <v>0</v>
      </c>
      <c r="BV124" s="103">
        <f>BO124*BQ124</f>
        <v>0</v>
      </c>
      <c r="BW124" s="80" t="s">
        <v>118</v>
      </c>
      <c r="BX124" s="105" t="s">
        <v>152</v>
      </c>
      <c r="BY124" s="98">
        <v>0.05</v>
      </c>
      <c r="BZ124" s="99"/>
      <c r="CA124" s="100"/>
      <c r="CB124" s="101">
        <f>BM124*BY124</f>
        <v>0</v>
      </c>
      <c r="CC124" s="106">
        <f>BN124*BY124</f>
        <v>149.85</v>
      </c>
      <c r="CD124" s="107">
        <f>BO124*BY124</f>
        <v>0</v>
      </c>
      <c r="CE124" s="90"/>
      <c r="CF124" s="108">
        <v>2997</v>
      </c>
      <c r="CG124" s="109">
        <v>45012</v>
      </c>
      <c r="CH124" s="108">
        <v>2997</v>
      </c>
      <c r="CI124" s="108"/>
      <c r="CJ124" s="109"/>
      <c r="CK124" s="111"/>
      <c r="CL124" s="111"/>
      <c r="CM124" s="109"/>
      <c r="CN124" s="111"/>
      <c r="CO124" s="111"/>
      <c r="CP124" s="111"/>
      <c r="CQ124" s="111"/>
      <c r="CR124" s="111"/>
      <c r="CS124" s="111"/>
      <c r="CT124" s="111"/>
      <c r="CU124" s="90">
        <v>1</v>
      </c>
      <c r="CV124" s="112" t="s">
        <v>121</v>
      </c>
      <c r="CW124" s="112"/>
      <c r="CX124" s="113"/>
      <c r="CY124" s="90" t="s">
        <v>122</v>
      </c>
      <c r="CZ124" s="90"/>
      <c r="DA124" s="1867" t="s">
        <v>341</v>
      </c>
      <c r="DB124" s="126" t="str">
        <f>PROPER(N124)</f>
        <v/>
      </c>
      <c r="DC124" s="116" t="s">
        <v>342</v>
      </c>
      <c r="DD124" s="116" t="str">
        <f>BP124</f>
        <v>blackship</v>
      </c>
      <c r="DE124" s="117" t="b">
        <f>IF(OR(D124&gt;0),IF(BJ124=0,BN124*BQ124,0))</f>
        <v>0</v>
      </c>
      <c r="DF124" s="117" t="b">
        <f>IF(OR(D124&gt;0),IF(BJ124=0,BN124*BY124,0))</f>
        <v>0</v>
      </c>
      <c r="DG124" s="116" t="str">
        <f>BX124</f>
        <v>Client Angel</v>
      </c>
      <c r="DH124" s="76"/>
      <c r="DI124" s="120" t="s">
        <v>126</v>
      </c>
      <c r="DJ124" s="120"/>
      <c r="DK124" s="121"/>
      <c r="DL124" s="121"/>
      <c r="DM124" s="122">
        <v>1</v>
      </c>
      <c r="DN124" s="6"/>
      <c r="DO124" s="6"/>
      <c r="DP124" s="6"/>
      <c r="DQ124" s="6"/>
      <c r="DR124" s="6"/>
      <c r="DS124" s="6"/>
      <c r="DT124" s="6"/>
      <c r="DU124" s="6"/>
      <c r="DV124" s="6"/>
      <c r="DW124" s="6"/>
      <c r="DX124" s="6"/>
      <c r="DY124" s="6"/>
      <c r="DZ124" s="6"/>
    </row>
    <row r="125" spans="1:130" ht="34.5" hidden="1" customHeight="1">
      <c r="A125" s="228"/>
      <c r="B125" s="75" t="s">
        <v>1359</v>
      </c>
      <c r="C125" s="90"/>
      <c r="D125" s="75">
        <v>1</v>
      </c>
      <c r="E125" s="76">
        <v>1</v>
      </c>
      <c r="F125" s="121"/>
      <c r="G125" s="400" t="s">
        <v>329</v>
      </c>
      <c r="H125" s="400" t="s">
        <v>1705</v>
      </c>
      <c r="I125" s="113" t="s">
        <v>1706</v>
      </c>
      <c r="J125" s="121" t="str">
        <f>CONCATENATE(G125," ",H125)</f>
        <v>Diego Teoldi</v>
      </c>
      <c r="K125" s="156">
        <v>3382888922</v>
      </c>
      <c r="L125" s="435"/>
      <c r="M125" s="1894"/>
      <c r="N125" s="84"/>
      <c r="O125" s="1923"/>
      <c r="P125" s="160"/>
      <c r="Q125" s="160"/>
      <c r="R125" s="403"/>
      <c r="S125" s="160"/>
      <c r="T125" s="160"/>
      <c r="U125" s="160"/>
      <c r="V125" s="160"/>
      <c r="W125" s="160"/>
      <c r="X125" s="131"/>
      <c r="Y125" s="160"/>
      <c r="Z125" s="160"/>
      <c r="AA125" s="160"/>
      <c r="AB125" s="37"/>
      <c r="AC125" s="131"/>
      <c r="AD125" s="121" t="s">
        <v>1707</v>
      </c>
      <c r="AE125" s="88"/>
      <c r="AF125" s="1966"/>
      <c r="AG125" s="1970"/>
      <c r="AH125" s="1970"/>
      <c r="AI125" s="1966"/>
      <c r="AJ125" s="90"/>
      <c r="AK125" s="90"/>
      <c r="AL125" s="90"/>
      <c r="AM125" s="89"/>
      <c r="AN125" s="90"/>
      <c r="AO125" s="90"/>
      <c r="AP125" s="90"/>
      <c r="AQ125" s="89"/>
      <c r="AR125" s="75"/>
      <c r="AS125" s="75"/>
      <c r="AT125" s="75"/>
      <c r="AU125" s="89"/>
      <c r="AV125" s="121"/>
      <c r="AW125" s="121"/>
      <c r="AX125" s="121"/>
      <c r="AY125" s="89"/>
      <c r="AZ125" s="121" t="s">
        <v>115</v>
      </c>
      <c r="BA125" s="75" t="s">
        <v>115</v>
      </c>
      <c r="BB125" s="135" t="s">
        <v>115</v>
      </c>
      <c r="BC125" s="89"/>
      <c r="BD125" s="121"/>
      <c r="BE125" s="121"/>
      <c r="BF125" s="121"/>
      <c r="BG125" s="89"/>
      <c r="BH125" s="92">
        <f>CF125+CI125+CL125+CO125+CR125</f>
        <v>2997</v>
      </c>
      <c r="BI125" s="92">
        <f>CH125+CK125+CN125+CQ125+CT125</f>
        <v>2997</v>
      </c>
      <c r="BJ125" s="92">
        <f>BH125-BI125</f>
        <v>0</v>
      </c>
      <c r="BK125" s="271"/>
      <c r="BL125" s="2014"/>
      <c r="BM125" s="95"/>
      <c r="BN125" s="127">
        <v>2997</v>
      </c>
      <c r="BO125" s="128"/>
      <c r="BP125" s="2037" t="s">
        <v>414</v>
      </c>
      <c r="BQ125" s="98">
        <v>0.15</v>
      </c>
      <c r="BR125" s="108"/>
      <c r="BS125" s="276">
        <f>BL125*BQ125</f>
        <v>0</v>
      </c>
      <c r="BT125" s="101">
        <f>BM125*BQ125</f>
        <v>0</v>
      </c>
      <c r="BU125" s="102">
        <f>BN125*BQ125</f>
        <v>449.55</v>
      </c>
      <c r="BV125" s="103">
        <f>BO125*BQ125</f>
        <v>0</v>
      </c>
      <c r="BW125" s="84" t="s">
        <v>185</v>
      </c>
      <c r="BX125" s="105" t="s">
        <v>414</v>
      </c>
      <c r="BY125" s="145">
        <v>0.05</v>
      </c>
      <c r="BZ125" s="108"/>
      <c r="CA125" s="276">
        <f>BL125*BY125</f>
        <v>0</v>
      </c>
      <c r="CB125" s="101">
        <f>BM125*BY125</f>
        <v>0</v>
      </c>
      <c r="CC125" s="106">
        <f>BN125*BY125</f>
        <v>149.85</v>
      </c>
      <c r="CD125" s="107">
        <f>BO125*BY125</f>
        <v>0</v>
      </c>
      <c r="CE125" s="84" t="s">
        <v>185</v>
      </c>
      <c r="CF125" s="108">
        <v>2997</v>
      </c>
      <c r="CG125" s="109">
        <v>45198</v>
      </c>
      <c r="CH125" s="110">
        <v>2997</v>
      </c>
      <c r="CI125" s="2106"/>
      <c r="CJ125" s="184"/>
      <c r="CK125" s="2106"/>
      <c r="CL125" s="2106"/>
      <c r="CM125" s="184"/>
      <c r="CN125" s="2106"/>
      <c r="CO125" s="130"/>
      <c r="CP125" s="130"/>
      <c r="CQ125" s="130"/>
      <c r="CR125" s="130"/>
      <c r="CS125" s="130"/>
      <c r="CT125" s="130"/>
      <c r="CU125" s="90">
        <v>1</v>
      </c>
      <c r="CV125" s="112"/>
      <c r="CW125" s="112"/>
      <c r="CX125" s="112"/>
      <c r="CY125" s="90"/>
      <c r="CZ125" s="75"/>
      <c r="DA125" s="2132" t="s">
        <v>1652</v>
      </c>
      <c r="DB125" s="115" t="str">
        <f>PROPER(N125)</f>
        <v/>
      </c>
      <c r="DC125" s="2162" t="s">
        <v>1708</v>
      </c>
      <c r="DD125" s="116" t="str">
        <f>BP125</f>
        <v>Barbara</v>
      </c>
      <c r="DE125" s="117">
        <f>IF(OR(D125&gt;0),IF(BJ125=0,BN125*BQ125,0))</f>
        <v>449.55</v>
      </c>
      <c r="DF125" s="117">
        <f>IF(OR(D125&gt;0),IF(BJ125=0,BN125*BY125,0))</f>
        <v>149.85</v>
      </c>
      <c r="DG125" s="118" t="str">
        <f>BX125</f>
        <v>Barbara</v>
      </c>
      <c r="DH125" s="76"/>
      <c r="DI125" s="120" t="s">
        <v>126</v>
      </c>
      <c r="DJ125" s="120"/>
      <c r="DK125" s="74" t="s">
        <v>1418</v>
      </c>
      <c r="DL125" s="74" t="s">
        <v>1418</v>
      </c>
      <c r="DM125" s="122">
        <v>1</v>
      </c>
      <c r="DN125" s="6"/>
      <c r="DO125" s="6"/>
      <c r="DP125" s="6"/>
      <c r="DQ125" s="6"/>
      <c r="DR125" s="6"/>
      <c r="DS125" s="6"/>
      <c r="DT125" s="6"/>
      <c r="DU125" s="6"/>
      <c r="DV125" s="6"/>
      <c r="DW125" s="6"/>
      <c r="DX125" s="6"/>
      <c r="DY125" s="6"/>
      <c r="DZ125" s="6"/>
    </row>
    <row r="126" spans="1:130" ht="34.5" hidden="1" customHeight="1">
      <c r="A126" s="3"/>
      <c r="B126" s="75" t="s">
        <v>108</v>
      </c>
      <c r="C126" s="75"/>
      <c r="D126" s="75"/>
      <c r="E126" s="76"/>
      <c r="F126" s="75"/>
      <c r="G126" s="79" t="s">
        <v>835</v>
      </c>
      <c r="H126" s="79" t="s">
        <v>836</v>
      </c>
      <c r="I126" s="80" t="s">
        <v>837</v>
      </c>
      <c r="J126" s="155" t="str">
        <f>CONCATENATE(G126," ",H126)</f>
        <v>Samuel Lonero</v>
      </c>
      <c r="K126" s="156">
        <v>3493461587</v>
      </c>
      <c r="L126" s="157" t="s">
        <v>838</v>
      </c>
      <c r="M126" s="83" t="s">
        <v>839</v>
      </c>
      <c r="N126" s="84" t="s">
        <v>150</v>
      </c>
      <c r="O126" s="85"/>
      <c r="P126" s="86"/>
      <c r="Q126" s="86"/>
      <c r="R126" s="86"/>
      <c r="S126" s="86"/>
      <c r="T126" s="86"/>
      <c r="U126" s="86"/>
      <c r="V126" s="86"/>
      <c r="W126" s="86"/>
      <c r="X126" s="86"/>
      <c r="Y126" s="87"/>
      <c r="Z126" s="86"/>
      <c r="AA126" s="86"/>
      <c r="AB126" s="86"/>
      <c r="AC126" s="86"/>
      <c r="AD126" s="86"/>
      <c r="AE126" s="88" t="str">
        <f>L126</f>
        <v>applicando quanto visto al Tour e VB2B hanno già ottenuto il massimo, e quindi ora devono applicare e poi valuteranno ad ottobre.</v>
      </c>
      <c r="AF126" s="89"/>
      <c r="AG126" s="75"/>
      <c r="AH126" s="75"/>
      <c r="AI126" s="89"/>
      <c r="AJ126" s="75"/>
      <c r="AK126" s="75"/>
      <c r="AL126" s="75"/>
      <c r="AM126" s="89"/>
      <c r="AN126" s="90"/>
      <c r="AO126" s="90"/>
      <c r="AP126" s="90"/>
      <c r="AQ126" s="89"/>
      <c r="AR126" s="75"/>
      <c r="AS126" s="75"/>
      <c r="AT126" s="75"/>
      <c r="AU126" s="89"/>
      <c r="AV126" s="121"/>
      <c r="AW126" s="121"/>
      <c r="AX126" s="121"/>
      <c r="AY126" s="89"/>
      <c r="AZ126" s="121"/>
      <c r="BA126" s="121"/>
      <c r="BB126" s="121"/>
      <c r="BC126" s="89"/>
      <c r="BD126" s="121" t="s">
        <v>151</v>
      </c>
      <c r="BE126" s="121" t="s">
        <v>151</v>
      </c>
      <c r="BF126" s="121" t="s">
        <v>151</v>
      </c>
      <c r="BG126" s="89"/>
      <c r="BH126" s="92">
        <f>CF126+CI126+CL126+CO126+CR126</f>
        <v>0</v>
      </c>
      <c r="BI126" s="92">
        <f>CH126+CK126+CN126+CQ126+CT126</f>
        <v>0</v>
      </c>
      <c r="BJ126" s="92">
        <f>BH126-BI126</f>
        <v>0</v>
      </c>
      <c r="BK126" s="93"/>
      <c r="BL126" s="94"/>
      <c r="BM126" s="95"/>
      <c r="BN126" s="96"/>
      <c r="BO126" s="97"/>
      <c r="BP126" s="80" t="s">
        <v>117</v>
      </c>
      <c r="BQ126" s="98">
        <v>0</v>
      </c>
      <c r="BR126" s="99"/>
      <c r="BS126" s="100"/>
      <c r="BT126" s="101">
        <f>BM126*BQ126</f>
        <v>0</v>
      </c>
      <c r="BU126" s="102">
        <f>BN126*BQ126</f>
        <v>0</v>
      </c>
      <c r="BV126" s="103">
        <f>BO126*BQ126</f>
        <v>0</v>
      </c>
      <c r="BW126" s="80" t="s">
        <v>118</v>
      </c>
      <c r="BX126" s="105" t="s">
        <v>152</v>
      </c>
      <c r="BY126" s="98">
        <v>0.05</v>
      </c>
      <c r="BZ126" s="99"/>
      <c r="CA126" s="100"/>
      <c r="CB126" s="101">
        <f>BM126*BY126</f>
        <v>0</v>
      </c>
      <c r="CC126" s="106">
        <f>BN126*BY126</f>
        <v>0</v>
      </c>
      <c r="CD126" s="107">
        <f>BO126*BY126</f>
        <v>0</v>
      </c>
      <c r="CE126" s="90"/>
      <c r="CF126" s="108"/>
      <c r="CG126" s="109"/>
      <c r="CH126" s="110"/>
      <c r="CI126" s="108"/>
      <c r="CJ126" s="109"/>
      <c r="CK126" s="111"/>
      <c r="CL126" s="111"/>
      <c r="CM126" s="109"/>
      <c r="CN126" s="111"/>
      <c r="CO126" s="111"/>
      <c r="CP126" s="111"/>
      <c r="CQ126" s="111"/>
      <c r="CR126" s="111"/>
      <c r="CS126" s="111"/>
      <c r="CT126" s="111"/>
      <c r="CU126" s="90">
        <v>1</v>
      </c>
      <c r="CV126" s="112" t="s">
        <v>840</v>
      </c>
      <c r="CW126" s="112"/>
      <c r="CX126" s="113"/>
      <c r="CY126" s="90" t="s">
        <v>122</v>
      </c>
      <c r="CZ126" s="90"/>
      <c r="DA126" s="80"/>
      <c r="DB126" s="115" t="str">
        <f>PROPER(N126)</f>
        <v>Squp</v>
      </c>
      <c r="DC126" s="116"/>
      <c r="DD126" s="116" t="str">
        <f>BP126</f>
        <v>blackship</v>
      </c>
      <c r="DE126" s="117" t="b">
        <f>IF(OR(D126&gt;0),IF(BJ126=0,BN126*BQ126,0))</f>
        <v>0</v>
      </c>
      <c r="DF126" s="117" t="b">
        <f>IF(OR(D126&gt;0),IF(BJ126=0,BN126*BY126,0))</f>
        <v>0</v>
      </c>
      <c r="DG126" s="116" t="str">
        <f>BX126</f>
        <v>Client Angel</v>
      </c>
      <c r="DH126" s="76"/>
      <c r="DI126" s="120" t="s">
        <v>154</v>
      </c>
      <c r="DJ126" s="120"/>
      <c r="DK126" s="121"/>
      <c r="DL126" s="121"/>
      <c r="DM126" s="122"/>
      <c r="DN126" s="6"/>
      <c r="DO126" s="6"/>
      <c r="DP126" s="6"/>
      <c r="DQ126" s="6"/>
      <c r="DR126" s="6"/>
      <c r="DS126" s="6"/>
      <c r="DT126" s="6"/>
      <c r="DU126" s="6"/>
      <c r="DV126" s="6"/>
      <c r="DW126" s="6"/>
      <c r="DX126" s="6"/>
      <c r="DY126" s="6"/>
      <c r="DZ126" s="6"/>
    </row>
    <row r="127" spans="1:130" ht="34.5" hidden="1" customHeight="1">
      <c r="A127" s="3"/>
      <c r="B127" s="75" t="s">
        <v>108</v>
      </c>
      <c r="C127" s="75"/>
      <c r="D127" s="75"/>
      <c r="E127" s="76"/>
      <c r="F127" s="148"/>
      <c r="G127" s="79" t="s">
        <v>414</v>
      </c>
      <c r="H127" s="79" t="s">
        <v>841</v>
      </c>
      <c r="I127" s="147" t="s">
        <v>842</v>
      </c>
      <c r="J127" s="155" t="str">
        <f>CONCATENATE(G127," ",H127)</f>
        <v>Barbara Bertoldo</v>
      </c>
      <c r="K127" s="156"/>
      <c r="L127" s="157"/>
      <c r="M127" s="83" t="s">
        <v>843</v>
      </c>
      <c r="N127" s="84" t="s">
        <v>844</v>
      </c>
      <c r="O127" s="85"/>
      <c r="P127" s="86"/>
      <c r="Q127" s="86"/>
      <c r="R127" s="86"/>
      <c r="S127" s="86"/>
      <c r="T127" s="86"/>
      <c r="U127" s="86"/>
      <c r="V127" s="86"/>
      <c r="W127" s="86"/>
      <c r="X127" s="86"/>
      <c r="Y127" s="87"/>
      <c r="Z127" s="86"/>
      <c r="AA127" s="86"/>
      <c r="AB127" s="86"/>
      <c r="AC127" s="86"/>
      <c r="AD127" s="86" t="s">
        <v>845</v>
      </c>
      <c r="AE127" s="88">
        <f>L127</f>
        <v>0</v>
      </c>
      <c r="AF127" s="89"/>
      <c r="AG127" s="75"/>
      <c r="AH127" s="75"/>
      <c r="AI127" s="89"/>
      <c r="AJ127" s="75"/>
      <c r="AK127" s="75"/>
      <c r="AL127" s="75"/>
      <c r="AM127" s="89"/>
      <c r="AN127" s="90"/>
      <c r="AO127" s="90"/>
      <c r="AP127" s="90"/>
      <c r="AQ127" s="89"/>
      <c r="AR127" s="75"/>
      <c r="AS127" s="75"/>
      <c r="AT127" s="75"/>
      <c r="AU127" s="89"/>
      <c r="AV127" s="75" t="s">
        <v>115</v>
      </c>
      <c r="AW127" s="75" t="s">
        <v>115</v>
      </c>
      <c r="AX127" s="75" t="s">
        <v>115</v>
      </c>
      <c r="AY127" s="89"/>
      <c r="AZ127" s="121"/>
      <c r="BA127" s="121"/>
      <c r="BB127" s="121"/>
      <c r="BC127" s="89"/>
      <c r="BD127" s="121"/>
      <c r="BE127" s="121"/>
      <c r="BF127" s="121"/>
      <c r="BG127" s="89"/>
      <c r="BH127" s="92">
        <f>CF127+CI127+CL127+CO127+CR127</f>
        <v>2797</v>
      </c>
      <c r="BI127" s="92">
        <f>CH127+CK127+CN127+CQ127+CT127</f>
        <v>2797</v>
      </c>
      <c r="BJ127" s="92">
        <f>BH127-BI127</f>
        <v>0</v>
      </c>
      <c r="BK127" s="93"/>
      <c r="BL127" s="94"/>
      <c r="BM127" s="95">
        <v>2797</v>
      </c>
      <c r="BN127" s="96"/>
      <c r="BO127" s="97"/>
      <c r="BP127" s="80" t="s">
        <v>117</v>
      </c>
      <c r="BQ127" s="98">
        <v>0</v>
      </c>
      <c r="BR127" s="99"/>
      <c r="BS127" s="100"/>
      <c r="BT127" s="101">
        <f>BM127*BQ127</f>
        <v>0</v>
      </c>
      <c r="BU127" s="102">
        <f>BN127*BQ127</f>
        <v>0</v>
      </c>
      <c r="BV127" s="103">
        <f>BO127*BQ127</f>
        <v>0</v>
      </c>
      <c r="BW127" s="104" t="s">
        <v>118</v>
      </c>
      <c r="BX127" s="105" t="s">
        <v>152</v>
      </c>
      <c r="BY127" s="98">
        <v>0.05</v>
      </c>
      <c r="BZ127" s="99"/>
      <c r="CA127" s="100"/>
      <c r="CB127" s="101">
        <f>BM127*BY127</f>
        <v>139.85</v>
      </c>
      <c r="CC127" s="106">
        <f>BN127*BY127</f>
        <v>0</v>
      </c>
      <c r="CD127" s="107">
        <f>BO127*BY127</f>
        <v>0</v>
      </c>
      <c r="CE127" s="90" t="s">
        <v>120</v>
      </c>
      <c r="CF127" s="108">
        <v>2797</v>
      </c>
      <c r="CG127" s="109">
        <v>45019</v>
      </c>
      <c r="CH127" s="108">
        <v>2797</v>
      </c>
      <c r="CI127" s="108"/>
      <c r="CJ127" s="109"/>
      <c r="CK127" s="111"/>
      <c r="CL127" s="111"/>
      <c r="CM127" s="109"/>
      <c r="CN127" s="111"/>
      <c r="CO127" s="111"/>
      <c r="CP127" s="111"/>
      <c r="CQ127" s="111"/>
      <c r="CR127" s="111"/>
      <c r="CS127" s="111"/>
      <c r="CT127" s="111"/>
      <c r="CU127" s="90">
        <v>1</v>
      </c>
      <c r="CV127" s="112" t="s">
        <v>121</v>
      </c>
      <c r="CW127" s="112"/>
      <c r="CX127" s="113"/>
      <c r="CY127" s="90" t="s">
        <v>122</v>
      </c>
      <c r="CZ127" s="90"/>
      <c r="DA127" s="125" t="s">
        <v>846</v>
      </c>
      <c r="DB127" s="126" t="str">
        <f>PROPER(N127)</f>
        <v>Simba Paper Design</v>
      </c>
      <c r="DC127" s="191" t="s">
        <v>847</v>
      </c>
      <c r="DD127" s="116" t="str">
        <f>BP127</f>
        <v>blackship</v>
      </c>
      <c r="DE127" s="117" t="b">
        <f>IF(OR(D127&gt;0),IF(BJ127=0,BN127*BQ127,0))</f>
        <v>0</v>
      </c>
      <c r="DF127" s="117" t="b">
        <f>IF(OR(D127&gt;0),IF(BJ127=0,BN127*BY127,0))</f>
        <v>0</v>
      </c>
      <c r="DG127" s="118" t="str">
        <f>BX127</f>
        <v>Client Angel</v>
      </c>
      <c r="DH127" s="76"/>
      <c r="DI127" s="120" t="s">
        <v>154</v>
      </c>
      <c r="DJ127" s="120"/>
      <c r="DK127" s="121"/>
      <c r="DL127" s="121"/>
      <c r="DM127" s="122">
        <v>1</v>
      </c>
      <c r="DN127" s="6"/>
      <c r="DO127" s="6"/>
      <c r="DP127" s="6"/>
      <c r="DQ127" s="6"/>
      <c r="DR127" s="6"/>
      <c r="DS127" s="6"/>
      <c r="DT127" s="6"/>
      <c r="DU127" s="6"/>
      <c r="DV127" s="6"/>
      <c r="DW127" s="6"/>
      <c r="DX127" s="6"/>
      <c r="DY127" s="6"/>
      <c r="DZ127" s="6"/>
    </row>
    <row r="128" spans="1:130" ht="34.5" hidden="1" customHeight="1">
      <c r="A128" s="228"/>
      <c r="B128" s="75" t="s">
        <v>1359</v>
      </c>
      <c r="C128" s="90"/>
      <c r="D128" s="75">
        <v>1</v>
      </c>
      <c r="E128" s="76">
        <v>1</v>
      </c>
      <c r="F128" s="75"/>
      <c r="G128" s="400" t="s">
        <v>329</v>
      </c>
      <c r="H128" s="400" t="s">
        <v>2207</v>
      </c>
      <c r="I128" s="113" t="s">
        <v>2208</v>
      </c>
      <c r="J128" s="121" t="str">
        <f>CONCATENATE(G128," ",H128)</f>
        <v>Diego Trini</v>
      </c>
      <c r="K128" s="156">
        <v>3384555964</v>
      </c>
      <c r="L128" s="156"/>
      <c r="M128" s="1886" t="s">
        <v>702</v>
      </c>
      <c r="N128" s="84" t="s">
        <v>2196</v>
      </c>
      <c r="O128" s="1923"/>
      <c r="P128" s="160"/>
      <c r="Q128" s="160"/>
      <c r="R128" s="403"/>
      <c r="S128" s="160"/>
      <c r="T128" s="160"/>
      <c r="U128" s="160"/>
      <c r="V128" s="160"/>
      <c r="W128" s="160"/>
      <c r="X128" s="131"/>
      <c r="Y128" s="160"/>
      <c r="Z128" s="160"/>
      <c r="AA128" s="160"/>
      <c r="AB128" s="37"/>
      <c r="AC128" s="131"/>
      <c r="AD128" s="121" t="s">
        <v>2197</v>
      </c>
      <c r="AE128" s="88"/>
      <c r="AF128" s="1966"/>
      <c r="AG128" s="1970"/>
      <c r="AH128" s="1970"/>
      <c r="AI128" s="1966"/>
      <c r="AJ128" s="90"/>
      <c r="AK128" s="90"/>
      <c r="AL128" s="90"/>
      <c r="AM128" s="89"/>
      <c r="AN128" s="90"/>
      <c r="AO128" s="90"/>
      <c r="AP128" s="90"/>
      <c r="AQ128" s="89"/>
      <c r="AR128" s="75"/>
      <c r="AS128" s="75"/>
      <c r="AT128" s="75"/>
      <c r="AU128" s="89"/>
      <c r="AV128" s="75"/>
      <c r="AW128" s="75"/>
      <c r="AX128" s="75"/>
      <c r="AY128" s="89"/>
      <c r="AZ128" s="121" t="s">
        <v>115</v>
      </c>
      <c r="BA128" s="121" t="s">
        <v>115</v>
      </c>
      <c r="BB128" s="2002" t="s">
        <v>115</v>
      </c>
      <c r="BC128" s="89"/>
      <c r="BD128" s="121"/>
      <c r="BE128" s="121"/>
      <c r="BF128" s="121"/>
      <c r="BG128" s="89"/>
      <c r="BH128" s="92">
        <f>CF128+CI128+CL128+CO128+CR128</f>
        <v>2597</v>
      </c>
      <c r="BI128" s="92">
        <f>CH128+CK128+CN128+CQ128+CT128</f>
        <v>2597</v>
      </c>
      <c r="BJ128" s="92">
        <f>BH128-BI128</f>
        <v>0</v>
      </c>
      <c r="BK128" s="271"/>
      <c r="BL128" s="2014"/>
      <c r="BM128" s="95"/>
      <c r="BN128" s="127">
        <v>2597</v>
      </c>
      <c r="BO128" s="128"/>
      <c r="BP128" s="2037" t="s">
        <v>246</v>
      </c>
      <c r="BQ128" s="98">
        <v>0.15</v>
      </c>
      <c r="BR128" s="108"/>
      <c r="BS128" s="276">
        <f>BL128*BQ128</f>
        <v>0</v>
      </c>
      <c r="BT128" s="101">
        <f>BM128*BQ128</f>
        <v>0</v>
      </c>
      <c r="BU128" s="102">
        <f>BN128*BQ128</f>
        <v>389.55</v>
      </c>
      <c r="BV128" s="103">
        <f>BO128*BQ128</f>
        <v>0</v>
      </c>
      <c r="BW128" s="84" t="s">
        <v>185</v>
      </c>
      <c r="BX128" s="105" t="s">
        <v>246</v>
      </c>
      <c r="BY128" s="145">
        <v>0.05</v>
      </c>
      <c r="BZ128" s="108"/>
      <c r="CA128" s="276">
        <f>BL128*BY128</f>
        <v>0</v>
      </c>
      <c r="CB128" s="101">
        <f>BM128*BY128</f>
        <v>0</v>
      </c>
      <c r="CC128" s="106">
        <f>BN128*BY128</f>
        <v>129.85</v>
      </c>
      <c r="CD128" s="107">
        <f>BO128*BY128</f>
        <v>0</v>
      </c>
      <c r="CE128" s="84" t="s">
        <v>185</v>
      </c>
      <c r="CF128" s="108">
        <v>2597</v>
      </c>
      <c r="CG128" s="109">
        <v>45204</v>
      </c>
      <c r="CH128" s="108">
        <v>2597</v>
      </c>
      <c r="CI128" s="2106"/>
      <c r="CJ128" s="184"/>
      <c r="CK128" s="2106"/>
      <c r="CL128" s="2106"/>
      <c r="CM128" s="184"/>
      <c r="CN128" s="2106"/>
      <c r="CO128" s="130"/>
      <c r="CP128" s="130"/>
      <c r="CQ128" s="130"/>
      <c r="CR128" s="130"/>
      <c r="CS128" s="130"/>
      <c r="CT128" s="130"/>
      <c r="CU128" s="90">
        <v>1</v>
      </c>
      <c r="CV128" s="112"/>
      <c r="CW128" s="491"/>
      <c r="CX128" s="438"/>
      <c r="CY128" s="90"/>
      <c r="CZ128" s="75"/>
      <c r="DA128" s="2149" t="s">
        <v>2198</v>
      </c>
      <c r="DB128" s="115" t="str">
        <f>PROPER(N128)</f>
        <v>Com.Pac.</v>
      </c>
      <c r="DC128" s="2162" t="s">
        <v>1398</v>
      </c>
      <c r="DD128" s="116" t="str">
        <f>BP128</f>
        <v>Marco</v>
      </c>
      <c r="DE128" s="117">
        <f>IF(OR(D128&gt;0),IF(BJ128=0,BN128*BQ128,0))</f>
        <v>389.55</v>
      </c>
      <c r="DF128" s="117">
        <f>IF(OR(D128&gt;0),IF(BJ128=0,BN128*BY128,0))</f>
        <v>129.85</v>
      </c>
      <c r="DG128" s="118" t="str">
        <f>BX128</f>
        <v>Marco</v>
      </c>
      <c r="DH128" s="76"/>
      <c r="DI128" s="120" t="s">
        <v>126</v>
      </c>
      <c r="DJ128" s="120"/>
      <c r="DK128" s="74" t="s">
        <v>1366</v>
      </c>
      <c r="DL128" s="74" t="s">
        <v>1366</v>
      </c>
      <c r="DM128" s="122">
        <v>1</v>
      </c>
      <c r="DN128" s="6"/>
      <c r="DO128" s="6"/>
      <c r="DP128" s="6"/>
      <c r="DQ128" s="6"/>
      <c r="DR128" s="6"/>
      <c r="DS128" s="6"/>
      <c r="DT128" s="6"/>
      <c r="DU128" s="6"/>
      <c r="DV128" s="6"/>
      <c r="DW128" s="6"/>
      <c r="DX128" s="6"/>
      <c r="DY128" s="6"/>
      <c r="DZ128" s="6"/>
    </row>
    <row r="129" spans="1:130" ht="34.5" hidden="1" customHeight="1">
      <c r="A129" s="3"/>
      <c r="B129" s="75" t="s">
        <v>108</v>
      </c>
      <c r="C129" s="75"/>
      <c r="D129" s="75">
        <v>1</v>
      </c>
      <c r="E129" s="76">
        <v>1</v>
      </c>
      <c r="F129" s="196"/>
      <c r="G129" s="79" t="s">
        <v>343</v>
      </c>
      <c r="H129" s="79" t="s">
        <v>351</v>
      </c>
      <c r="I129" s="80" t="s">
        <v>352</v>
      </c>
      <c r="J129" s="121" t="str">
        <f>CONCATENATE(G129," ",H129)</f>
        <v>Domenico Dipinto</v>
      </c>
      <c r="K129" s="156" t="s">
        <v>353</v>
      </c>
      <c r="L129" s="157" t="s">
        <v>354</v>
      </c>
      <c r="M129" s="137" t="s">
        <v>355</v>
      </c>
      <c r="N129" s="84" t="s">
        <v>356</v>
      </c>
      <c r="O129" s="85"/>
      <c r="P129" s="86"/>
      <c r="Q129" s="86"/>
      <c r="R129" s="86"/>
      <c r="S129" s="86"/>
      <c r="T129" s="86"/>
      <c r="U129" s="86"/>
      <c r="V129" s="86"/>
      <c r="W129" s="86"/>
      <c r="X129" s="86"/>
      <c r="Y129" s="87"/>
      <c r="Z129" s="86"/>
      <c r="AA129" s="86"/>
      <c r="AB129" s="86"/>
      <c r="AC129" s="86"/>
      <c r="AD129" s="86" t="s">
        <v>357</v>
      </c>
      <c r="AE129" s="88" t="str">
        <f>L129</f>
        <v>CONFERMATO PRESENZA AL MIV 25/9 ORE 14,12</v>
      </c>
      <c r="AF129" s="89"/>
      <c r="AG129" s="75"/>
      <c r="AH129" s="75"/>
      <c r="AI129" s="89"/>
      <c r="AJ129" s="75"/>
      <c r="AK129" s="75"/>
      <c r="AL129" s="75"/>
      <c r="AM129" s="89"/>
      <c r="AN129" s="90"/>
      <c r="AO129" s="90"/>
      <c r="AP129" s="90"/>
      <c r="AQ129" s="89"/>
      <c r="AR129" s="75"/>
      <c r="AS129" s="75"/>
      <c r="AT129" s="75"/>
      <c r="AU129" s="89"/>
      <c r="AV129" s="75" t="s">
        <v>115</v>
      </c>
      <c r="AW129" s="75" t="s">
        <v>115</v>
      </c>
      <c r="AX129" s="1985" t="s">
        <v>115</v>
      </c>
      <c r="AY129" s="89"/>
      <c r="AZ129" s="154" t="s">
        <v>116</v>
      </c>
      <c r="BA129" s="121" t="s">
        <v>116</v>
      </c>
      <c r="BB129" s="91" t="s">
        <v>116</v>
      </c>
      <c r="BC129" s="89"/>
      <c r="BD129" s="121"/>
      <c r="BE129" s="121"/>
      <c r="BF129" s="121"/>
      <c r="BG129" s="89"/>
      <c r="BH129" s="92"/>
      <c r="BI129" s="92"/>
      <c r="BJ129" s="92"/>
      <c r="BK129" s="93"/>
      <c r="BL129" s="94"/>
      <c r="BM129" s="95">
        <v>2997</v>
      </c>
      <c r="BN129" s="96"/>
      <c r="BO129" s="182"/>
      <c r="BP129" s="80" t="s">
        <v>246</v>
      </c>
      <c r="BQ129" s="98">
        <v>0.15</v>
      </c>
      <c r="BR129" s="99"/>
      <c r="BS129" s="100"/>
      <c r="BT129" s="101">
        <f>BM129*BQ129</f>
        <v>449.55</v>
      </c>
      <c r="BU129" s="102">
        <f>BN129*BQ129</f>
        <v>0</v>
      </c>
      <c r="BV129" s="103">
        <f>BO129*BQ129</f>
        <v>0</v>
      </c>
      <c r="BW129" s="80" t="s">
        <v>174</v>
      </c>
      <c r="BX129" s="105" t="s">
        <v>246</v>
      </c>
      <c r="BY129" s="98">
        <v>0.05</v>
      </c>
      <c r="BZ129" s="99"/>
      <c r="CA129" s="100"/>
      <c r="CB129" s="101">
        <f>BM129*BY129</f>
        <v>149.85</v>
      </c>
      <c r="CC129" s="106">
        <f>BN129*BY129</f>
        <v>0</v>
      </c>
      <c r="CD129" s="107">
        <f>BO129*BY129</f>
        <v>0</v>
      </c>
      <c r="CE129" s="90" t="s">
        <v>358</v>
      </c>
      <c r="CF129" s="108">
        <v>2997</v>
      </c>
      <c r="CG129" s="109">
        <v>45009</v>
      </c>
      <c r="CH129" s="110">
        <v>2997</v>
      </c>
      <c r="CI129" s="108"/>
      <c r="CJ129" s="109"/>
      <c r="CK129" s="111"/>
      <c r="CL129" s="111"/>
      <c r="CM129" s="109"/>
      <c r="CN129" s="111"/>
      <c r="CO129" s="111"/>
      <c r="CP129" s="111"/>
      <c r="CQ129" s="111"/>
      <c r="CR129" s="111"/>
      <c r="CS129" s="111"/>
      <c r="CT129" s="111"/>
      <c r="CU129" s="90">
        <v>1</v>
      </c>
      <c r="CV129" s="112" t="s">
        <v>121</v>
      </c>
      <c r="CW129" s="112"/>
      <c r="CX129" s="113"/>
      <c r="CY129" s="90" t="s">
        <v>122</v>
      </c>
      <c r="CZ129" s="90"/>
      <c r="DA129" s="151" t="s">
        <v>359</v>
      </c>
      <c r="DB129" s="115" t="str">
        <f>PROPER(N129)</f>
        <v>Dipintosucci</v>
      </c>
      <c r="DC129" s="116" t="s">
        <v>360</v>
      </c>
      <c r="DD129" s="116" t="str">
        <f>BP129</f>
        <v>Marco</v>
      </c>
      <c r="DE129" s="117">
        <f>IF(OR(D129&gt;0),IF(BJ129=0,BN129*BQ129,0))</f>
        <v>0</v>
      </c>
      <c r="DF129" s="117">
        <f>IF(OR(D129&gt;0),IF(BJ129=0,BN129*BY129,0))</f>
        <v>0</v>
      </c>
      <c r="DG129" s="118" t="str">
        <f>BX129</f>
        <v>Marco</v>
      </c>
      <c r="DH129" s="76"/>
      <c r="DI129" s="120" t="s">
        <v>126</v>
      </c>
      <c r="DJ129" s="120"/>
      <c r="DK129" s="121"/>
      <c r="DL129" s="121"/>
      <c r="DM129" s="122"/>
      <c r="DN129" s="6"/>
      <c r="DO129" s="6"/>
      <c r="DP129" s="6"/>
      <c r="DQ129" s="6"/>
      <c r="DR129" s="6"/>
      <c r="DS129" s="6"/>
      <c r="DT129" s="6"/>
      <c r="DU129" s="6"/>
      <c r="DV129" s="6"/>
      <c r="DW129" s="6"/>
      <c r="DX129" s="6"/>
      <c r="DY129" s="6"/>
      <c r="DZ129" s="6"/>
    </row>
    <row r="130" spans="1:130" ht="34.5" hidden="1" customHeight="1">
      <c r="A130" s="3"/>
      <c r="B130" s="129" t="s">
        <v>108</v>
      </c>
      <c r="C130" s="75"/>
      <c r="D130" s="75"/>
      <c r="E130" s="76"/>
      <c r="F130" s="75"/>
      <c r="G130" s="79" t="s">
        <v>857</v>
      </c>
      <c r="H130" s="79" t="s">
        <v>858</v>
      </c>
      <c r="I130" s="80" t="s">
        <v>859</v>
      </c>
      <c r="J130" s="155" t="str">
        <f>CONCATENATE(G130," ",H130)</f>
        <v>Simona Giannini</v>
      </c>
      <c r="K130" s="156">
        <v>3914944306</v>
      </c>
      <c r="L130" s="160" t="s">
        <v>625</v>
      </c>
      <c r="M130" s="83" t="s">
        <v>860</v>
      </c>
      <c r="N130" s="84" t="s">
        <v>229</v>
      </c>
      <c r="O130" s="85"/>
      <c r="P130" s="86"/>
      <c r="Q130" s="86"/>
      <c r="R130" s="86"/>
      <c r="S130" s="86"/>
      <c r="T130" s="86"/>
      <c r="U130" s="86"/>
      <c r="V130" s="86"/>
      <c r="W130" s="86"/>
      <c r="X130" s="86"/>
      <c r="Y130" s="87"/>
      <c r="Z130" s="86"/>
      <c r="AA130" s="86"/>
      <c r="AB130" s="86"/>
      <c r="AC130" s="86"/>
      <c r="AD130" s="86"/>
      <c r="AE130" s="138" t="str">
        <f>L130</f>
        <v>opzione di pagamento e date da confermare</v>
      </c>
      <c r="AF130" s="89"/>
      <c r="AG130" s="75"/>
      <c r="AH130" s="75"/>
      <c r="AI130" s="89"/>
      <c r="AJ130" s="75"/>
      <c r="AK130" s="75"/>
      <c r="AL130" s="75"/>
      <c r="AM130" s="89"/>
      <c r="AN130" s="90"/>
      <c r="AO130" s="90"/>
      <c r="AP130" s="90"/>
      <c r="AQ130" s="89"/>
      <c r="AR130" s="75"/>
      <c r="AS130" s="75"/>
      <c r="AT130" s="75"/>
      <c r="AU130" s="89"/>
      <c r="AV130" s="75"/>
      <c r="AW130" s="75"/>
      <c r="AX130" s="75"/>
      <c r="AY130" s="89"/>
      <c r="AZ130" s="121"/>
      <c r="BA130" s="121"/>
      <c r="BB130" s="121"/>
      <c r="BC130" s="89"/>
      <c r="BD130" s="121" t="s">
        <v>151</v>
      </c>
      <c r="BE130" s="121" t="s">
        <v>151</v>
      </c>
      <c r="BF130" s="121" t="s">
        <v>151</v>
      </c>
      <c r="BG130" s="89"/>
      <c r="BH130" s="92">
        <f>CF130+CI130+CL130+CO130+CR130</f>
        <v>0</v>
      </c>
      <c r="BI130" s="92">
        <f>CH130+CK130+CN130+CQ130+CT130</f>
        <v>0</v>
      </c>
      <c r="BJ130" s="92">
        <f>BH130-BI130</f>
        <v>0</v>
      </c>
      <c r="BK130" s="93"/>
      <c r="BL130" s="94"/>
      <c r="BM130" s="95"/>
      <c r="BN130" s="96"/>
      <c r="BO130" s="97"/>
      <c r="BP130" s="80" t="s">
        <v>117</v>
      </c>
      <c r="BQ130" s="98">
        <v>0</v>
      </c>
      <c r="BR130" s="99"/>
      <c r="BS130" s="100"/>
      <c r="BT130" s="101">
        <f>BM130*BQ130</f>
        <v>0</v>
      </c>
      <c r="BU130" s="102">
        <f>BN130*BQ130</f>
        <v>0</v>
      </c>
      <c r="BV130" s="103">
        <f>BO130*BQ130</f>
        <v>0</v>
      </c>
      <c r="BW130" s="80" t="s">
        <v>118</v>
      </c>
      <c r="BX130" s="105" t="s">
        <v>152</v>
      </c>
      <c r="BY130" s="98">
        <v>0.05</v>
      </c>
      <c r="BZ130" s="99"/>
      <c r="CA130" s="100"/>
      <c r="CB130" s="101">
        <f>BM130*BY130</f>
        <v>0</v>
      </c>
      <c r="CC130" s="106">
        <f>BN130*BY130</f>
        <v>0</v>
      </c>
      <c r="CD130" s="107">
        <f>BO130*BY130</f>
        <v>0</v>
      </c>
      <c r="CE130" s="90"/>
      <c r="CF130" s="108"/>
      <c r="CG130" s="109"/>
      <c r="CH130" s="110"/>
      <c r="CI130" s="108"/>
      <c r="CJ130" s="109"/>
      <c r="CK130" s="111"/>
      <c r="CL130" s="111"/>
      <c r="CM130" s="109"/>
      <c r="CN130" s="111"/>
      <c r="CO130" s="111"/>
      <c r="CP130" s="111"/>
      <c r="CQ130" s="111"/>
      <c r="CR130" s="111"/>
      <c r="CS130" s="111"/>
      <c r="CT130" s="111"/>
      <c r="CU130" s="90">
        <v>1</v>
      </c>
      <c r="CV130" s="112" t="s">
        <v>121</v>
      </c>
      <c r="CW130" s="112"/>
      <c r="CX130" s="113"/>
      <c r="CY130" s="90" t="s">
        <v>122</v>
      </c>
      <c r="CZ130" s="90"/>
      <c r="DA130" s="80"/>
      <c r="DB130" s="115" t="str">
        <f>PROPER(N130)</f>
        <v>Eurocomponents</v>
      </c>
      <c r="DC130" s="116"/>
      <c r="DD130" s="116" t="str">
        <f>BP130</f>
        <v>blackship</v>
      </c>
      <c r="DE130" s="117" t="b">
        <f>IF(OR(D130&gt;0),IF(BJ130=0,BN130*BQ130,0))</f>
        <v>0</v>
      </c>
      <c r="DF130" s="117" t="b">
        <f>IF(OR(D130&gt;0),IF(BJ130=0,BN130*BY130,0))</f>
        <v>0</v>
      </c>
      <c r="DG130" s="116" t="str">
        <f>BX130</f>
        <v>Client Angel</v>
      </c>
      <c r="DH130" s="76"/>
      <c r="DI130" s="120" t="s">
        <v>154</v>
      </c>
      <c r="DJ130" s="120"/>
      <c r="DK130" s="121"/>
      <c r="DL130" s="121"/>
      <c r="DM130" s="122"/>
      <c r="DN130" s="6"/>
      <c r="DO130" s="6"/>
      <c r="DP130" s="6"/>
      <c r="DQ130" s="6"/>
      <c r="DR130" s="6"/>
      <c r="DS130" s="6"/>
      <c r="DT130" s="6"/>
      <c r="DU130" s="6"/>
      <c r="DV130" s="6"/>
      <c r="DW130" s="6"/>
      <c r="DX130" s="6"/>
      <c r="DY130" s="6"/>
      <c r="DZ130" s="6"/>
    </row>
    <row r="131" spans="1:130" ht="34.5" hidden="1" customHeight="1">
      <c r="A131" s="3"/>
      <c r="B131" s="75" t="s">
        <v>108</v>
      </c>
      <c r="C131" s="75"/>
      <c r="D131" s="75"/>
      <c r="E131" s="76"/>
      <c r="F131" s="75"/>
      <c r="G131" s="79" t="s">
        <v>861</v>
      </c>
      <c r="H131" s="79" t="s">
        <v>862</v>
      </c>
      <c r="I131" s="80" t="s">
        <v>863</v>
      </c>
      <c r="J131" s="155" t="str">
        <f>CONCATENATE(G131," ",H131)</f>
        <v>Simone Sottini</v>
      </c>
      <c r="K131" s="156">
        <v>3312941108</v>
      </c>
      <c r="L131" s="157"/>
      <c r="M131" s="83"/>
      <c r="N131" s="84" t="s">
        <v>864</v>
      </c>
      <c r="O131" s="85"/>
      <c r="P131" s="86"/>
      <c r="Q131" s="86"/>
      <c r="R131" s="86"/>
      <c r="S131" s="86"/>
      <c r="T131" s="86"/>
      <c r="U131" s="86"/>
      <c r="V131" s="86"/>
      <c r="W131" s="86"/>
      <c r="X131" s="86"/>
      <c r="Y131" s="87"/>
      <c r="Z131" s="86"/>
      <c r="AA131" s="86"/>
      <c r="AB131" s="86"/>
      <c r="AC131" s="86"/>
      <c r="AD131" s="86" t="s">
        <v>118</v>
      </c>
      <c r="AE131" s="88">
        <f>L131</f>
        <v>0</v>
      </c>
      <c r="AF131" s="89"/>
      <c r="AG131" s="75"/>
      <c r="AH131" s="75"/>
      <c r="AI131" s="89"/>
      <c r="AJ131" s="75"/>
      <c r="AK131" s="75"/>
      <c r="AL131" s="75"/>
      <c r="AM131" s="89"/>
      <c r="AN131" s="90"/>
      <c r="AO131" s="90"/>
      <c r="AP131" s="90"/>
      <c r="AQ131" s="89"/>
      <c r="AR131" s="75"/>
      <c r="AS131" s="75"/>
      <c r="AT131" s="75"/>
      <c r="AU131" s="89"/>
      <c r="AV131" s="129" t="s">
        <v>165</v>
      </c>
      <c r="AW131" s="129" t="s">
        <v>165</v>
      </c>
      <c r="AX131" s="129" t="s">
        <v>165</v>
      </c>
      <c r="AY131" s="89"/>
      <c r="AZ131" s="121"/>
      <c r="BA131" s="121"/>
      <c r="BB131" s="121"/>
      <c r="BC131" s="89"/>
      <c r="BD131" s="121"/>
      <c r="BE131" s="121"/>
      <c r="BF131" s="121"/>
      <c r="BG131" s="89"/>
      <c r="BH131" s="92">
        <f>CF131+CI131+CL131+CO131+CR131</f>
        <v>0</v>
      </c>
      <c r="BI131" s="92">
        <f>CH131+CK131+CN131+CQ131+CT131</f>
        <v>0</v>
      </c>
      <c r="BJ131" s="92">
        <f>BH131-BI131</f>
        <v>0</v>
      </c>
      <c r="BK131" s="93"/>
      <c r="BL131" s="94"/>
      <c r="BM131" s="95"/>
      <c r="BN131" s="96"/>
      <c r="BO131" s="97"/>
      <c r="BP131" s="80" t="s">
        <v>184</v>
      </c>
      <c r="BQ131" s="98">
        <v>0.15</v>
      </c>
      <c r="BR131" s="99"/>
      <c r="BS131" s="100"/>
      <c r="BT131" s="101">
        <f>BM131*BQ131</f>
        <v>0</v>
      </c>
      <c r="BU131" s="102">
        <f>BN131*BQ131</f>
        <v>0</v>
      </c>
      <c r="BV131" s="103">
        <f>BO131*BQ131</f>
        <v>0</v>
      </c>
      <c r="BW131" s="80"/>
      <c r="BX131" s="105" t="s">
        <v>184</v>
      </c>
      <c r="BY131" s="98">
        <v>0.05</v>
      </c>
      <c r="BZ131" s="99"/>
      <c r="CA131" s="100"/>
      <c r="CB131" s="101">
        <f>BM131*BY131</f>
        <v>0</v>
      </c>
      <c r="CC131" s="106">
        <f>BN131*BY131</f>
        <v>0</v>
      </c>
      <c r="CD131" s="107">
        <f>BO131*BY131</f>
        <v>0</v>
      </c>
      <c r="CE131" s="90"/>
      <c r="CF131" s="108">
        <v>0</v>
      </c>
      <c r="CG131" s="130" t="s">
        <v>118</v>
      </c>
      <c r="CH131" s="110"/>
      <c r="CI131" s="108"/>
      <c r="CJ131" s="109"/>
      <c r="CK131" s="111"/>
      <c r="CL131" s="111"/>
      <c r="CM131" s="109"/>
      <c r="CN131" s="111"/>
      <c r="CO131" s="111"/>
      <c r="CP131" s="111"/>
      <c r="CQ131" s="111"/>
      <c r="CR131" s="111"/>
      <c r="CS131" s="111"/>
      <c r="CT131" s="111"/>
      <c r="CU131" s="90"/>
      <c r="CV131" s="112"/>
      <c r="CW131" s="112"/>
      <c r="CX131" s="113"/>
      <c r="CY131" s="90" t="s">
        <v>122</v>
      </c>
      <c r="CZ131" s="90"/>
      <c r="DA131" s="80"/>
      <c r="DB131" s="115" t="str">
        <f>PROPER(N131)</f>
        <v>Pronto Abitare</v>
      </c>
      <c r="DC131" s="116"/>
      <c r="DD131" s="116" t="str">
        <f>BP131</f>
        <v>Cristian A</v>
      </c>
      <c r="DE131" s="117" t="b">
        <f>IF(OR(D131&gt;0),IF(BJ131=0,BN131*BQ131,0))</f>
        <v>0</v>
      </c>
      <c r="DF131" s="117" t="b">
        <f>IF(OR(D131&gt;0),IF(BJ131=0,BN131*BY131,0))</f>
        <v>0</v>
      </c>
      <c r="DG131" s="116" t="str">
        <f>BX131</f>
        <v>Cristian A</v>
      </c>
      <c r="DH131" s="76"/>
      <c r="DI131" s="120" t="s">
        <v>154</v>
      </c>
      <c r="DJ131" s="120"/>
      <c r="DK131" s="121"/>
      <c r="DL131" s="121"/>
      <c r="DM131" s="122"/>
      <c r="DN131" s="6"/>
      <c r="DO131" s="6"/>
      <c r="DP131" s="6"/>
      <c r="DQ131" s="6"/>
      <c r="DR131" s="6"/>
      <c r="DS131" s="6"/>
      <c r="DT131" s="6"/>
      <c r="DU131" s="6"/>
      <c r="DV131" s="6"/>
      <c r="DW131" s="6"/>
      <c r="DX131" s="6"/>
      <c r="DY131" s="6"/>
      <c r="DZ131" s="6"/>
    </row>
    <row r="132" spans="1:130" ht="34.5" hidden="1" customHeight="1">
      <c r="A132" s="3"/>
      <c r="B132" s="75" t="s">
        <v>108</v>
      </c>
      <c r="C132" s="75"/>
      <c r="D132" s="75"/>
      <c r="E132" s="76"/>
      <c r="F132" s="75"/>
      <c r="G132" s="79" t="s">
        <v>343</v>
      </c>
      <c r="H132" s="79" t="s">
        <v>361</v>
      </c>
      <c r="I132" s="80" t="s">
        <v>362</v>
      </c>
      <c r="J132" s="179" t="str">
        <f>CONCATENATE(G132," ",H132)</f>
        <v>Domenico Vettorello</v>
      </c>
      <c r="K132" s="156" t="s">
        <v>363</v>
      </c>
      <c r="L132" s="157"/>
      <c r="M132" s="83" t="s">
        <v>364</v>
      </c>
      <c r="N132" s="84" t="s">
        <v>365</v>
      </c>
      <c r="O132" s="85"/>
      <c r="P132" s="86"/>
      <c r="Q132" s="86"/>
      <c r="R132" s="86"/>
      <c r="S132" s="86"/>
      <c r="T132" s="86"/>
      <c r="U132" s="86"/>
      <c r="V132" s="86"/>
      <c r="W132" s="86"/>
      <c r="X132" s="86"/>
      <c r="Y132" s="87"/>
      <c r="Z132" s="86"/>
      <c r="AA132" s="86"/>
      <c r="AB132" s="86"/>
      <c r="AC132" s="86"/>
      <c r="AD132" s="86" t="s">
        <v>366</v>
      </c>
      <c r="AE132" s="88">
        <f>L132</f>
        <v>0</v>
      </c>
      <c r="AF132" s="89"/>
      <c r="AG132" s="75"/>
      <c r="AH132" s="75"/>
      <c r="AI132" s="89"/>
      <c r="AJ132" s="75"/>
      <c r="AK132" s="75"/>
      <c r="AL132" s="75"/>
      <c r="AM132" s="89"/>
      <c r="AN132" s="90"/>
      <c r="AO132" s="90"/>
      <c r="AP132" s="90"/>
      <c r="AQ132" s="89"/>
      <c r="AR132" s="75"/>
      <c r="AS132" s="75"/>
      <c r="AT132" s="75"/>
      <c r="AU132" s="89"/>
      <c r="AV132" s="75" t="s">
        <v>115</v>
      </c>
      <c r="AW132" s="75" t="s">
        <v>115</v>
      </c>
      <c r="AX132" s="75"/>
      <c r="AY132" s="89"/>
      <c r="AZ132" s="121"/>
      <c r="BA132" s="121"/>
      <c r="BB132" s="135" t="s">
        <v>115</v>
      </c>
      <c r="BC132" s="89"/>
      <c r="BD132" s="121"/>
      <c r="BE132" s="121"/>
      <c r="BF132" s="121"/>
      <c r="BG132" s="89"/>
      <c r="BH132" s="92">
        <f>CF132+CI132+CL132+CO132+CR132</f>
        <v>2997</v>
      </c>
      <c r="BI132" s="92">
        <f>CH132+CK132+CN132+CQ132+CT132</f>
        <v>2997</v>
      </c>
      <c r="BJ132" s="92">
        <f>BH132-BI132</f>
        <v>0</v>
      </c>
      <c r="BK132" s="93"/>
      <c r="BL132" s="94"/>
      <c r="BM132" s="95">
        <v>2997</v>
      </c>
      <c r="BN132" s="96"/>
      <c r="BO132" s="97"/>
      <c r="BP132" s="80" t="s">
        <v>117</v>
      </c>
      <c r="BQ132" s="98">
        <v>0</v>
      </c>
      <c r="BR132" s="99"/>
      <c r="BS132" s="100"/>
      <c r="BT132" s="101">
        <f>BM132*BQ132</f>
        <v>0</v>
      </c>
      <c r="BU132" s="102">
        <f>BN132*BQ132</f>
        <v>0</v>
      </c>
      <c r="BV132" s="103">
        <f>BO132*BQ132</f>
        <v>0</v>
      </c>
      <c r="BW132" s="104" t="s">
        <v>118</v>
      </c>
      <c r="BX132" s="105" t="s">
        <v>166</v>
      </c>
      <c r="BY132" s="98">
        <v>0.05</v>
      </c>
      <c r="BZ132" s="99"/>
      <c r="CA132" s="100"/>
      <c r="CB132" s="101">
        <f>BM132*BY132</f>
        <v>149.85</v>
      </c>
      <c r="CC132" s="106">
        <f>BN132*BY132</f>
        <v>0</v>
      </c>
      <c r="CD132" s="107">
        <f>BO132*BY132</f>
        <v>0</v>
      </c>
      <c r="CE132" s="90" t="s">
        <v>120</v>
      </c>
      <c r="CF132" s="108">
        <v>2997</v>
      </c>
      <c r="CG132" s="109">
        <v>45009</v>
      </c>
      <c r="CH132" s="110">
        <v>2997</v>
      </c>
      <c r="CI132" s="108"/>
      <c r="CJ132" s="109"/>
      <c r="CK132" s="111"/>
      <c r="CL132" s="111"/>
      <c r="CM132" s="109"/>
      <c r="CN132" s="111"/>
      <c r="CO132" s="111"/>
      <c r="CP132" s="111"/>
      <c r="CQ132" s="111"/>
      <c r="CR132" s="111"/>
      <c r="CS132" s="111"/>
      <c r="CT132" s="111"/>
      <c r="CU132" s="90">
        <v>1</v>
      </c>
      <c r="CV132" s="112" t="s">
        <v>121</v>
      </c>
      <c r="CW132" s="112"/>
      <c r="CX132" s="113"/>
      <c r="CY132" s="90" t="s">
        <v>122</v>
      </c>
      <c r="CZ132" s="90"/>
      <c r="DA132" s="1867" t="s">
        <v>367</v>
      </c>
      <c r="DB132" s="126" t="str">
        <f>PROPER(N132)</f>
        <v>Vettorello</v>
      </c>
      <c r="DC132" s="116"/>
      <c r="DD132" s="116" t="str">
        <f>BP132</f>
        <v>blackship</v>
      </c>
      <c r="DE132" s="117" t="b">
        <f>IF(OR(D132&gt;0),IF(BJ132=0,BN132*BQ132,0))</f>
        <v>0</v>
      </c>
      <c r="DF132" s="117" t="b">
        <f>IF(OR(D132&gt;0),IF(BJ132=0,BN132*BY132,0))</f>
        <v>0</v>
      </c>
      <c r="DG132" s="118" t="str">
        <f>BX132</f>
        <v>Matteo</v>
      </c>
      <c r="DH132" s="76"/>
      <c r="DI132" s="120" t="s">
        <v>126</v>
      </c>
      <c r="DJ132" s="120"/>
      <c r="DK132" s="121"/>
      <c r="DL132" s="121"/>
      <c r="DM132" s="122">
        <v>1</v>
      </c>
      <c r="DN132" s="6"/>
      <c r="DO132" s="6"/>
      <c r="DP132" s="6"/>
      <c r="DQ132" s="6"/>
      <c r="DR132" s="6"/>
      <c r="DS132" s="6"/>
      <c r="DT132" s="6"/>
      <c r="DU132" s="6"/>
      <c r="DV132" s="6"/>
      <c r="DW132" s="6"/>
      <c r="DX132" s="6"/>
      <c r="DY132" s="6"/>
      <c r="DZ132" s="6"/>
    </row>
    <row r="133" spans="1:130" ht="34.5" hidden="1" customHeight="1">
      <c r="A133" s="3"/>
      <c r="B133" s="75" t="s">
        <v>108</v>
      </c>
      <c r="C133" s="75"/>
      <c r="D133" s="75"/>
      <c r="E133" s="76"/>
      <c r="F133" s="75"/>
      <c r="G133" s="79" t="s">
        <v>392</v>
      </c>
      <c r="H133" s="79" t="s">
        <v>393</v>
      </c>
      <c r="I133" s="80" t="s">
        <v>394</v>
      </c>
      <c r="J133" s="179" t="str">
        <f>CONCATENATE(G133," ",H133)</f>
        <v>Elena Dossi</v>
      </c>
      <c r="K133" s="156">
        <v>3495537792</v>
      </c>
      <c r="L133" s="157"/>
      <c r="M133" s="83" t="s">
        <v>395</v>
      </c>
      <c r="N133" s="84" t="s">
        <v>396</v>
      </c>
      <c r="O133" s="85"/>
      <c r="P133" s="86"/>
      <c r="Q133" s="86"/>
      <c r="R133" s="86"/>
      <c r="S133" s="86"/>
      <c r="T133" s="86"/>
      <c r="U133" s="86"/>
      <c r="V133" s="86"/>
      <c r="W133" s="86"/>
      <c r="X133" s="86"/>
      <c r="Y133" s="87"/>
      <c r="Z133" s="86"/>
      <c r="AA133" s="86"/>
      <c r="AB133" s="86"/>
      <c r="AC133" s="86"/>
      <c r="AD133" s="86" t="s">
        <v>397</v>
      </c>
      <c r="AE133" s="88">
        <f>L133</f>
        <v>0</v>
      </c>
      <c r="AF133" s="89"/>
      <c r="AG133" s="75"/>
      <c r="AH133" s="75"/>
      <c r="AI133" s="89"/>
      <c r="AJ133" s="75"/>
      <c r="AK133" s="75"/>
      <c r="AL133" s="75"/>
      <c r="AM133" s="89"/>
      <c r="AN133" s="90"/>
      <c r="AO133" s="90"/>
      <c r="AP133" s="90"/>
      <c r="AQ133" s="89"/>
      <c r="AR133" s="75"/>
      <c r="AS133" s="75"/>
      <c r="AT133" s="75"/>
      <c r="AU133" s="89"/>
      <c r="AV133" s="75" t="s">
        <v>115</v>
      </c>
      <c r="AW133" s="75" t="s">
        <v>115</v>
      </c>
      <c r="AX133" s="75"/>
      <c r="AY133" s="89"/>
      <c r="AZ133" s="121"/>
      <c r="BA133" s="121"/>
      <c r="BB133" s="121" t="s">
        <v>115</v>
      </c>
      <c r="BC133" s="89"/>
      <c r="BD133" s="121"/>
      <c r="BE133" s="121"/>
      <c r="BF133" s="121"/>
      <c r="BG133" s="89"/>
      <c r="BH133" s="92">
        <f>CF133+CI133+CL133+CO133+CR133</f>
        <v>3497.0000000000005</v>
      </c>
      <c r="BI133" s="92">
        <f>CH133+CK133+CN133+CQ133+CT133</f>
        <v>3497.0000000000005</v>
      </c>
      <c r="BJ133" s="92">
        <f>BH133-BI133</f>
        <v>0</v>
      </c>
      <c r="BK133" s="93"/>
      <c r="BL133" s="94"/>
      <c r="BM133" s="95">
        <v>3497</v>
      </c>
      <c r="BN133" s="2031"/>
      <c r="BO133" s="2036"/>
      <c r="BP133" s="80" t="s">
        <v>398</v>
      </c>
      <c r="BQ133" s="98">
        <v>0.15</v>
      </c>
      <c r="BR133" s="99"/>
      <c r="BS133" s="100"/>
      <c r="BT133" s="101">
        <f>BM133*BQ133</f>
        <v>524.54999999999995</v>
      </c>
      <c r="BU133" s="102">
        <f>BN133*BQ133</f>
        <v>0</v>
      </c>
      <c r="BV133" s="103">
        <f>BO133*BQ133</f>
        <v>0</v>
      </c>
      <c r="BW133" s="80" t="s">
        <v>174</v>
      </c>
      <c r="BX133" s="105" t="s">
        <v>398</v>
      </c>
      <c r="BY133" s="98">
        <v>0.05</v>
      </c>
      <c r="BZ133" s="99"/>
      <c r="CA133" s="100"/>
      <c r="CB133" s="101">
        <f>BM133*BY133</f>
        <v>174.85000000000002</v>
      </c>
      <c r="CC133" s="106">
        <f>BN133*BY133</f>
        <v>0</v>
      </c>
      <c r="CD133" s="107">
        <f>BO133*BY133</f>
        <v>0</v>
      </c>
      <c r="CE133" s="90" t="s">
        <v>174</v>
      </c>
      <c r="CF133" s="108">
        <f>200/1.22</f>
        <v>163.9344262295082</v>
      </c>
      <c r="CG133" s="109">
        <v>45009</v>
      </c>
      <c r="CH133" s="110">
        <f>200/1.22</f>
        <v>163.9344262295082</v>
      </c>
      <c r="CI133" s="108">
        <f>1720/1.22</f>
        <v>1409.8360655737706</v>
      </c>
      <c r="CJ133" s="109">
        <v>45051</v>
      </c>
      <c r="CK133" s="108">
        <f>1720/1.22</f>
        <v>1409.8360655737706</v>
      </c>
      <c r="CL133" s="108">
        <f>2346.34/1.22</f>
        <v>1923.2295081967216</v>
      </c>
      <c r="CM133" s="109">
        <v>45078</v>
      </c>
      <c r="CN133" s="108">
        <f>2346.34/1.22</f>
        <v>1923.2295081967216</v>
      </c>
      <c r="CO133" s="111"/>
      <c r="CP133" s="111"/>
      <c r="CQ133" s="111"/>
      <c r="CR133" s="111"/>
      <c r="CS133" s="111"/>
      <c r="CT133" s="111"/>
      <c r="CU133" s="90">
        <v>1</v>
      </c>
      <c r="CV133" s="112" t="s">
        <v>121</v>
      </c>
      <c r="CW133" s="112"/>
      <c r="CX133" s="113"/>
      <c r="CY133" s="90" t="s">
        <v>122</v>
      </c>
      <c r="CZ133" s="90"/>
      <c r="DA133" s="2134" t="s">
        <v>399</v>
      </c>
      <c r="DB133" s="115" t="str">
        <f>PROPER(N133)</f>
        <v xml:space="preserve">Rinchiudetely </v>
      </c>
      <c r="DC133" s="116"/>
      <c r="DD133" s="116" t="str">
        <f>BP133</f>
        <v>Arianna</v>
      </c>
      <c r="DE133" s="2168" t="b">
        <f>IF(OR(D133&gt;0),IF(BJ133=0,BN133*BQ133,0))</f>
        <v>0</v>
      </c>
      <c r="DF133" s="2168" t="b">
        <f>IF(OR(D133&gt;0),IF(BJ133=0,BN133*BY133,0))</f>
        <v>0</v>
      </c>
      <c r="DG133" s="118" t="str">
        <f>BX133</f>
        <v>Arianna</v>
      </c>
      <c r="DH133" s="76"/>
      <c r="DI133" s="120" t="s">
        <v>126</v>
      </c>
      <c r="DJ133" s="120"/>
      <c r="DK133" s="121"/>
      <c r="DL133" s="121"/>
      <c r="DM133" s="122">
        <v>1</v>
      </c>
      <c r="DN133" s="6"/>
      <c r="DO133" s="6"/>
      <c r="DP133" s="6"/>
      <c r="DQ133" s="6"/>
      <c r="DR133" s="6"/>
      <c r="DS133" s="6"/>
      <c r="DT133" s="6"/>
      <c r="DU133" s="6"/>
      <c r="DV133" s="6"/>
      <c r="DW133" s="6"/>
      <c r="DX133" s="6"/>
      <c r="DY133" s="6"/>
      <c r="DZ133" s="6"/>
    </row>
    <row r="134" spans="1:130" ht="34.5" hidden="1" customHeight="1">
      <c r="A134" s="1801"/>
      <c r="B134" s="75" t="s">
        <v>1928</v>
      </c>
      <c r="C134" s="90"/>
      <c r="D134" s="75">
        <v>1</v>
      </c>
      <c r="E134" s="510">
        <v>1</v>
      </c>
      <c r="F134" s="148"/>
      <c r="G134" s="181" t="s">
        <v>2454</v>
      </c>
      <c r="H134" s="181" t="s">
        <v>2455</v>
      </c>
      <c r="I134" s="112" t="s">
        <v>2456</v>
      </c>
      <c r="J134" s="121" t="str">
        <f>CONCATENATE(G134," ",H134)</f>
        <v>Eliana Cattaneo</v>
      </c>
      <c r="K134" s="181"/>
      <c r="L134" s="131"/>
      <c r="M134" s="114" t="s">
        <v>438</v>
      </c>
      <c r="N134" s="84" t="s">
        <v>2457</v>
      </c>
      <c r="O134" s="1925"/>
      <c r="P134" s="255"/>
      <c r="Q134" s="255"/>
      <c r="R134" s="131"/>
      <c r="S134" s="131"/>
      <c r="T134" s="131"/>
      <c r="U134" s="131"/>
      <c r="V134" s="131"/>
      <c r="W134" s="514"/>
      <c r="X134" s="131"/>
      <c r="Y134" s="514"/>
      <c r="Z134" s="514"/>
      <c r="AA134" s="514"/>
      <c r="AB134" s="255"/>
      <c r="AC134" s="131"/>
      <c r="AD134" s="37" t="s">
        <v>118</v>
      </c>
      <c r="AE134" s="161"/>
      <c r="AF134" s="1966"/>
      <c r="AG134" s="1973"/>
      <c r="AH134" s="1973"/>
      <c r="AI134" s="1966"/>
      <c r="AJ134" s="90"/>
      <c r="AK134" s="90"/>
      <c r="AL134" s="90"/>
      <c r="AM134" s="1966"/>
      <c r="AN134" s="1485"/>
      <c r="AO134" s="1485"/>
      <c r="AP134" s="1485"/>
      <c r="AQ134" s="1966"/>
      <c r="AR134" s="75"/>
      <c r="AS134" s="75"/>
      <c r="AT134" s="75"/>
      <c r="AU134" s="1966"/>
      <c r="AV134" s="75"/>
      <c r="AW134" s="75"/>
      <c r="AX134" s="75"/>
      <c r="AY134" s="1966"/>
      <c r="AZ134" s="121" t="s">
        <v>116</v>
      </c>
      <c r="BA134" s="121" t="s">
        <v>116</v>
      </c>
      <c r="BB134" s="162" t="s">
        <v>116</v>
      </c>
      <c r="BC134" s="1966"/>
      <c r="BD134" s="121"/>
      <c r="BE134" s="121"/>
      <c r="BF134" s="121"/>
      <c r="BG134" s="1966"/>
      <c r="BH134" s="92"/>
      <c r="BI134" s="92"/>
      <c r="BJ134" s="92"/>
      <c r="BK134" s="271"/>
      <c r="BL134" s="2014"/>
      <c r="BM134" s="95"/>
      <c r="BN134" s="2027"/>
      <c r="BO134" s="2032"/>
      <c r="BP134" s="525"/>
      <c r="BQ134" s="145"/>
      <c r="BR134" s="108"/>
      <c r="BS134" s="276"/>
      <c r="BT134" s="101"/>
      <c r="BU134" s="102">
        <f>BN134*BQ134</f>
        <v>0</v>
      </c>
      <c r="BV134" s="103">
        <f>BO134*BQ134</f>
        <v>0</v>
      </c>
      <c r="BW134" s="80"/>
      <c r="BX134" s="2039"/>
      <c r="BY134" s="145"/>
      <c r="BZ134" s="108"/>
      <c r="CA134" s="276"/>
      <c r="CB134" s="101"/>
      <c r="CC134" s="106">
        <f>BN134*BY134</f>
        <v>0</v>
      </c>
      <c r="CD134" s="107">
        <f>BO134*BY134</f>
        <v>0</v>
      </c>
      <c r="CE134" s="677"/>
      <c r="CF134" s="108"/>
      <c r="CG134" s="109"/>
      <c r="CH134" s="110"/>
      <c r="CI134" s="108"/>
      <c r="CJ134" s="109"/>
      <c r="CK134" s="108"/>
      <c r="CL134" s="108"/>
      <c r="CM134" s="109"/>
      <c r="CN134" s="108"/>
      <c r="CO134" s="111"/>
      <c r="CP134" s="111"/>
      <c r="CQ134" s="111"/>
      <c r="CR134" s="111"/>
      <c r="CS134" s="111"/>
      <c r="CT134" s="111"/>
      <c r="CU134" s="90">
        <v>1</v>
      </c>
      <c r="CV134" s="112"/>
      <c r="CW134" s="112"/>
      <c r="CX134" s="113"/>
      <c r="CY134" s="113"/>
      <c r="CZ134" s="90"/>
      <c r="DA134" s="2138" t="s">
        <v>2458</v>
      </c>
      <c r="DB134" s="115" t="str">
        <f>PROPER(N134)</f>
        <v>Briefing Lab</v>
      </c>
      <c r="DC134" s="116" t="s">
        <v>594</v>
      </c>
      <c r="DD134" s="116">
        <f>BP134</f>
        <v>0</v>
      </c>
      <c r="DE134" s="117">
        <f>IF(OR(D134&gt;0),IF(BJ134=0,BN134*BQ134,0))</f>
        <v>0</v>
      </c>
      <c r="DF134" s="117">
        <f>IF(OR(D134&gt;0),IF(BJ134=0,BN134*BY134,0))</f>
        <v>0</v>
      </c>
      <c r="DG134" s="533">
        <f>BX134</f>
        <v>0</v>
      </c>
      <c r="DH134" s="510"/>
      <c r="DI134" s="120" t="s">
        <v>126</v>
      </c>
      <c r="DJ134" s="120"/>
      <c r="DK134" s="207"/>
      <c r="DL134" s="207"/>
      <c r="DM134" s="248">
        <v>1</v>
      </c>
    </row>
    <row r="135" spans="1:130" ht="34.5" hidden="1" customHeight="1">
      <c r="A135" s="3"/>
      <c r="B135" s="75" t="s">
        <v>108</v>
      </c>
      <c r="C135" s="75"/>
      <c r="D135" s="75"/>
      <c r="E135" s="76"/>
      <c r="F135" s="75"/>
      <c r="G135" s="79" t="s">
        <v>417</v>
      </c>
      <c r="H135" s="79" t="s">
        <v>418</v>
      </c>
      <c r="I135" s="80" t="s">
        <v>419</v>
      </c>
      <c r="J135" s="179" t="str">
        <f>CONCATENATE(G135," ",H135)</f>
        <v>Elio Catarinella</v>
      </c>
      <c r="K135" s="156">
        <v>3464721850</v>
      </c>
      <c r="L135" s="157"/>
      <c r="M135" s="83" t="s">
        <v>420</v>
      </c>
      <c r="N135" s="84" t="s">
        <v>421</v>
      </c>
      <c r="O135" s="85"/>
      <c r="P135" s="86"/>
      <c r="Q135" s="86"/>
      <c r="R135" s="86"/>
      <c r="S135" s="86"/>
      <c r="T135" s="86"/>
      <c r="U135" s="86"/>
      <c r="V135" s="86"/>
      <c r="W135" s="86"/>
      <c r="X135" s="86"/>
      <c r="Y135" s="87"/>
      <c r="Z135" s="86"/>
      <c r="AA135" s="86"/>
      <c r="AB135" s="86"/>
      <c r="AC135" s="86"/>
      <c r="AD135" s="86" t="s">
        <v>422</v>
      </c>
      <c r="AE135" s="88">
        <f>L135</f>
        <v>0</v>
      </c>
      <c r="AF135" s="89"/>
      <c r="AG135" s="75"/>
      <c r="AH135" s="75"/>
      <c r="AI135" s="89"/>
      <c r="AJ135" s="75"/>
      <c r="AK135" s="75"/>
      <c r="AL135" s="75"/>
      <c r="AM135" s="89"/>
      <c r="AN135" s="90"/>
      <c r="AO135" s="90"/>
      <c r="AP135" s="90"/>
      <c r="AQ135" s="89"/>
      <c r="AR135" s="75"/>
      <c r="AS135" s="75"/>
      <c r="AT135" s="75"/>
      <c r="AU135" s="89"/>
      <c r="AV135" s="75" t="s">
        <v>115</v>
      </c>
      <c r="AW135" s="75" t="s">
        <v>115</v>
      </c>
      <c r="AX135" s="1988"/>
      <c r="AY135" s="89"/>
      <c r="AZ135" s="121"/>
      <c r="BA135" s="121"/>
      <c r="BB135" s="121" t="s">
        <v>115</v>
      </c>
      <c r="BC135" s="89"/>
      <c r="BD135" s="121"/>
      <c r="BE135" s="121"/>
      <c r="BF135" s="121"/>
      <c r="BG135" s="89"/>
      <c r="BH135" s="92">
        <f>CF135+CI135+CL135+CO135+CR135</f>
        <v>3497.0000000000005</v>
      </c>
      <c r="BI135" s="92">
        <f>CH135+CK135+CN135+CQ135+CT135</f>
        <v>3496.9955737704922</v>
      </c>
      <c r="BJ135" s="92">
        <f>BH135-BI135</f>
        <v>4.4262295082262426E-3</v>
      </c>
      <c r="BK135" s="93"/>
      <c r="BL135" s="94"/>
      <c r="BM135" s="95">
        <v>3497</v>
      </c>
      <c r="BN135" s="2031"/>
      <c r="BO135" s="2036"/>
      <c r="BP135" s="80" t="s">
        <v>117</v>
      </c>
      <c r="BQ135" s="98">
        <v>0</v>
      </c>
      <c r="BR135" s="99"/>
      <c r="BS135" s="100"/>
      <c r="BT135" s="101">
        <f>BM135*BQ135</f>
        <v>0</v>
      </c>
      <c r="BU135" s="102">
        <f>BN135*BQ135</f>
        <v>0</v>
      </c>
      <c r="BV135" s="103">
        <f>BO135*BQ135</f>
        <v>0</v>
      </c>
      <c r="BW135" s="104" t="s">
        <v>118</v>
      </c>
      <c r="BX135" s="105" t="s">
        <v>152</v>
      </c>
      <c r="BY135" s="98">
        <v>0.05</v>
      </c>
      <c r="BZ135" s="99"/>
      <c r="CA135" s="100"/>
      <c r="CB135" s="101">
        <f>BM135*BY135</f>
        <v>174.85000000000002</v>
      </c>
      <c r="CC135" s="106">
        <f>BN135*BY135</f>
        <v>0</v>
      </c>
      <c r="CD135" s="107">
        <f>BO135*BY135</f>
        <v>0</v>
      </c>
      <c r="CE135" s="90" t="s">
        <v>120</v>
      </c>
      <c r="CF135" s="108">
        <f>200/1.22</f>
        <v>163.9344262295082</v>
      </c>
      <c r="CG135" s="109">
        <v>45008</v>
      </c>
      <c r="CH135" s="108">
        <v>163.93</v>
      </c>
      <c r="CI135" s="108">
        <f>1720/1.22</f>
        <v>1409.8360655737706</v>
      </c>
      <c r="CJ135" s="109">
        <v>45049</v>
      </c>
      <c r="CK135" s="108">
        <f>1720/1.22</f>
        <v>1409.8360655737706</v>
      </c>
      <c r="CL135" s="108">
        <f>2346.34/1.22</f>
        <v>1923.2295081967216</v>
      </c>
      <c r="CM135" s="109">
        <v>45078</v>
      </c>
      <c r="CN135" s="108">
        <f>2346.34/1.22</f>
        <v>1923.2295081967216</v>
      </c>
      <c r="CO135" s="111"/>
      <c r="CP135" s="111"/>
      <c r="CQ135" s="111"/>
      <c r="CR135" s="111"/>
      <c r="CS135" s="111"/>
      <c r="CT135" s="111"/>
      <c r="CU135" s="90">
        <v>1</v>
      </c>
      <c r="CV135" s="112" t="s">
        <v>121</v>
      </c>
      <c r="CW135" s="112"/>
      <c r="CX135" s="113"/>
      <c r="CY135" s="90" t="s">
        <v>122</v>
      </c>
      <c r="CZ135" s="90"/>
      <c r="DA135" s="80" t="s">
        <v>423</v>
      </c>
      <c r="DB135" s="115" t="str">
        <f>PROPER(N135)</f>
        <v>Ca Indosuez Wealth</v>
      </c>
      <c r="DC135" s="116"/>
      <c r="DD135" s="116" t="str">
        <f>BP135</f>
        <v>blackship</v>
      </c>
      <c r="DE135" s="117" t="b">
        <f>IF(OR(D135&gt;0),IF(BJ135=0,BN135*BQ135,0))</f>
        <v>0</v>
      </c>
      <c r="DF135" s="117" t="b">
        <f>IF(OR(D135&gt;0),IF(BJ135=0,BN135*BY135,0))</f>
        <v>0</v>
      </c>
      <c r="DG135" s="118" t="str">
        <f>BX135</f>
        <v>Client Angel</v>
      </c>
      <c r="DH135" s="76"/>
      <c r="DI135" s="120" t="s">
        <v>126</v>
      </c>
      <c r="DJ135" s="120"/>
      <c r="DK135" s="121"/>
      <c r="DL135" s="121"/>
      <c r="DM135" s="122"/>
      <c r="DN135" s="6"/>
      <c r="DO135" s="6"/>
      <c r="DP135" s="6"/>
      <c r="DQ135" s="6"/>
      <c r="DR135" s="6"/>
      <c r="DS135" s="6"/>
      <c r="DT135" s="6"/>
      <c r="DU135" s="6"/>
      <c r="DV135" s="6"/>
      <c r="DW135" s="6"/>
      <c r="DX135" s="6"/>
      <c r="DY135" s="6"/>
      <c r="DZ135" s="6"/>
    </row>
    <row r="136" spans="1:130" ht="34.5" hidden="1" customHeight="1">
      <c r="A136" s="228"/>
      <c r="B136" s="75" t="s">
        <v>2267</v>
      </c>
      <c r="C136" s="90"/>
      <c r="D136" s="90"/>
      <c r="E136" s="76"/>
      <c r="F136" s="90"/>
      <c r="G136" s="400" t="s">
        <v>898</v>
      </c>
      <c r="H136" s="400" t="s">
        <v>2268</v>
      </c>
      <c r="I136" s="1838" t="s">
        <v>2269</v>
      </c>
      <c r="J136" s="121" t="str">
        <f>CONCATENATE(G136," ",H136)</f>
        <v>Elisa Amaducci</v>
      </c>
      <c r="K136" s="224">
        <v>3391065480</v>
      </c>
      <c r="L136" s="131"/>
      <c r="M136" s="1899"/>
      <c r="N136" s="84" t="s">
        <v>2270</v>
      </c>
      <c r="O136" s="1932"/>
      <c r="P136" s="564" t="s">
        <v>2271</v>
      </c>
      <c r="Q136" s="564" t="s">
        <v>2271</v>
      </c>
      <c r="R136" s="131" t="s">
        <v>2272</v>
      </c>
      <c r="S136" s="131" t="s">
        <v>2273</v>
      </c>
      <c r="T136" s="131"/>
      <c r="U136" s="131"/>
      <c r="V136" s="131"/>
      <c r="W136" s="258"/>
      <c r="X136" s="558" t="s">
        <v>2274</v>
      </c>
      <c r="Y136" s="258"/>
      <c r="Z136" s="258"/>
      <c r="AA136" s="258"/>
      <c r="AB136" s="255" t="s">
        <v>2275</v>
      </c>
      <c r="AC136" s="558" t="s">
        <v>2276</v>
      </c>
      <c r="AD136" s="121"/>
      <c r="AE136" s="138">
        <f>L136</f>
        <v>0</v>
      </c>
      <c r="AF136" s="1966"/>
      <c r="AG136" s="1973" t="s">
        <v>115</v>
      </c>
      <c r="AH136" s="1973" t="s">
        <v>115</v>
      </c>
      <c r="AI136" s="1966"/>
      <c r="AJ136" s="90"/>
      <c r="AK136" s="90"/>
      <c r="AL136" s="90"/>
      <c r="AM136" s="1966"/>
      <c r="AN136" s="90"/>
      <c r="AO136" s="1980" t="s">
        <v>2277</v>
      </c>
      <c r="AP136" s="1980" t="s">
        <v>2277</v>
      </c>
      <c r="AQ136" s="1966"/>
      <c r="AR136" s="75"/>
      <c r="AS136" s="75"/>
      <c r="AT136" s="75"/>
      <c r="AU136" s="1966"/>
      <c r="AV136" s="75"/>
      <c r="AW136" s="75"/>
      <c r="AX136" s="129" t="s">
        <v>165</v>
      </c>
      <c r="AY136" s="1966"/>
      <c r="AZ136" s="121"/>
      <c r="BA136" s="154" t="s">
        <v>297</v>
      </c>
      <c r="BB136" s="121" t="s">
        <v>116</v>
      </c>
      <c r="BC136" s="1966"/>
      <c r="BD136" s="121" t="s">
        <v>115</v>
      </c>
      <c r="BE136" s="121"/>
      <c r="BF136" s="121"/>
      <c r="BG136" s="1966"/>
      <c r="BH136" s="92">
        <f>CF136+CI136+CL136+CO136+CR136</f>
        <v>0</v>
      </c>
      <c r="BI136" s="92"/>
      <c r="BJ136" s="92"/>
      <c r="BK136" s="271"/>
      <c r="BL136" s="2014"/>
      <c r="BM136" s="95"/>
      <c r="BN136" s="127"/>
      <c r="BO136" s="128"/>
      <c r="BP136" s="2037"/>
      <c r="BQ136" s="145"/>
      <c r="BR136" s="108"/>
      <c r="BS136" s="276"/>
      <c r="BT136" s="101"/>
      <c r="BU136" s="102">
        <f>BN136*BQ136</f>
        <v>0</v>
      </c>
      <c r="BV136" s="103">
        <f>BO136*BQ136</f>
        <v>0</v>
      </c>
      <c r="BW136" s="525"/>
      <c r="BX136" s="105"/>
      <c r="BY136" s="145"/>
      <c r="BZ136" s="108"/>
      <c r="CA136" s="276"/>
      <c r="CB136" s="101">
        <f>BM136*BY136</f>
        <v>0</v>
      </c>
      <c r="CC136" s="106">
        <f>BN136*BY136</f>
        <v>0</v>
      </c>
      <c r="CD136" s="107">
        <f>BO136*BY136</f>
        <v>0</v>
      </c>
      <c r="CE136" s="2092"/>
      <c r="CF136" s="2096"/>
      <c r="CG136" s="2096"/>
      <c r="CH136" s="2096"/>
      <c r="CI136" s="2096"/>
      <c r="CJ136" s="2096"/>
      <c r="CK136" s="2096"/>
      <c r="CL136" s="2096"/>
      <c r="CM136" s="2096"/>
      <c r="CN136" s="2096"/>
      <c r="CO136" s="2096"/>
      <c r="CP136" s="2096"/>
      <c r="CQ136" s="2096"/>
      <c r="CR136" s="2096"/>
      <c r="CS136" s="2096"/>
      <c r="CT136" s="2096"/>
      <c r="CU136" s="90">
        <v>1</v>
      </c>
      <c r="CV136" s="112"/>
      <c r="CW136" s="112"/>
      <c r="CX136" s="112"/>
      <c r="CY136" s="112"/>
      <c r="CZ136" s="75"/>
      <c r="DA136" s="80" t="s">
        <v>2278</v>
      </c>
      <c r="DB136" s="115" t="str">
        <f>PROPER(N136)</f>
        <v>Slow Net</v>
      </c>
      <c r="DC136" s="116" t="s">
        <v>1195</v>
      </c>
      <c r="DD136" s="116">
        <f>BP136</f>
        <v>0</v>
      </c>
      <c r="DE136" s="117" t="b">
        <f>IF(OR(D136&gt;0),IF(BJ136=0,BN136*BQ136,0))</f>
        <v>0</v>
      </c>
      <c r="DF136" s="117" t="b">
        <f>IF(OR(D136&gt;0),IF(BJ136=0,BN136*BY136,0))</f>
        <v>0</v>
      </c>
      <c r="DG136" s="116">
        <f>BX136</f>
        <v>0</v>
      </c>
      <c r="DH136" s="76"/>
      <c r="DI136" s="120" t="s">
        <v>126</v>
      </c>
      <c r="DJ136" s="120"/>
      <c r="DK136" s="181"/>
      <c r="DL136" s="181"/>
      <c r="DM136" s="248"/>
    </row>
    <row r="137" spans="1:130" ht="34.5" hidden="1" customHeight="1">
      <c r="A137" s="3"/>
      <c r="B137" s="75" t="s">
        <v>108</v>
      </c>
      <c r="C137" s="75"/>
      <c r="D137" s="75">
        <v>1</v>
      </c>
      <c r="E137" s="76">
        <v>1</v>
      </c>
      <c r="F137" s="75"/>
      <c r="G137" s="79" t="s">
        <v>898</v>
      </c>
      <c r="H137" s="79" t="s">
        <v>899</v>
      </c>
      <c r="I137" s="80" t="s">
        <v>900</v>
      </c>
      <c r="J137" s="121" t="str">
        <f>CONCATENATE(G137," ",H137)</f>
        <v>Elisa De Anna</v>
      </c>
      <c r="K137" s="156"/>
      <c r="L137" s="160"/>
      <c r="M137" s="143" t="s">
        <v>901</v>
      </c>
      <c r="N137" s="84" t="s">
        <v>260</v>
      </c>
      <c r="O137" s="85"/>
      <c r="P137" s="86"/>
      <c r="Q137" s="86"/>
      <c r="R137" s="86"/>
      <c r="S137" s="86"/>
      <c r="T137" s="86"/>
      <c r="U137" s="86"/>
      <c r="V137" s="86"/>
      <c r="W137" s="86"/>
      <c r="X137" s="86"/>
      <c r="Y137" s="87"/>
      <c r="Z137" s="86"/>
      <c r="AA137" s="86"/>
      <c r="AB137" s="86"/>
      <c r="AC137" s="86"/>
      <c r="AD137" s="86" t="s">
        <v>261</v>
      </c>
      <c r="AE137" s="138">
        <f>L137</f>
        <v>0</v>
      </c>
      <c r="AF137" s="89"/>
      <c r="AG137" s="75"/>
      <c r="AH137" s="75"/>
      <c r="AI137" s="89"/>
      <c r="AJ137" s="75"/>
      <c r="AK137" s="75"/>
      <c r="AL137" s="75"/>
      <c r="AM137" s="89"/>
      <c r="AN137" s="90"/>
      <c r="AO137" s="90"/>
      <c r="AP137" s="90"/>
      <c r="AQ137" s="89"/>
      <c r="AR137" s="75"/>
      <c r="AS137" s="75"/>
      <c r="AT137" s="75"/>
      <c r="AU137" s="89"/>
      <c r="AV137" s="75"/>
      <c r="AW137" s="75"/>
      <c r="AX137" s="75"/>
      <c r="AY137" s="89"/>
      <c r="AZ137" s="121" t="s">
        <v>115</v>
      </c>
      <c r="BA137" s="121" t="s">
        <v>115</v>
      </c>
      <c r="BB137" s="135" t="s">
        <v>115</v>
      </c>
      <c r="BC137" s="89"/>
      <c r="BD137" s="121"/>
      <c r="BE137" s="121"/>
      <c r="BF137" s="121"/>
      <c r="BG137" s="89"/>
      <c r="BH137" s="92">
        <f>CF137+CI137+CL137+CO137+CR137</f>
        <v>2997</v>
      </c>
      <c r="BI137" s="92">
        <f>CH137+CK137+CN137+CQ137+CT137</f>
        <v>2997</v>
      </c>
      <c r="BJ137" s="92">
        <f>BH137-BI137</f>
        <v>0</v>
      </c>
      <c r="BK137" s="93"/>
      <c r="BL137" s="94"/>
      <c r="BM137" s="95"/>
      <c r="BN137" s="127">
        <v>2997</v>
      </c>
      <c r="BO137" s="128"/>
      <c r="BP137" s="80" t="s">
        <v>262</v>
      </c>
      <c r="BQ137" s="98">
        <v>0.15</v>
      </c>
      <c r="BR137" s="99"/>
      <c r="BS137" s="100"/>
      <c r="BT137" s="101">
        <f>BM137*BQ137</f>
        <v>0</v>
      </c>
      <c r="BU137" s="102">
        <f>BN137*BQ137</f>
        <v>449.55</v>
      </c>
      <c r="BV137" s="103">
        <f>BO137*BQ137</f>
        <v>0</v>
      </c>
      <c r="BW137" s="84" t="s">
        <v>185</v>
      </c>
      <c r="BX137" s="105" t="s">
        <v>262</v>
      </c>
      <c r="BY137" s="98">
        <v>0.05</v>
      </c>
      <c r="BZ137" s="99"/>
      <c r="CA137" s="100"/>
      <c r="CB137" s="101">
        <f>BM137*BY137</f>
        <v>0</v>
      </c>
      <c r="CC137" s="106">
        <f>BN137*BY137</f>
        <v>149.85</v>
      </c>
      <c r="CD137" s="107">
        <f>BO137*BY137</f>
        <v>0</v>
      </c>
      <c r="CE137" s="84" t="s">
        <v>185</v>
      </c>
      <c r="CF137" s="108">
        <v>2997</v>
      </c>
      <c r="CG137" s="109">
        <v>45008</v>
      </c>
      <c r="CH137" s="110">
        <v>2997</v>
      </c>
      <c r="CI137" s="108"/>
      <c r="CJ137" s="109"/>
      <c r="CK137" s="111"/>
      <c r="CL137" s="111"/>
      <c r="CM137" s="109"/>
      <c r="CN137" s="111"/>
      <c r="CO137" s="111"/>
      <c r="CP137" s="111"/>
      <c r="CQ137" s="111"/>
      <c r="CR137" s="111"/>
      <c r="CS137" s="111"/>
      <c r="CT137" s="111"/>
      <c r="CU137" s="90">
        <v>1</v>
      </c>
      <c r="CV137" s="112" t="s">
        <v>121</v>
      </c>
      <c r="CW137" s="112"/>
      <c r="CX137" s="113"/>
      <c r="CY137" s="90" t="s">
        <v>122</v>
      </c>
      <c r="CZ137" s="90"/>
      <c r="DA137" s="136" t="s">
        <v>263</v>
      </c>
      <c r="DB137" s="115" t="str">
        <f>PROPER(N137)</f>
        <v>3Msolutions</v>
      </c>
      <c r="DC137" s="116" t="s">
        <v>264</v>
      </c>
      <c r="DD137" s="116" t="str">
        <f>BP137</f>
        <v>Pacci</v>
      </c>
      <c r="DE137" s="117">
        <f>IF(OR(D137&gt;0),IF(BJ137=0,BN137*BQ137,0))</f>
        <v>449.55</v>
      </c>
      <c r="DF137" s="117">
        <f>IF(OR(D137&gt;0),IF(BJ137=0,BN137*BY137,0))</f>
        <v>149.85</v>
      </c>
      <c r="DG137" s="118" t="str">
        <f>BX137</f>
        <v>Pacci</v>
      </c>
      <c r="DH137" s="76"/>
      <c r="DI137" s="120" t="s">
        <v>126</v>
      </c>
      <c r="DJ137" s="120"/>
      <c r="DK137" s="121"/>
      <c r="DL137" s="121"/>
      <c r="DM137" s="122">
        <v>1</v>
      </c>
      <c r="DN137" s="6"/>
      <c r="DO137" s="6"/>
      <c r="DP137" s="6"/>
      <c r="DQ137" s="6"/>
      <c r="DR137" s="6"/>
      <c r="DS137" s="6"/>
      <c r="DT137" s="6"/>
      <c r="DU137" s="6"/>
      <c r="DV137" s="6"/>
      <c r="DW137" s="6"/>
      <c r="DX137" s="6"/>
      <c r="DY137" s="6"/>
      <c r="DZ137" s="6"/>
    </row>
    <row r="138" spans="1:130" ht="34.5" hidden="1" customHeight="1">
      <c r="A138" s="228"/>
      <c r="B138" s="75" t="s">
        <v>2267</v>
      </c>
      <c r="C138" s="90"/>
      <c r="D138" s="75"/>
      <c r="E138" s="76"/>
      <c r="F138" s="75"/>
      <c r="G138" s="400" t="s">
        <v>1733</v>
      </c>
      <c r="H138" s="400" t="s">
        <v>2279</v>
      </c>
      <c r="I138" s="113" t="s">
        <v>2280</v>
      </c>
      <c r="J138" s="121" t="str">
        <f>CONCATENATE(G138," ",H138)</f>
        <v>Elisabetta Sartorato</v>
      </c>
      <c r="K138" s="224">
        <v>3383494173</v>
      </c>
      <c r="L138" s="131"/>
      <c r="M138" s="1867"/>
      <c r="N138" s="84" t="s">
        <v>2281</v>
      </c>
      <c r="O138" s="1932"/>
      <c r="P138" s="155"/>
      <c r="Q138" s="255"/>
      <c r="R138" s="131"/>
      <c r="S138" s="131"/>
      <c r="T138" s="131"/>
      <c r="U138" s="131"/>
      <c r="V138" s="131"/>
      <c r="W138" s="258"/>
      <c r="X138" s="131"/>
      <c r="Y138" s="258"/>
      <c r="Z138" s="258"/>
      <c r="AA138" s="258"/>
      <c r="AB138" s="255"/>
      <c r="AC138" s="131"/>
      <c r="AD138" s="121"/>
      <c r="AE138" s="138">
        <f>L138</f>
        <v>0</v>
      </c>
      <c r="AF138" s="1966"/>
      <c r="AG138" s="1973"/>
      <c r="AH138" s="1973"/>
      <c r="AI138" s="1966"/>
      <c r="AJ138" s="90"/>
      <c r="AK138" s="90"/>
      <c r="AL138" s="90"/>
      <c r="AM138" s="1966"/>
      <c r="AN138" s="90"/>
      <c r="AO138" s="90"/>
      <c r="AP138" s="90"/>
      <c r="AQ138" s="1966"/>
      <c r="AR138" s="75"/>
      <c r="AS138" s="75"/>
      <c r="AT138" s="75"/>
      <c r="AU138" s="1966"/>
      <c r="AV138" s="75"/>
      <c r="AW138" s="75"/>
      <c r="AX138" s="75" t="s">
        <v>1266</v>
      </c>
      <c r="AY138" s="1966"/>
      <c r="AZ138" s="121"/>
      <c r="BA138" s="154" t="s">
        <v>194</v>
      </c>
      <c r="BB138" s="121" t="s">
        <v>115</v>
      </c>
      <c r="BC138" s="1966"/>
      <c r="BD138" s="121"/>
      <c r="BE138" s="121"/>
      <c r="BF138" s="121"/>
      <c r="BG138" s="1966"/>
      <c r="BH138" s="92">
        <f>CF138+CI138+CL138+CO138+CR138</f>
        <v>0</v>
      </c>
      <c r="BI138" s="92"/>
      <c r="BJ138" s="92"/>
      <c r="BK138" s="271"/>
      <c r="BL138" s="2014"/>
      <c r="BM138" s="95"/>
      <c r="BN138" s="127"/>
      <c r="BO138" s="128"/>
      <c r="BP138" s="2037"/>
      <c r="BQ138" s="145"/>
      <c r="BR138" s="108"/>
      <c r="BS138" s="276"/>
      <c r="BT138" s="101"/>
      <c r="BU138" s="102">
        <f>BN138*BQ138</f>
        <v>0</v>
      </c>
      <c r="BV138" s="103">
        <f>BO138*BQ138</f>
        <v>0</v>
      </c>
      <c r="BW138" s="525"/>
      <c r="BX138" s="105"/>
      <c r="BY138" s="145"/>
      <c r="BZ138" s="108"/>
      <c r="CA138" s="276"/>
      <c r="CB138" s="101">
        <f>BM138*BY138</f>
        <v>0</v>
      </c>
      <c r="CC138" s="106">
        <f>BN138*BY138</f>
        <v>0</v>
      </c>
      <c r="CD138" s="107">
        <f>BO138*BY138</f>
        <v>0</v>
      </c>
      <c r="CE138" s="2092"/>
      <c r="CF138" s="2096"/>
      <c r="CG138" s="2096"/>
      <c r="CH138" s="2096"/>
      <c r="CI138" s="2096"/>
      <c r="CJ138" s="2096"/>
      <c r="CK138" s="2096"/>
      <c r="CL138" s="2096"/>
      <c r="CM138" s="2096"/>
      <c r="CN138" s="2096"/>
      <c r="CO138" s="2096"/>
      <c r="CP138" s="2096"/>
      <c r="CQ138" s="2096"/>
      <c r="CR138" s="2096"/>
      <c r="CS138" s="2096"/>
      <c r="CT138" s="2096"/>
      <c r="CU138" s="90"/>
      <c r="CV138" s="112"/>
      <c r="CW138" s="112"/>
      <c r="CX138" s="113"/>
      <c r="CY138" s="113"/>
      <c r="CZ138" s="90"/>
      <c r="DA138" s="80"/>
      <c r="DB138" s="115" t="str">
        <f>PROPER(N138)</f>
        <v>Maglieria Marchioro</v>
      </c>
      <c r="DC138" s="116" t="s">
        <v>2282</v>
      </c>
      <c r="DD138" s="116">
        <f>BP138</f>
        <v>0</v>
      </c>
      <c r="DE138" s="117" t="b">
        <f>IF(OR(D138&gt;0),IF(BJ138=0,BN138*BQ138,0))</f>
        <v>0</v>
      </c>
      <c r="DF138" s="117" t="b">
        <f>IF(OR(D138&gt;0),IF(BJ138=0,BN138*BY138,0))</f>
        <v>0</v>
      </c>
      <c r="DG138" s="116">
        <f>BX138</f>
        <v>0</v>
      </c>
      <c r="DH138" s="76"/>
      <c r="DI138" s="120" t="s">
        <v>126</v>
      </c>
      <c r="DJ138" s="120"/>
      <c r="DK138" s="207"/>
      <c r="DL138" s="207"/>
      <c r="DM138" s="248"/>
    </row>
    <row r="139" spans="1:130" ht="34.5" hidden="1" customHeight="1">
      <c r="A139" s="3"/>
      <c r="B139" s="75" t="s">
        <v>902</v>
      </c>
      <c r="C139" s="121"/>
      <c r="D139" s="195">
        <v>1</v>
      </c>
      <c r="E139" s="76">
        <v>1</v>
      </c>
      <c r="F139" s="196"/>
      <c r="G139" s="197" t="s">
        <v>903</v>
      </c>
      <c r="H139" s="197" t="s">
        <v>904</v>
      </c>
      <c r="I139" s="80" t="s">
        <v>905</v>
      </c>
      <c r="J139" s="155" t="str">
        <f>CONCATENATE(G139," ",H139)</f>
        <v>Donatella Paoli Martorelli</v>
      </c>
      <c r="K139" s="156">
        <v>3285446395</v>
      </c>
      <c r="L139" s="157" t="s">
        <v>906</v>
      </c>
      <c r="M139" s="157"/>
      <c r="N139" s="84" t="s">
        <v>907</v>
      </c>
      <c r="O139" s="85"/>
      <c r="P139" s="86"/>
      <c r="Q139" s="86"/>
      <c r="R139" s="86"/>
      <c r="S139" s="86"/>
      <c r="T139" s="86"/>
      <c r="U139" s="86"/>
      <c r="V139" s="86"/>
      <c r="W139" s="86"/>
      <c r="X139" s="86"/>
      <c r="Y139" s="87"/>
      <c r="Z139" s="86"/>
      <c r="AA139" s="86"/>
      <c r="AB139" s="86"/>
      <c r="AC139" s="86"/>
      <c r="AD139" s="86" t="s">
        <v>908</v>
      </c>
      <c r="AE139" s="88" t="str">
        <f>L139</f>
        <v>VT Ott. 23 - Arriva Sabato</v>
      </c>
      <c r="AF139" s="198"/>
      <c r="AG139" s="121"/>
      <c r="AH139" s="121"/>
      <c r="AI139" s="198"/>
      <c r="AJ139" s="121"/>
      <c r="AK139" s="121"/>
      <c r="AL139" s="121"/>
      <c r="AM139" s="198"/>
      <c r="AN139" s="155"/>
      <c r="AO139" s="155"/>
      <c r="AP139" s="155"/>
      <c r="AQ139" s="198"/>
      <c r="AR139" s="121"/>
      <c r="AS139" s="121"/>
      <c r="AT139" s="121"/>
      <c r="AU139" s="198"/>
      <c r="AV139" s="75" t="s">
        <v>115</v>
      </c>
      <c r="AW139" s="75" t="s">
        <v>115</v>
      </c>
      <c r="AX139" s="75" t="s">
        <v>115</v>
      </c>
      <c r="AY139" s="198"/>
      <c r="AZ139" s="121" t="s">
        <v>116</v>
      </c>
      <c r="BA139" s="121" t="s">
        <v>116</v>
      </c>
      <c r="BB139" s="135" t="s">
        <v>154</v>
      </c>
      <c r="BC139" s="198"/>
      <c r="BD139" s="121"/>
      <c r="BE139" s="121"/>
      <c r="BF139" s="121"/>
      <c r="BG139" s="198"/>
      <c r="BH139" s="92"/>
      <c r="BI139" s="92"/>
      <c r="BJ139" s="92"/>
      <c r="BK139" s="199"/>
      <c r="BL139" s="200"/>
      <c r="BM139" s="95">
        <f>2797-419.55-139.85</f>
        <v>2237.6</v>
      </c>
      <c r="BN139" s="96"/>
      <c r="BO139" s="97"/>
      <c r="BP139" s="80" t="s">
        <v>141</v>
      </c>
      <c r="BQ139" s="145">
        <v>0.15</v>
      </c>
      <c r="BR139" s="201"/>
      <c r="BS139" s="202"/>
      <c r="BT139" s="203"/>
      <c r="BU139" s="167">
        <f>BN139*BQ139</f>
        <v>0</v>
      </c>
      <c r="BV139" s="168">
        <f>BO139*BQ139</f>
        <v>0</v>
      </c>
      <c r="BW139" s="204" t="s">
        <v>909</v>
      </c>
      <c r="BX139" s="105" t="s">
        <v>141</v>
      </c>
      <c r="BY139" s="145">
        <v>0.05</v>
      </c>
      <c r="BZ139" s="201"/>
      <c r="CA139" s="202"/>
      <c r="CB139" s="101"/>
      <c r="CC139" s="106">
        <f>BN139*BY139</f>
        <v>0</v>
      </c>
      <c r="CD139" s="107">
        <f>BO139*BY139</f>
        <v>0</v>
      </c>
      <c r="CE139" s="24" t="s">
        <v>910</v>
      </c>
      <c r="CF139" s="110">
        <v>2797</v>
      </c>
      <c r="CG139" s="205">
        <v>45062</v>
      </c>
      <c r="CH139" s="110">
        <v>2797</v>
      </c>
      <c r="CI139" s="108"/>
      <c r="CJ139" s="109"/>
      <c r="CK139" s="206"/>
      <c r="CL139" s="206"/>
      <c r="CM139" s="109"/>
      <c r="CN139" s="206"/>
      <c r="CO139" s="206"/>
      <c r="CP139" s="206"/>
      <c r="CQ139" s="206"/>
      <c r="CR139" s="206"/>
      <c r="CS139" s="206"/>
      <c r="CT139" s="206"/>
      <c r="CU139" s="90">
        <v>1</v>
      </c>
      <c r="CV139" s="112" t="s">
        <v>121</v>
      </c>
      <c r="CW139" s="181"/>
      <c r="CX139" s="207"/>
      <c r="CY139" s="155"/>
      <c r="CZ139" s="155"/>
      <c r="DA139" s="208" t="s">
        <v>911</v>
      </c>
      <c r="DB139" s="126" t="str">
        <f>PROPER(N139)</f>
        <v>Binnova</v>
      </c>
      <c r="DC139" s="116" t="s">
        <v>125</v>
      </c>
      <c r="DD139" s="116" t="str">
        <f>BP139</f>
        <v>Daniele</v>
      </c>
      <c r="DE139" s="209">
        <f>IF(OR(D139&gt;0),IF(BJ139=0,BN139*BQ139,0))</f>
        <v>0</v>
      </c>
      <c r="DF139" s="209">
        <f>IF(OR(D139&gt;0),IF(BJ139=0,BN139*BY139,0))</f>
        <v>0</v>
      </c>
      <c r="DG139" s="118" t="str">
        <f>BX139</f>
        <v>Daniele</v>
      </c>
      <c r="DH139" s="76"/>
      <c r="DI139" s="120" t="s">
        <v>154</v>
      </c>
      <c r="DJ139" s="120"/>
      <c r="DK139" s="121"/>
      <c r="DL139" s="121"/>
      <c r="DM139" s="122">
        <v>1</v>
      </c>
      <c r="DN139" s="6"/>
      <c r="DO139" s="6"/>
      <c r="DP139" s="6"/>
      <c r="DQ139" s="6"/>
      <c r="DR139" s="6"/>
      <c r="DS139" s="6"/>
      <c r="DT139" s="6"/>
      <c r="DU139" s="6"/>
      <c r="DV139" s="6"/>
      <c r="DW139" s="6"/>
      <c r="DX139" s="6"/>
      <c r="DY139" s="6"/>
      <c r="DZ139" s="6"/>
    </row>
    <row r="140" spans="1:130" ht="34.5" hidden="1" customHeight="1">
      <c r="A140" s="228"/>
      <c r="B140" s="75" t="s">
        <v>1359</v>
      </c>
      <c r="C140" s="155"/>
      <c r="D140" s="121">
        <v>1</v>
      </c>
      <c r="E140" s="76">
        <v>1</v>
      </c>
      <c r="F140" s="121"/>
      <c r="G140" s="400" t="s">
        <v>1738</v>
      </c>
      <c r="H140" s="400" t="s">
        <v>1739</v>
      </c>
      <c r="I140" s="113" t="s">
        <v>1740</v>
      </c>
      <c r="J140" s="121" t="str">
        <f>CONCATENATE(G140," ",H140)</f>
        <v>Emanuela Nuzzo</v>
      </c>
      <c r="K140" s="156">
        <v>3404107493</v>
      </c>
      <c r="L140" s="496" t="s">
        <v>1741</v>
      </c>
      <c r="M140" s="497" t="s">
        <v>1742</v>
      </c>
      <c r="N140" s="498" t="s">
        <v>1743</v>
      </c>
      <c r="O140" s="1923"/>
      <c r="P140" s="160"/>
      <c r="Q140" s="160"/>
      <c r="R140" s="403"/>
      <c r="S140" s="160"/>
      <c r="T140" s="160"/>
      <c r="U140" s="160"/>
      <c r="V140" s="160"/>
      <c r="W140" s="160"/>
      <c r="X140" s="131"/>
      <c r="Y140" s="160"/>
      <c r="Z140" s="160"/>
      <c r="AA140" s="160"/>
      <c r="AB140" s="37"/>
      <c r="AC140" s="131"/>
      <c r="AD140" s="121" t="s">
        <v>1744</v>
      </c>
      <c r="AE140" s="88"/>
      <c r="AF140" s="321"/>
      <c r="AG140" s="1972"/>
      <c r="AH140" s="1972"/>
      <c r="AI140" s="321"/>
      <c r="AJ140" s="221"/>
      <c r="AK140" s="221"/>
      <c r="AL140" s="221"/>
      <c r="AM140" s="211"/>
      <c r="AN140" s="90"/>
      <c r="AO140" s="90"/>
      <c r="AP140" s="90"/>
      <c r="AQ140" s="213"/>
      <c r="AR140" s="75"/>
      <c r="AS140" s="75"/>
      <c r="AT140" s="75"/>
      <c r="AU140" s="211"/>
      <c r="AV140" s="121"/>
      <c r="AW140" s="121"/>
      <c r="AX140" s="121"/>
      <c r="AY140" s="214"/>
      <c r="AZ140" s="121" t="s">
        <v>115</v>
      </c>
      <c r="BA140" s="121" t="s">
        <v>115</v>
      </c>
      <c r="BB140" s="135" t="s">
        <v>115</v>
      </c>
      <c r="BC140" s="215"/>
      <c r="BD140" s="121"/>
      <c r="BE140" s="121"/>
      <c r="BF140" s="121"/>
      <c r="BG140" s="216"/>
      <c r="BH140" s="92">
        <f>CF140+CI140+CL140+CO140+CR140</f>
        <v>3497</v>
      </c>
      <c r="BI140" s="92">
        <f>CH140+CK140+CN140+CQ140+CT140</f>
        <v>3497</v>
      </c>
      <c r="BJ140" s="92">
        <f>BH140-BI140</f>
        <v>0</v>
      </c>
      <c r="BK140" s="375"/>
      <c r="BL140" s="376"/>
      <c r="BM140" s="95"/>
      <c r="BN140" s="142">
        <v>3497</v>
      </c>
      <c r="BO140" s="182"/>
      <c r="BP140" s="2037" t="s">
        <v>262</v>
      </c>
      <c r="BQ140" s="98">
        <v>0.15</v>
      </c>
      <c r="BR140" s="110"/>
      <c r="BS140" s="242">
        <f>BL140*BQ140</f>
        <v>0</v>
      </c>
      <c r="BT140" s="203">
        <f>BM140*BQ140</f>
        <v>0</v>
      </c>
      <c r="BU140" s="167">
        <f>BN140*BQ140</f>
        <v>524.54999999999995</v>
      </c>
      <c r="BV140" s="168">
        <f>BO140*BQ140</f>
        <v>0</v>
      </c>
      <c r="BW140" s="84" t="s">
        <v>185</v>
      </c>
      <c r="BX140" s="105" t="s">
        <v>262</v>
      </c>
      <c r="BY140" s="145">
        <v>0.05</v>
      </c>
      <c r="BZ140" s="378"/>
      <c r="CA140" s="2085">
        <f>BL140*BY140</f>
        <v>0</v>
      </c>
      <c r="CB140" s="101">
        <f>BM140*BY140</f>
        <v>0</v>
      </c>
      <c r="CC140" s="106">
        <f>BN140*BY140</f>
        <v>174.85000000000002</v>
      </c>
      <c r="CD140" s="107">
        <f>BO140*BY140</f>
        <v>0</v>
      </c>
      <c r="CE140" s="805" t="s">
        <v>185</v>
      </c>
      <c r="CF140" s="108">
        <f>1920/1.22</f>
        <v>1573.7704918032787</v>
      </c>
      <c r="CG140" s="109">
        <v>45198</v>
      </c>
      <c r="CH140" s="110">
        <f>1920/1.22</f>
        <v>1573.7704918032787</v>
      </c>
      <c r="CI140" s="108">
        <f>3497-CF140</f>
        <v>1923.2295081967213</v>
      </c>
      <c r="CJ140" s="109">
        <v>45226</v>
      </c>
      <c r="CK140" s="108">
        <f>3497-CH140</f>
        <v>1923.2295081967213</v>
      </c>
      <c r="CL140" s="2106"/>
      <c r="CM140" s="184"/>
      <c r="CN140" s="2106"/>
      <c r="CO140" s="130"/>
      <c r="CP140" s="130"/>
      <c r="CQ140" s="130"/>
      <c r="CR140" s="130"/>
      <c r="CS140" s="130"/>
      <c r="CT140" s="130"/>
      <c r="CU140" s="90">
        <v>1</v>
      </c>
      <c r="CV140" s="112"/>
      <c r="CW140" s="222"/>
      <c r="CX140" s="621"/>
      <c r="CY140" s="90"/>
      <c r="CZ140" s="75"/>
      <c r="DA140" s="2132" t="s">
        <v>1745</v>
      </c>
      <c r="DB140" s="115" t="str">
        <f>PROPER(N140)</f>
        <v>Seom - Nelibe</v>
      </c>
      <c r="DC140" s="2162" t="s">
        <v>1746</v>
      </c>
      <c r="DD140" s="116" t="str">
        <f>BP140</f>
        <v>Pacci</v>
      </c>
      <c r="DE140" s="117">
        <f>IF(OR(D140&gt;0),IF(BJ140=0,BN140*BQ140,0))</f>
        <v>524.54999999999995</v>
      </c>
      <c r="DF140" s="117">
        <f>IF(OR(D140&gt;0),IF(BJ140=0,BN140*BY140,0))</f>
        <v>174.85000000000002</v>
      </c>
      <c r="DG140" s="118" t="str">
        <f>BX140</f>
        <v>Pacci</v>
      </c>
      <c r="DH140" s="76"/>
      <c r="DI140" s="120" t="s">
        <v>126</v>
      </c>
      <c r="DJ140" s="120"/>
      <c r="DK140" s="74" t="s">
        <v>1366</v>
      </c>
      <c r="DL140" s="74" t="s">
        <v>1366</v>
      </c>
      <c r="DM140" s="122">
        <v>1</v>
      </c>
      <c r="DN140" s="6"/>
      <c r="DO140" s="6"/>
      <c r="DP140" s="6"/>
      <c r="DQ140" s="6"/>
      <c r="DR140" s="6"/>
      <c r="DS140" s="6"/>
      <c r="DT140" s="6"/>
      <c r="DU140" s="6"/>
      <c r="DV140" s="6"/>
      <c r="DW140" s="6"/>
      <c r="DX140" s="6"/>
      <c r="DY140" s="6"/>
      <c r="DZ140" s="6"/>
    </row>
    <row r="141" spans="1:130" ht="34.5" hidden="1" customHeight="1">
      <c r="A141" s="3"/>
      <c r="B141" s="75" t="s">
        <v>108</v>
      </c>
      <c r="C141" s="121"/>
      <c r="D141" s="75">
        <v>1</v>
      </c>
      <c r="E141" s="76">
        <v>1</v>
      </c>
      <c r="F141" s="76"/>
      <c r="G141" s="79" t="s">
        <v>424</v>
      </c>
      <c r="H141" s="79" t="s">
        <v>425</v>
      </c>
      <c r="I141" s="80" t="s">
        <v>426</v>
      </c>
      <c r="J141" s="121" t="str">
        <f>CONCATENATE(G141," ",H141)</f>
        <v>Emiliano Rabaglino</v>
      </c>
      <c r="K141" s="156">
        <v>3401718935</v>
      </c>
      <c r="L141" s="157"/>
      <c r="M141" s="83" t="s">
        <v>427</v>
      </c>
      <c r="N141" s="84" t="s">
        <v>139</v>
      </c>
      <c r="O141" s="85"/>
      <c r="P141" s="86"/>
      <c r="Q141" s="86"/>
      <c r="R141" s="86"/>
      <c r="S141" s="86"/>
      <c r="T141" s="86"/>
      <c r="U141" s="86"/>
      <c r="V141" s="86"/>
      <c r="W141" s="86"/>
      <c r="X141" s="86"/>
      <c r="Y141" s="87"/>
      <c r="Z141" s="86"/>
      <c r="AA141" s="86"/>
      <c r="AB141" s="86"/>
      <c r="AC141" s="86"/>
      <c r="AD141" s="86" t="s">
        <v>140</v>
      </c>
      <c r="AE141" s="88">
        <f>L141</f>
        <v>0</v>
      </c>
      <c r="AF141" s="211"/>
      <c r="AG141" s="212"/>
      <c r="AH141" s="212"/>
      <c r="AI141" s="211"/>
      <c r="AJ141" s="212"/>
      <c r="AK141" s="212"/>
      <c r="AL141" s="212"/>
      <c r="AM141" s="211"/>
      <c r="AN141" s="90"/>
      <c r="AO141" s="90"/>
      <c r="AP141" s="90"/>
      <c r="AQ141" s="213"/>
      <c r="AR141" s="75"/>
      <c r="AS141" s="75"/>
      <c r="AT141" s="75"/>
      <c r="AU141" s="211"/>
      <c r="AV141" s="75"/>
      <c r="AW141" s="121"/>
      <c r="AX141" s="121"/>
      <c r="AY141" s="214"/>
      <c r="AZ141" s="121" t="s">
        <v>115</v>
      </c>
      <c r="BA141" s="121" t="s">
        <v>115</v>
      </c>
      <c r="BB141" s="135" t="s">
        <v>115</v>
      </c>
      <c r="BC141" s="215"/>
      <c r="BD141" s="121"/>
      <c r="BE141" s="121"/>
      <c r="BF141" s="121"/>
      <c r="BG141" s="216"/>
      <c r="BH141" s="92">
        <f>CF141+CI141+CL141+CO141+CR141</f>
        <v>2797</v>
      </c>
      <c r="BI141" s="92">
        <f>CH141+CK141+CN141+CQ141+CT141</f>
        <v>2797</v>
      </c>
      <c r="BJ141" s="92">
        <f>BH141-BI141</f>
        <v>0</v>
      </c>
      <c r="BK141" s="217"/>
      <c r="BL141" s="218"/>
      <c r="BM141" s="95"/>
      <c r="BN141" s="127">
        <v>2797</v>
      </c>
      <c r="BO141" s="128"/>
      <c r="BP141" s="80" t="s">
        <v>141</v>
      </c>
      <c r="BQ141" s="98">
        <v>0.15</v>
      </c>
      <c r="BR141" s="201"/>
      <c r="BS141" s="202"/>
      <c r="BT141" s="203">
        <f>BM141*BQ141</f>
        <v>0</v>
      </c>
      <c r="BU141" s="167"/>
      <c r="BV141" s="168">
        <f>BO141*BQ141</f>
        <v>0</v>
      </c>
      <c r="BW141" s="80" t="s">
        <v>142</v>
      </c>
      <c r="BX141" s="105" t="s">
        <v>141</v>
      </c>
      <c r="BY141" s="98">
        <v>0.05</v>
      </c>
      <c r="BZ141" s="219"/>
      <c r="CA141" s="220"/>
      <c r="CB141" s="101">
        <f>BM141*BY141</f>
        <v>0</v>
      </c>
      <c r="CC141" s="106"/>
      <c r="CD141" s="107">
        <f>BO141*BY141</f>
        <v>0</v>
      </c>
      <c r="CE141" s="80" t="s">
        <v>142</v>
      </c>
      <c r="CF141" s="108">
        <v>2797</v>
      </c>
      <c r="CG141" s="226">
        <v>45008</v>
      </c>
      <c r="CH141" s="108">
        <v>2797</v>
      </c>
      <c r="CI141" s="108"/>
      <c r="CJ141" s="109"/>
      <c r="CK141" s="111"/>
      <c r="CL141" s="111"/>
      <c r="CM141" s="109"/>
      <c r="CN141" s="111"/>
      <c r="CO141" s="111"/>
      <c r="CP141" s="111"/>
      <c r="CQ141" s="111"/>
      <c r="CR141" s="111"/>
      <c r="CS141" s="111"/>
      <c r="CT141" s="111"/>
      <c r="CU141" s="90">
        <v>1</v>
      </c>
      <c r="CV141" s="112" t="s">
        <v>121</v>
      </c>
      <c r="CW141" s="222"/>
      <c r="CX141" s="223"/>
      <c r="CY141" s="90" t="s">
        <v>122</v>
      </c>
      <c r="CZ141" s="90"/>
      <c r="DA141" s="80" t="s">
        <v>143</v>
      </c>
      <c r="DB141" s="115" t="str">
        <f>PROPER(N141)</f>
        <v>Ribes Solutions</v>
      </c>
      <c r="DC141" s="116" t="s">
        <v>144</v>
      </c>
      <c r="DD141" s="2167" t="str">
        <f>BP141</f>
        <v>Daniele</v>
      </c>
      <c r="DE141" s="117">
        <f>IF(OR(D141&gt;0),IF(BJ141=0,BN141*BQ141,0))</f>
        <v>419.55</v>
      </c>
      <c r="DF141" s="117">
        <f>IF(OR(D141&gt;0),IF(BJ141=0,BN141*BY141,0))</f>
        <v>139.85</v>
      </c>
      <c r="DG141" s="2167" t="str">
        <f>BX141</f>
        <v>Daniele</v>
      </c>
      <c r="DH141" s="76"/>
      <c r="DI141" s="120" t="s">
        <v>126</v>
      </c>
      <c r="DJ141" s="120"/>
      <c r="DK141" s="121"/>
      <c r="DL141" s="121"/>
      <c r="DM141" s="122">
        <v>1</v>
      </c>
      <c r="DN141" s="6"/>
      <c r="DO141" s="6"/>
      <c r="DP141" s="6"/>
      <c r="DQ141" s="6"/>
      <c r="DR141" s="6"/>
      <c r="DS141" s="6"/>
      <c r="DT141" s="6"/>
      <c r="DU141" s="6"/>
      <c r="DV141" s="6"/>
      <c r="DW141" s="6"/>
      <c r="DX141" s="6"/>
      <c r="DY141" s="6"/>
      <c r="DZ141" s="6"/>
    </row>
    <row r="142" spans="1:130" ht="34.5" hidden="1" customHeight="1">
      <c r="A142" s="228"/>
      <c r="B142" s="75" t="s">
        <v>902</v>
      </c>
      <c r="C142" s="121"/>
      <c r="D142" s="121"/>
      <c r="E142" s="76"/>
      <c r="F142" s="229"/>
      <c r="G142" s="197" t="s">
        <v>925</v>
      </c>
      <c r="H142" s="197"/>
      <c r="I142" s="80"/>
      <c r="J142" s="155" t="str">
        <f>CONCATENATE(G142," ",H142)</f>
        <v xml:space="preserve">Yourbiz </v>
      </c>
      <c r="K142" s="224"/>
      <c r="L142" s="131"/>
      <c r="M142" s="131"/>
      <c r="N142" s="84" t="s">
        <v>925</v>
      </c>
      <c r="O142" s="230"/>
      <c r="P142" s="231"/>
      <c r="Q142" s="231"/>
      <c r="R142" s="80"/>
      <c r="S142" s="232"/>
      <c r="T142" s="160"/>
      <c r="U142" s="160"/>
      <c r="V142" s="160"/>
      <c r="W142" s="233"/>
      <c r="X142" s="234"/>
      <c r="Y142" s="233"/>
      <c r="Z142" s="233"/>
      <c r="AA142" s="233"/>
      <c r="AB142" s="37"/>
      <c r="AC142" s="37"/>
      <c r="AD142" s="37"/>
      <c r="AE142" s="138">
        <f>L142</f>
        <v>0</v>
      </c>
      <c r="AF142" s="198"/>
      <c r="AG142" s="121"/>
      <c r="AH142" s="121"/>
      <c r="AI142" s="198"/>
      <c r="AJ142" s="121"/>
      <c r="AK142" s="121"/>
      <c r="AL142" s="121"/>
      <c r="AM142" s="198"/>
      <c r="AN142" s="155"/>
      <c r="AO142" s="155"/>
      <c r="AP142" s="155"/>
      <c r="AQ142" s="235"/>
      <c r="AR142" s="121"/>
      <c r="AS142" s="121"/>
      <c r="AT142" s="121"/>
      <c r="AU142" s="236"/>
      <c r="AV142" s="121"/>
      <c r="AW142" s="121"/>
      <c r="AX142" s="121"/>
      <c r="AY142" s="236"/>
      <c r="AZ142" s="121"/>
      <c r="BA142" s="121"/>
      <c r="BB142" s="121"/>
      <c r="BC142" s="237"/>
      <c r="BD142" s="121" t="s">
        <v>27</v>
      </c>
      <c r="BE142" s="121" t="s">
        <v>27</v>
      </c>
      <c r="BF142" s="121" t="s">
        <v>27</v>
      </c>
      <c r="BG142" s="237"/>
      <c r="BH142" s="238">
        <v>4336</v>
      </c>
      <c r="BI142" s="238">
        <f>CH142+CK142+CN142+CQ142+CT142</f>
        <v>4336</v>
      </c>
      <c r="BJ142" s="238">
        <f>BH142-BI142</f>
        <v>0</v>
      </c>
      <c r="BK142" s="239"/>
      <c r="BL142" s="240"/>
      <c r="BM142" s="241">
        <v>4336</v>
      </c>
      <c r="BN142" s="142"/>
      <c r="BO142" s="182"/>
      <c r="BP142" s="80" t="s">
        <v>451</v>
      </c>
      <c r="BQ142" s="98">
        <v>0.05</v>
      </c>
      <c r="BR142" s="110">
        <f>BH142*BQ142</f>
        <v>216.8</v>
      </c>
      <c r="BS142" s="242"/>
      <c r="BT142" s="203">
        <v>0</v>
      </c>
      <c r="BU142" s="102">
        <f>BN142*BQ142</f>
        <v>0</v>
      </c>
      <c r="BV142" s="103">
        <f>BO142*BQ142</f>
        <v>0</v>
      </c>
      <c r="BW142" s="243"/>
      <c r="BX142" s="105" t="s">
        <v>184</v>
      </c>
      <c r="BY142" s="145">
        <v>0.1</v>
      </c>
      <c r="BZ142" s="110"/>
      <c r="CA142" s="242"/>
      <c r="CB142" s="101">
        <v>0</v>
      </c>
      <c r="CC142" s="106">
        <f>BN142*BY142</f>
        <v>0</v>
      </c>
      <c r="CD142" s="107">
        <f>BO142*BY142</f>
        <v>0</v>
      </c>
      <c r="CE142" s="244"/>
      <c r="CF142" s="110">
        <v>4336</v>
      </c>
      <c r="CG142" s="226">
        <v>44957</v>
      </c>
      <c r="CH142" s="110">
        <v>4336</v>
      </c>
      <c r="CI142" s="108"/>
      <c r="CJ142" s="109"/>
      <c r="CK142" s="206"/>
      <c r="CL142" s="206"/>
      <c r="CM142" s="109"/>
      <c r="CN142" s="206"/>
      <c r="CO142" s="206"/>
      <c r="CP142" s="206"/>
      <c r="CQ142" s="206"/>
      <c r="CR142" s="206"/>
      <c r="CS142" s="206"/>
      <c r="CT142" s="206"/>
      <c r="CU142" s="245"/>
      <c r="CV142" s="181"/>
      <c r="CW142" s="246"/>
      <c r="CX142" s="247"/>
      <c r="CY142" s="155"/>
      <c r="CZ142" s="155"/>
      <c r="DA142" s="131" t="s">
        <v>926</v>
      </c>
      <c r="DB142" s="115" t="str">
        <f>PROPER(N142)</f>
        <v>Yourbiz</v>
      </c>
      <c r="DC142" s="116"/>
      <c r="DD142" s="116" t="str">
        <f>BP142</f>
        <v>Fabio</v>
      </c>
      <c r="DE142" s="117" t="b">
        <f>IF(OR(D142&gt;0),IF(BJ142=0,BN142*BQ142,0))</f>
        <v>0</v>
      </c>
      <c r="DF142" s="117" t="b">
        <f>IF(OR(D142&gt;0),IF(BJ142=0,BN142*BY142,0))</f>
        <v>0</v>
      </c>
      <c r="DG142" s="116" t="str">
        <f>BX142</f>
        <v>Cristian A</v>
      </c>
      <c r="DH142" s="76"/>
      <c r="DI142" s="120" t="s">
        <v>154</v>
      </c>
      <c r="DJ142" s="120"/>
      <c r="DK142" s="207"/>
      <c r="DL142" s="207"/>
      <c r="DM142" s="248">
        <v>1</v>
      </c>
    </row>
    <row r="143" spans="1:130" ht="34.5" hidden="1" customHeight="1">
      <c r="A143" s="228"/>
      <c r="B143" s="75" t="s">
        <v>902</v>
      </c>
      <c r="C143" s="121"/>
      <c r="D143" s="75"/>
      <c r="E143" s="76"/>
      <c r="F143" s="75"/>
      <c r="G143" s="197" t="s">
        <v>927</v>
      </c>
      <c r="H143" s="197"/>
      <c r="I143" s="207"/>
      <c r="J143" s="155" t="str">
        <f>CONCATENATE(G143," ",H143)</f>
        <v xml:space="preserve">Partecipante 1 RADIO TICINO </v>
      </c>
      <c r="K143" s="156"/>
      <c r="L143" s="131"/>
      <c r="M143" s="131"/>
      <c r="N143" s="249" t="s">
        <v>928</v>
      </c>
      <c r="O143" s="250"/>
      <c r="P143" s="251"/>
      <c r="Q143" s="131"/>
      <c r="R143" s="252"/>
      <c r="S143" s="253"/>
      <c r="T143" s="254"/>
      <c r="U143" s="254"/>
      <c r="V143" s="254"/>
      <c r="W143" s="131"/>
      <c r="X143" s="131"/>
      <c r="Y143" s="131"/>
      <c r="Z143" s="131"/>
      <c r="AA143" s="131"/>
      <c r="AB143" s="255"/>
      <c r="AC143" s="256"/>
      <c r="AD143" s="121"/>
      <c r="AE143" s="138">
        <f>L143</f>
        <v>0</v>
      </c>
      <c r="AF143" s="257"/>
      <c r="AG143" s="155"/>
      <c r="AH143" s="155"/>
      <c r="AI143" s="257"/>
      <c r="AJ143" s="155"/>
      <c r="AK143" s="155"/>
      <c r="AL143" s="155"/>
      <c r="AM143" s="257"/>
      <c r="AN143" s="258"/>
      <c r="AO143" s="258"/>
      <c r="AP143" s="258"/>
      <c r="AQ143" s="211"/>
      <c r="AR143" s="259"/>
      <c r="AS143" s="259"/>
      <c r="AT143" s="259"/>
      <c r="AU143" s="211"/>
      <c r="AV143" s="121"/>
      <c r="AW143" s="121"/>
      <c r="AX143" s="121"/>
      <c r="AY143" s="214"/>
      <c r="AZ143" s="154" t="s">
        <v>165</v>
      </c>
      <c r="BA143" s="154" t="s">
        <v>165</v>
      </c>
      <c r="BB143" s="154" t="s">
        <v>165</v>
      </c>
      <c r="BC143" s="215"/>
      <c r="BD143" s="121"/>
      <c r="BE143" s="121"/>
      <c r="BF143" s="121"/>
      <c r="BG143" s="216"/>
      <c r="BH143" s="238">
        <v>0</v>
      </c>
      <c r="BI143" s="238">
        <f>CH143+CK143+CN143+CQ143+CT143</f>
        <v>0</v>
      </c>
      <c r="BJ143" s="238">
        <f>BH143-BI143</f>
        <v>0</v>
      </c>
      <c r="BK143" s="239"/>
      <c r="BL143" s="260">
        <v>0</v>
      </c>
      <c r="BM143" s="241"/>
      <c r="BN143" s="142"/>
      <c r="BO143" s="182"/>
      <c r="BP143" s="80" t="s">
        <v>184</v>
      </c>
      <c r="BQ143" s="145">
        <v>0.05</v>
      </c>
      <c r="BR143" s="261"/>
      <c r="BS143" s="242">
        <f>BL143*BQ143</f>
        <v>0</v>
      </c>
      <c r="BT143" s="101">
        <f>BM143*BQ143</f>
        <v>0</v>
      </c>
      <c r="BU143" s="102">
        <f>BN143*BQ143</f>
        <v>0</v>
      </c>
      <c r="BV143" s="103">
        <f>BO143*BQ143</f>
        <v>0</v>
      </c>
      <c r="BW143" s="131"/>
      <c r="BX143" s="105" t="s">
        <v>184</v>
      </c>
      <c r="BY143" s="145">
        <v>0.15</v>
      </c>
      <c r="BZ143" s="262"/>
      <c r="CA143" s="242">
        <f>BL143*BY143</f>
        <v>0</v>
      </c>
      <c r="CB143" s="101">
        <f>BM143*BY143</f>
        <v>0</v>
      </c>
      <c r="CC143" s="106">
        <f>BN143*BY143</f>
        <v>0</v>
      </c>
      <c r="CD143" s="107">
        <f>BO143*BY143</f>
        <v>0</v>
      </c>
      <c r="CE143" s="155"/>
      <c r="CF143" s="110">
        <f>8991/3</f>
        <v>2997</v>
      </c>
      <c r="CG143" s="263" t="s">
        <v>153</v>
      </c>
      <c r="CH143" s="110"/>
      <c r="CI143" s="108"/>
      <c r="CJ143" s="109"/>
      <c r="CK143" s="110"/>
      <c r="CL143" s="110"/>
      <c r="CM143" s="109"/>
      <c r="CN143" s="110"/>
      <c r="CO143" s="110"/>
      <c r="CP143" s="226"/>
      <c r="CQ143" s="110"/>
      <c r="CR143" s="110"/>
      <c r="CS143" s="226"/>
      <c r="CT143" s="110"/>
      <c r="CU143" s="90">
        <v>1</v>
      </c>
      <c r="CV143" s="181" t="s">
        <v>929</v>
      </c>
      <c r="CW143" s="181"/>
      <c r="CX143" s="207"/>
      <c r="CY143" s="207"/>
      <c r="CZ143" s="155"/>
      <c r="DA143" s="131" t="s">
        <v>930</v>
      </c>
      <c r="DB143" s="115" t="str">
        <f>PROPER(N143)</f>
        <v>Radio Ticino</v>
      </c>
      <c r="DC143" s="116"/>
      <c r="DD143" s="116" t="str">
        <f>BP143</f>
        <v>Cristian A</v>
      </c>
      <c r="DE143" s="117" t="b">
        <f>IF(OR(D143&gt;0),IF(BJ143=0,BN143*BQ143,0))</f>
        <v>0</v>
      </c>
      <c r="DF143" s="117" t="b">
        <f>IF(OR(D143&gt;0),IF(BJ143=0,BN143*BY143,0))</f>
        <v>0</v>
      </c>
      <c r="DG143" s="116" t="str">
        <f>BX143</f>
        <v>Cristian A</v>
      </c>
      <c r="DH143" s="76"/>
      <c r="DI143" s="120" t="s">
        <v>154</v>
      </c>
      <c r="DJ143" s="120"/>
      <c r="DK143" s="207"/>
      <c r="DL143" s="207"/>
      <c r="DM143" s="264"/>
      <c r="DN143" s="265"/>
      <c r="DO143" s="265"/>
      <c r="DP143" s="265"/>
      <c r="DQ143" s="265"/>
      <c r="DR143" s="265"/>
      <c r="DS143" s="265"/>
      <c r="DT143" s="265"/>
      <c r="DU143" s="265"/>
      <c r="DV143" s="265"/>
      <c r="DW143" s="265"/>
      <c r="DX143" s="265"/>
      <c r="DY143" s="265"/>
      <c r="DZ143" s="265"/>
    </row>
    <row r="144" spans="1:130" ht="34.5" hidden="1" customHeight="1">
      <c r="A144" s="228"/>
      <c r="B144" s="75" t="s">
        <v>902</v>
      </c>
      <c r="C144" s="121"/>
      <c r="D144" s="75"/>
      <c r="E144" s="76"/>
      <c r="F144" s="75"/>
      <c r="G144" s="197" t="s">
        <v>931</v>
      </c>
      <c r="H144" s="197"/>
      <c r="I144" s="207"/>
      <c r="J144" s="155" t="str">
        <f>CONCATENATE(G144," ",H144)</f>
        <v xml:space="preserve">Partecipante 2 RADIO TICINO </v>
      </c>
      <c r="K144" s="156"/>
      <c r="L144" s="131"/>
      <c r="M144" s="131"/>
      <c r="N144" s="249" t="s">
        <v>928</v>
      </c>
      <c r="O144" s="250"/>
      <c r="P144" s="251"/>
      <c r="Q144" s="131"/>
      <c r="R144" s="252"/>
      <c r="S144" s="253"/>
      <c r="T144" s="254"/>
      <c r="U144" s="254"/>
      <c r="V144" s="254"/>
      <c r="W144" s="131"/>
      <c r="X144" s="131"/>
      <c r="Y144" s="131"/>
      <c r="Z144" s="131"/>
      <c r="AA144" s="131"/>
      <c r="AB144" s="255"/>
      <c r="AC144" s="256"/>
      <c r="AD144" s="121"/>
      <c r="AE144" s="138">
        <f>L144</f>
        <v>0</v>
      </c>
      <c r="AF144" s="257"/>
      <c r="AG144" s="155"/>
      <c r="AH144" s="155"/>
      <c r="AI144" s="257"/>
      <c r="AJ144" s="155"/>
      <c r="AK144" s="155"/>
      <c r="AL144" s="155"/>
      <c r="AM144" s="257"/>
      <c r="AN144" s="258"/>
      <c r="AO144" s="258"/>
      <c r="AP144" s="258"/>
      <c r="AQ144" s="211"/>
      <c r="AR144" s="259"/>
      <c r="AS144" s="259"/>
      <c r="AT144" s="259"/>
      <c r="AU144" s="211"/>
      <c r="AV144" s="121"/>
      <c r="AW144" s="121"/>
      <c r="AX144" s="121"/>
      <c r="AY144" s="214"/>
      <c r="AZ144" s="154" t="s">
        <v>165</v>
      </c>
      <c r="BA144" s="154" t="s">
        <v>165</v>
      </c>
      <c r="BB144" s="154" t="s">
        <v>165</v>
      </c>
      <c r="BC144" s="215"/>
      <c r="BD144" s="121"/>
      <c r="BE144" s="121"/>
      <c r="BF144" s="121"/>
      <c r="BG144" s="216"/>
      <c r="BH144" s="238">
        <v>0</v>
      </c>
      <c r="BI144" s="238">
        <f>CH144+CK144+CN144+CQ144+CT144</f>
        <v>0</v>
      </c>
      <c r="BJ144" s="238">
        <f>BH144-BI144</f>
        <v>0</v>
      </c>
      <c r="BK144" s="239"/>
      <c r="BL144" s="260">
        <v>0</v>
      </c>
      <c r="BM144" s="241"/>
      <c r="BN144" s="142"/>
      <c r="BO144" s="182"/>
      <c r="BP144" s="80" t="s">
        <v>184</v>
      </c>
      <c r="BQ144" s="145">
        <v>0.05</v>
      </c>
      <c r="BR144" s="261"/>
      <c r="BS144" s="242">
        <f>BL144*BQ144</f>
        <v>0</v>
      </c>
      <c r="BT144" s="101">
        <f>BM144*BQ144</f>
        <v>0</v>
      </c>
      <c r="BU144" s="102">
        <f>BN144*BQ144</f>
        <v>0</v>
      </c>
      <c r="BV144" s="103">
        <f>BO144*BQ144</f>
        <v>0</v>
      </c>
      <c r="BW144" s="131"/>
      <c r="BX144" s="105" t="s">
        <v>184</v>
      </c>
      <c r="BY144" s="145">
        <v>0.15</v>
      </c>
      <c r="BZ144" s="262"/>
      <c r="CA144" s="242">
        <f>BL144*BY144</f>
        <v>0</v>
      </c>
      <c r="CB144" s="101">
        <f>BM144*BY144</f>
        <v>0</v>
      </c>
      <c r="CC144" s="106">
        <f>BN144*BY144</f>
        <v>0</v>
      </c>
      <c r="CD144" s="107">
        <f>BO144*BY144</f>
        <v>0</v>
      </c>
      <c r="CE144" s="155"/>
      <c r="CF144" s="110">
        <f>8991/3</f>
        <v>2997</v>
      </c>
      <c r="CG144" s="263" t="s">
        <v>153</v>
      </c>
      <c r="CH144" s="110"/>
      <c r="CI144" s="108"/>
      <c r="CJ144" s="109"/>
      <c r="CK144" s="110"/>
      <c r="CL144" s="110"/>
      <c r="CM144" s="109"/>
      <c r="CN144" s="110"/>
      <c r="CO144" s="110"/>
      <c r="CP144" s="226"/>
      <c r="CQ144" s="110"/>
      <c r="CR144" s="110"/>
      <c r="CS144" s="226"/>
      <c r="CT144" s="110"/>
      <c r="CU144" s="90">
        <v>1</v>
      </c>
      <c r="CV144" s="181" t="s">
        <v>929</v>
      </c>
      <c r="CW144" s="181"/>
      <c r="CX144" s="207"/>
      <c r="CY144" s="207"/>
      <c r="CZ144" s="155"/>
      <c r="DA144" s="131" t="s">
        <v>930</v>
      </c>
      <c r="DB144" s="115" t="str">
        <f>PROPER(N144)</f>
        <v>Radio Ticino</v>
      </c>
      <c r="DC144" s="116"/>
      <c r="DD144" s="116" t="str">
        <f>BP144</f>
        <v>Cristian A</v>
      </c>
      <c r="DE144" s="117" t="b">
        <f>IF(OR(D144&gt;0),IF(BJ144=0,BN144*BQ144,0))</f>
        <v>0</v>
      </c>
      <c r="DF144" s="117" t="b">
        <f>IF(OR(D144&gt;0),IF(BJ144=0,BN144*BY144,0))</f>
        <v>0</v>
      </c>
      <c r="DG144" s="116" t="str">
        <f>BX144</f>
        <v>Cristian A</v>
      </c>
      <c r="DH144" s="76"/>
      <c r="DI144" s="120" t="s">
        <v>154</v>
      </c>
      <c r="DJ144" s="120"/>
      <c r="DK144" s="207"/>
      <c r="DL144" s="207"/>
      <c r="DM144" s="264"/>
      <c r="DN144" s="265"/>
      <c r="DO144" s="265"/>
      <c r="DP144" s="265"/>
      <c r="DQ144" s="265"/>
      <c r="DR144" s="265"/>
      <c r="DS144" s="265"/>
      <c r="DT144" s="265"/>
      <c r="DU144" s="265"/>
      <c r="DV144" s="265"/>
      <c r="DW144" s="265"/>
      <c r="DX144" s="265"/>
      <c r="DY144" s="265"/>
      <c r="DZ144" s="265"/>
    </row>
    <row r="145" spans="1:130" ht="34.5" hidden="1" customHeight="1">
      <c r="A145" s="228"/>
      <c r="B145" s="75" t="s">
        <v>902</v>
      </c>
      <c r="C145" s="121"/>
      <c r="D145" s="75"/>
      <c r="E145" s="76"/>
      <c r="F145" s="75"/>
      <c r="G145" s="197" t="s">
        <v>932</v>
      </c>
      <c r="H145" s="197"/>
      <c r="I145" s="207"/>
      <c r="J145" s="155" t="str">
        <f>CONCATENATE(G145," ",H145)</f>
        <v xml:space="preserve">Partecipante 3 RADIO TICINO </v>
      </c>
      <c r="K145" s="156"/>
      <c r="L145" s="131"/>
      <c r="M145" s="131"/>
      <c r="N145" s="249" t="s">
        <v>928</v>
      </c>
      <c r="O145" s="250"/>
      <c r="P145" s="251"/>
      <c r="Q145" s="131"/>
      <c r="R145" s="252"/>
      <c r="S145" s="253"/>
      <c r="T145" s="254"/>
      <c r="U145" s="254"/>
      <c r="V145" s="254"/>
      <c r="W145" s="131"/>
      <c r="X145" s="131"/>
      <c r="Y145" s="131"/>
      <c r="Z145" s="131"/>
      <c r="AA145" s="131"/>
      <c r="AB145" s="255"/>
      <c r="AC145" s="256"/>
      <c r="AD145" s="121"/>
      <c r="AE145" s="138">
        <f>L145</f>
        <v>0</v>
      </c>
      <c r="AF145" s="257"/>
      <c r="AG145" s="155"/>
      <c r="AH145" s="155"/>
      <c r="AI145" s="257"/>
      <c r="AJ145" s="155"/>
      <c r="AK145" s="155"/>
      <c r="AL145" s="155"/>
      <c r="AM145" s="257"/>
      <c r="AN145" s="258"/>
      <c r="AO145" s="258"/>
      <c r="AP145" s="258"/>
      <c r="AQ145" s="211"/>
      <c r="AR145" s="259"/>
      <c r="AS145" s="259"/>
      <c r="AT145" s="259"/>
      <c r="AU145" s="211"/>
      <c r="AV145" s="121"/>
      <c r="AW145" s="121"/>
      <c r="AX145" s="121"/>
      <c r="AY145" s="214"/>
      <c r="AZ145" s="154" t="s">
        <v>165</v>
      </c>
      <c r="BA145" s="154" t="s">
        <v>165</v>
      </c>
      <c r="BB145" s="154" t="s">
        <v>165</v>
      </c>
      <c r="BC145" s="215"/>
      <c r="BD145" s="121"/>
      <c r="BE145" s="121"/>
      <c r="BF145" s="121"/>
      <c r="BG145" s="216"/>
      <c r="BH145" s="238">
        <v>0</v>
      </c>
      <c r="BI145" s="238">
        <f>CH145+CK145+CN145+CQ145+CT145</f>
        <v>0</v>
      </c>
      <c r="BJ145" s="238">
        <f>BH145-BI145</f>
        <v>0</v>
      </c>
      <c r="BK145" s="239"/>
      <c r="BL145" s="260">
        <v>0</v>
      </c>
      <c r="BM145" s="241"/>
      <c r="BN145" s="142"/>
      <c r="BO145" s="182"/>
      <c r="BP145" s="80" t="s">
        <v>184</v>
      </c>
      <c r="BQ145" s="145">
        <v>0.05</v>
      </c>
      <c r="BR145" s="261"/>
      <c r="BS145" s="242">
        <f>BL145*BQ145</f>
        <v>0</v>
      </c>
      <c r="BT145" s="101">
        <f>BM145*BQ145</f>
        <v>0</v>
      </c>
      <c r="BU145" s="102">
        <f>BN145*BQ145</f>
        <v>0</v>
      </c>
      <c r="BV145" s="103">
        <f>BO145*BQ145</f>
        <v>0</v>
      </c>
      <c r="BW145" s="131"/>
      <c r="BX145" s="105" t="s">
        <v>184</v>
      </c>
      <c r="BY145" s="145">
        <v>0.15</v>
      </c>
      <c r="BZ145" s="262"/>
      <c r="CA145" s="242">
        <f>BL145*BY145</f>
        <v>0</v>
      </c>
      <c r="CB145" s="101">
        <f>BM145*BY145</f>
        <v>0</v>
      </c>
      <c r="CC145" s="106">
        <f>BN145*BY145</f>
        <v>0</v>
      </c>
      <c r="CD145" s="107">
        <f>BO145*BY145</f>
        <v>0</v>
      </c>
      <c r="CE145" s="155"/>
      <c r="CF145" s="110">
        <f>8991/3</f>
        <v>2997</v>
      </c>
      <c r="CG145" s="263" t="s">
        <v>153</v>
      </c>
      <c r="CH145" s="110"/>
      <c r="CI145" s="108"/>
      <c r="CJ145" s="109"/>
      <c r="CK145" s="110"/>
      <c r="CL145" s="110"/>
      <c r="CM145" s="109"/>
      <c r="CN145" s="110"/>
      <c r="CO145" s="110"/>
      <c r="CP145" s="226"/>
      <c r="CQ145" s="110"/>
      <c r="CR145" s="110"/>
      <c r="CS145" s="226"/>
      <c r="CT145" s="110"/>
      <c r="CU145" s="90">
        <v>1</v>
      </c>
      <c r="CV145" s="181" t="s">
        <v>929</v>
      </c>
      <c r="CW145" s="181"/>
      <c r="CX145" s="207"/>
      <c r="CY145" s="207"/>
      <c r="CZ145" s="155"/>
      <c r="DA145" s="131" t="s">
        <v>930</v>
      </c>
      <c r="DB145" s="115" t="str">
        <f>PROPER(N145)</f>
        <v>Radio Ticino</v>
      </c>
      <c r="DC145" s="116"/>
      <c r="DD145" s="116" t="str">
        <f>BP145</f>
        <v>Cristian A</v>
      </c>
      <c r="DE145" s="117" t="b">
        <f>IF(OR(D145&gt;0),IF(BJ145=0,BN145*BQ145,0))</f>
        <v>0</v>
      </c>
      <c r="DF145" s="117" t="b">
        <f>IF(OR(D145&gt;0),IF(BJ145=0,BN145*BY145,0))</f>
        <v>0</v>
      </c>
      <c r="DG145" s="116" t="str">
        <f>BX145</f>
        <v>Cristian A</v>
      </c>
      <c r="DH145" s="76"/>
      <c r="DI145" s="120" t="s">
        <v>154</v>
      </c>
      <c r="DJ145" s="120"/>
      <c r="DK145" s="207"/>
      <c r="DL145" s="207"/>
      <c r="DM145" s="264"/>
      <c r="DN145" s="265"/>
      <c r="DO145" s="265"/>
      <c r="DP145" s="265"/>
      <c r="DQ145" s="265"/>
      <c r="DR145" s="265"/>
      <c r="DS145" s="265"/>
      <c r="DT145" s="265"/>
      <c r="DU145" s="265"/>
      <c r="DV145" s="265"/>
      <c r="DW145" s="265"/>
      <c r="DX145" s="265"/>
      <c r="DY145" s="265"/>
      <c r="DZ145" s="265"/>
    </row>
    <row r="146" spans="1:130" ht="34.5" hidden="1" customHeight="1">
      <c r="A146" s="228"/>
      <c r="B146" s="75" t="s">
        <v>1359</v>
      </c>
      <c r="C146" s="90"/>
      <c r="D146" s="75">
        <v>1</v>
      </c>
      <c r="E146" s="76">
        <v>1</v>
      </c>
      <c r="F146" s="75"/>
      <c r="G146" s="400" t="s">
        <v>428</v>
      </c>
      <c r="H146" s="400" t="s">
        <v>1752</v>
      </c>
      <c r="I146" s="207" t="s">
        <v>1753</v>
      </c>
      <c r="J146" s="75" t="str">
        <f>CONCATENATE(G146," ",H146)</f>
        <v>Enrico Furgani</v>
      </c>
      <c r="K146" s="1854">
        <v>3291130825</v>
      </c>
      <c r="L146" s="1878"/>
      <c r="M146" s="1909" t="s">
        <v>1754</v>
      </c>
      <c r="N146" s="84" t="s">
        <v>1191</v>
      </c>
      <c r="O146" s="1923"/>
      <c r="P146" s="160"/>
      <c r="Q146" s="160"/>
      <c r="R146" s="403"/>
      <c r="S146" s="160"/>
      <c r="T146" s="84"/>
      <c r="U146" s="84"/>
      <c r="V146" s="84"/>
      <c r="W146" s="84"/>
      <c r="X146" s="80"/>
      <c r="Y146" s="84"/>
      <c r="Z146" s="84"/>
      <c r="AA146" s="84"/>
      <c r="AB146" s="231"/>
      <c r="AC146" s="80"/>
      <c r="AD146" s="121" t="s">
        <v>1755</v>
      </c>
      <c r="AE146" s="88"/>
      <c r="AF146" s="1966"/>
      <c r="AG146" s="1970"/>
      <c r="AH146" s="1970"/>
      <c r="AI146" s="1966"/>
      <c r="AJ146" s="90"/>
      <c r="AK146" s="90"/>
      <c r="AL146" s="90"/>
      <c r="AM146" s="89"/>
      <c r="AN146" s="90"/>
      <c r="AO146" s="90"/>
      <c r="AP146" s="90"/>
      <c r="AQ146" s="213"/>
      <c r="AR146" s="75"/>
      <c r="AS146" s="75"/>
      <c r="AT146" s="75"/>
      <c r="AU146" s="269"/>
      <c r="AV146" s="75"/>
      <c r="AW146" s="121"/>
      <c r="AX146" s="121"/>
      <c r="AY146" s="269"/>
      <c r="AZ146" s="121" t="s">
        <v>115</v>
      </c>
      <c r="BA146" s="121" t="s">
        <v>115</v>
      </c>
      <c r="BB146" s="1999" t="s">
        <v>115</v>
      </c>
      <c r="BC146" s="270"/>
      <c r="BD146" s="121"/>
      <c r="BE146" s="121"/>
      <c r="BF146" s="121"/>
      <c r="BG146" s="270"/>
      <c r="BH146" s="92">
        <f>CF146+CI146+CL146+CO146+CR146</f>
        <v>2797</v>
      </c>
      <c r="BI146" s="92">
        <f>CH146+CK146+CN146+CQ146+CT146</f>
        <v>2797</v>
      </c>
      <c r="BJ146" s="92">
        <f>BH146-BI146</f>
        <v>0</v>
      </c>
      <c r="BK146" s="271"/>
      <c r="BL146" s="272"/>
      <c r="BM146" s="95"/>
      <c r="BN146" s="142">
        <v>2797</v>
      </c>
      <c r="BO146" s="182"/>
      <c r="BP146" s="105" t="s">
        <v>407</v>
      </c>
      <c r="BQ146" s="98">
        <v>0.15</v>
      </c>
      <c r="BR146" s="108"/>
      <c r="BS146" s="276">
        <f>BL146*BQ146</f>
        <v>0</v>
      </c>
      <c r="BT146" s="101">
        <f>BM146*BQ146</f>
        <v>0</v>
      </c>
      <c r="BU146" s="102">
        <f>BN146*BQ146</f>
        <v>419.55</v>
      </c>
      <c r="BV146" s="103">
        <f>BO146*BQ146</f>
        <v>0</v>
      </c>
      <c r="BW146" s="1864" t="s">
        <v>185</v>
      </c>
      <c r="BX146" s="105" t="s">
        <v>407</v>
      </c>
      <c r="BY146" s="145">
        <v>0.05</v>
      </c>
      <c r="BZ146" s="108"/>
      <c r="CA146" s="276">
        <f>BL146*BY146</f>
        <v>0</v>
      </c>
      <c r="CB146" s="101">
        <f>BM146*BY146</f>
        <v>0</v>
      </c>
      <c r="CC146" s="106">
        <f>BN146*BY146</f>
        <v>139.85</v>
      </c>
      <c r="CD146" s="107">
        <f>BO146*BY146</f>
        <v>0</v>
      </c>
      <c r="CE146" s="1864" t="s">
        <v>185</v>
      </c>
      <c r="CF146" s="108">
        <v>2797</v>
      </c>
      <c r="CG146" s="109">
        <v>45198</v>
      </c>
      <c r="CH146" s="110">
        <v>2797</v>
      </c>
      <c r="CI146" s="2106"/>
      <c r="CJ146" s="184"/>
      <c r="CK146" s="2106"/>
      <c r="CL146" s="2106"/>
      <c r="CM146" s="184"/>
      <c r="CN146" s="2106"/>
      <c r="CO146" s="130"/>
      <c r="CP146" s="130"/>
      <c r="CQ146" s="130"/>
      <c r="CR146" s="130"/>
      <c r="CS146" s="130"/>
      <c r="CT146" s="130"/>
      <c r="CU146" s="90">
        <v>1</v>
      </c>
      <c r="CV146" s="112"/>
      <c r="CW146" s="222"/>
      <c r="CX146" s="621"/>
      <c r="CY146" s="155"/>
      <c r="CZ146" s="75"/>
      <c r="DA146" s="2131" t="s">
        <v>1193</v>
      </c>
      <c r="DB146" s="115" t="s">
        <v>1194</v>
      </c>
      <c r="DC146" s="2162" t="s">
        <v>1195</v>
      </c>
      <c r="DD146" s="116" t="str">
        <f>BP146</f>
        <v>Stefano</v>
      </c>
      <c r="DE146" s="117">
        <f>IF(OR(D146&gt;0),IF(BJ146=0,BN146*BQ146,0))</f>
        <v>419.55</v>
      </c>
      <c r="DF146" s="117">
        <f>IF(OR(D146&gt;0),IF(BJ146=0,BN146*BY146,0))</f>
        <v>139.85</v>
      </c>
      <c r="DG146" s="118" t="str">
        <f>BX146</f>
        <v>Stefano</v>
      </c>
      <c r="DH146" s="76"/>
      <c r="DI146" s="120" t="s">
        <v>126</v>
      </c>
      <c r="DJ146" s="120"/>
      <c r="DK146" s="74" t="s">
        <v>1366</v>
      </c>
      <c r="DL146" s="74" t="s">
        <v>1366</v>
      </c>
      <c r="DM146" s="122">
        <v>1</v>
      </c>
      <c r="DN146" s="6"/>
      <c r="DO146" s="6"/>
      <c r="DP146" s="6"/>
      <c r="DQ146" s="6"/>
      <c r="DR146" s="6"/>
      <c r="DS146" s="6"/>
      <c r="DT146" s="6"/>
      <c r="DU146" s="6"/>
      <c r="DV146" s="6"/>
      <c r="DW146" s="6"/>
      <c r="DX146" s="6"/>
      <c r="DY146" s="6"/>
      <c r="DZ146" s="6"/>
    </row>
    <row r="147" spans="1:130" ht="34.5" hidden="1" customHeight="1">
      <c r="A147" s="3"/>
      <c r="B147" s="75" t="s">
        <v>108</v>
      </c>
      <c r="C147" s="75"/>
      <c r="D147" s="75">
        <v>1</v>
      </c>
      <c r="E147" s="76">
        <v>1</v>
      </c>
      <c r="F147" s="75"/>
      <c r="G147" s="79" t="s">
        <v>428</v>
      </c>
      <c r="H147" s="79" t="s">
        <v>436</v>
      </c>
      <c r="I147" s="131" t="s">
        <v>437</v>
      </c>
      <c r="J147" s="75" t="str">
        <f>CONCATENATE(G147," ",H147)</f>
        <v>Enrico Rebuffo</v>
      </c>
      <c r="K147" s="156">
        <v>3492683817</v>
      </c>
      <c r="L147" s="138"/>
      <c r="M147" s="1889" t="s">
        <v>438</v>
      </c>
      <c r="N147" s="84" t="s">
        <v>439</v>
      </c>
      <c r="O147" s="85"/>
      <c r="P147" s="86"/>
      <c r="Q147" s="86"/>
      <c r="R147" s="86"/>
      <c r="S147" s="86"/>
      <c r="T147" s="1942"/>
      <c r="U147" s="1942"/>
      <c r="V147" s="1942"/>
      <c r="W147" s="1942"/>
      <c r="X147" s="1942"/>
      <c r="Y147" s="1961"/>
      <c r="Z147" s="1942"/>
      <c r="AA147" s="1942"/>
      <c r="AB147" s="1942"/>
      <c r="AC147" s="1942"/>
      <c r="AD147" s="86" t="s">
        <v>440</v>
      </c>
      <c r="AE147" s="138">
        <f>L147</f>
        <v>0</v>
      </c>
      <c r="AF147" s="89"/>
      <c r="AG147" s="75"/>
      <c r="AH147" s="75"/>
      <c r="AI147" s="89"/>
      <c r="AJ147" s="75"/>
      <c r="AK147" s="75"/>
      <c r="AL147" s="75"/>
      <c r="AM147" s="89"/>
      <c r="AN147" s="90"/>
      <c r="AO147" s="90"/>
      <c r="AP147" s="90"/>
      <c r="AQ147" s="213"/>
      <c r="AR147" s="75"/>
      <c r="AS147" s="75"/>
      <c r="AT147" s="75"/>
      <c r="AU147" s="269"/>
      <c r="AV147" s="75"/>
      <c r="AW147" s="121"/>
      <c r="AX147" s="121"/>
      <c r="AY147" s="269"/>
      <c r="AZ147" s="121" t="s">
        <v>115</v>
      </c>
      <c r="BA147" s="121" t="s">
        <v>115</v>
      </c>
      <c r="BB147" s="1999" t="s">
        <v>115</v>
      </c>
      <c r="BC147" s="270"/>
      <c r="BD147" s="121"/>
      <c r="BE147" s="121"/>
      <c r="BF147" s="121"/>
      <c r="BG147" s="270"/>
      <c r="BH147" s="92">
        <f>CF147+CI147+CL147+CO147+CR147</f>
        <v>2997</v>
      </c>
      <c r="BI147" s="92">
        <f>CH147+CK147+CN147+CQ147+CT147</f>
        <v>2997</v>
      </c>
      <c r="BJ147" s="92">
        <f>BH147-BI147</f>
        <v>0</v>
      </c>
      <c r="BK147" s="93"/>
      <c r="BL147" s="2016"/>
      <c r="BM147" s="95"/>
      <c r="BN147" s="142">
        <v>2997</v>
      </c>
      <c r="BO147" s="182"/>
      <c r="BP147" s="281" t="s">
        <v>141</v>
      </c>
      <c r="BQ147" s="98">
        <v>0.15</v>
      </c>
      <c r="BR147" s="99"/>
      <c r="BS147" s="100"/>
      <c r="BT147" s="101">
        <f>BM147*BQ147</f>
        <v>0</v>
      </c>
      <c r="BU147" s="102"/>
      <c r="BV147" s="103">
        <f>BO147*BQ147</f>
        <v>0</v>
      </c>
      <c r="BW147" s="1867" t="s">
        <v>142</v>
      </c>
      <c r="BX147" s="105" t="s">
        <v>141</v>
      </c>
      <c r="BY147" s="98">
        <v>0.05</v>
      </c>
      <c r="BZ147" s="99"/>
      <c r="CA147" s="100"/>
      <c r="CB147" s="101">
        <f>BM147*BY147</f>
        <v>0</v>
      </c>
      <c r="CC147" s="106"/>
      <c r="CD147" s="107">
        <f>BO147*BY147</f>
        <v>0</v>
      </c>
      <c r="CE147" s="1867" t="s">
        <v>142</v>
      </c>
      <c r="CF147" s="108">
        <v>2997</v>
      </c>
      <c r="CG147" s="109">
        <v>45009</v>
      </c>
      <c r="CH147" s="110">
        <v>2997</v>
      </c>
      <c r="CI147" s="108"/>
      <c r="CJ147" s="109"/>
      <c r="CK147" s="111"/>
      <c r="CL147" s="111"/>
      <c r="CM147" s="109"/>
      <c r="CN147" s="111"/>
      <c r="CO147" s="111"/>
      <c r="CP147" s="111"/>
      <c r="CQ147" s="111"/>
      <c r="CR147" s="111"/>
      <c r="CS147" s="111"/>
      <c r="CT147" s="111"/>
      <c r="CU147" s="90">
        <v>1</v>
      </c>
      <c r="CV147" s="112" t="s">
        <v>121</v>
      </c>
      <c r="CW147" s="222"/>
      <c r="CX147" s="223"/>
      <c r="CY147" s="155" t="s">
        <v>122</v>
      </c>
      <c r="CZ147" s="90"/>
      <c r="DA147" s="1867" t="s">
        <v>441</v>
      </c>
      <c r="DB147" s="115" t="str">
        <f>PROPER(N147)</f>
        <v>Dg Pro</v>
      </c>
      <c r="DC147" s="116" t="s">
        <v>442</v>
      </c>
      <c r="DD147" s="116" t="str">
        <f>BP147</f>
        <v>Daniele</v>
      </c>
      <c r="DE147" s="117">
        <f>IF(OR(D147&gt;0),IF(BJ147=0,BN147*BQ147,0))</f>
        <v>449.55</v>
      </c>
      <c r="DF147" s="117">
        <f>IF(OR(D147&gt;0),IF(BJ147=0,BN147*BY147,0))</f>
        <v>149.85</v>
      </c>
      <c r="DG147" s="116" t="str">
        <f>BX147</f>
        <v>Daniele</v>
      </c>
      <c r="DH147" s="76"/>
      <c r="DI147" s="120" t="s">
        <v>126</v>
      </c>
      <c r="DJ147" s="120"/>
      <c r="DK147" s="121"/>
      <c r="DL147" s="121"/>
      <c r="DM147" s="122">
        <v>1</v>
      </c>
      <c r="DN147" s="6"/>
      <c r="DO147" s="6"/>
      <c r="DP147" s="6"/>
      <c r="DQ147" s="6"/>
      <c r="DR147" s="6"/>
      <c r="DS147" s="6"/>
      <c r="DT147" s="6"/>
      <c r="DU147" s="6"/>
      <c r="DV147" s="6"/>
      <c r="DW147" s="6"/>
      <c r="DX147" s="6"/>
      <c r="DY147" s="6"/>
      <c r="DZ147" s="6"/>
    </row>
    <row r="148" spans="1:130" ht="34.5" hidden="1" customHeight="1">
      <c r="A148" s="3"/>
      <c r="B148" s="75" t="s">
        <v>108</v>
      </c>
      <c r="C148" s="75"/>
      <c r="D148" s="75"/>
      <c r="E148" s="76">
        <v>1</v>
      </c>
      <c r="F148" s="75"/>
      <c r="G148" s="140" t="s">
        <v>428</v>
      </c>
      <c r="H148" s="79" t="s">
        <v>700</v>
      </c>
      <c r="I148" s="131" t="s">
        <v>701</v>
      </c>
      <c r="J148" s="75" t="str">
        <f>CONCATENATE(G148," ",H148)</f>
        <v>Enrico Zambusi</v>
      </c>
      <c r="K148" s="156"/>
      <c r="L148" s="1865"/>
      <c r="M148" s="1889" t="s">
        <v>702</v>
      </c>
      <c r="N148" s="84" t="s">
        <v>688</v>
      </c>
      <c r="O148" s="85"/>
      <c r="P148" s="86"/>
      <c r="Q148" s="86"/>
      <c r="R148" s="86"/>
      <c r="S148" s="86"/>
      <c r="T148" s="1942"/>
      <c r="U148" s="1942"/>
      <c r="V148" s="1942"/>
      <c r="W148" s="1942"/>
      <c r="X148" s="1942"/>
      <c r="Y148" s="1961"/>
      <c r="Z148" s="1942"/>
      <c r="AA148" s="1942"/>
      <c r="AB148" s="1942"/>
      <c r="AC148" s="1942"/>
      <c r="AD148" s="86" t="s">
        <v>689</v>
      </c>
      <c r="AE148" s="88">
        <f>L148</f>
        <v>0</v>
      </c>
      <c r="AF148" s="89"/>
      <c r="AG148" s="75"/>
      <c r="AH148" s="75"/>
      <c r="AI148" s="89"/>
      <c r="AJ148" s="75"/>
      <c r="AK148" s="75"/>
      <c r="AL148" s="75"/>
      <c r="AM148" s="89"/>
      <c r="AN148" s="90"/>
      <c r="AO148" s="90"/>
      <c r="AP148" s="90"/>
      <c r="AQ148" s="213"/>
      <c r="AR148" s="75"/>
      <c r="AS148" s="75"/>
      <c r="AT148" s="75"/>
      <c r="AU148" s="269"/>
      <c r="AV148" s="121" t="s">
        <v>115</v>
      </c>
      <c r="AW148" s="124"/>
      <c r="AX148" s="121"/>
      <c r="AY148" s="269"/>
      <c r="AZ148" s="121"/>
      <c r="BA148" s="121" t="s">
        <v>115</v>
      </c>
      <c r="BB148" s="135" t="s">
        <v>115</v>
      </c>
      <c r="BC148" s="270"/>
      <c r="BD148" s="121"/>
      <c r="BE148" s="121"/>
      <c r="BF148" s="121"/>
      <c r="BG148" s="270"/>
      <c r="BH148" s="92">
        <v>3297</v>
      </c>
      <c r="BI148" s="92">
        <f>CH148+CK148+CN148+CQ148+CT148</f>
        <v>3297.0004918032791</v>
      </c>
      <c r="BJ148" s="92">
        <f>BH148-BI148</f>
        <v>-4.9180327914655209E-4</v>
      </c>
      <c r="BK148" s="93"/>
      <c r="BL148" s="2016"/>
      <c r="BM148" s="95">
        <v>3497</v>
      </c>
      <c r="BN148" s="96"/>
      <c r="BO148" s="97"/>
      <c r="BP148" s="281" t="s">
        <v>690</v>
      </c>
      <c r="BQ148" s="98">
        <v>0.15</v>
      </c>
      <c r="BR148" s="99"/>
      <c r="BS148" s="100"/>
      <c r="BT148" s="101">
        <f>BM148*BQ148</f>
        <v>524.54999999999995</v>
      </c>
      <c r="BU148" s="102">
        <f>BN148*BQ148</f>
        <v>0</v>
      </c>
      <c r="BV148" s="103">
        <f>BO148*BQ148</f>
        <v>0</v>
      </c>
      <c r="BW148" s="80"/>
      <c r="BX148" s="105" t="s">
        <v>184</v>
      </c>
      <c r="BY148" s="98">
        <v>0.05</v>
      </c>
      <c r="BZ148" s="99"/>
      <c r="CA148" s="100"/>
      <c r="CB148" s="101">
        <f>BM148*BY148</f>
        <v>174.85000000000002</v>
      </c>
      <c r="CC148" s="106">
        <f>BN148*BY148</f>
        <v>0</v>
      </c>
      <c r="CD148" s="107">
        <f>BO148*BY148</f>
        <v>0</v>
      </c>
      <c r="CE148" s="90"/>
      <c r="CF148" s="110">
        <f>200/1.22</f>
        <v>163.9344262295082</v>
      </c>
      <c r="CG148" s="226">
        <v>45012</v>
      </c>
      <c r="CH148" s="110">
        <f>200/1.22</f>
        <v>163.9344262295082</v>
      </c>
      <c r="CI148" s="108">
        <f>1720/1.22</f>
        <v>1409.8360655737706</v>
      </c>
      <c r="CJ148" s="109">
        <v>45057</v>
      </c>
      <c r="CK148" s="108">
        <f>1720/1.22</f>
        <v>1409.8360655737706</v>
      </c>
      <c r="CL148" s="108">
        <v>1723.22</v>
      </c>
      <c r="CM148" s="109">
        <v>45236</v>
      </c>
      <c r="CN148" s="108">
        <v>1723.23</v>
      </c>
      <c r="CO148" s="111"/>
      <c r="CP148" s="111"/>
      <c r="CQ148" s="111"/>
      <c r="CR148" s="111"/>
      <c r="CS148" s="111"/>
      <c r="CT148" s="111"/>
      <c r="CU148" s="90">
        <v>1</v>
      </c>
      <c r="CV148" s="112" t="s">
        <v>121</v>
      </c>
      <c r="CW148" s="222"/>
      <c r="CX148" s="223"/>
      <c r="CY148" s="155" t="s">
        <v>122</v>
      </c>
      <c r="CZ148" s="90"/>
      <c r="DA148" s="136" t="s">
        <v>691</v>
      </c>
      <c r="DB148" s="115" t="str">
        <f>PROPER(N148)</f>
        <v>Puli.Gest</v>
      </c>
      <c r="DC148" s="191" t="s">
        <v>692</v>
      </c>
      <c r="DD148" s="116" t="str">
        <f>BP148</f>
        <v>MAW</v>
      </c>
      <c r="DE148" s="117" t="b">
        <f>IF(OR(D148&gt;0),IF(BJ148=0,BN148*BQ148,0))</f>
        <v>0</v>
      </c>
      <c r="DF148" s="117" t="b">
        <f>IF(OR(D148&gt;0),IF(BJ148=0,BN148*BY148,0))</f>
        <v>0</v>
      </c>
      <c r="DG148" s="118" t="str">
        <f>BX148</f>
        <v>Cristian A</v>
      </c>
      <c r="DH148" s="76"/>
      <c r="DI148" s="120" t="s">
        <v>126</v>
      </c>
      <c r="DJ148" s="120"/>
      <c r="DK148" s="121"/>
      <c r="DL148" s="121"/>
      <c r="DM148" s="122">
        <v>1</v>
      </c>
      <c r="DN148" s="6"/>
      <c r="DO148" s="6"/>
      <c r="DP148" s="6"/>
      <c r="DQ148" s="6"/>
      <c r="DR148" s="6"/>
      <c r="DS148" s="6"/>
      <c r="DT148" s="6"/>
      <c r="DU148" s="6"/>
      <c r="DV148" s="6"/>
      <c r="DW148" s="6"/>
      <c r="DX148" s="6"/>
      <c r="DY148" s="6"/>
      <c r="DZ148" s="6"/>
    </row>
    <row r="149" spans="1:130" ht="34.5" hidden="1" customHeight="1">
      <c r="A149" s="3"/>
      <c r="B149" s="75" t="s">
        <v>108</v>
      </c>
      <c r="C149" s="75"/>
      <c r="D149" s="75"/>
      <c r="E149" s="76"/>
      <c r="F149" s="148"/>
      <c r="G149" s="79" t="s">
        <v>443</v>
      </c>
      <c r="H149" s="79" t="s">
        <v>444</v>
      </c>
      <c r="I149" s="131" t="s">
        <v>445</v>
      </c>
      <c r="J149" s="123" t="str">
        <f>CONCATENATE(G149," ",H149)</f>
        <v>Fabiana Surace</v>
      </c>
      <c r="K149" s="156">
        <v>3440553073</v>
      </c>
      <c r="L149" s="138" t="s">
        <v>446</v>
      </c>
      <c r="M149" s="1889" t="s">
        <v>447</v>
      </c>
      <c r="N149" s="84" t="s">
        <v>448</v>
      </c>
      <c r="O149" s="85"/>
      <c r="P149" s="86"/>
      <c r="Q149" s="86"/>
      <c r="R149" s="86"/>
      <c r="S149" s="86"/>
      <c r="T149" s="1942"/>
      <c r="U149" s="1942"/>
      <c r="V149" s="1942"/>
      <c r="W149" s="1942"/>
      <c r="X149" s="1942"/>
      <c r="Y149" s="1961"/>
      <c r="Z149" s="1942"/>
      <c r="AA149" s="1942"/>
      <c r="AB149" s="1942"/>
      <c r="AC149" s="1942"/>
      <c r="AD149" s="86" t="s">
        <v>449</v>
      </c>
      <c r="AE149" s="138" t="str">
        <f>L149</f>
        <v>da verificare intestazione fattura</v>
      </c>
      <c r="AF149" s="89"/>
      <c r="AG149" s="75"/>
      <c r="AH149" s="75"/>
      <c r="AI149" s="89"/>
      <c r="AJ149" s="75"/>
      <c r="AK149" s="75"/>
      <c r="AL149" s="75"/>
      <c r="AM149" s="89"/>
      <c r="AN149" s="90"/>
      <c r="AO149" s="90"/>
      <c r="AP149" s="90"/>
      <c r="AQ149" s="213"/>
      <c r="AR149" s="75"/>
      <c r="AS149" s="75"/>
      <c r="AT149" s="75"/>
      <c r="AU149" s="269"/>
      <c r="AV149" s="121" t="s">
        <v>115</v>
      </c>
      <c r="AW149" s="121" t="s">
        <v>115</v>
      </c>
      <c r="AX149" s="121" t="s">
        <v>115</v>
      </c>
      <c r="AY149" s="269"/>
      <c r="AZ149" s="121"/>
      <c r="BA149" s="121"/>
      <c r="BB149" s="121" t="s">
        <v>116</v>
      </c>
      <c r="BC149" s="270"/>
      <c r="BD149" s="121"/>
      <c r="BE149" s="121"/>
      <c r="BF149" s="121"/>
      <c r="BG149" s="270"/>
      <c r="BH149" s="92">
        <f>CF149+CI149+CL149+CO149+CR149</f>
        <v>2997</v>
      </c>
      <c r="BI149" s="92">
        <f>CH149+CK149+CN149+CQ149+CT149</f>
        <v>2997</v>
      </c>
      <c r="BJ149" s="92">
        <f>BH149-BI149</f>
        <v>0</v>
      </c>
      <c r="BK149" s="93"/>
      <c r="BL149" s="2016"/>
      <c r="BM149" s="95">
        <v>2997</v>
      </c>
      <c r="BN149" s="96"/>
      <c r="BO149" s="97"/>
      <c r="BP149" s="281" t="s">
        <v>184</v>
      </c>
      <c r="BQ149" s="98">
        <v>0.15</v>
      </c>
      <c r="BR149" s="99"/>
      <c r="BS149" s="100"/>
      <c r="BT149" s="101">
        <f>BM149*BQ149</f>
        <v>449.55</v>
      </c>
      <c r="BU149" s="102">
        <f>BN149*BQ149</f>
        <v>0</v>
      </c>
      <c r="BV149" s="103">
        <f>BO149*BQ149</f>
        <v>0</v>
      </c>
      <c r="BW149" s="131" t="s">
        <v>120</v>
      </c>
      <c r="BX149" s="105" t="s">
        <v>184</v>
      </c>
      <c r="BY149" s="98">
        <v>0.05</v>
      </c>
      <c r="BZ149" s="99"/>
      <c r="CA149" s="100"/>
      <c r="CB149" s="101">
        <f>BM149*BY149</f>
        <v>149.85</v>
      </c>
      <c r="CC149" s="106">
        <f>BN149*BY149</f>
        <v>0</v>
      </c>
      <c r="CD149" s="107">
        <f>BO149*BY149</f>
        <v>0</v>
      </c>
      <c r="CE149" s="155" t="s">
        <v>120</v>
      </c>
      <c r="CF149" s="110">
        <v>2997</v>
      </c>
      <c r="CG149" s="226">
        <v>45009</v>
      </c>
      <c r="CH149" s="110">
        <v>2997</v>
      </c>
      <c r="CI149" s="108"/>
      <c r="CJ149" s="109"/>
      <c r="CK149" s="111"/>
      <c r="CL149" s="111"/>
      <c r="CM149" s="109"/>
      <c r="CN149" s="111"/>
      <c r="CO149" s="111"/>
      <c r="CP149" s="111"/>
      <c r="CQ149" s="111"/>
      <c r="CR149" s="111"/>
      <c r="CS149" s="111"/>
      <c r="CT149" s="111"/>
      <c r="CU149" s="90">
        <v>1</v>
      </c>
      <c r="CV149" s="112" t="s">
        <v>121</v>
      </c>
      <c r="CW149" s="222"/>
      <c r="CX149" s="223"/>
      <c r="CY149" s="90" t="s">
        <v>122</v>
      </c>
      <c r="CZ149" s="90"/>
      <c r="DA149" s="2134" t="s">
        <v>450</v>
      </c>
      <c r="DB149" s="115" t="str">
        <f>PROPER(N149)</f>
        <v>Cynomys</v>
      </c>
      <c r="DC149" s="191"/>
      <c r="DD149" s="116" t="str">
        <f>BP149</f>
        <v>Cristian A</v>
      </c>
      <c r="DE149" s="117" t="b">
        <f>IF(OR(D149&gt;0),IF(BJ149=0,BN149*BQ149,0))</f>
        <v>0</v>
      </c>
      <c r="DF149" s="117" t="b">
        <f>IF(OR(D149&gt;0),IF(BJ149=0,BN149*BY149,0))</f>
        <v>0</v>
      </c>
      <c r="DG149" s="118" t="str">
        <f>BX149</f>
        <v>Cristian A</v>
      </c>
      <c r="DH149" s="76"/>
      <c r="DI149" s="120" t="s">
        <v>126</v>
      </c>
      <c r="DJ149" s="120"/>
      <c r="DK149" s="121"/>
      <c r="DL149" s="121"/>
      <c r="DM149" s="122">
        <v>1</v>
      </c>
      <c r="DN149" s="6"/>
      <c r="DO149" s="6"/>
      <c r="DP149" s="6"/>
      <c r="DQ149" s="6"/>
      <c r="DR149" s="6"/>
      <c r="DS149" s="6"/>
      <c r="DT149" s="6"/>
      <c r="DU149" s="6"/>
      <c r="DV149" s="6"/>
      <c r="DW149" s="6"/>
      <c r="DX149" s="6"/>
      <c r="DY149" s="6"/>
      <c r="DZ149" s="6"/>
    </row>
    <row r="150" spans="1:130" ht="34.5" hidden="1" customHeight="1">
      <c r="A150" s="3"/>
      <c r="B150" s="75" t="s">
        <v>108</v>
      </c>
      <c r="C150" s="75"/>
      <c r="D150" s="75">
        <v>1</v>
      </c>
      <c r="E150" s="76">
        <v>1</v>
      </c>
      <c r="F150" s="148"/>
      <c r="G150" s="79" t="s">
        <v>451</v>
      </c>
      <c r="H150" s="79" t="s">
        <v>452</v>
      </c>
      <c r="I150" s="131" t="s">
        <v>453</v>
      </c>
      <c r="J150" s="75" t="str">
        <f>CONCATENATE(G150," ",H150)</f>
        <v>Fabio Buoncompagni</v>
      </c>
      <c r="K150" s="156">
        <v>3335231489</v>
      </c>
      <c r="L150" s="138"/>
      <c r="M150" s="1889" t="s">
        <v>454</v>
      </c>
      <c r="N150" s="1864"/>
      <c r="O150" s="85"/>
      <c r="P150" s="86"/>
      <c r="Q150" s="86"/>
      <c r="R150" s="86"/>
      <c r="S150" s="86"/>
      <c r="T150" s="1942"/>
      <c r="U150" s="1942"/>
      <c r="V150" s="1942"/>
      <c r="W150" s="1942"/>
      <c r="X150" s="1942"/>
      <c r="Y150" s="1961"/>
      <c r="Z150" s="1942"/>
      <c r="AA150" s="1942"/>
      <c r="AB150" s="1942"/>
      <c r="AC150" s="1942"/>
      <c r="AD150" s="86" t="s">
        <v>455</v>
      </c>
      <c r="AE150" s="138">
        <f>L150</f>
        <v>0</v>
      </c>
      <c r="AF150" s="89"/>
      <c r="AG150" s="75"/>
      <c r="AH150" s="75"/>
      <c r="AI150" s="89"/>
      <c r="AJ150" s="75"/>
      <c r="AK150" s="75"/>
      <c r="AL150" s="75"/>
      <c r="AM150" s="89"/>
      <c r="AN150" s="90"/>
      <c r="AO150" s="90"/>
      <c r="AP150" s="90"/>
      <c r="AQ150" s="213"/>
      <c r="AR150" s="75"/>
      <c r="AS150" s="75"/>
      <c r="AT150" s="75"/>
      <c r="AU150" s="269"/>
      <c r="AV150" s="121"/>
      <c r="AW150" s="121" t="s">
        <v>115</v>
      </c>
      <c r="AX150" s="121" t="s">
        <v>115</v>
      </c>
      <c r="AY150" s="269"/>
      <c r="AZ150" s="121" t="s">
        <v>115</v>
      </c>
      <c r="BA150" s="121" t="s">
        <v>116</v>
      </c>
      <c r="BB150" s="162" t="s">
        <v>116</v>
      </c>
      <c r="BC150" s="270"/>
      <c r="BD150" s="121"/>
      <c r="BE150" s="121"/>
      <c r="BF150" s="121"/>
      <c r="BG150" s="270"/>
      <c r="BH150" s="92">
        <f>CF150+CI150+CL150+CO150+CR150</f>
        <v>2997</v>
      </c>
      <c r="BI150" s="92">
        <f>CH150+CK150+CN150+CQ150+CT150</f>
        <v>2997</v>
      </c>
      <c r="BJ150" s="92">
        <f>BH150-BI150</f>
        <v>0</v>
      </c>
      <c r="BK150" s="93"/>
      <c r="BL150" s="2016"/>
      <c r="BM150" s="95">
        <v>2997</v>
      </c>
      <c r="BN150" s="96"/>
      <c r="BO150" s="97"/>
      <c r="BP150" s="281" t="s">
        <v>117</v>
      </c>
      <c r="BQ150" s="98">
        <v>0</v>
      </c>
      <c r="BR150" s="99"/>
      <c r="BS150" s="100"/>
      <c r="BT150" s="101">
        <f>BM150*BQ150</f>
        <v>0</v>
      </c>
      <c r="BU150" s="102">
        <f>BN150*BQ150</f>
        <v>0</v>
      </c>
      <c r="BV150" s="103">
        <f>BO150*BQ150</f>
        <v>0</v>
      </c>
      <c r="BW150" s="80" t="s">
        <v>118</v>
      </c>
      <c r="BX150" s="105" t="s">
        <v>152</v>
      </c>
      <c r="BY150" s="98">
        <v>0.05</v>
      </c>
      <c r="BZ150" s="99"/>
      <c r="CA150" s="100"/>
      <c r="CB150" s="101">
        <f>BM150*BY150</f>
        <v>149.85</v>
      </c>
      <c r="CC150" s="106">
        <f>BN150*BY150</f>
        <v>0</v>
      </c>
      <c r="CD150" s="107">
        <f>BO150*BY150</f>
        <v>0</v>
      </c>
      <c r="CE150" s="80" t="s">
        <v>174</v>
      </c>
      <c r="CF150" s="110">
        <v>2997</v>
      </c>
      <c r="CG150" s="226">
        <v>45008</v>
      </c>
      <c r="CH150" s="110">
        <v>2997</v>
      </c>
      <c r="CI150" s="108"/>
      <c r="CJ150" s="109"/>
      <c r="CK150" s="111"/>
      <c r="CL150" s="111"/>
      <c r="CM150" s="109"/>
      <c r="CN150" s="111"/>
      <c r="CO150" s="111"/>
      <c r="CP150" s="111"/>
      <c r="CQ150" s="111"/>
      <c r="CR150" s="111"/>
      <c r="CS150" s="111"/>
      <c r="CT150" s="111"/>
      <c r="CU150" s="90">
        <v>1</v>
      </c>
      <c r="CV150" s="112" t="s">
        <v>121</v>
      </c>
      <c r="CW150" s="222"/>
      <c r="CX150" s="223"/>
      <c r="CY150" s="2129" t="s">
        <v>122</v>
      </c>
      <c r="CZ150" s="90"/>
      <c r="DA150" s="80" t="s">
        <v>423</v>
      </c>
      <c r="DB150" s="2158" t="str">
        <f>PROPER(N150)</f>
        <v/>
      </c>
      <c r="DC150" s="191" t="s">
        <v>456</v>
      </c>
      <c r="DD150" s="116" t="str">
        <f>BP150</f>
        <v>blackship</v>
      </c>
      <c r="DE150" s="2168">
        <f>IF(OR(D150&gt;0),IF(BJ150=0,BN150*BQ150,0))</f>
        <v>0</v>
      </c>
      <c r="DF150" s="2168">
        <f>IF(OR(D150&gt;0),IF(BJ150=0,BN150*BY150,0))</f>
        <v>0</v>
      </c>
      <c r="DG150" s="116" t="str">
        <f>BX150</f>
        <v>Client Angel</v>
      </c>
      <c r="DH150" s="76"/>
      <c r="DI150" s="120" t="s">
        <v>126</v>
      </c>
      <c r="DJ150" s="120"/>
      <c r="DK150" s="121"/>
      <c r="DL150" s="121"/>
      <c r="DM150" s="122">
        <v>1</v>
      </c>
      <c r="DN150" s="6"/>
      <c r="DO150" s="6"/>
      <c r="DP150" s="6"/>
      <c r="DQ150" s="6"/>
      <c r="DR150" s="6"/>
      <c r="DS150" s="6"/>
      <c r="DT150" s="6"/>
      <c r="DU150" s="6"/>
      <c r="DV150" s="6"/>
      <c r="DW150" s="6"/>
      <c r="DX150" s="6"/>
      <c r="DY150" s="6"/>
      <c r="DZ150" s="6"/>
    </row>
    <row r="151" spans="1:130" ht="34.5" hidden="1" customHeight="1">
      <c r="A151" s="228"/>
      <c r="B151" s="121" t="s">
        <v>1928</v>
      </c>
      <c r="C151" s="155"/>
      <c r="D151" s="121"/>
      <c r="E151" s="76">
        <v>1</v>
      </c>
      <c r="F151" s="121"/>
      <c r="G151" s="400" t="s">
        <v>451</v>
      </c>
      <c r="H151" s="400" t="s">
        <v>2304</v>
      </c>
      <c r="I151" s="207" t="s">
        <v>2305</v>
      </c>
      <c r="J151" s="121" t="str">
        <f>CONCATENATE(G151," ",H151)</f>
        <v>Fabio Gregorelli</v>
      </c>
      <c r="K151" s="224">
        <v>3493181808</v>
      </c>
      <c r="L151" s="124"/>
      <c r="M151" s="607"/>
      <c r="N151" s="84" t="s">
        <v>916</v>
      </c>
      <c r="O151" s="284"/>
      <c r="P151" s="37"/>
      <c r="Q151" s="37"/>
      <c r="R151" s="131" t="s">
        <v>916</v>
      </c>
      <c r="S151" s="160"/>
      <c r="T151" s="84"/>
      <c r="U151" s="84"/>
      <c r="V151" s="84"/>
      <c r="W151" s="267"/>
      <c r="X151" s="80"/>
      <c r="Y151" s="267"/>
      <c r="Z151" s="267"/>
      <c r="AA151" s="267"/>
      <c r="AB151" s="231"/>
      <c r="AC151" s="80"/>
      <c r="AD151" s="75"/>
      <c r="AE151" s="608"/>
      <c r="AF151" s="515"/>
      <c r="AG151" s="155"/>
      <c r="AH151" s="155"/>
      <c r="AI151" s="515"/>
      <c r="AJ151" s="155"/>
      <c r="AK151" s="155"/>
      <c r="AL151" s="155"/>
      <c r="AM151" s="515"/>
      <c r="AN151" s="155"/>
      <c r="AO151" s="155"/>
      <c r="AP151" s="155"/>
      <c r="AQ151" s="568"/>
      <c r="AR151" s="121"/>
      <c r="AS151" s="121"/>
      <c r="AT151" s="121"/>
      <c r="AU151" s="603"/>
      <c r="AV151" s="121"/>
      <c r="AW151" s="121"/>
      <c r="AX151" s="121"/>
      <c r="AY151" s="603"/>
      <c r="AZ151" s="121"/>
      <c r="BA151" s="121" t="s">
        <v>116</v>
      </c>
      <c r="BB151" s="162" t="s">
        <v>116</v>
      </c>
      <c r="BC151" s="518"/>
      <c r="BD151" s="121" t="s">
        <v>116</v>
      </c>
      <c r="BE151" s="121"/>
      <c r="BF151" s="121"/>
      <c r="BG151" s="518"/>
      <c r="BH151" s="238">
        <f>CF151+CI151+CL151+CO151+CR151</f>
        <v>0</v>
      </c>
      <c r="BI151" s="238"/>
      <c r="BJ151" s="238"/>
      <c r="BK151" s="239"/>
      <c r="BL151" s="240"/>
      <c r="BM151" s="241"/>
      <c r="BN151" s="142"/>
      <c r="BO151" s="182"/>
      <c r="BP151" s="380"/>
      <c r="BQ151" s="145"/>
      <c r="BR151" s="110"/>
      <c r="BS151" s="242"/>
      <c r="BT151" s="203"/>
      <c r="BU151" s="102">
        <f>BN151*BQ151</f>
        <v>0</v>
      </c>
      <c r="BV151" s="103">
        <f>BO151*BQ151</f>
        <v>0</v>
      </c>
      <c r="BW151" s="131"/>
      <c r="BX151" s="105"/>
      <c r="BY151" s="145"/>
      <c r="BZ151" s="110"/>
      <c r="CA151" s="242"/>
      <c r="CB151" s="101">
        <f>BM151*BY151</f>
        <v>0</v>
      </c>
      <c r="CC151" s="106">
        <f>BN151*BY151</f>
        <v>0</v>
      </c>
      <c r="CD151" s="107">
        <f>BO151*BY151</f>
        <v>0</v>
      </c>
      <c r="CE151" s="566"/>
      <c r="CF151" s="338"/>
      <c r="CG151" s="338"/>
      <c r="CH151" s="338"/>
      <c r="CI151" s="2096"/>
      <c r="CJ151" s="2096"/>
      <c r="CK151" s="338"/>
      <c r="CL151" s="338"/>
      <c r="CM151" s="2096"/>
      <c r="CN151" s="338"/>
      <c r="CO151" s="338"/>
      <c r="CP151" s="338"/>
      <c r="CQ151" s="338"/>
      <c r="CR151" s="338"/>
      <c r="CS151" s="338"/>
      <c r="CT151" s="338"/>
      <c r="CU151" s="90">
        <v>1</v>
      </c>
      <c r="CV151" s="181" t="s">
        <v>121</v>
      </c>
      <c r="CW151" s="246"/>
      <c r="CX151" s="247"/>
      <c r="CY151" s="2130"/>
      <c r="CZ151" s="155"/>
      <c r="DA151" s="131" t="s">
        <v>501</v>
      </c>
      <c r="DB151" s="115" t="str">
        <f>PROPER(N151)</f>
        <v>Automazioni Industriali</v>
      </c>
      <c r="DC151" s="191" t="s">
        <v>917</v>
      </c>
      <c r="DD151" s="116">
        <f>BP151</f>
        <v>0</v>
      </c>
      <c r="DE151" s="117" t="b">
        <f>IF(OR(D151&gt;0),IF(BJ151=0,BN151*BQ151,0))</f>
        <v>0</v>
      </c>
      <c r="DF151" s="117" t="b">
        <f>IF(OR(D151&gt;0),IF(BJ151=0,BN151*BY151,0))</f>
        <v>0</v>
      </c>
      <c r="DG151" s="116">
        <f>BX151</f>
        <v>0</v>
      </c>
      <c r="DH151" s="76"/>
      <c r="DI151" s="120" t="s">
        <v>126</v>
      </c>
      <c r="DJ151" s="120"/>
      <c r="DK151" s="207"/>
      <c r="DL151" s="207"/>
      <c r="DM151" s="248">
        <v>1</v>
      </c>
    </row>
    <row r="152" spans="1:130" ht="34.5" hidden="1" customHeight="1">
      <c r="A152" s="228"/>
      <c r="B152" s="121" t="s">
        <v>961</v>
      </c>
      <c r="C152" s="155"/>
      <c r="D152" s="121"/>
      <c r="E152" s="76"/>
      <c r="F152" s="121"/>
      <c r="G152" s="283" t="s">
        <v>188</v>
      </c>
      <c r="H152" s="283" t="s">
        <v>970</v>
      </c>
      <c r="I152" s="207" t="s">
        <v>971</v>
      </c>
      <c r="J152" s="155" t="str">
        <f>CONCATENATE(G152," ",H152)</f>
        <v>Andrea Pozzetti</v>
      </c>
      <c r="K152" s="224">
        <v>3450679633</v>
      </c>
      <c r="L152" s="160" t="s">
        <v>972</v>
      </c>
      <c r="M152" s="131"/>
      <c r="N152" s="84" t="s">
        <v>973</v>
      </c>
      <c r="O152" s="284"/>
      <c r="P152" s="37"/>
      <c r="Q152" s="37"/>
      <c r="R152" s="131" t="s">
        <v>974</v>
      </c>
      <c r="S152" s="160"/>
      <c r="T152" s="160"/>
      <c r="U152" s="160"/>
      <c r="V152" s="160"/>
      <c r="W152" s="233"/>
      <c r="X152" s="234"/>
      <c r="Y152" s="233"/>
      <c r="Z152" s="233"/>
      <c r="AA152" s="233"/>
      <c r="AB152" s="37"/>
      <c r="AC152" s="37"/>
      <c r="AD152" s="37" t="s">
        <v>975</v>
      </c>
      <c r="AE152" s="138" t="str">
        <f>L152</f>
        <v>MAIL DI CRI B: forse ANNULLA PARTECIPAZIONE . Per imprevisti lavorativi ha spostato la partecipazione alla sessione autunnale</v>
      </c>
      <c r="AF152" s="198"/>
      <c r="AG152" s="121"/>
      <c r="AH152" s="121"/>
      <c r="AI152" s="198"/>
      <c r="AJ152" s="121"/>
      <c r="AK152" s="121"/>
      <c r="AL152" s="121"/>
      <c r="AM152" s="198"/>
      <c r="AN152" s="155"/>
      <c r="AO152" s="155"/>
      <c r="AP152" s="155"/>
      <c r="AQ152" s="198"/>
      <c r="AR152" s="121"/>
      <c r="AS152" s="121"/>
      <c r="AT152" s="121"/>
      <c r="AU152" s="198"/>
      <c r="AV152" s="154" t="s">
        <v>165</v>
      </c>
      <c r="AW152" s="154" t="s">
        <v>165</v>
      </c>
      <c r="AX152" s="154" t="s">
        <v>165</v>
      </c>
      <c r="AY152" s="198"/>
      <c r="AZ152" s="121"/>
      <c r="BA152" s="121"/>
      <c r="BB152" s="121"/>
      <c r="BC152" s="198"/>
      <c r="BD152" s="121"/>
      <c r="BE152" s="121"/>
      <c r="BF152" s="121"/>
      <c r="BG152" s="198"/>
      <c r="BH152" s="238">
        <f>CF152+CI152+CL152+CO152+CR152</f>
        <v>163.9344262295082</v>
      </c>
      <c r="BI152" s="238">
        <f>CH152+CK152+CN152+CQ152+CT152</f>
        <v>163.9344262295082</v>
      </c>
      <c r="BJ152" s="238">
        <f>BH152-BI152</f>
        <v>0</v>
      </c>
      <c r="BK152" s="239"/>
      <c r="BL152" s="240"/>
      <c r="BM152" s="95"/>
      <c r="BN152" s="142"/>
      <c r="BO152" s="182"/>
      <c r="BP152" s="285" t="s">
        <v>133</v>
      </c>
      <c r="BQ152" s="98">
        <v>0.15</v>
      </c>
      <c r="BR152" s="110"/>
      <c r="BS152" s="242">
        <f>BL152*BQ152</f>
        <v>0</v>
      </c>
      <c r="BT152" s="203">
        <f>BM152*BQ152</f>
        <v>0</v>
      </c>
      <c r="BU152" s="102">
        <f>BN152*BQ152</f>
        <v>0</v>
      </c>
      <c r="BV152" s="103">
        <f>BO152*BQ152</f>
        <v>0</v>
      </c>
      <c r="BW152" s="243"/>
      <c r="BX152" s="105" t="s">
        <v>133</v>
      </c>
      <c r="BY152" s="98">
        <v>0.05</v>
      </c>
      <c r="BZ152" s="110"/>
      <c r="CA152" s="242">
        <f>BL152*BY152</f>
        <v>0</v>
      </c>
      <c r="CB152" s="101">
        <f>BM152*BY152</f>
        <v>0</v>
      </c>
      <c r="CC152" s="106">
        <f>BN152*BY152</f>
        <v>0</v>
      </c>
      <c r="CD152" s="107">
        <f>BO152*BY152</f>
        <v>0</v>
      </c>
      <c r="CE152" s="244"/>
      <c r="CF152" s="110">
        <f>200/1.22</f>
        <v>163.9344262295082</v>
      </c>
      <c r="CG152" s="226">
        <v>44645</v>
      </c>
      <c r="CH152" s="110">
        <f>200/1.22</f>
        <v>163.9344262295082</v>
      </c>
      <c r="CI152" s="108"/>
      <c r="CJ152" s="226"/>
      <c r="CK152" s="206"/>
      <c r="CL152" s="110"/>
      <c r="CM152" s="287"/>
      <c r="CN152" s="206"/>
      <c r="CO152" s="206"/>
      <c r="CP152" s="206"/>
      <c r="CQ152" s="206"/>
      <c r="CR152" s="206"/>
      <c r="CS152" s="206"/>
      <c r="CT152" s="206"/>
      <c r="CU152" s="90">
        <v>1</v>
      </c>
      <c r="CV152" s="181"/>
      <c r="CW152" s="246"/>
      <c r="CX152" s="247" t="s">
        <v>976</v>
      </c>
      <c r="CY152" s="282" t="s">
        <v>122</v>
      </c>
      <c r="CZ152" s="155"/>
      <c r="DA152" s="131"/>
      <c r="DB152" s="115" t="str">
        <f>PROPER(N152)</f>
        <v>Andrea Pozzetti</v>
      </c>
      <c r="DC152" s="191"/>
      <c r="DD152" s="116" t="str">
        <f>BP152</f>
        <v>Cristian B</v>
      </c>
      <c r="DE152" s="117" t="b">
        <f>IF(OR(D152&gt;0),IF(BJ152=0,BN152*BQ152,0))</f>
        <v>0</v>
      </c>
      <c r="DF152" s="117" t="b">
        <f>IF(OR(D152&gt;0),IF(BJ152=0,BN152*BY152,0))</f>
        <v>0</v>
      </c>
      <c r="DG152" s="116" t="str">
        <f>BX152</f>
        <v>Cristian B</v>
      </c>
      <c r="DH152" s="76"/>
      <c r="DI152" s="120" t="s">
        <v>154</v>
      </c>
      <c r="DJ152" s="120"/>
      <c r="DK152" s="207"/>
      <c r="DL152" s="207"/>
      <c r="DM152" s="248"/>
    </row>
    <row r="153" spans="1:130" ht="34.5" hidden="1" customHeight="1">
      <c r="A153" s="228"/>
      <c r="B153" s="121" t="s">
        <v>1324</v>
      </c>
      <c r="C153" s="155"/>
      <c r="D153" s="121">
        <v>1</v>
      </c>
      <c r="E153" s="121">
        <v>1</v>
      </c>
      <c r="F153" s="121"/>
      <c r="G153" s="400" t="s">
        <v>451</v>
      </c>
      <c r="H153" s="400" t="s">
        <v>1343</v>
      </c>
      <c r="I153" s="207" t="s">
        <v>1344</v>
      </c>
      <c r="J153" s="121" t="str">
        <f>CONCATENATE(G153," ",H153)</f>
        <v>Fabio Tentori</v>
      </c>
      <c r="K153" s="156">
        <v>3921604659</v>
      </c>
      <c r="L153" s="156"/>
      <c r="M153" s="153"/>
      <c r="N153" s="84" t="s">
        <v>937</v>
      </c>
      <c r="O153" s="1923"/>
      <c r="P153" s="160"/>
      <c r="Q153" s="160"/>
      <c r="R153" s="1946"/>
      <c r="S153" s="160"/>
      <c r="T153" s="160"/>
      <c r="U153" s="160"/>
      <c r="V153" s="160"/>
      <c r="W153" s="160"/>
      <c r="X153" s="131"/>
      <c r="Y153" s="160"/>
      <c r="Z153" s="160"/>
      <c r="AA153" s="160"/>
      <c r="AB153" s="37"/>
      <c r="AC153" s="131"/>
      <c r="AD153" s="121" t="s">
        <v>1328</v>
      </c>
      <c r="AE153" s="88"/>
      <c r="AF153" s="515"/>
      <c r="AG153" s="406"/>
      <c r="AH153" s="406"/>
      <c r="AI153" s="515"/>
      <c r="AJ153" s="155"/>
      <c r="AK153" s="155"/>
      <c r="AL153" s="155"/>
      <c r="AM153" s="198"/>
      <c r="AN153" s="155"/>
      <c r="AO153" s="155"/>
      <c r="AP153" s="155"/>
      <c r="AQ153" s="198"/>
      <c r="AR153" s="121"/>
      <c r="AS153" s="121"/>
      <c r="AT153" s="121"/>
      <c r="AU153" s="198"/>
      <c r="AV153" s="121"/>
      <c r="AW153" s="121"/>
      <c r="AX153" s="121"/>
      <c r="AY153" s="198"/>
      <c r="AZ153" s="121" t="s">
        <v>245</v>
      </c>
      <c r="BA153" s="121" t="s">
        <v>245</v>
      </c>
      <c r="BB153" s="135" t="s">
        <v>115</v>
      </c>
      <c r="BC153" s="198"/>
      <c r="BD153" s="121"/>
      <c r="BE153" s="121"/>
      <c r="BF153" s="121"/>
      <c r="BG153" s="198"/>
      <c r="BH153" s="238">
        <f>CF153+CI153+CL153+CO153+CR153</f>
        <v>2397</v>
      </c>
      <c r="BI153" s="238">
        <f>CH153+CK153+CN153+CQ153+CT153</f>
        <v>0</v>
      </c>
      <c r="BJ153" s="238">
        <f>BH153-BI153</f>
        <v>2397</v>
      </c>
      <c r="BK153" s="239"/>
      <c r="BL153" s="240"/>
      <c r="BM153" s="241"/>
      <c r="BN153" s="142">
        <v>2397</v>
      </c>
      <c r="BO153" s="182"/>
      <c r="BP153" s="285" t="s">
        <v>262</v>
      </c>
      <c r="BQ153" s="98">
        <v>0.15</v>
      </c>
      <c r="BR153" s="110"/>
      <c r="BS153" s="242"/>
      <c r="BT153" s="203"/>
      <c r="BU153" s="102">
        <f>BN153*BQ153</f>
        <v>359.55</v>
      </c>
      <c r="BV153" s="103">
        <f>BO153*BQ153</f>
        <v>0</v>
      </c>
      <c r="BW153" s="131"/>
      <c r="BX153" s="105" t="s">
        <v>262</v>
      </c>
      <c r="BY153" s="145">
        <v>0.1</v>
      </c>
      <c r="BZ153" s="110"/>
      <c r="CA153" s="242"/>
      <c r="CB153" s="101"/>
      <c r="CC153" s="102">
        <f>BV153*BY153</f>
        <v>0</v>
      </c>
      <c r="CD153" s="103">
        <f>BW153*BY153</f>
        <v>0</v>
      </c>
      <c r="CE153" s="244"/>
      <c r="CF153" s="110">
        <v>2397</v>
      </c>
      <c r="CG153" s="226"/>
      <c r="CH153" s="414"/>
      <c r="CI153" s="2106"/>
      <c r="CJ153" s="416"/>
      <c r="CK153" s="415"/>
      <c r="CL153" s="415"/>
      <c r="CM153" s="416"/>
      <c r="CN153" s="415"/>
      <c r="CO153" s="263"/>
      <c r="CP153" s="263"/>
      <c r="CQ153" s="263"/>
      <c r="CR153" s="263"/>
      <c r="CS153" s="263"/>
      <c r="CT153" s="263"/>
      <c r="CU153" s="90"/>
      <c r="CV153" s="181"/>
      <c r="CW153" s="246"/>
      <c r="CX153" s="672"/>
      <c r="CY153" s="2129"/>
      <c r="CZ153" s="121"/>
      <c r="DA153" s="384" t="s">
        <v>938</v>
      </c>
      <c r="DB153" s="115" t="str">
        <f>PROPER(N153)</f>
        <v>Ey</v>
      </c>
      <c r="DC153" s="191" t="s">
        <v>264</v>
      </c>
      <c r="DD153" s="116" t="str">
        <f>BP153</f>
        <v>Pacci</v>
      </c>
      <c r="DE153" s="117">
        <f>IF(OR(D153&gt;0),IF(BJ153=0,BN153*BQ153,0))</f>
        <v>0</v>
      </c>
      <c r="DF153" s="117">
        <f>IF(OR(D153&gt;0),IF(BJ153=0,BN153*BY153,0))</f>
        <v>0</v>
      </c>
      <c r="DG153" s="118" t="str">
        <f>BX153</f>
        <v>Pacci</v>
      </c>
      <c r="DH153" s="76"/>
      <c r="DI153" s="120" t="s">
        <v>126</v>
      </c>
      <c r="DJ153" s="120"/>
      <c r="DK153" s="74"/>
      <c r="DL153" s="74"/>
      <c r="DM153" s="122"/>
      <c r="DN153" s="6"/>
      <c r="DO153" s="6"/>
      <c r="DP153" s="6"/>
      <c r="DQ153" s="6"/>
      <c r="DR153" s="6"/>
      <c r="DS153" s="6"/>
      <c r="DT153" s="6"/>
      <c r="DU153" s="6"/>
      <c r="DV153" s="6"/>
      <c r="DW153" s="6"/>
      <c r="DX153" s="6"/>
      <c r="DY153" s="6"/>
      <c r="DZ153" s="6"/>
    </row>
    <row r="154" spans="1:130" ht="34.5" hidden="1" customHeight="1">
      <c r="A154" s="228"/>
      <c r="B154" s="121" t="s">
        <v>961</v>
      </c>
      <c r="C154" s="155"/>
      <c r="D154" s="121"/>
      <c r="E154" s="121"/>
      <c r="F154" s="121"/>
      <c r="G154" s="288" t="s">
        <v>984</v>
      </c>
      <c r="H154" s="288" t="s">
        <v>985</v>
      </c>
      <c r="I154" s="207"/>
      <c r="J154" s="155" t="str">
        <f>CONCATENATE(G154," ",H154)</f>
        <v>EX - Domenico Vitale (licenziato) Iscritto EureWeb</v>
      </c>
      <c r="K154" s="224">
        <v>3459933499</v>
      </c>
      <c r="L154" s="160" t="s">
        <v>525</v>
      </c>
      <c r="M154" s="131" t="s">
        <v>986</v>
      </c>
      <c r="N154" s="160" t="s">
        <v>987</v>
      </c>
      <c r="O154" s="284"/>
      <c r="P154" s="37"/>
      <c r="Q154" s="37"/>
      <c r="R154" s="289" t="s">
        <v>988</v>
      </c>
      <c r="S154" s="160"/>
      <c r="T154" s="84"/>
      <c r="U154" s="84"/>
      <c r="V154" s="84"/>
      <c r="W154" s="267"/>
      <c r="X154" s="268"/>
      <c r="Y154" s="267"/>
      <c r="Z154" s="267"/>
      <c r="AA154" s="267"/>
      <c r="AB154" s="37"/>
      <c r="AC154" s="37"/>
      <c r="AD154" s="37" t="s">
        <v>989</v>
      </c>
      <c r="AE154" s="138" t="str">
        <f>L154</f>
        <v>Bruno</v>
      </c>
      <c r="AF154" s="198"/>
      <c r="AG154" s="121"/>
      <c r="AH154" s="121"/>
      <c r="AI154" s="198"/>
      <c r="AJ154" s="121"/>
      <c r="AK154" s="121"/>
      <c r="AL154" s="121"/>
      <c r="AM154" s="198"/>
      <c r="AN154" s="155"/>
      <c r="AO154" s="155"/>
      <c r="AP154" s="155"/>
      <c r="AQ154" s="198"/>
      <c r="AR154" s="121"/>
      <c r="AS154" s="121"/>
      <c r="AT154" s="121"/>
      <c r="AU154" s="198"/>
      <c r="AV154" s="121"/>
      <c r="AW154" s="121"/>
      <c r="AX154" s="121"/>
      <c r="AY154" s="198"/>
      <c r="AZ154" s="121"/>
      <c r="BA154" s="121"/>
      <c r="BB154" s="121"/>
      <c r="BC154" s="198"/>
      <c r="BD154" s="177" t="s">
        <v>27</v>
      </c>
      <c r="BE154" s="177" t="s">
        <v>27</v>
      </c>
      <c r="BF154" s="177" t="s">
        <v>27</v>
      </c>
      <c r="BG154" s="198"/>
      <c r="BH154" s="238">
        <f>CF154+CI154+CL154+CO154+CR154</f>
        <v>2997</v>
      </c>
      <c r="BI154" s="238">
        <f>CH154+CK154+CN154+CQ154+CT154</f>
        <v>2997</v>
      </c>
      <c r="BJ154" s="238">
        <f>BH154-BI154</f>
        <v>0</v>
      </c>
      <c r="BK154" s="239"/>
      <c r="BL154" s="240">
        <v>0</v>
      </c>
      <c r="BM154" s="241"/>
      <c r="BN154" s="142"/>
      <c r="BO154" s="182">
        <v>2997</v>
      </c>
      <c r="BP154" s="285" t="s">
        <v>525</v>
      </c>
      <c r="BQ154" s="98">
        <v>0.15</v>
      </c>
      <c r="BR154" s="110">
        <v>0</v>
      </c>
      <c r="BS154" s="242">
        <f>BL154*15/100</f>
        <v>0</v>
      </c>
      <c r="BT154" s="203">
        <f>BM154*BQ154</f>
        <v>0</v>
      </c>
      <c r="BU154" s="102">
        <f>BN154*BQ154</f>
        <v>0</v>
      </c>
      <c r="BV154" s="103">
        <f>BO154*BQ154</f>
        <v>449.55</v>
      </c>
      <c r="BW154" s="243"/>
      <c r="BX154" s="105" t="s">
        <v>525</v>
      </c>
      <c r="BY154" s="98">
        <v>0.05</v>
      </c>
      <c r="BZ154" s="110"/>
      <c r="CA154" s="242">
        <f>BL154*BY154</f>
        <v>0</v>
      </c>
      <c r="CB154" s="101">
        <f>BM154*BY154</f>
        <v>0</v>
      </c>
      <c r="CC154" s="106">
        <f>BN154*BY154</f>
        <v>0</v>
      </c>
      <c r="CD154" s="107">
        <f>BO154*BY154</f>
        <v>149.85</v>
      </c>
      <c r="CE154" s="290"/>
      <c r="CF154" s="262">
        <v>2997</v>
      </c>
      <c r="CG154" s="226">
        <v>44680</v>
      </c>
      <c r="CH154" s="262">
        <v>2997</v>
      </c>
      <c r="CI154" s="108"/>
      <c r="CJ154" s="226"/>
      <c r="CK154" s="206"/>
      <c r="CL154" s="110"/>
      <c r="CM154" s="263"/>
      <c r="CN154" s="206"/>
      <c r="CO154" s="206"/>
      <c r="CP154" s="206"/>
      <c r="CQ154" s="206"/>
      <c r="CR154" s="206"/>
      <c r="CS154" s="206"/>
      <c r="CT154" s="206"/>
      <c r="CU154" s="90">
        <v>1</v>
      </c>
      <c r="CV154" s="181"/>
      <c r="CW154" s="246"/>
      <c r="CX154" s="247" t="s">
        <v>990</v>
      </c>
      <c r="CY154" s="282" t="s">
        <v>122</v>
      </c>
      <c r="CZ154" s="155"/>
      <c r="DA154" s="204" t="s">
        <v>991</v>
      </c>
      <c r="DB154" s="115" t="str">
        <f>PROPER(N154)</f>
        <v>Eureweb</v>
      </c>
      <c r="DC154" s="191"/>
      <c r="DD154" s="116" t="str">
        <f>BP154</f>
        <v>Bruno</v>
      </c>
      <c r="DE154" s="117" t="b">
        <f>IF(OR(D154&gt;0),IF(BJ154=0,BN154*BQ154,0))</f>
        <v>0</v>
      </c>
      <c r="DF154" s="117" t="b">
        <f>IF(OR(D154&gt;0),IF(BJ154=0,BN154*BY154,0))</f>
        <v>0</v>
      </c>
      <c r="DG154" s="116" t="str">
        <f>BX154</f>
        <v>Bruno</v>
      </c>
      <c r="DH154" s="76"/>
      <c r="DI154" s="120" t="s">
        <v>154</v>
      </c>
      <c r="DJ154" s="120"/>
      <c r="DK154" s="207"/>
      <c r="DL154" s="207"/>
      <c r="DM154" s="248">
        <v>1</v>
      </c>
    </row>
    <row r="155" spans="1:130" ht="34.5" hidden="1" customHeight="1">
      <c r="A155" s="228"/>
      <c r="B155" s="121" t="s">
        <v>961</v>
      </c>
      <c r="C155" s="155"/>
      <c r="D155" s="121"/>
      <c r="E155" s="121"/>
      <c r="F155" s="121"/>
      <c r="G155" s="283" t="s">
        <v>992</v>
      </c>
      <c r="H155" s="283" t="s">
        <v>993</v>
      </c>
      <c r="I155" s="207" t="s">
        <v>994</v>
      </c>
      <c r="J155" s="155" t="str">
        <f>CONCATENATE(G155," ",H155)</f>
        <v>Emilio Pulli</v>
      </c>
      <c r="K155" s="224">
        <v>3335645529</v>
      </c>
      <c r="L155" s="131"/>
      <c r="M155" s="131"/>
      <c r="N155" s="160" t="s">
        <v>995</v>
      </c>
      <c r="O155" s="284"/>
      <c r="P155" s="37"/>
      <c r="Q155" s="37"/>
      <c r="R155" s="254" t="s">
        <v>996</v>
      </c>
      <c r="S155" s="160"/>
      <c r="T155" s="84"/>
      <c r="U155" s="84"/>
      <c r="V155" s="84"/>
      <c r="W155" s="267"/>
      <c r="X155" s="234"/>
      <c r="Y155" s="267"/>
      <c r="Z155" s="267"/>
      <c r="AA155" s="267"/>
      <c r="AB155" s="37"/>
      <c r="AC155" s="37"/>
      <c r="AD155" s="37" t="s">
        <v>997</v>
      </c>
      <c r="AE155" s="138">
        <f>L155</f>
        <v>0</v>
      </c>
      <c r="AF155" s="198"/>
      <c r="AG155" s="121"/>
      <c r="AH155" s="121"/>
      <c r="AI155" s="198"/>
      <c r="AJ155" s="121"/>
      <c r="AK155" s="121"/>
      <c r="AL155" s="121"/>
      <c r="AM155" s="198"/>
      <c r="AN155" s="155" t="s">
        <v>115</v>
      </c>
      <c r="AO155" s="155"/>
      <c r="AP155" s="155" t="s">
        <v>115</v>
      </c>
      <c r="AQ155" s="198"/>
      <c r="AR155" s="121"/>
      <c r="AS155" s="154" t="s">
        <v>194</v>
      </c>
      <c r="AT155" s="121"/>
      <c r="AU155" s="198"/>
      <c r="AV155" s="121"/>
      <c r="AW155" s="124"/>
      <c r="AX155" s="121"/>
      <c r="AY155" s="198"/>
      <c r="AZ155" s="121"/>
      <c r="BA155" s="154" t="s">
        <v>194</v>
      </c>
      <c r="BB155" s="121"/>
      <c r="BC155" s="198"/>
      <c r="BD155" s="121"/>
      <c r="BE155" s="121"/>
      <c r="BF155" s="121"/>
      <c r="BG155" s="198"/>
      <c r="BH155" s="238">
        <f>CF155+CI155+CL155+CO155+CR155</f>
        <v>0</v>
      </c>
      <c r="BI155" s="238">
        <f>CH155+CK155+CN155+CQ155+CT155</f>
        <v>0</v>
      </c>
      <c r="BJ155" s="238">
        <f>BH155-BI155</f>
        <v>0</v>
      </c>
      <c r="BK155" s="239">
        <f>BI155</f>
        <v>0</v>
      </c>
      <c r="BL155" s="240">
        <f>BH155-BK155</f>
        <v>0</v>
      </c>
      <c r="BM155" s="241"/>
      <c r="BN155" s="142"/>
      <c r="BO155" s="182"/>
      <c r="BP155" s="285" t="s">
        <v>184</v>
      </c>
      <c r="BQ155" s="98">
        <v>0.15</v>
      </c>
      <c r="BR155" s="110">
        <f>BH155*BQ155</f>
        <v>0</v>
      </c>
      <c r="BS155" s="242"/>
      <c r="BT155" s="203"/>
      <c r="BU155" s="102">
        <f>BN155*BQ155</f>
        <v>0</v>
      </c>
      <c r="BV155" s="103">
        <f>BO155*BQ155</f>
        <v>0</v>
      </c>
      <c r="BW155" s="243" t="s">
        <v>968</v>
      </c>
      <c r="BX155" s="105" t="s">
        <v>184</v>
      </c>
      <c r="BY155" s="98">
        <v>0.05</v>
      </c>
      <c r="BZ155" s="110">
        <f>BH155*BY155</f>
        <v>0</v>
      </c>
      <c r="CA155" s="242"/>
      <c r="CB155" s="101">
        <f>BM155*BY155</f>
        <v>0</v>
      </c>
      <c r="CC155" s="106">
        <f>BN155*BY155</f>
        <v>0</v>
      </c>
      <c r="CD155" s="107">
        <f>BO155*BY155</f>
        <v>0</v>
      </c>
      <c r="CE155" s="244" t="s">
        <v>968</v>
      </c>
      <c r="CF155" s="110"/>
      <c r="CG155" s="286"/>
      <c r="CH155" s="110"/>
      <c r="CI155" s="108"/>
      <c r="CJ155" s="206"/>
      <c r="CK155" s="206"/>
      <c r="CL155" s="206"/>
      <c r="CM155" s="206"/>
      <c r="CN155" s="206"/>
      <c r="CO155" s="206"/>
      <c r="CP155" s="206"/>
      <c r="CQ155" s="206"/>
      <c r="CR155" s="206"/>
      <c r="CS155" s="206"/>
      <c r="CT155" s="206"/>
      <c r="CU155" s="90">
        <v>1</v>
      </c>
      <c r="CV155" s="181"/>
      <c r="CW155" s="246"/>
      <c r="CX155" s="247" t="s">
        <v>998</v>
      </c>
      <c r="CY155" s="282" t="s">
        <v>122</v>
      </c>
      <c r="CZ155" s="155"/>
      <c r="DA155" s="131" t="s">
        <v>999</v>
      </c>
      <c r="DB155" s="115" t="str">
        <f>PROPER(N155)</f>
        <v xml:space="preserve">Kodan </v>
      </c>
      <c r="DC155" s="191" t="s">
        <v>809</v>
      </c>
      <c r="DD155" s="116" t="str">
        <f>BP155</f>
        <v>Cristian A</v>
      </c>
      <c r="DE155" s="117" t="b">
        <f>IF(OR(D155&gt;0),IF(BJ155=0,BN155*BQ155,0))</f>
        <v>0</v>
      </c>
      <c r="DF155" s="117" t="b">
        <f>IF(OR(D155&gt;0),IF(BJ155=0,BN155*BY155,0))</f>
        <v>0</v>
      </c>
      <c r="DG155" s="116" t="str">
        <f>BX155</f>
        <v>Cristian A</v>
      </c>
      <c r="DH155" s="76"/>
      <c r="DI155" s="120" t="s">
        <v>154</v>
      </c>
      <c r="DJ155" s="120"/>
      <c r="DK155" s="207"/>
      <c r="DL155" s="207"/>
      <c r="DM155" s="248"/>
    </row>
    <row r="156" spans="1:130" ht="34.5" hidden="1" customHeight="1">
      <c r="A156" s="228"/>
      <c r="B156" s="121" t="s">
        <v>961</v>
      </c>
      <c r="C156" s="155"/>
      <c r="D156" s="121"/>
      <c r="E156" s="121"/>
      <c r="F156" s="121"/>
      <c r="G156" s="288" t="s">
        <v>1000</v>
      </c>
      <c r="H156" s="288" t="s">
        <v>1001</v>
      </c>
      <c r="I156" s="291" t="s">
        <v>1002</v>
      </c>
      <c r="J156" s="155" t="str">
        <f>CONCATENATE(G156," ",H156)</f>
        <v>EX - Gionatan Iovino (licenziato) Iscritto Hal Service</v>
      </c>
      <c r="K156" s="224">
        <v>3920094560</v>
      </c>
      <c r="L156" s="131" t="s">
        <v>1003</v>
      </c>
      <c r="M156" s="131"/>
      <c r="N156" s="160" t="s">
        <v>1004</v>
      </c>
      <c r="O156" s="292"/>
      <c r="P156" s="37"/>
      <c r="Q156" s="37"/>
      <c r="R156" s="251" t="s">
        <v>1005</v>
      </c>
      <c r="S156" s="160"/>
      <c r="T156" s="84"/>
      <c r="U156" s="84"/>
      <c r="V156" s="84"/>
      <c r="W156" s="267"/>
      <c r="X156" s="234"/>
      <c r="Y156" s="267"/>
      <c r="Z156" s="267"/>
      <c r="AA156" s="267"/>
      <c r="AB156" s="37"/>
      <c r="AC156" s="37"/>
      <c r="AD156" s="37" t="s">
        <v>1006</v>
      </c>
      <c r="AE156" s="138" t="str">
        <f>L156</f>
        <v>GIONATAN DIMESSO. IN ATTESA DI NUOVO NOMINATIVO</v>
      </c>
      <c r="AF156" s="198"/>
      <c r="AG156" s="121"/>
      <c r="AH156" s="121"/>
      <c r="AI156" s="198"/>
      <c r="AJ156" s="121"/>
      <c r="AK156" s="121"/>
      <c r="AL156" s="121"/>
      <c r="AM156" s="198"/>
      <c r="AN156" s="155"/>
      <c r="AO156" s="155"/>
      <c r="AP156" s="155"/>
      <c r="AQ156" s="198"/>
      <c r="AR156" s="121"/>
      <c r="AS156" s="121"/>
      <c r="AT156" s="121"/>
      <c r="AU156" s="198"/>
      <c r="AV156" s="121"/>
      <c r="AW156" s="121"/>
      <c r="AX156" s="121"/>
      <c r="AY156" s="198"/>
      <c r="AZ156" s="121"/>
      <c r="BA156" s="121"/>
      <c r="BB156" s="121"/>
      <c r="BC156" s="198"/>
      <c r="BD156" s="177" t="s">
        <v>27</v>
      </c>
      <c r="BE156" s="177" t="s">
        <v>27</v>
      </c>
      <c r="BF156" s="177" t="s">
        <v>27</v>
      </c>
      <c r="BG156" s="198"/>
      <c r="BH156" s="238">
        <f>CF156+CI156+CL156+CO156+CR156</f>
        <v>2797</v>
      </c>
      <c r="BI156" s="238">
        <f>CH156+CK156+CN156+CQ156+CT156</f>
        <v>2797</v>
      </c>
      <c r="BJ156" s="238">
        <f>BH156-BI156</f>
        <v>0</v>
      </c>
      <c r="BK156" s="239"/>
      <c r="BL156" s="240">
        <v>0</v>
      </c>
      <c r="BM156" s="241"/>
      <c r="BN156" s="142"/>
      <c r="BO156" s="182">
        <v>2797</v>
      </c>
      <c r="BP156" s="285" t="s">
        <v>160</v>
      </c>
      <c r="BQ156" s="98">
        <v>0.15</v>
      </c>
      <c r="BR156" s="110"/>
      <c r="BS156" s="242">
        <f>BL156*BQ156</f>
        <v>0</v>
      </c>
      <c r="BT156" s="203">
        <f>BM156*BQ156</f>
        <v>0</v>
      </c>
      <c r="BU156" s="102">
        <f>BN156*BQ156</f>
        <v>0</v>
      </c>
      <c r="BV156" s="103">
        <f>BO156*BQ156</f>
        <v>419.55</v>
      </c>
      <c r="BW156" s="243"/>
      <c r="BX156" s="105" t="s">
        <v>160</v>
      </c>
      <c r="BY156" s="98">
        <v>0.05</v>
      </c>
      <c r="BZ156" s="110"/>
      <c r="CA156" s="242">
        <f>BL156*BY156</f>
        <v>0</v>
      </c>
      <c r="CB156" s="101">
        <f>BM156*BY156</f>
        <v>0</v>
      </c>
      <c r="CC156" s="106">
        <f>BN156*BY156</f>
        <v>0</v>
      </c>
      <c r="CD156" s="107">
        <f>BO156*BY156</f>
        <v>139.85</v>
      </c>
      <c r="CE156" s="244"/>
      <c r="CF156" s="110">
        <v>2797</v>
      </c>
      <c r="CG156" s="226">
        <v>44649</v>
      </c>
      <c r="CH156" s="110">
        <v>2797</v>
      </c>
      <c r="CI156" s="108"/>
      <c r="CJ156" s="226"/>
      <c r="CK156" s="206"/>
      <c r="CL156" s="110"/>
      <c r="CM156" s="263"/>
      <c r="CN156" s="206"/>
      <c r="CO156" s="206"/>
      <c r="CP156" s="206"/>
      <c r="CQ156" s="206"/>
      <c r="CR156" s="206"/>
      <c r="CS156" s="206"/>
      <c r="CT156" s="206"/>
      <c r="CU156" s="90">
        <v>1</v>
      </c>
      <c r="CV156" s="181"/>
      <c r="CW156" s="246"/>
      <c r="CX156" s="247" t="s">
        <v>1007</v>
      </c>
      <c r="CY156" s="293" t="s">
        <v>122</v>
      </c>
      <c r="CZ156" s="155"/>
      <c r="DA156" s="131" t="s">
        <v>1008</v>
      </c>
      <c r="DB156" s="115" t="str">
        <f>PROPER(N156)</f>
        <v>Hal Service</v>
      </c>
      <c r="DC156" s="191"/>
      <c r="DD156" s="116" t="str">
        <f>BP156</f>
        <v>Gianluca</v>
      </c>
      <c r="DE156" s="117" t="b">
        <f>IF(OR(D156&gt;0),IF(BJ156=0,BN156*BQ156,0))</f>
        <v>0</v>
      </c>
      <c r="DF156" s="117" t="b">
        <f>IF(OR(D156&gt;0),IF(BJ156=0,BN156*BY156,0))</f>
        <v>0</v>
      </c>
      <c r="DG156" s="116" t="str">
        <f>BX156</f>
        <v>Gianluca</v>
      </c>
      <c r="DH156" s="76"/>
      <c r="DI156" s="120" t="s">
        <v>154</v>
      </c>
      <c r="DJ156" s="120"/>
      <c r="DK156" s="207"/>
      <c r="DL156" s="207"/>
      <c r="DM156" s="248"/>
    </row>
    <row r="157" spans="1:130" ht="34.5" hidden="1" customHeight="1">
      <c r="A157" s="228"/>
      <c r="B157" s="121" t="s">
        <v>961</v>
      </c>
      <c r="C157" s="155"/>
      <c r="D157" s="121"/>
      <c r="E157" s="121"/>
      <c r="F157" s="121"/>
      <c r="G157" s="283" t="s">
        <v>477</v>
      </c>
      <c r="H157" s="283" t="s">
        <v>1009</v>
      </c>
      <c r="I157" s="294" t="s">
        <v>1010</v>
      </c>
      <c r="J157" s="155" t="str">
        <f>CONCATENATE(G157," ",H157)</f>
        <v>Filippo Sartor</v>
      </c>
      <c r="K157" s="224">
        <v>3389391665</v>
      </c>
      <c r="L157" s="131"/>
      <c r="M157" s="131"/>
      <c r="N157" s="160" t="s">
        <v>1011</v>
      </c>
      <c r="O157" s="292"/>
      <c r="P157" s="37"/>
      <c r="Q157" s="37"/>
      <c r="R157" s="251" t="s">
        <v>1012</v>
      </c>
      <c r="S157" s="160"/>
      <c r="T157" s="84"/>
      <c r="U157" s="84"/>
      <c r="V157" s="84"/>
      <c r="W157" s="267"/>
      <c r="X157" s="268"/>
      <c r="Y157" s="267"/>
      <c r="Z157" s="267"/>
      <c r="AA157" s="267"/>
      <c r="AB157" s="37"/>
      <c r="AC157" s="37"/>
      <c r="AD157" s="37" t="s">
        <v>1013</v>
      </c>
      <c r="AE157" s="138">
        <f>L157</f>
        <v>0</v>
      </c>
      <c r="AF157" s="198"/>
      <c r="AG157" s="121"/>
      <c r="AH157" s="121"/>
      <c r="AI157" s="198"/>
      <c r="AJ157" s="121"/>
      <c r="AK157" s="121"/>
      <c r="AL157" s="121"/>
      <c r="AM157" s="198"/>
      <c r="AN157" s="155"/>
      <c r="AO157" s="155"/>
      <c r="AP157" s="155"/>
      <c r="AQ157" s="198"/>
      <c r="AR157" s="121"/>
      <c r="AS157" s="121"/>
      <c r="AT157" s="121"/>
      <c r="AU157" s="198"/>
      <c r="AV157" s="121"/>
      <c r="AW157" s="124"/>
      <c r="AX157" s="121"/>
      <c r="AY157" s="198"/>
      <c r="AZ157" s="121"/>
      <c r="BA157" s="121"/>
      <c r="BB157" s="121"/>
      <c r="BC157" s="198"/>
      <c r="BD157" s="121" t="s">
        <v>115</v>
      </c>
      <c r="BE157" s="121" t="s">
        <v>115</v>
      </c>
      <c r="BF157" s="121" t="s">
        <v>115</v>
      </c>
      <c r="BG157" s="198"/>
      <c r="BH157" s="238">
        <f>CF157+CI157+CL157+CO157+CR157</f>
        <v>2997</v>
      </c>
      <c r="BI157" s="238">
        <f>CH157+CK157+CN157+CQ157+CT157</f>
        <v>2997</v>
      </c>
      <c r="BJ157" s="238">
        <f>BH157-BI157</f>
        <v>0</v>
      </c>
      <c r="BK157" s="239"/>
      <c r="BL157" s="240"/>
      <c r="BM157" s="241"/>
      <c r="BN157" s="142"/>
      <c r="BO157" s="182">
        <v>2997</v>
      </c>
      <c r="BP157" s="285" t="s">
        <v>117</v>
      </c>
      <c r="BQ157" s="98">
        <v>0</v>
      </c>
      <c r="BR157" s="110"/>
      <c r="BS157" s="242">
        <f>BL157*BQ157</f>
        <v>0</v>
      </c>
      <c r="BT157" s="203">
        <f>BM157*BQ157</f>
        <v>0</v>
      </c>
      <c r="BU157" s="102">
        <f>BN157*BQ157</f>
        <v>0</v>
      </c>
      <c r="BV157" s="103">
        <f>BO157*BQ157</f>
        <v>0</v>
      </c>
      <c r="BW157" s="243" t="s">
        <v>118</v>
      </c>
      <c r="BX157" s="105" t="s">
        <v>152</v>
      </c>
      <c r="BY157" s="98">
        <v>0.05</v>
      </c>
      <c r="BZ157" s="110"/>
      <c r="CA157" s="242">
        <f>BL157*BY157</f>
        <v>0</v>
      </c>
      <c r="CB157" s="101">
        <f>BM157*BY157</f>
        <v>0</v>
      </c>
      <c r="CC157" s="106">
        <f>BN157*BY157</f>
        <v>0</v>
      </c>
      <c r="CD157" s="107">
        <f>BO157*BY157</f>
        <v>149.85</v>
      </c>
      <c r="CE157" s="244"/>
      <c r="CF157" s="110">
        <v>2997</v>
      </c>
      <c r="CG157" s="286">
        <v>44832</v>
      </c>
      <c r="CH157" s="110">
        <v>2997</v>
      </c>
      <c r="CI157" s="108"/>
      <c r="CJ157" s="206"/>
      <c r="CK157" s="206"/>
      <c r="CL157" s="206"/>
      <c r="CM157" s="206"/>
      <c r="CN157" s="206"/>
      <c r="CO157" s="206"/>
      <c r="CP157" s="206"/>
      <c r="CQ157" s="206"/>
      <c r="CR157" s="206"/>
      <c r="CS157" s="206"/>
      <c r="CT157" s="206"/>
      <c r="CU157" s="90">
        <v>1</v>
      </c>
      <c r="CV157" s="181"/>
      <c r="CW157" s="246"/>
      <c r="CX157" s="247" t="s">
        <v>1014</v>
      </c>
      <c r="CY157" s="293" t="s">
        <v>122</v>
      </c>
      <c r="CZ157" s="155"/>
      <c r="DA157" s="131" t="s">
        <v>1015</v>
      </c>
      <c r="DB157" s="115" t="str">
        <f>PROPER(N157)</f>
        <v>Jv International</v>
      </c>
      <c r="DC157" s="191"/>
      <c r="DD157" s="116" t="str">
        <f>BP157</f>
        <v>blackship</v>
      </c>
      <c r="DE157" s="117" t="b">
        <f>IF(OR(D157&gt;0),IF(BJ157=0,BN157*BQ157,0))</f>
        <v>0</v>
      </c>
      <c r="DF157" s="117" t="b">
        <f>IF(OR(D157&gt;0),IF(BJ157=0,BN157*BY157,0))</f>
        <v>0</v>
      </c>
      <c r="DG157" s="116" t="str">
        <f>BX157</f>
        <v>Client Angel</v>
      </c>
      <c r="DH157" s="76"/>
      <c r="DI157" s="120" t="s">
        <v>154</v>
      </c>
      <c r="DJ157" s="120"/>
      <c r="DK157" s="207"/>
      <c r="DL157" s="207"/>
      <c r="DM157" s="248"/>
    </row>
    <row r="158" spans="1:130" ht="34.5" hidden="1" customHeight="1">
      <c r="A158" s="228"/>
      <c r="B158" s="121" t="s">
        <v>961</v>
      </c>
      <c r="C158" s="155"/>
      <c r="D158" s="155"/>
      <c r="E158" s="121"/>
      <c r="F158" s="155"/>
      <c r="G158" s="283" t="s">
        <v>954</v>
      </c>
      <c r="H158" s="283" t="s">
        <v>1016</v>
      </c>
      <c r="I158" s="207" t="s">
        <v>1017</v>
      </c>
      <c r="J158" s="155" t="str">
        <f>CONCATENATE(G158," ",H158)</f>
        <v>Flavio Ubaldi</v>
      </c>
      <c r="K158" s="224">
        <v>3407654929</v>
      </c>
      <c r="L158" s="295" t="s">
        <v>1018</v>
      </c>
      <c r="M158" s="131"/>
      <c r="N158" s="160" t="s">
        <v>1019</v>
      </c>
      <c r="O158" s="292"/>
      <c r="P158" s="37"/>
      <c r="Q158" s="37"/>
      <c r="R158" s="296" t="s">
        <v>1020</v>
      </c>
      <c r="S158" s="160"/>
      <c r="T158" s="84"/>
      <c r="U158" s="84"/>
      <c r="V158" s="84"/>
      <c r="W158" s="267"/>
      <c r="X158" s="268"/>
      <c r="Y158" s="267"/>
      <c r="Z158" s="267"/>
      <c r="AA158" s="267"/>
      <c r="AB158" s="37"/>
      <c r="AC158" s="37"/>
      <c r="AD158" s="37"/>
      <c r="AE158" s="138" t="str">
        <f>L158</f>
        <v>Ci aggiorniamo a metà maggio 2022 così dare conferma del numero di persone che parteciperanno alla sessione autunnale del Master in Vendita.</v>
      </c>
      <c r="AF158" s="198"/>
      <c r="AG158" s="121"/>
      <c r="AH158" s="121"/>
      <c r="AI158" s="198"/>
      <c r="AJ158" s="121"/>
      <c r="AK158" s="121"/>
      <c r="AL158" s="121"/>
      <c r="AM158" s="198"/>
      <c r="AN158" s="124"/>
      <c r="AO158" s="124"/>
      <c r="AP158" s="124"/>
      <c r="AQ158" s="198"/>
      <c r="AR158" s="121"/>
      <c r="AS158" s="121"/>
      <c r="AT158" s="121"/>
      <c r="AU158" s="198"/>
      <c r="AV158" s="121"/>
      <c r="AW158" s="121"/>
      <c r="AX158" s="121"/>
      <c r="AY158" s="198"/>
      <c r="AZ158" s="121"/>
      <c r="BA158" s="121"/>
      <c r="BB158" s="121"/>
      <c r="BC158" s="198"/>
      <c r="BD158" s="121" t="s">
        <v>151</v>
      </c>
      <c r="BE158" s="121" t="s">
        <v>151</v>
      </c>
      <c r="BF158" s="121" t="s">
        <v>151</v>
      </c>
      <c r="BG158" s="198"/>
      <c r="BH158" s="238">
        <f>CF158+CI158+CL158+CO158+CR158</f>
        <v>0</v>
      </c>
      <c r="BI158" s="238">
        <f>CH158+CK158+CN158+CQ158+CT158</f>
        <v>0</v>
      </c>
      <c r="BJ158" s="238">
        <f>BH158-BI158</f>
        <v>0</v>
      </c>
      <c r="BK158" s="239">
        <f>BI158</f>
        <v>0</v>
      </c>
      <c r="BL158" s="297">
        <v>0</v>
      </c>
      <c r="BM158" s="298"/>
      <c r="BN158" s="299"/>
      <c r="BO158" s="300"/>
      <c r="BP158" s="285" t="s">
        <v>1021</v>
      </c>
      <c r="BQ158" s="98">
        <v>0.15</v>
      </c>
      <c r="BR158" s="110"/>
      <c r="BS158" s="242">
        <f>BL158*BQ158</f>
        <v>0</v>
      </c>
      <c r="BT158" s="203">
        <f>BM158*BQ158</f>
        <v>0</v>
      </c>
      <c r="BU158" s="102">
        <f>BN158*BQ158</f>
        <v>0</v>
      </c>
      <c r="BV158" s="103">
        <f>BO158*BQ158</f>
        <v>0</v>
      </c>
      <c r="BW158" s="243"/>
      <c r="BX158" s="105" t="s">
        <v>184</v>
      </c>
      <c r="BY158" s="98">
        <v>0.05</v>
      </c>
      <c r="BZ158" s="110"/>
      <c r="CA158" s="242">
        <f>BL158*BY158</f>
        <v>0</v>
      </c>
      <c r="CB158" s="101">
        <f>BM158*BY158</f>
        <v>0</v>
      </c>
      <c r="CC158" s="106">
        <f>BN158*BY158</f>
        <v>0</v>
      </c>
      <c r="CD158" s="107">
        <f>BO158*BY158</f>
        <v>0</v>
      </c>
      <c r="CE158" s="244"/>
      <c r="CF158" s="110"/>
      <c r="CG158" s="206"/>
      <c r="CH158" s="301"/>
      <c r="CI158" s="108"/>
      <c r="CJ158" s="206"/>
      <c r="CK158" s="206"/>
      <c r="CL158" s="206"/>
      <c r="CM158" s="302"/>
      <c r="CN158" s="206"/>
      <c r="CO158" s="206"/>
      <c r="CP158" s="206"/>
      <c r="CQ158" s="206"/>
      <c r="CR158" s="206"/>
      <c r="CS158" s="206"/>
      <c r="CT158" s="206"/>
      <c r="CU158" s="90">
        <v>1</v>
      </c>
      <c r="CV158" s="181"/>
      <c r="CW158" s="246"/>
      <c r="CX158" s="247" t="s">
        <v>616</v>
      </c>
      <c r="CY158" s="207"/>
      <c r="CZ158" s="155"/>
      <c r="DA158" s="131"/>
      <c r="DB158" s="115" t="str">
        <f>PROPER(N158)</f>
        <v>Go Internet</v>
      </c>
      <c r="DC158" s="191"/>
      <c r="DD158" s="116" t="str">
        <f>BP158</f>
        <v>Pacci 10% Cristian A 5%</v>
      </c>
      <c r="DE158" s="117" t="b">
        <f>IF(OR(D158&gt;0),IF(BJ158=0,BN158*BQ158,0))</f>
        <v>0</v>
      </c>
      <c r="DF158" s="117" t="b">
        <f>IF(OR(D158&gt;0),IF(BJ158=0,BN158*BY158,0))</f>
        <v>0</v>
      </c>
      <c r="DG158" s="116" t="str">
        <f>BX158</f>
        <v>Cristian A</v>
      </c>
      <c r="DH158" s="76"/>
      <c r="DI158" s="120" t="s">
        <v>154</v>
      </c>
      <c r="DJ158" s="120"/>
      <c r="DK158" s="207"/>
      <c r="DL158" s="207"/>
      <c r="DM158" s="248"/>
    </row>
    <row r="159" spans="1:130" ht="34.5" hidden="1" customHeight="1">
      <c r="A159" s="228"/>
      <c r="B159" s="121" t="s">
        <v>961</v>
      </c>
      <c r="C159" s="155"/>
      <c r="D159" s="121"/>
      <c r="E159" s="121"/>
      <c r="F159" s="121"/>
      <c r="G159" s="283" t="s">
        <v>1022</v>
      </c>
      <c r="H159" s="283" t="s">
        <v>1023</v>
      </c>
      <c r="I159" s="207" t="s">
        <v>1024</v>
      </c>
      <c r="J159" s="155" t="str">
        <f>CONCATENATE(G159," ",H159)</f>
        <v>Gianni Maspero</v>
      </c>
      <c r="K159" s="224">
        <v>3929177256</v>
      </c>
      <c r="L159" s="303" t="s">
        <v>1025</v>
      </c>
      <c r="M159" s="131"/>
      <c r="N159" s="160" t="s">
        <v>1026</v>
      </c>
      <c r="O159" s="292"/>
      <c r="P159" s="37"/>
      <c r="Q159" s="37"/>
      <c r="R159" s="251" t="s">
        <v>1027</v>
      </c>
      <c r="S159" s="160"/>
      <c r="T159" s="84"/>
      <c r="U159" s="84"/>
      <c r="V159" s="84"/>
      <c r="W159" s="267"/>
      <c r="X159" s="268"/>
      <c r="Y159" s="267"/>
      <c r="Z159" s="267"/>
      <c r="AA159" s="267"/>
      <c r="AB159" s="37"/>
      <c r="AC159" s="37"/>
      <c r="AD159" s="37" t="s">
        <v>1028</v>
      </c>
      <c r="AE159" s="138" t="str">
        <f>L159</f>
        <v>MAIL DI CRI B: forse ANNULLA PARTECIPAZIONE .</v>
      </c>
      <c r="AF159" s="198"/>
      <c r="AG159" s="121"/>
      <c r="AH159" s="121"/>
      <c r="AI159" s="198"/>
      <c r="AJ159" s="121"/>
      <c r="AK159" s="121"/>
      <c r="AL159" s="121"/>
      <c r="AM159" s="198"/>
      <c r="AN159" s="155"/>
      <c r="AO159" s="155"/>
      <c r="AP159" s="155"/>
      <c r="AQ159" s="198"/>
      <c r="AR159" s="304"/>
      <c r="AS159" s="304"/>
      <c r="AT159" s="304"/>
      <c r="AU159" s="198"/>
      <c r="AV159" s="121"/>
      <c r="AW159" s="121"/>
      <c r="AX159" s="121"/>
      <c r="AY159" s="198"/>
      <c r="AZ159" s="154" t="s">
        <v>165</v>
      </c>
      <c r="BA159" s="154" t="s">
        <v>165</v>
      </c>
      <c r="BB159" s="154" t="s">
        <v>165</v>
      </c>
      <c r="BC159" s="198"/>
      <c r="BD159" s="121"/>
      <c r="BE159" s="121"/>
      <c r="BF159" s="121"/>
      <c r="BG159" s="198"/>
      <c r="BH159" s="238">
        <f>CF159+CI159+CL159+CO159+CR159</f>
        <v>163.9344262295082</v>
      </c>
      <c r="BI159" s="238">
        <f>CH159+CK159+CN159+CQ159+CT159</f>
        <v>163.9344262295082</v>
      </c>
      <c r="BJ159" s="238">
        <f>BH159-BI159</f>
        <v>0</v>
      </c>
      <c r="BK159" s="239"/>
      <c r="BL159" s="240">
        <v>0</v>
      </c>
      <c r="BM159" s="241"/>
      <c r="BN159" s="142"/>
      <c r="BO159" s="182"/>
      <c r="BP159" s="305" t="s">
        <v>133</v>
      </c>
      <c r="BQ159" s="145">
        <v>0.15</v>
      </c>
      <c r="BR159" s="110"/>
      <c r="BS159" s="242">
        <f>BL159*BQ159</f>
        <v>0</v>
      </c>
      <c r="BT159" s="203">
        <f>BM159*BQ159</f>
        <v>0</v>
      </c>
      <c r="BU159" s="102">
        <f>BN159*BQ159</f>
        <v>0</v>
      </c>
      <c r="BV159" s="103">
        <f>BO159*BQ159</f>
        <v>0</v>
      </c>
      <c r="BW159" s="243"/>
      <c r="BX159" s="105" t="s">
        <v>133</v>
      </c>
      <c r="BY159" s="98">
        <v>0.05</v>
      </c>
      <c r="BZ159" s="110"/>
      <c r="CA159" s="242">
        <f>BL159*BY159</f>
        <v>0</v>
      </c>
      <c r="CB159" s="101">
        <f>BM159*BY159</f>
        <v>0</v>
      </c>
      <c r="CC159" s="106">
        <f>BN159*BY159</f>
        <v>0</v>
      </c>
      <c r="CD159" s="107">
        <f>BO159*BY159</f>
        <v>0</v>
      </c>
      <c r="CE159" s="244"/>
      <c r="CF159" s="110">
        <f>200/1.22</f>
        <v>163.9344262295082</v>
      </c>
      <c r="CG159" s="226">
        <v>44656</v>
      </c>
      <c r="CH159" s="110">
        <f>200/1.22</f>
        <v>163.9344262295082</v>
      </c>
      <c r="CI159" s="108"/>
      <c r="CJ159" s="226"/>
      <c r="CK159" s="206"/>
      <c r="CL159" s="110"/>
      <c r="CM159" s="287"/>
      <c r="CN159" s="206"/>
      <c r="CO159" s="206"/>
      <c r="CP159" s="206"/>
      <c r="CQ159" s="206"/>
      <c r="CR159" s="206"/>
      <c r="CS159" s="206"/>
      <c r="CT159" s="206"/>
      <c r="CU159" s="90">
        <v>1</v>
      </c>
      <c r="CV159" s="181"/>
      <c r="CW159" s="246"/>
      <c r="CX159" s="247" t="s">
        <v>976</v>
      </c>
      <c r="CY159" s="293" t="s">
        <v>122</v>
      </c>
      <c r="CZ159" s="155"/>
      <c r="DA159" s="131"/>
      <c r="DB159" s="115" t="str">
        <f>PROPER(N159)</f>
        <v>Truck One Uk</v>
      </c>
      <c r="DC159" s="191"/>
      <c r="DD159" s="116" t="str">
        <f>BP159</f>
        <v>Cristian B</v>
      </c>
      <c r="DE159" s="117" t="b">
        <f>IF(OR(D159&gt;0),IF(BJ159=0,BN159*BQ159,0))</f>
        <v>0</v>
      </c>
      <c r="DF159" s="117" t="b">
        <f>IF(OR(D159&gt;0),IF(BJ159=0,BN159*BY159,0))</f>
        <v>0</v>
      </c>
      <c r="DG159" s="116" t="str">
        <f>BX159</f>
        <v>Cristian B</v>
      </c>
      <c r="DH159" s="76"/>
      <c r="DI159" s="120" t="s">
        <v>154</v>
      </c>
      <c r="DJ159" s="120"/>
      <c r="DK159" s="207"/>
      <c r="DL159" s="207"/>
      <c r="DM159" s="248"/>
    </row>
    <row r="160" spans="1:130" ht="34.5" hidden="1" customHeight="1">
      <c r="A160" s="228"/>
      <c r="B160" s="121" t="s">
        <v>961</v>
      </c>
      <c r="C160" s="155"/>
      <c r="D160" s="121"/>
      <c r="E160" s="121"/>
      <c r="F160" s="121"/>
      <c r="G160" s="288" t="s">
        <v>1029</v>
      </c>
      <c r="H160" s="288" t="s">
        <v>1030</v>
      </c>
      <c r="I160" s="207"/>
      <c r="J160" s="155" t="str">
        <f>CONCATENATE(G160," ",H160)</f>
        <v>EX - Lucrezia Barzi (licenziata) Iscritto Digimax</v>
      </c>
      <c r="K160" s="224"/>
      <c r="L160" s="207" t="s">
        <v>1031</v>
      </c>
      <c r="M160" s="131"/>
      <c r="N160" s="160" t="s">
        <v>1032</v>
      </c>
      <c r="O160" s="284"/>
      <c r="P160" s="37"/>
      <c r="Q160" s="37"/>
      <c r="R160" s="131"/>
      <c r="S160" s="160"/>
      <c r="T160" s="84"/>
      <c r="U160" s="84"/>
      <c r="V160" s="84"/>
      <c r="W160" s="267"/>
      <c r="X160" s="234"/>
      <c r="Y160" s="267"/>
      <c r="Z160" s="267"/>
      <c r="AA160" s="267"/>
      <c r="AB160" s="37"/>
      <c r="AC160" s="37"/>
      <c r="AD160" s="37" t="s">
        <v>1033</v>
      </c>
      <c r="AE160" s="138" t="str">
        <f>L160</f>
        <v>l.barzi@digimax.it</v>
      </c>
      <c r="AF160" s="198"/>
      <c r="AG160" s="121"/>
      <c r="AH160" s="121"/>
      <c r="AI160" s="198"/>
      <c r="AJ160" s="121"/>
      <c r="AK160" s="121"/>
      <c r="AL160" s="121"/>
      <c r="AM160" s="198"/>
      <c r="AN160" s="155"/>
      <c r="AO160" s="155"/>
      <c r="AP160" s="155"/>
      <c r="AQ160" s="198"/>
      <c r="AR160" s="121"/>
      <c r="AS160" s="121" t="s">
        <v>115</v>
      </c>
      <c r="AT160" s="154" t="s">
        <v>194</v>
      </c>
      <c r="AU160" s="198"/>
      <c r="AV160" s="121"/>
      <c r="AW160" s="121"/>
      <c r="AX160" s="121"/>
      <c r="AY160" s="198"/>
      <c r="AZ160" s="121"/>
      <c r="BA160" s="121"/>
      <c r="BB160" s="121"/>
      <c r="BC160" s="198"/>
      <c r="BD160" s="121" t="s">
        <v>27</v>
      </c>
      <c r="BE160" s="121"/>
      <c r="BF160" s="121" t="s">
        <v>27</v>
      </c>
      <c r="BG160" s="198"/>
      <c r="BH160" s="238">
        <f>CF160+CI160+CL160+CO160+CR160</f>
        <v>0</v>
      </c>
      <c r="BI160" s="238">
        <f>CH160+CK160+CN160+CQ160+CT160</f>
        <v>0</v>
      </c>
      <c r="BJ160" s="238">
        <f>BH160-BI160</f>
        <v>0</v>
      </c>
      <c r="BK160" s="239"/>
      <c r="BL160" s="240">
        <f>BH160-BK160</f>
        <v>0</v>
      </c>
      <c r="BM160" s="241"/>
      <c r="BN160" s="142"/>
      <c r="BO160" s="182"/>
      <c r="BP160" s="306" t="s">
        <v>1034</v>
      </c>
      <c r="BQ160" s="98">
        <v>0.15</v>
      </c>
      <c r="BR160" s="110"/>
      <c r="BS160" s="242">
        <f>BL160*BQ160</f>
        <v>0</v>
      </c>
      <c r="BT160" s="203"/>
      <c r="BU160" s="102">
        <f>BN160*BQ160</f>
        <v>0</v>
      </c>
      <c r="BV160" s="103">
        <f>BO160*BQ160</f>
        <v>0</v>
      </c>
      <c r="BW160" s="243" t="s">
        <v>1035</v>
      </c>
      <c r="BX160" s="105" t="s">
        <v>525</v>
      </c>
      <c r="BY160" s="98">
        <v>0.05</v>
      </c>
      <c r="BZ160" s="110"/>
      <c r="CA160" s="242">
        <f>BL160*BY160</f>
        <v>0</v>
      </c>
      <c r="CB160" s="101">
        <f>BM160*BY160</f>
        <v>0</v>
      </c>
      <c r="CC160" s="106">
        <f>BN160*BY160</f>
        <v>0</v>
      </c>
      <c r="CD160" s="107">
        <f>BO160*BY160</f>
        <v>0</v>
      </c>
      <c r="CE160" s="244" t="s">
        <v>1035</v>
      </c>
      <c r="CF160" s="307"/>
      <c r="CG160" s="286"/>
      <c r="CH160" s="307"/>
      <c r="CI160" s="108"/>
      <c r="CJ160" s="206"/>
      <c r="CK160" s="206"/>
      <c r="CL160" s="206"/>
      <c r="CM160" s="302"/>
      <c r="CN160" s="206"/>
      <c r="CO160" s="206"/>
      <c r="CP160" s="206"/>
      <c r="CQ160" s="206"/>
      <c r="CR160" s="206"/>
      <c r="CS160" s="206"/>
      <c r="CT160" s="206"/>
      <c r="CU160" s="90">
        <v>1</v>
      </c>
      <c r="CV160" s="181"/>
      <c r="CW160" s="246"/>
      <c r="CX160" s="247" t="s">
        <v>990</v>
      </c>
      <c r="CY160" s="90" t="s">
        <v>122</v>
      </c>
      <c r="CZ160" s="155"/>
      <c r="DA160" s="207" t="s">
        <v>1036</v>
      </c>
      <c r="DB160" s="115" t="str">
        <f>PROPER(N160)</f>
        <v>Digimax</v>
      </c>
      <c r="DC160" s="191"/>
      <c r="DD160" s="116" t="str">
        <f>BP160</f>
        <v>Mirco Gasparotto (OSA)</v>
      </c>
      <c r="DE160" s="117" t="b">
        <f>IF(OR(D160&gt;0),IF(BJ160=0,BN160*BQ160,0))</f>
        <v>0</v>
      </c>
      <c r="DF160" s="117" t="b">
        <f>IF(OR(D160&gt;0),IF(BJ160=0,BN160*BY160,0))</f>
        <v>0</v>
      </c>
      <c r="DG160" s="116" t="str">
        <f>BX160</f>
        <v>Bruno</v>
      </c>
      <c r="DH160" s="76"/>
      <c r="DI160" s="120" t="s">
        <v>154</v>
      </c>
      <c r="DJ160" s="120"/>
      <c r="DK160" s="207"/>
      <c r="DL160" s="207"/>
      <c r="DM160" s="248">
        <v>1</v>
      </c>
    </row>
    <row r="161" spans="1:130" ht="34.5" hidden="1" customHeight="1">
      <c r="A161" s="228"/>
      <c r="B161" s="121" t="s">
        <v>961</v>
      </c>
      <c r="C161" s="155"/>
      <c r="D161" s="75"/>
      <c r="E161" s="121">
        <v>1</v>
      </c>
      <c r="F161" s="196"/>
      <c r="G161" s="283" t="s">
        <v>1037</v>
      </c>
      <c r="H161" s="283" t="s">
        <v>1038</v>
      </c>
      <c r="I161" s="294" t="s">
        <v>1039</v>
      </c>
      <c r="J161" s="155" t="str">
        <f>CONCATENATE(G161," ",H161)</f>
        <v>Marco Maria Ingrassia</v>
      </c>
      <c r="K161" s="224"/>
      <c r="L161" s="249" t="s">
        <v>1040</v>
      </c>
      <c r="M161" s="131" t="s">
        <v>1041</v>
      </c>
      <c r="N161" s="160" t="s">
        <v>1042</v>
      </c>
      <c r="O161" s="284"/>
      <c r="P161" s="37"/>
      <c r="Q161" s="37"/>
      <c r="R161" s="131" t="s">
        <v>1043</v>
      </c>
      <c r="S161" s="160"/>
      <c r="T161" s="84"/>
      <c r="U161" s="84"/>
      <c r="V161" s="84"/>
      <c r="W161" s="267"/>
      <c r="X161" s="234"/>
      <c r="Y161" s="267"/>
      <c r="Z161" s="267"/>
      <c r="AA161" s="267"/>
      <c r="AB161" s="37"/>
      <c r="AC161" s="37"/>
      <c r="AD161" s="37" t="s">
        <v>1044</v>
      </c>
      <c r="AE161" s="138" t="str">
        <f>L161</f>
        <v>Fatturato a Veronica Castelli - spostata partecipazione a Primavera 2023, poi ha ceduto la sua partecipazione a Marco Ingrassia</v>
      </c>
      <c r="AF161" s="198"/>
      <c r="AG161" s="121"/>
      <c r="AH161" s="121"/>
      <c r="AI161" s="198"/>
      <c r="AJ161" s="121"/>
      <c r="AK161" s="121"/>
      <c r="AL161" s="121"/>
      <c r="AM161" s="198"/>
      <c r="AN161" s="155"/>
      <c r="AO161" s="155"/>
      <c r="AP161" s="155"/>
      <c r="AQ161" s="198"/>
      <c r="AR161" s="121"/>
      <c r="AS161" s="121"/>
      <c r="AT161" s="121"/>
      <c r="AU161" s="198"/>
      <c r="AV161" s="75" t="s">
        <v>115</v>
      </c>
      <c r="AX161" s="121" t="s">
        <v>115</v>
      </c>
      <c r="AY161" s="198"/>
      <c r="AZ161" s="121"/>
      <c r="BA161" s="308" t="s">
        <v>115</v>
      </c>
      <c r="BB161" s="121"/>
      <c r="BC161" s="198"/>
      <c r="BD161" s="121"/>
      <c r="BE161" s="121"/>
      <c r="BF161" s="121"/>
      <c r="BG161" s="198"/>
      <c r="BH161" s="238">
        <f>CF161+CI161+CL161+CO161+CR161</f>
        <v>2997</v>
      </c>
      <c r="BI161" s="238">
        <f>CH161+CK161+CN161+CQ161+CT161</f>
        <v>2997</v>
      </c>
      <c r="BJ161" s="238">
        <f>BH161-BI161</f>
        <v>0</v>
      </c>
      <c r="BK161" s="239" t="s">
        <v>118</v>
      </c>
      <c r="BL161" s="240">
        <v>0</v>
      </c>
      <c r="BM161" s="241">
        <v>2997</v>
      </c>
      <c r="BN161" s="273"/>
      <c r="BO161" s="274"/>
      <c r="BP161" s="285" t="s">
        <v>117</v>
      </c>
      <c r="BQ161" s="98">
        <v>0</v>
      </c>
      <c r="BR161" s="110"/>
      <c r="BS161" s="242">
        <f>BL161*BQ161</f>
        <v>0</v>
      </c>
      <c r="BT161" s="203">
        <f>BM161*BQ161</f>
        <v>0</v>
      </c>
      <c r="BU161" s="102">
        <f>BN161*BQ161</f>
        <v>0</v>
      </c>
      <c r="BV161" s="103">
        <f>BO161*BQ161</f>
        <v>0</v>
      </c>
      <c r="BW161" s="309" t="s">
        <v>118</v>
      </c>
      <c r="BX161" s="105" t="s">
        <v>152</v>
      </c>
      <c r="BY161" s="98">
        <v>0.05</v>
      </c>
      <c r="BZ161" s="110"/>
      <c r="CA161" s="242">
        <f>BT161*BY161</f>
        <v>0</v>
      </c>
      <c r="CB161" s="101">
        <f>BM161*BY161</f>
        <v>149.85</v>
      </c>
      <c r="CC161" s="106">
        <f>BN161*BY161</f>
        <v>0</v>
      </c>
      <c r="CD161" s="107">
        <f>BO161*BY161</f>
        <v>0</v>
      </c>
      <c r="CE161" s="90" t="s">
        <v>120</v>
      </c>
      <c r="CF161" s="110">
        <v>2997</v>
      </c>
      <c r="CG161" s="286">
        <v>44649</v>
      </c>
      <c r="CH161" s="110">
        <v>2997</v>
      </c>
      <c r="CI161" s="108"/>
      <c r="CJ161" s="206"/>
      <c r="CK161" s="206"/>
      <c r="CL161" s="206"/>
      <c r="CM161" s="206"/>
      <c r="CN161" s="206"/>
      <c r="CO161" s="206"/>
      <c r="CP161" s="206"/>
      <c r="CQ161" s="206"/>
      <c r="CR161" s="206"/>
      <c r="CS161" s="206"/>
      <c r="CT161" s="206"/>
      <c r="CU161" s="90">
        <v>1</v>
      </c>
      <c r="CV161" s="181"/>
      <c r="CW161" s="246"/>
      <c r="CX161" s="247" t="s">
        <v>1045</v>
      </c>
      <c r="CY161" s="282"/>
      <c r="CZ161" s="155"/>
      <c r="DA161" s="208" t="s">
        <v>1046</v>
      </c>
      <c r="DB161" s="115" t="str">
        <f>PROPER(N161)</f>
        <v>Myapartmentforyou</v>
      </c>
      <c r="DC161" s="191" t="s">
        <v>1047</v>
      </c>
      <c r="DD161" s="116" t="str">
        <f>BP161</f>
        <v>blackship</v>
      </c>
      <c r="DE161" s="117" t="b">
        <f>IF(OR(D161&gt;0),IF(BJ161=0,BN161*BQ161,0))</f>
        <v>0</v>
      </c>
      <c r="DF161" s="117" t="b">
        <f>IF(OR(D161&gt;0),IF(BJ161=0,BN161*BY161,0))</f>
        <v>0</v>
      </c>
      <c r="DG161" s="118" t="str">
        <f>BX161</f>
        <v>Client Angel</v>
      </c>
      <c r="DH161" s="76"/>
      <c r="DI161" s="120" t="s">
        <v>154</v>
      </c>
      <c r="DJ161" s="120"/>
      <c r="DK161" s="207"/>
      <c r="DL161" s="207"/>
      <c r="DM161" s="248"/>
    </row>
    <row r="162" spans="1:130" ht="34.5" hidden="1" customHeight="1">
      <c r="A162" s="228"/>
      <c r="B162" s="121" t="s">
        <v>961</v>
      </c>
      <c r="C162" s="155"/>
      <c r="D162" s="121"/>
      <c r="E162" s="121"/>
      <c r="F162" s="121"/>
      <c r="G162" s="283" t="s">
        <v>1048</v>
      </c>
      <c r="H162" s="283" t="s">
        <v>1049</v>
      </c>
      <c r="I162" s="207" t="s">
        <v>1050</v>
      </c>
      <c r="J162" s="155" t="str">
        <f>CONCATENATE(G162," ",H162)</f>
        <v>Monica Fontana</v>
      </c>
      <c r="K162" s="224">
        <v>3923041731</v>
      </c>
      <c r="L162" s="160" t="s">
        <v>1051</v>
      </c>
      <c r="M162" s="251"/>
      <c r="N162" s="160" t="s">
        <v>1052</v>
      </c>
      <c r="O162" s="310"/>
      <c r="P162" s="37"/>
      <c r="Q162" s="37"/>
      <c r="R162" s="131" t="s">
        <v>1053</v>
      </c>
      <c r="S162" s="160"/>
      <c r="T162" s="84"/>
      <c r="U162" s="84"/>
      <c r="V162" s="84"/>
      <c r="W162" s="267"/>
      <c r="X162" s="234"/>
      <c r="Y162" s="267"/>
      <c r="Z162" s="267"/>
      <c r="AA162" s="267"/>
      <c r="AB162" s="37"/>
      <c r="AC162" s="37"/>
      <c r="AD162" s="37" t="s">
        <v>1054</v>
      </c>
      <c r="AE162" s="138" t="str">
        <f>L162</f>
        <v>PORTATI DA MATTE</v>
      </c>
      <c r="AF162" s="198"/>
      <c r="AG162" s="121"/>
      <c r="AH162" s="121"/>
      <c r="AI162" s="198"/>
      <c r="AJ162" s="121"/>
      <c r="AK162" s="121"/>
      <c r="AL162" s="121"/>
      <c r="AM162" s="198"/>
      <c r="AN162" s="155"/>
      <c r="AO162" s="155"/>
      <c r="AP162" s="155"/>
      <c r="AQ162" s="198"/>
      <c r="AR162" s="154" t="s">
        <v>194</v>
      </c>
      <c r="AS162" s="154" t="s">
        <v>194</v>
      </c>
      <c r="AT162" s="154" t="s">
        <v>194</v>
      </c>
      <c r="AU162" s="198"/>
      <c r="AV162" s="124"/>
      <c r="AW162" s="124"/>
      <c r="AY162" s="198"/>
      <c r="AZ162" s="177" t="s">
        <v>27</v>
      </c>
      <c r="BA162" s="154" t="s">
        <v>194</v>
      </c>
      <c r="BB162" s="154" t="s">
        <v>194</v>
      </c>
      <c r="BC162" s="198"/>
      <c r="BD162" s="121"/>
      <c r="BE162" s="121"/>
      <c r="BF162" s="121"/>
      <c r="BG162" s="198"/>
      <c r="BH162" s="238">
        <f>CF162+CI162+CL162+CO162+CR162</f>
        <v>2597</v>
      </c>
      <c r="BI162" s="238">
        <f>CH162+CK162+CN162+CQ162+CT162</f>
        <v>2597</v>
      </c>
      <c r="BJ162" s="238">
        <f>BH162-BI162</f>
        <v>0</v>
      </c>
      <c r="BK162" s="239"/>
      <c r="BL162" s="240"/>
      <c r="BM162" s="241"/>
      <c r="BN162" s="311">
        <v>2597</v>
      </c>
      <c r="BO162" s="182"/>
      <c r="BP162" s="305" t="s">
        <v>262</v>
      </c>
      <c r="BQ162" s="145">
        <v>0.15</v>
      </c>
      <c r="BR162" s="110"/>
      <c r="BS162" s="242">
        <f>BL162*BQ162</f>
        <v>0</v>
      </c>
      <c r="BT162" s="203">
        <f>BM162*BQ162</f>
        <v>0</v>
      </c>
      <c r="BU162" s="167">
        <f>BN162*BQ162</f>
        <v>389.55</v>
      </c>
      <c r="BV162" s="168">
        <f>BO162*BQ162</f>
        <v>0</v>
      </c>
      <c r="BW162" s="243"/>
      <c r="BX162" s="105" t="s">
        <v>262</v>
      </c>
      <c r="BY162" s="98">
        <v>0.05</v>
      </c>
      <c r="BZ162" s="110"/>
      <c r="CA162" s="242">
        <f>BL162*BY162</f>
        <v>0</v>
      </c>
      <c r="CB162" s="101">
        <f>BM162*BY162</f>
        <v>0</v>
      </c>
      <c r="CC162" s="106">
        <f>BN162*BY162</f>
        <v>129.85</v>
      </c>
      <c r="CD162" s="107">
        <f>BO162*BY162</f>
        <v>0</v>
      </c>
      <c r="CE162" s="244"/>
      <c r="CF162" s="110">
        <v>2597</v>
      </c>
      <c r="CG162" s="286">
        <v>44677</v>
      </c>
      <c r="CH162" s="110">
        <v>2597</v>
      </c>
      <c r="CI162" s="108"/>
      <c r="CJ162" s="206"/>
      <c r="CK162" s="206"/>
      <c r="CL162" s="206"/>
      <c r="CM162" s="206"/>
      <c r="CN162" s="206"/>
      <c r="CO162" s="206"/>
      <c r="CP162" s="206"/>
      <c r="CQ162" s="206"/>
      <c r="CR162" s="206"/>
      <c r="CS162" s="206"/>
      <c r="CT162" s="206"/>
      <c r="CU162" s="90">
        <v>1</v>
      </c>
      <c r="CV162" s="181"/>
      <c r="CW162" s="246"/>
      <c r="CX162" s="247"/>
      <c r="CY162" s="312" t="s">
        <v>215</v>
      </c>
      <c r="CZ162" s="155"/>
      <c r="DA162" s="131" t="s">
        <v>1055</v>
      </c>
      <c r="DB162" s="115" t="str">
        <f>PROPER(N162)</f>
        <v xml:space="preserve">Studio Mf </v>
      </c>
      <c r="DC162" s="191" t="s">
        <v>237</v>
      </c>
      <c r="DD162" s="116" t="str">
        <f>BP162</f>
        <v>Pacci</v>
      </c>
      <c r="DE162" s="117" t="b">
        <f>IF(OR(D162&gt;0),IF(BJ162=0,BN162*BQ162,0))</f>
        <v>0</v>
      </c>
      <c r="DF162" s="117" t="b">
        <f>IF(OR(D162&gt;0),IF(BJ162=0,BN162*BY162,0))</f>
        <v>0</v>
      </c>
      <c r="DG162" s="116" t="str">
        <f>BX162</f>
        <v>Pacci</v>
      </c>
      <c r="DH162" s="76"/>
      <c r="DI162" s="120" t="s">
        <v>154</v>
      </c>
      <c r="DJ162" s="120"/>
      <c r="DK162" s="207"/>
      <c r="DL162" s="207"/>
      <c r="DM162" s="248"/>
    </row>
    <row r="163" spans="1:130" ht="34.5" hidden="1" customHeight="1">
      <c r="A163" s="228"/>
      <c r="B163" s="121" t="s">
        <v>1359</v>
      </c>
      <c r="C163" s="155"/>
      <c r="D163" s="121"/>
      <c r="E163" s="121">
        <v>1</v>
      </c>
      <c r="F163" s="121"/>
      <c r="G163" s="400" t="s">
        <v>1763</v>
      </c>
      <c r="H163" s="400" t="s">
        <v>2211</v>
      </c>
      <c r="I163" s="207" t="s">
        <v>2212</v>
      </c>
      <c r="J163" s="121" t="str">
        <f>CONCATENATE(G163," ",H163)</f>
        <v>Fabrizio Locatelli</v>
      </c>
      <c r="K163" s="156"/>
      <c r="L163" s="156"/>
      <c r="M163" s="1912" t="s">
        <v>702</v>
      </c>
      <c r="N163" s="160" t="s">
        <v>2196</v>
      </c>
      <c r="O163" s="1938"/>
      <c r="P163" s="315"/>
      <c r="Q163" s="315"/>
      <c r="R163" s="1949"/>
      <c r="S163" s="315"/>
      <c r="T163" s="315"/>
      <c r="U163" s="315"/>
      <c r="V163" s="315"/>
      <c r="W163" s="315"/>
      <c r="X163" s="131"/>
      <c r="Y163" s="315"/>
      <c r="Z163" s="315"/>
      <c r="AA163" s="315"/>
      <c r="AB163" s="37"/>
      <c r="AC163" s="131"/>
      <c r="AD163" s="121" t="s">
        <v>2197</v>
      </c>
      <c r="AE163" s="88"/>
      <c r="AF163" s="321"/>
      <c r="AG163" s="406"/>
      <c r="AH163" s="406"/>
      <c r="AI163" s="321"/>
      <c r="AJ163" s="155"/>
      <c r="AK163" s="155"/>
      <c r="AL163" s="155"/>
      <c r="AM163" s="211"/>
      <c r="AN163" s="155"/>
      <c r="AO163" s="155"/>
      <c r="AP163" s="155"/>
      <c r="AQ163" s="211"/>
      <c r="AR163" s="121"/>
      <c r="AS163" s="121"/>
      <c r="AT163" s="121"/>
      <c r="AU163" s="211"/>
      <c r="AV163" s="121"/>
      <c r="AW163" s="121"/>
      <c r="AX163" s="121"/>
      <c r="AY163" s="214"/>
      <c r="AZ163" s="121"/>
      <c r="BA163" s="121" t="s">
        <v>115</v>
      </c>
      <c r="BB163" s="2002" t="s">
        <v>115</v>
      </c>
      <c r="BC163" s="215"/>
      <c r="BD163" s="121" t="s">
        <v>115</v>
      </c>
      <c r="BE163" s="121"/>
      <c r="BF163" s="121"/>
      <c r="BG163" s="216"/>
      <c r="BH163" s="238">
        <f>CF163+CI163+CL163+CO163+CR163</f>
        <v>2597</v>
      </c>
      <c r="BI163" s="238">
        <f>CH163+CK163+CN163+CQ163+CT163</f>
        <v>2597</v>
      </c>
      <c r="BJ163" s="238">
        <f>BH163-BI163</f>
        <v>0</v>
      </c>
      <c r="BK163" s="239"/>
      <c r="BL163" s="240"/>
      <c r="BM163" s="241"/>
      <c r="BN163" s="142">
        <v>2597</v>
      </c>
      <c r="BO163" s="182"/>
      <c r="BP163" s="2051" t="s">
        <v>246</v>
      </c>
      <c r="BQ163" s="98">
        <v>0.15</v>
      </c>
      <c r="BR163" s="110"/>
      <c r="BS163" s="242">
        <f>BL163*BQ163</f>
        <v>0</v>
      </c>
      <c r="BT163" s="203">
        <f>BM163*BQ163</f>
        <v>0</v>
      </c>
      <c r="BU163" s="167">
        <f>BN163*BQ163</f>
        <v>389.55</v>
      </c>
      <c r="BV163" s="168">
        <f>BO163*BQ163</f>
        <v>0</v>
      </c>
      <c r="BW163" s="131"/>
      <c r="BX163" s="105" t="s">
        <v>246</v>
      </c>
      <c r="BY163" s="145">
        <v>0.05</v>
      </c>
      <c r="BZ163" s="110"/>
      <c r="CA163" s="242">
        <f>BL163*BY163</f>
        <v>0</v>
      </c>
      <c r="CB163" s="101">
        <f>BM163*BY163</f>
        <v>0</v>
      </c>
      <c r="CC163" s="106">
        <f>BN163*BY163</f>
        <v>129.85</v>
      </c>
      <c r="CD163" s="107">
        <f>BO163*BY163</f>
        <v>0</v>
      </c>
      <c r="CE163" s="244"/>
      <c r="CF163" s="110">
        <v>2597</v>
      </c>
      <c r="CG163" s="226">
        <v>45204</v>
      </c>
      <c r="CH163" s="262">
        <v>2597</v>
      </c>
      <c r="CI163" s="2106"/>
      <c r="CJ163" s="416"/>
      <c r="CK163" s="415"/>
      <c r="CL163" s="415"/>
      <c r="CM163" s="416"/>
      <c r="CN163" s="415"/>
      <c r="CO163" s="263"/>
      <c r="CP163" s="263"/>
      <c r="CQ163" s="263"/>
      <c r="CR163" s="263"/>
      <c r="CS163" s="263"/>
      <c r="CT163" s="263"/>
      <c r="CU163" s="245">
        <v>1</v>
      </c>
      <c r="CV163" s="181"/>
      <c r="CW163" s="2126"/>
      <c r="CX163" s="2127"/>
      <c r="CY163" s="2129"/>
      <c r="CZ163" s="121"/>
      <c r="DA163" s="424" t="s">
        <v>2198</v>
      </c>
      <c r="DB163" s="115" t="str">
        <f>PROPER(N163)</f>
        <v>Com.Pac.</v>
      </c>
      <c r="DC163" s="280" t="s">
        <v>1398</v>
      </c>
      <c r="DD163" s="116" t="str">
        <f>BP163</f>
        <v>Marco</v>
      </c>
      <c r="DE163" s="117" t="b">
        <f>IF(OR(D163&gt;0),IF(BJ163=0,BN163*BQ163,0))</f>
        <v>0</v>
      </c>
      <c r="DF163" s="117" t="b">
        <f>IF(OR(D163&gt;0),IF(BJ163=0,BN163*BY163,0))</f>
        <v>0</v>
      </c>
      <c r="DG163" s="118" t="str">
        <f>BX163</f>
        <v>Marco</v>
      </c>
      <c r="DH163" s="76"/>
      <c r="DI163" s="120" t="s">
        <v>126</v>
      </c>
      <c r="DJ163" s="120"/>
      <c r="DK163" s="74" t="s">
        <v>1366</v>
      </c>
      <c r="DL163" s="74" t="s">
        <v>1366</v>
      </c>
      <c r="DM163" s="122">
        <v>1</v>
      </c>
      <c r="DN163" s="6"/>
      <c r="DO163" s="6"/>
      <c r="DP163" s="6"/>
      <c r="DQ163" s="6"/>
      <c r="DR163" s="6"/>
      <c r="DS163" s="6"/>
      <c r="DT163" s="6"/>
      <c r="DU163" s="6"/>
      <c r="DV163" s="6"/>
      <c r="DW163" s="6"/>
      <c r="DX163" s="6"/>
      <c r="DY163" s="6"/>
      <c r="DZ163" s="6"/>
    </row>
    <row r="164" spans="1:130" ht="34.5" hidden="1" customHeight="1">
      <c r="A164" s="228"/>
      <c r="B164" s="121" t="s">
        <v>961</v>
      </c>
      <c r="C164" s="155"/>
      <c r="D164" s="75"/>
      <c r="E164" s="313"/>
      <c r="F164" s="196"/>
      <c r="G164" s="283" t="s">
        <v>693</v>
      </c>
      <c r="H164" s="283" t="s">
        <v>1062</v>
      </c>
      <c r="I164" s="207" t="s">
        <v>1063</v>
      </c>
      <c r="J164" s="155" t="str">
        <f>CONCATENATE(G164," ",H164)</f>
        <v>Silvia Rapacioli</v>
      </c>
      <c r="K164" s="224">
        <v>3477562487</v>
      </c>
      <c r="L164" s="204" t="s">
        <v>1064</v>
      </c>
      <c r="M164" s="251"/>
      <c r="N164" s="160" t="s">
        <v>1065</v>
      </c>
      <c r="O164" s="292"/>
      <c r="P164" s="314"/>
      <c r="Q164" s="314"/>
      <c r="R164" s="251" t="s">
        <v>1066</v>
      </c>
      <c r="S164" s="315"/>
      <c r="T164" s="315"/>
      <c r="U164" s="315"/>
      <c r="V164" s="315"/>
      <c r="W164" s="316"/>
      <c r="X164" s="234"/>
      <c r="Y164" s="316"/>
      <c r="Z164" s="316"/>
      <c r="AA164" s="316"/>
      <c r="AB164" s="37"/>
      <c r="AC164" s="37"/>
      <c r="AD164" s="37" t="s">
        <v>1067</v>
      </c>
      <c r="AE164" s="138" t="str">
        <f>L164</f>
        <v>Caviglia rotta rimanda VT e VS</v>
      </c>
      <c r="AF164" s="211"/>
      <c r="AG164" s="121"/>
      <c r="AH164" s="121"/>
      <c r="AI164" s="211"/>
      <c r="AJ164" s="121"/>
      <c r="AK164" s="121"/>
      <c r="AL164" s="121"/>
      <c r="AM164" s="211"/>
      <c r="AN164" s="124"/>
      <c r="AO164" s="124"/>
      <c r="AP164" s="124"/>
      <c r="AQ164" s="211"/>
      <c r="AR164" s="121"/>
      <c r="AS164" s="121"/>
      <c r="AT164" s="154" t="s">
        <v>194</v>
      </c>
      <c r="AU164" s="211"/>
      <c r="AV164" s="121"/>
      <c r="AW164" s="19" t="s">
        <v>115</v>
      </c>
      <c r="AX164" s="19" t="s">
        <v>115</v>
      </c>
      <c r="AY164" s="214"/>
      <c r="AZ164" s="121" t="s">
        <v>194</v>
      </c>
      <c r="BA164" s="121"/>
      <c r="BB164" s="121"/>
      <c r="BC164" s="215"/>
      <c r="BD164" s="121" t="s">
        <v>115</v>
      </c>
      <c r="BE164" s="121"/>
      <c r="BF164" s="121"/>
      <c r="BG164" s="216"/>
      <c r="BH164" s="238">
        <f>CF164+CI164+CL164+CO164+CR164</f>
        <v>2597</v>
      </c>
      <c r="BI164" s="238">
        <f>CH164+CK164+CN164+CQ164+CT164</f>
        <v>2597</v>
      </c>
      <c r="BJ164" s="238">
        <f>BH164-BI164</f>
        <v>0</v>
      </c>
      <c r="BK164" s="239"/>
      <c r="BL164" s="240"/>
      <c r="BM164" s="241">
        <v>2597</v>
      </c>
      <c r="BN164" s="273"/>
      <c r="BO164" s="274"/>
      <c r="BP164" s="318" t="s">
        <v>262</v>
      </c>
      <c r="BQ164" s="145">
        <v>0.15</v>
      </c>
      <c r="BR164" s="110"/>
      <c r="BS164" s="242">
        <f>BL164*BQ164</f>
        <v>0</v>
      </c>
      <c r="BT164" s="203">
        <f>BM164*BQ164</f>
        <v>389.55</v>
      </c>
      <c r="BU164" s="167">
        <f>BN164*BQ164</f>
        <v>0</v>
      </c>
      <c r="BV164" s="168">
        <f>BO164*BQ164</f>
        <v>0</v>
      </c>
      <c r="BW164" s="80" t="s">
        <v>174</v>
      </c>
      <c r="BX164" s="105" t="s">
        <v>262</v>
      </c>
      <c r="BY164" s="98">
        <v>0.05</v>
      </c>
      <c r="BZ164" s="110"/>
      <c r="CA164" s="242">
        <f>BL164*BY164</f>
        <v>0</v>
      </c>
      <c r="CB164" s="101">
        <f>BM164*BY164</f>
        <v>129.85</v>
      </c>
      <c r="CC164" s="106">
        <f>BN164*BY164</f>
        <v>0</v>
      </c>
      <c r="CD164" s="107">
        <f>BO164*BY164</f>
        <v>0</v>
      </c>
      <c r="CE164" s="90" t="s">
        <v>174</v>
      </c>
      <c r="CF164" s="110">
        <v>2597</v>
      </c>
      <c r="CG164" s="286">
        <v>44679</v>
      </c>
      <c r="CH164" s="110">
        <v>2597</v>
      </c>
      <c r="CI164" s="108"/>
      <c r="CJ164" s="206"/>
      <c r="CK164" s="206"/>
      <c r="CL164" s="206"/>
      <c r="CM164" s="206"/>
      <c r="CN164" s="206"/>
      <c r="CO164" s="206"/>
      <c r="CP164" s="206"/>
      <c r="CQ164" s="206"/>
      <c r="CR164" s="206"/>
      <c r="CS164" s="206"/>
      <c r="CT164" s="206"/>
      <c r="CU164" s="245"/>
      <c r="CV164" s="181"/>
      <c r="CW164" s="246"/>
      <c r="CX164" s="247"/>
      <c r="CY164" s="282" t="s">
        <v>122</v>
      </c>
      <c r="CZ164" s="155"/>
      <c r="DA164" s="131" t="s">
        <v>1068</v>
      </c>
      <c r="DB164" s="115" t="str">
        <f>PROPER(N164)</f>
        <v xml:space="preserve">Bict </v>
      </c>
      <c r="DC164" s="191" t="s">
        <v>1069</v>
      </c>
      <c r="DD164" s="116" t="str">
        <f>BP164</f>
        <v>Pacci</v>
      </c>
      <c r="DE164" s="158" t="b">
        <f>IF(OR(D164&gt;0),IF(BJ164=0,BN164*BQ164,0))</f>
        <v>0</v>
      </c>
      <c r="DF164" s="159" t="b">
        <f>IF(OR(D164&gt;0),IF(BJ164=0,BN164*BY164,0))</f>
        <v>0</v>
      </c>
      <c r="DG164" s="118" t="str">
        <f>BX164</f>
        <v>Pacci</v>
      </c>
      <c r="DH164" s="76"/>
      <c r="DI164" s="120" t="s">
        <v>154</v>
      </c>
      <c r="DJ164" s="120"/>
      <c r="DK164" s="207"/>
      <c r="DL164" s="207"/>
      <c r="DM164" s="248"/>
    </row>
    <row r="165" spans="1:130" ht="34.5" hidden="1" customHeight="1">
      <c r="A165" s="228"/>
      <c r="B165" s="121" t="s">
        <v>1359</v>
      </c>
      <c r="C165" s="155"/>
      <c r="D165" s="121">
        <v>1</v>
      </c>
      <c r="E165" s="121">
        <v>1</v>
      </c>
      <c r="F165" s="121"/>
      <c r="G165" s="400" t="s">
        <v>1763</v>
      </c>
      <c r="H165" s="400" t="s">
        <v>1764</v>
      </c>
      <c r="I165" s="207" t="s">
        <v>1765</v>
      </c>
      <c r="J165" s="121" t="str">
        <f>CONCATENATE(G165," ",H165)</f>
        <v>Fabrizio Oldrati</v>
      </c>
      <c r="K165" s="156">
        <v>3496170043</v>
      </c>
      <c r="L165" s="435"/>
      <c r="M165" s="1913" t="s">
        <v>1766</v>
      </c>
      <c r="N165" s="160"/>
      <c r="O165" s="1938"/>
      <c r="P165" s="315"/>
      <c r="Q165" s="315"/>
      <c r="R165" s="1949"/>
      <c r="S165" s="315"/>
      <c r="T165" s="315"/>
      <c r="U165" s="315"/>
      <c r="V165" s="315"/>
      <c r="W165" s="315"/>
      <c r="X165" s="131"/>
      <c r="Y165" s="315"/>
      <c r="Z165" s="315"/>
      <c r="AA165" s="315"/>
      <c r="AB165" s="37"/>
      <c r="AC165" s="131"/>
      <c r="AD165" s="121" t="s">
        <v>1767</v>
      </c>
      <c r="AE165" s="88"/>
      <c r="AF165" s="321"/>
      <c r="AG165" s="406"/>
      <c r="AH165" s="406"/>
      <c r="AI165" s="321"/>
      <c r="AJ165" s="155"/>
      <c r="AK165" s="155"/>
      <c r="AL165" s="155"/>
      <c r="AM165" s="211"/>
      <c r="AN165" s="155"/>
      <c r="AO165" s="155"/>
      <c r="AP165" s="155"/>
      <c r="AQ165" s="211"/>
      <c r="AR165" s="121"/>
      <c r="AS165" s="121"/>
      <c r="AT165" s="121"/>
      <c r="AU165" s="211"/>
      <c r="AV165" s="121"/>
      <c r="AW165" s="121"/>
      <c r="AX165" s="1987"/>
      <c r="AY165" s="214"/>
      <c r="AZ165" s="121" t="s">
        <v>115</v>
      </c>
      <c r="BA165" s="121" t="s">
        <v>115</v>
      </c>
      <c r="BB165" s="121" t="s">
        <v>115</v>
      </c>
      <c r="BC165" s="215"/>
      <c r="BD165" s="121"/>
      <c r="BE165" s="121"/>
      <c r="BF165" s="121"/>
      <c r="BG165" s="216"/>
      <c r="BH165" s="238">
        <f>CF165+CI165+CL165+CO165+CR165</f>
        <v>2997</v>
      </c>
      <c r="BI165" s="238">
        <f>CH165+CK165+CN165+CQ165+CT165</f>
        <v>2997</v>
      </c>
      <c r="BJ165" s="238">
        <f>BH165-BI165</f>
        <v>0</v>
      </c>
      <c r="BK165" s="239"/>
      <c r="BL165" s="240"/>
      <c r="BM165" s="241"/>
      <c r="BN165" s="142">
        <v>2997</v>
      </c>
      <c r="BO165" s="182"/>
      <c r="BP165" s="2051" t="s">
        <v>184</v>
      </c>
      <c r="BQ165" s="98">
        <v>0.15</v>
      </c>
      <c r="BR165" s="110"/>
      <c r="BS165" s="242">
        <f>BL165*BQ165</f>
        <v>0</v>
      </c>
      <c r="BT165" s="203">
        <f>BM165*BQ165</f>
        <v>0</v>
      </c>
      <c r="BU165" s="167">
        <f>BN165*BQ165</f>
        <v>449.55</v>
      </c>
      <c r="BV165" s="168">
        <f>BO165*BQ165</f>
        <v>0</v>
      </c>
      <c r="BW165" s="160" t="s">
        <v>185</v>
      </c>
      <c r="BX165" s="105" t="s">
        <v>184</v>
      </c>
      <c r="BY165" s="145">
        <v>0.05</v>
      </c>
      <c r="BZ165" s="110"/>
      <c r="CA165" s="242">
        <f>BL165*BY165</f>
        <v>0</v>
      </c>
      <c r="CB165" s="101">
        <f>BM165*BY165</f>
        <v>0</v>
      </c>
      <c r="CC165" s="106">
        <f>BN165*BY165</f>
        <v>149.85</v>
      </c>
      <c r="CD165" s="107">
        <f>BO165*BY165</f>
        <v>0</v>
      </c>
      <c r="CE165" s="160" t="s">
        <v>185</v>
      </c>
      <c r="CF165" s="110">
        <v>2997</v>
      </c>
      <c r="CG165" s="226">
        <v>45198</v>
      </c>
      <c r="CH165" s="110">
        <v>2997</v>
      </c>
      <c r="CI165" s="2106"/>
      <c r="CJ165" s="416"/>
      <c r="CK165" s="415"/>
      <c r="CL165" s="415"/>
      <c r="CM165" s="416"/>
      <c r="CN165" s="415"/>
      <c r="CO165" s="263"/>
      <c r="CP165" s="263"/>
      <c r="CQ165" s="263"/>
      <c r="CR165" s="263"/>
      <c r="CS165" s="263"/>
      <c r="CT165" s="263"/>
      <c r="CU165" s="90">
        <v>1</v>
      </c>
      <c r="CV165" s="181"/>
      <c r="CW165" s="246"/>
      <c r="CX165" s="672"/>
      <c r="CY165" s="2129"/>
      <c r="CZ165" s="121"/>
      <c r="DA165" s="131" t="s">
        <v>1768</v>
      </c>
      <c r="DB165" s="115" t="str">
        <f>PROPER(N165)</f>
        <v/>
      </c>
      <c r="DC165" s="280" t="s">
        <v>442</v>
      </c>
      <c r="DD165" s="116" t="str">
        <f>BP165</f>
        <v>Cristian A</v>
      </c>
      <c r="DE165" s="117">
        <f>IF(OR(D165&gt;0),IF(BJ165=0,BN165*BQ165,0))</f>
        <v>449.55</v>
      </c>
      <c r="DF165" s="117">
        <f>IF(OR(D165&gt;0),IF(BJ165=0,BN165*BY165,0))</f>
        <v>149.85</v>
      </c>
      <c r="DG165" s="118" t="str">
        <f>BX165</f>
        <v>Cristian A</v>
      </c>
      <c r="DH165" s="76"/>
      <c r="DI165" s="120" t="s">
        <v>126</v>
      </c>
      <c r="DJ165" s="120"/>
      <c r="DK165" s="74" t="s">
        <v>1399</v>
      </c>
      <c r="DL165" s="74" t="s">
        <v>1399</v>
      </c>
      <c r="DM165" s="122">
        <v>1</v>
      </c>
      <c r="DN165" s="6"/>
      <c r="DO165" s="6"/>
      <c r="DP165" s="6"/>
      <c r="DQ165" s="6"/>
      <c r="DR165" s="6"/>
      <c r="DS165" s="6"/>
      <c r="DT165" s="6"/>
      <c r="DU165" s="6"/>
      <c r="DV165" s="6"/>
      <c r="DW165" s="6"/>
      <c r="DX165" s="6"/>
      <c r="DY165" s="6"/>
      <c r="DZ165" s="6"/>
    </row>
    <row r="166" spans="1:130" ht="34.5" hidden="1" customHeight="1">
      <c r="A166" s="3"/>
      <c r="B166" s="121" t="s">
        <v>108</v>
      </c>
      <c r="C166" s="121"/>
      <c r="D166" s="121">
        <v>1</v>
      </c>
      <c r="E166" s="121">
        <v>1</v>
      </c>
      <c r="F166" s="121"/>
      <c r="G166" s="79" t="s">
        <v>462</v>
      </c>
      <c r="H166" s="79" t="s">
        <v>463</v>
      </c>
      <c r="I166" s="131" t="s">
        <v>464</v>
      </c>
      <c r="J166" s="121" t="str">
        <f>CONCATENATE(G166," ",H166)</f>
        <v>Fausto Mazzotti</v>
      </c>
      <c r="K166" s="156" t="s">
        <v>465</v>
      </c>
      <c r="L166" s="160"/>
      <c r="M166" s="1890" t="s">
        <v>466</v>
      </c>
      <c r="N166" s="160" t="s">
        <v>467</v>
      </c>
      <c r="O166" s="675"/>
      <c r="P166" s="1941"/>
      <c r="Q166" s="1941"/>
      <c r="R166" s="1941"/>
      <c r="S166" s="1941"/>
      <c r="T166" s="1941"/>
      <c r="U166" s="1941"/>
      <c r="V166" s="1941"/>
      <c r="W166" s="1941"/>
      <c r="X166" s="86"/>
      <c r="Y166" s="1960"/>
      <c r="Z166" s="1941"/>
      <c r="AA166" s="1941"/>
      <c r="AB166" s="86"/>
      <c r="AC166" s="86"/>
      <c r="AD166" s="86" t="s">
        <v>468</v>
      </c>
      <c r="AE166" s="138">
        <f>L166</f>
        <v>0</v>
      </c>
      <c r="AF166" s="211"/>
      <c r="AG166" s="121"/>
      <c r="AH166" s="121"/>
      <c r="AI166" s="211"/>
      <c r="AJ166" s="121"/>
      <c r="AK166" s="121"/>
      <c r="AL166" s="121"/>
      <c r="AM166" s="211"/>
      <c r="AN166" s="155"/>
      <c r="AO166" s="155"/>
      <c r="AP166" s="155"/>
      <c r="AQ166" s="211"/>
      <c r="AR166" s="121"/>
      <c r="AS166" s="121"/>
      <c r="AT166" s="121"/>
      <c r="AU166" s="211"/>
      <c r="AV166" s="121"/>
      <c r="AW166" s="121"/>
      <c r="AX166" s="121"/>
      <c r="AY166" s="214"/>
      <c r="AZ166" s="121" t="s">
        <v>115</v>
      </c>
      <c r="BA166" s="121" t="s">
        <v>115</v>
      </c>
      <c r="BB166" s="135" t="s">
        <v>115</v>
      </c>
      <c r="BC166" s="215"/>
      <c r="BD166" s="121"/>
      <c r="BE166" s="121"/>
      <c r="BF166" s="121"/>
      <c r="BG166" s="216"/>
      <c r="BH166" s="238">
        <f>CF166+CI166+CL166+CO166+CR166</f>
        <v>2997</v>
      </c>
      <c r="BI166" s="238">
        <f>CH166+CK166+CN166+CQ166+CT166</f>
        <v>2997</v>
      </c>
      <c r="BJ166" s="238">
        <f>BH166-BI166</f>
        <v>0</v>
      </c>
      <c r="BK166" s="199"/>
      <c r="BL166" s="2017"/>
      <c r="BM166" s="241"/>
      <c r="BN166" s="142">
        <v>2997</v>
      </c>
      <c r="BO166" s="182"/>
      <c r="BP166" s="2043" t="s">
        <v>160</v>
      </c>
      <c r="BQ166" s="98">
        <v>0.15</v>
      </c>
      <c r="BR166" s="201"/>
      <c r="BS166" s="202"/>
      <c r="BT166" s="203">
        <f>BM166*BQ166</f>
        <v>0</v>
      </c>
      <c r="BU166" s="167">
        <f>BN166*BQ166</f>
        <v>449.55</v>
      </c>
      <c r="BV166" s="168">
        <f>BO166*BQ166</f>
        <v>0</v>
      </c>
      <c r="BW166" s="160" t="s">
        <v>185</v>
      </c>
      <c r="BX166" s="105" t="s">
        <v>160</v>
      </c>
      <c r="BY166" s="98">
        <v>0.05</v>
      </c>
      <c r="BZ166" s="201"/>
      <c r="CA166" s="202"/>
      <c r="CB166" s="101">
        <f>BM166*BY166</f>
        <v>0</v>
      </c>
      <c r="CC166" s="106">
        <f>BN166*BY166</f>
        <v>149.85</v>
      </c>
      <c r="CD166" s="107">
        <f>BO166*BY166</f>
        <v>0</v>
      </c>
      <c r="CE166" s="160" t="s">
        <v>185</v>
      </c>
      <c r="CF166" s="110">
        <v>2997</v>
      </c>
      <c r="CG166" s="226">
        <v>45019</v>
      </c>
      <c r="CH166" s="110">
        <v>2997</v>
      </c>
      <c r="CI166" s="110"/>
      <c r="CJ166" s="226"/>
      <c r="CK166" s="206"/>
      <c r="CL166" s="206"/>
      <c r="CM166" s="226"/>
      <c r="CN166" s="206"/>
      <c r="CO166" s="206"/>
      <c r="CP166" s="206"/>
      <c r="CQ166" s="206"/>
      <c r="CR166" s="206"/>
      <c r="CS166" s="206"/>
      <c r="CT166" s="206"/>
      <c r="CU166" s="245">
        <v>1</v>
      </c>
      <c r="CV166" s="181" t="s">
        <v>121</v>
      </c>
      <c r="CW166" s="246"/>
      <c r="CX166" s="247"/>
      <c r="CY166" s="2129" t="s">
        <v>122</v>
      </c>
      <c r="CZ166" s="155"/>
      <c r="DA166" s="131" t="s">
        <v>469</v>
      </c>
      <c r="DB166" s="115" t="str">
        <f>PROPER(N166)</f>
        <v>Rustichelli Color</v>
      </c>
      <c r="DC166" s="191" t="s">
        <v>470</v>
      </c>
      <c r="DD166" s="116" t="str">
        <f>BP166</f>
        <v>Gianluca</v>
      </c>
      <c r="DE166" s="117">
        <f>IF(OR(D166&gt;0),IF(BJ166=0,BN166*BQ166,0))</f>
        <v>449.55</v>
      </c>
      <c r="DF166" s="117">
        <f>IF(OR(D166&gt;0),IF(BJ166=0,BN166*BY166,0))</f>
        <v>149.85</v>
      </c>
      <c r="DG166" s="116" t="str">
        <f>BX166</f>
        <v>Gianluca</v>
      </c>
      <c r="DH166" s="76"/>
      <c r="DI166" s="120" t="s">
        <v>126</v>
      </c>
      <c r="DJ166" s="120"/>
      <c r="DK166" s="121"/>
      <c r="DL166" s="121"/>
      <c r="DM166" s="122"/>
      <c r="DN166" s="6"/>
      <c r="DO166" s="6"/>
      <c r="DP166" s="6"/>
      <c r="DQ166" s="6"/>
      <c r="DR166" s="6"/>
      <c r="DS166" s="6"/>
      <c r="DT166" s="6"/>
      <c r="DU166" s="6"/>
      <c r="DV166" s="6"/>
      <c r="DW166" s="6"/>
      <c r="DX166" s="6"/>
      <c r="DY166" s="6"/>
      <c r="DZ166" s="6"/>
    </row>
    <row r="167" spans="1:130" ht="34.5" hidden="1" customHeight="1">
      <c r="A167" s="228"/>
      <c r="B167" s="121" t="s">
        <v>1928</v>
      </c>
      <c r="C167" s="121"/>
      <c r="D167" s="75">
        <v>1</v>
      </c>
      <c r="E167" s="121">
        <v>1</v>
      </c>
      <c r="F167" s="121"/>
      <c r="G167" s="181" t="s">
        <v>471</v>
      </c>
      <c r="H167" s="181" t="s">
        <v>2539</v>
      </c>
      <c r="I167" s="695" t="s">
        <v>2540</v>
      </c>
      <c r="J167" s="121" t="str">
        <f>CONCATENATE(G167," ",H167)</f>
        <v>Federico Musaio</v>
      </c>
      <c r="K167" s="181"/>
      <c r="L167" s="131"/>
      <c r="M167" s="251"/>
      <c r="N167" s="160" t="s">
        <v>2013</v>
      </c>
      <c r="O167" s="292"/>
      <c r="P167" s="314"/>
      <c r="Q167" s="314"/>
      <c r="R167" s="131"/>
      <c r="S167" s="315"/>
      <c r="T167" s="315"/>
      <c r="U167" s="315"/>
      <c r="V167" s="315"/>
      <c r="W167" s="316"/>
      <c r="X167" s="234"/>
      <c r="Y167" s="316"/>
      <c r="Z167" s="316"/>
      <c r="AA167" s="316"/>
      <c r="AB167" s="37"/>
      <c r="AC167" s="37"/>
      <c r="AD167" s="37" t="s">
        <v>118</v>
      </c>
      <c r="AE167" s="138"/>
      <c r="AF167" s="211"/>
      <c r="AG167" s="121"/>
      <c r="AH167" s="121"/>
      <c r="AI167" s="211"/>
      <c r="AJ167" s="121"/>
      <c r="AK167" s="121"/>
      <c r="AL167" s="121"/>
      <c r="AM167" s="211"/>
      <c r="AN167" s="155"/>
      <c r="AO167" s="155"/>
      <c r="AP167" s="155"/>
      <c r="AQ167" s="211"/>
      <c r="AR167" s="121"/>
      <c r="AS167" s="121"/>
      <c r="AT167" s="121"/>
      <c r="AU167" s="211"/>
      <c r="AV167" s="121"/>
      <c r="AW167" s="121"/>
      <c r="AX167" s="121"/>
      <c r="AY167" s="214"/>
      <c r="AZ167" s="121" t="s">
        <v>116</v>
      </c>
      <c r="BA167" s="121" t="s">
        <v>116</v>
      </c>
      <c r="BB167" s="162" t="s">
        <v>116</v>
      </c>
      <c r="BC167" s="215"/>
      <c r="BD167" s="121"/>
      <c r="BE167" s="121"/>
      <c r="BF167" s="121"/>
      <c r="BG167" s="216"/>
      <c r="BH167" s="92"/>
      <c r="BI167" s="92"/>
      <c r="BJ167" s="92"/>
      <c r="BK167" s="239"/>
      <c r="BL167" s="240"/>
      <c r="BM167" s="241"/>
      <c r="BN167" s="142"/>
      <c r="BO167" s="182"/>
      <c r="BP167" s="2043"/>
      <c r="BQ167" s="98"/>
      <c r="BR167" s="110"/>
      <c r="BS167" s="242"/>
      <c r="BT167" s="203"/>
      <c r="BU167" s="167">
        <f>BN167*BQ167</f>
        <v>0</v>
      </c>
      <c r="BV167" s="168">
        <f>BO167*BQ167</f>
        <v>0</v>
      </c>
      <c r="BW167" s="243"/>
      <c r="BX167" s="275"/>
      <c r="BY167" s="145"/>
      <c r="BZ167" s="110"/>
      <c r="CA167" s="242"/>
      <c r="CB167" s="101"/>
      <c r="CC167" s="106">
        <f>BN167*BY167</f>
        <v>0</v>
      </c>
      <c r="CD167" s="107">
        <f>BO167*BY167</f>
        <v>0</v>
      </c>
      <c r="CE167" s="244"/>
      <c r="CF167" s="110"/>
      <c r="CG167" s="226"/>
      <c r="CH167" s="110"/>
      <c r="CI167" s="108"/>
      <c r="CJ167" s="226"/>
      <c r="CK167" s="206"/>
      <c r="CL167" s="206"/>
      <c r="CM167" s="226"/>
      <c r="CN167" s="206"/>
      <c r="CO167" s="206"/>
      <c r="CP167" s="206"/>
      <c r="CQ167" s="206"/>
      <c r="CR167" s="206"/>
      <c r="CS167" s="206"/>
      <c r="CT167" s="206"/>
      <c r="CU167" s="245">
        <v>1</v>
      </c>
      <c r="CV167" s="181"/>
      <c r="CW167" s="246"/>
      <c r="CX167" s="247"/>
      <c r="CY167" s="2129"/>
      <c r="CZ167" s="155"/>
      <c r="DA167" s="428" t="s">
        <v>2015</v>
      </c>
      <c r="DB167" s="115" t="str">
        <f>PROPER(N167)</f>
        <v>Fenix Digital Group</v>
      </c>
      <c r="DC167" s="280" t="s">
        <v>2016</v>
      </c>
      <c r="DD167" s="116">
        <f>BP167</f>
        <v>0</v>
      </c>
      <c r="DE167" s="117">
        <f>IF(OR(D167&gt;0),IF(BJ167=0,BN167*BQ167,0))</f>
        <v>0</v>
      </c>
      <c r="DF167" s="117">
        <f>IF(OR(D167&gt;0),IF(BJ167=0,BN167*BY167,0))</f>
        <v>0</v>
      </c>
      <c r="DG167" s="113">
        <f>BX167</f>
        <v>0</v>
      </c>
      <c r="DH167" s="510"/>
      <c r="DI167" s="120" t="s">
        <v>126</v>
      </c>
      <c r="DJ167" s="120"/>
      <c r="DK167" s="207"/>
      <c r="DL167" s="207"/>
      <c r="DM167" s="248">
        <v>1</v>
      </c>
    </row>
    <row r="168" spans="1:130" ht="34.5" hidden="1" customHeight="1">
      <c r="A168" s="228"/>
      <c r="B168" s="154" t="s">
        <v>1078</v>
      </c>
      <c r="C168" s="155"/>
      <c r="D168" s="155"/>
      <c r="E168" s="121"/>
      <c r="F168" s="155"/>
      <c r="G168" s="320" t="s">
        <v>1091</v>
      </c>
      <c r="H168" s="320" t="s">
        <v>1092</v>
      </c>
      <c r="I168" s="207" t="s">
        <v>1093</v>
      </c>
      <c r="J168" s="155" t="str">
        <f>CONCATENATE(G168," ",H168)</f>
        <v>Claudio  Marino</v>
      </c>
      <c r="K168" s="224"/>
      <c r="L168" s="131" t="s">
        <v>1094</v>
      </c>
      <c r="M168" s="326"/>
      <c r="N168" s="160" t="s">
        <v>1095</v>
      </c>
      <c r="O168" s="327"/>
      <c r="P168" s="328"/>
      <c r="Q168" s="328"/>
      <c r="R168" s="326" t="s">
        <v>1096</v>
      </c>
      <c r="S168" s="296"/>
      <c r="T168" s="296"/>
      <c r="U168" s="296"/>
      <c r="V168" s="296"/>
      <c r="W168" s="329"/>
      <c r="X168" s="330"/>
      <c r="Y168" s="329"/>
      <c r="Z168" s="329"/>
      <c r="AA168" s="329"/>
      <c r="AB168" s="255"/>
      <c r="AC168" s="256"/>
      <c r="AD168" s="255"/>
      <c r="AE168" s="138" t="str">
        <f>L168</f>
        <v>fatturazione mensile con importi ad hoc, anticipata, 1 settimana prima di inizo modulo</v>
      </c>
      <c r="AF168" s="321"/>
      <c r="AG168" s="155"/>
      <c r="AH168" s="155"/>
      <c r="AI168" s="321"/>
      <c r="AJ168" s="155"/>
      <c r="AK168" s="155"/>
      <c r="AL168" s="155"/>
      <c r="AM168" s="321"/>
      <c r="AN168" s="331"/>
      <c r="AO168" s="155"/>
      <c r="AP168" s="155"/>
      <c r="AQ168" s="321"/>
      <c r="AR168" s="124"/>
      <c r="AS168" s="124"/>
      <c r="AT168" s="124"/>
      <c r="AU168" s="321"/>
      <c r="AV168" s="121"/>
      <c r="AW168" s="121"/>
      <c r="AX168" s="124"/>
      <c r="AY168" s="322"/>
      <c r="AZ168" s="121"/>
      <c r="BA168" s="121"/>
      <c r="BB168" s="121"/>
      <c r="BC168" s="323"/>
      <c r="BD168" s="177" t="s">
        <v>151</v>
      </c>
      <c r="BE168" s="177" t="s">
        <v>151</v>
      </c>
      <c r="BF168" s="177" t="s">
        <v>151</v>
      </c>
      <c r="BG168" s="324"/>
      <c r="BH168" s="238">
        <f>CF168+CI168+CL168+CO168+CR168</f>
        <v>3497</v>
      </c>
      <c r="BI168" s="238">
        <f>CH168+CK168+CN168+CQ168+CT168</f>
        <v>0</v>
      </c>
      <c r="BJ168" s="238">
        <f>BH168-BI168</f>
        <v>3497</v>
      </c>
      <c r="BK168" s="332"/>
      <c r="BL168" s="240"/>
      <c r="BM168" s="333"/>
      <c r="BN168" s="142"/>
      <c r="BO168" s="182"/>
      <c r="BP168" s="334" t="s">
        <v>1034</v>
      </c>
      <c r="BQ168" s="98">
        <v>0.15</v>
      </c>
      <c r="BR168" s="335"/>
      <c r="BS168" s="242">
        <f>BL168*BQ168</f>
        <v>0</v>
      </c>
      <c r="BT168" s="203">
        <f>BM168*BQ168</f>
        <v>0</v>
      </c>
      <c r="BU168" s="167">
        <f>BN168*BQ168</f>
        <v>0</v>
      </c>
      <c r="BV168" s="168">
        <f>BO168*BQ168</f>
        <v>0</v>
      </c>
      <c r="BW168" s="243"/>
      <c r="BX168" s="105" t="s">
        <v>525</v>
      </c>
      <c r="BY168" s="98">
        <v>0.1</v>
      </c>
      <c r="BZ168" s="335"/>
      <c r="CA168" s="242">
        <f>BL168*BY168</f>
        <v>0</v>
      </c>
      <c r="CB168" s="101">
        <f>BM168*BY168</f>
        <v>0</v>
      </c>
      <c r="CC168" s="106">
        <f>BN168*BY168</f>
        <v>0</v>
      </c>
      <c r="CD168" s="107">
        <f>BO168*BY168</f>
        <v>0</v>
      </c>
      <c r="CE168" s="336"/>
      <c r="CF168" s="110">
        <v>1300</v>
      </c>
      <c r="CG168" s="337">
        <v>45053</v>
      </c>
      <c r="CH168" s="338"/>
      <c r="CI168" s="110">
        <v>1300</v>
      </c>
      <c r="CJ168" s="226">
        <v>45078</v>
      </c>
      <c r="CK168" s="110"/>
      <c r="CL168" s="110">
        <v>897</v>
      </c>
      <c r="CM168" s="287">
        <v>45100</v>
      </c>
      <c r="CN168" s="338"/>
      <c r="CO168" s="110"/>
      <c r="CP168" s="337"/>
      <c r="CQ168" s="338"/>
      <c r="CR168" s="110"/>
      <c r="CS168" s="226"/>
      <c r="CT168" s="338"/>
      <c r="CU168" s="245"/>
      <c r="CV168" s="181"/>
      <c r="CW168" s="246"/>
      <c r="CX168" s="247"/>
      <c r="CY168" s="339" t="s">
        <v>215</v>
      </c>
      <c r="CZ168" s="155"/>
      <c r="DA168" s="131" t="s">
        <v>1097</v>
      </c>
      <c r="DB168" s="115" t="str">
        <f>PROPER(N168)</f>
        <v>Maior Group</v>
      </c>
      <c r="DC168" s="191"/>
      <c r="DD168" s="116" t="str">
        <f>BP168</f>
        <v>Mirco Gasparotto (OSA)</v>
      </c>
      <c r="DE168" s="117" t="b">
        <f>IF(OR(D168&gt;0),IF(BJ168=0,BN168*BQ168,0))</f>
        <v>0</v>
      </c>
      <c r="DF168" s="117" t="b">
        <f>IF(OR(D168&gt;0),IF(BJ168=0,BN168*BY168,0))</f>
        <v>0</v>
      </c>
      <c r="DG168" s="116" t="str">
        <f>BX168</f>
        <v>Bruno</v>
      </c>
      <c r="DH168" s="76"/>
      <c r="DI168" s="120" t="s">
        <v>154</v>
      </c>
      <c r="DJ168" s="120"/>
      <c r="DK168" s="207"/>
      <c r="DL168" s="207"/>
      <c r="DM168" s="248"/>
    </row>
    <row r="169" spans="1:130" ht="34.5" hidden="1" customHeight="1">
      <c r="A169" s="3"/>
      <c r="B169" s="121" t="s">
        <v>108</v>
      </c>
      <c r="C169" s="121"/>
      <c r="D169" s="121">
        <v>1</v>
      </c>
      <c r="E169" s="121">
        <v>1</v>
      </c>
      <c r="F169" s="196"/>
      <c r="G169" s="79" t="s">
        <v>471</v>
      </c>
      <c r="H169" s="79" t="s">
        <v>472</v>
      </c>
      <c r="I169" s="131" t="s">
        <v>473</v>
      </c>
      <c r="J169" s="121" t="str">
        <f>CONCATENATE(G169," ",H169)</f>
        <v>Federico Schiavon</v>
      </c>
      <c r="K169" s="156">
        <v>3808916154</v>
      </c>
      <c r="L169" s="157"/>
      <c r="M169" s="1906" t="s">
        <v>112</v>
      </c>
      <c r="N169" s="160"/>
      <c r="O169" s="675"/>
      <c r="P169" s="1941"/>
      <c r="Q169" s="1941"/>
      <c r="R169" s="1941"/>
      <c r="S169" s="1941"/>
      <c r="T169" s="1941"/>
      <c r="U169" s="1941"/>
      <c r="V169" s="1941"/>
      <c r="W169" s="1941"/>
      <c r="X169" s="86"/>
      <c r="Y169" s="1960"/>
      <c r="Z169" s="1941"/>
      <c r="AA169" s="1941"/>
      <c r="AB169" s="86"/>
      <c r="AC169" s="86"/>
      <c r="AD169" s="86" t="s">
        <v>474</v>
      </c>
      <c r="AE169" s="88">
        <f>L169</f>
        <v>0</v>
      </c>
      <c r="AF169" s="211"/>
      <c r="AG169" s="121"/>
      <c r="AH169" s="121"/>
      <c r="AI169" s="211"/>
      <c r="AJ169" s="121"/>
      <c r="AK169" s="121"/>
      <c r="AL169" s="121"/>
      <c r="AM169" s="211"/>
      <c r="AN169" s="155"/>
      <c r="AO169" s="155"/>
      <c r="AP169" s="155"/>
      <c r="AQ169" s="211"/>
      <c r="AR169" s="121"/>
      <c r="AS169" s="121"/>
      <c r="AT169" s="121"/>
      <c r="AU169" s="211"/>
      <c r="AV169" s="121" t="s">
        <v>115</v>
      </c>
      <c r="AW169" s="121" t="s">
        <v>115</v>
      </c>
      <c r="AX169" s="121" t="s">
        <v>115</v>
      </c>
      <c r="AY169" s="214"/>
      <c r="AZ169" s="121" t="s">
        <v>116</v>
      </c>
      <c r="BA169" s="121" t="s">
        <v>116</v>
      </c>
      <c r="BB169" s="121" t="s">
        <v>116</v>
      </c>
      <c r="BC169" s="215"/>
      <c r="BD169" s="121"/>
      <c r="BE169" s="121"/>
      <c r="BF169" s="121"/>
      <c r="BG169" s="216"/>
      <c r="BH169" s="238"/>
      <c r="BI169" s="238"/>
      <c r="BJ169" s="238"/>
      <c r="BK169" s="199"/>
      <c r="BL169" s="2017"/>
      <c r="BM169" s="241">
        <v>3497</v>
      </c>
      <c r="BN169" s="96"/>
      <c r="BO169" s="97"/>
      <c r="BP169" s="305" t="s">
        <v>117</v>
      </c>
      <c r="BQ169" s="98">
        <v>0</v>
      </c>
      <c r="BR169" s="201"/>
      <c r="BS169" s="202"/>
      <c r="BT169" s="203">
        <f>BM169*BQ169</f>
        <v>0</v>
      </c>
      <c r="BU169" s="167">
        <f>BN169*BQ169</f>
        <v>0</v>
      </c>
      <c r="BV169" s="168">
        <f>BO169*BQ169</f>
        <v>0</v>
      </c>
      <c r="BW169" s="131" t="s">
        <v>118</v>
      </c>
      <c r="BX169" s="105" t="s">
        <v>166</v>
      </c>
      <c r="BY169" s="98">
        <v>0.05</v>
      </c>
      <c r="BZ169" s="201"/>
      <c r="CA169" s="202"/>
      <c r="CB169" s="101">
        <f>BM169*BY169</f>
        <v>174.85000000000002</v>
      </c>
      <c r="CC169" s="106">
        <f>BN169*BY169</f>
        <v>0</v>
      </c>
      <c r="CD169" s="107">
        <f>BO169*BY169</f>
        <v>0</v>
      </c>
      <c r="CE169" s="155" t="s">
        <v>174</v>
      </c>
      <c r="CF169" s="110">
        <f>200/1.22</f>
        <v>163.9344262295082</v>
      </c>
      <c r="CG169" s="226">
        <v>45009</v>
      </c>
      <c r="CH169" s="110">
        <f>200/1.22</f>
        <v>163.9344262295082</v>
      </c>
      <c r="CI169" s="110">
        <f>1720/1.22</f>
        <v>1409.8360655737706</v>
      </c>
      <c r="CJ169" s="226">
        <v>45051</v>
      </c>
      <c r="CK169" s="110">
        <f>1720/1.22</f>
        <v>1409.8360655737706</v>
      </c>
      <c r="CL169" s="110">
        <f>2346.34/1.22</f>
        <v>1923.2295081967216</v>
      </c>
      <c r="CM169" s="226">
        <v>45078</v>
      </c>
      <c r="CN169" s="110">
        <f>1923.15+0.08</f>
        <v>1923.23</v>
      </c>
      <c r="CO169" s="206"/>
      <c r="CP169" s="206"/>
      <c r="CQ169" s="206"/>
      <c r="CR169" s="206"/>
      <c r="CS169" s="206"/>
      <c r="CT169" s="206"/>
      <c r="CU169" s="245">
        <v>1</v>
      </c>
      <c r="CV169" s="181" t="s">
        <v>121</v>
      </c>
      <c r="CW169" s="246"/>
      <c r="CX169" s="247"/>
      <c r="CY169" s="2129" t="s">
        <v>122</v>
      </c>
      <c r="CZ169" s="155"/>
      <c r="DA169" s="208" t="s">
        <v>475</v>
      </c>
      <c r="DB169" s="115" t="str">
        <f>PROPER(N169)</f>
        <v/>
      </c>
      <c r="DC169" s="191" t="s">
        <v>476</v>
      </c>
      <c r="DD169" s="116" t="str">
        <f>BP169</f>
        <v>blackship</v>
      </c>
      <c r="DE169" s="117">
        <f>IF(OR(D169&gt;0),IF(BJ169=0,BN169*BQ169,0))</f>
        <v>0</v>
      </c>
      <c r="DF169" s="117">
        <f>IF(OR(D169&gt;0),IF(BJ169=0,BN169*BY169,0))</f>
        <v>0</v>
      </c>
      <c r="DG169" s="118" t="str">
        <f>BX169</f>
        <v>Matteo</v>
      </c>
      <c r="DH169" s="76"/>
      <c r="DI169" s="120" t="s">
        <v>126</v>
      </c>
      <c r="DJ169" s="120"/>
      <c r="DK169" s="121"/>
      <c r="DL169" s="121"/>
      <c r="DM169" s="122"/>
      <c r="DN169" s="6"/>
      <c r="DO169" s="6"/>
      <c r="DP169" s="6"/>
      <c r="DQ169" s="6"/>
      <c r="DR169" s="6"/>
      <c r="DS169" s="6"/>
      <c r="DT169" s="6"/>
      <c r="DU169" s="6"/>
      <c r="DV169" s="6"/>
      <c r="DW169" s="6"/>
      <c r="DX169" s="6"/>
      <c r="DY169" s="6"/>
      <c r="DZ169" s="6"/>
    </row>
    <row r="170" spans="1:130" ht="34.5" hidden="1" customHeight="1">
      <c r="A170" s="228"/>
      <c r="B170" s="121" t="s">
        <v>1078</v>
      </c>
      <c r="C170" s="155"/>
      <c r="D170" s="155"/>
      <c r="E170" s="121"/>
      <c r="F170" s="155"/>
      <c r="G170" s="340" t="s">
        <v>1101</v>
      </c>
      <c r="H170" s="340" t="s">
        <v>1102</v>
      </c>
      <c r="I170" s="294" t="s">
        <v>1103</v>
      </c>
      <c r="J170" s="155" t="str">
        <f>CONCATENATE(G170," ",H170)</f>
        <v>EX - Daniela Sardo (licenziata) Iscritto Primo Round</v>
      </c>
      <c r="K170" s="224"/>
      <c r="L170" s="131" t="s">
        <v>1104</v>
      </c>
      <c r="M170" s="341"/>
      <c r="N170" s="160" t="s">
        <v>1105</v>
      </c>
      <c r="O170" s="292"/>
      <c r="P170" s="314"/>
      <c r="Q170" s="314"/>
      <c r="R170" s="251" t="s">
        <v>1106</v>
      </c>
      <c r="S170" s="315"/>
      <c r="T170" s="315"/>
      <c r="U170" s="315"/>
      <c r="V170" s="315"/>
      <c r="W170" s="316"/>
      <c r="X170" s="234"/>
      <c r="Y170" s="316"/>
      <c r="Z170" s="316"/>
      <c r="AA170" s="316"/>
      <c r="AB170" s="37"/>
      <c r="AC170" s="37"/>
      <c r="AD170" s="37" t="s">
        <v>1107</v>
      </c>
      <c r="AE170" s="138" t="str">
        <f>L170</f>
        <v>Licenziata e NON Farò il Master. Cercato Marco senza successo</v>
      </c>
      <c r="AF170" s="321"/>
      <c r="AG170" s="121"/>
      <c r="AH170" s="121"/>
      <c r="AI170" s="321"/>
      <c r="AJ170" s="121"/>
      <c r="AK170" s="121"/>
      <c r="AL170" s="121"/>
      <c r="AM170" s="321"/>
      <c r="AN170" s="155"/>
      <c r="AO170" s="155"/>
      <c r="AP170" s="155"/>
      <c r="AQ170" s="321"/>
      <c r="AR170" s="121"/>
      <c r="AS170" s="121"/>
      <c r="AT170" s="121"/>
      <c r="AU170" s="321"/>
      <c r="AV170" s="121"/>
      <c r="AW170" s="121"/>
      <c r="AX170" s="121"/>
      <c r="AY170" s="322"/>
      <c r="AZ170" s="121"/>
      <c r="BA170" s="121"/>
      <c r="BB170" s="121"/>
      <c r="BC170" s="323"/>
      <c r="BD170" s="177" t="s">
        <v>27</v>
      </c>
      <c r="BE170" s="177" t="s">
        <v>27</v>
      </c>
      <c r="BF170" s="177" t="s">
        <v>27</v>
      </c>
      <c r="BG170" s="324"/>
      <c r="BH170" s="238">
        <f>CF170+CI170+CL170+CO170+CR170</f>
        <v>2997</v>
      </c>
      <c r="BI170" s="238">
        <f>CH170+CK170+CN170+CQ170+CT170</f>
        <v>2997</v>
      </c>
      <c r="BJ170" s="238">
        <f>BH170-BI170</f>
        <v>0</v>
      </c>
      <c r="BK170" s="239"/>
      <c r="BL170" s="240">
        <v>0</v>
      </c>
      <c r="BM170" s="241"/>
      <c r="BN170" s="142"/>
      <c r="BO170" s="182">
        <v>2997</v>
      </c>
      <c r="BP170" s="243" t="s">
        <v>262</v>
      </c>
      <c r="BQ170" s="342">
        <v>0.15</v>
      </c>
      <c r="BR170" s="110"/>
      <c r="BS170" s="242">
        <f>BL170*BQ170</f>
        <v>0</v>
      </c>
      <c r="BT170" s="203">
        <f>BM170*BQ170</f>
        <v>0</v>
      </c>
      <c r="BU170" s="167">
        <f>BN170*BQ170</f>
        <v>0</v>
      </c>
      <c r="BV170" s="168">
        <f>BO170*BQ170</f>
        <v>449.55</v>
      </c>
      <c r="BW170" s="243"/>
      <c r="BX170" s="105" t="s">
        <v>262</v>
      </c>
      <c r="BY170" s="98">
        <v>0.1</v>
      </c>
      <c r="BZ170" s="110"/>
      <c r="CA170" s="242">
        <f>BL170*BY170</f>
        <v>0</v>
      </c>
      <c r="CB170" s="101">
        <f>BM170*BY170</f>
        <v>0</v>
      </c>
      <c r="CC170" s="106">
        <f>BN170*BY170</f>
        <v>0</v>
      </c>
      <c r="CD170" s="107">
        <f>BO170*BY170</f>
        <v>299.7</v>
      </c>
      <c r="CE170" s="244"/>
      <c r="CF170" s="110">
        <v>2997</v>
      </c>
      <c r="CG170" s="226">
        <v>44627</v>
      </c>
      <c r="CH170" s="110">
        <v>2997</v>
      </c>
      <c r="CI170" s="206"/>
      <c r="CJ170" s="206"/>
      <c r="CK170" s="206"/>
      <c r="CL170" s="206"/>
      <c r="CM170" s="206"/>
      <c r="CN170" s="206"/>
      <c r="CO170" s="206"/>
      <c r="CP170" s="206"/>
      <c r="CQ170" s="206"/>
      <c r="CR170" s="206"/>
      <c r="CS170" s="206"/>
      <c r="CT170" s="206"/>
      <c r="CU170" s="90">
        <v>1</v>
      </c>
      <c r="CV170" s="181"/>
      <c r="CW170" s="246"/>
      <c r="CX170" s="247"/>
      <c r="CY170" s="339" t="s">
        <v>215</v>
      </c>
      <c r="CZ170" s="155"/>
      <c r="DA170" s="131"/>
      <c r="DB170" s="115" t="str">
        <f>PROPER(N170)</f>
        <v>Primo Round</v>
      </c>
      <c r="DC170" s="191"/>
      <c r="DD170" s="116" t="str">
        <f>BP170</f>
        <v>Pacci</v>
      </c>
      <c r="DE170" s="117" t="b">
        <f>IF(OR(D170&gt;0),IF(BJ170=0,BN170*BQ170,0))</f>
        <v>0</v>
      </c>
      <c r="DF170" s="117" t="b">
        <f>IF(OR(D170&gt;0),IF(BJ170=0,BN170*BY170,0))</f>
        <v>0</v>
      </c>
      <c r="DG170" s="116" t="str">
        <f>BX170</f>
        <v>Pacci</v>
      </c>
      <c r="DH170" s="76"/>
      <c r="DI170" s="120" t="s">
        <v>154</v>
      </c>
      <c r="DJ170" s="120"/>
      <c r="DK170" s="207"/>
      <c r="DL170" s="207"/>
      <c r="DM170" s="248"/>
    </row>
    <row r="171" spans="1:130" ht="34.5" hidden="1" customHeight="1">
      <c r="A171" s="228"/>
      <c r="B171" s="343" t="s">
        <v>1108</v>
      </c>
      <c r="C171" s="155"/>
      <c r="D171" s="75"/>
      <c r="E171" s="75"/>
      <c r="F171" s="75"/>
      <c r="G171" s="344" t="s">
        <v>1109</v>
      </c>
      <c r="H171" s="344" t="s">
        <v>1110</v>
      </c>
      <c r="I171" s="207" t="s">
        <v>1111</v>
      </c>
      <c r="J171" s="155" t="str">
        <f>CONCATENATE(G171," ",H171)</f>
        <v>Anton Krylov</v>
      </c>
      <c r="K171" s="156"/>
      <c r="L171" s="131" t="s">
        <v>1112</v>
      </c>
      <c r="M171" s="131"/>
      <c r="N171" s="160" t="s">
        <v>1113</v>
      </c>
      <c r="O171" s="345"/>
      <c r="P171" s="251"/>
      <c r="Q171" s="131"/>
      <c r="R171" s="252" t="s">
        <v>1114</v>
      </c>
      <c r="S171" s="254"/>
      <c r="T171" s="346"/>
      <c r="U171" s="253"/>
      <c r="V171" s="253"/>
      <c r="W171" s="251"/>
      <c r="X171" s="131"/>
      <c r="Y171" s="251"/>
      <c r="Z171" s="251"/>
      <c r="AA171" s="251"/>
      <c r="AB171" s="255"/>
      <c r="AC171" s="256"/>
      <c r="AD171" s="121" t="s">
        <v>1115</v>
      </c>
      <c r="AE171" s="138" t="str">
        <f>L171</f>
        <v>p/to 30-60 gg - fatturazione settembre, 1° pag. ottobre</v>
      </c>
      <c r="AF171" s="211"/>
      <c r="AG171" s="155"/>
      <c r="AH171" s="155"/>
      <c r="AI171" s="211"/>
      <c r="AJ171" s="155"/>
      <c r="AK171" s="155"/>
      <c r="AL171" s="155"/>
      <c r="AM171" s="211"/>
      <c r="AN171" s="258"/>
      <c r="AO171" s="258"/>
      <c r="AP171" s="258"/>
      <c r="AQ171" s="211"/>
      <c r="AR171" s="124"/>
      <c r="AS171" s="121" t="s">
        <v>115</v>
      </c>
      <c r="AT171" s="259" t="s">
        <v>115</v>
      </c>
      <c r="AU171" s="211"/>
      <c r="AV171" s="154" t="s">
        <v>115</v>
      </c>
      <c r="AW171" s="121"/>
      <c r="AX171" s="121"/>
      <c r="AY171" s="214"/>
      <c r="BA171" s="121"/>
      <c r="BB171" s="121"/>
      <c r="BC171" s="215"/>
      <c r="BD171" s="121" t="s">
        <v>115</v>
      </c>
      <c r="BE171" s="121"/>
      <c r="BF171" s="121"/>
      <c r="BG171" s="216"/>
      <c r="BH171" s="238">
        <f>CF171+CI171+CL171+CO171+CR171</f>
        <v>0</v>
      </c>
      <c r="BI171" s="238">
        <f>CH171+CK171+CN171+CQ171+CT171</f>
        <v>0</v>
      </c>
      <c r="BJ171" s="238">
        <f>BH171-BI171</f>
        <v>0</v>
      </c>
      <c r="BK171" s="239"/>
      <c r="BL171" s="240"/>
      <c r="BM171" s="241"/>
      <c r="BN171" s="142"/>
      <c r="BO171" s="182"/>
      <c r="BP171" s="243" t="s">
        <v>184</v>
      </c>
      <c r="BQ171" s="347">
        <v>0.05</v>
      </c>
      <c r="BR171" s="110"/>
      <c r="BS171" s="242">
        <f>BH171*BQ171</f>
        <v>0</v>
      </c>
      <c r="BT171" s="203">
        <f>BM171*BQ171</f>
        <v>0</v>
      </c>
      <c r="BU171" s="167">
        <f>BN171*BQ171</f>
        <v>0</v>
      </c>
      <c r="BV171" s="168">
        <f>BO171*BQ171</f>
        <v>0</v>
      </c>
      <c r="BW171" s="243" t="s">
        <v>1035</v>
      </c>
      <c r="BX171" s="105" t="s">
        <v>184</v>
      </c>
      <c r="BY171" s="98">
        <v>0.1</v>
      </c>
      <c r="BZ171" s="110"/>
      <c r="CA171" s="242">
        <f>BH171*BY171</f>
        <v>0</v>
      </c>
      <c r="CB171" s="101">
        <f>BM171*BY171</f>
        <v>0</v>
      </c>
      <c r="CC171" s="106">
        <f>BN171*BY171</f>
        <v>0</v>
      </c>
      <c r="CD171" s="107">
        <f>BO171*BY171</f>
        <v>0</v>
      </c>
      <c r="CE171" s="244" t="s">
        <v>1035</v>
      </c>
      <c r="CF171" s="110"/>
      <c r="CG171" s="226"/>
      <c r="CH171" s="110"/>
      <c r="CI171" s="110"/>
      <c r="CJ171" s="348"/>
      <c r="CK171" s="110"/>
      <c r="CL171" s="110"/>
      <c r="CM171" s="263"/>
      <c r="CN171" s="349"/>
      <c r="CO171" s="110"/>
      <c r="CP171" s="226"/>
      <c r="CQ171" s="110"/>
      <c r="CR171" s="110"/>
      <c r="CS171" s="226"/>
      <c r="CT171" s="110"/>
      <c r="CU171" s="245"/>
      <c r="CV171" s="181"/>
      <c r="CW171" s="246"/>
      <c r="CX171" s="207"/>
      <c r="CY171" s="155" t="s">
        <v>122</v>
      </c>
      <c r="CZ171" s="155"/>
      <c r="DA171" s="131" t="s">
        <v>1116</v>
      </c>
      <c r="DB171" s="115" t="str">
        <f>PROPER(N171)</f>
        <v>Fimi Group</v>
      </c>
      <c r="DC171" s="191"/>
      <c r="DD171" s="116" t="str">
        <f>BP171</f>
        <v>Cristian A</v>
      </c>
      <c r="DE171" s="117" t="b">
        <f>IF(OR(D171&gt;0),IF(BJ171=0,BN171*BQ171,0))</f>
        <v>0</v>
      </c>
      <c r="DF171" s="117" t="b">
        <f>IF(OR(D171&gt;0),IF(BJ171=0,BN171*BY171,0))</f>
        <v>0</v>
      </c>
      <c r="DG171" s="118" t="str">
        <f>BX171</f>
        <v>Cristian A</v>
      </c>
      <c r="DH171" s="76"/>
      <c r="DI171" s="120" t="s">
        <v>154</v>
      </c>
      <c r="DJ171" s="120"/>
      <c r="DK171" s="207"/>
      <c r="DL171" s="207"/>
      <c r="DM171" s="264"/>
      <c r="DN171" s="265"/>
      <c r="DO171" s="265"/>
      <c r="DP171" s="265"/>
      <c r="DQ171" s="265"/>
      <c r="DR171" s="265"/>
      <c r="DS171" s="265"/>
      <c r="DT171" s="265"/>
      <c r="DU171" s="265"/>
      <c r="DV171" s="265"/>
      <c r="DW171" s="265"/>
      <c r="DX171" s="265"/>
      <c r="DY171" s="265"/>
      <c r="DZ171" s="265"/>
    </row>
    <row r="172" spans="1:130" ht="34.5" hidden="1" customHeight="1">
      <c r="A172" s="228"/>
      <c r="B172" s="121" t="s">
        <v>1324</v>
      </c>
      <c r="C172" s="155"/>
      <c r="D172" s="75">
        <v>1</v>
      </c>
      <c r="E172" s="75"/>
      <c r="F172" s="75"/>
      <c r="G172" s="400" t="s">
        <v>477</v>
      </c>
      <c r="H172" s="400" t="s">
        <v>2243</v>
      </c>
      <c r="I172" s="207" t="s">
        <v>2244</v>
      </c>
      <c r="J172" s="121" t="str">
        <f>CONCATENATE(G172," ",H172)</f>
        <v>Filippo Coggi</v>
      </c>
      <c r="K172" s="156">
        <v>3479135551</v>
      </c>
      <c r="L172" s="435"/>
      <c r="M172" s="153" t="s">
        <v>2245</v>
      </c>
      <c r="N172" s="160" t="s">
        <v>2246</v>
      </c>
      <c r="O172" s="402"/>
      <c r="P172" s="315"/>
      <c r="Q172" s="160"/>
      <c r="R172" s="403"/>
      <c r="S172" s="160"/>
      <c r="T172" s="404"/>
      <c r="U172" s="315"/>
      <c r="V172" s="315"/>
      <c r="W172" s="315"/>
      <c r="X172" s="131"/>
      <c r="Y172" s="315"/>
      <c r="Z172" s="315"/>
      <c r="AA172" s="315"/>
      <c r="AB172" s="37"/>
      <c r="AC172" s="131"/>
      <c r="AD172" s="121" t="s">
        <v>2247</v>
      </c>
      <c r="AE172" s="88"/>
      <c r="AF172" s="560"/>
      <c r="AG172" s="406"/>
      <c r="AH172" s="406"/>
      <c r="AI172" s="560"/>
      <c r="AJ172" s="155"/>
      <c r="AK172" s="155"/>
      <c r="AL172" s="155"/>
      <c r="AM172" s="257"/>
      <c r="AN172" s="155"/>
      <c r="AO172" s="155"/>
      <c r="AP172" s="155"/>
      <c r="AQ172" s="211"/>
      <c r="AR172" s="1984"/>
      <c r="AS172" s="259"/>
      <c r="AT172" s="259"/>
      <c r="AU172" s="211"/>
      <c r="AV172" s="121"/>
      <c r="AW172" s="121"/>
      <c r="AX172" s="121"/>
      <c r="AY172" s="214"/>
      <c r="AZ172" s="121" t="s">
        <v>115</v>
      </c>
      <c r="BA172" s="162" t="s">
        <v>154</v>
      </c>
      <c r="BB172" s="121" t="s">
        <v>115</v>
      </c>
      <c r="BC172" s="215"/>
      <c r="BD172" s="121"/>
      <c r="BE172" s="121" t="s">
        <v>115</v>
      </c>
      <c r="BF172" s="121"/>
      <c r="BG172" s="216"/>
      <c r="BH172" s="238">
        <f>CF172+CI172+CL172+CO172+CR172</f>
        <v>2997</v>
      </c>
      <c r="BI172" s="238">
        <f>CH172+CK172+CN172+CQ172+CT172</f>
        <v>2997</v>
      </c>
      <c r="BJ172" s="238">
        <f>BH172-BI172</f>
        <v>0</v>
      </c>
      <c r="BK172" s="351"/>
      <c r="BL172" s="352"/>
      <c r="BM172" s="241"/>
      <c r="BN172" s="142">
        <v>2997</v>
      </c>
      <c r="BO172" s="182"/>
      <c r="BP172" s="1004" t="s">
        <v>117</v>
      </c>
      <c r="BQ172" s="347">
        <v>0</v>
      </c>
      <c r="BR172" s="261"/>
      <c r="BS172" s="242"/>
      <c r="BT172" s="203"/>
      <c r="BU172" s="167">
        <f>BN172*BQ172</f>
        <v>0</v>
      </c>
      <c r="BV172" s="168">
        <f>BO172*BQ172</f>
        <v>0</v>
      </c>
      <c r="BW172" s="131"/>
      <c r="BX172" s="441" t="s">
        <v>300</v>
      </c>
      <c r="BY172" s="347">
        <v>0.1</v>
      </c>
      <c r="BZ172" s="262"/>
      <c r="CA172" s="242"/>
      <c r="CB172" s="101"/>
      <c r="CC172" s="106">
        <f>BN172*BY172</f>
        <v>299.7</v>
      </c>
      <c r="CD172" s="107">
        <f>BO172*BY172</f>
        <v>0</v>
      </c>
      <c r="CE172" s="765" t="s">
        <v>185</v>
      </c>
      <c r="CF172" s="110">
        <v>2997</v>
      </c>
      <c r="CG172" s="226">
        <v>45212</v>
      </c>
      <c r="CH172" s="110">
        <v>2997</v>
      </c>
      <c r="CI172" s="110"/>
      <c r="CJ172" s="226"/>
      <c r="CK172" s="415"/>
      <c r="CL172" s="415"/>
      <c r="CM172" s="416"/>
      <c r="CN172" s="415"/>
      <c r="CO172" s="263"/>
      <c r="CP172" s="263"/>
      <c r="CQ172" s="263"/>
      <c r="CR172" s="263"/>
      <c r="CS172" s="263"/>
      <c r="CT172" s="263"/>
      <c r="CU172" s="155"/>
      <c r="CV172" s="181"/>
      <c r="CW172" s="431"/>
      <c r="CX172" s="431"/>
      <c r="CY172" s="353"/>
      <c r="CZ172" s="121"/>
      <c r="DA172" s="428" t="s">
        <v>2248</v>
      </c>
      <c r="DB172" s="115" t="str">
        <f>PROPER(N172)</f>
        <v>Emiliana Serbatoi</v>
      </c>
      <c r="DC172" s="2162" t="s">
        <v>2249</v>
      </c>
      <c r="DD172" s="116" t="str">
        <f>BP172</f>
        <v>blackship</v>
      </c>
      <c r="DE172" s="117">
        <f>IF(OR(D172&gt;0),IF(BJ172=0,BN172*BQ172,0))</f>
        <v>0</v>
      </c>
      <c r="DF172" s="117">
        <f>IF(OR(D172&gt;0),IF(BJ172=0,BN172*BY172,0))</f>
        <v>299.7</v>
      </c>
      <c r="DG172" s="118" t="str">
        <f>BX172</f>
        <v>Cristina</v>
      </c>
      <c r="DH172" s="76"/>
      <c r="DI172" s="120" t="s">
        <v>126</v>
      </c>
      <c r="DJ172" s="120"/>
      <c r="DK172" s="74"/>
      <c r="DL172" s="74"/>
      <c r="DM172" s="122"/>
      <c r="DN172" s="6"/>
      <c r="DO172" s="6"/>
      <c r="DP172" s="6"/>
      <c r="DQ172" s="6"/>
      <c r="DR172" s="6"/>
      <c r="DS172" s="6"/>
      <c r="DT172" s="6"/>
      <c r="DU172" s="6"/>
      <c r="DV172" s="6"/>
      <c r="DW172" s="6"/>
      <c r="DX172" s="6"/>
      <c r="DY172" s="6"/>
      <c r="DZ172" s="6"/>
    </row>
    <row r="173" spans="1:130" ht="34.5" hidden="1" customHeight="1">
      <c r="A173" s="228"/>
      <c r="B173" s="121" t="s">
        <v>1139</v>
      </c>
      <c r="C173" s="155"/>
      <c r="D173" s="75"/>
      <c r="E173" s="75"/>
      <c r="F173" s="75"/>
      <c r="G173" s="181" t="s">
        <v>477</v>
      </c>
      <c r="H173" s="181" t="s">
        <v>1211</v>
      </c>
      <c r="I173" s="207" t="s">
        <v>1212</v>
      </c>
      <c r="J173" s="179" t="str">
        <f>CONCATENATE(G173," ",H173)</f>
        <v>Filippo Egizii</v>
      </c>
      <c r="K173" s="156" t="s">
        <v>1213</v>
      </c>
      <c r="L173" s="131"/>
      <c r="M173" s="389" t="s">
        <v>1214</v>
      </c>
      <c r="N173" s="160" t="s">
        <v>1215</v>
      </c>
      <c r="O173" s="250"/>
      <c r="P173" s="251"/>
      <c r="Q173" s="131"/>
      <c r="R173" s="252"/>
      <c r="S173" s="254"/>
      <c r="T173" s="346"/>
      <c r="U173" s="253"/>
      <c r="V173" s="253"/>
      <c r="W173" s="251"/>
      <c r="X173" s="131"/>
      <c r="Y173" s="251"/>
      <c r="Z173" s="251"/>
      <c r="AA173" s="251"/>
      <c r="AB173" s="255"/>
      <c r="AC173" s="256"/>
      <c r="AD173" s="121" t="s">
        <v>1216</v>
      </c>
      <c r="AE173" s="138">
        <f>L173</f>
        <v>0</v>
      </c>
      <c r="AF173" s="257"/>
      <c r="AG173" s="155"/>
      <c r="AH173" s="155"/>
      <c r="AI173" s="257"/>
      <c r="AJ173" s="155"/>
      <c r="AK173" s="155"/>
      <c r="AL173" s="155"/>
      <c r="AM173" s="257"/>
      <c r="AN173" s="258"/>
      <c r="AO173" s="258"/>
      <c r="AP173" s="258"/>
      <c r="AQ173" s="211"/>
      <c r="AR173" s="1984" t="s">
        <v>115</v>
      </c>
      <c r="AS173" s="259" t="s">
        <v>115</v>
      </c>
      <c r="AT173" s="259"/>
      <c r="AU173" s="211"/>
      <c r="AV173" s="121"/>
      <c r="AW173" s="121"/>
      <c r="AX173" s="1997"/>
      <c r="AY173" s="214"/>
      <c r="AZ173" s="121"/>
      <c r="BA173" s="121"/>
      <c r="BB173" s="121" t="s">
        <v>115</v>
      </c>
      <c r="BC173" s="215"/>
      <c r="BD173" s="121"/>
      <c r="BE173" s="121"/>
      <c r="BF173" s="121"/>
      <c r="BG173" s="216"/>
      <c r="BH173" s="238">
        <f>CF173+CI173+CL173+CO173+CR173</f>
        <v>0</v>
      </c>
      <c r="BI173" s="238">
        <f>CH173+CK173+CN173+CQ173+CT173</f>
        <v>0</v>
      </c>
      <c r="BJ173" s="238">
        <f>BH173-BI173</f>
        <v>0</v>
      </c>
      <c r="BK173" s="351"/>
      <c r="BL173" s="352">
        <f>BH173</f>
        <v>0</v>
      </c>
      <c r="BM173" s="241"/>
      <c r="BN173" s="142"/>
      <c r="BO173" s="182"/>
      <c r="BP173" s="825" t="s">
        <v>451</v>
      </c>
      <c r="BQ173" s="347">
        <v>0.15</v>
      </c>
      <c r="BR173" s="261"/>
      <c r="BS173" s="242">
        <f>BL173*BQ173</f>
        <v>0</v>
      </c>
      <c r="BT173" s="203">
        <f>BM173*BQ173</f>
        <v>0</v>
      </c>
      <c r="BU173" s="167">
        <f>BN173*BQ173</f>
        <v>0</v>
      </c>
      <c r="BV173" s="168">
        <f>BO173*BQ173</f>
        <v>0</v>
      </c>
      <c r="BW173" s="387" t="s">
        <v>1076</v>
      </c>
      <c r="BX173" s="105" t="s">
        <v>451</v>
      </c>
      <c r="BY173" s="347">
        <v>0.05</v>
      </c>
      <c r="BZ173" s="262"/>
      <c r="CA173" s="242">
        <f>BL173*BY173</f>
        <v>0</v>
      </c>
      <c r="CB173" s="101">
        <f>BM173*BY173</f>
        <v>0</v>
      </c>
      <c r="CC173" s="106">
        <f>BN173*BY173</f>
        <v>0</v>
      </c>
      <c r="CD173" s="107">
        <f>BO173*BY173</f>
        <v>0</v>
      </c>
      <c r="CE173" s="319" t="s">
        <v>1076</v>
      </c>
      <c r="CF173" s="110"/>
      <c r="CG173" s="226"/>
      <c r="CH173" s="110"/>
      <c r="CI173" s="110"/>
      <c r="CJ173" s="348"/>
      <c r="CK173" s="110"/>
      <c r="CL173" s="110"/>
      <c r="CM173" s="263"/>
      <c r="CN173" s="110"/>
      <c r="CO173" s="110"/>
      <c r="CP173" s="226"/>
      <c r="CQ173" s="110"/>
      <c r="CR173" s="110"/>
      <c r="CS173" s="226"/>
      <c r="CT173" s="110"/>
      <c r="CU173" s="155">
        <v>1</v>
      </c>
      <c r="CV173" s="181" t="s">
        <v>1123</v>
      </c>
      <c r="CW173" s="181"/>
      <c r="CX173" s="207"/>
      <c r="CY173" s="353" t="s">
        <v>122</v>
      </c>
      <c r="CZ173" s="155"/>
      <c r="DA173" s="356" t="s">
        <v>938</v>
      </c>
      <c r="DB173" s="115" t="str">
        <f>PROPER(N173)</f>
        <v>Kearney</v>
      </c>
      <c r="DC173" s="116"/>
      <c r="DD173" s="116" t="str">
        <f>BP173</f>
        <v>Fabio</v>
      </c>
      <c r="DE173" s="117" t="b">
        <f>IF(OR(D173&gt;0),IF(BJ173=0,BN173*BQ173,0))</f>
        <v>0</v>
      </c>
      <c r="DF173" s="117" t="b">
        <f>IF(OR(D173&gt;0),IF(BJ173=0,BN173*BY173,0))</f>
        <v>0</v>
      </c>
      <c r="DG173" s="116" t="str">
        <f>BX173</f>
        <v>Fabio</v>
      </c>
      <c r="DH173" s="76"/>
      <c r="DI173" s="120" t="s">
        <v>126</v>
      </c>
      <c r="DJ173" s="120"/>
      <c r="DK173" s="207"/>
      <c r="DL173" s="207"/>
      <c r="DM173" s="264"/>
      <c r="DN173" s="265"/>
      <c r="DO173" s="265"/>
      <c r="DP173" s="265"/>
      <c r="DQ173" s="265"/>
      <c r="DR173" s="265"/>
      <c r="DS173" s="265"/>
      <c r="DT173" s="265"/>
      <c r="DU173" s="265"/>
      <c r="DV173" s="265"/>
      <c r="DW173" s="265"/>
      <c r="DX173" s="265"/>
      <c r="DY173" s="265"/>
      <c r="DZ173" s="265"/>
    </row>
    <row r="174" spans="1:130" ht="34.5" hidden="1" customHeight="1">
      <c r="A174" s="3"/>
      <c r="B174" s="121" t="s">
        <v>108</v>
      </c>
      <c r="C174" s="121"/>
      <c r="D174" s="75">
        <v>1</v>
      </c>
      <c r="E174" s="75">
        <v>1</v>
      </c>
      <c r="F174" s="75"/>
      <c r="G174" s="79" t="s">
        <v>477</v>
      </c>
      <c r="H174" s="79" t="s">
        <v>478</v>
      </c>
      <c r="I174" s="305" t="s">
        <v>479</v>
      </c>
      <c r="J174" s="121" t="str">
        <f>CONCATENATE(G174," ",H174)</f>
        <v>Filippo Macchia</v>
      </c>
      <c r="K174" s="156">
        <v>3479466976</v>
      </c>
      <c r="L174" s="157"/>
      <c r="M174" s="176" t="s">
        <v>480</v>
      </c>
      <c r="N174" s="160"/>
      <c r="O174" s="407"/>
      <c r="P174" s="1941"/>
      <c r="Q174" s="86"/>
      <c r="R174" s="86"/>
      <c r="S174" s="86"/>
      <c r="T174" s="1953"/>
      <c r="U174" s="1941"/>
      <c r="V174" s="1941"/>
      <c r="W174" s="1941"/>
      <c r="X174" s="86"/>
      <c r="Y174" s="1960"/>
      <c r="Z174" s="1941"/>
      <c r="AA174" s="1941"/>
      <c r="AB174" s="86"/>
      <c r="AC174" s="86"/>
      <c r="AD174" s="86" t="s">
        <v>481</v>
      </c>
      <c r="AE174" s="88">
        <f>L174</f>
        <v>0</v>
      </c>
      <c r="AF174" s="257"/>
      <c r="AG174" s="121"/>
      <c r="AH174" s="121"/>
      <c r="AI174" s="257"/>
      <c r="AJ174" s="121"/>
      <c r="AK174" s="121"/>
      <c r="AL174" s="121"/>
      <c r="AM174" s="257"/>
      <c r="AN174" s="155"/>
      <c r="AO174" s="155"/>
      <c r="AP174" s="155"/>
      <c r="AQ174" s="211"/>
      <c r="AR174" s="1984"/>
      <c r="AS174" s="259"/>
      <c r="AT174" s="259"/>
      <c r="AU174" s="211"/>
      <c r="AV174" s="121"/>
      <c r="AW174" s="121"/>
      <c r="AX174" s="121"/>
      <c r="AY174" s="214"/>
      <c r="AZ174" s="121" t="s">
        <v>115</v>
      </c>
      <c r="BA174" s="121" t="s">
        <v>115</v>
      </c>
      <c r="BB174" s="135" t="s">
        <v>115</v>
      </c>
      <c r="BC174" s="215"/>
      <c r="BD174" s="121"/>
      <c r="BE174" s="121"/>
      <c r="BF174" s="121"/>
      <c r="BG174" s="216"/>
      <c r="BH174" s="238">
        <f>CF174+CI174+CL174+CO174+CR174</f>
        <v>2997</v>
      </c>
      <c r="BI174" s="238">
        <f>CH174+CK174+CN174+CQ174+CT174</f>
        <v>2997</v>
      </c>
      <c r="BJ174" s="238">
        <f>BH174-BI174</f>
        <v>0</v>
      </c>
      <c r="BK174" s="2007"/>
      <c r="BL174" s="2015"/>
      <c r="BM174" s="241"/>
      <c r="BN174" s="142">
        <v>2997</v>
      </c>
      <c r="BO174" s="182"/>
      <c r="BP174" s="131" t="s">
        <v>287</v>
      </c>
      <c r="BQ174" s="2053">
        <v>0.15</v>
      </c>
      <c r="BR174" s="2059"/>
      <c r="BS174" s="202"/>
      <c r="BT174" s="203">
        <f>BM174*BQ174</f>
        <v>0</v>
      </c>
      <c r="BU174" s="167">
        <f>BN174*BQ174</f>
        <v>449.55</v>
      </c>
      <c r="BV174" s="168">
        <f>BO174*BQ174</f>
        <v>0</v>
      </c>
      <c r="BW174" s="160" t="s">
        <v>185</v>
      </c>
      <c r="BX174" s="105" t="s">
        <v>287</v>
      </c>
      <c r="BY174" s="2053">
        <v>0.05</v>
      </c>
      <c r="BZ174" s="2058"/>
      <c r="CA174" s="202"/>
      <c r="CB174" s="101">
        <f>BM174*BY174</f>
        <v>0</v>
      </c>
      <c r="CC174" s="106">
        <f>BN174*BY174</f>
        <v>149.85</v>
      </c>
      <c r="CD174" s="107">
        <f>BO174*BY174</f>
        <v>0</v>
      </c>
      <c r="CE174" s="160" t="s">
        <v>185</v>
      </c>
      <c r="CF174" s="110">
        <v>2997</v>
      </c>
      <c r="CG174" s="226">
        <v>45009</v>
      </c>
      <c r="CH174" s="110">
        <v>2997</v>
      </c>
      <c r="CI174" s="110"/>
      <c r="CJ174" s="226"/>
      <c r="CK174" s="206"/>
      <c r="CL174" s="206"/>
      <c r="CM174" s="226"/>
      <c r="CN174" s="206"/>
      <c r="CO174" s="206"/>
      <c r="CP174" s="206"/>
      <c r="CQ174" s="206"/>
      <c r="CR174" s="206"/>
      <c r="CS174" s="206"/>
      <c r="CT174" s="206"/>
      <c r="CU174" s="155">
        <v>1</v>
      </c>
      <c r="CV174" s="181" t="s">
        <v>121</v>
      </c>
      <c r="CW174" s="181"/>
      <c r="CX174" s="207"/>
      <c r="CY174" s="353" t="s">
        <v>122</v>
      </c>
      <c r="CZ174" s="155"/>
      <c r="DA174" s="208" t="s">
        <v>482</v>
      </c>
      <c r="DB174" s="115" t="str">
        <f>PROPER(N174)</f>
        <v/>
      </c>
      <c r="DC174" s="116" t="s">
        <v>483</v>
      </c>
      <c r="DD174" s="116" t="str">
        <f>BP174</f>
        <v>Riccardo</v>
      </c>
      <c r="DE174" s="117">
        <f>IF(OR(D174&gt;0),IF(BJ174=0,BN174*BQ174,0))</f>
        <v>449.55</v>
      </c>
      <c r="DF174" s="117">
        <f>IF(OR(D174&gt;0),IF(BJ174=0,BN174*BY174,0))</f>
        <v>149.85</v>
      </c>
      <c r="DG174" s="118" t="str">
        <f>BX174</f>
        <v>Riccardo</v>
      </c>
      <c r="DH174" s="76"/>
      <c r="DI174" s="120" t="s">
        <v>126</v>
      </c>
      <c r="DJ174" s="120"/>
      <c r="DK174" s="121"/>
      <c r="DL174" s="121"/>
      <c r="DM174" s="122"/>
      <c r="DN174" s="6"/>
      <c r="DO174" s="6"/>
      <c r="DP174" s="6"/>
      <c r="DQ174" s="6"/>
      <c r="DR174" s="6"/>
      <c r="DS174" s="6"/>
      <c r="DT174" s="6"/>
      <c r="DU174" s="6"/>
      <c r="DV174" s="6"/>
      <c r="DW174" s="6"/>
      <c r="DX174" s="6"/>
      <c r="DY174" s="6"/>
      <c r="DZ174" s="6"/>
    </row>
    <row r="175" spans="1:130" ht="34.5" hidden="1" customHeight="1">
      <c r="A175" s="228"/>
      <c r="B175" s="343" t="s">
        <v>1108</v>
      </c>
      <c r="C175" s="155"/>
      <c r="D175" s="75"/>
      <c r="E175" s="355"/>
      <c r="F175" s="355"/>
      <c r="G175" s="344" t="s">
        <v>1128</v>
      </c>
      <c r="H175" s="344" t="s">
        <v>1129</v>
      </c>
      <c r="I175" s="354" t="s">
        <v>1130</v>
      </c>
      <c r="J175" s="353" t="str">
        <f>CONCATENATE(G175," ",H175)</f>
        <v>Andrea  Balducchi</v>
      </c>
      <c r="K175" s="156"/>
      <c r="L175" s="356" t="s">
        <v>1131</v>
      </c>
      <c r="M175" s="305"/>
      <c r="N175" s="160" t="s">
        <v>1132</v>
      </c>
      <c r="O175" s="250"/>
      <c r="P175" s="318"/>
      <c r="Q175" s="305"/>
      <c r="R175" s="357"/>
      <c r="S175" s="358"/>
      <c r="T175" s="346"/>
      <c r="U175" s="346"/>
      <c r="V175" s="346"/>
      <c r="W175" s="318"/>
      <c r="X175" s="305"/>
      <c r="Y175" s="318"/>
      <c r="Z175" s="318"/>
      <c r="AA175" s="318"/>
      <c r="AB175" s="359"/>
      <c r="AC175" s="360"/>
      <c r="AD175" s="121"/>
      <c r="AE175" s="138" t="str">
        <f>L175</f>
        <v>Sentito amministrativa il 23.4 e devono pagare per gli altri 3</v>
      </c>
      <c r="AF175" s="257"/>
      <c r="AG175" s="353"/>
      <c r="AH175" s="353"/>
      <c r="AI175" s="257"/>
      <c r="AJ175" s="353"/>
      <c r="AK175" s="353"/>
      <c r="AL175" s="353"/>
      <c r="AM175" s="257"/>
      <c r="AN175" s="361"/>
      <c r="AO175" s="361"/>
      <c r="AP175" s="361"/>
      <c r="AQ175" s="211"/>
      <c r="AR175" s="362"/>
      <c r="AS175" s="362"/>
      <c r="AT175" s="362"/>
      <c r="AU175" s="211"/>
      <c r="AV175" s="154" t="s">
        <v>165</v>
      </c>
      <c r="AW175" s="154" t="s">
        <v>165</v>
      </c>
      <c r="AX175" s="154" t="s">
        <v>165</v>
      </c>
      <c r="AY175" s="214"/>
      <c r="AZ175" s="121"/>
      <c r="BA175" s="121"/>
      <c r="BB175" s="121"/>
      <c r="BC175" s="215"/>
      <c r="BD175" s="121"/>
      <c r="BE175" s="121"/>
      <c r="BF175" s="121"/>
      <c r="BG175" s="216"/>
      <c r="BH175" s="238">
        <f>CF175+CI175+CL175+CO175+CR175</f>
        <v>0</v>
      </c>
      <c r="BI175" s="238">
        <f>CH175+CK175+CN175+CQ175+CT175</f>
        <v>0</v>
      </c>
      <c r="BJ175" s="238">
        <f>BH175-BI175</f>
        <v>0</v>
      </c>
      <c r="BK175" s="351"/>
      <c r="BL175" s="352"/>
      <c r="BM175" s="241"/>
      <c r="BN175" s="142"/>
      <c r="BO175" s="182"/>
      <c r="BP175" s="363" t="s">
        <v>117</v>
      </c>
      <c r="BQ175" s="98">
        <v>0</v>
      </c>
      <c r="BR175" s="261"/>
      <c r="BS175" s="242">
        <f>BL175*BQ175</f>
        <v>0</v>
      </c>
      <c r="BT175" s="203">
        <f>BM175*BQ175</f>
        <v>0</v>
      </c>
      <c r="BU175" s="167">
        <f>BN175*BQ175</f>
        <v>0</v>
      </c>
      <c r="BV175" s="168">
        <f>BO175*BQ175</f>
        <v>0</v>
      </c>
      <c r="BW175" s="80" t="s">
        <v>118</v>
      </c>
      <c r="BX175" s="105" t="s">
        <v>160</v>
      </c>
      <c r="BY175" s="347">
        <v>0.1</v>
      </c>
      <c r="BZ175" s="262"/>
      <c r="CA175" s="242">
        <f>BL175*BY175</f>
        <v>0</v>
      </c>
      <c r="CB175" s="101">
        <f>BM175*BY175</f>
        <v>0</v>
      </c>
      <c r="CC175" s="106">
        <f>BN175*BY175</f>
        <v>0</v>
      </c>
      <c r="CD175" s="107">
        <f>BO175*BY175</f>
        <v>0</v>
      </c>
      <c r="CE175" s="364"/>
      <c r="CF175" s="110"/>
      <c r="CG175" s="365"/>
      <c r="CH175" s="366"/>
      <c r="CI175" s="366"/>
      <c r="CJ175" s="367"/>
      <c r="CK175" s="366"/>
      <c r="CL175" s="366"/>
      <c r="CM175" s="368"/>
      <c r="CN175" s="366"/>
      <c r="CO175" s="366"/>
      <c r="CP175" s="365"/>
      <c r="CQ175" s="366"/>
      <c r="CR175" s="366"/>
      <c r="CS175" s="365"/>
      <c r="CT175" s="366"/>
      <c r="CU175" s="353"/>
      <c r="CV175" s="181"/>
      <c r="CW175" s="369"/>
      <c r="CX175" s="354"/>
      <c r="CY175" s="354"/>
      <c r="CZ175" s="353"/>
      <c r="DA175" s="227" t="s">
        <v>1133</v>
      </c>
      <c r="DB175" s="115" t="str">
        <f>PROPER(N175)</f>
        <v>Zenit Sicurezza</v>
      </c>
      <c r="DC175" s="191"/>
      <c r="DD175" s="116" t="str">
        <f>BP175</f>
        <v>blackship</v>
      </c>
      <c r="DE175" s="117" t="b">
        <f>IF(OR(D175&gt;0),IF(BJ175=0,BN175*BQ175,0))</f>
        <v>0</v>
      </c>
      <c r="DF175" s="117" t="b">
        <f>IF(OR(D175&gt;0),IF(BJ175=0,BN175*BY175,0))</f>
        <v>0</v>
      </c>
      <c r="DG175" s="116" t="str">
        <f>BX175</f>
        <v>Gianluca</v>
      </c>
      <c r="DH175" s="76"/>
      <c r="DI175" s="120" t="s">
        <v>154</v>
      </c>
      <c r="DJ175" s="120"/>
      <c r="DK175" s="207"/>
      <c r="DL175" s="207"/>
      <c r="DM175" s="264"/>
      <c r="DN175" s="265"/>
      <c r="DO175" s="265"/>
      <c r="DP175" s="265"/>
      <c r="DQ175" s="265"/>
      <c r="DR175" s="265"/>
      <c r="DS175" s="265"/>
      <c r="DT175" s="265"/>
      <c r="DU175" s="265"/>
      <c r="DV175" s="265"/>
      <c r="DW175" s="265"/>
      <c r="DX175" s="265"/>
      <c r="DY175" s="265"/>
      <c r="DZ175" s="265"/>
    </row>
    <row r="176" spans="1:130" ht="34.5" hidden="1" customHeight="1">
      <c r="A176" s="228"/>
      <c r="B176" s="343" t="s">
        <v>1108</v>
      </c>
      <c r="C176" s="155"/>
      <c r="D176" s="75"/>
      <c r="E176" s="76">
        <v>1</v>
      </c>
      <c r="F176" s="132"/>
      <c r="G176" s="344" t="s">
        <v>1134</v>
      </c>
      <c r="H176" s="344" t="s">
        <v>1135</v>
      </c>
      <c r="I176" s="370" t="s">
        <v>1136</v>
      </c>
      <c r="J176" s="353" t="str">
        <f>CONCATENATE(G176," ",H176)</f>
        <v>Massimo Gaulli</v>
      </c>
      <c r="K176" s="156">
        <v>3516346495</v>
      </c>
      <c r="L176" s="131"/>
      <c r="M176" s="305" t="s">
        <v>868</v>
      </c>
      <c r="N176" s="160" t="s">
        <v>1132</v>
      </c>
      <c r="O176" s="250"/>
      <c r="P176" s="318"/>
      <c r="Q176" s="305"/>
      <c r="R176" s="357"/>
      <c r="S176" s="358"/>
      <c r="T176" s="346"/>
      <c r="U176" s="346"/>
      <c r="V176" s="346"/>
      <c r="W176" s="318"/>
      <c r="X176" s="305"/>
      <c r="Y176" s="318"/>
      <c r="Z176" s="318"/>
      <c r="AA176" s="318"/>
      <c r="AB176" s="359"/>
      <c r="AC176" s="360"/>
      <c r="AD176" s="121" t="s">
        <v>1137</v>
      </c>
      <c r="AE176" s="138">
        <f>L176</f>
        <v>0</v>
      </c>
      <c r="AF176" s="257"/>
      <c r="AG176" s="353"/>
      <c r="AH176" s="353"/>
      <c r="AI176" s="257"/>
      <c r="AJ176" s="353"/>
      <c r="AK176" s="353"/>
      <c r="AL176" s="353"/>
      <c r="AM176" s="257"/>
      <c r="AN176" s="361"/>
      <c r="AO176" s="361"/>
      <c r="AP176" s="361"/>
      <c r="AQ176" s="211"/>
      <c r="AR176" s="362"/>
      <c r="AS176" s="362"/>
      <c r="AT176" s="362"/>
      <c r="AU176" s="211"/>
      <c r="AV176" s="121"/>
      <c r="AW176" s="121"/>
      <c r="AX176" s="121" t="s">
        <v>115</v>
      </c>
      <c r="AY176" s="214"/>
      <c r="AZ176" s="154" t="s">
        <v>194</v>
      </c>
      <c r="BA176" s="121" t="s">
        <v>115</v>
      </c>
      <c r="BB176" s="135" t="s">
        <v>154</v>
      </c>
      <c r="BC176" s="215"/>
      <c r="BD176" s="121" t="s">
        <v>115</v>
      </c>
      <c r="BE176" s="121"/>
      <c r="BF176" s="121"/>
      <c r="BG176" s="216"/>
      <c r="BH176" s="238">
        <f>CF176+CI176+CL176+CO176+CR176</f>
        <v>2997</v>
      </c>
      <c r="BI176" s="238">
        <f>CH176+CK176+CN176+CQ176+CT176</f>
        <v>2997</v>
      </c>
      <c r="BJ176" s="238">
        <f>BH176-BI176</f>
        <v>0</v>
      </c>
      <c r="BK176" s="351"/>
      <c r="BL176" s="352"/>
      <c r="BM176" s="241">
        <v>2997</v>
      </c>
      <c r="BN176" s="273"/>
      <c r="BO176" s="274"/>
      <c r="BP176" s="363" t="s">
        <v>117</v>
      </c>
      <c r="BQ176" s="98">
        <v>0</v>
      </c>
      <c r="BR176" s="261"/>
      <c r="BS176" s="242">
        <f>BL176*BQ176</f>
        <v>0</v>
      </c>
      <c r="BT176" s="203">
        <f>BM176*BQ176</f>
        <v>0</v>
      </c>
      <c r="BU176" s="167">
        <f>BN176*BQ176</f>
        <v>0</v>
      </c>
      <c r="BV176" s="168">
        <f>BO176*BQ176</f>
        <v>0</v>
      </c>
      <c r="BW176" s="80" t="s">
        <v>118</v>
      </c>
      <c r="BX176" s="105" t="s">
        <v>160</v>
      </c>
      <c r="BY176" s="347">
        <v>0.1</v>
      </c>
      <c r="BZ176" s="262"/>
      <c r="CA176" s="242">
        <f>BL176*BY176</f>
        <v>0</v>
      </c>
      <c r="CB176" s="101">
        <f>BM176*BY176</f>
        <v>299.7</v>
      </c>
      <c r="CC176" s="106">
        <f>BN176*BY176</f>
        <v>0</v>
      </c>
      <c r="CD176" s="107">
        <f>BO176*BY176</f>
        <v>0</v>
      </c>
      <c r="CE176" s="90" t="s">
        <v>174</v>
      </c>
      <c r="CF176" s="110">
        <v>2997</v>
      </c>
      <c r="CG176" s="365">
        <v>45055</v>
      </c>
      <c r="CH176" s="110">
        <v>2997</v>
      </c>
      <c r="CI176" s="366"/>
      <c r="CJ176" s="367"/>
      <c r="CK176" s="366"/>
      <c r="CL176" s="366"/>
      <c r="CM176" s="368"/>
      <c r="CN176" s="366"/>
      <c r="CO176" s="366"/>
      <c r="CP176" s="365"/>
      <c r="CQ176" s="366"/>
      <c r="CR176" s="366"/>
      <c r="CS176" s="365"/>
      <c r="CT176" s="366"/>
      <c r="CU176" s="353">
        <v>1</v>
      </c>
      <c r="CV176" s="181" t="s">
        <v>1123</v>
      </c>
      <c r="CW176" s="369"/>
      <c r="CX176" s="354"/>
      <c r="CY176" s="354"/>
      <c r="CZ176" s="353"/>
      <c r="DA176" s="227" t="s">
        <v>1133</v>
      </c>
      <c r="DB176" s="115" t="str">
        <f>PROPER(N176)</f>
        <v>Zenit Sicurezza</v>
      </c>
      <c r="DC176" s="191" t="s">
        <v>1138</v>
      </c>
      <c r="DD176" s="116" t="str">
        <f>BP176</f>
        <v>blackship</v>
      </c>
      <c r="DE176" s="117" t="b">
        <f>IF(OR(D176&gt;0),IF(BJ176=0,BN176*BQ176,0))</f>
        <v>0</v>
      </c>
      <c r="DF176" s="117" t="b">
        <f>IF(OR(D176&gt;0),IF(BJ176=0,BN176*BY176,0))</f>
        <v>0</v>
      </c>
      <c r="DG176" s="116" t="str">
        <f>BX176</f>
        <v>Gianluca</v>
      </c>
      <c r="DH176" s="76"/>
      <c r="DI176" s="120" t="s">
        <v>154</v>
      </c>
      <c r="DJ176" s="120"/>
      <c r="DK176" s="207"/>
      <c r="DL176" s="207"/>
      <c r="DM176" s="264"/>
      <c r="DN176" s="265"/>
      <c r="DO176" s="265"/>
      <c r="DP176" s="265"/>
      <c r="DQ176" s="265"/>
      <c r="DR176" s="265"/>
      <c r="DS176" s="265"/>
      <c r="DT176" s="265"/>
      <c r="DU176" s="265"/>
      <c r="DV176" s="265"/>
      <c r="DW176" s="265"/>
      <c r="DX176" s="265"/>
      <c r="DY176" s="265"/>
      <c r="DZ176" s="265"/>
    </row>
    <row r="177" spans="1:130" ht="34.5" hidden="1" customHeight="1">
      <c r="A177" s="228"/>
      <c r="B177" s="371" t="s">
        <v>1139</v>
      </c>
      <c r="C177" s="155"/>
      <c r="D177" s="75"/>
      <c r="E177" s="75"/>
      <c r="F177" s="75"/>
      <c r="G177" s="181" t="s">
        <v>135</v>
      </c>
      <c r="H177" s="181" t="s">
        <v>1140</v>
      </c>
      <c r="I177" s="207" t="s">
        <v>1141</v>
      </c>
      <c r="J177" s="155" t="str">
        <f>CONCATENATE(G177," ",H177)</f>
        <v>Alessandro Berizzi</v>
      </c>
      <c r="K177" s="156" t="s">
        <v>1142</v>
      </c>
      <c r="L177" s="204" t="s">
        <v>1143</v>
      </c>
      <c r="M177" s="131" t="s">
        <v>138</v>
      </c>
      <c r="N177" s="160" t="s">
        <v>1144</v>
      </c>
      <c r="O177" s="250"/>
      <c r="P177" s="251"/>
      <c r="Q177" s="131"/>
      <c r="R177" s="252"/>
      <c r="S177" s="254"/>
      <c r="T177" s="346"/>
      <c r="U177" s="253"/>
      <c r="V177" s="253"/>
      <c r="W177" s="251"/>
      <c r="X177" s="131"/>
      <c r="Y177" s="251"/>
      <c r="Z177" s="251"/>
      <c r="AA177" s="251"/>
      <c r="AB177" s="255"/>
      <c r="AC177" s="256"/>
      <c r="AD177" s="121"/>
      <c r="AE177" s="138" t="str">
        <f>L177</f>
        <v>DA Raffa il 13.10.22: ha capito l’importanza di farlo subito, deve organizzarsi: domani ora di pranzo last chance. In ogni caso lo fa, eventualmente a primavera.</v>
      </c>
      <c r="AF177" s="257"/>
      <c r="AG177" s="155"/>
      <c r="AH177" s="155"/>
      <c r="AI177" s="257"/>
      <c r="AJ177" s="155"/>
      <c r="AK177" s="155"/>
      <c r="AL177" s="155"/>
      <c r="AM177" s="257"/>
      <c r="AN177" s="258"/>
      <c r="AO177" s="258"/>
      <c r="AP177" s="258"/>
      <c r="AQ177" s="211"/>
      <c r="AR177" s="124"/>
      <c r="AS177" s="124"/>
      <c r="AT177" s="124"/>
      <c r="AU177" s="211"/>
      <c r="AV177" s="121"/>
      <c r="AW177" s="121"/>
      <c r="AX177" s="121"/>
      <c r="AY177" s="214"/>
      <c r="AZ177" s="121"/>
      <c r="BA177" s="121"/>
      <c r="BB177" s="121"/>
      <c r="BC177" s="215"/>
      <c r="BD177" s="121" t="s">
        <v>151</v>
      </c>
      <c r="BE177" s="121" t="s">
        <v>151</v>
      </c>
      <c r="BF177" s="121" t="s">
        <v>151</v>
      </c>
      <c r="BG177" s="216"/>
      <c r="BH177" s="238">
        <f>CF177+CI177+CL177+CO177+CR177</f>
        <v>0</v>
      </c>
      <c r="BI177" s="238">
        <f>CH177+CK177+CN177+CQ177+CT177</f>
        <v>0</v>
      </c>
      <c r="BJ177" s="238">
        <f>BH177-BI177</f>
        <v>0</v>
      </c>
      <c r="BK177" s="351"/>
      <c r="BL177" s="352"/>
      <c r="BM177" s="241"/>
      <c r="BN177" s="142"/>
      <c r="BO177" s="182"/>
      <c r="BP177" s="372" t="s">
        <v>184</v>
      </c>
      <c r="BQ177" s="145">
        <v>0.15</v>
      </c>
      <c r="BR177" s="262"/>
      <c r="BS177" s="242">
        <f>BL177*BQ177</f>
        <v>0</v>
      </c>
      <c r="BT177" s="203">
        <f>BM177*BQ177</f>
        <v>0</v>
      </c>
      <c r="BU177" s="167">
        <f>BN177*BQ177</f>
        <v>0</v>
      </c>
      <c r="BV177" s="168">
        <f>BO177*BQ177</f>
        <v>0</v>
      </c>
      <c r="BW177" s="243"/>
      <c r="BX177" s="105" t="s">
        <v>184</v>
      </c>
      <c r="BY177" s="145">
        <v>0.05</v>
      </c>
      <c r="BZ177" s="262"/>
      <c r="CA177" s="242">
        <f>BL177*BY177</f>
        <v>0</v>
      </c>
      <c r="CB177" s="101">
        <f>BM177*BY177</f>
        <v>0</v>
      </c>
      <c r="CC177" s="106">
        <f>BN177*BY177</f>
        <v>0</v>
      </c>
      <c r="CD177" s="107">
        <f>BO177*BY177</f>
        <v>0</v>
      </c>
      <c r="CE177" s="244"/>
      <c r="CF177" s="110"/>
      <c r="CG177" s="226"/>
      <c r="CH177" s="110"/>
      <c r="CI177" s="110"/>
      <c r="CJ177" s="348"/>
      <c r="CK177" s="110"/>
      <c r="CL177" s="110"/>
      <c r="CM177" s="263"/>
      <c r="CN177" s="110"/>
      <c r="CO177" s="110"/>
      <c r="CP177" s="226"/>
      <c r="CQ177" s="110"/>
      <c r="CR177" s="110"/>
      <c r="CS177" s="226"/>
      <c r="CT177" s="110"/>
      <c r="CU177" s="155">
        <v>1</v>
      </c>
      <c r="CV177" s="181" t="s">
        <v>1123</v>
      </c>
      <c r="CW177" s="181"/>
      <c r="CX177" s="207"/>
      <c r="CY177" s="282" t="s">
        <v>122</v>
      </c>
      <c r="CZ177" s="155"/>
      <c r="DA177" s="131" t="s">
        <v>609</v>
      </c>
      <c r="DB177" s="115" t="str">
        <f>PROPER(N177)</f>
        <v>Emironet</v>
      </c>
      <c r="DC177" s="191"/>
      <c r="DD177" s="116" t="str">
        <f>BP177</f>
        <v>Cristian A</v>
      </c>
      <c r="DE177" s="117" t="b">
        <f>IF(OR(D177&gt;0),IF(BJ177=0,BN177*BQ177,0))</f>
        <v>0</v>
      </c>
      <c r="DF177" s="117" t="b">
        <f>IF(OR(D177&gt;0),IF(BJ177=0,BN177*BY177,0))</f>
        <v>0</v>
      </c>
      <c r="DG177" s="116" t="str">
        <f>BX177</f>
        <v>Cristian A</v>
      </c>
      <c r="DH177" s="76"/>
      <c r="DI177" s="120" t="s">
        <v>154</v>
      </c>
      <c r="DJ177" s="120"/>
      <c r="DK177" s="207"/>
      <c r="DL177" s="207"/>
      <c r="DM177" s="264"/>
      <c r="DN177" s="265"/>
      <c r="DO177" s="265"/>
      <c r="DP177" s="265"/>
      <c r="DQ177" s="265"/>
      <c r="DR177" s="265"/>
      <c r="DS177" s="265"/>
      <c r="DT177" s="265"/>
      <c r="DU177" s="265"/>
      <c r="DV177" s="265"/>
      <c r="DW177" s="265"/>
      <c r="DX177" s="265"/>
      <c r="DY177" s="265"/>
      <c r="DZ177" s="265"/>
    </row>
    <row r="178" spans="1:130" ht="34.5" hidden="1" customHeight="1">
      <c r="A178" s="228"/>
      <c r="B178" s="75" t="s">
        <v>1139</v>
      </c>
      <c r="C178" s="155"/>
      <c r="D178" s="75"/>
      <c r="E178" s="75"/>
      <c r="F178" s="75"/>
      <c r="G178" s="181" t="s">
        <v>287</v>
      </c>
      <c r="H178" s="181" t="s">
        <v>1145</v>
      </c>
      <c r="I178" s="207" t="s">
        <v>1146</v>
      </c>
      <c r="J178" s="155" t="str">
        <f>CONCATENATE(G178," ",H178)</f>
        <v>Riccardo Cavuoto</v>
      </c>
      <c r="K178" s="156" t="s">
        <v>1147</v>
      </c>
      <c r="L178" s="131"/>
      <c r="M178" s="131" t="s">
        <v>1148</v>
      </c>
      <c r="N178" s="160" t="s">
        <v>1149</v>
      </c>
      <c r="O178" s="250"/>
      <c r="P178" s="251"/>
      <c r="Q178" s="131"/>
      <c r="R178" s="252"/>
      <c r="S178" s="254"/>
      <c r="T178" s="346"/>
      <c r="U178" s="253"/>
      <c r="V178" s="253"/>
      <c r="W178" s="251"/>
      <c r="X178" s="131"/>
      <c r="Y178" s="251"/>
      <c r="Z178" s="251"/>
      <c r="AA178" s="251"/>
      <c r="AB178" s="255"/>
      <c r="AC178" s="256"/>
      <c r="AD178" s="121" t="s">
        <v>1150</v>
      </c>
      <c r="AE178" s="138">
        <f>L178</f>
        <v>0</v>
      </c>
      <c r="AF178" s="257"/>
      <c r="AG178" s="155"/>
      <c r="AH178" s="155"/>
      <c r="AI178" s="257"/>
      <c r="AJ178" s="155"/>
      <c r="AK178" s="155"/>
      <c r="AL178" s="155"/>
      <c r="AM178" s="257"/>
      <c r="AN178" s="258"/>
      <c r="AO178" s="258"/>
      <c r="AP178" s="258"/>
      <c r="AQ178" s="211"/>
      <c r="AR178" s="259"/>
      <c r="AS178" s="259"/>
      <c r="AT178" s="259"/>
      <c r="AU178" s="211"/>
      <c r="AV178" s="121"/>
      <c r="AW178" s="121"/>
      <c r="AX178" s="121"/>
      <c r="AY178" s="214"/>
      <c r="AZ178" s="154" t="s">
        <v>165</v>
      </c>
      <c r="BA178" s="154" t="s">
        <v>165</v>
      </c>
      <c r="BB178" s="154" t="s">
        <v>165</v>
      </c>
      <c r="BC178" s="215"/>
      <c r="BD178" s="121"/>
      <c r="BE178" s="121"/>
      <c r="BF178" s="121"/>
      <c r="BG178" s="216"/>
      <c r="BH178" s="238">
        <f>CF178+CI178+CL178+CO178+CR178</f>
        <v>1573.77</v>
      </c>
      <c r="BI178" s="238">
        <f>CH178+CK178+CN178+CQ178+CT178</f>
        <v>1573.77</v>
      </c>
      <c r="BJ178" s="238">
        <f>BH178-BI178</f>
        <v>0</v>
      </c>
      <c r="BK178" s="239"/>
      <c r="BL178" s="260"/>
      <c r="BM178" s="241"/>
      <c r="BN178" s="142"/>
      <c r="BO178" s="182"/>
      <c r="BP178" s="105" t="s">
        <v>117</v>
      </c>
      <c r="BQ178" s="98">
        <v>0</v>
      </c>
      <c r="BR178" s="261"/>
      <c r="BS178" s="242">
        <f>BL178*BQ178</f>
        <v>0</v>
      </c>
      <c r="BT178" s="373">
        <f>BM178*BQ178</f>
        <v>0</v>
      </c>
      <c r="BU178" s="167">
        <f>BN178*BQ178</f>
        <v>0</v>
      </c>
      <c r="BV178" s="168">
        <f>BO178*BQ178</f>
        <v>0</v>
      </c>
      <c r="BW178" s="80" t="s">
        <v>118</v>
      </c>
      <c r="BX178" s="105" t="s">
        <v>166</v>
      </c>
      <c r="BY178" s="145">
        <v>0.05</v>
      </c>
      <c r="BZ178" s="262"/>
      <c r="CA178" s="242">
        <f>BL178*BY178</f>
        <v>0</v>
      </c>
      <c r="CB178" s="101">
        <f>BM178*BY178</f>
        <v>0</v>
      </c>
      <c r="CC178" s="106">
        <f>BN178*BY178</f>
        <v>0</v>
      </c>
      <c r="CD178" s="107">
        <f>BO178*BY178</f>
        <v>0</v>
      </c>
      <c r="CE178" s="244"/>
      <c r="CF178" s="110">
        <v>163.93</v>
      </c>
      <c r="CG178" s="226">
        <v>44834</v>
      </c>
      <c r="CH178" s="110">
        <v>163.93</v>
      </c>
      <c r="CI178" s="110">
        <v>1409.84</v>
      </c>
      <c r="CJ178" s="348">
        <v>44841</v>
      </c>
      <c r="CK178" s="110">
        <v>1409.84</v>
      </c>
      <c r="CL178" s="110"/>
      <c r="CM178" s="348"/>
      <c r="CN178" s="110"/>
      <c r="CO178" s="110"/>
      <c r="CP178" s="226"/>
      <c r="CQ178" s="110"/>
      <c r="CR178" s="110"/>
      <c r="CS178" s="226"/>
      <c r="CT178" s="110"/>
      <c r="CU178" s="155"/>
      <c r="CV178" s="181"/>
      <c r="CW178" s="181"/>
      <c r="CX178" s="207"/>
      <c r="CY178" s="207"/>
      <c r="CZ178" s="155"/>
      <c r="DA178" s="131" t="s">
        <v>1151</v>
      </c>
      <c r="DB178" s="115" t="str">
        <f>PROPER(N178)</f>
        <v>Erretielle</v>
      </c>
      <c r="DC178" s="191"/>
      <c r="DD178" s="116" t="str">
        <f>BP178</f>
        <v>blackship</v>
      </c>
      <c r="DE178" s="117" t="b">
        <f>IF(OR(D178&gt;0),IF(BJ178=0,BN178*BQ178,0))</f>
        <v>0</v>
      </c>
      <c r="DF178" s="117" t="b">
        <f>IF(OR(D178&gt;0),IF(BJ178=0,BN178*BY178,0))</f>
        <v>0</v>
      </c>
      <c r="DG178" s="116" t="str">
        <f>BX178</f>
        <v>Matteo</v>
      </c>
      <c r="DH178" s="76"/>
      <c r="DI178" s="120" t="s">
        <v>154</v>
      </c>
      <c r="DJ178" s="120"/>
      <c r="DK178" s="207"/>
      <c r="DL178" s="207"/>
      <c r="DM178" s="264"/>
      <c r="DN178" s="265"/>
      <c r="DO178" s="265"/>
      <c r="DP178" s="265"/>
      <c r="DQ178" s="265"/>
      <c r="DR178" s="265"/>
      <c r="DS178" s="265"/>
      <c r="DT178" s="265"/>
      <c r="DU178" s="265"/>
      <c r="DV178" s="265"/>
      <c r="DW178" s="265"/>
      <c r="DX178" s="265"/>
      <c r="DY178" s="265"/>
      <c r="DZ178" s="265"/>
    </row>
    <row r="179" spans="1:130" ht="34.5" hidden="1" customHeight="1">
      <c r="A179" s="228"/>
      <c r="B179" s="75" t="s">
        <v>1139</v>
      </c>
      <c r="C179" s="155"/>
      <c r="D179" s="75"/>
      <c r="E179" s="75"/>
      <c r="F179" s="75"/>
      <c r="G179" s="181" t="s">
        <v>1152</v>
      </c>
      <c r="H179" s="181" t="s">
        <v>1153</v>
      </c>
      <c r="I179" s="207" t="s">
        <v>1154</v>
      </c>
      <c r="J179" s="155" t="str">
        <f>CONCATENATE(G179," ",H179)</f>
        <v>Alexandra Stefania Andras</v>
      </c>
      <c r="K179" s="156" t="s">
        <v>1155</v>
      </c>
      <c r="L179" s="131"/>
      <c r="M179" s="131" t="s">
        <v>514</v>
      </c>
      <c r="N179" s="160" t="s">
        <v>1149</v>
      </c>
      <c r="O179" s="250"/>
      <c r="P179" s="251"/>
      <c r="Q179" s="131"/>
      <c r="R179" s="252"/>
      <c r="S179" s="254"/>
      <c r="T179" s="346"/>
      <c r="U179" s="253"/>
      <c r="V179" s="253"/>
      <c r="W179" s="251"/>
      <c r="X179" s="131"/>
      <c r="Y179" s="251"/>
      <c r="Z179" s="251"/>
      <c r="AA179" s="251"/>
      <c r="AB179" s="255"/>
      <c r="AC179" s="256"/>
      <c r="AD179" s="121" t="s">
        <v>1150</v>
      </c>
      <c r="AE179" s="138">
        <f>L179</f>
        <v>0</v>
      </c>
      <c r="AF179" s="257"/>
      <c r="AG179" s="155"/>
      <c r="AH179" s="155"/>
      <c r="AI179" s="257"/>
      <c r="AJ179" s="155"/>
      <c r="AK179" s="155"/>
      <c r="AL179" s="155"/>
      <c r="AM179" s="257"/>
      <c r="AN179" s="258"/>
      <c r="AO179" s="258"/>
      <c r="AP179" s="258"/>
      <c r="AQ179" s="211"/>
      <c r="AR179" s="259"/>
      <c r="AS179" s="259"/>
      <c r="AT179" s="259"/>
      <c r="AU179" s="211"/>
      <c r="AV179" s="121"/>
      <c r="AW179" s="121"/>
      <c r="AX179" s="121"/>
      <c r="AY179" s="214"/>
      <c r="AZ179" s="154" t="s">
        <v>165</v>
      </c>
      <c r="BA179" s="154" t="s">
        <v>165</v>
      </c>
      <c r="BB179" s="154" t="s">
        <v>165</v>
      </c>
      <c r="BC179" s="215"/>
      <c r="BD179" s="121"/>
      <c r="BE179" s="121"/>
      <c r="BF179" s="121"/>
      <c r="BG179" s="216"/>
      <c r="BH179" s="238">
        <f>CF179+CI179+CL179+CO179+CR179</f>
        <v>1573.77</v>
      </c>
      <c r="BI179" s="238">
        <f>CH179+CK179+CN179+CQ179+CT179</f>
        <v>1573.77</v>
      </c>
      <c r="BJ179" s="374">
        <f>BH179-BI179</f>
        <v>0</v>
      </c>
      <c r="BK179" s="239"/>
      <c r="BL179" s="240"/>
      <c r="BM179" s="241"/>
      <c r="BN179" s="142"/>
      <c r="BO179" s="182"/>
      <c r="BP179" s="363" t="s">
        <v>117</v>
      </c>
      <c r="BQ179" s="98">
        <v>0</v>
      </c>
      <c r="BR179" s="262"/>
      <c r="BS179" s="242">
        <f>BL179*BQ179</f>
        <v>0</v>
      </c>
      <c r="BT179" s="203">
        <f>BM179*BQ179</f>
        <v>0</v>
      </c>
      <c r="BU179" s="167">
        <f>BN179*BQ179</f>
        <v>0</v>
      </c>
      <c r="BV179" s="168">
        <f>BO179*BQ179</f>
        <v>0</v>
      </c>
      <c r="BW179" s="80" t="s">
        <v>118</v>
      </c>
      <c r="BX179" s="105" t="s">
        <v>166</v>
      </c>
      <c r="BY179" s="145">
        <v>0.05</v>
      </c>
      <c r="BZ179" s="110"/>
      <c r="CA179" s="242">
        <f>BL179*BY179</f>
        <v>0</v>
      </c>
      <c r="CB179" s="101">
        <f>BM179*BY179</f>
        <v>0</v>
      </c>
      <c r="CC179" s="106">
        <f>BN179*BY179</f>
        <v>0</v>
      </c>
      <c r="CD179" s="107">
        <f>BO179*BY179</f>
        <v>0</v>
      </c>
      <c r="CE179" s="244"/>
      <c r="CF179" s="110">
        <v>163.93</v>
      </c>
      <c r="CG179" s="226">
        <v>44834</v>
      </c>
      <c r="CH179" s="110">
        <v>163.93</v>
      </c>
      <c r="CI179" s="110">
        <v>1409.84</v>
      </c>
      <c r="CJ179" s="348">
        <v>44841</v>
      </c>
      <c r="CK179" s="110">
        <v>1409.84</v>
      </c>
      <c r="CL179" s="110"/>
      <c r="CM179" s="348"/>
      <c r="CN179" s="110"/>
      <c r="CO179" s="110"/>
      <c r="CP179" s="226"/>
      <c r="CQ179" s="110"/>
      <c r="CR179" s="110"/>
      <c r="CS179" s="226"/>
      <c r="CT179" s="110"/>
      <c r="CU179" s="155"/>
      <c r="CV179" s="181"/>
      <c r="CW179" s="181"/>
      <c r="CX179" s="207"/>
      <c r="CY179" s="207"/>
      <c r="CZ179" s="155"/>
      <c r="DA179" s="131" t="s">
        <v>1156</v>
      </c>
      <c r="DB179" s="115" t="str">
        <f>PROPER(N179)</f>
        <v>Erretielle</v>
      </c>
      <c r="DC179" s="191"/>
      <c r="DD179" s="116" t="str">
        <f>BP179</f>
        <v>blackship</v>
      </c>
      <c r="DE179" s="117" t="b">
        <f>IF(OR(D179&gt;0),IF(BJ179=0,BN179*BQ179,0))</f>
        <v>0</v>
      </c>
      <c r="DF179" s="117" t="b">
        <f>IF(OR(D179&gt;0),IF(BJ179=0,BN179*BY179,0))</f>
        <v>0</v>
      </c>
      <c r="DG179" s="116" t="str">
        <f>BX179</f>
        <v>Matteo</v>
      </c>
      <c r="DH179" s="76"/>
      <c r="DI179" s="120" t="s">
        <v>154</v>
      </c>
      <c r="DJ179" s="120"/>
      <c r="DK179" s="207"/>
      <c r="DL179" s="207"/>
      <c r="DM179" s="264"/>
      <c r="DN179" s="265"/>
      <c r="DO179" s="265"/>
      <c r="DP179" s="265"/>
      <c r="DQ179" s="265"/>
      <c r="DR179" s="265"/>
      <c r="DS179" s="265"/>
      <c r="DT179" s="265"/>
      <c r="DU179" s="265"/>
      <c r="DV179" s="265"/>
      <c r="DW179" s="265"/>
      <c r="DX179" s="265"/>
      <c r="DY179" s="265"/>
      <c r="DZ179" s="265"/>
    </row>
    <row r="180" spans="1:130" ht="34.5" hidden="1" customHeight="1">
      <c r="A180" s="228"/>
      <c r="B180" s="75" t="s">
        <v>1139</v>
      </c>
      <c r="C180" s="155"/>
      <c r="D180" s="75"/>
      <c r="E180" s="75"/>
      <c r="F180" s="75"/>
      <c r="G180" s="181" t="s">
        <v>188</v>
      </c>
      <c r="H180" s="181" t="s">
        <v>1157</v>
      </c>
      <c r="I180" s="207" t="s">
        <v>1158</v>
      </c>
      <c r="J180" s="155" t="str">
        <f>CONCATENATE(G180," ",H180)</f>
        <v>Andrea Formaggi</v>
      </c>
      <c r="K180" s="156" t="s">
        <v>1159</v>
      </c>
      <c r="L180" s="204" t="s">
        <v>1160</v>
      </c>
      <c r="M180" s="131" t="s">
        <v>1161</v>
      </c>
      <c r="N180" s="160" t="s">
        <v>1162</v>
      </c>
      <c r="O180" s="250"/>
      <c r="P180" s="251"/>
      <c r="Q180" s="131"/>
      <c r="R180" s="252"/>
      <c r="S180" s="254"/>
      <c r="T180" s="346"/>
      <c r="U180" s="253"/>
      <c r="V180" s="253"/>
      <c r="W180" s="251"/>
      <c r="X180" s="131"/>
      <c r="Y180" s="251"/>
      <c r="Z180" s="251"/>
      <c r="AA180" s="251"/>
      <c r="AB180" s="255"/>
      <c r="AC180" s="256"/>
      <c r="AD180" s="121" t="s">
        <v>1163</v>
      </c>
      <c r="AE180" s="138" t="str">
        <f>L180</f>
        <v xml:space="preserve">Concesso p/to in 2 tranche 200 + iva al 3/10 e saldo 31/03/2023 </v>
      </c>
      <c r="AF180" s="257"/>
      <c r="AG180" s="155"/>
      <c r="AH180" s="155"/>
      <c r="AI180" s="257"/>
      <c r="AJ180" s="155"/>
      <c r="AK180" s="155"/>
      <c r="AL180" s="155"/>
      <c r="AM180" s="257"/>
      <c r="AN180" s="258"/>
      <c r="AO180" s="258"/>
      <c r="AP180" s="258"/>
      <c r="AQ180" s="211"/>
      <c r="AR180" s="259"/>
      <c r="AS180" s="259"/>
      <c r="AT180" s="259"/>
      <c r="AU180" s="211"/>
      <c r="AV180" s="121"/>
      <c r="AW180" s="121"/>
      <c r="AX180" s="121"/>
      <c r="AY180" s="214"/>
      <c r="AZ180" s="154" t="s">
        <v>165</v>
      </c>
      <c r="BA180" s="154" t="s">
        <v>165</v>
      </c>
      <c r="BB180" s="154" t="s">
        <v>165</v>
      </c>
      <c r="BC180" s="215"/>
      <c r="BD180" s="121"/>
      <c r="BE180" s="121"/>
      <c r="BF180" s="121"/>
      <c r="BG180" s="216"/>
      <c r="BH180" s="238">
        <f>CF180+CI180+CL180+CO180+CR180</f>
        <v>200</v>
      </c>
      <c r="BI180" s="238">
        <f>CH180+CK180+CN180+CQ180+CT180</f>
        <v>200</v>
      </c>
      <c r="BJ180" s="238">
        <f>BH180-BI180</f>
        <v>0</v>
      </c>
      <c r="BK180" s="375"/>
      <c r="BL180" s="376"/>
      <c r="BM180" s="241"/>
      <c r="BN180" s="142"/>
      <c r="BO180" s="182"/>
      <c r="BP180" s="377" t="s">
        <v>487</v>
      </c>
      <c r="BQ180" s="145">
        <v>0.15</v>
      </c>
      <c r="BR180" s="262"/>
      <c r="BS180" s="242">
        <f>BL180*BQ180</f>
        <v>0</v>
      </c>
      <c r="BT180" s="203">
        <f>BM180*BQ180</f>
        <v>0</v>
      </c>
      <c r="BU180" s="167">
        <f>BN180*BQ180</f>
        <v>0</v>
      </c>
      <c r="BV180" s="168">
        <f>BO180*BQ180</f>
        <v>0</v>
      </c>
      <c r="BW180" s="243"/>
      <c r="BX180" s="105" t="s">
        <v>487</v>
      </c>
      <c r="BY180" s="145">
        <v>0.05</v>
      </c>
      <c r="BZ180" s="378"/>
      <c r="CA180" s="242">
        <f>BL180*BY180</f>
        <v>0</v>
      </c>
      <c r="CB180" s="101">
        <f>BM180*BY180</f>
        <v>0</v>
      </c>
      <c r="CC180" s="106">
        <f>BN180*BY180</f>
        <v>0</v>
      </c>
      <c r="CD180" s="107">
        <f>BO180*BY180</f>
        <v>0</v>
      </c>
      <c r="CE180" s="244"/>
      <c r="CF180" s="110">
        <v>200</v>
      </c>
      <c r="CG180" s="226">
        <v>44837</v>
      </c>
      <c r="CH180" s="110">
        <v>200</v>
      </c>
      <c r="CI180" s="110"/>
      <c r="CJ180" s="348"/>
      <c r="CK180" s="110"/>
      <c r="CL180" s="110"/>
      <c r="CM180" s="263"/>
      <c r="CN180" s="110"/>
      <c r="CO180" s="110"/>
      <c r="CP180" s="226"/>
      <c r="CQ180" s="110"/>
      <c r="CR180" s="110"/>
      <c r="CS180" s="226"/>
      <c r="CT180" s="110"/>
      <c r="CU180" s="155">
        <v>1</v>
      </c>
      <c r="CV180" s="181" t="s">
        <v>1123</v>
      </c>
      <c r="CW180" s="181"/>
      <c r="CX180" s="207"/>
      <c r="CY180" s="282" t="s">
        <v>122</v>
      </c>
      <c r="CZ180" s="155"/>
      <c r="DA180" s="131" t="s">
        <v>375</v>
      </c>
      <c r="DB180" s="115" t="str">
        <f>PROPER(N180)</f>
        <v>Studio Fisioterapia Andrea Formaggi</v>
      </c>
      <c r="DC180" s="191"/>
      <c r="DD180" s="116" t="str">
        <f>BP180</f>
        <v>Daniela</v>
      </c>
      <c r="DE180" s="117" t="b">
        <f>IF(OR(D180&gt;0),IF(BJ180=0,BN180*BQ180,0))</f>
        <v>0</v>
      </c>
      <c r="DF180" s="117" t="b">
        <f>IF(OR(D180&gt;0),IF(BJ180=0,BN180*BY180,0))</f>
        <v>0</v>
      </c>
      <c r="DG180" s="116" t="str">
        <f>BX180</f>
        <v>Daniela</v>
      </c>
      <c r="DH180" s="76"/>
      <c r="DI180" s="120" t="s">
        <v>154</v>
      </c>
      <c r="DJ180" s="120"/>
      <c r="DK180" s="207"/>
      <c r="DL180" s="207"/>
      <c r="DM180" s="264"/>
      <c r="DN180" s="265"/>
      <c r="DO180" s="265"/>
      <c r="DP180" s="265"/>
      <c r="DQ180" s="265"/>
      <c r="DR180" s="265"/>
      <c r="DS180" s="265"/>
      <c r="DT180" s="265"/>
      <c r="DU180" s="265"/>
      <c r="DV180" s="265"/>
      <c r="DW180" s="265"/>
      <c r="DX180" s="265"/>
      <c r="DY180" s="265"/>
      <c r="DZ180" s="265"/>
    </row>
    <row r="181" spans="1:130" ht="34.5" hidden="1" customHeight="1">
      <c r="A181" s="228"/>
      <c r="B181" s="75" t="s">
        <v>1139</v>
      </c>
      <c r="C181" s="155"/>
      <c r="D181" s="75"/>
      <c r="E181" s="75"/>
      <c r="F181" s="75"/>
      <c r="G181" s="181" t="s">
        <v>166</v>
      </c>
      <c r="H181" s="181" t="s">
        <v>1157</v>
      </c>
      <c r="I181" s="207" t="s">
        <v>1164</v>
      </c>
      <c r="J181" s="155" t="str">
        <f>CONCATENATE(G181," ",H181)</f>
        <v>Matteo Formaggi</v>
      </c>
      <c r="K181" s="156" t="s">
        <v>1165</v>
      </c>
      <c r="L181" s="204" t="s">
        <v>1160</v>
      </c>
      <c r="M181" s="131" t="s">
        <v>1166</v>
      </c>
      <c r="N181" s="160" t="s">
        <v>1162</v>
      </c>
      <c r="O181" s="250"/>
      <c r="P181" s="251"/>
      <c r="Q181" s="131"/>
      <c r="R181" s="252"/>
      <c r="S181" s="254"/>
      <c r="T181" s="346"/>
      <c r="U181" s="253"/>
      <c r="V181" s="253"/>
      <c r="W181" s="251"/>
      <c r="X181" s="131"/>
      <c r="Y181" s="251"/>
      <c r="Z181" s="251"/>
      <c r="AA181" s="251"/>
      <c r="AB181" s="255"/>
      <c r="AC181" s="256"/>
      <c r="AD181" s="121" t="s">
        <v>1163</v>
      </c>
      <c r="AE181" s="138" t="str">
        <f>L181</f>
        <v xml:space="preserve">Concesso p/to in 2 tranche 200 + iva al 3/10 e saldo 31/03/2023 </v>
      </c>
      <c r="AF181" s="257"/>
      <c r="AG181" s="155"/>
      <c r="AH181" s="155"/>
      <c r="AI181" s="257"/>
      <c r="AJ181" s="155"/>
      <c r="AK181" s="155"/>
      <c r="AL181" s="155"/>
      <c r="AM181" s="257"/>
      <c r="AN181" s="258"/>
      <c r="AO181" s="258"/>
      <c r="AP181" s="258"/>
      <c r="AQ181" s="211"/>
      <c r="AR181" s="259"/>
      <c r="AS181" s="259"/>
      <c r="AT181" s="259"/>
      <c r="AU181" s="211"/>
      <c r="AV181" s="121"/>
      <c r="AW181" s="121"/>
      <c r="AX181" s="121"/>
      <c r="AY181" s="214"/>
      <c r="AZ181" s="154" t="s">
        <v>165</v>
      </c>
      <c r="BA181" s="154" t="s">
        <v>165</v>
      </c>
      <c r="BB181" s="154" t="s">
        <v>165</v>
      </c>
      <c r="BC181" s="215"/>
      <c r="BD181" s="121"/>
      <c r="BE181" s="121"/>
      <c r="BF181" s="121"/>
      <c r="BG181" s="216"/>
      <c r="BH181" s="238">
        <f>CF181+CI181+CL181+CO181+CR181</f>
        <v>200</v>
      </c>
      <c r="BI181" s="238">
        <f>CH181+CK181+CN181+CQ181+CT181</f>
        <v>200</v>
      </c>
      <c r="BJ181" s="238">
        <f>BH181-BI181</f>
        <v>0</v>
      </c>
      <c r="BK181" s="351"/>
      <c r="BL181" s="352"/>
      <c r="BM181" s="241"/>
      <c r="BN181" s="142"/>
      <c r="BO181" s="182"/>
      <c r="BP181" s="379" t="s">
        <v>487</v>
      </c>
      <c r="BQ181" s="145">
        <v>0.15</v>
      </c>
      <c r="BR181" s="262"/>
      <c r="BS181" s="242">
        <f>BL181*BQ181</f>
        <v>0</v>
      </c>
      <c r="BT181" s="373">
        <f>BM181*BQ181</f>
        <v>0</v>
      </c>
      <c r="BU181" s="167">
        <f>BN181*BQ181</f>
        <v>0</v>
      </c>
      <c r="BV181" s="168">
        <f>BO181*BQ181</f>
        <v>0</v>
      </c>
      <c r="BW181" s="243"/>
      <c r="BX181" s="105" t="s">
        <v>487</v>
      </c>
      <c r="BY181" s="145">
        <v>0.05</v>
      </c>
      <c r="BZ181" s="110"/>
      <c r="CA181" s="242">
        <f>BL181*BY181</f>
        <v>0</v>
      </c>
      <c r="CB181" s="101">
        <f>BM181*BY181</f>
        <v>0</v>
      </c>
      <c r="CC181" s="106">
        <f>BN181*BY181</f>
        <v>0</v>
      </c>
      <c r="CD181" s="107">
        <f>BO181*BY181</f>
        <v>0</v>
      </c>
      <c r="CE181" s="244"/>
      <c r="CF181" s="110">
        <v>200</v>
      </c>
      <c r="CG181" s="226">
        <v>44837</v>
      </c>
      <c r="CH181" s="110">
        <v>200</v>
      </c>
      <c r="CI181" s="110"/>
      <c r="CJ181" s="348"/>
      <c r="CK181" s="110"/>
      <c r="CL181" s="110"/>
      <c r="CM181" s="263"/>
      <c r="CN181" s="110"/>
      <c r="CO181" s="110"/>
      <c r="CP181" s="226"/>
      <c r="CQ181" s="110"/>
      <c r="CR181" s="110"/>
      <c r="CS181" s="226"/>
      <c r="CT181" s="110"/>
      <c r="CU181" s="155">
        <v>1</v>
      </c>
      <c r="CV181" s="181" t="s">
        <v>1123</v>
      </c>
      <c r="CW181" s="181"/>
      <c r="CX181" s="207"/>
      <c r="CY181" s="207"/>
      <c r="CZ181" s="155"/>
      <c r="DA181" s="131" t="s">
        <v>375</v>
      </c>
      <c r="DB181" s="115" t="str">
        <f>PROPER(N181)</f>
        <v>Studio Fisioterapia Andrea Formaggi</v>
      </c>
      <c r="DC181" s="191"/>
      <c r="DD181" s="116" t="str">
        <f>BP181</f>
        <v>Daniela</v>
      </c>
      <c r="DE181" s="117" t="b">
        <f>IF(OR(D181&gt;0),IF(BJ181=0,BN181*BQ181,0))</f>
        <v>0</v>
      </c>
      <c r="DF181" s="117" t="b">
        <f>IF(OR(D181&gt;0),IF(BJ181=0,BN181*BY181,0))</f>
        <v>0</v>
      </c>
      <c r="DG181" s="116" t="str">
        <f>BX181</f>
        <v>Daniela</v>
      </c>
      <c r="DH181" s="76"/>
      <c r="DI181" s="120" t="s">
        <v>154</v>
      </c>
      <c r="DJ181" s="120"/>
      <c r="DK181" s="207"/>
      <c r="DL181" s="207"/>
      <c r="DM181" s="264"/>
      <c r="DN181" s="265"/>
      <c r="DO181" s="265"/>
      <c r="DP181" s="265"/>
      <c r="DQ181" s="265"/>
      <c r="DR181" s="265"/>
      <c r="DS181" s="265"/>
      <c r="DT181" s="265"/>
      <c r="DU181" s="265"/>
      <c r="DV181" s="265"/>
      <c r="DW181" s="265"/>
      <c r="DX181" s="265"/>
      <c r="DY181" s="265"/>
      <c r="DZ181" s="265"/>
    </row>
    <row r="182" spans="1:130" ht="34.5" hidden="1" customHeight="1">
      <c r="A182" s="228"/>
      <c r="B182" s="75" t="s">
        <v>1139</v>
      </c>
      <c r="C182" s="155"/>
      <c r="D182" s="75">
        <v>1</v>
      </c>
      <c r="E182" s="119">
        <v>1</v>
      </c>
      <c r="F182" s="148"/>
      <c r="G182" s="181" t="s">
        <v>188</v>
      </c>
      <c r="H182" s="181" t="s">
        <v>1167</v>
      </c>
      <c r="I182" s="207" t="s">
        <v>1168</v>
      </c>
      <c r="J182" s="155" t="str">
        <f>CONCATENATE(G182," ",H182)</f>
        <v>Andrea Mugerli</v>
      </c>
      <c r="K182" s="156">
        <v>3339714528</v>
      </c>
      <c r="L182" s="131"/>
      <c r="M182" s="131" t="s">
        <v>1169</v>
      </c>
      <c r="N182" s="160"/>
      <c r="O182" s="250"/>
      <c r="P182" s="251"/>
      <c r="Q182" s="131"/>
      <c r="R182" s="252"/>
      <c r="S182" s="254"/>
      <c r="T182" s="346"/>
      <c r="U182" s="253"/>
      <c r="V182" s="253"/>
      <c r="W182" s="251"/>
      <c r="X182" s="131"/>
      <c r="Y182" s="251"/>
      <c r="Z182" s="251"/>
      <c r="AA182" s="251"/>
      <c r="AB182" s="255"/>
      <c r="AC182" s="256"/>
      <c r="AD182" s="121" t="s">
        <v>1170</v>
      </c>
      <c r="AE182" s="138">
        <f>L182</f>
        <v>0</v>
      </c>
      <c r="AF182" s="257"/>
      <c r="AG182" s="155"/>
      <c r="AH182" s="155"/>
      <c r="AI182" s="257"/>
      <c r="AJ182" s="155"/>
      <c r="AK182" s="155"/>
      <c r="AL182" s="155"/>
      <c r="AM182" s="257"/>
      <c r="AN182" s="258"/>
      <c r="AO182" s="258"/>
      <c r="AP182" s="258"/>
      <c r="AQ182" s="211"/>
      <c r="AR182" s="259"/>
      <c r="AS182" s="259"/>
      <c r="AT182" s="259"/>
      <c r="AU182" s="211"/>
      <c r="AV182" s="75" t="s">
        <v>115</v>
      </c>
      <c r="AW182" s="121" t="s">
        <v>115</v>
      </c>
      <c r="AX182" s="19" t="s">
        <v>115</v>
      </c>
      <c r="AY182" s="214"/>
      <c r="AZ182" s="121" t="s">
        <v>116</v>
      </c>
      <c r="BA182" s="121" t="s">
        <v>116</v>
      </c>
      <c r="BB182" s="135" t="s">
        <v>154</v>
      </c>
      <c r="BC182" s="215"/>
      <c r="BD182" s="121"/>
      <c r="BE182" s="121"/>
      <c r="BF182" s="121"/>
      <c r="BG182" s="216"/>
      <c r="BH182" s="92"/>
      <c r="BI182" s="92"/>
      <c r="BJ182" s="92"/>
      <c r="BK182" s="351"/>
      <c r="BL182" s="352"/>
      <c r="BM182" s="241">
        <v>2997</v>
      </c>
      <c r="BN182" s="273"/>
      <c r="BO182" s="182"/>
      <c r="BP182" s="380" t="s">
        <v>117</v>
      </c>
      <c r="BQ182" s="98">
        <v>0</v>
      </c>
      <c r="BR182" s="262"/>
      <c r="BS182" s="242">
        <f>BL182*BQ182</f>
        <v>0</v>
      </c>
      <c r="BT182" s="203">
        <f>BM182*BQ182</f>
        <v>0</v>
      </c>
      <c r="BU182" s="167">
        <f>BN182*BQ182</f>
        <v>0</v>
      </c>
      <c r="BV182" s="168">
        <f>BO182*BQ182</f>
        <v>0</v>
      </c>
      <c r="BW182" s="309" t="s">
        <v>118</v>
      </c>
      <c r="BX182" s="105" t="s">
        <v>119</v>
      </c>
      <c r="BY182" s="145">
        <v>0.05</v>
      </c>
      <c r="BZ182" s="262"/>
      <c r="CA182" s="242">
        <f>BL182*BY182</f>
        <v>0</v>
      </c>
      <c r="CB182" s="101">
        <f>BM182*BY182</f>
        <v>149.85</v>
      </c>
      <c r="CC182" s="106">
        <f>BN182*BY182</f>
        <v>0</v>
      </c>
      <c r="CD182" s="107">
        <f>BO182*BY182</f>
        <v>0</v>
      </c>
      <c r="CE182" s="90" t="s">
        <v>120</v>
      </c>
      <c r="CF182" s="110">
        <v>2997</v>
      </c>
      <c r="CG182" s="226">
        <v>44832</v>
      </c>
      <c r="CH182" s="110">
        <v>2997</v>
      </c>
      <c r="CI182" s="110"/>
      <c r="CJ182" s="348"/>
      <c r="CK182" s="110"/>
      <c r="CL182" s="110"/>
      <c r="CM182" s="263"/>
      <c r="CN182" s="110"/>
      <c r="CO182" s="110"/>
      <c r="CP182" s="226"/>
      <c r="CQ182" s="110"/>
      <c r="CR182" s="110"/>
      <c r="CS182" s="226"/>
      <c r="CT182" s="110"/>
      <c r="CU182" s="155">
        <v>1</v>
      </c>
      <c r="CV182" s="181" t="s">
        <v>1123</v>
      </c>
      <c r="CW182" s="181"/>
      <c r="CX182" s="207"/>
      <c r="CY182" s="293" t="s">
        <v>122</v>
      </c>
      <c r="CZ182" s="155"/>
      <c r="DA182" s="208" t="s">
        <v>1171</v>
      </c>
      <c r="DB182" s="115" t="str">
        <f>PROPER(N182)</f>
        <v/>
      </c>
      <c r="DC182" s="191" t="s">
        <v>1172</v>
      </c>
      <c r="DD182" s="116" t="str">
        <f>BP182</f>
        <v>blackship</v>
      </c>
      <c r="DE182" s="117">
        <f>IF(OR(D182&gt;0),IF(BJ182=0,BN182*BQ182,0))</f>
        <v>0</v>
      </c>
      <c r="DF182" s="117">
        <f>IF(OR(D182&gt;0),IF(BJ182=0,BN182*BY182,0))</f>
        <v>0</v>
      </c>
      <c r="DG182" s="118" t="str">
        <f>BX182</f>
        <v>Raffaella</v>
      </c>
      <c r="DH182" s="76"/>
      <c r="DI182" s="120" t="s">
        <v>154</v>
      </c>
      <c r="DJ182" s="120"/>
      <c r="DK182" s="207"/>
      <c r="DL182" s="207"/>
      <c r="DM182" s="264">
        <v>1</v>
      </c>
      <c r="DN182" s="265"/>
      <c r="DO182" s="265"/>
      <c r="DP182" s="265"/>
      <c r="DQ182" s="265"/>
      <c r="DR182" s="265"/>
      <c r="DS182" s="265"/>
      <c r="DT182" s="265"/>
      <c r="DU182" s="265"/>
      <c r="DV182" s="265"/>
      <c r="DW182" s="265"/>
      <c r="DX182" s="265"/>
      <c r="DY182" s="265"/>
      <c r="DZ182" s="265"/>
    </row>
    <row r="183" spans="1:130" ht="34.5" hidden="1" customHeight="1">
      <c r="A183" s="228"/>
      <c r="B183" s="129" t="s">
        <v>1139</v>
      </c>
      <c r="C183" s="155"/>
      <c r="D183" s="75"/>
      <c r="E183" s="75"/>
      <c r="F183" s="75"/>
      <c r="G183" s="181" t="s">
        <v>188</v>
      </c>
      <c r="H183" s="181" t="s">
        <v>1173</v>
      </c>
      <c r="I183" s="207" t="s">
        <v>1174</v>
      </c>
      <c r="J183" s="155" t="str">
        <f>CONCATENATE(G183," ",H183)</f>
        <v>Andrea Salaris</v>
      </c>
      <c r="K183" s="156" t="s">
        <v>1175</v>
      </c>
      <c r="L183" s="204" t="s">
        <v>1176</v>
      </c>
      <c r="M183" s="131" t="s">
        <v>1177</v>
      </c>
      <c r="N183" s="160" t="s">
        <v>1178</v>
      </c>
      <c r="O183" s="250"/>
      <c r="P183" s="251"/>
      <c r="Q183" s="131"/>
      <c r="R183" s="252"/>
      <c r="S183" s="254"/>
      <c r="T183" s="346"/>
      <c r="U183" s="253"/>
      <c r="V183" s="253"/>
      <c r="W183" s="251"/>
      <c r="X183" s="131"/>
      <c r="Y183" s="251"/>
      <c r="Z183" s="251"/>
      <c r="AA183" s="251"/>
      <c r="AB183" s="255"/>
      <c r="AC183" s="256"/>
      <c r="AD183" s="121"/>
      <c r="AE183" s="138" t="str">
        <f>L183</f>
        <v>Condizioni pagamento concordate con Gluca 200 euro 30/9 - 1720 entro il 28/4/2023 e saldo entro il 13/05/2023</v>
      </c>
      <c r="AF183" s="257"/>
      <c r="AG183" s="155"/>
      <c r="AH183" s="155"/>
      <c r="AI183" s="257"/>
      <c r="AJ183" s="155"/>
      <c r="AK183" s="155"/>
      <c r="AL183" s="155"/>
      <c r="AM183" s="257"/>
      <c r="AN183" s="258"/>
      <c r="AO183" s="258"/>
      <c r="AP183" s="258"/>
      <c r="AQ183" s="211"/>
      <c r="AR183" s="259"/>
      <c r="AS183" s="259"/>
      <c r="AT183" s="259"/>
      <c r="AU183" s="211"/>
      <c r="AV183" s="177" t="s">
        <v>151</v>
      </c>
      <c r="AW183" s="177" t="s">
        <v>151</v>
      </c>
      <c r="AX183" s="177" t="s">
        <v>151</v>
      </c>
      <c r="AY183" s="214"/>
      <c r="AZ183" s="121"/>
      <c r="BA183" s="121"/>
      <c r="BB183" s="121"/>
      <c r="BC183" s="215"/>
      <c r="BD183" s="121"/>
      <c r="BE183" s="121"/>
      <c r="BF183" s="121"/>
      <c r="BG183" s="216"/>
      <c r="BH183" s="238">
        <f>CF183+CI183+CL183+CO183+CR183</f>
        <v>3497</v>
      </c>
      <c r="BI183" s="238">
        <f>CH183+CK183+CN183+CQ183+CT183</f>
        <v>0</v>
      </c>
      <c r="BJ183" s="238">
        <f>BH183-BI183</f>
        <v>3497</v>
      </c>
      <c r="BK183" s="351"/>
      <c r="BL183" s="352"/>
      <c r="BM183" s="241"/>
      <c r="BN183" s="142"/>
      <c r="BO183" s="182"/>
      <c r="BP183" s="363" t="s">
        <v>117</v>
      </c>
      <c r="BQ183" s="98">
        <v>0</v>
      </c>
      <c r="BR183" s="262"/>
      <c r="BS183" s="242">
        <f>BL183*BQ183</f>
        <v>0</v>
      </c>
      <c r="BT183" s="203">
        <f>BM183*BQ183</f>
        <v>0</v>
      </c>
      <c r="BU183" s="167">
        <f>BN183*BQ183</f>
        <v>0</v>
      </c>
      <c r="BV183" s="168">
        <f>BO183*BQ183</f>
        <v>0</v>
      </c>
      <c r="BW183" s="80" t="s">
        <v>118</v>
      </c>
      <c r="BX183" s="105" t="s">
        <v>152</v>
      </c>
      <c r="BY183" s="145">
        <v>0.05</v>
      </c>
      <c r="BZ183" s="262"/>
      <c r="CA183" s="242">
        <f>BL183*BY183</f>
        <v>0</v>
      </c>
      <c r="CB183" s="101">
        <f>BM183*BY183</f>
        <v>0</v>
      </c>
      <c r="CC183" s="106">
        <f>BN183*BY183</f>
        <v>0</v>
      </c>
      <c r="CD183" s="107">
        <f>BO183*BY183</f>
        <v>0</v>
      </c>
      <c r="CE183" s="244"/>
      <c r="CF183" s="110">
        <v>163.93</v>
      </c>
      <c r="CG183" s="226">
        <v>44834</v>
      </c>
      <c r="CH183" s="381"/>
      <c r="CI183" s="110">
        <v>1409.84</v>
      </c>
      <c r="CJ183" s="348">
        <v>45044</v>
      </c>
      <c r="CK183" s="381"/>
      <c r="CL183" s="110">
        <v>1923.23</v>
      </c>
      <c r="CM183" s="348">
        <v>45059</v>
      </c>
      <c r="CN183" s="381"/>
      <c r="CO183" s="110"/>
      <c r="CP183" s="226"/>
      <c r="CQ183" s="110"/>
      <c r="CR183" s="110"/>
      <c r="CS183" s="226"/>
      <c r="CT183" s="110"/>
      <c r="CU183" s="155">
        <v>1</v>
      </c>
      <c r="CV183" s="181" t="s">
        <v>1123</v>
      </c>
      <c r="CW183" s="181"/>
      <c r="CX183" s="207"/>
      <c r="CY183" s="293" t="s">
        <v>122</v>
      </c>
      <c r="CZ183" s="155"/>
      <c r="DA183" s="131"/>
      <c r="DB183" s="115" t="str">
        <f>PROPER(N183)</f>
        <v>Andrea Salaris</v>
      </c>
      <c r="DC183" s="191"/>
      <c r="DD183" s="116" t="str">
        <f>BP183</f>
        <v>blackship</v>
      </c>
      <c r="DE183" s="117" t="b">
        <f>IF(OR(D183&gt;0),IF(BJ183=0,BN183*BQ183,0))</f>
        <v>0</v>
      </c>
      <c r="DF183" s="117" t="b">
        <f>IF(OR(D183&gt;0),IF(BJ183=0,BN183*BY183,0))</f>
        <v>0</v>
      </c>
      <c r="DG183" s="116" t="str">
        <f>BX183</f>
        <v>Client Angel</v>
      </c>
      <c r="DH183" s="76"/>
      <c r="DI183" s="120" t="s">
        <v>154</v>
      </c>
      <c r="DJ183" s="120"/>
      <c r="DK183" s="207"/>
      <c r="DL183" s="207"/>
      <c r="DM183" s="264"/>
      <c r="DN183" s="265"/>
      <c r="DO183" s="265"/>
      <c r="DP183" s="265"/>
      <c r="DQ183" s="265"/>
      <c r="DR183" s="265"/>
      <c r="DS183" s="265"/>
      <c r="DT183" s="265"/>
      <c r="DU183" s="265"/>
      <c r="DV183" s="265"/>
      <c r="DW183" s="265"/>
      <c r="DX183" s="265"/>
      <c r="DY183" s="265"/>
      <c r="DZ183" s="265"/>
    </row>
    <row r="184" spans="1:130" ht="34.5" hidden="1" customHeight="1">
      <c r="A184" s="228"/>
      <c r="B184" s="129" t="s">
        <v>1139</v>
      </c>
      <c r="C184" s="155"/>
      <c r="D184" s="75"/>
      <c r="E184" s="75"/>
      <c r="F184" s="75"/>
      <c r="G184" s="181" t="s">
        <v>1179</v>
      </c>
      <c r="H184" s="181" t="s">
        <v>1180</v>
      </c>
      <c r="I184" s="207" t="s">
        <v>1181</v>
      </c>
      <c r="J184" s="155" t="str">
        <f>CONCATENATE(G184," ",H184)</f>
        <v>Andrew Boscaini</v>
      </c>
      <c r="K184" s="156">
        <v>3202321248</v>
      </c>
      <c r="L184" s="131" t="s">
        <v>1182</v>
      </c>
      <c r="M184" s="131" t="s">
        <v>1183</v>
      </c>
      <c r="N184" s="160" t="s">
        <v>1184</v>
      </c>
      <c r="O184" s="250"/>
      <c r="P184" s="251"/>
      <c r="Q184" s="131"/>
      <c r="R184" s="252"/>
      <c r="S184" s="254"/>
      <c r="T184" s="346"/>
      <c r="U184" s="253"/>
      <c r="V184" s="253"/>
      <c r="W184" s="251"/>
      <c r="X184" s="131"/>
      <c r="Y184" s="251"/>
      <c r="Z184" s="251"/>
      <c r="AA184" s="251"/>
      <c r="AB184" s="255"/>
      <c r="AC184" s="256"/>
      <c r="AD184" s="121"/>
      <c r="AE184" s="138" t="str">
        <f>L184</f>
        <v>Condizioni pagamento concordate con Gluca 200 euro 30/9 - saldo entro 2023??? 09.10.23 Ha ancora in mente di farlo ma avuto problemi seri di salute. Appena uscito dalla situazione mi fa sapere. Tenere aggiornato</v>
      </c>
      <c r="AF184" s="257"/>
      <c r="AG184" s="155"/>
      <c r="AH184" s="155"/>
      <c r="AI184" s="257"/>
      <c r="AJ184" s="155"/>
      <c r="AK184" s="155"/>
      <c r="AL184" s="155"/>
      <c r="AM184" s="257"/>
      <c r="AN184" s="258"/>
      <c r="AO184" s="258"/>
      <c r="AP184" s="258"/>
      <c r="AQ184" s="211"/>
      <c r="AR184" s="259"/>
      <c r="AS184" s="259"/>
      <c r="AT184" s="259"/>
      <c r="AU184" s="211"/>
      <c r="AV184" s="121"/>
      <c r="AW184" s="121"/>
      <c r="AX184" s="121"/>
      <c r="AY184" s="214"/>
      <c r="AZ184" s="121"/>
      <c r="BA184" s="121"/>
      <c r="BB184" s="121"/>
      <c r="BC184" s="215"/>
      <c r="BD184" s="121" t="s">
        <v>151</v>
      </c>
      <c r="BE184" s="121" t="s">
        <v>151</v>
      </c>
      <c r="BF184" s="121" t="s">
        <v>151</v>
      </c>
      <c r="BG184" s="216"/>
      <c r="BH184" s="238">
        <f>CF184+CI184+CL184+CO184+CR184</f>
        <v>0</v>
      </c>
      <c r="BI184" s="238">
        <f>CH184+CK184+CN184+CQ184+CT184</f>
        <v>0</v>
      </c>
      <c r="BJ184" s="238">
        <f>BH184-BI184</f>
        <v>0</v>
      </c>
      <c r="BK184" s="351"/>
      <c r="BL184" s="352"/>
      <c r="BM184" s="241"/>
      <c r="BN184" s="142"/>
      <c r="BO184" s="182"/>
      <c r="BP184" s="380" t="s">
        <v>160</v>
      </c>
      <c r="BQ184" s="145">
        <v>0.05</v>
      </c>
      <c r="BR184" s="262"/>
      <c r="BS184" s="242">
        <f>BL184*BQ184</f>
        <v>0</v>
      </c>
      <c r="BT184" s="203">
        <f>BM184*BQ184</f>
        <v>0</v>
      </c>
      <c r="BU184" s="167">
        <f>BN184*BQ184</f>
        <v>0</v>
      </c>
      <c r="BV184" s="168">
        <f>BO184*BQ184</f>
        <v>0</v>
      </c>
      <c r="BW184" s="243"/>
      <c r="BX184" s="105" t="s">
        <v>160</v>
      </c>
      <c r="BY184" s="145">
        <v>0.05</v>
      </c>
      <c r="BZ184" s="262"/>
      <c r="CA184" s="242">
        <f>BL184*BY184</f>
        <v>0</v>
      </c>
      <c r="CB184" s="101">
        <f>BM184*BY184</f>
        <v>0</v>
      </c>
      <c r="CC184" s="106">
        <f>BN184*BY184</f>
        <v>0</v>
      </c>
      <c r="CD184" s="107">
        <f>BO184*BY184</f>
        <v>0</v>
      </c>
      <c r="CE184" s="244"/>
      <c r="CF184" s="110">
        <v>0</v>
      </c>
      <c r="CG184" s="263" t="s">
        <v>153</v>
      </c>
      <c r="CH184" s="110"/>
      <c r="CI184" s="110"/>
      <c r="CJ184" s="348"/>
      <c r="CK184" s="110"/>
      <c r="CL184" s="110"/>
      <c r="CM184" s="263"/>
      <c r="CN184" s="110"/>
      <c r="CO184" s="110"/>
      <c r="CP184" s="226"/>
      <c r="CQ184" s="110"/>
      <c r="CR184" s="110"/>
      <c r="CS184" s="226"/>
      <c r="CT184" s="110"/>
      <c r="CU184" s="155">
        <v>1</v>
      </c>
      <c r="CV184" s="181" t="s">
        <v>1123</v>
      </c>
      <c r="CW184" s="181"/>
      <c r="CX184" s="207"/>
      <c r="CY184" s="293" t="s">
        <v>122</v>
      </c>
      <c r="CZ184" s="155"/>
      <c r="DB184" s="115" t="str">
        <f>PROPER(N184)</f>
        <v>Cribis</v>
      </c>
      <c r="DC184" s="191"/>
      <c r="DD184" s="116" t="str">
        <f>BP184</f>
        <v>Gianluca</v>
      </c>
      <c r="DE184" s="117" t="b">
        <f>IF(OR(D184&gt;0),IF(BJ184=0,BN184*BQ184,0))</f>
        <v>0</v>
      </c>
      <c r="DF184" s="117" t="b">
        <f>IF(OR(D184&gt;0),IF(BJ184=0,BN184*BY184,0))</f>
        <v>0</v>
      </c>
      <c r="DG184" s="116" t="str">
        <f>BX184</f>
        <v>Gianluca</v>
      </c>
      <c r="DH184" s="76"/>
      <c r="DI184" s="120" t="s">
        <v>154</v>
      </c>
      <c r="DJ184" s="120"/>
      <c r="DK184" s="207"/>
      <c r="DL184" s="207"/>
      <c r="DM184" s="264"/>
      <c r="DN184" s="265"/>
      <c r="DO184" s="265"/>
      <c r="DP184" s="265"/>
      <c r="DQ184" s="265"/>
      <c r="DR184" s="265"/>
      <c r="DS184" s="265"/>
      <c r="DT184" s="265"/>
      <c r="DU184" s="265"/>
      <c r="DV184" s="265"/>
      <c r="DW184" s="265"/>
      <c r="DX184" s="265"/>
      <c r="DY184" s="265"/>
      <c r="DZ184" s="265"/>
    </row>
    <row r="185" spans="1:130" ht="34.5" hidden="1" customHeight="1">
      <c r="A185" s="228"/>
      <c r="B185" s="75" t="s">
        <v>1359</v>
      </c>
      <c r="C185" s="155"/>
      <c r="D185" s="75">
        <v>1</v>
      </c>
      <c r="E185" s="75">
        <v>1</v>
      </c>
      <c r="F185" s="75"/>
      <c r="G185" s="400" t="s">
        <v>477</v>
      </c>
      <c r="H185" s="400" t="s">
        <v>1690</v>
      </c>
      <c r="I185" s="207" t="s">
        <v>1691</v>
      </c>
      <c r="J185" s="121" t="str">
        <f>CONCATENATE(G185," ",H185)</f>
        <v>Filippo Nava</v>
      </c>
      <c r="K185" s="156">
        <v>3427561718</v>
      </c>
      <c r="L185" s="435"/>
      <c r="M185" s="153" t="s">
        <v>514</v>
      </c>
      <c r="N185" s="160" t="s">
        <v>1686</v>
      </c>
      <c r="O185" s="402"/>
      <c r="P185" s="315"/>
      <c r="Q185" s="160"/>
      <c r="R185" s="403"/>
      <c r="S185" s="160"/>
      <c r="T185" s="404"/>
      <c r="U185" s="315"/>
      <c r="V185" s="315"/>
      <c r="W185" s="315"/>
      <c r="X185" s="131"/>
      <c r="Y185" s="315"/>
      <c r="Z185" s="315"/>
      <c r="AA185" s="315"/>
      <c r="AB185" s="37"/>
      <c r="AC185" s="131"/>
      <c r="AD185" s="121" t="s">
        <v>1687</v>
      </c>
      <c r="AE185" s="88"/>
      <c r="AF185" s="560"/>
      <c r="AG185" s="406"/>
      <c r="AH185" s="406"/>
      <c r="AI185" s="560"/>
      <c r="AJ185" s="155"/>
      <c r="AK185" s="155"/>
      <c r="AL185" s="155"/>
      <c r="AM185" s="257"/>
      <c r="AN185" s="155"/>
      <c r="AO185" s="155"/>
      <c r="AP185" s="155"/>
      <c r="AQ185" s="211"/>
      <c r="AR185" s="1984"/>
      <c r="AS185" s="259"/>
      <c r="AT185" s="259"/>
      <c r="AU185" s="211"/>
      <c r="AV185" s="121"/>
      <c r="AW185" s="121"/>
      <c r="AX185" s="1987"/>
      <c r="AY185" s="214"/>
      <c r="AZ185" s="121" t="s">
        <v>115</v>
      </c>
      <c r="BA185" s="121" t="s">
        <v>115</v>
      </c>
      <c r="BB185" s="135" t="s">
        <v>115</v>
      </c>
      <c r="BC185" s="215"/>
      <c r="BD185" s="121"/>
      <c r="BE185" s="121"/>
      <c r="BF185" s="121"/>
      <c r="BG185" s="216"/>
      <c r="BH185" s="238">
        <f>CF185+CI185+CL185+CO185+CR185</f>
        <v>2597</v>
      </c>
      <c r="BI185" s="238">
        <f>CH185+CK185+CN185+CQ185+CT185</f>
        <v>2597</v>
      </c>
      <c r="BJ185" s="238">
        <f>BH185-BI185</f>
        <v>0</v>
      </c>
      <c r="BK185" s="351"/>
      <c r="BL185" s="352"/>
      <c r="BM185" s="241"/>
      <c r="BN185" s="142">
        <v>2597</v>
      </c>
      <c r="BO185" s="182"/>
      <c r="BP185" s="2049" t="s">
        <v>160</v>
      </c>
      <c r="BQ185" s="98">
        <v>0.15</v>
      </c>
      <c r="BR185" s="262"/>
      <c r="BS185" s="242">
        <f>BL185*BQ185</f>
        <v>0</v>
      </c>
      <c r="BT185" s="203">
        <f>BM185*BQ185</f>
        <v>0</v>
      </c>
      <c r="BU185" s="167">
        <f>BN185*BQ185</f>
        <v>389.55</v>
      </c>
      <c r="BV185" s="168">
        <f>BO185*BQ185</f>
        <v>0</v>
      </c>
      <c r="BW185" s="160" t="s">
        <v>185</v>
      </c>
      <c r="BX185" s="105" t="s">
        <v>160</v>
      </c>
      <c r="BY185" s="145">
        <v>0.05</v>
      </c>
      <c r="BZ185" s="262"/>
      <c r="CA185" s="242">
        <f>BL185*BY185</f>
        <v>0</v>
      </c>
      <c r="CB185" s="101">
        <f>BM185*BY185</f>
        <v>0</v>
      </c>
      <c r="CC185" s="106">
        <f>BN185*BY185</f>
        <v>129.85</v>
      </c>
      <c r="CD185" s="107">
        <f>BO185*BY185</f>
        <v>0</v>
      </c>
      <c r="CE185" s="160" t="s">
        <v>185</v>
      </c>
      <c r="CF185" s="110">
        <v>2597</v>
      </c>
      <c r="CG185" s="226">
        <v>45198</v>
      </c>
      <c r="CH185" s="508">
        <v>2597</v>
      </c>
      <c r="CI185" s="415"/>
      <c r="CJ185" s="416"/>
      <c r="CK185" s="415"/>
      <c r="CL185" s="415"/>
      <c r="CM185" s="416"/>
      <c r="CN185" s="415"/>
      <c r="CO185" s="263"/>
      <c r="CP185" s="263"/>
      <c r="CQ185" s="263"/>
      <c r="CR185" s="263"/>
      <c r="CS185" s="263"/>
      <c r="CT185" s="263"/>
      <c r="CU185" s="155">
        <v>1</v>
      </c>
      <c r="CV185" s="181"/>
      <c r="CW185" s="181"/>
      <c r="CX185" s="181"/>
      <c r="CY185" s="155"/>
      <c r="CZ185" s="121"/>
      <c r="DA185" s="428" t="s">
        <v>1688</v>
      </c>
      <c r="DB185" s="115" t="str">
        <f>PROPER(N185)</f>
        <v>Simply Water</v>
      </c>
      <c r="DC185" s="2162" t="s">
        <v>1689</v>
      </c>
      <c r="DD185" s="116" t="str">
        <f>BP185</f>
        <v>Gianluca</v>
      </c>
      <c r="DE185" s="117">
        <f>IF(OR(D185&gt;0),IF(BJ185=0,BN185*BQ185,0))</f>
        <v>389.55</v>
      </c>
      <c r="DF185" s="117">
        <f>IF(OR(D185&gt;0),IF(BJ185=0,BN185*BY185,0))</f>
        <v>129.85</v>
      </c>
      <c r="DG185" s="118" t="str">
        <f>BX185</f>
        <v>Gianluca</v>
      </c>
      <c r="DH185" s="76"/>
      <c r="DI185" s="120" t="s">
        <v>126</v>
      </c>
      <c r="DJ185" s="120"/>
      <c r="DK185" s="74" t="s">
        <v>1418</v>
      </c>
      <c r="DL185" s="74" t="s">
        <v>1418</v>
      </c>
      <c r="DM185" s="122">
        <v>1</v>
      </c>
      <c r="DN185" s="6"/>
      <c r="DO185" s="6"/>
      <c r="DP185" s="6"/>
      <c r="DQ185" s="6"/>
      <c r="DR185" s="6"/>
      <c r="DS185" s="6"/>
      <c r="DT185" s="6"/>
      <c r="DU185" s="6"/>
      <c r="DV185" s="6"/>
      <c r="DW185" s="6"/>
      <c r="DX185" s="6"/>
      <c r="DY185" s="6"/>
      <c r="DZ185" s="6"/>
    </row>
    <row r="186" spans="1:130" ht="34.5" hidden="1" customHeight="1">
      <c r="A186" s="228"/>
      <c r="B186" s="75" t="s">
        <v>1139</v>
      </c>
      <c r="C186" s="155"/>
      <c r="D186" s="75">
        <v>1</v>
      </c>
      <c r="E186" s="75"/>
      <c r="F186" s="75"/>
      <c r="G186" s="181" t="s">
        <v>238</v>
      </c>
      <c r="H186" s="181" t="s">
        <v>1189</v>
      </c>
      <c r="I186" s="382" t="s">
        <v>1190</v>
      </c>
      <c r="J186" s="155" t="str">
        <f>CONCATENATE(G186," ",H186)</f>
        <v>Carlo Barbanti</v>
      </c>
      <c r="K186" s="156">
        <v>3509079404</v>
      </c>
      <c r="L186" s="131"/>
      <c r="M186" s="5" t="s">
        <v>868</v>
      </c>
      <c r="N186" s="160" t="s">
        <v>1191</v>
      </c>
      <c r="O186" s="250"/>
      <c r="P186" s="251"/>
      <c r="Q186" s="131"/>
      <c r="R186" s="252"/>
      <c r="S186" s="254"/>
      <c r="T186" s="346"/>
      <c r="U186" s="253"/>
      <c r="V186" s="253"/>
      <c r="W186" s="251"/>
      <c r="X186" s="131"/>
      <c r="Y186" s="251"/>
      <c r="Z186" s="251"/>
      <c r="AA186" s="251"/>
      <c r="AB186" s="255"/>
      <c r="AC186" s="256"/>
      <c r="AD186" s="121" t="s">
        <v>1192</v>
      </c>
      <c r="AE186" s="138">
        <f>L186</f>
        <v>0</v>
      </c>
      <c r="AF186" s="257"/>
      <c r="AG186" s="155"/>
      <c r="AH186" s="155"/>
      <c r="AI186" s="257"/>
      <c r="AJ186" s="155"/>
      <c r="AK186" s="155"/>
      <c r="AL186" s="155"/>
      <c r="AM186" s="257"/>
      <c r="AN186" s="258"/>
      <c r="AO186" s="258"/>
      <c r="AP186" s="258"/>
      <c r="AQ186" s="211"/>
      <c r="AR186" s="259"/>
      <c r="AS186" s="259"/>
      <c r="AT186" s="259" t="s">
        <v>115</v>
      </c>
      <c r="AU186" s="211"/>
      <c r="AV186" s="121"/>
      <c r="AW186" s="121"/>
      <c r="AX186" s="331"/>
      <c r="AY186" s="214"/>
      <c r="AZ186" s="121" t="s">
        <v>115</v>
      </c>
      <c r="BA186" s="121"/>
      <c r="BB186" s="331"/>
      <c r="BC186" s="215"/>
      <c r="BD186" s="121"/>
      <c r="BE186" s="121" t="s">
        <v>115</v>
      </c>
      <c r="BF186" s="331"/>
      <c r="BG186" s="216"/>
      <c r="BH186" s="238">
        <f>CF186+CI186+CL186+CO186+CR186</f>
        <v>0</v>
      </c>
      <c r="BI186" s="238">
        <f>CH186+CK186+CN186+CQ186+CT186</f>
        <v>0</v>
      </c>
      <c r="BJ186" s="238">
        <f>BH186-BI186</f>
        <v>0</v>
      </c>
      <c r="BK186" s="351"/>
      <c r="BL186" s="352"/>
      <c r="BM186" s="241"/>
      <c r="BN186" s="142"/>
      <c r="BO186" s="182"/>
      <c r="BP186" s="383" t="s">
        <v>407</v>
      </c>
      <c r="BQ186" s="145">
        <v>0.15</v>
      </c>
      <c r="BR186" s="262"/>
      <c r="BS186" s="242">
        <f>BH186*BQ186</f>
        <v>0</v>
      </c>
      <c r="BT186" s="203">
        <f>BM186*BQ186</f>
        <v>0</v>
      </c>
      <c r="BU186" s="167">
        <f>BN186*BQ186</f>
        <v>0</v>
      </c>
      <c r="BV186" s="168">
        <f>BO186*BQ186</f>
        <v>0</v>
      </c>
      <c r="BW186" s="243" t="s">
        <v>1035</v>
      </c>
      <c r="BX186" s="105" t="s">
        <v>407</v>
      </c>
      <c r="BY186" s="145">
        <v>0.05</v>
      </c>
      <c r="BZ186" s="262"/>
      <c r="CA186" s="242">
        <f>BH186*BY186</f>
        <v>0</v>
      </c>
      <c r="CB186" s="101">
        <f>BM186*BY186</f>
        <v>0</v>
      </c>
      <c r="CC186" s="106">
        <f>BN186*BY186</f>
        <v>0</v>
      </c>
      <c r="CD186" s="107">
        <f>BO186*BY186</f>
        <v>0</v>
      </c>
      <c r="CE186" s="243" t="s">
        <v>1035</v>
      </c>
      <c r="CF186" s="110"/>
      <c r="CG186" s="226"/>
      <c r="CH186" s="110"/>
      <c r="CI186" s="110"/>
      <c r="CJ186" s="348"/>
      <c r="CK186" s="110"/>
      <c r="CL186" s="110"/>
      <c r="CM186" s="263"/>
      <c r="CN186" s="110"/>
      <c r="CO186" s="110"/>
      <c r="CP186" s="226"/>
      <c r="CQ186" s="110"/>
      <c r="CR186" s="110"/>
      <c r="CS186" s="226"/>
      <c r="CT186" s="110"/>
      <c r="CU186" s="155"/>
      <c r="CV186" s="181"/>
      <c r="CW186" s="181"/>
      <c r="CX186" s="207"/>
      <c r="CY186" s="90" t="s">
        <v>215</v>
      </c>
      <c r="CZ186" s="155"/>
      <c r="DA186" s="384" t="s">
        <v>1193</v>
      </c>
      <c r="DB186" s="115" t="s">
        <v>1194</v>
      </c>
      <c r="DC186" s="191" t="s">
        <v>1195</v>
      </c>
      <c r="DD186" s="116" t="str">
        <f>BP186</f>
        <v>Stefano</v>
      </c>
      <c r="DE186" s="117">
        <f>IF(OR(D186&gt;0),IF(BJ186=0,BN186*BQ186,0))</f>
        <v>0</v>
      </c>
      <c r="DF186" s="117">
        <f>IF(OR(D186&gt;0),IF(BJ186=0,BN186*BY186,0))</f>
        <v>0</v>
      </c>
      <c r="DG186" s="118" t="str">
        <f>BX186</f>
        <v>Stefano</v>
      </c>
      <c r="DH186" s="76"/>
      <c r="DI186" s="120" t="s">
        <v>154</v>
      </c>
      <c r="DJ186" s="120"/>
      <c r="DK186" s="207"/>
      <c r="DL186" s="207"/>
      <c r="DM186" s="264">
        <v>1</v>
      </c>
      <c r="DN186" s="265"/>
      <c r="DO186" s="265"/>
      <c r="DP186" s="265"/>
      <c r="DQ186" s="265"/>
      <c r="DR186" s="265"/>
      <c r="DS186" s="265"/>
      <c r="DT186" s="265"/>
      <c r="DU186" s="265"/>
      <c r="DV186" s="265"/>
      <c r="DW186" s="265"/>
      <c r="DX186" s="265"/>
      <c r="DY186" s="265"/>
      <c r="DZ186" s="265"/>
    </row>
    <row r="187" spans="1:130" ht="34.5" hidden="1" customHeight="1">
      <c r="A187" s="228"/>
      <c r="B187" s="129" t="s">
        <v>1139</v>
      </c>
      <c r="C187" s="155"/>
      <c r="D187" s="75"/>
      <c r="E187" s="75"/>
      <c r="F187" s="75"/>
      <c r="G187" s="181" t="s">
        <v>290</v>
      </c>
      <c r="H187" s="181" t="s">
        <v>1196</v>
      </c>
      <c r="I187" s="207" t="s">
        <v>1197</v>
      </c>
      <c r="J187" s="155" t="str">
        <f>CONCATENATE(G187," ",H187)</f>
        <v>Claudio Cosa</v>
      </c>
      <c r="K187" s="156">
        <v>3664825003</v>
      </c>
      <c r="L187" s="131"/>
      <c r="M187" s="131" t="s">
        <v>1198</v>
      </c>
      <c r="N187" s="160" t="s">
        <v>1199</v>
      </c>
      <c r="O187" s="250"/>
      <c r="P187" s="251"/>
      <c r="Q187" s="131"/>
      <c r="R187" s="252"/>
      <c r="S187" s="254"/>
      <c r="T187" s="346"/>
      <c r="U187" s="253"/>
      <c r="V187" s="253"/>
      <c r="W187" s="251"/>
      <c r="X187" s="131"/>
      <c r="Y187" s="251"/>
      <c r="Z187" s="251"/>
      <c r="AA187" s="251"/>
      <c r="AB187" s="255"/>
      <c r="AC187" s="256"/>
      <c r="AD187" s="121"/>
      <c r="AE187" s="138">
        <f>L187</f>
        <v>0</v>
      </c>
      <c r="AF187" s="257"/>
      <c r="AG187" s="155"/>
      <c r="AH187" s="155"/>
      <c r="AI187" s="257"/>
      <c r="AJ187" s="155"/>
      <c r="AK187" s="155"/>
      <c r="AL187" s="155"/>
      <c r="AM187" s="257"/>
      <c r="AN187" s="258"/>
      <c r="AO187" s="258"/>
      <c r="AP187" s="258"/>
      <c r="AQ187" s="211"/>
      <c r="AR187" s="385"/>
      <c r="AS187" s="385"/>
      <c r="AT187" s="385"/>
      <c r="AU187" s="211"/>
      <c r="AV187" s="177" t="s">
        <v>151</v>
      </c>
      <c r="AW187" s="177" t="s">
        <v>151</v>
      </c>
      <c r="AX187" s="177" t="s">
        <v>151</v>
      </c>
      <c r="AY187" s="214"/>
      <c r="AZ187" s="121"/>
      <c r="BA187" s="121"/>
      <c r="BB187" s="121"/>
      <c r="BC187" s="215"/>
      <c r="BD187" s="121" t="s">
        <v>151</v>
      </c>
      <c r="BE187" s="121" t="s">
        <v>151</v>
      </c>
      <c r="BF187" s="121" t="s">
        <v>151</v>
      </c>
      <c r="BG187" s="216"/>
      <c r="BH187" s="238">
        <f>CF187+CI187+CL187+CO187+CR187</f>
        <v>0</v>
      </c>
      <c r="BI187" s="238">
        <f>CH187+CK187+CN187+CQ187+CT187</f>
        <v>0</v>
      </c>
      <c r="BJ187" s="238">
        <f>BH187-BI187</f>
        <v>0</v>
      </c>
      <c r="BK187" s="351"/>
      <c r="BL187" s="352">
        <v>0</v>
      </c>
      <c r="BM187" s="241"/>
      <c r="BN187" s="142"/>
      <c r="BO187" s="182"/>
      <c r="BP187" s="383" t="s">
        <v>262</v>
      </c>
      <c r="BQ187" s="145">
        <v>0.15</v>
      </c>
      <c r="BR187" s="262"/>
      <c r="BS187" s="242">
        <f>BL187*BQ187</f>
        <v>0</v>
      </c>
      <c r="BT187" s="203">
        <f>BM187*BQ187</f>
        <v>0</v>
      </c>
      <c r="BU187" s="167">
        <f>BN187*BQ187</f>
        <v>0</v>
      </c>
      <c r="BV187" s="168">
        <f>BO187*BQ187</f>
        <v>0</v>
      </c>
      <c r="BW187" s="243"/>
      <c r="BX187" s="105" t="s">
        <v>262</v>
      </c>
      <c r="BY187" s="145">
        <v>0.05</v>
      </c>
      <c r="BZ187" s="262"/>
      <c r="CA187" s="242">
        <f>BL187*BY187</f>
        <v>0</v>
      </c>
      <c r="CB187" s="101">
        <f>BM187*BY187</f>
        <v>0</v>
      </c>
      <c r="CC187" s="106">
        <f>BN187*BY187</f>
        <v>0</v>
      </c>
      <c r="CD187" s="107">
        <f>BO187*BY187</f>
        <v>0</v>
      </c>
      <c r="CE187" s="244"/>
      <c r="CF187" s="110">
        <v>0</v>
      </c>
      <c r="CG187" s="263" t="s">
        <v>153</v>
      </c>
      <c r="CH187" s="110"/>
      <c r="CI187" s="110"/>
      <c r="CJ187" s="348"/>
      <c r="CK187" s="110"/>
      <c r="CL187" s="110"/>
      <c r="CM187" s="263"/>
      <c r="CN187" s="110"/>
      <c r="CO187" s="110"/>
      <c r="CP187" s="226"/>
      <c r="CQ187" s="110"/>
      <c r="CR187" s="110"/>
      <c r="CS187" s="226"/>
      <c r="CT187" s="110"/>
      <c r="CU187" s="155">
        <v>1</v>
      </c>
      <c r="CV187" s="181" t="s">
        <v>1123</v>
      </c>
      <c r="CW187" s="181"/>
      <c r="CX187" s="207"/>
      <c r="CY187" s="113"/>
      <c r="CZ187" s="155"/>
      <c r="DA187" s="131" t="s">
        <v>1200</v>
      </c>
      <c r="DB187" s="115" t="str">
        <f>PROPER(N187)</f>
        <v>Ido Promotion</v>
      </c>
      <c r="DC187" s="191"/>
      <c r="DD187" s="116" t="str">
        <f>BP187</f>
        <v>Pacci</v>
      </c>
      <c r="DE187" s="117" t="b">
        <f>IF(OR(D187&gt;0),IF(BJ187=0,BN187*BQ187,0))</f>
        <v>0</v>
      </c>
      <c r="DF187" s="117" t="b">
        <f>IF(OR(D187&gt;0),IF(BJ187=0,BN187*BY187,0))</f>
        <v>0</v>
      </c>
      <c r="DG187" s="116" t="str">
        <f>BX187</f>
        <v>Pacci</v>
      </c>
      <c r="DH187" s="76"/>
      <c r="DI187" s="120" t="s">
        <v>154</v>
      </c>
      <c r="DJ187" s="120"/>
      <c r="DK187" s="207"/>
      <c r="DL187" s="207"/>
      <c r="DM187" s="264"/>
      <c r="DN187" s="265"/>
      <c r="DO187" s="265"/>
      <c r="DP187" s="265"/>
      <c r="DQ187" s="265"/>
      <c r="DR187" s="265"/>
      <c r="DS187" s="265"/>
      <c r="DT187" s="265"/>
      <c r="DU187" s="265"/>
      <c r="DV187" s="265"/>
      <c r="DW187" s="265"/>
      <c r="DX187" s="265"/>
      <c r="DY187" s="265"/>
      <c r="DZ187" s="265"/>
    </row>
    <row r="188" spans="1:130" ht="34.5" hidden="1" customHeight="1">
      <c r="A188" s="228"/>
      <c r="B188" s="75" t="s">
        <v>1139</v>
      </c>
      <c r="C188" s="155"/>
      <c r="D188" s="75"/>
      <c r="E188" s="75"/>
      <c r="F188" s="75"/>
      <c r="G188" s="181" t="s">
        <v>141</v>
      </c>
      <c r="H188" s="181" t="s">
        <v>1201</v>
      </c>
      <c r="I188" s="207" t="s">
        <v>1202</v>
      </c>
      <c r="J188" s="155" t="str">
        <f>CONCATENATE(G188," ",H188)</f>
        <v>Daniele Rocca</v>
      </c>
      <c r="K188" s="156">
        <v>3338311835</v>
      </c>
      <c r="L188" s="131"/>
      <c r="M188" s="131" t="s">
        <v>138</v>
      </c>
      <c r="N188" s="160" t="s">
        <v>1203</v>
      </c>
      <c r="O188" s="250"/>
      <c r="P188" s="251"/>
      <c r="Q188" s="131"/>
      <c r="R188" s="252"/>
      <c r="S188" s="254"/>
      <c r="T188" s="346"/>
      <c r="U188" s="253"/>
      <c r="V188" s="253"/>
      <c r="W188" s="251"/>
      <c r="X188" s="131"/>
      <c r="Y188" s="251"/>
      <c r="Z188" s="251"/>
      <c r="AA188" s="251"/>
      <c r="AB188" s="255"/>
      <c r="AC188" s="256"/>
      <c r="AD188" s="121" t="s">
        <v>1204</v>
      </c>
      <c r="AE188" s="138">
        <f>L188</f>
        <v>0</v>
      </c>
      <c r="AF188" s="257"/>
      <c r="AG188" s="155"/>
      <c r="AH188" s="155"/>
      <c r="AI188" s="257"/>
      <c r="AJ188" s="155"/>
      <c r="AK188" s="155"/>
      <c r="AL188" s="155"/>
      <c r="AM188" s="257"/>
      <c r="AN188" s="258"/>
      <c r="AO188" s="258"/>
      <c r="AP188" s="258"/>
      <c r="AQ188" s="211"/>
      <c r="AR188" s="259"/>
      <c r="AS188" s="259" t="s">
        <v>115</v>
      </c>
      <c r="AT188" s="259" t="s">
        <v>115</v>
      </c>
      <c r="AU188" s="211"/>
      <c r="AV188" s="121"/>
      <c r="AW188" s="121"/>
      <c r="AX188" s="121"/>
      <c r="AY188" s="214"/>
      <c r="AZ188" s="154" t="s">
        <v>115</v>
      </c>
      <c r="BA188" s="121"/>
      <c r="BB188" s="121"/>
      <c r="BC188" s="215"/>
      <c r="BD188" s="121"/>
      <c r="BE188" s="121"/>
      <c r="BF188" s="121"/>
      <c r="BG188" s="216"/>
      <c r="BH188" s="238">
        <f>CF188+CI188+CL188+CO188+CR188</f>
        <v>0</v>
      </c>
      <c r="BI188" s="238">
        <f>CH188+CK188+CN188+CQ188+CT188</f>
        <v>0</v>
      </c>
      <c r="BJ188" s="238">
        <f>BH188-BI188</f>
        <v>0</v>
      </c>
      <c r="BK188" s="351"/>
      <c r="BL188" s="352">
        <f>BH188</f>
        <v>0</v>
      </c>
      <c r="BM188" s="241"/>
      <c r="BN188" s="142"/>
      <c r="BO188" s="182"/>
      <c r="BP188" s="386" t="s">
        <v>119</v>
      </c>
      <c r="BQ188" s="145">
        <v>0.15</v>
      </c>
      <c r="BR188" s="262"/>
      <c r="BS188" s="242">
        <f>BL188*BQ188</f>
        <v>0</v>
      </c>
      <c r="BT188" s="373">
        <f>BM188*BQ188</f>
        <v>0</v>
      </c>
      <c r="BU188" s="167">
        <f>BN188*BQ188</f>
        <v>0</v>
      </c>
      <c r="BV188" s="168">
        <f>BO188*BQ188</f>
        <v>0</v>
      </c>
      <c r="BW188" s="387" t="s">
        <v>1205</v>
      </c>
      <c r="BX188" s="105" t="s">
        <v>119</v>
      </c>
      <c r="BY188" s="145">
        <v>0.05</v>
      </c>
      <c r="BZ188" s="262"/>
      <c r="CA188" s="242">
        <f>BL188*BY188</f>
        <v>0</v>
      </c>
      <c r="CB188" s="101">
        <f>BM188*BY188</f>
        <v>0</v>
      </c>
      <c r="CC188" s="106">
        <f>BN188*BY188</f>
        <v>0</v>
      </c>
      <c r="CD188" s="107">
        <f>BO188*BY188</f>
        <v>0</v>
      </c>
      <c r="CE188" s="319" t="s">
        <v>1205</v>
      </c>
      <c r="CF188" s="110"/>
      <c r="CG188" s="226"/>
      <c r="CH188" s="110"/>
      <c r="CI188" s="110"/>
      <c r="CJ188" s="348"/>
      <c r="CK188" s="110"/>
      <c r="CL188" s="110"/>
      <c r="CM188" s="263"/>
      <c r="CN188" s="110"/>
      <c r="CO188" s="110"/>
      <c r="CP188" s="226"/>
      <c r="CQ188" s="110"/>
      <c r="CR188" s="110"/>
      <c r="CS188" s="226"/>
      <c r="CT188" s="110"/>
      <c r="CU188" s="155">
        <v>1</v>
      </c>
      <c r="CV188" s="181" t="s">
        <v>1123</v>
      </c>
      <c r="CW188" s="181"/>
      <c r="CX188" s="207"/>
      <c r="CY188" s="388"/>
      <c r="CZ188" s="155"/>
      <c r="DA188" s="131" t="s">
        <v>1206</v>
      </c>
      <c r="DB188" s="115" t="str">
        <f>PROPER(N188)</f>
        <v>Nse Led Europa</v>
      </c>
      <c r="DC188" s="191" t="s">
        <v>264</v>
      </c>
      <c r="DD188" s="116" t="str">
        <f>BP188</f>
        <v>Raffaella</v>
      </c>
      <c r="DE188" s="117" t="b">
        <f>IF(OR(D188&gt;0),IF(BJ188=0,BN188*BQ188,0))</f>
        <v>0</v>
      </c>
      <c r="DF188" s="117" t="b">
        <f>IF(OR(D188&gt;0),IF(BJ188=0,BN188*BY188,0))</f>
        <v>0</v>
      </c>
      <c r="DG188" s="116" t="str">
        <f>BX188</f>
        <v>Raffaella</v>
      </c>
      <c r="DH188" s="76"/>
      <c r="DI188" s="120" t="s">
        <v>154</v>
      </c>
      <c r="DJ188" s="120"/>
      <c r="DK188" s="207"/>
      <c r="DL188" s="207"/>
      <c r="DM188" s="264"/>
      <c r="DN188" s="265"/>
      <c r="DO188" s="265"/>
      <c r="DP188" s="265"/>
      <c r="DQ188" s="265"/>
      <c r="DR188" s="265"/>
      <c r="DS188" s="265"/>
      <c r="DT188" s="265"/>
      <c r="DU188" s="265"/>
      <c r="DV188" s="265"/>
      <c r="DW188" s="265"/>
      <c r="DX188" s="265"/>
      <c r="DY188" s="265"/>
      <c r="DZ188" s="265"/>
    </row>
    <row r="189" spans="1:130" ht="34.5" hidden="1" customHeight="1">
      <c r="A189" s="228"/>
      <c r="B189" s="75" t="s">
        <v>1139</v>
      </c>
      <c r="C189" s="155"/>
      <c r="D189" s="75"/>
      <c r="E189" s="75"/>
      <c r="F189" s="75"/>
      <c r="G189" s="181" t="s">
        <v>392</v>
      </c>
      <c r="H189" s="181" t="s">
        <v>1207</v>
      </c>
      <c r="I189" s="207" t="s">
        <v>1208</v>
      </c>
      <c r="J189" s="155" t="str">
        <f>CONCATENATE(G189," ",H189)</f>
        <v>Elena Datrino</v>
      </c>
      <c r="K189" s="156">
        <v>3381131234</v>
      </c>
      <c r="L189" s="131"/>
      <c r="M189" s="131" t="s">
        <v>1177</v>
      </c>
      <c r="N189" s="160" t="s">
        <v>1209</v>
      </c>
      <c r="O189" s="250"/>
      <c r="P189" s="251"/>
      <c r="Q189" s="131"/>
      <c r="R189" s="252"/>
      <c r="S189" s="254"/>
      <c r="T189" s="346"/>
      <c r="U189" s="253"/>
      <c r="V189" s="253"/>
      <c r="W189" s="251"/>
      <c r="X189" s="131"/>
      <c r="Y189" s="251"/>
      <c r="Z189" s="251"/>
      <c r="AA189" s="251"/>
      <c r="AB189" s="255"/>
      <c r="AC189" s="256"/>
      <c r="AD189" s="121"/>
      <c r="AE189" s="138">
        <f>L189</f>
        <v>0</v>
      </c>
      <c r="AF189" s="257"/>
      <c r="AG189" s="155"/>
      <c r="AH189" s="155"/>
      <c r="AI189" s="257"/>
      <c r="AJ189" s="155"/>
      <c r="AK189" s="155"/>
      <c r="AL189" s="155"/>
      <c r="AM189" s="257"/>
      <c r="AN189" s="258"/>
      <c r="AO189" s="258"/>
      <c r="AP189" s="258"/>
      <c r="AQ189" s="211"/>
      <c r="AR189" s="121"/>
      <c r="AS189" s="121"/>
      <c r="AT189" s="121"/>
      <c r="AU189" s="211"/>
      <c r="AV189" s="154" t="s">
        <v>165</v>
      </c>
      <c r="AW189" s="154" t="s">
        <v>165</v>
      </c>
      <c r="AX189" s="154" t="s">
        <v>165</v>
      </c>
      <c r="AY189" s="214"/>
      <c r="AZ189" s="121"/>
      <c r="BA189" s="121"/>
      <c r="BB189" s="121"/>
      <c r="BC189" s="215"/>
      <c r="BD189" s="121"/>
      <c r="BE189" s="121"/>
      <c r="BF189" s="121"/>
      <c r="BG189" s="216"/>
      <c r="BH189" s="238">
        <f>CF189+CI189+CL189+CO189+CR189</f>
        <v>0</v>
      </c>
      <c r="BI189" s="238">
        <f>CH189+CK189+CN189+CQ189+CT189</f>
        <v>0</v>
      </c>
      <c r="BJ189" s="238">
        <f>BH189-BI189</f>
        <v>0</v>
      </c>
      <c r="BK189" s="351"/>
      <c r="BL189" s="352"/>
      <c r="BM189" s="241"/>
      <c r="BN189" s="142"/>
      <c r="BO189" s="182"/>
      <c r="BP189" s="105" t="s">
        <v>117</v>
      </c>
      <c r="BQ189" s="98">
        <v>0</v>
      </c>
      <c r="BR189" s="262"/>
      <c r="BS189" s="242">
        <f>BL189*BQ189</f>
        <v>0</v>
      </c>
      <c r="BT189" s="373">
        <f>BM189*BQ189</f>
        <v>0</v>
      </c>
      <c r="BU189" s="167">
        <f>BN189*BQ189</f>
        <v>0</v>
      </c>
      <c r="BV189" s="168">
        <f>BO189*BQ189</f>
        <v>0</v>
      </c>
      <c r="BW189" s="80" t="s">
        <v>118</v>
      </c>
      <c r="BX189" s="105" t="s">
        <v>152</v>
      </c>
      <c r="BY189" s="145">
        <v>0.05</v>
      </c>
      <c r="BZ189" s="262"/>
      <c r="CA189" s="242">
        <f>BL189*BY189</f>
        <v>0</v>
      </c>
      <c r="CB189" s="101">
        <f>BM189*BY189</f>
        <v>0</v>
      </c>
      <c r="CC189" s="106">
        <f>BN189*BY189</f>
        <v>0</v>
      </c>
      <c r="CD189" s="107">
        <f>BO189*BY189</f>
        <v>0</v>
      </c>
      <c r="CE189" s="244"/>
      <c r="CF189" s="108">
        <v>0</v>
      </c>
      <c r="CG189" s="226"/>
      <c r="CH189" s="110"/>
      <c r="CI189" s="110"/>
      <c r="CJ189" s="348"/>
      <c r="CK189" s="110"/>
      <c r="CL189" s="110"/>
      <c r="CM189" s="263"/>
      <c r="CN189" s="110"/>
      <c r="CO189" s="110"/>
      <c r="CP189" s="226"/>
      <c r="CQ189" s="110"/>
      <c r="CR189" s="110"/>
      <c r="CS189" s="226"/>
      <c r="CT189" s="110"/>
      <c r="CU189" s="155">
        <v>1</v>
      </c>
      <c r="CV189" s="181" t="s">
        <v>1123</v>
      </c>
      <c r="CW189" s="181"/>
      <c r="CX189" s="207"/>
      <c r="CY189" s="207"/>
      <c r="CZ189" s="155"/>
      <c r="DA189" s="131" t="s">
        <v>1210</v>
      </c>
      <c r="DB189" s="115" t="str">
        <f>PROPER(N189)</f>
        <v>Elena Datrino Photographer</v>
      </c>
      <c r="DC189" s="191"/>
      <c r="DD189" s="116" t="str">
        <f>BP189</f>
        <v>blackship</v>
      </c>
      <c r="DE189" s="117" t="b">
        <f>IF(OR(D189&gt;0),IF(BJ189=0,BN189*BQ189,0))</f>
        <v>0</v>
      </c>
      <c r="DF189" s="117" t="b">
        <f>IF(OR(D189&gt;0),IF(BJ189=0,BN189*BY189,0))</f>
        <v>0</v>
      </c>
      <c r="DG189" s="116" t="str">
        <f>BX189</f>
        <v>Client Angel</v>
      </c>
      <c r="DH189" s="76"/>
      <c r="DI189" s="120" t="s">
        <v>154</v>
      </c>
      <c r="DJ189" s="120"/>
      <c r="DK189" s="207"/>
      <c r="DL189" s="207"/>
      <c r="DM189" s="264"/>
      <c r="DN189" s="265"/>
      <c r="DO189" s="265"/>
      <c r="DP189" s="265"/>
      <c r="DQ189" s="265"/>
      <c r="DR189" s="265"/>
      <c r="DS189" s="265"/>
      <c r="DT189" s="265"/>
      <c r="DU189" s="265"/>
      <c r="DV189" s="265"/>
      <c r="DW189" s="265"/>
      <c r="DX189" s="265"/>
      <c r="DY189" s="265"/>
      <c r="DZ189" s="265"/>
    </row>
    <row r="190" spans="1:130" ht="34.5" hidden="1" customHeight="1">
      <c r="A190" s="228"/>
      <c r="B190" s="75" t="s">
        <v>902</v>
      </c>
      <c r="C190" s="155"/>
      <c r="D190" s="75">
        <v>1</v>
      </c>
      <c r="E190" s="75">
        <v>1</v>
      </c>
      <c r="F190" s="75"/>
      <c r="G190" s="197" t="s">
        <v>954</v>
      </c>
      <c r="H190" s="197" t="s">
        <v>955</v>
      </c>
      <c r="I190" s="207" t="s">
        <v>956</v>
      </c>
      <c r="J190" s="121" t="str">
        <f>CONCATENATE(G190," ",H190)</f>
        <v>Flavio Valeri</v>
      </c>
      <c r="K190" s="224">
        <v>3482713846</v>
      </c>
      <c r="L190" s="131"/>
      <c r="M190" s="384" t="s">
        <v>957</v>
      </c>
      <c r="N190" s="549" t="s">
        <v>958</v>
      </c>
      <c r="O190" s="556"/>
      <c r="P190" s="314"/>
      <c r="Q190" s="37"/>
      <c r="R190" s="131"/>
      <c r="S190" s="160"/>
      <c r="T190" s="404"/>
      <c r="U190" s="315"/>
      <c r="V190" s="315"/>
      <c r="W190" s="316"/>
      <c r="X190" s="234"/>
      <c r="Y190" s="316"/>
      <c r="Z190" s="316"/>
      <c r="AA190" s="316"/>
      <c r="AB190" s="37"/>
      <c r="AC190" s="37"/>
      <c r="AD190" s="121" t="s">
        <v>959</v>
      </c>
      <c r="AE190" s="138"/>
      <c r="AF190" s="257"/>
      <c r="AG190" s="121"/>
      <c r="AH190" s="121"/>
      <c r="AI190" s="257"/>
      <c r="AJ190" s="121"/>
      <c r="AK190" s="121"/>
      <c r="AL190" s="121"/>
      <c r="AM190" s="257"/>
      <c r="AN190" s="155"/>
      <c r="AO190" s="155"/>
      <c r="AP190" s="155"/>
      <c r="AQ190" s="211"/>
      <c r="AR190" s="259"/>
      <c r="AS190" s="259"/>
      <c r="AT190" s="259"/>
      <c r="AU190" s="211"/>
      <c r="AV190" s="121"/>
      <c r="AW190" s="121"/>
      <c r="AX190" s="1987"/>
      <c r="AY190" s="214"/>
      <c r="AZ190" s="121" t="s">
        <v>115</v>
      </c>
      <c r="BA190" s="121" t="s">
        <v>115</v>
      </c>
      <c r="BB190" s="135" t="s">
        <v>115</v>
      </c>
      <c r="BC190" s="215"/>
      <c r="BD190" s="121"/>
      <c r="BE190" s="121"/>
      <c r="BF190" s="121"/>
      <c r="BG190" s="216"/>
      <c r="BH190" s="238">
        <v>2997</v>
      </c>
      <c r="BI190" s="238">
        <f>CH190+CK190+CN190+CQ190+CT190</f>
        <v>2997</v>
      </c>
      <c r="BJ190" s="238">
        <f>BH190-BI190</f>
        <v>0</v>
      </c>
      <c r="BK190" s="351"/>
      <c r="BL190" s="352"/>
      <c r="BM190" s="241"/>
      <c r="BN190" s="142">
        <v>2997</v>
      </c>
      <c r="BO190" s="182"/>
      <c r="BP190" s="281" t="s">
        <v>414</v>
      </c>
      <c r="BQ190" s="98">
        <v>0.05</v>
      </c>
      <c r="BR190" s="262"/>
      <c r="BS190" s="242"/>
      <c r="BT190" s="373"/>
      <c r="BU190" s="167">
        <f>BN190*BQ190</f>
        <v>149.85</v>
      </c>
      <c r="BV190" s="168">
        <f>BO190*BQ190</f>
        <v>0</v>
      </c>
      <c r="BW190" s="160" t="s">
        <v>185</v>
      </c>
      <c r="BX190" s="105" t="s">
        <v>414</v>
      </c>
      <c r="BY190" s="98">
        <v>0.1</v>
      </c>
      <c r="BZ190" s="262"/>
      <c r="CA190" s="242"/>
      <c r="CB190" s="101"/>
      <c r="CC190" s="106">
        <f>BN190*BY190</f>
        <v>299.7</v>
      </c>
      <c r="CD190" s="107">
        <f>BO190*BY190</f>
        <v>0</v>
      </c>
      <c r="CE190" s="160" t="s">
        <v>185</v>
      </c>
      <c r="CF190" s="110">
        <v>2997</v>
      </c>
      <c r="CG190" s="365">
        <v>45219</v>
      </c>
      <c r="CH190" s="110">
        <v>2997</v>
      </c>
      <c r="CI190" s="110"/>
      <c r="CJ190" s="226"/>
      <c r="CK190" s="206"/>
      <c r="CL190" s="206"/>
      <c r="CM190" s="226"/>
      <c r="CN190" s="206"/>
      <c r="CO190" s="206"/>
      <c r="CP190" s="206"/>
      <c r="CQ190" s="206"/>
      <c r="CR190" s="206"/>
      <c r="CS190" s="206"/>
      <c r="CT190" s="206"/>
      <c r="CU190" s="155"/>
      <c r="CV190" s="181"/>
      <c r="CW190" s="181"/>
      <c r="CX190" s="207"/>
      <c r="CY190" s="293"/>
      <c r="CZ190" s="155"/>
      <c r="DA190" s="384" t="s">
        <v>960</v>
      </c>
      <c r="DB190" s="115" t="s">
        <v>958</v>
      </c>
      <c r="DC190" s="191" t="s">
        <v>264</v>
      </c>
      <c r="DD190" s="116" t="str">
        <f>BP190</f>
        <v>Barbara</v>
      </c>
      <c r="DE190" s="117">
        <f>IF(OR(D190&gt;0),IF(BJ190=0,BN190*BQ190,0))</f>
        <v>149.85</v>
      </c>
      <c r="DF190" s="117">
        <f>IF(OR(D190&gt;0),IF(BJ190=0,BN190*BY190,0))</f>
        <v>299.7</v>
      </c>
      <c r="DG190" s="116" t="str">
        <f>BX190</f>
        <v>Barbara</v>
      </c>
      <c r="DH190" s="76"/>
      <c r="DI190" s="120" t="s">
        <v>126</v>
      </c>
      <c r="DJ190" s="120"/>
      <c r="DK190" s="207"/>
      <c r="DL190" s="207"/>
      <c r="DM190" s="248">
        <v>1</v>
      </c>
    </row>
    <row r="191" spans="1:130" ht="34.5" hidden="1" customHeight="1">
      <c r="A191" s="228"/>
      <c r="B191" s="75" t="s">
        <v>1139</v>
      </c>
      <c r="C191" s="155"/>
      <c r="D191" s="75"/>
      <c r="E191" s="75"/>
      <c r="F191" s="75"/>
      <c r="G191" s="181" t="s">
        <v>954</v>
      </c>
      <c r="H191" s="181" t="s">
        <v>1217</v>
      </c>
      <c r="I191" s="294" t="s">
        <v>1218</v>
      </c>
      <c r="J191" s="155" t="str">
        <f>CONCATENATE(G191," ",H191)</f>
        <v>Flavio Puntin</v>
      </c>
      <c r="K191" s="156">
        <v>3483911720</v>
      </c>
      <c r="L191" s="131"/>
      <c r="M191" s="131" t="s">
        <v>1148</v>
      </c>
      <c r="N191" s="160" t="s">
        <v>1219</v>
      </c>
      <c r="O191" s="250"/>
      <c r="P191" s="251"/>
      <c r="Q191" s="131"/>
      <c r="R191" s="252"/>
      <c r="S191" s="254"/>
      <c r="T191" s="346"/>
      <c r="U191" s="253"/>
      <c r="V191" s="253"/>
      <c r="W191" s="251"/>
      <c r="X191" s="131"/>
      <c r="Y191" s="251"/>
      <c r="Z191" s="251"/>
      <c r="AA191" s="251"/>
      <c r="AB191" s="255"/>
      <c r="AC191" s="256"/>
      <c r="AD191" s="121"/>
      <c r="AE191" s="138">
        <f>L191</f>
        <v>0</v>
      </c>
      <c r="AF191" s="257"/>
      <c r="AG191" s="155"/>
      <c r="AH191" s="155"/>
      <c r="AI191" s="257"/>
      <c r="AJ191" s="155"/>
      <c r="AK191" s="155"/>
      <c r="AL191" s="155"/>
      <c r="AM191" s="257"/>
      <c r="AN191" s="258"/>
      <c r="AO191" s="258"/>
      <c r="AP191" s="258"/>
      <c r="AQ191" s="211"/>
      <c r="AR191" s="259"/>
      <c r="AS191" s="121"/>
      <c r="AT191" s="259"/>
      <c r="AU191" s="211"/>
      <c r="AV191" s="177" t="s">
        <v>151</v>
      </c>
      <c r="AW191" s="177" t="s">
        <v>151</v>
      </c>
      <c r="AX191" s="177" t="s">
        <v>151</v>
      </c>
      <c r="AY191" s="214"/>
      <c r="AZ191" s="121"/>
      <c r="BA191" s="121"/>
      <c r="BB191" s="121"/>
      <c r="BC191" s="215"/>
      <c r="BD191" s="121" t="s">
        <v>151</v>
      </c>
      <c r="BE191" s="121" t="s">
        <v>151</v>
      </c>
      <c r="BF191" s="121" t="s">
        <v>151</v>
      </c>
      <c r="BG191" s="216"/>
      <c r="BH191" s="238">
        <f>CF191+CI191+CL191+CO191+CR191</f>
        <v>0</v>
      </c>
      <c r="BI191" s="238">
        <f>CH191+CK191+CN191+CQ191+CT191</f>
        <v>0</v>
      </c>
      <c r="BJ191" s="238">
        <f>BH191-BI191</f>
        <v>0</v>
      </c>
      <c r="BK191" s="351"/>
      <c r="BL191" s="352">
        <v>0</v>
      </c>
      <c r="BM191" s="241"/>
      <c r="BN191" s="142"/>
      <c r="BO191" s="182"/>
      <c r="BP191" s="80" t="s">
        <v>184</v>
      </c>
      <c r="BQ191" s="98">
        <v>0.15</v>
      </c>
      <c r="BR191" s="262"/>
      <c r="BS191" s="242">
        <f>BL191*BQ191</f>
        <v>0</v>
      </c>
      <c r="BT191" s="373">
        <f>BM191*BQ191</f>
        <v>0</v>
      </c>
      <c r="BU191" s="167">
        <f>BN191*BQ191</f>
        <v>0</v>
      </c>
      <c r="BV191" s="168">
        <f>BO191*BQ191</f>
        <v>0</v>
      </c>
      <c r="BW191" s="243"/>
      <c r="BX191" s="105" t="s">
        <v>184</v>
      </c>
      <c r="BY191" s="145">
        <v>0.05</v>
      </c>
      <c r="BZ191" s="262"/>
      <c r="CA191" s="242">
        <f>BL191*BY191</f>
        <v>0</v>
      </c>
      <c r="CB191" s="101">
        <f>BM191*BY191</f>
        <v>0</v>
      </c>
      <c r="CC191" s="106">
        <f>BN191*BY191</f>
        <v>0</v>
      </c>
      <c r="CD191" s="107">
        <f>BO191*BY191</f>
        <v>0</v>
      </c>
      <c r="CE191" s="390"/>
      <c r="CF191" s="110">
        <v>0</v>
      </c>
      <c r="CG191" s="263" t="s">
        <v>153</v>
      </c>
      <c r="CH191" s="110"/>
      <c r="CI191" s="110"/>
      <c r="CJ191" s="348"/>
      <c r="CK191" s="110"/>
      <c r="CL191" s="110"/>
      <c r="CM191" s="263"/>
      <c r="CN191" s="110"/>
      <c r="CO191" s="110"/>
      <c r="CP191" s="226"/>
      <c r="CQ191" s="110"/>
      <c r="CR191" s="110"/>
      <c r="CS191" s="226"/>
      <c r="CT191" s="110"/>
      <c r="CU191" s="155">
        <v>1</v>
      </c>
      <c r="CV191" s="181" t="s">
        <v>1123</v>
      </c>
      <c r="CW191" s="181"/>
      <c r="CX191" s="207"/>
      <c r="CY191" s="113"/>
      <c r="CZ191" s="155"/>
      <c r="DA191" s="131" t="s">
        <v>1220</v>
      </c>
      <c r="DB191" s="115" t="str">
        <f>PROPER(N191)</f>
        <v>Inoxking</v>
      </c>
      <c r="DC191" s="191"/>
      <c r="DD191" s="116" t="str">
        <f>BP191</f>
        <v>Cristian A</v>
      </c>
      <c r="DE191" s="117" t="b">
        <f>IF(OR(D191&gt;0),IF(BJ191=0,BN191*BQ191,0))</f>
        <v>0</v>
      </c>
      <c r="DF191" s="117" t="b">
        <f>IF(OR(D191&gt;0),IF(BJ191=0,BN191*BY191,0))</f>
        <v>0</v>
      </c>
      <c r="DG191" s="116" t="str">
        <f>BX191</f>
        <v>Cristian A</v>
      </c>
      <c r="DH191" s="76"/>
      <c r="DI191" s="120" t="s">
        <v>154</v>
      </c>
      <c r="DJ191" s="120"/>
      <c r="DK191" s="207"/>
      <c r="DL191" s="207"/>
      <c r="DM191" s="264"/>
      <c r="DN191" s="265"/>
      <c r="DO191" s="265"/>
      <c r="DP191" s="265"/>
      <c r="DQ191" s="265"/>
      <c r="DR191" s="265"/>
      <c r="DS191" s="265"/>
      <c r="DT191" s="265"/>
      <c r="DU191" s="265"/>
      <c r="DV191" s="265"/>
      <c r="DW191" s="265"/>
      <c r="DX191" s="265"/>
      <c r="DY191" s="265"/>
      <c r="DZ191" s="265"/>
    </row>
    <row r="192" spans="1:130" ht="34.5" hidden="1" customHeight="1">
      <c r="A192" s="228"/>
      <c r="B192" s="75" t="s">
        <v>1139</v>
      </c>
      <c r="C192" s="155"/>
      <c r="D192" s="75"/>
      <c r="E192" s="75"/>
      <c r="F192" s="75"/>
      <c r="G192" s="181" t="s">
        <v>1221</v>
      </c>
      <c r="H192" s="181" t="s">
        <v>1222</v>
      </c>
      <c r="I192" s="207" t="s">
        <v>1223</v>
      </c>
      <c r="J192" s="155" t="str">
        <f>CONCATENATE(G192," ",H192)</f>
        <v>Gaetano Biondo</v>
      </c>
      <c r="K192" s="391" t="s">
        <v>1224</v>
      </c>
      <c r="L192" s="131"/>
      <c r="M192" s="131"/>
      <c r="N192" s="160" t="s">
        <v>1225</v>
      </c>
      <c r="O192" s="250"/>
      <c r="P192" s="251"/>
      <c r="Q192" s="131"/>
      <c r="R192" s="252"/>
      <c r="S192" s="254"/>
      <c r="T192" s="346"/>
      <c r="U192" s="253"/>
      <c r="V192" s="253"/>
      <c r="W192" s="251"/>
      <c r="X192" s="131"/>
      <c r="Y192" s="251"/>
      <c r="Z192" s="251"/>
      <c r="AA192" s="251"/>
      <c r="AB192" s="255"/>
      <c r="AC192" s="256"/>
      <c r="AD192" s="121" t="s">
        <v>1226</v>
      </c>
      <c r="AE192" s="138">
        <f>L192</f>
        <v>0</v>
      </c>
      <c r="AF192" s="257"/>
      <c r="AG192" s="155"/>
      <c r="AH192" s="155"/>
      <c r="AI192" s="257"/>
      <c r="AJ192" s="155"/>
      <c r="AK192" s="155"/>
      <c r="AL192" s="155"/>
      <c r="AM192" s="257"/>
      <c r="AN192" s="258"/>
      <c r="AO192" s="258"/>
      <c r="AP192" s="258"/>
      <c r="AQ192" s="211"/>
      <c r="AR192" s="259"/>
      <c r="AS192" s="259"/>
      <c r="AT192" s="259"/>
      <c r="AU192" s="211"/>
      <c r="AV192" s="121"/>
      <c r="AW192" s="121"/>
      <c r="AX192" s="121"/>
      <c r="AY192" s="214"/>
      <c r="AZ192" s="121"/>
      <c r="BA192" s="121"/>
      <c r="BB192" s="121"/>
      <c r="BC192" s="215"/>
      <c r="BD192" s="121" t="s">
        <v>115</v>
      </c>
      <c r="BE192" s="121" t="s">
        <v>115</v>
      </c>
      <c r="BF192" s="121" t="s">
        <v>115</v>
      </c>
      <c r="BG192" s="216"/>
      <c r="BH192" s="238">
        <f>CF192+CI192+CL192+CO192+CR192</f>
        <v>2997</v>
      </c>
      <c r="BI192" s="238">
        <f>CH192+CK192+CN192+CQ192+CT192</f>
        <v>2997</v>
      </c>
      <c r="BJ192" s="238">
        <f>BH192-BI192</f>
        <v>0</v>
      </c>
      <c r="BK192" s="351"/>
      <c r="BL192" s="352"/>
      <c r="BM192" s="241"/>
      <c r="BN192" s="142"/>
      <c r="BO192" s="182">
        <v>2997</v>
      </c>
      <c r="BP192" s="392" t="s">
        <v>407</v>
      </c>
      <c r="BQ192" s="145">
        <v>0.15</v>
      </c>
      <c r="BR192" s="262"/>
      <c r="BS192" s="242">
        <f>BL192*BQ192</f>
        <v>0</v>
      </c>
      <c r="BT192" s="373">
        <f>BM192*BQ192</f>
        <v>0</v>
      </c>
      <c r="BU192" s="167">
        <f>BN192*BQ192</f>
        <v>0</v>
      </c>
      <c r="BV192" s="168">
        <f>BO192*BQ192</f>
        <v>449.55</v>
      </c>
      <c r="BW192" s="243"/>
      <c r="BX192" s="105" t="s">
        <v>407</v>
      </c>
      <c r="BY192" s="145">
        <v>0.05</v>
      </c>
      <c r="BZ192" s="262"/>
      <c r="CA192" s="242">
        <f>BL192*BY192</f>
        <v>0</v>
      </c>
      <c r="CB192" s="101">
        <f>BM192*BY192</f>
        <v>0</v>
      </c>
      <c r="CC192" s="106">
        <f>BN192*BY192</f>
        <v>0</v>
      </c>
      <c r="CD192" s="107">
        <f>BO192*BY192</f>
        <v>149.85</v>
      </c>
      <c r="CE192" s="244"/>
      <c r="CF192" s="110">
        <v>2997</v>
      </c>
      <c r="CG192" s="226">
        <v>44840</v>
      </c>
      <c r="CH192" s="110">
        <v>2997</v>
      </c>
      <c r="CI192" s="110"/>
      <c r="CJ192" s="348"/>
      <c r="CK192" s="110"/>
      <c r="CL192" s="110"/>
      <c r="CM192" s="263"/>
      <c r="CN192" s="110"/>
      <c r="CO192" s="110"/>
      <c r="CP192" s="226"/>
      <c r="CQ192" s="110"/>
      <c r="CR192" s="110"/>
      <c r="CS192" s="226"/>
      <c r="CT192" s="110"/>
      <c r="CU192" s="155">
        <v>1</v>
      </c>
      <c r="CV192" s="181" t="s">
        <v>1123</v>
      </c>
      <c r="CW192" s="181"/>
      <c r="CX192" s="207"/>
      <c r="CY192" s="207"/>
      <c r="CZ192" s="155"/>
      <c r="DA192" s="131" t="s">
        <v>1227</v>
      </c>
      <c r="DB192" s="115" t="str">
        <f>PROPER(N192)</f>
        <v>Linkloyd</v>
      </c>
      <c r="DC192" s="191"/>
      <c r="DD192" s="116" t="str">
        <f>BP192</f>
        <v>Stefano</v>
      </c>
      <c r="DE192" s="117" t="b">
        <f>IF(OR(D192&gt;0),IF(BJ192=0,BN192*BQ192,0))</f>
        <v>0</v>
      </c>
      <c r="DF192" s="117" t="b">
        <f>IF(OR(D192&gt;0),IF(BJ192=0,BN192*BY192,0))</f>
        <v>0</v>
      </c>
      <c r="DG192" s="116" t="str">
        <f>BX192</f>
        <v>Stefano</v>
      </c>
      <c r="DH192" s="76"/>
      <c r="DI192" s="120" t="s">
        <v>154</v>
      </c>
      <c r="DJ192" s="120"/>
      <c r="DK192" s="207"/>
      <c r="DL192" s="207"/>
      <c r="DM192" s="264">
        <v>1</v>
      </c>
      <c r="DN192" s="265"/>
      <c r="DO192" s="265"/>
      <c r="DP192" s="265"/>
      <c r="DQ192" s="265"/>
      <c r="DR192" s="265"/>
      <c r="DS192" s="265"/>
      <c r="DT192" s="265"/>
      <c r="DU192" s="265"/>
      <c r="DV192" s="265"/>
      <c r="DW192" s="265"/>
      <c r="DX192" s="265"/>
      <c r="DY192" s="265"/>
      <c r="DZ192" s="265"/>
    </row>
    <row r="193" spans="1:130" ht="34.5" hidden="1" customHeight="1">
      <c r="A193" s="3"/>
      <c r="B193" s="75" t="s">
        <v>108</v>
      </c>
      <c r="C193" s="121"/>
      <c r="D193" s="75">
        <v>1</v>
      </c>
      <c r="E193" s="75"/>
      <c r="F193" s="148"/>
      <c r="G193" s="79" t="s">
        <v>488</v>
      </c>
      <c r="H193" s="79" t="s">
        <v>489</v>
      </c>
      <c r="I193" s="131" t="s">
        <v>490</v>
      </c>
      <c r="J193" s="121" t="str">
        <f>CONCATENATE(G193," ",H193)</f>
        <v>Francesca Tonon</v>
      </c>
      <c r="K193" s="156">
        <v>3495363531</v>
      </c>
      <c r="L193" s="157"/>
      <c r="M193" s="1900" t="s">
        <v>491</v>
      </c>
      <c r="N193" s="160" t="s">
        <v>492</v>
      </c>
      <c r="O193" s="407"/>
      <c r="P193" s="1941"/>
      <c r="Q193" s="86"/>
      <c r="R193" s="86"/>
      <c r="S193" s="86"/>
      <c r="T193" s="1953"/>
      <c r="U193" s="1941"/>
      <c r="V193" s="1941"/>
      <c r="W193" s="1941"/>
      <c r="X193" s="86"/>
      <c r="Y193" s="1960"/>
      <c r="Z193" s="1941"/>
      <c r="AA193" s="1941"/>
      <c r="AB193" s="86"/>
      <c r="AC193" s="86"/>
      <c r="AD193" s="86" t="s">
        <v>493</v>
      </c>
      <c r="AE193" s="88">
        <f>L193</f>
        <v>0</v>
      </c>
      <c r="AF193" s="257"/>
      <c r="AG193" s="121"/>
      <c r="AH193" s="121"/>
      <c r="AI193" s="257"/>
      <c r="AJ193" s="121"/>
      <c r="AK193" s="121"/>
      <c r="AL193" s="121"/>
      <c r="AM193" s="257"/>
      <c r="AN193" s="155"/>
      <c r="AO193" s="155"/>
      <c r="AP193" s="155"/>
      <c r="AQ193" s="211"/>
      <c r="AR193" s="259"/>
      <c r="AS193" s="259"/>
      <c r="AT193" s="259"/>
      <c r="AU193" s="211"/>
      <c r="AV193" s="75" t="s">
        <v>115</v>
      </c>
      <c r="AW193" s="121" t="s">
        <v>115</v>
      </c>
      <c r="AX193" s="121" t="s">
        <v>115</v>
      </c>
      <c r="AY193" s="214" t="s">
        <v>115</v>
      </c>
      <c r="AZ193" s="121" t="s">
        <v>116</v>
      </c>
      <c r="BA193" s="162" t="s">
        <v>154</v>
      </c>
      <c r="BB193" s="75" t="s">
        <v>116</v>
      </c>
      <c r="BC193" s="215"/>
      <c r="BD193" s="121"/>
      <c r="BE193" s="121"/>
      <c r="BF193" s="121"/>
      <c r="BG193" s="216"/>
      <c r="BH193" s="92"/>
      <c r="BI193" s="92"/>
      <c r="BJ193" s="92"/>
      <c r="BK193" s="2007"/>
      <c r="BL193" s="2015"/>
      <c r="BM193" s="241">
        <v>2997</v>
      </c>
      <c r="BN193" s="96"/>
      <c r="BO193" s="97"/>
      <c r="BP193" s="305" t="s">
        <v>166</v>
      </c>
      <c r="BQ193" s="98">
        <v>0.15</v>
      </c>
      <c r="BR193" s="201"/>
      <c r="BS193" s="202"/>
      <c r="BT193" s="203">
        <f>BM193*BQ193</f>
        <v>449.55</v>
      </c>
      <c r="BU193" s="167">
        <f>BN193*BQ193</f>
        <v>0</v>
      </c>
      <c r="BV193" s="168">
        <f>BO193*BQ193</f>
        <v>0</v>
      </c>
      <c r="BW193" s="80" t="s">
        <v>120</v>
      </c>
      <c r="BX193" s="105" t="s">
        <v>166</v>
      </c>
      <c r="BY193" s="98">
        <v>0.05</v>
      </c>
      <c r="BZ193" s="201"/>
      <c r="CA193" s="202"/>
      <c r="CB193" s="101">
        <f>BM193*BY193</f>
        <v>149.85</v>
      </c>
      <c r="CC193" s="106">
        <f>BN193*BY193</f>
        <v>0</v>
      </c>
      <c r="CD193" s="107">
        <f>BO193*BY193</f>
        <v>0</v>
      </c>
      <c r="CE193" s="90" t="s">
        <v>120</v>
      </c>
      <c r="CF193" s="110">
        <v>2997</v>
      </c>
      <c r="CG193" s="226">
        <v>45012</v>
      </c>
      <c r="CH193" s="110">
        <v>2997</v>
      </c>
      <c r="CI193" s="110"/>
      <c r="CJ193" s="226"/>
      <c r="CK193" s="206"/>
      <c r="CL193" s="206"/>
      <c r="CM193" s="226"/>
      <c r="CN193" s="206"/>
      <c r="CO193" s="206"/>
      <c r="CP193" s="206"/>
      <c r="CQ193" s="206"/>
      <c r="CR193" s="206"/>
      <c r="CS193" s="206"/>
      <c r="CT193" s="206"/>
      <c r="CU193" s="155">
        <v>1</v>
      </c>
      <c r="CV193" s="181" t="s">
        <v>121</v>
      </c>
      <c r="CW193" s="181"/>
      <c r="CX193" s="207"/>
      <c r="CY193" s="155" t="s">
        <v>122</v>
      </c>
      <c r="CZ193" s="155"/>
      <c r="DA193" s="551" t="s">
        <v>494</v>
      </c>
      <c r="DB193" s="115" t="str">
        <f>PROPER(N193)</f>
        <v>Prigen</v>
      </c>
      <c r="DC193" s="191" t="s">
        <v>495</v>
      </c>
      <c r="DD193" s="116" t="str">
        <f>BP193</f>
        <v>Matteo</v>
      </c>
      <c r="DE193" s="117">
        <f>IF(OR(D193&gt;0),IF(BJ193=0,BN193*BQ193,0))</f>
        <v>0</v>
      </c>
      <c r="DF193" s="117">
        <f>IF(OR(D193&gt;0),IF(BJ193=0,BN193*BY193,0))</f>
        <v>0</v>
      </c>
      <c r="DG193" s="118" t="str">
        <f>BX193</f>
        <v>Matteo</v>
      </c>
      <c r="DH193" s="76"/>
      <c r="DI193" s="120" t="s">
        <v>126</v>
      </c>
      <c r="DJ193" s="120"/>
      <c r="DK193" s="121"/>
      <c r="DL193" s="121"/>
      <c r="DM193" s="122">
        <v>1</v>
      </c>
      <c r="DN193" s="6"/>
      <c r="DO193" s="6"/>
      <c r="DP193" s="6"/>
      <c r="DQ193" s="6"/>
      <c r="DR193" s="6"/>
      <c r="DS193" s="6"/>
      <c r="DT193" s="6"/>
      <c r="DU193" s="6"/>
      <c r="DV193" s="6"/>
      <c r="DW193" s="6"/>
      <c r="DX193" s="6"/>
      <c r="DY193" s="6"/>
      <c r="DZ193" s="6"/>
    </row>
    <row r="194" spans="1:130" ht="34.5" hidden="1" customHeight="1">
      <c r="A194" s="228"/>
      <c r="B194" s="75" t="s">
        <v>1139</v>
      </c>
      <c r="C194" s="155"/>
      <c r="D194" s="75"/>
      <c r="E194" s="75"/>
      <c r="F194" s="75"/>
      <c r="G194" s="181" t="s">
        <v>1235</v>
      </c>
      <c r="H194" s="181" t="s">
        <v>1236</v>
      </c>
      <c r="I194" s="294" t="s">
        <v>1237</v>
      </c>
      <c r="J194" s="155" t="str">
        <f>CONCATENATE(G194," ",H194)</f>
        <v>Iader Tosi</v>
      </c>
      <c r="K194" s="156"/>
      <c r="L194" s="204" t="s">
        <v>1238</v>
      </c>
      <c r="M194" s="131" t="s">
        <v>1148</v>
      </c>
      <c r="N194" s="160" t="s">
        <v>1239</v>
      </c>
      <c r="O194" s="250"/>
      <c r="P194" s="251"/>
      <c r="Q194" s="131"/>
      <c r="R194" s="252"/>
      <c r="S194" s="254"/>
      <c r="T194" s="346"/>
      <c r="U194" s="253"/>
      <c r="V194" s="253"/>
      <c r="W194" s="251"/>
      <c r="X194" s="131"/>
      <c r="Y194" s="251"/>
      <c r="Z194" s="251"/>
      <c r="AA194" s="251"/>
      <c r="AB194" s="255"/>
      <c r="AC194" s="256"/>
      <c r="AD194" s="121"/>
      <c r="AE194" s="138" t="str">
        <f>L194</f>
        <v>Non si sono più fatti sentire e difficoltà a sentirli</v>
      </c>
      <c r="AF194" s="257"/>
      <c r="AG194" s="155"/>
      <c r="AH194" s="155"/>
      <c r="AI194" s="257"/>
      <c r="AJ194" s="155"/>
      <c r="AK194" s="155"/>
      <c r="AL194" s="155"/>
      <c r="AM194" s="257"/>
      <c r="AN194" s="258"/>
      <c r="AO194" s="258"/>
      <c r="AP194" s="258"/>
      <c r="AQ194" s="211"/>
      <c r="AR194" s="259"/>
      <c r="AS194" s="259"/>
      <c r="AT194" s="259"/>
      <c r="AU194" s="211"/>
      <c r="AV194" s="121"/>
      <c r="AW194" s="121"/>
      <c r="AX194" s="121"/>
      <c r="AY194" s="214"/>
      <c r="AZ194" s="121"/>
      <c r="BA194" s="121"/>
      <c r="BB194" s="121"/>
      <c r="BC194" s="215"/>
      <c r="BD194" s="121" t="s">
        <v>151</v>
      </c>
      <c r="BE194" s="121" t="s">
        <v>151</v>
      </c>
      <c r="BF194" s="121" t="s">
        <v>151</v>
      </c>
      <c r="BG194" s="216"/>
      <c r="BH194" s="238">
        <f>BZ194+CI194+CL194+CO194+CR194</f>
        <v>0</v>
      </c>
      <c r="BI194" s="238">
        <f>CH194+CK194+CN194+CQ194+CT194</f>
        <v>0</v>
      </c>
      <c r="BJ194" s="238">
        <f>BH194-BI194</f>
        <v>0</v>
      </c>
      <c r="BK194" s="351"/>
      <c r="BL194" s="352">
        <f>BH194</f>
        <v>0</v>
      </c>
      <c r="BM194" s="241"/>
      <c r="BN194" s="142"/>
      <c r="BO194" s="182"/>
      <c r="BP194" s="392" t="s">
        <v>262</v>
      </c>
      <c r="BQ194" s="145">
        <v>0.15</v>
      </c>
      <c r="BR194" s="262"/>
      <c r="BS194" s="242">
        <f>BL194*BQ194</f>
        <v>0</v>
      </c>
      <c r="BT194" s="373">
        <f>BM194*BQ194</f>
        <v>0</v>
      </c>
      <c r="BU194" s="167">
        <f>BN194*BQ194</f>
        <v>0</v>
      </c>
      <c r="BV194" s="168">
        <f>BO194*BQ194</f>
        <v>0</v>
      </c>
      <c r="BW194" s="243"/>
      <c r="BX194" s="105" t="s">
        <v>262</v>
      </c>
      <c r="BY194" s="145">
        <v>0.05</v>
      </c>
      <c r="BZ194" s="262"/>
      <c r="CA194" s="242">
        <f>BL194*BY194</f>
        <v>0</v>
      </c>
      <c r="CB194" s="101">
        <f>BM194*BY194</f>
        <v>0</v>
      </c>
      <c r="CC194" s="106">
        <f>BN194*BY194</f>
        <v>0</v>
      </c>
      <c r="CD194" s="107">
        <f>BO194*BY194</f>
        <v>0</v>
      </c>
      <c r="CE194" s="244"/>
      <c r="CF194" s="110">
        <v>0</v>
      </c>
      <c r="CG194" s="263" t="s">
        <v>153</v>
      </c>
      <c r="CH194" s="110"/>
      <c r="CI194" s="110"/>
      <c r="CJ194" s="348"/>
      <c r="CK194" s="110"/>
      <c r="CL194" s="110"/>
      <c r="CM194" s="263"/>
      <c r="CN194" s="110"/>
      <c r="CO194" s="110"/>
      <c r="CP194" s="226"/>
      <c r="CQ194" s="110"/>
      <c r="CR194" s="110"/>
      <c r="CS194" s="226"/>
      <c r="CT194" s="110"/>
      <c r="CU194" s="155">
        <v>1</v>
      </c>
      <c r="CV194" s="181" t="s">
        <v>1123</v>
      </c>
      <c r="CW194" s="181"/>
      <c r="CX194" s="207"/>
      <c r="CY194" s="207"/>
      <c r="CZ194" s="155"/>
      <c r="DA194" s="131" t="s">
        <v>1240</v>
      </c>
      <c r="DB194" s="115" t="str">
        <f>PROPER(N194)</f>
        <v>L'Antincendio Sammarinese</v>
      </c>
      <c r="DC194" s="191"/>
      <c r="DD194" s="116" t="str">
        <f>BP194</f>
        <v>Pacci</v>
      </c>
      <c r="DE194" s="117" t="b">
        <f>IF(OR(D194&gt;0),IF(BJ194=0,BN194*BQ194,0))</f>
        <v>0</v>
      </c>
      <c r="DF194" s="117" t="b">
        <f>IF(OR(D194&gt;0),IF(BJ194=0,BN194*BY194,0))</f>
        <v>0</v>
      </c>
      <c r="DG194" s="116" t="str">
        <f>BX194</f>
        <v>Pacci</v>
      </c>
      <c r="DH194" s="76"/>
      <c r="DI194" s="120" t="s">
        <v>154</v>
      </c>
      <c r="DJ194" s="120"/>
      <c r="DK194" s="207"/>
      <c r="DL194" s="207"/>
      <c r="DM194" s="264">
        <v>1</v>
      </c>
      <c r="DN194" s="265"/>
      <c r="DO194" s="265"/>
      <c r="DP194" s="265"/>
      <c r="DQ194" s="265"/>
      <c r="DR194" s="265"/>
      <c r="DS194" s="265"/>
      <c r="DT194" s="265"/>
      <c r="DU194" s="265"/>
      <c r="DV194" s="265"/>
      <c r="DW194" s="265"/>
      <c r="DX194" s="265"/>
      <c r="DY194" s="265"/>
      <c r="DZ194" s="265"/>
    </row>
    <row r="195" spans="1:130" ht="34.5" hidden="1" customHeight="1">
      <c r="A195" s="228"/>
      <c r="B195" s="129" t="s">
        <v>1139</v>
      </c>
      <c r="C195" s="155"/>
      <c r="D195" s="75"/>
      <c r="E195" s="75"/>
      <c r="F195" s="75"/>
      <c r="G195" s="181" t="s">
        <v>1241</v>
      </c>
      <c r="H195" s="181" t="s">
        <v>1242</v>
      </c>
      <c r="I195" s="207" t="s">
        <v>1243</v>
      </c>
      <c r="J195" s="155" t="str">
        <f>CONCATENATE(G195," ",H195)</f>
        <v>Ivan Bonacini</v>
      </c>
      <c r="K195" s="156" t="s">
        <v>1244</v>
      </c>
      <c r="L195" s="204" t="s">
        <v>1245</v>
      </c>
      <c r="M195" s="131" t="s">
        <v>1177</v>
      </c>
      <c r="N195" s="160" t="s">
        <v>1246</v>
      </c>
      <c r="O195" s="250"/>
      <c r="P195" s="251"/>
      <c r="Q195" s="131"/>
      <c r="R195" s="252"/>
      <c r="S195" s="254"/>
      <c r="T195" s="346"/>
      <c r="U195" s="253"/>
      <c r="V195" s="253"/>
      <c r="W195" s="251"/>
      <c r="X195" s="131"/>
      <c r="Y195" s="251"/>
      <c r="Z195" s="251"/>
      <c r="AA195" s="251"/>
      <c r="AB195" s="255"/>
      <c r="AC195" s="256"/>
      <c r="AD195" s="121"/>
      <c r="AE195" s="138" t="str">
        <f>L195</f>
        <v>Sorta una causa in corso. Ha un casino (causa) in azienda e ora non riesce a confermare. Valuta per futuro</v>
      </c>
      <c r="AF195" s="257"/>
      <c r="AG195" s="155"/>
      <c r="AH195" s="155"/>
      <c r="AI195" s="257"/>
      <c r="AJ195" s="155"/>
      <c r="AK195" s="155"/>
      <c r="AL195" s="155"/>
      <c r="AM195" s="257"/>
      <c r="AN195" s="258"/>
      <c r="AO195" s="258"/>
      <c r="AP195" s="258"/>
      <c r="AQ195" s="211"/>
      <c r="AR195" s="259"/>
      <c r="AS195" s="259"/>
      <c r="AT195" s="259"/>
      <c r="AU195" s="211"/>
      <c r="AV195" s="177" t="s">
        <v>151</v>
      </c>
      <c r="AW195" s="177" t="s">
        <v>151</v>
      </c>
      <c r="AX195" s="177" t="s">
        <v>151</v>
      </c>
      <c r="AY195" s="214"/>
      <c r="AZ195" s="121"/>
      <c r="BA195" s="121"/>
      <c r="BB195" s="121"/>
      <c r="BC195" s="215"/>
      <c r="BD195" s="121" t="s">
        <v>151</v>
      </c>
      <c r="BE195" s="121" t="s">
        <v>151</v>
      </c>
      <c r="BF195" s="121" t="s">
        <v>151</v>
      </c>
      <c r="BG195" s="216"/>
      <c r="BH195" s="238">
        <f>CF195+CI195+CL195+CO195+CR195</f>
        <v>0</v>
      </c>
      <c r="BI195" s="238">
        <f>CH195+CK195+CN195+CQ195+CT195</f>
        <v>0</v>
      </c>
      <c r="BJ195" s="238">
        <f>BH195-BI195</f>
        <v>0</v>
      </c>
      <c r="BK195" s="351"/>
      <c r="BL195" s="352">
        <v>0</v>
      </c>
      <c r="BM195" s="241"/>
      <c r="BN195" s="142"/>
      <c r="BO195" s="182"/>
      <c r="BP195" s="363" t="s">
        <v>117</v>
      </c>
      <c r="BQ195" s="98">
        <v>0</v>
      </c>
      <c r="BR195" s="262"/>
      <c r="BS195" s="242">
        <f>BL195*BQ195</f>
        <v>0</v>
      </c>
      <c r="BT195" s="373">
        <f>BM195*BQ195</f>
        <v>0</v>
      </c>
      <c r="BU195" s="167">
        <f>BN195*BQ195</f>
        <v>0</v>
      </c>
      <c r="BV195" s="168">
        <f>BO195*BQ195</f>
        <v>0</v>
      </c>
      <c r="BW195" s="80" t="s">
        <v>118</v>
      </c>
      <c r="BX195" s="105" t="s">
        <v>152</v>
      </c>
      <c r="BY195" s="145">
        <v>0.05</v>
      </c>
      <c r="BZ195" s="262"/>
      <c r="CA195" s="242">
        <f>BL195*BY195</f>
        <v>0</v>
      </c>
      <c r="CB195" s="101">
        <f>BM195*BY195</f>
        <v>0</v>
      </c>
      <c r="CC195" s="106">
        <f>BN195*BY195</f>
        <v>0</v>
      </c>
      <c r="CD195" s="107">
        <f>BO195*BY195</f>
        <v>0</v>
      </c>
      <c r="CE195" s="244"/>
      <c r="CF195" s="110">
        <v>0</v>
      </c>
      <c r="CG195" s="263" t="s">
        <v>153</v>
      </c>
      <c r="CH195" s="110"/>
      <c r="CI195" s="110"/>
      <c r="CJ195" s="348"/>
      <c r="CK195" s="110"/>
      <c r="CL195" s="110"/>
      <c r="CM195" s="263"/>
      <c r="CN195" s="110"/>
      <c r="CO195" s="110"/>
      <c r="CP195" s="226"/>
      <c r="CQ195" s="110"/>
      <c r="CR195" s="110"/>
      <c r="CS195" s="226"/>
      <c r="CT195" s="110"/>
      <c r="CU195" s="155">
        <v>1</v>
      </c>
      <c r="CV195" s="181" t="s">
        <v>1123</v>
      </c>
      <c r="CW195" s="181"/>
      <c r="CX195" s="207"/>
      <c r="CY195" s="207"/>
      <c r="CZ195" s="155"/>
      <c r="DA195" s="131" t="s">
        <v>1247</v>
      </c>
      <c r="DB195" s="115" t="str">
        <f>PROPER(N195)</f>
        <v>Ivan Bonacini</v>
      </c>
      <c r="DC195" s="191"/>
      <c r="DD195" s="116" t="str">
        <f>BP195</f>
        <v>blackship</v>
      </c>
      <c r="DE195" s="117" t="b">
        <f>IF(OR(D195&gt;0),IF(BJ195=0,BN195*BQ195,0))</f>
        <v>0</v>
      </c>
      <c r="DF195" s="117" t="b">
        <f>IF(OR(D195&gt;0),IF(BJ195=0,BN195*BY195,0))</f>
        <v>0</v>
      </c>
      <c r="DG195" s="116" t="str">
        <f>BX195</f>
        <v>Client Angel</v>
      </c>
      <c r="DH195" s="76"/>
      <c r="DI195" s="120" t="s">
        <v>154</v>
      </c>
      <c r="DJ195" s="120"/>
      <c r="DK195" s="207"/>
      <c r="DL195" s="207"/>
      <c r="DM195" s="264"/>
      <c r="DN195" s="265"/>
      <c r="DO195" s="265"/>
      <c r="DP195" s="265"/>
      <c r="DQ195" s="265"/>
      <c r="DR195" s="265"/>
      <c r="DS195" s="265"/>
      <c r="DT195" s="265"/>
      <c r="DU195" s="265"/>
      <c r="DV195" s="265"/>
      <c r="DW195" s="265"/>
      <c r="DX195" s="265"/>
      <c r="DY195" s="265"/>
      <c r="DZ195" s="265"/>
    </row>
    <row r="196" spans="1:130" ht="34.5" hidden="1" customHeight="1">
      <c r="A196" s="228"/>
      <c r="B196" s="75" t="s">
        <v>1139</v>
      </c>
      <c r="C196" s="155"/>
      <c r="D196" s="75"/>
      <c r="E196" s="75"/>
      <c r="F196" s="75"/>
      <c r="G196" s="181" t="s">
        <v>1248</v>
      </c>
      <c r="H196" s="181" t="s">
        <v>1249</v>
      </c>
      <c r="I196" s="207" t="s">
        <v>1250</v>
      </c>
      <c r="J196" s="155" t="str">
        <f>CONCATENATE(G196," ",H196)</f>
        <v>Manuela Dazza</v>
      </c>
      <c r="K196" s="156" t="s">
        <v>1251</v>
      </c>
      <c r="L196" s="204" t="s">
        <v>1252</v>
      </c>
      <c r="M196" s="131" t="s">
        <v>860</v>
      </c>
      <c r="N196" s="160" t="s">
        <v>1253</v>
      </c>
      <c r="O196" s="250"/>
      <c r="P196" s="251"/>
      <c r="Q196" s="131"/>
      <c r="R196" s="252"/>
      <c r="S196" s="254"/>
      <c r="T196" s="346"/>
      <c r="U196" s="253"/>
      <c r="V196" s="253"/>
      <c r="W196" s="251"/>
      <c r="X196" s="131"/>
      <c r="Y196" s="251"/>
      <c r="Z196" s="251"/>
      <c r="AA196" s="251"/>
      <c r="AB196" s="255"/>
      <c r="AC196" s="256"/>
      <c r="AD196" s="121"/>
      <c r="AE196" s="138" t="str">
        <f>L196</f>
        <v xml:space="preserve">SE NON SI FA PERCORO IN AZIENDA, LEI VUOLE PAGARSELO DA SOLA - Interessati percorso in azienda, tenete in sospeso gli 8 Master </v>
      </c>
      <c r="AF196" s="257"/>
      <c r="AG196" s="155"/>
      <c r="AH196" s="155"/>
      <c r="AI196" s="257"/>
      <c r="AJ196" s="155"/>
      <c r="AK196" s="155"/>
      <c r="AL196" s="155"/>
      <c r="AM196" s="257"/>
      <c r="AN196" s="258"/>
      <c r="AO196" s="258"/>
      <c r="AP196" s="258"/>
      <c r="AQ196" s="211"/>
      <c r="AR196" s="259"/>
      <c r="AS196" s="259"/>
      <c r="AT196" s="259"/>
      <c r="AU196" s="211"/>
      <c r="AV196" s="154" t="s">
        <v>165</v>
      </c>
      <c r="AW196" s="154" t="s">
        <v>165</v>
      </c>
      <c r="AX196" s="154" t="s">
        <v>165</v>
      </c>
      <c r="AY196" s="214"/>
      <c r="AZ196" s="121"/>
      <c r="BA196" s="121"/>
      <c r="BB196" s="121"/>
      <c r="BC196" s="215"/>
      <c r="BD196" s="121"/>
      <c r="BE196" s="121"/>
      <c r="BF196" s="121"/>
      <c r="BG196" s="216"/>
      <c r="BH196" s="238">
        <f>CF196+CI196+CL196+CO196+CR196</f>
        <v>0</v>
      </c>
      <c r="BI196" s="238">
        <f>CH196+CK196+CN196+CQ196+CT196</f>
        <v>0</v>
      </c>
      <c r="BJ196" s="238">
        <f>BH196-BI196</f>
        <v>0</v>
      </c>
      <c r="BK196" s="351"/>
      <c r="BL196" s="352">
        <f>BH196</f>
        <v>0</v>
      </c>
      <c r="BM196" s="241"/>
      <c r="BN196" s="142"/>
      <c r="BO196" s="182"/>
      <c r="BP196" s="392" t="s">
        <v>407</v>
      </c>
      <c r="BQ196" s="145">
        <v>0.15</v>
      </c>
      <c r="BR196" s="262"/>
      <c r="BS196" s="242">
        <f>BL196*BQ196</f>
        <v>0</v>
      </c>
      <c r="BT196" s="373">
        <f>BM196*BQ196</f>
        <v>0</v>
      </c>
      <c r="BU196" s="167">
        <f>BN196*BQ196</f>
        <v>0</v>
      </c>
      <c r="BV196" s="168">
        <f>BO196*BQ196</f>
        <v>0</v>
      </c>
      <c r="BW196" s="243"/>
      <c r="BX196" s="105" t="s">
        <v>407</v>
      </c>
      <c r="BY196" s="145">
        <v>0.05</v>
      </c>
      <c r="BZ196" s="262"/>
      <c r="CA196" s="242">
        <f>BL196*BY196</f>
        <v>0</v>
      </c>
      <c r="CB196" s="101">
        <f>BM196*BY196</f>
        <v>0</v>
      </c>
      <c r="CC196" s="106">
        <f>BN196*BY196</f>
        <v>0</v>
      </c>
      <c r="CD196" s="107">
        <f>BO196*BY196</f>
        <v>0</v>
      </c>
      <c r="CE196" s="244"/>
      <c r="CF196" s="110"/>
      <c r="CG196" s="226"/>
      <c r="CH196" s="110"/>
      <c r="CI196" s="110"/>
      <c r="CJ196" s="348"/>
      <c r="CK196" s="110"/>
      <c r="CL196" s="110"/>
      <c r="CM196" s="263"/>
      <c r="CN196" s="110"/>
      <c r="CO196" s="110"/>
      <c r="CP196" s="226"/>
      <c r="CQ196" s="110"/>
      <c r="CR196" s="110"/>
      <c r="CS196" s="226"/>
      <c r="CT196" s="110"/>
      <c r="CU196" s="155"/>
      <c r="CV196" s="181"/>
      <c r="CW196" s="181"/>
      <c r="CX196" s="207"/>
      <c r="CY196" s="207"/>
      <c r="CZ196" s="155"/>
      <c r="DA196" s="131"/>
      <c r="DB196" s="115" t="str">
        <f>PROPER(N196)</f>
        <v>Laemmegroup</v>
      </c>
      <c r="DC196" s="191"/>
      <c r="DD196" s="116" t="str">
        <f>BP196</f>
        <v>Stefano</v>
      </c>
      <c r="DE196" s="117" t="b">
        <f>IF(OR(D196&gt;0),IF(BJ196=0,BN196*BQ196,0))</f>
        <v>0</v>
      </c>
      <c r="DF196" s="117" t="b">
        <f>IF(OR(D196&gt;0),IF(BJ196=0,BN196*BY196,0))</f>
        <v>0</v>
      </c>
      <c r="DG196" s="116" t="str">
        <f>BX196</f>
        <v>Stefano</v>
      </c>
      <c r="DH196" s="76"/>
      <c r="DI196" s="120" t="s">
        <v>154</v>
      </c>
      <c r="DJ196" s="120"/>
      <c r="DK196" s="207"/>
      <c r="DL196" s="207"/>
      <c r="DM196" s="264"/>
      <c r="DN196" s="265"/>
      <c r="DO196" s="265"/>
      <c r="DP196" s="265"/>
      <c r="DQ196" s="265"/>
      <c r="DR196" s="265"/>
      <c r="DS196" s="265"/>
      <c r="DT196" s="265"/>
      <c r="DU196" s="265"/>
      <c r="DV196" s="265"/>
      <c r="DW196" s="265"/>
      <c r="DX196" s="265"/>
      <c r="DY196" s="265"/>
      <c r="DZ196" s="265"/>
    </row>
    <row r="197" spans="1:130" ht="34.5" hidden="1" customHeight="1">
      <c r="A197" s="228"/>
      <c r="B197" s="75" t="s">
        <v>1139</v>
      </c>
      <c r="C197" s="155"/>
      <c r="D197" s="75"/>
      <c r="E197" s="75"/>
      <c r="F197" s="75"/>
      <c r="G197" s="394" t="s">
        <v>1254</v>
      </c>
      <c r="H197" s="394" t="s">
        <v>1255</v>
      </c>
      <c r="I197" s="207" t="s">
        <v>1256</v>
      </c>
      <c r="J197" s="155" t="str">
        <f>CONCATENATE(G197," ",H197)</f>
        <v>Manuele Carra</v>
      </c>
      <c r="K197" s="156">
        <v>3477750905</v>
      </c>
      <c r="L197" s="131" t="s">
        <v>1257</v>
      </c>
      <c r="M197" s="131" t="s">
        <v>1258</v>
      </c>
      <c r="N197" s="160" t="s">
        <v>1259</v>
      </c>
      <c r="O197" s="250"/>
      <c r="P197" s="251"/>
      <c r="Q197" s="131"/>
      <c r="R197" s="252"/>
      <c r="S197" s="254"/>
      <c r="T197" s="346"/>
      <c r="U197" s="253"/>
      <c r="V197" s="253"/>
      <c r="W197" s="251"/>
      <c r="X197" s="131"/>
      <c r="Y197" s="251"/>
      <c r="Z197" s="251"/>
      <c r="AA197" s="251"/>
      <c r="AB197" s="255"/>
      <c r="AC197" s="256"/>
      <c r="AD197" s="121"/>
      <c r="AE197" s="138" t="str">
        <f>L197</f>
        <v>Conferma entro il 30/9</v>
      </c>
      <c r="AF197" s="257"/>
      <c r="AG197" s="155"/>
      <c r="AH197" s="155"/>
      <c r="AI197" s="257"/>
      <c r="AJ197" s="155"/>
      <c r="AK197" s="155"/>
      <c r="AL197" s="155"/>
      <c r="AM197" s="257"/>
      <c r="AN197" s="258"/>
      <c r="AO197" s="258"/>
      <c r="AP197" s="258"/>
      <c r="AQ197" s="211"/>
      <c r="AR197" s="259"/>
      <c r="AS197" s="259"/>
      <c r="AT197" s="259"/>
      <c r="AU197" s="211"/>
      <c r="AV197" s="154" t="s">
        <v>165</v>
      </c>
      <c r="AW197" s="154" t="s">
        <v>165</v>
      </c>
      <c r="AX197" s="154" t="s">
        <v>165</v>
      </c>
      <c r="AY197" s="214"/>
      <c r="AZ197" s="121"/>
      <c r="BA197" s="121"/>
      <c r="BB197" s="121"/>
      <c r="BC197" s="215"/>
      <c r="BD197" s="121"/>
      <c r="BE197" s="121"/>
      <c r="BF197" s="121"/>
      <c r="BG197" s="216"/>
      <c r="BH197" s="238">
        <f>CF197+CI197+CL197+CO197+CR197</f>
        <v>0</v>
      </c>
      <c r="BI197" s="238">
        <f>CH197+CK197+CN197+CQ197+CT197</f>
        <v>0</v>
      </c>
      <c r="BJ197" s="238">
        <f>BH197-BI197</f>
        <v>0</v>
      </c>
      <c r="BK197" s="351"/>
      <c r="BL197" s="352">
        <v>0</v>
      </c>
      <c r="BM197" s="241"/>
      <c r="BN197" s="142"/>
      <c r="BO197" s="182"/>
      <c r="BP197" s="380" t="s">
        <v>616</v>
      </c>
      <c r="BQ197" s="145">
        <v>0.15</v>
      </c>
      <c r="BR197" s="262"/>
      <c r="BS197" s="242">
        <f>BL197*BQ197</f>
        <v>0</v>
      </c>
      <c r="BT197" s="373">
        <f>BM197*BQ197</f>
        <v>0</v>
      </c>
      <c r="BU197" s="167">
        <f>BN197*BQ197</f>
        <v>0</v>
      </c>
      <c r="BV197" s="168">
        <f>BO197*BQ197</f>
        <v>0</v>
      </c>
      <c r="BW197" s="243"/>
      <c r="BX197" s="105" t="s">
        <v>166</v>
      </c>
      <c r="BY197" s="145">
        <v>0.05</v>
      </c>
      <c r="BZ197" s="262"/>
      <c r="CA197" s="242">
        <f>BL197*BY197</f>
        <v>0</v>
      </c>
      <c r="CB197" s="101">
        <f>BM197*BY197</f>
        <v>0</v>
      </c>
      <c r="CC197" s="106">
        <f>BN197*BY197</f>
        <v>0</v>
      </c>
      <c r="CD197" s="107">
        <f>BO197*BY197</f>
        <v>0</v>
      </c>
      <c r="CE197" s="244"/>
      <c r="CF197" s="108">
        <v>0</v>
      </c>
      <c r="CG197" s="365"/>
      <c r="CH197" s="110"/>
      <c r="CI197" s="110"/>
      <c r="CJ197" s="348"/>
      <c r="CK197" s="110"/>
      <c r="CL197" s="110"/>
      <c r="CM197" s="263"/>
      <c r="CN197" s="110"/>
      <c r="CO197" s="110"/>
      <c r="CP197" s="226"/>
      <c r="CQ197" s="110"/>
      <c r="CR197" s="110"/>
      <c r="CS197" s="226"/>
      <c r="CT197" s="110"/>
      <c r="CU197" s="155"/>
      <c r="CV197" s="181"/>
      <c r="CW197" s="181"/>
      <c r="CX197" s="207"/>
      <c r="CY197" s="207"/>
      <c r="CZ197" s="155"/>
      <c r="DA197" s="131" t="s">
        <v>1260</v>
      </c>
      <c r="DB197" s="115" t="str">
        <f>PROPER(N197)</f>
        <v>Isolutions S.R.L.</v>
      </c>
      <c r="DC197" s="191"/>
      <c r="DD197" s="116" t="str">
        <f>BP197</f>
        <v>Gian Luca Boarini</v>
      </c>
      <c r="DE197" s="117" t="b">
        <f>IF(OR(D197&gt;0),IF(BJ197=0,BN197*BQ197,0))</f>
        <v>0</v>
      </c>
      <c r="DF197" s="117" t="b">
        <f>IF(OR(D197&gt;0),IF(BJ197=0,BN197*BY197,0))</f>
        <v>0</v>
      </c>
      <c r="DG197" s="116" t="str">
        <f>BX197</f>
        <v>Matteo</v>
      </c>
      <c r="DH197" s="76"/>
      <c r="DI197" s="120" t="s">
        <v>154</v>
      </c>
      <c r="DJ197" s="120"/>
      <c r="DK197" s="207"/>
      <c r="DL197" s="207"/>
      <c r="DM197" s="264"/>
      <c r="DN197" s="265"/>
      <c r="DO197" s="265"/>
      <c r="DP197" s="265"/>
      <c r="DQ197" s="265"/>
      <c r="DR197" s="265"/>
      <c r="DS197" s="265"/>
      <c r="DT197" s="265"/>
      <c r="DU197" s="265"/>
      <c r="DV197" s="265"/>
      <c r="DW197" s="265"/>
      <c r="DX197" s="265"/>
      <c r="DY197" s="265"/>
      <c r="DZ197" s="265"/>
    </row>
    <row r="198" spans="1:130" ht="34.5" hidden="1" customHeight="1">
      <c r="A198" s="3"/>
      <c r="B198" s="75" t="s">
        <v>108</v>
      </c>
      <c r="C198" s="121"/>
      <c r="D198" s="75">
        <v>1</v>
      </c>
      <c r="E198" s="75"/>
      <c r="F198" s="75"/>
      <c r="G198" s="79" t="s">
        <v>488</v>
      </c>
      <c r="H198" s="79" t="s">
        <v>496</v>
      </c>
      <c r="I198" s="131" t="s">
        <v>497</v>
      </c>
      <c r="J198" s="121" t="str">
        <f>CONCATENATE(G198," ",H198)</f>
        <v>Francesca Zobbio</v>
      </c>
      <c r="K198" s="156">
        <v>3892436139</v>
      </c>
      <c r="L198" s="157"/>
      <c r="M198" s="176" t="s">
        <v>498</v>
      </c>
      <c r="N198" s="160" t="s">
        <v>499</v>
      </c>
      <c r="O198" s="407"/>
      <c r="P198" s="1941"/>
      <c r="Q198" s="86"/>
      <c r="R198" s="86"/>
      <c r="S198" s="86"/>
      <c r="T198" s="1953"/>
      <c r="U198" s="1941"/>
      <c r="V198" s="1941"/>
      <c r="W198" s="1941"/>
      <c r="X198" s="86"/>
      <c r="Y198" s="1960"/>
      <c r="Z198" s="1941"/>
      <c r="AA198" s="1941"/>
      <c r="AB198" s="86"/>
      <c r="AC198" s="86"/>
      <c r="AD198" s="86" t="s">
        <v>500</v>
      </c>
      <c r="AE198" s="88">
        <f>L198</f>
        <v>0</v>
      </c>
      <c r="AF198" s="257"/>
      <c r="AG198" s="121"/>
      <c r="AH198" s="121"/>
      <c r="AI198" s="257"/>
      <c r="AJ198" s="121"/>
      <c r="AK198" s="121"/>
      <c r="AL198" s="121"/>
      <c r="AM198" s="257"/>
      <c r="AN198" s="155"/>
      <c r="AO198" s="155"/>
      <c r="AP198" s="155"/>
      <c r="AQ198" s="211"/>
      <c r="AR198" s="259"/>
      <c r="AS198" s="259"/>
      <c r="AT198" s="1984"/>
      <c r="AU198" s="211"/>
      <c r="AV198" s="121"/>
      <c r="AW198" s="121"/>
      <c r="AX198" s="121"/>
      <c r="AY198" s="214"/>
      <c r="AZ198" s="121" t="s">
        <v>115</v>
      </c>
      <c r="BA198" s="154" t="s">
        <v>194</v>
      </c>
      <c r="BB198" s="121" t="s">
        <v>115</v>
      </c>
      <c r="BC198" s="215"/>
      <c r="BD198" s="121"/>
      <c r="BE198" s="121" t="s">
        <v>115</v>
      </c>
      <c r="BF198" s="121"/>
      <c r="BG198" s="216"/>
      <c r="BH198" s="238">
        <f>CF198+CI198+CL198+CO198+CR198</f>
        <v>2997</v>
      </c>
      <c r="BI198" s="238">
        <f>CH198+CK198+CN198+CQ198+CT198</f>
        <v>2997</v>
      </c>
      <c r="BJ198" s="238">
        <f>BH198-BI198</f>
        <v>0</v>
      </c>
      <c r="BK198" s="2007"/>
      <c r="BL198" s="2015"/>
      <c r="BM198" s="241"/>
      <c r="BN198" s="142">
        <v>2997</v>
      </c>
      <c r="BO198" s="182"/>
      <c r="BP198" s="161" t="s">
        <v>184</v>
      </c>
      <c r="BQ198" s="98">
        <v>0.15</v>
      </c>
      <c r="BR198" s="2058"/>
      <c r="BS198" s="202"/>
      <c r="BT198" s="373">
        <f>BM198*BQ198</f>
        <v>0</v>
      </c>
      <c r="BU198" s="167">
        <f>BN198*BQ198</f>
        <v>449.55</v>
      </c>
      <c r="BV198" s="168">
        <f>BO198*BQ198</f>
        <v>0</v>
      </c>
      <c r="BW198" s="160" t="s">
        <v>185</v>
      </c>
      <c r="BX198" s="105" t="s">
        <v>184</v>
      </c>
      <c r="BY198" s="98">
        <v>0.05</v>
      </c>
      <c r="BZ198" s="201"/>
      <c r="CA198" s="202"/>
      <c r="CB198" s="101">
        <f>BM198*BY198</f>
        <v>0</v>
      </c>
      <c r="CC198" s="106">
        <f>BN198*BY198</f>
        <v>149.85</v>
      </c>
      <c r="CD198" s="107">
        <f>BO198*BY198</f>
        <v>0</v>
      </c>
      <c r="CE198" s="160" t="s">
        <v>185</v>
      </c>
      <c r="CF198" s="110">
        <v>2997</v>
      </c>
      <c r="CG198" s="226">
        <v>45008</v>
      </c>
      <c r="CH198" s="110">
        <v>2997</v>
      </c>
      <c r="CI198" s="110"/>
      <c r="CJ198" s="226"/>
      <c r="CK198" s="206"/>
      <c r="CL198" s="206"/>
      <c r="CM198" s="226"/>
      <c r="CN198" s="206"/>
      <c r="CO198" s="206"/>
      <c r="CP198" s="206"/>
      <c r="CQ198" s="206"/>
      <c r="CR198" s="206"/>
      <c r="CS198" s="206"/>
      <c r="CT198" s="206"/>
      <c r="CU198" s="155">
        <v>1</v>
      </c>
      <c r="CV198" s="181" t="s">
        <v>121</v>
      </c>
      <c r="CW198" s="181"/>
      <c r="CX198" s="207"/>
      <c r="CY198" s="155" t="s">
        <v>122</v>
      </c>
      <c r="CZ198" s="155"/>
      <c r="DA198" s="131" t="s">
        <v>501</v>
      </c>
      <c r="DB198" s="115" t="str">
        <f>PROPER(N198)</f>
        <v>Zd Zobbio Macchine Utensili</v>
      </c>
      <c r="DC198" s="191" t="s">
        <v>502</v>
      </c>
      <c r="DD198" s="116" t="str">
        <f>BP198</f>
        <v>Cristian A</v>
      </c>
      <c r="DE198" s="117">
        <f>IF(OR(D198&gt;0),IF(BJ198=0,BN198*BQ198,0))</f>
        <v>449.55</v>
      </c>
      <c r="DF198" s="117">
        <f>IF(OR(D198&gt;0),IF(BJ198=0,BN198*BY198,0))</f>
        <v>149.85</v>
      </c>
      <c r="DG198" s="116" t="str">
        <f>BX198</f>
        <v>Cristian A</v>
      </c>
      <c r="DH198" s="76"/>
      <c r="DI198" s="120" t="s">
        <v>126</v>
      </c>
      <c r="DJ198" s="120"/>
      <c r="DK198" s="121"/>
      <c r="DL198" s="121"/>
      <c r="DM198" s="122"/>
      <c r="DN198" s="6"/>
      <c r="DO198" s="6"/>
      <c r="DP198" s="6"/>
      <c r="DQ198" s="6"/>
      <c r="DR198" s="6"/>
      <c r="DS198" s="6"/>
      <c r="DT198" s="6"/>
      <c r="DU198" s="6"/>
      <c r="DV198" s="6"/>
      <c r="DW198" s="6"/>
      <c r="DX198" s="6"/>
      <c r="DY198" s="6"/>
      <c r="DZ198" s="6"/>
    </row>
    <row r="199" spans="1:130" ht="34.5" hidden="1" customHeight="1">
      <c r="A199" s="228"/>
      <c r="B199" s="75" t="s">
        <v>1139</v>
      </c>
      <c r="C199" s="155"/>
      <c r="D199" s="75"/>
      <c r="E199" s="75"/>
      <c r="F199" s="75"/>
      <c r="G199" s="181" t="s">
        <v>1267</v>
      </c>
      <c r="H199" s="181" t="s">
        <v>649</v>
      </c>
      <c r="I199" s="207" t="s">
        <v>1268</v>
      </c>
      <c r="J199" s="155" t="str">
        <f>CONCATENATE(G199," ",H199)</f>
        <v>Marco Pietro Bellotti</v>
      </c>
      <c r="K199" s="156" t="s">
        <v>1269</v>
      </c>
      <c r="L199" s="131"/>
      <c r="M199" s="131" t="s">
        <v>1270</v>
      </c>
      <c r="N199" s="160" t="s">
        <v>1271</v>
      </c>
      <c r="O199" s="250"/>
      <c r="P199" s="251"/>
      <c r="Q199" s="131"/>
      <c r="R199" s="252"/>
      <c r="S199" s="254"/>
      <c r="T199" s="346"/>
      <c r="U199" s="253"/>
      <c r="V199" s="253"/>
      <c r="W199" s="251"/>
      <c r="X199" s="131"/>
      <c r="Y199" s="251"/>
      <c r="Z199" s="251"/>
      <c r="AA199" s="251"/>
      <c r="AB199" s="255"/>
      <c r="AC199" s="256"/>
      <c r="AD199" s="121"/>
      <c r="AE199" s="138">
        <f>L199</f>
        <v>0</v>
      </c>
      <c r="AF199" s="257"/>
      <c r="AG199" s="155"/>
      <c r="AH199" s="155"/>
      <c r="AI199" s="257"/>
      <c r="AJ199" s="155"/>
      <c r="AK199" s="155"/>
      <c r="AL199" s="155"/>
      <c r="AM199" s="257"/>
      <c r="AN199" s="258"/>
      <c r="AO199" s="258"/>
      <c r="AP199" s="258"/>
      <c r="AQ199" s="211"/>
      <c r="AR199" s="259"/>
      <c r="AS199" s="259"/>
      <c r="AT199" s="259"/>
      <c r="AU199" s="211"/>
      <c r="AV199" s="154" t="s">
        <v>165</v>
      </c>
      <c r="AW199" s="154" t="s">
        <v>165</v>
      </c>
      <c r="AX199" s="154" t="s">
        <v>165</v>
      </c>
      <c r="AY199" s="214"/>
      <c r="AZ199" s="121"/>
      <c r="BA199" s="121"/>
      <c r="BB199" s="121"/>
      <c r="BC199" s="215"/>
      <c r="BD199" s="121"/>
      <c r="BE199" s="121"/>
      <c r="BF199" s="121"/>
      <c r="BG199" s="216"/>
      <c r="BH199" s="238">
        <f>CF199+CI199+CL199+CO199+CR199</f>
        <v>0</v>
      </c>
      <c r="BI199" s="238">
        <f>CH199+CK199+CN199+CQ199+CT199</f>
        <v>0</v>
      </c>
      <c r="BJ199" s="238">
        <f>BH199-BI199</f>
        <v>0</v>
      </c>
      <c r="BK199" s="351"/>
      <c r="BL199" s="352">
        <v>0</v>
      </c>
      <c r="BM199" s="241"/>
      <c r="BN199" s="142"/>
      <c r="BO199" s="182"/>
      <c r="BP199" s="105" t="s">
        <v>451</v>
      </c>
      <c r="BQ199" s="145">
        <v>0.15</v>
      </c>
      <c r="BR199" s="262"/>
      <c r="BS199" s="242">
        <f>BL199*BQ199</f>
        <v>0</v>
      </c>
      <c r="BT199" s="373">
        <f>BM199*BQ199</f>
        <v>0</v>
      </c>
      <c r="BU199" s="167">
        <f>BN199*BQ199</f>
        <v>0</v>
      </c>
      <c r="BV199" s="168">
        <f>BO199*BQ199</f>
        <v>0</v>
      </c>
      <c r="BW199" s="243"/>
      <c r="BX199" s="105" t="s">
        <v>451</v>
      </c>
      <c r="BY199" s="145">
        <v>0.05</v>
      </c>
      <c r="BZ199" s="110"/>
      <c r="CA199" s="242">
        <f>BL199*BY199</f>
        <v>0</v>
      </c>
      <c r="CB199" s="101">
        <f>BM199*BY199</f>
        <v>0</v>
      </c>
      <c r="CC199" s="106">
        <f>BN199*BY199</f>
        <v>0</v>
      </c>
      <c r="CD199" s="107">
        <f>BO199*BY199</f>
        <v>0</v>
      </c>
      <c r="CE199" s="244"/>
      <c r="CF199" s="110"/>
      <c r="CG199" s="226"/>
      <c r="CH199" s="110"/>
      <c r="CI199" s="110"/>
      <c r="CJ199" s="348"/>
      <c r="CK199" s="110"/>
      <c r="CL199" s="110"/>
      <c r="CM199" s="263"/>
      <c r="CN199" s="110"/>
      <c r="CO199" s="110"/>
      <c r="CP199" s="226"/>
      <c r="CQ199" s="110"/>
      <c r="CR199" s="110"/>
      <c r="CS199" s="226"/>
      <c r="CT199" s="110"/>
      <c r="CU199" s="155">
        <v>1</v>
      </c>
      <c r="CV199" s="181" t="s">
        <v>1123</v>
      </c>
      <c r="CW199" s="181"/>
      <c r="CX199" s="207"/>
      <c r="CY199" s="207"/>
      <c r="CZ199" s="155"/>
      <c r="DA199" s="131" t="s">
        <v>375</v>
      </c>
      <c r="DB199" s="115" t="str">
        <f>PROPER(N199)</f>
        <v>Larius Med</v>
      </c>
      <c r="DC199" s="191"/>
      <c r="DD199" s="116" t="str">
        <f>BP199</f>
        <v>Fabio</v>
      </c>
      <c r="DE199" s="117" t="b">
        <f>IF(OR(D199&gt;0),IF(BJ199=0,BN199*BQ199,0))</f>
        <v>0</v>
      </c>
      <c r="DF199" s="117" t="b">
        <f>IF(OR(D199&gt;0),IF(BJ199=0,BN199*BY199,0))</f>
        <v>0</v>
      </c>
      <c r="DG199" s="116" t="str">
        <f>BX199</f>
        <v>Fabio</v>
      </c>
      <c r="DH199" s="76"/>
      <c r="DI199" s="120" t="s">
        <v>154</v>
      </c>
      <c r="DJ199" s="120"/>
      <c r="DK199" s="207"/>
      <c r="DL199" s="207"/>
      <c r="DM199" s="264"/>
      <c r="DN199" s="265"/>
      <c r="DO199" s="265"/>
      <c r="DP199" s="265"/>
      <c r="DQ199" s="265"/>
      <c r="DR199" s="265"/>
      <c r="DS199" s="265"/>
      <c r="DT199" s="265"/>
      <c r="DU199" s="265"/>
      <c r="DV199" s="265"/>
      <c r="DW199" s="265"/>
      <c r="DX199" s="265"/>
      <c r="DY199" s="265"/>
      <c r="DZ199" s="265"/>
    </row>
    <row r="200" spans="1:130" ht="34.5" hidden="1" customHeight="1">
      <c r="A200" s="3"/>
      <c r="B200" s="75" t="s">
        <v>902</v>
      </c>
      <c r="C200" s="121"/>
      <c r="D200" s="75"/>
      <c r="E200" s="75">
        <v>1</v>
      </c>
      <c r="F200" s="75"/>
      <c r="G200" s="197" t="s">
        <v>912</v>
      </c>
      <c r="H200" s="197" t="s">
        <v>913</v>
      </c>
      <c r="I200" s="131" t="s">
        <v>914</v>
      </c>
      <c r="J200" s="121" t="str">
        <f>CONCATENATE(G200," ",H200)</f>
        <v>Francesco Baglioni</v>
      </c>
      <c r="K200" s="210"/>
      <c r="L200" s="160" t="s">
        <v>915</v>
      </c>
      <c r="M200" s="157"/>
      <c r="N200" s="160" t="s">
        <v>916</v>
      </c>
      <c r="O200" s="407"/>
      <c r="P200" s="1941"/>
      <c r="Q200" s="86"/>
      <c r="R200" s="86"/>
      <c r="S200" s="86"/>
      <c r="T200" s="1953"/>
      <c r="U200" s="1941"/>
      <c r="V200" s="1941"/>
      <c r="W200" s="1941"/>
      <c r="X200" s="86"/>
      <c r="Y200" s="1960"/>
      <c r="Z200" s="1941"/>
      <c r="AA200" s="1941"/>
      <c r="AB200" s="86"/>
      <c r="AC200" s="86"/>
      <c r="AD200" s="86"/>
      <c r="AE200" s="88" t="str">
        <f>L200</f>
        <v>OMAGGIO BLACKSHIP</v>
      </c>
      <c r="AF200" s="257"/>
      <c r="AG200" s="121"/>
      <c r="AH200" s="121"/>
      <c r="AI200" s="257"/>
      <c r="AJ200" s="121"/>
      <c r="AK200" s="121"/>
      <c r="AL200" s="121"/>
      <c r="AM200" s="257"/>
      <c r="AN200" s="155"/>
      <c r="AO200" s="155"/>
      <c r="AP200" s="155"/>
      <c r="AQ200" s="211"/>
      <c r="AR200" s="259"/>
      <c r="AS200" s="259"/>
      <c r="AT200" s="259"/>
      <c r="AU200" s="211"/>
      <c r="AV200" s="75"/>
      <c r="AW200" s="121"/>
      <c r="AX200" s="121"/>
      <c r="AY200" s="215"/>
      <c r="AZ200" s="121"/>
      <c r="BA200" s="121" t="s">
        <v>115</v>
      </c>
      <c r="BB200" s="135" t="s">
        <v>115</v>
      </c>
      <c r="BC200" s="215"/>
      <c r="BD200" s="121" t="s">
        <v>115</v>
      </c>
      <c r="BE200" s="121"/>
      <c r="BF200" s="121"/>
      <c r="BG200" s="216"/>
      <c r="BH200" s="238">
        <f>CF200+CI200+CL200+CO200+CR200</f>
        <v>0</v>
      </c>
      <c r="BI200" s="238">
        <f>CH200+CK200+CN200+CQ200+CT200</f>
        <v>0</v>
      </c>
      <c r="BJ200" s="238">
        <f>BH200-BI200</f>
        <v>0</v>
      </c>
      <c r="BK200" s="2007"/>
      <c r="BL200" s="2015"/>
      <c r="BM200" s="241"/>
      <c r="BN200" s="96"/>
      <c r="BO200" s="97"/>
      <c r="BP200" s="161" t="s">
        <v>117</v>
      </c>
      <c r="BQ200" s="98">
        <v>0</v>
      </c>
      <c r="BR200" s="2058"/>
      <c r="BS200" s="202"/>
      <c r="BT200" s="373">
        <f>BM200*BQ200</f>
        <v>0</v>
      </c>
      <c r="BU200" s="167">
        <f>BN200*BQ200</f>
        <v>0</v>
      </c>
      <c r="BV200" s="168">
        <f>BO200*BQ200</f>
        <v>0</v>
      </c>
      <c r="BW200" s="80" t="s">
        <v>118</v>
      </c>
      <c r="BX200" s="105" t="s">
        <v>184</v>
      </c>
      <c r="BY200" s="98">
        <v>0.05</v>
      </c>
      <c r="BZ200" s="201"/>
      <c r="CA200" s="202"/>
      <c r="CB200" s="101">
        <f>BM200*BY200</f>
        <v>0</v>
      </c>
      <c r="CC200" s="106">
        <f>BN200*BY200</f>
        <v>0</v>
      </c>
      <c r="CD200" s="107">
        <f>BO200*BY200</f>
        <v>0</v>
      </c>
      <c r="CE200" s="90"/>
      <c r="CF200" s="110">
        <v>0</v>
      </c>
      <c r="CG200" s="263"/>
      <c r="CH200" s="110"/>
      <c r="CI200" s="110"/>
      <c r="CJ200" s="226"/>
      <c r="CK200" s="206"/>
      <c r="CL200" s="206"/>
      <c r="CM200" s="226"/>
      <c r="CN200" s="206"/>
      <c r="CO200" s="206"/>
      <c r="CP200" s="206"/>
      <c r="CQ200" s="206"/>
      <c r="CR200" s="206"/>
      <c r="CS200" s="206"/>
      <c r="CT200" s="206"/>
      <c r="CU200" s="155"/>
      <c r="CV200" s="181"/>
      <c r="CW200" s="181"/>
      <c r="CX200" s="207"/>
      <c r="CY200" s="155"/>
      <c r="CZ200" s="155"/>
      <c r="DA200" s="131"/>
      <c r="DB200" s="115" t="str">
        <f>PROPER(N200)</f>
        <v>Automazioni Industriali</v>
      </c>
      <c r="DC200" s="191" t="s">
        <v>917</v>
      </c>
      <c r="DD200" s="116" t="str">
        <f>BP200</f>
        <v>blackship</v>
      </c>
      <c r="DE200" s="117" t="b">
        <f>IF(OR(D200&gt;0),IF(BJ200=0,BN200*BQ200,0))</f>
        <v>0</v>
      </c>
      <c r="DF200" s="117" t="b">
        <f>IF(OR(D200&gt;0),IF(BJ200=0,BN200*BY200,0))</f>
        <v>0</v>
      </c>
      <c r="DG200" s="116" t="str">
        <f>BX200</f>
        <v>Cristian A</v>
      </c>
      <c r="DH200" s="76"/>
      <c r="DI200" s="120" t="s">
        <v>126</v>
      </c>
      <c r="DJ200" s="120"/>
      <c r="DK200" s="121"/>
      <c r="DL200" s="121"/>
      <c r="DM200" s="122">
        <v>1</v>
      </c>
      <c r="DN200" s="6"/>
      <c r="DO200" s="6"/>
      <c r="DP200" s="6"/>
      <c r="DQ200" s="6"/>
      <c r="DR200" s="6"/>
      <c r="DS200" s="6"/>
      <c r="DT200" s="6"/>
      <c r="DU200" s="6"/>
      <c r="DV200" s="6"/>
      <c r="DW200" s="6"/>
      <c r="DX200" s="6"/>
      <c r="DY200" s="6"/>
      <c r="DZ200" s="6"/>
    </row>
    <row r="201" spans="1:130" ht="34.5" hidden="1" customHeight="1">
      <c r="A201" s="228"/>
      <c r="B201" s="75" t="s">
        <v>902</v>
      </c>
      <c r="C201" s="155"/>
      <c r="D201" s="75"/>
      <c r="E201" s="75">
        <v>1</v>
      </c>
      <c r="F201" s="148"/>
      <c r="G201" s="197" t="s">
        <v>912</v>
      </c>
      <c r="H201" s="197" t="s">
        <v>1287</v>
      </c>
      <c r="I201" s="207" t="s">
        <v>1288</v>
      </c>
      <c r="J201" s="155" t="str">
        <f>CONCATENATE(G201," ",H201)</f>
        <v>Francesco Bocca</v>
      </c>
      <c r="K201" s="156"/>
      <c r="L201" s="131"/>
      <c r="M201" s="131" t="s">
        <v>171</v>
      </c>
      <c r="N201" s="160" t="s">
        <v>1289</v>
      </c>
      <c r="O201" s="250"/>
      <c r="P201" s="251"/>
      <c r="Q201" s="131"/>
      <c r="R201" s="252" t="s">
        <v>1290</v>
      </c>
      <c r="S201" s="254"/>
      <c r="T201" s="346"/>
      <c r="U201" s="253"/>
      <c r="V201" s="253"/>
      <c r="W201" s="251"/>
      <c r="X201" s="131"/>
      <c r="Y201" s="251"/>
      <c r="Z201" s="251"/>
      <c r="AA201" s="251"/>
      <c r="AB201" s="255"/>
      <c r="AC201" s="256"/>
      <c r="AD201" s="121" t="s">
        <v>1291</v>
      </c>
      <c r="AE201" s="138">
        <f>L201</f>
        <v>0</v>
      </c>
      <c r="AF201" s="257"/>
      <c r="AG201" s="155"/>
      <c r="AH201" s="155"/>
      <c r="AI201" s="257"/>
      <c r="AJ201" s="155"/>
      <c r="AK201" s="155"/>
      <c r="AL201" s="155"/>
      <c r="AM201" s="257"/>
      <c r="AN201" s="258"/>
      <c r="AO201" s="258"/>
      <c r="AP201" s="258"/>
      <c r="AQ201" s="211"/>
      <c r="AR201" s="121"/>
      <c r="AS201" s="121"/>
      <c r="AT201" s="121"/>
      <c r="AU201" s="211"/>
      <c r="AV201" s="121" t="s">
        <v>115</v>
      </c>
      <c r="AW201" s="153"/>
      <c r="AX201" s="121" t="s">
        <v>115</v>
      </c>
      <c r="AY201" s="215"/>
      <c r="AZ201" s="121"/>
      <c r="BA201" s="121" t="s">
        <v>115</v>
      </c>
      <c r="BB201" s="135" t="s">
        <v>154</v>
      </c>
      <c r="BC201" s="215"/>
      <c r="BD201" s="121"/>
      <c r="BE201" s="121"/>
      <c r="BF201" s="121"/>
      <c r="BG201" s="216"/>
      <c r="BH201" s="238">
        <v>2797</v>
      </c>
      <c r="BI201" s="238">
        <f>CH201+CK201+CN201+CQ201+CT201</f>
        <v>2797</v>
      </c>
      <c r="BJ201" s="238">
        <f>BH201-BI201</f>
        <v>0</v>
      </c>
      <c r="BK201" s="351"/>
      <c r="BL201" s="352">
        <v>0</v>
      </c>
      <c r="BM201" s="241">
        <v>2797</v>
      </c>
      <c r="BN201" s="273"/>
      <c r="BO201" s="274"/>
      <c r="BP201" s="399" t="s">
        <v>1034</v>
      </c>
      <c r="BQ201" s="145">
        <v>0.15</v>
      </c>
      <c r="BR201" s="262"/>
      <c r="BS201" s="242">
        <f>BL201*BQ201</f>
        <v>0</v>
      </c>
      <c r="BT201" s="373">
        <f>BM201*BQ201</f>
        <v>419.55</v>
      </c>
      <c r="BU201" s="167">
        <f>BN201*BQ201</f>
        <v>0</v>
      </c>
      <c r="BV201" s="168">
        <f>BO201*BQ201</f>
        <v>0</v>
      </c>
      <c r="BW201" s="80" t="s">
        <v>120</v>
      </c>
      <c r="BX201" s="105" t="s">
        <v>184</v>
      </c>
      <c r="BY201" s="145">
        <v>0.05</v>
      </c>
      <c r="BZ201" s="262"/>
      <c r="CA201" s="242">
        <f>BL201*BY201</f>
        <v>0</v>
      </c>
      <c r="CB201" s="101">
        <f>BM201*BY201</f>
        <v>139.85</v>
      </c>
      <c r="CC201" s="106">
        <f>BN201*BY201</f>
        <v>0</v>
      </c>
      <c r="CD201" s="107">
        <f>BO201*BY201</f>
        <v>0</v>
      </c>
      <c r="CE201" s="90" t="s">
        <v>120</v>
      </c>
      <c r="CF201" s="110">
        <v>2797</v>
      </c>
      <c r="CG201" s="226">
        <v>45077</v>
      </c>
      <c r="CH201" s="110">
        <v>2797</v>
      </c>
      <c r="CI201" s="110"/>
      <c r="CJ201" s="226"/>
      <c r="CK201" s="110"/>
      <c r="CL201" s="110"/>
      <c r="CM201" s="226"/>
      <c r="CN201" s="110"/>
      <c r="CO201" s="110"/>
      <c r="CP201" s="226"/>
      <c r="CQ201" s="110"/>
      <c r="CR201" s="110"/>
      <c r="CS201" s="226"/>
      <c r="CT201" s="110"/>
      <c r="CU201" s="155">
        <v>1</v>
      </c>
      <c r="CV201" s="181" t="s">
        <v>1123</v>
      </c>
      <c r="CW201" s="181"/>
      <c r="CX201" s="207"/>
      <c r="CY201" s="207"/>
      <c r="CZ201" s="155"/>
      <c r="DA201" s="208" t="s">
        <v>123</v>
      </c>
      <c r="DB201" s="115" t="str">
        <f>PROPER(N201)</f>
        <v>Studio Andreani - Spazi Di Valore</v>
      </c>
      <c r="DC201" s="191" t="s">
        <v>1292</v>
      </c>
      <c r="DD201" s="116" t="str">
        <f>BP201</f>
        <v>Mirco Gasparotto (OSA)</v>
      </c>
      <c r="DE201" s="117" t="b">
        <f>IF(OR(D201&gt;0),IF(BJ201=0,BN201*BQ201,0))</f>
        <v>0</v>
      </c>
      <c r="DF201" s="117" t="b">
        <f>IF(OR(D201&gt;0),IF(BJ201=0,BN201*BY201,0))</f>
        <v>0</v>
      </c>
      <c r="DG201" s="118" t="str">
        <f>BX201</f>
        <v>Cristian A</v>
      </c>
      <c r="DH201" s="76"/>
      <c r="DI201" s="120" t="s">
        <v>154</v>
      </c>
      <c r="DJ201" s="120"/>
      <c r="DK201" s="207"/>
      <c r="DL201" s="207"/>
      <c r="DM201" s="264">
        <v>1</v>
      </c>
      <c r="DN201" s="265"/>
      <c r="DO201" s="265"/>
      <c r="DP201" s="265"/>
      <c r="DQ201" s="265"/>
      <c r="DR201" s="265"/>
      <c r="DS201" s="265"/>
      <c r="DT201" s="265"/>
      <c r="DU201" s="265"/>
      <c r="DV201" s="265"/>
      <c r="DW201" s="265"/>
      <c r="DX201" s="265"/>
      <c r="DY201" s="265"/>
      <c r="DZ201" s="265"/>
    </row>
    <row r="202" spans="1:130" ht="34.5" hidden="1" customHeight="1">
      <c r="A202" s="228"/>
      <c r="B202" s="75" t="s">
        <v>1139</v>
      </c>
      <c r="C202" s="155"/>
      <c r="D202" s="75"/>
      <c r="E202" s="75"/>
      <c r="F202" s="75"/>
      <c r="G202" s="181" t="s">
        <v>1293</v>
      </c>
      <c r="H202" s="181" t="s">
        <v>1294</v>
      </c>
      <c r="I202" s="207" t="s">
        <v>1295</v>
      </c>
      <c r="J202" s="155" t="str">
        <f>CONCATENATE(G202," ",H202)</f>
        <v>Rita Anna Galanto</v>
      </c>
      <c r="K202" s="156">
        <v>3928481869</v>
      </c>
      <c r="L202" s="204" t="s">
        <v>1296</v>
      </c>
      <c r="M202" s="131" t="s">
        <v>1297</v>
      </c>
      <c r="N202" s="160" t="s">
        <v>1298</v>
      </c>
      <c r="O202" s="250"/>
      <c r="P202" s="251"/>
      <c r="Q202" s="131"/>
      <c r="R202" s="252"/>
      <c r="S202" s="254"/>
      <c r="T202" s="346"/>
      <c r="U202" s="253"/>
      <c r="V202" s="253"/>
      <c r="W202" s="251"/>
      <c r="X202" s="131"/>
      <c r="Y202" s="251"/>
      <c r="Z202" s="251"/>
      <c r="AA202" s="251"/>
      <c r="AB202" s="255"/>
      <c r="AC202" s="256"/>
      <c r="AD202" s="121"/>
      <c r="AE202" s="138" t="str">
        <f>L202</f>
        <v>CONFERMA ENTRO IL 4/10/22</v>
      </c>
      <c r="AF202" s="257"/>
      <c r="AG202" s="155"/>
      <c r="AH202" s="155"/>
      <c r="AI202" s="257"/>
      <c r="AJ202" s="155"/>
      <c r="AK202" s="155"/>
      <c r="AL202" s="155"/>
      <c r="AM202" s="257"/>
      <c r="AN202" s="258"/>
      <c r="AO202" s="258"/>
      <c r="AP202" s="258"/>
      <c r="AQ202" s="211"/>
      <c r="AR202" s="259"/>
      <c r="AS202" s="259"/>
      <c r="AT202" s="259"/>
      <c r="AU202" s="211"/>
      <c r="AV202" s="154" t="s">
        <v>165</v>
      </c>
      <c r="AW202" s="154" t="s">
        <v>165</v>
      </c>
      <c r="AX202" s="154" t="s">
        <v>165</v>
      </c>
      <c r="AY202" s="214"/>
      <c r="AZ202" s="121"/>
      <c r="BA202" s="121"/>
      <c r="BB202" s="121"/>
      <c r="BC202" s="215"/>
      <c r="BD202" s="121"/>
      <c r="BE202" s="121"/>
      <c r="BF202" s="121"/>
      <c r="BG202" s="216"/>
      <c r="BH202" s="238">
        <f>CF202+CI202+CL202+CO202+CR202</f>
        <v>0</v>
      </c>
      <c r="BI202" s="238">
        <f>CH202+CK202+CN202+CQ202+CT202</f>
        <v>0</v>
      </c>
      <c r="BJ202" s="238">
        <f>BH202-BI202</f>
        <v>0</v>
      </c>
      <c r="BK202" s="239"/>
      <c r="BL202" s="260">
        <v>0</v>
      </c>
      <c r="BM202" s="241"/>
      <c r="BN202" s="142"/>
      <c r="BO202" s="182"/>
      <c r="BP202" s="105" t="s">
        <v>451</v>
      </c>
      <c r="BQ202" s="145">
        <v>0.15</v>
      </c>
      <c r="BR202" s="261"/>
      <c r="BS202" s="242">
        <f>BL202*BQ202</f>
        <v>0</v>
      </c>
      <c r="BT202" s="373">
        <f>BM202*BQ202</f>
        <v>0</v>
      </c>
      <c r="BU202" s="167">
        <f>BN202*BQ202</f>
        <v>0</v>
      </c>
      <c r="BV202" s="168">
        <f>BO202*BQ202</f>
        <v>0</v>
      </c>
      <c r="BW202" s="243"/>
      <c r="BX202" s="105" t="s">
        <v>451</v>
      </c>
      <c r="BY202" s="145">
        <v>0.05</v>
      </c>
      <c r="BZ202" s="262"/>
      <c r="CA202" s="242">
        <f>BL202*BY202</f>
        <v>0</v>
      </c>
      <c r="CB202" s="101">
        <f>BM202*BY202</f>
        <v>0</v>
      </c>
      <c r="CC202" s="106">
        <f>BN202*BY202</f>
        <v>0</v>
      </c>
      <c r="CD202" s="107">
        <f>BO202*BY202</f>
        <v>0</v>
      </c>
      <c r="CE202" s="244"/>
      <c r="CF202" s="110"/>
      <c r="CG202" s="226"/>
      <c r="CH202" s="110"/>
      <c r="CI202" s="110"/>
      <c r="CJ202" s="348"/>
      <c r="CK202" s="110"/>
      <c r="CL202" s="110"/>
      <c r="CM202" s="263"/>
      <c r="CN202" s="110"/>
      <c r="CO202" s="110"/>
      <c r="CP202" s="226"/>
      <c r="CQ202" s="110"/>
      <c r="CR202" s="110"/>
      <c r="CS202" s="226"/>
      <c r="CT202" s="110"/>
      <c r="CU202" s="155">
        <v>1</v>
      </c>
      <c r="CV202" s="181" t="s">
        <v>1123</v>
      </c>
      <c r="CW202" s="181"/>
      <c r="CX202" s="207"/>
      <c r="CY202" s="207"/>
      <c r="CZ202" s="155"/>
      <c r="DA202" s="131"/>
      <c r="DB202" s="115" t="str">
        <f>PROPER(N202)</f>
        <v>Anna Rita Galanto</v>
      </c>
      <c r="DC202" s="191"/>
      <c r="DD202" s="116" t="str">
        <f>BP202</f>
        <v>Fabio</v>
      </c>
      <c r="DE202" s="117" t="b">
        <f>IF(OR(D202&gt;0),IF(BJ202=0,BN202*BQ202,0))</f>
        <v>0</v>
      </c>
      <c r="DF202" s="117" t="b">
        <f>IF(OR(D202&gt;0),IF(BJ202=0,BN202*BY202,0))</f>
        <v>0</v>
      </c>
      <c r="DG202" s="116" t="str">
        <f>BX202</f>
        <v>Fabio</v>
      </c>
      <c r="DH202" s="76"/>
      <c r="DI202" s="120" t="s">
        <v>154</v>
      </c>
      <c r="DJ202" s="120"/>
      <c r="DK202" s="207"/>
      <c r="DL202" s="207"/>
      <c r="DM202" s="264"/>
      <c r="DN202" s="265"/>
      <c r="DO202" s="265"/>
      <c r="DP202" s="265"/>
      <c r="DQ202" s="265"/>
      <c r="DR202" s="265"/>
      <c r="DS202" s="265"/>
      <c r="DT202" s="265"/>
      <c r="DU202" s="265"/>
      <c r="DV202" s="265"/>
      <c r="DW202" s="265"/>
      <c r="DX202" s="265"/>
      <c r="DY202" s="265"/>
      <c r="DZ202" s="265"/>
    </row>
    <row r="203" spans="1:130" ht="34.5" hidden="1" customHeight="1">
      <c r="A203" s="228"/>
      <c r="B203" s="75" t="s">
        <v>1928</v>
      </c>
      <c r="C203" s="121"/>
      <c r="D203" s="75"/>
      <c r="E203" s="75"/>
      <c r="F203" s="75"/>
      <c r="G203" s="181" t="s">
        <v>912</v>
      </c>
      <c r="H203" s="181" t="s">
        <v>2508</v>
      </c>
      <c r="I203" s="181" t="s">
        <v>2509</v>
      </c>
      <c r="J203" s="179" t="str">
        <f>CONCATENATE(G203," ",H203)</f>
        <v>Francesco Bravin</v>
      </c>
      <c r="K203" s="181"/>
      <c r="L203" s="131"/>
      <c r="M203" s="131"/>
      <c r="N203" s="1915" t="s">
        <v>2510</v>
      </c>
      <c r="O203" s="556"/>
      <c r="P203" s="314"/>
      <c r="Q203" s="37"/>
      <c r="R203" s="131"/>
      <c r="S203" s="160"/>
      <c r="T203" s="404"/>
      <c r="U203" s="315"/>
      <c r="V203" s="315"/>
      <c r="W203" s="316"/>
      <c r="X203" s="234"/>
      <c r="Y203" s="316"/>
      <c r="Z203" s="316"/>
      <c r="AA203" s="316"/>
      <c r="AB203" s="37"/>
      <c r="AC203" s="37"/>
      <c r="AD203" s="37"/>
      <c r="AE203" s="138"/>
      <c r="AF203" s="257"/>
      <c r="AG203" s="121"/>
      <c r="AH203" s="121"/>
      <c r="AI203" s="257"/>
      <c r="AJ203" s="121"/>
      <c r="AK203" s="121"/>
      <c r="AL203" s="121"/>
      <c r="AM203" s="257"/>
      <c r="AN203" s="155"/>
      <c r="AO203" s="155"/>
      <c r="AP203" s="155"/>
      <c r="AQ203" s="211"/>
      <c r="AR203" s="259"/>
      <c r="AS203" s="259"/>
      <c r="AT203" s="259"/>
      <c r="AU203" s="211"/>
      <c r="AV203" s="121"/>
      <c r="AW203" s="121"/>
      <c r="AX203" s="121"/>
      <c r="AY203" s="214"/>
      <c r="AZ203" s="121"/>
      <c r="BA203" s="121"/>
      <c r="BB203" s="91" t="s">
        <v>116</v>
      </c>
      <c r="BC203" s="215"/>
      <c r="BD203" s="121"/>
      <c r="BE203" s="121"/>
      <c r="BF203" s="121"/>
      <c r="BG203" s="216"/>
      <c r="BH203" s="238">
        <f>CF203+CI203+CL203+CO203+CR203</f>
        <v>0</v>
      </c>
      <c r="BI203" s="238"/>
      <c r="BJ203" s="238"/>
      <c r="BK203" s="239"/>
      <c r="BL203" s="260"/>
      <c r="BM203" s="241"/>
      <c r="BN203" s="142"/>
      <c r="BO203" s="182"/>
      <c r="BP203" s="281"/>
      <c r="BQ203" s="98"/>
      <c r="BR203" s="261"/>
      <c r="BS203" s="242"/>
      <c r="BT203" s="373"/>
      <c r="BU203" s="167"/>
      <c r="BV203" s="168">
        <f>BO203*BQ203</f>
        <v>0</v>
      </c>
      <c r="BW203" s="243"/>
      <c r="BX203" s="275"/>
      <c r="BY203" s="145"/>
      <c r="BZ203" s="262"/>
      <c r="CA203" s="242"/>
      <c r="CB203" s="101"/>
      <c r="CC203" s="106"/>
      <c r="CD203" s="107">
        <f>BO203*BY203</f>
        <v>0</v>
      </c>
      <c r="CE203" s="244"/>
      <c r="CF203" s="110"/>
      <c r="CG203" s="226"/>
      <c r="CH203" s="110"/>
      <c r="CI203" s="110"/>
      <c r="CJ203" s="226"/>
      <c r="CK203" s="206"/>
      <c r="CL203" s="206"/>
      <c r="CM203" s="226"/>
      <c r="CN203" s="206"/>
      <c r="CO203" s="206"/>
      <c r="CP203" s="206"/>
      <c r="CQ203" s="206"/>
      <c r="CR203" s="206"/>
      <c r="CS203" s="206"/>
      <c r="CT203" s="206"/>
      <c r="CU203" s="155">
        <v>1</v>
      </c>
      <c r="CV203" s="181"/>
      <c r="CW203" s="181"/>
      <c r="CX203" s="207"/>
      <c r="CY203" s="155"/>
      <c r="CZ203" s="155"/>
      <c r="DA203" s="131"/>
      <c r="DB203" s="115" t="str">
        <f>PROPER(N203)</f>
        <v>Cominshop</v>
      </c>
      <c r="DC203" s="191"/>
      <c r="DD203" s="116">
        <f>BP203</f>
        <v>0</v>
      </c>
      <c r="DE203" s="117" t="b">
        <f>IF(OR(D203&gt;0),IF(BJ203=0,BN203*BQ203,0))</f>
        <v>0</v>
      </c>
      <c r="DF203" s="117" t="b">
        <f>IF(OR(D203&gt;0),IF(BJ203=0,BN203*BY203,0))</f>
        <v>0</v>
      </c>
      <c r="DG203" s="113">
        <f>BX203</f>
        <v>0</v>
      </c>
      <c r="DH203" s="510"/>
      <c r="DI203" s="120" t="s">
        <v>126</v>
      </c>
      <c r="DJ203" s="120"/>
      <c r="DK203" s="207"/>
      <c r="DL203" s="207"/>
      <c r="DM203" s="248"/>
    </row>
    <row r="204" spans="1:130" ht="34.5" hidden="1" customHeight="1">
      <c r="A204" s="228"/>
      <c r="B204" s="75" t="s">
        <v>1139</v>
      </c>
      <c r="C204" s="155"/>
      <c r="D204" s="75"/>
      <c r="E204" s="75"/>
      <c r="F204" s="75"/>
      <c r="G204" s="181" t="s">
        <v>1304</v>
      </c>
      <c r="H204" s="181" t="s">
        <v>1305</v>
      </c>
      <c r="I204" s="207" t="s">
        <v>1306</v>
      </c>
      <c r="J204" s="155" t="str">
        <f>CONCATENATE(G204," ",H204)</f>
        <v>Stefania Salvati</v>
      </c>
      <c r="K204" s="156">
        <v>3714564990</v>
      </c>
      <c r="L204" s="131"/>
      <c r="M204" s="131" t="s">
        <v>514</v>
      </c>
      <c r="N204" s="160"/>
      <c r="O204" s="250"/>
      <c r="P204" s="251"/>
      <c r="Q204" s="131"/>
      <c r="R204" s="252"/>
      <c r="S204" s="254"/>
      <c r="T204" s="346"/>
      <c r="U204" s="253"/>
      <c r="V204" s="253"/>
      <c r="W204" s="251"/>
      <c r="X204" s="131"/>
      <c r="Y204" s="251"/>
      <c r="Z204" s="251"/>
      <c r="AA204" s="251"/>
      <c r="AB204" s="255"/>
      <c r="AC204" s="256"/>
      <c r="AD204" s="121"/>
      <c r="AE204" s="138">
        <f>L204</f>
        <v>0</v>
      </c>
      <c r="AF204" s="257"/>
      <c r="AG204" s="155"/>
      <c r="AH204" s="155"/>
      <c r="AI204" s="257"/>
      <c r="AJ204" s="155"/>
      <c r="AK204" s="155"/>
      <c r="AL204" s="155"/>
      <c r="AM204" s="257"/>
      <c r="AN204" s="258"/>
      <c r="AO204" s="258"/>
      <c r="AP204" s="258"/>
      <c r="AQ204" s="211"/>
      <c r="AR204" s="259"/>
      <c r="AS204" s="259"/>
      <c r="AT204" s="259"/>
      <c r="AU204" s="211"/>
      <c r="AV204" s="154" t="s">
        <v>165</v>
      </c>
      <c r="AW204" s="154" t="s">
        <v>165</v>
      </c>
      <c r="AX204" s="154" t="s">
        <v>165</v>
      </c>
      <c r="AY204" s="214"/>
      <c r="AZ204" s="121"/>
      <c r="BA204" s="121"/>
      <c r="BB204" s="121"/>
      <c r="BC204" s="215"/>
      <c r="BD204" s="121"/>
      <c r="BE204" s="121"/>
      <c r="BF204" s="121"/>
      <c r="BG204" s="216"/>
      <c r="BH204" s="238">
        <f>CF204+CI204+CL204+CO204+CR204</f>
        <v>0</v>
      </c>
      <c r="BI204" s="238">
        <f>CH204+CK204+CN204+CQ204+CT204</f>
        <v>0</v>
      </c>
      <c r="BJ204" s="238">
        <f>BH204-BI204</f>
        <v>0</v>
      </c>
      <c r="BK204" s="239"/>
      <c r="BL204" s="260">
        <v>0</v>
      </c>
      <c r="BM204" s="241"/>
      <c r="BN204" s="142"/>
      <c r="BO204" s="182"/>
      <c r="BP204" s="105" t="s">
        <v>451</v>
      </c>
      <c r="BQ204" s="145">
        <v>0.15</v>
      </c>
      <c r="BR204" s="261"/>
      <c r="BS204" s="242">
        <f>BL204*BQ204</f>
        <v>0</v>
      </c>
      <c r="BT204" s="373">
        <f>BM204*BQ204</f>
        <v>0</v>
      </c>
      <c r="BU204" s="167">
        <f>BN204*BQ204</f>
        <v>0</v>
      </c>
      <c r="BV204" s="168">
        <f>BO204*BQ204</f>
        <v>0</v>
      </c>
      <c r="BW204" s="243"/>
      <c r="BX204" s="105" t="s">
        <v>451</v>
      </c>
      <c r="BY204" s="145">
        <v>0.05</v>
      </c>
      <c r="BZ204" s="262"/>
      <c r="CA204" s="242">
        <f>BL204*BY204</f>
        <v>0</v>
      </c>
      <c r="CB204" s="101">
        <f>BM204*BY204</f>
        <v>0</v>
      </c>
      <c r="CC204" s="106">
        <f>BN204*BY204</f>
        <v>0</v>
      </c>
      <c r="CD204" s="107">
        <f>BO204*BY204</f>
        <v>0</v>
      </c>
      <c r="CE204" s="244"/>
      <c r="CF204" s="110"/>
      <c r="CG204" s="226"/>
      <c r="CH204" s="110"/>
      <c r="CI204" s="110"/>
      <c r="CJ204" s="348"/>
      <c r="CK204" s="110"/>
      <c r="CL204" s="110"/>
      <c r="CM204" s="263"/>
      <c r="CN204" s="110"/>
      <c r="CO204" s="110"/>
      <c r="CP204" s="226"/>
      <c r="CQ204" s="110"/>
      <c r="CR204" s="110"/>
      <c r="CS204" s="226"/>
      <c r="CT204" s="110"/>
      <c r="CU204" s="155">
        <v>1</v>
      </c>
      <c r="CV204" s="181" t="s">
        <v>1123</v>
      </c>
      <c r="CW204" s="181"/>
      <c r="CX204" s="207"/>
      <c r="CY204" s="207"/>
      <c r="CZ204" s="155"/>
      <c r="DA204" s="131"/>
      <c r="DB204" s="115" t="str">
        <f>PROPER(N204)</f>
        <v/>
      </c>
      <c r="DC204" s="191"/>
      <c r="DD204" s="116" t="str">
        <f>BP204</f>
        <v>Fabio</v>
      </c>
      <c r="DE204" s="117" t="b">
        <f>IF(OR(D204&gt;0),IF(BJ204=0,BN204*BQ204,0))</f>
        <v>0</v>
      </c>
      <c r="DF204" s="117" t="b">
        <f>IF(OR(D204&gt;0),IF(BJ204=0,BN204*BY204,0))</f>
        <v>0</v>
      </c>
      <c r="DG204" s="116" t="str">
        <f>BX204</f>
        <v>Fabio</v>
      </c>
      <c r="DH204" s="76"/>
      <c r="DI204" s="120" t="s">
        <v>154</v>
      </c>
      <c r="DJ204" s="120"/>
      <c r="DK204" s="207"/>
      <c r="DL204" s="207"/>
      <c r="DM204" s="264"/>
      <c r="DN204" s="265"/>
      <c r="DO204" s="265"/>
      <c r="DP204" s="265"/>
      <c r="DQ204" s="265"/>
      <c r="DR204" s="265"/>
      <c r="DS204" s="265"/>
      <c r="DT204" s="265"/>
      <c r="DU204" s="265"/>
      <c r="DV204" s="265"/>
      <c r="DW204" s="265"/>
      <c r="DX204" s="265"/>
      <c r="DY204" s="265"/>
      <c r="DZ204" s="265"/>
    </row>
    <row r="205" spans="1:130" ht="34.5" hidden="1" customHeight="1">
      <c r="A205" s="228"/>
      <c r="B205" s="75" t="s">
        <v>1139</v>
      </c>
      <c r="C205" s="155"/>
      <c r="D205" s="75"/>
      <c r="E205" s="75"/>
      <c r="F205" s="75"/>
      <c r="G205" s="394" t="s">
        <v>1307</v>
      </c>
      <c r="H205" s="394" t="s">
        <v>1308</v>
      </c>
      <c r="I205" s="294" t="s">
        <v>1309</v>
      </c>
      <c r="J205" s="155" t="str">
        <f>CONCATENATE(G205," ",H205)</f>
        <v>Alberto Andretta</v>
      </c>
      <c r="K205" s="156"/>
      <c r="L205" s="131" t="s">
        <v>1310</v>
      </c>
      <c r="M205" s="131"/>
      <c r="N205" s="160" t="s">
        <v>1311</v>
      </c>
      <c r="O205" s="250"/>
      <c r="P205" s="251"/>
      <c r="Q205" s="131"/>
      <c r="R205" s="252"/>
      <c r="S205" s="254"/>
      <c r="T205" s="346"/>
      <c r="U205" s="253"/>
      <c r="V205" s="253"/>
      <c r="W205" s="251"/>
      <c r="X205" s="131"/>
      <c r="Y205" s="251"/>
      <c r="Z205" s="251"/>
      <c r="AA205" s="251"/>
      <c r="AB205" s="255"/>
      <c r="AC205" s="256"/>
      <c r="AD205" s="121"/>
      <c r="AE205" s="138" t="str">
        <f>L205</f>
        <v>Concesso p/to in 2 tranche 200 + iva al 3/10 e saldo 15/12 - Fratello che decide viene a VB2B marzo e poi valuta</v>
      </c>
      <c r="AF205" s="257"/>
      <c r="AG205" s="155"/>
      <c r="AH205" s="155"/>
      <c r="AI205" s="257"/>
      <c r="AJ205" s="155"/>
      <c r="AK205" s="155"/>
      <c r="AL205" s="155"/>
      <c r="AM205" s="257"/>
      <c r="AN205" s="258"/>
      <c r="AO205" s="258"/>
      <c r="AP205" s="258"/>
      <c r="AQ205" s="211"/>
      <c r="AR205" s="259"/>
      <c r="AS205" s="259"/>
      <c r="AT205" s="259"/>
      <c r="AU205" s="211"/>
      <c r="AV205" s="154" t="s">
        <v>165</v>
      </c>
      <c r="AW205" s="154" t="s">
        <v>165</v>
      </c>
      <c r="AX205" s="154" t="s">
        <v>165</v>
      </c>
      <c r="AY205" s="214"/>
      <c r="AZ205" s="121"/>
      <c r="BA205" s="121"/>
      <c r="BB205" s="121"/>
      <c r="BC205" s="215"/>
      <c r="BD205" s="121"/>
      <c r="BE205" s="121"/>
      <c r="BF205" s="121"/>
      <c r="BG205" s="216"/>
      <c r="BH205" s="238">
        <f>CF205+CI205+CL205+CO205+CR205</f>
        <v>0</v>
      </c>
      <c r="BI205" s="238">
        <f>CH205+CK205+CN205+CQ205+CT205</f>
        <v>0</v>
      </c>
      <c r="BJ205" s="238">
        <f>BH205-BI205</f>
        <v>0</v>
      </c>
      <c r="BK205" s="351"/>
      <c r="BL205" s="352">
        <v>0</v>
      </c>
      <c r="BM205" s="241"/>
      <c r="BN205" s="142"/>
      <c r="BO205" s="182"/>
      <c r="BP205" s="105" t="s">
        <v>487</v>
      </c>
      <c r="BQ205" s="145">
        <v>0.15</v>
      </c>
      <c r="BR205" s="261"/>
      <c r="BS205" s="242">
        <f>BL205*BQ205</f>
        <v>0</v>
      </c>
      <c r="BT205" s="203">
        <f>BM205*BQ205</f>
        <v>0</v>
      </c>
      <c r="BU205" s="167">
        <f>BN205*BQ205</f>
        <v>0</v>
      </c>
      <c r="BV205" s="168">
        <f>BO205*BQ205</f>
        <v>0</v>
      </c>
      <c r="BW205" s="243"/>
      <c r="BX205" s="105" t="s">
        <v>487</v>
      </c>
      <c r="BY205" s="347">
        <v>0.05</v>
      </c>
      <c r="BZ205" s="262"/>
      <c r="CA205" s="242">
        <f>BL205*BY205</f>
        <v>0</v>
      </c>
      <c r="CB205" s="101">
        <f>BM205*BY205</f>
        <v>0</v>
      </c>
      <c r="CC205" s="106">
        <f>BN205*BY205</f>
        <v>0</v>
      </c>
      <c r="CD205" s="107">
        <f>BO205*BY205</f>
        <v>0</v>
      </c>
      <c r="CE205" s="244"/>
      <c r="CF205" s="110"/>
      <c r="CG205" s="226"/>
      <c r="CH205" s="110"/>
      <c r="CI205" s="110"/>
      <c r="CJ205" s="348"/>
      <c r="CK205" s="110"/>
      <c r="CL205" s="110"/>
      <c r="CM205" s="263"/>
      <c r="CN205" s="110"/>
      <c r="CO205" s="110"/>
      <c r="CP205" s="226"/>
      <c r="CQ205" s="110"/>
      <c r="CR205" s="110"/>
      <c r="CS205" s="226"/>
      <c r="CT205" s="110"/>
      <c r="CU205" s="155">
        <v>1</v>
      </c>
      <c r="CV205" s="181" t="s">
        <v>1123</v>
      </c>
      <c r="CW205" s="181"/>
      <c r="CX205" s="207"/>
      <c r="CY205" s="113"/>
      <c r="CZ205" s="155"/>
      <c r="DA205" s="131" t="s">
        <v>1312</v>
      </c>
      <c r="DB205" s="115" t="str">
        <f>PROPER(N205)</f>
        <v>Andretta Service</v>
      </c>
      <c r="DC205" s="191"/>
      <c r="DD205" s="116" t="str">
        <f>BP205</f>
        <v>Daniela</v>
      </c>
      <c r="DE205" s="117" t="b">
        <f>IF(OR(D205&gt;0),IF(BJ205=0,BN205*BQ205,0))</f>
        <v>0</v>
      </c>
      <c r="DF205" s="117" t="b">
        <f>IF(OR(D205&gt;0),IF(BJ205=0,BN205*BY205,0))</f>
        <v>0</v>
      </c>
      <c r="DG205" s="116" t="str">
        <f>BX205</f>
        <v>Daniela</v>
      </c>
      <c r="DH205" s="76"/>
      <c r="DI205" s="120" t="s">
        <v>154</v>
      </c>
      <c r="DJ205" s="120"/>
      <c r="DK205" s="207"/>
      <c r="DL205" s="207"/>
      <c r="DM205" s="264"/>
      <c r="DN205" s="265"/>
      <c r="DO205" s="265"/>
      <c r="DP205" s="265"/>
      <c r="DQ205" s="265"/>
      <c r="DR205" s="265"/>
      <c r="DS205" s="265"/>
      <c r="DT205" s="265"/>
      <c r="DU205" s="265"/>
      <c r="DV205" s="265"/>
      <c r="DW205" s="265"/>
      <c r="DX205" s="265"/>
      <c r="DY205" s="265"/>
      <c r="DZ205" s="265"/>
    </row>
    <row r="206" spans="1:130" ht="34.5" hidden="1" customHeight="1">
      <c r="A206" s="228"/>
      <c r="B206" s="75" t="s">
        <v>1139</v>
      </c>
      <c r="C206" s="155"/>
      <c r="D206" s="75"/>
      <c r="E206" s="75"/>
      <c r="F206" s="75"/>
      <c r="G206" s="394" t="s">
        <v>1313</v>
      </c>
      <c r="H206" s="394" t="s">
        <v>1308</v>
      </c>
      <c r="I206" s="207" t="s">
        <v>1314</v>
      </c>
      <c r="J206" s="155" t="str">
        <f>CONCATENATE(G206," ",H206)</f>
        <v>Graziano Andretta</v>
      </c>
      <c r="K206" s="156" t="s">
        <v>1315</v>
      </c>
      <c r="L206" s="131" t="s">
        <v>1316</v>
      </c>
      <c r="M206" s="131" t="s">
        <v>1148</v>
      </c>
      <c r="N206" s="160" t="s">
        <v>1311</v>
      </c>
      <c r="O206" s="250"/>
      <c r="P206" s="251"/>
      <c r="Q206" s="131"/>
      <c r="R206" s="252"/>
      <c r="S206" s="254"/>
      <c r="T206" s="346"/>
      <c r="U206" s="253"/>
      <c r="V206" s="253"/>
      <c r="W206" s="251"/>
      <c r="X206" s="131"/>
      <c r="Y206" s="251"/>
      <c r="Z206" s="251"/>
      <c r="AA206" s="251"/>
      <c r="AB206" s="255"/>
      <c r="AC206" s="256"/>
      <c r="AD206" s="121"/>
      <c r="AE206" s="138" t="str">
        <f>L206</f>
        <v>Concesso p/to in 2 tranche 200 + iva al 3/10 e saldo 15/12 -&gt; Fratello che decide viene a VB2B a Marzo per capire se confermano</v>
      </c>
      <c r="AF206" s="257"/>
      <c r="AG206" s="155"/>
      <c r="AH206" s="155"/>
      <c r="AI206" s="257"/>
      <c r="AJ206" s="155"/>
      <c r="AK206" s="155"/>
      <c r="AL206" s="155"/>
      <c r="AM206" s="257"/>
      <c r="AN206" s="258"/>
      <c r="AO206" s="258"/>
      <c r="AP206" s="258"/>
      <c r="AQ206" s="211"/>
      <c r="AR206" s="259"/>
      <c r="AS206" s="259"/>
      <c r="AT206" s="259"/>
      <c r="AU206" s="211"/>
      <c r="AV206" s="154" t="s">
        <v>165</v>
      </c>
      <c r="AW206" s="154" t="s">
        <v>165</v>
      </c>
      <c r="AX206" s="154" t="s">
        <v>165</v>
      </c>
      <c r="AY206" s="214"/>
      <c r="AZ206" s="121"/>
      <c r="BA206" s="121"/>
      <c r="BB206" s="121"/>
      <c r="BC206" s="215"/>
      <c r="BD206" s="121"/>
      <c r="BE206" s="121"/>
      <c r="BF206" s="121"/>
      <c r="BG206" s="216"/>
      <c r="BH206" s="238">
        <f>CF206+CI206+CL206+CO206+CR206</f>
        <v>0</v>
      </c>
      <c r="BI206" s="238">
        <f>CH206+CK206+CN206+CQ206+CT206</f>
        <v>0</v>
      </c>
      <c r="BJ206" s="238">
        <f>BH206-BI206</f>
        <v>0</v>
      </c>
      <c r="BK206" s="351"/>
      <c r="BL206" s="352"/>
      <c r="BM206" s="241"/>
      <c r="BN206" s="142"/>
      <c r="BO206" s="182"/>
      <c r="BP206" s="105" t="s">
        <v>487</v>
      </c>
      <c r="BQ206" s="145">
        <v>0.15</v>
      </c>
      <c r="BR206" s="110"/>
      <c r="BS206" s="242">
        <f>BL206*BQ206</f>
        <v>0</v>
      </c>
      <c r="BT206" s="203">
        <f>BM206*BQ206</f>
        <v>0</v>
      </c>
      <c r="BU206" s="167">
        <f>BN206*BQ206</f>
        <v>0</v>
      </c>
      <c r="BV206" s="168">
        <f>BO206*BQ206</f>
        <v>0</v>
      </c>
      <c r="BW206" s="243"/>
      <c r="BX206" s="105" t="s">
        <v>487</v>
      </c>
      <c r="BY206" s="145">
        <v>0.05</v>
      </c>
      <c r="BZ206" s="110"/>
      <c r="CA206" s="242">
        <f>BL206*BY206</f>
        <v>0</v>
      </c>
      <c r="CB206" s="101">
        <f>BM206*BY206</f>
        <v>0</v>
      </c>
      <c r="CC206" s="106">
        <f>BN206*BY206</f>
        <v>0</v>
      </c>
      <c r="CD206" s="107">
        <f>BO206*BY206</f>
        <v>0</v>
      </c>
      <c r="CE206" s="244"/>
      <c r="CF206" s="110"/>
      <c r="CG206" s="226"/>
      <c r="CH206" s="110"/>
      <c r="CI206" s="110"/>
      <c r="CJ206" s="348"/>
      <c r="CK206" s="110"/>
      <c r="CL206" s="110"/>
      <c r="CM206" s="263"/>
      <c r="CN206" s="110"/>
      <c r="CO206" s="110"/>
      <c r="CP206" s="226"/>
      <c r="CQ206" s="110"/>
      <c r="CR206" s="110"/>
      <c r="CS206" s="226"/>
      <c r="CT206" s="110"/>
      <c r="CU206" s="155">
        <v>1</v>
      </c>
      <c r="CV206" s="181" t="s">
        <v>1123</v>
      </c>
      <c r="CW206" s="181"/>
      <c r="CX206" s="207"/>
      <c r="CY206" s="207"/>
      <c r="CZ206" s="155"/>
      <c r="DA206" s="131" t="s">
        <v>1312</v>
      </c>
      <c r="DB206" s="115" t="str">
        <f>PROPER(N206)</f>
        <v>Andretta Service</v>
      </c>
      <c r="DC206" s="191"/>
      <c r="DD206" s="116" t="str">
        <f>BP206</f>
        <v>Daniela</v>
      </c>
      <c r="DE206" s="117" t="b">
        <f>IF(OR(D206&gt;0),IF(BJ206=0,BN206*BQ206,0))</f>
        <v>0</v>
      </c>
      <c r="DF206" s="117" t="b">
        <f>IF(OR(D206&gt;0),IF(BJ206=0,BN206*BY206,0))</f>
        <v>0</v>
      </c>
      <c r="DG206" s="116" t="str">
        <f>BX206</f>
        <v>Daniela</v>
      </c>
      <c r="DH206" s="76"/>
      <c r="DI206" s="120" t="s">
        <v>154</v>
      </c>
      <c r="DJ206" s="120"/>
      <c r="DK206" s="207"/>
      <c r="DL206" s="207"/>
      <c r="DM206" s="264"/>
      <c r="DN206" s="265"/>
      <c r="DO206" s="265"/>
      <c r="DP206" s="265"/>
      <c r="DQ206" s="265"/>
      <c r="DR206" s="265"/>
      <c r="DS206" s="265"/>
      <c r="DT206" s="265"/>
      <c r="DU206" s="265"/>
      <c r="DV206" s="265"/>
      <c r="DW206" s="265"/>
      <c r="DX206" s="265"/>
      <c r="DY206" s="265"/>
      <c r="DZ206" s="265"/>
    </row>
    <row r="207" spans="1:130" ht="34.5" hidden="1" customHeight="1">
      <c r="A207" s="228"/>
      <c r="B207" s="75" t="s">
        <v>1139</v>
      </c>
      <c r="C207" s="155"/>
      <c r="D207" s="75"/>
      <c r="E207" s="75"/>
      <c r="F207" s="75"/>
      <c r="G207" s="394" t="s">
        <v>407</v>
      </c>
      <c r="H207" s="394" t="s">
        <v>1308</v>
      </c>
      <c r="I207" s="207" t="s">
        <v>1317</v>
      </c>
      <c r="J207" s="155" t="str">
        <f>CONCATENATE(G207," ",H207)</f>
        <v>Stefano Andretta</v>
      </c>
      <c r="K207" s="156" t="s">
        <v>1318</v>
      </c>
      <c r="L207" s="131" t="s">
        <v>1310</v>
      </c>
      <c r="M207" s="131" t="s">
        <v>1148</v>
      </c>
      <c r="N207" s="160" t="s">
        <v>1311</v>
      </c>
      <c r="O207" s="250"/>
      <c r="P207" s="251"/>
      <c r="Q207" s="131"/>
      <c r="R207" s="252"/>
      <c r="S207" s="254"/>
      <c r="T207" s="346"/>
      <c r="U207" s="253"/>
      <c r="V207" s="253"/>
      <c r="W207" s="251"/>
      <c r="X207" s="131"/>
      <c r="Y207" s="251"/>
      <c r="Z207" s="251"/>
      <c r="AA207" s="251"/>
      <c r="AB207" s="255"/>
      <c r="AC207" s="256"/>
      <c r="AD207" s="121"/>
      <c r="AE207" s="138" t="str">
        <f>L207</f>
        <v>Concesso p/to in 2 tranche 200 + iva al 3/10 e saldo 15/12 - Fratello che decide viene a VB2B marzo e poi valuta</v>
      </c>
      <c r="AF207" s="257"/>
      <c r="AG207" s="155"/>
      <c r="AH207" s="155"/>
      <c r="AI207" s="257"/>
      <c r="AJ207" s="155"/>
      <c r="AK207" s="155"/>
      <c r="AL207" s="155"/>
      <c r="AM207" s="257"/>
      <c r="AN207" s="258"/>
      <c r="AO207" s="258"/>
      <c r="AP207" s="258"/>
      <c r="AQ207" s="211"/>
      <c r="AR207" s="259"/>
      <c r="AS207" s="259"/>
      <c r="AT207" s="259"/>
      <c r="AU207" s="211"/>
      <c r="AV207" s="154" t="s">
        <v>165</v>
      </c>
      <c r="AW207" s="154" t="s">
        <v>165</v>
      </c>
      <c r="AX207" s="154" t="s">
        <v>165</v>
      </c>
      <c r="AY207" s="214"/>
      <c r="AZ207" s="121"/>
      <c r="BA207" s="121"/>
      <c r="BB207" s="121"/>
      <c r="BC207" s="215"/>
      <c r="BD207" s="121"/>
      <c r="BE207" s="121"/>
      <c r="BF207" s="121"/>
      <c r="BG207" s="216"/>
      <c r="BH207" s="238">
        <f>CF207+CI207+CL207+CO207+CR207</f>
        <v>0</v>
      </c>
      <c r="BI207" s="238">
        <f>CH207+CK207+CN207+CQ207+CT207</f>
        <v>0</v>
      </c>
      <c r="BJ207" s="238">
        <f>BH207-BI207</f>
        <v>0</v>
      </c>
      <c r="BK207" s="239"/>
      <c r="BL207" s="260">
        <v>0</v>
      </c>
      <c r="BM207" s="241"/>
      <c r="BN207" s="142"/>
      <c r="BO207" s="182"/>
      <c r="BP207" s="105" t="s">
        <v>487</v>
      </c>
      <c r="BQ207" s="145">
        <v>0.15</v>
      </c>
      <c r="BR207" s="261"/>
      <c r="BS207" s="242">
        <f>BL207*BQ207</f>
        <v>0</v>
      </c>
      <c r="BT207" s="373">
        <f>BM207*BQ207</f>
        <v>0</v>
      </c>
      <c r="BU207" s="167">
        <f>BN207*BQ207</f>
        <v>0</v>
      </c>
      <c r="BV207" s="168">
        <f>BO207*BQ207</f>
        <v>0</v>
      </c>
      <c r="BW207" s="243"/>
      <c r="BX207" s="105" t="s">
        <v>487</v>
      </c>
      <c r="BY207" s="145">
        <v>0.05</v>
      </c>
      <c r="BZ207" s="262"/>
      <c r="CA207" s="242">
        <f>BL207*BY207</f>
        <v>0</v>
      </c>
      <c r="CB207" s="101">
        <f>BM207*BY207</f>
        <v>0</v>
      </c>
      <c r="CC207" s="106">
        <f>BN207*BY207</f>
        <v>0</v>
      </c>
      <c r="CD207" s="107">
        <f>BO207*BY207</f>
        <v>0</v>
      </c>
      <c r="CE207" s="244"/>
      <c r="CF207" s="110"/>
      <c r="CG207" s="226"/>
      <c r="CH207" s="110"/>
      <c r="CI207" s="110"/>
      <c r="CJ207" s="348"/>
      <c r="CK207" s="110"/>
      <c r="CL207" s="110"/>
      <c r="CM207" s="263"/>
      <c r="CN207" s="110"/>
      <c r="CO207" s="110"/>
      <c r="CP207" s="226"/>
      <c r="CQ207" s="110"/>
      <c r="CR207" s="110"/>
      <c r="CS207" s="226"/>
      <c r="CT207" s="110"/>
      <c r="CU207" s="155">
        <v>1</v>
      </c>
      <c r="CV207" s="181" t="s">
        <v>1123</v>
      </c>
      <c r="CW207" s="181"/>
      <c r="CX207" s="207"/>
      <c r="CY207" s="207"/>
      <c r="CZ207" s="155"/>
      <c r="DA207" s="131" t="s">
        <v>1312</v>
      </c>
      <c r="DB207" s="115" t="str">
        <f>PROPER(N207)</f>
        <v>Andretta Service</v>
      </c>
      <c r="DC207" s="191"/>
      <c r="DD207" s="116" t="str">
        <f>BP207</f>
        <v>Daniela</v>
      </c>
      <c r="DE207" s="117" t="b">
        <f>IF(OR(D207&gt;0),IF(BJ207=0,BN207*BQ207,0))</f>
        <v>0</v>
      </c>
      <c r="DF207" s="117" t="b">
        <f>IF(OR(D207&gt;0),IF(BJ207=0,BN207*BY207,0))</f>
        <v>0</v>
      </c>
      <c r="DG207" s="116" t="str">
        <f>BX207</f>
        <v>Daniela</v>
      </c>
      <c r="DH207" s="76"/>
      <c r="DI207" s="120" t="s">
        <v>154</v>
      </c>
      <c r="DJ207" s="120"/>
      <c r="DK207" s="207"/>
      <c r="DL207" s="207"/>
      <c r="DM207" s="264"/>
      <c r="DN207" s="265"/>
      <c r="DO207" s="265"/>
      <c r="DP207" s="265"/>
      <c r="DQ207" s="265"/>
      <c r="DR207" s="265"/>
      <c r="DS207" s="265"/>
      <c r="DT207" s="265"/>
      <c r="DU207" s="265"/>
      <c r="DV207" s="265"/>
      <c r="DW207" s="265"/>
      <c r="DX207" s="265"/>
      <c r="DY207" s="265"/>
      <c r="DZ207" s="265"/>
    </row>
    <row r="208" spans="1:130" ht="34.5" hidden="1" customHeight="1">
      <c r="A208" s="228"/>
      <c r="B208" s="75" t="s">
        <v>1359</v>
      </c>
      <c r="C208" s="155"/>
      <c r="D208" s="75">
        <v>1</v>
      </c>
      <c r="E208" s="75">
        <v>1</v>
      </c>
      <c r="F208" s="75"/>
      <c r="G208" s="400" t="s">
        <v>912</v>
      </c>
      <c r="H208" s="400" t="s">
        <v>1789</v>
      </c>
      <c r="I208" s="207" t="s">
        <v>1790</v>
      </c>
      <c r="J208" s="121" t="str">
        <f>CONCATENATE(G208," ",H208)</f>
        <v>Francesco Valeriani</v>
      </c>
      <c r="K208" s="156">
        <v>3204178880</v>
      </c>
      <c r="L208" s="152" t="s">
        <v>1493</v>
      </c>
      <c r="M208" s="487" t="s">
        <v>112</v>
      </c>
      <c r="N208" s="160" t="s">
        <v>1791</v>
      </c>
      <c r="O208" s="402"/>
      <c r="P208" s="315"/>
      <c r="Q208" s="160"/>
      <c r="R208" s="403"/>
      <c r="S208" s="160"/>
      <c r="T208" s="404"/>
      <c r="U208" s="315"/>
      <c r="V208" s="315"/>
      <c r="W208" s="315"/>
      <c r="X208" s="131"/>
      <c r="Y208" s="315"/>
      <c r="Z208" s="315"/>
      <c r="AA208" s="315"/>
      <c r="AB208" s="37"/>
      <c r="AC208" s="131"/>
      <c r="AD208" s="121" t="s">
        <v>1792</v>
      </c>
      <c r="AE208" s="88"/>
      <c r="AF208" s="560"/>
      <c r="AG208" s="406"/>
      <c r="AH208" s="406"/>
      <c r="AI208" s="560"/>
      <c r="AJ208" s="155"/>
      <c r="AK208" s="155"/>
      <c r="AL208" s="155"/>
      <c r="AM208" s="257"/>
      <c r="AN208" s="155"/>
      <c r="AO208" s="155"/>
      <c r="AP208" s="155"/>
      <c r="AQ208" s="211"/>
      <c r="AR208" s="259"/>
      <c r="AS208" s="259"/>
      <c r="AT208" s="259"/>
      <c r="AU208" s="211"/>
      <c r="AV208" s="75"/>
      <c r="AW208" s="121"/>
      <c r="AX208" s="121"/>
      <c r="AY208" s="214"/>
      <c r="AZ208" s="121" t="s">
        <v>115</v>
      </c>
      <c r="BA208" s="121" t="s">
        <v>115</v>
      </c>
      <c r="BB208" s="1999" t="s">
        <v>115</v>
      </c>
      <c r="BC208" s="215"/>
      <c r="BD208" s="121"/>
      <c r="BE208" s="121"/>
      <c r="BF208" s="121"/>
      <c r="BG208" s="216"/>
      <c r="BH208" s="92">
        <f>CF208+CI208+CL208+CO208+CR208</f>
        <v>2397</v>
      </c>
      <c r="BI208" s="92">
        <f>CH208+CK208+CN208+CQ208+CT208</f>
        <v>2397</v>
      </c>
      <c r="BJ208" s="92">
        <f>BH208-BI208</f>
        <v>0</v>
      </c>
      <c r="BK208" s="239"/>
      <c r="BL208" s="260"/>
      <c r="BM208" s="241"/>
      <c r="BN208" s="142">
        <v>2397</v>
      </c>
      <c r="BO208" s="182"/>
      <c r="BP208" s="441" t="s">
        <v>1496</v>
      </c>
      <c r="BQ208" s="145">
        <v>0.15</v>
      </c>
      <c r="BR208" s="2064"/>
      <c r="BS208" s="381">
        <f>BL208*BQ208</f>
        <v>0</v>
      </c>
      <c r="BT208" s="2074">
        <f>BM208*BQ208</f>
        <v>0</v>
      </c>
      <c r="BU208" s="530">
        <f>BN208*BQ208</f>
        <v>359.55</v>
      </c>
      <c r="BV208" s="168">
        <f>BO208*BQ208</f>
        <v>0</v>
      </c>
      <c r="BW208" s="160" t="s">
        <v>185</v>
      </c>
      <c r="BX208" s="441" t="s">
        <v>525</v>
      </c>
      <c r="BY208" s="145">
        <v>0.05</v>
      </c>
      <c r="BZ208" s="262"/>
      <c r="CA208" s="242">
        <f>BL208*BY208</f>
        <v>0</v>
      </c>
      <c r="CB208" s="101">
        <f>BM208*BY208</f>
        <v>0</v>
      </c>
      <c r="CC208" s="106">
        <f>BN208*BY208</f>
        <v>119.85000000000001</v>
      </c>
      <c r="CD208" s="107">
        <f>BO208*BY208</f>
        <v>0</v>
      </c>
      <c r="CE208" s="84" t="s">
        <v>185</v>
      </c>
      <c r="CF208" s="110">
        <v>2397</v>
      </c>
      <c r="CG208" s="226">
        <v>45198</v>
      </c>
      <c r="CH208" s="110">
        <v>2397</v>
      </c>
      <c r="CI208" s="415"/>
      <c r="CJ208" s="416"/>
      <c r="CK208" s="415"/>
      <c r="CL208" s="415"/>
      <c r="CM208" s="416"/>
      <c r="CN208" s="415"/>
      <c r="CO208" s="263"/>
      <c r="CP208" s="263"/>
      <c r="CQ208" s="263"/>
      <c r="CR208" s="263"/>
      <c r="CS208" s="263"/>
      <c r="CT208" s="263"/>
      <c r="CU208" s="155">
        <v>1</v>
      </c>
      <c r="CV208" s="181"/>
      <c r="CW208" s="181"/>
      <c r="CX208" s="181"/>
      <c r="CY208" s="155"/>
      <c r="CZ208" s="121"/>
      <c r="DA208" s="428" t="s">
        <v>1793</v>
      </c>
      <c r="DB208" s="115" t="str">
        <f>PROPER(N208)</f>
        <v>Tuttogas Autofficina</v>
      </c>
      <c r="DC208" s="280" t="s">
        <v>1794</v>
      </c>
      <c r="DD208" s="116" t="str">
        <f>BP208</f>
        <v>Patrizia Sabatino</v>
      </c>
      <c r="DE208" s="117">
        <f>IF(OR(D208&gt;0),IF(BJ208=0,BN208*BQ208,0))</f>
        <v>359.55</v>
      </c>
      <c r="DF208" s="117">
        <f>IF(OR(D208&gt;0),IF(BJ208=0,BN208*BY208,0))</f>
        <v>119.85000000000001</v>
      </c>
      <c r="DG208" s="118" t="str">
        <f>BX208</f>
        <v>Bruno</v>
      </c>
      <c r="DH208" s="76"/>
      <c r="DI208" s="120" t="s">
        <v>126</v>
      </c>
      <c r="DJ208" s="120"/>
      <c r="DK208" s="74" t="s">
        <v>1399</v>
      </c>
      <c r="DL208" s="74" t="s">
        <v>1399</v>
      </c>
      <c r="DM208" s="122"/>
      <c r="DN208" s="6"/>
      <c r="DO208" s="6"/>
      <c r="DP208" s="6"/>
      <c r="DQ208" s="6"/>
      <c r="DR208" s="6"/>
      <c r="DS208" s="6"/>
      <c r="DT208" s="6"/>
      <c r="DU208" s="6"/>
      <c r="DV208" s="6"/>
      <c r="DW208" s="6"/>
      <c r="DX208" s="6"/>
      <c r="DY208" s="6"/>
      <c r="DZ208" s="6"/>
    </row>
    <row r="209" spans="1:130" ht="34.5" hidden="1" customHeight="1">
      <c r="A209" s="3"/>
      <c r="B209" s="75" t="s">
        <v>108</v>
      </c>
      <c r="C209" s="121"/>
      <c r="D209" s="75">
        <v>1</v>
      </c>
      <c r="E209" s="75">
        <v>1</v>
      </c>
      <c r="F209" s="75"/>
      <c r="G209" s="79" t="s">
        <v>503</v>
      </c>
      <c r="H209" s="79" t="s">
        <v>504</v>
      </c>
      <c r="I209" s="131" t="s">
        <v>505</v>
      </c>
      <c r="J209" s="75" t="str">
        <f>CONCATENATE(G209," ",H209)</f>
        <v>Franco Artifoni</v>
      </c>
      <c r="K209" s="156" t="s">
        <v>506</v>
      </c>
      <c r="L209" s="157"/>
      <c r="M209" s="1895" t="s">
        <v>507</v>
      </c>
      <c r="N209" s="549" t="s">
        <v>508</v>
      </c>
      <c r="O209" s="407"/>
      <c r="P209" s="1941"/>
      <c r="Q209" s="86"/>
      <c r="R209" s="86"/>
      <c r="S209" s="86"/>
      <c r="T209" s="1953"/>
      <c r="U209" s="1941"/>
      <c r="V209" s="1941"/>
      <c r="W209" s="1941"/>
      <c r="X209" s="86"/>
      <c r="Y209" s="1960"/>
      <c r="Z209" s="1941"/>
      <c r="AA209" s="1941"/>
      <c r="AB209" s="86"/>
      <c r="AC209" s="86"/>
      <c r="AD209" s="86" t="s">
        <v>509</v>
      </c>
      <c r="AE209" s="88">
        <f>L209</f>
        <v>0</v>
      </c>
      <c r="AF209" s="407"/>
      <c r="AG209" s="121"/>
      <c r="AH209" s="121"/>
      <c r="AI209" s="407"/>
      <c r="AJ209" s="121"/>
      <c r="AK209" s="121"/>
      <c r="AL209" s="121"/>
      <c r="AM209" s="407"/>
      <c r="AN209" s="155"/>
      <c r="AO209" s="155"/>
      <c r="AP209" s="155"/>
      <c r="AQ209" s="1982"/>
      <c r="AR209" s="259"/>
      <c r="AS209" s="259"/>
      <c r="AT209" s="1987"/>
      <c r="AU209" s="408"/>
      <c r="AV209" s="75"/>
      <c r="AW209" s="121"/>
      <c r="AX209" s="121"/>
      <c r="AY209" s="1982"/>
      <c r="AZ209" s="121" t="s">
        <v>115</v>
      </c>
      <c r="BA209" s="121" t="s">
        <v>115</v>
      </c>
      <c r="BB209" s="135" t="s">
        <v>115</v>
      </c>
      <c r="BC209" s="1982"/>
      <c r="BD209" s="121"/>
      <c r="BE209" s="121"/>
      <c r="BF209" s="121"/>
      <c r="BG209" s="408"/>
      <c r="BH209" s="238">
        <f>CF209+CI209+CL209+CO209+CR209</f>
        <v>2997</v>
      </c>
      <c r="BI209" s="238">
        <f>CH209+CK209+CN209+CQ209+CT209</f>
        <v>2997</v>
      </c>
      <c r="BJ209" s="238">
        <f>BH209-BI209</f>
        <v>0</v>
      </c>
      <c r="BK209" s="199"/>
      <c r="BL209" s="200"/>
      <c r="BM209" s="241"/>
      <c r="BN209" s="142">
        <v>2997</v>
      </c>
      <c r="BO209" s="182"/>
      <c r="BP209" s="281" t="s">
        <v>414</v>
      </c>
      <c r="BQ209" s="98">
        <v>0.15</v>
      </c>
      <c r="BR209" s="2057"/>
      <c r="BS209" s="202"/>
      <c r="BT209" s="410">
        <f>BM209*BQ209</f>
        <v>0</v>
      </c>
      <c r="BU209" s="167"/>
      <c r="BV209" s="168">
        <f>BO209*BQ209</f>
        <v>0</v>
      </c>
      <c r="BW209" s="131" t="s">
        <v>142</v>
      </c>
      <c r="BX209" s="105" t="s">
        <v>414</v>
      </c>
      <c r="BY209" s="98">
        <v>0.05</v>
      </c>
      <c r="BZ209" s="2058"/>
      <c r="CA209" s="202"/>
      <c r="CB209" s="101">
        <f>BM209*BY209</f>
        <v>0</v>
      </c>
      <c r="CC209" s="530"/>
      <c r="CD209" s="531">
        <f>BO209*BY209</f>
        <v>0</v>
      </c>
      <c r="CE209" s="80" t="s">
        <v>142</v>
      </c>
      <c r="CF209" s="412">
        <v>2997</v>
      </c>
      <c r="CG209" s="413">
        <v>45016</v>
      </c>
      <c r="CH209" s="110">
        <v>2997</v>
      </c>
      <c r="CI209" s="110"/>
      <c r="CJ209" s="226"/>
      <c r="CK209" s="206"/>
      <c r="CL209" s="206"/>
      <c r="CM209" s="226"/>
      <c r="CN209" s="206"/>
      <c r="CO209" s="206"/>
      <c r="CP209" s="206"/>
      <c r="CQ209" s="206"/>
      <c r="CR209" s="206"/>
      <c r="CS209" s="206"/>
      <c r="CT209" s="206"/>
      <c r="CU209" s="90">
        <v>1</v>
      </c>
      <c r="CV209" s="181" t="s">
        <v>121</v>
      </c>
      <c r="CW209" s="181"/>
      <c r="CX209" s="207"/>
      <c r="CY209" s="155" t="s">
        <v>122</v>
      </c>
      <c r="CZ209" s="155"/>
      <c r="DA209" s="1867" t="s">
        <v>510</v>
      </c>
      <c r="DB209" s="115" t="str">
        <f>PROPER(N209)</f>
        <v>Studio Ap Architetti</v>
      </c>
      <c r="DC209" s="191" t="s">
        <v>264</v>
      </c>
      <c r="DD209" s="116" t="str">
        <f>BP209</f>
        <v>Barbara</v>
      </c>
      <c r="DE209" s="117">
        <f>IF(OR(D209&gt;0),IF(BJ209=0,BN209*BQ209,0))</f>
        <v>449.55</v>
      </c>
      <c r="DF209" s="117">
        <f>IF(OR(D209&gt;0),IF(BJ209=0,BN209*BY209,0))</f>
        <v>149.85</v>
      </c>
      <c r="DG209" s="116" t="str">
        <f>BX209</f>
        <v>Barbara</v>
      </c>
      <c r="DH209" s="76"/>
      <c r="DI209" s="120" t="s">
        <v>126</v>
      </c>
      <c r="DJ209" s="120"/>
      <c r="DK209" s="121"/>
      <c r="DL209" s="121"/>
      <c r="DM209" s="122">
        <v>1</v>
      </c>
      <c r="DN209" s="6"/>
      <c r="DO209" s="6"/>
      <c r="DP209" s="6"/>
      <c r="DQ209" s="6"/>
      <c r="DR209" s="6"/>
      <c r="DS209" s="6"/>
      <c r="DT209" s="6"/>
      <c r="DU209" s="6"/>
      <c r="DV209" s="6"/>
      <c r="DW209" s="6"/>
      <c r="DX209" s="6"/>
      <c r="DY209" s="6"/>
      <c r="DZ209" s="6"/>
    </row>
    <row r="210" spans="1:130" ht="34.5" hidden="1" customHeight="1">
      <c r="A210" s="228"/>
      <c r="B210" s="75" t="s">
        <v>1359</v>
      </c>
      <c r="C210" s="155"/>
      <c r="D210" s="75">
        <v>1</v>
      </c>
      <c r="E210" s="75">
        <v>1</v>
      </c>
      <c r="F210" s="75"/>
      <c r="G210" s="400" t="s">
        <v>1799</v>
      </c>
      <c r="H210" s="400" t="s">
        <v>1800</v>
      </c>
      <c r="I210" s="207" t="s">
        <v>1801</v>
      </c>
      <c r="J210" s="75" t="str">
        <f>CONCATENATE(G210," ",H210)</f>
        <v>Fulvio Angelillo</v>
      </c>
      <c r="K210" s="156">
        <v>3383322699</v>
      </c>
      <c r="L210" s="435"/>
      <c r="M210" s="487" t="s">
        <v>702</v>
      </c>
      <c r="N210" s="160" t="s">
        <v>1802</v>
      </c>
      <c r="O210" s="402"/>
      <c r="P210" s="315"/>
      <c r="Q210" s="160"/>
      <c r="R210" s="403"/>
      <c r="S210" s="160"/>
      <c r="T210" s="404"/>
      <c r="U210" s="315"/>
      <c r="V210" s="315"/>
      <c r="W210" s="315"/>
      <c r="X210" s="131"/>
      <c r="Y210" s="315"/>
      <c r="Z210" s="315"/>
      <c r="AA210" s="315"/>
      <c r="AB210" s="37"/>
      <c r="AC210" s="131"/>
      <c r="AD210" s="121" t="s">
        <v>1803</v>
      </c>
      <c r="AE210" s="88"/>
      <c r="AF210" s="405"/>
      <c r="AG210" s="406"/>
      <c r="AH210" s="406"/>
      <c r="AI210" s="405"/>
      <c r="AJ210" s="155"/>
      <c r="AK210" s="155"/>
      <c r="AL210" s="155"/>
      <c r="AM210" s="407"/>
      <c r="AN210" s="155"/>
      <c r="AO210" s="155"/>
      <c r="AP210" s="155"/>
      <c r="AQ210" s="85"/>
      <c r="AR210" s="259"/>
      <c r="AS210" s="259"/>
      <c r="AT210" s="1987"/>
      <c r="AU210" s="408"/>
      <c r="AV210" s="75"/>
      <c r="AW210" s="121"/>
      <c r="AX210" s="121"/>
      <c r="AY210" s="85"/>
      <c r="AZ210" s="121" t="s">
        <v>115</v>
      </c>
      <c r="BA210" s="121" t="s">
        <v>115</v>
      </c>
      <c r="BB210" s="135" t="s">
        <v>115</v>
      </c>
      <c r="BC210" s="85"/>
      <c r="BD210" s="121"/>
      <c r="BE210" s="121"/>
      <c r="BF210" s="121"/>
      <c r="BG210" s="408"/>
      <c r="BH210" s="238">
        <f>CF210+CI210+CL210+CO210+CR210</f>
        <v>2997</v>
      </c>
      <c r="BI210" s="238">
        <f>CH210+CK210+CN210+CQ210+CT210</f>
        <v>2997</v>
      </c>
      <c r="BJ210" s="238">
        <f>BH210-BI210</f>
        <v>0</v>
      </c>
      <c r="BK210" s="239"/>
      <c r="BL210" s="260"/>
      <c r="BM210" s="241"/>
      <c r="BN210" s="142">
        <v>2997</v>
      </c>
      <c r="BO210" s="182"/>
      <c r="BP210" s="105" t="s">
        <v>133</v>
      </c>
      <c r="BQ210" s="98">
        <v>0.15</v>
      </c>
      <c r="BR210" s="409"/>
      <c r="BS210" s="242">
        <f>BL210*BQ210</f>
        <v>0</v>
      </c>
      <c r="BT210" s="410">
        <f>BM210*BQ210</f>
        <v>0</v>
      </c>
      <c r="BU210" s="167">
        <f>BN210*BQ210</f>
        <v>449.55</v>
      </c>
      <c r="BV210" s="168">
        <f>BO210*BQ210</f>
        <v>0</v>
      </c>
      <c r="BW210" s="160" t="s">
        <v>185</v>
      </c>
      <c r="BX210" s="105" t="s">
        <v>133</v>
      </c>
      <c r="BY210" s="145">
        <v>0.05</v>
      </c>
      <c r="BZ210" s="262"/>
      <c r="CA210" s="242">
        <f>BL210*BY210</f>
        <v>0</v>
      </c>
      <c r="CB210" s="101">
        <f>BM210*BY210</f>
        <v>0</v>
      </c>
      <c r="CC210" s="530">
        <f>BN210*BY210</f>
        <v>149.85</v>
      </c>
      <c r="CD210" s="531">
        <f>BO210*BY210</f>
        <v>0</v>
      </c>
      <c r="CE210" s="84" t="s">
        <v>185</v>
      </c>
      <c r="CF210" s="412">
        <v>2997</v>
      </c>
      <c r="CG210" s="413">
        <v>45198</v>
      </c>
      <c r="CH210" s="110">
        <v>2997</v>
      </c>
      <c r="CI210" s="415"/>
      <c r="CJ210" s="416"/>
      <c r="CK210" s="415"/>
      <c r="CL210" s="415"/>
      <c r="CM210" s="416"/>
      <c r="CN210" s="415"/>
      <c r="CO210" s="263"/>
      <c r="CP210" s="263"/>
      <c r="CQ210" s="263"/>
      <c r="CR210" s="263"/>
      <c r="CS210" s="263"/>
      <c r="CT210" s="263"/>
      <c r="CU210" s="90">
        <v>1</v>
      </c>
      <c r="CV210" s="181"/>
      <c r="CW210" s="181"/>
      <c r="CX210" s="181"/>
      <c r="CY210" s="155"/>
      <c r="CZ210" s="121"/>
      <c r="DA210" s="2131" t="s">
        <v>1804</v>
      </c>
      <c r="DB210" s="115" t="str">
        <f>PROPER(N210)</f>
        <v>Triotek</v>
      </c>
      <c r="DC210" s="280" t="s">
        <v>264</v>
      </c>
      <c r="DD210" s="116" t="str">
        <f>BP210</f>
        <v>Cristian B</v>
      </c>
      <c r="DE210" s="117">
        <f>IF(OR(D210&gt;0),IF(BJ210=0,BN210*BQ210,0))</f>
        <v>449.55</v>
      </c>
      <c r="DF210" s="117">
        <f>IF(OR(D210&gt;0),IF(BJ210=0,BN210*BY210,0))</f>
        <v>149.85</v>
      </c>
      <c r="DG210" s="118" t="str">
        <f>BX210</f>
        <v>Cristian B</v>
      </c>
      <c r="DH210" s="76"/>
      <c r="DI210" s="120" t="s">
        <v>126</v>
      </c>
      <c r="DJ210" s="120"/>
      <c r="DK210" s="74" t="s">
        <v>1418</v>
      </c>
      <c r="DL210" s="74" t="s">
        <v>1418</v>
      </c>
      <c r="DM210" s="122">
        <v>1</v>
      </c>
      <c r="DN210" s="6"/>
      <c r="DO210" s="6"/>
      <c r="DP210" s="6"/>
      <c r="DQ210" s="6"/>
      <c r="DR210" s="6"/>
      <c r="DS210" s="6"/>
      <c r="DT210" s="6"/>
      <c r="DU210" s="6"/>
      <c r="DV210" s="6"/>
      <c r="DW210" s="6"/>
      <c r="DX210" s="6"/>
      <c r="DY210" s="6"/>
      <c r="DZ210" s="6"/>
    </row>
    <row r="211" spans="1:130" ht="34.5" hidden="1" customHeight="1">
      <c r="A211" s="228"/>
      <c r="B211" s="75" t="s">
        <v>1928</v>
      </c>
      <c r="C211" s="121"/>
      <c r="D211" s="75">
        <v>1</v>
      </c>
      <c r="E211" s="75"/>
      <c r="F211" s="75"/>
      <c r="G211" s="181" t="s">
        <v>1799</v>
      </c>
      <c r="H211" s="181" t="s">
        <v>2489</v>
      </c>
      <c r="I211" s="1835" t="s">
        <v>2490</v>
      </c>
      <c r="J211" s="75" t="str">
        <f>CONCATENATE(G211," ",H211)</f>
        <v>Fulvio Frescoso</v>
      </c>
      <c r="K211" s="181"/>
      <c r="L211" s="131"/>
      <c r="M211" s="131" t="s">
        <v>438</v>
      </c>
      <c r="N211" s="486" t="s">
        <v>2491</v>
      </c>
      <c r="O211" s="556"/>
      <c r="P211" s="314"/>
      <c r="Q211" s="37"/>
      <c r="R211" s="131"/>
      <c r="S211" s="160"/>
      <c r="T211" s="404"/>
      <c r="U211" s="315"/>
      <c r="V211" s="315"/>
      <c r="W211" s="316"/>
      <c r="X211" s="234"/>
      <c r="Y211" s="316"/>
      <c r="Z211" s="316"/>
      <c r="AA211" s="316"/>
      <c r="AB211" s="37"/>
      <c r="AC211" s="37"/>
      <c r="AD211" s="37" t="s">
        <v>118</v>
      </c>
      <c r="AE211" s="138"/>
      <c r="AF211" s="407"/>
      <c r="AG211" s="121"/>
      <c r="AH211" s="121"/>
      <c r="AI211" s="407"/>
      <c r="AJ211" s="121"/>
      <c r="AK211" s="121"/>
      <c r="AL211" s="121"/>
      <c r="AM211" s="407"/>
      <c r="AN211" s="155"/>
      <c r="AO211" s="155"/>
      <c r="AP211" s="155"/>
      <c r="AQ211" s="1982"/>
      <c r="AR211" s="259"/>
      <c r="AS211" s="259"/>
      <c r="AT211" s="1987"/>
      <c r="AU211" s="408"/>
      <c r="AV211" s="75"/>
      <c r="AW211" s="121"/>
      <c r="AX211" s="121"/>
      <c r="AY211" s="1982"/>
      <c r="AZ211" s="121" t="s">
        <v>116</v>
      </c>
      <c r="BA211" s="154" t="s">
        <v>297</v>
      </c>
      <c r="BB211" s="121" t="s">
        <v>116</v>
      </c>
      <c r="BC211" s="1982"/>
      <c r="BD211" s="121"/>
      <c r="BE211" s="121"/>
      <c r="BF211" s="121"/>
      <c r="BG211" s="408"/>
      <c r="BH211" s="238"/>
      <c r="BI211" s="238"/>
      <c r="BJ211" s="238"/>
      <c r="BK211" s="239"/>
      <c r="BL211" s="260"/>
      <c r="BM211" s="241"/>
      <c r="BN211" s="142"/>
      <c r="BO211" s="182"/>
      <c r="BP211" s="281"/>
      <c r="BQ211" s="98"/>
      <c r="BR211" s="409"/>
      <c r="BS211" s="242"/>
      <c r="BT211" s="410"/>
      <c r="BU211" s="167">
        <f>BN211*BQ211</f>
        <v>0</v>
      </c>
      <c r="BV211" s="168">
        <f>BO211*BQ211</f>
        <v>0</v>
      </c>
      <c r="BW211" s="243"/>
      <c r="BX211" s="275"/>
      <c r="BY211" s="145"/>
      <c r="BZ211" s="262"/>
      <c r="CA211" s="242"/>
      <c r="CB211" s="101"/>
      <c r="CC211" s="530">
        <f>BN211*BY211</f>
        <v>0</v>
      </c>
      <c r="CD211" s="531">
        <f>BO211*BY211</f>
        <v>0</v>
      </c>
      <c r="CE211" s="411"/>
      <c r="CF211" s="412"/>
      <c r="CG211" s="413"/>
      <c r="CH211" s="110"/>
      <c r="CI211" s="110"/>
      <c r="CJ211" s="226"/>
      <c r="CK211" s="206"/>
      <c r="CL211" s="206"/>
      <c r="CM211" s="226"/>
      <c r="CN211" s="206"/>
      <c r="CO211" s="206"/>
      <c r="CP211" s="206"/>
      <c r="CQ211" s="206"/>
      <c r="CR211" s="206"/>
      <c r="CS211" s="206"/>
      <c r="CT211" s="206"/>
      <c r="CU211" s="90">
        <v>1</v>
      </c>
      <c r="CV211" s="181"/>
      <c r="CW211" s="181"/>
      <c r="CX211" s="207"/>
      <c r="CY211" s="155"/>
      <c r="CZ211" s="155"/>
      <c r="DA211" s="2137" t="s">
        <v>2492</v>
      </c>
      <c r="DB211" s="115" t="str">
        <f>PROPER(N211)</f>
        <v>Soluzioni Logistiche</v>
      </c>
      <c r="DC211" s="191" t="s">
        <v>1571</v>
      </c>
      <c r="DD211" s="116">
        <f>BP211</f>
        <v>0</v>
      </c>
      <c r="DE211" s="117">
        <f>IF(OR(D211&gt;0),IF(BJ211=0,BN211*BQ211,0))</f>
        <v>0</v>
      </c>
      <c r="DF211" s="117">
        <f>IF(OR(D211&gt;0),IF(BJ211=0,BN211*BY211,0))</f>
        <v>0</v>
      </c>
      <c r="DG211" s="113">
        <f>BX211</f>
        <v>0</v>
      </c>
      <c r="DH211" s="510"/>
      <c r="DI211" s="120" t="s">
        <v>126</v>
      </c>
      <c r="DJ211" s="120"/>
      <c r="DK211" s="207"/>
      <c r="DL211" s="207"/>
      <c r="DM211" s="248">
        <v>1</v>
      </c>
    </row>
    <row r="212" spans="1:130" ht="34.5" hidden="1" customHeight="1">
      <c r="A212" s="228"/>
      <c r="B212" s="75" t="s">
        <v>1324</v>
      </c>
      <c r="C212" s="155"/>
      <c r="D212" s="75"/>
      <c r="E212" s="75">
        <v>1</v>
      </c>
      <c r="F212" s="75"/>
      <c r="G212" s="420" t="s">
        <v>511</v>
      </c>
      <c r="H212" s="420" t="s">
        <v>1354</v>
      </c>
      <c r="I212" s="207" t="s">
        <v>1355</v>
      </c>
      <c r="J212" s="75" t="str">
        <f>CONCATENATE(G212," ",H212)</f>
        <v>Gabriele Andreoli</v>
      </c>
      <c r="K212" s="156">
        <v>3661953493</v>
      </c>
      <c r="L212" s="1879"/>
      <c r="M212" s="153"/>
      <c r="N212" s="160" t="s">
        <v>758</v>
      </c>
      <c r="O212" s="402"/>
      <c r="P212" s="315"/>
      <c r="Q212" s="160"/>
      <c r="R212" s="403"/>
      <c r="S212" s="160"/>
      <c r="T212" s="404"/>
      <c r="U212" s="315"/>
      <c r="V212" s="315"/>
      <c r="W212" s="315"/>
      <c r="X212" s="131"/>
      <c r="Y212" s="315"/>
      <c r="Z212" s="315"/>
      <c r="AA212" s="315"/>
      <c r="AB212" s="37"/>
      <c r="AC212" s="131"/>
      <c r="AD212" s="121" t="s">
        <v>1356</v>
      </c>
      <c r="AE212" s="88"/>
      <c r="AF212" s="405"/>
      <c r="AG212" s="406"/>
      <c r="AH212" s="406"/>
      <c r="AI212" s="405"/>
      <c r="AJ212" s="155"/>
      <c r="AK212" s="155"/>
      <c r="AL212" s="155"/>
      <c r="AM212" s="407"/>
      <c r="AN212" s="155"/>
      <c r="AO212" s="155"/>
      <c r="AP212" s="155"/>
      <c r="AQ212" s="85"/>
      <c r="AR212" s="259"/>
      <c r="AS212" s="259"/>
      <c r="AT212" s="3"/>
      <c r="AU212" s="408"/>
      <c r="AV212" s="75"/>
      <c r="AW212" s="121"/>
      <c r="AX212" s="121"/>
      <c r="AY212" s="85"/>
      <c r="AZ212" s="121"/>
      <c r="BA212" s="121" t="s">
        <v>115</v>
      </c>
      <c r="BB212" s="135" t="s">
        <v>115</v>
      </c>
      <c r="BC212" s="85"/>
      <c r="BD212" s="121"/>
      <c r="BE212" s="121"/>
      <c r="BF212" s="121"/>
      <c r="BG212" s="408"/>
      <c r="BH212" s="238">
        <f>CF212+CI212+CL212+CO212+CR212</f>
        <v>2000</v>
      </c>
      <c r="BI212" s="238">
        <f>CH212+CK212+CN212+CQ212+CT212</f>
        <v>0</v>
      </c>
      <c r="BJ212" s="238">
        <f>BH212-BI212</f>
        <v>2000</v>
      </c>
      <c r="BK212" s="239"/>
      <c r="BL212" s="260"/>
      <c r="BM212" s="241"/>
      <c r="BN212" s="421">
        <v>2000</v>
      </c>
      <c r="BO212" s="182"/>
      <c r="BP212" s="281" t="s">
        <v>262</v>
      </c>
      <c r="BQ212" s="98">
        <v>0.15</v>
      </c>
      <c r="BR212" s="409"/>
      <c r="BS212" s="242"/>
      <c r="BT212" s="410"/>
      <c r="BU212" s="167">
        <f>BN212*BQ212</f>
        <v>300</v>
      </c>
      <c r="BV212" s="168">
        <f>BO212*BQ212</f>
        <v>0</v>
      </c>
      <c r="BW212" s="131"/>
      <c r="BX212" s="105" t="s">
        <v>160</v>
      </c>
      <c r="BY212" s="145">
        <v>0.1</v>
      </c>
      <c r="BZ212" s="262"/>
      <c r="CA212" s="242"/>
      <c r="CB212" s="101"/>
      <c r="CC212" s="167">
        <f>BV212*BY212</f>
        <v>0</v>
      </c>
      <c r="CD212" s="168">
        <f>BW212*BY212</f>
        <v>0</v>
      </c>
      <c r="CE212" s="411"/>
      <c r="CF212" s="412">
        <v>2000</v>
      </c>
      <c r="CG212" s="413">
        <v>45240</v>
      </c>
      <c r="CH212" s="249"/>
      <c r="CI212" s="415"/>
      <c r="CJ212" s="416"/>
      <c r="CK212" s="415"/>
      <c r="CL212" s="415"/>
      <c r="CM212" s="416"/>
      <c r="CN212" s="415"/>
      <c r="CO212" s="263"/>
      <c r="CP212" s="263"/>
      <c r="CQ212" s="263"/>
      <c r="CR212" s="263"/>
      <c r="CS212" s="263"/>
      <c r="CT212" s="263"/>
      <c r="CU212" s="90"/>
      <c r="CV212" s="181"/>
      <c r="CW212" s="181"/>
      <c r="CX212" s="181"/>
      <c r="CY212" s="155"/>
      <c r="CZ212" s="121"/>
      <c r="DA212" s="2152" t="s">
        <v>1357</v>
      </c>
      <c r="DB212" s="115" t="str">
        <f>PROPER(N212)</f>
        <v>Hegoone</v>
      </c>
      <c r="DC212" s="419" t="s">
        <v>1358</v>
      </c>
      <c r="DD212" s="116" t="str">
        <f>BP212</f>
        <v>Pacci</v>
      </c>
      <c r="DE212" s="117" t="b">
        <f>IF(OR(D212&gt;0),IF(BJ212=0,BN212*BQ212,0))</f>
        <v>0</v>
      </c>
      <c r="DF212" s="117" t="b">
        <f>IF(OR(D212&gt;0),IF(BJ212=0,BN212*BY212,0))</f>
        <v>0</v>
      </c>
      <c r="DG212" s="118" t="str">
        <f>BX212</f>
        <v>Gianluca</v>
      </c>
      <c r="DH212" s="76"/>
      <c r="DI212" s="120" t="s">
        <v>126</v>
      </c>
      <c r="DJ212" s="120"/>
      <c r="DK212" s="74"/>
      <c r="DL212" s="74"/>
      <c r="DM212" s="122">
        <v>1</v>
      </c>
      <c r="DN212" s="6"/>
      <c r="DO212" s="6"/>
      <c r="DP212" s="6"/>
      <c r="DQ212" s="6"/>
      <c r="DR212" s="6"/>
      <c r="DS212" s="6"/>
      <c r="DT212" s="6"/>
      <c r="DU212" s="6"/>
      <c r="DV212" s="6"/>
      <c r="DW212" s="6"/>
      <c r="DX212" s="6"/>
      <c r="DY212" s="6"/>
      <c r="DZ212" s="6"/>
    </row>
    <row r="213" spans="1:130" ht="34.5" hidden="1" customHeight="1">
      <c r="A213" s="3"/>
      <c r="B213" s="75" t="s">
        <v>108</v>
      </c>
      <c r="C213" s="121"/>
      <c r="D213" s="75">
        <v>1</v>
      </c>
      <c r="E213" s="75">
        <v>1</v>
      </c>
      <c r="F213" s="75"/>
      <c r="G213" s="79" t="s">
        <v>511</v>
      </c>
      <c r="H213" s="79" t="s">
        <v>512</v>
      </c>
      <c r="I213" s="131" t="s">
        <v>513</v>
      </c>
      <c r="J213" s="75" t="str">
        <f>CONCATENATE(G213," ",H213)</f>
        <v>Gabriele Gnali</v>
      </c>
      <c r="K213" s="156">
        <v>3346981819</v>
      </c>
      <c r="L213" s="157"/>
      <c r="M213" s="1896" t="s">
        <v>514</v>
      </c>
      <c r="N213" s="414" t="s">
        <v>515</v>
      </c>
      <c r="O213" s="407"/>
      <c r="P213" s="1941"/>
      <c r="Q213" s="86"/>
      <c r="R213" s="86"/>
      <c r="S213" s="86"/>
      <c r="T213" s="1953"/>
      <c r="U213" s="1941"/>
      <c r="V213" s="1941"/>
      <c r="W213" s="1941"/>
      <c r="X213" s="86"/>
      <c r="Y213" s="1960"/>
      <c r="Z213" s="1941"/>
      <c r="AA213" s="1941"/>
      <c r="AB213" s="86"/>
      <c r="AC213" s="86"/>
      <c r="AD213" s="86" t="s">
        <v>516</v>
      </c>
      <c r="AE213" s="88">
        <f>L213</f>
        <v>0</v>
      </c>
      <c r="AF213" s="407"/>
      <c r="AG213" s="121"/>
      <c r="AH213" s="121"/>
      <c r="AI213" s="407"/>
      <c r="AJ213" s="121"/>
      <c r="AK213" s="121"/>
      <c r="AL213" s="121"/>
      <c r="AM213" s="407"/>
      <c r="AN213" s="155"/>
      <c r="AO213" s="155"/>
      <c r="AP213" s="155"/>
      <c r="AQ213" s="1982"/>
      <c r="AR213" s="259"/>
      <c r="AS213" s="259"/>
      <c r="AT213" s="1987"/>
      <c r="AU213" s="408"/>
      <c r="AV213" s="75"/>
      <c r="AW213" s="121"/>
      <c r="AX213" s="121"/>
      <c r="AY213" s="1982"/>
      <c r="AZ213" s="121" t="s">
        <v>115</v>
      </c>
      <c r="BA213" s="135" t="s">
        <v>115</v>
      </c>
      <c r="BB213" s="135" t="s">
        <v>115</v>
      </c>
      <c r="BC213" s="1982"/>
      <c r="BD213" s="121"/>
      <c r="BE213" s="121"/>
      <c r="BF213" s="121"/>
      <c r="BG213" s="408"/>
      <c r="BH213" s="238">
        <f>CF213+CI213+CL213+CO213+CR213</f>
        <v>2997</v>
      </c>
      <c r="BI213" s="238">
        <f>CH213+CK213+CN213+CQ213+CT213</f>
        <v>2997</v>
      </c>
      <c r="BJ213" s="238">
        <f>BH213-BI213</f>
        <v>0</v>
      </c>
      <c r="BK213" s="199"/>
      <c r="BL213" s="200"/>
      <c r="BM213" s="241"/>
      <c r="BN213" s="142">
        <v>2997</v>
      </c>
      <c r="BO213" s="182"/>
      <c r="BP213" s="281" t="s">
        <v>117</v>
      </c>
      <c r="BQ213" s="98">
        <v>0</v>
      </c>
      <c r="BR213" s="2057"/>
      <c r="BS213" s="202"/>
      <c r="BT213" s="410">
        <f>BM213*BQ213</f>
        <v>0</v>
      </c>
      <c r="BU213" s="167">
        <f>BN213*BQ213</f>
        <v>0</v>
      </c>
      <c r="BV213" s="168">
        <f>BO213*BQ213</f>
        <v>0</v>
      </c>
      <c r="BW213" s="131" t="s">
        <v>118</v>
      </c>
      <c r="BX213" s="105" t="s">
        <v>152</v>
      </c>
      <c r="BY213" s="98">
        <v>0.05</v>
      </c>
      <c r="BZ213" s="2058"/>
      <c r="CA213" s="202"/>
      <c r="CB213" s="101">
        <f>BM213*BY213</f>
        <v>0</v>
      </c>
      <c r="CC213" s="530">
        <f>BN213*BY213</f>
        <v>149.85</v>
      </c>
      <c r="CD213" s="531">
        <f>BO213*BY213</f>
        <v>0</v>
      </c>
      <c r="CE213" s="163" t="s">
        <v>185</v>
      </c>
      <c r="CF213" s="412">
        <v>2997</v>
      </c>
      <c r="CG213" s="413">
        <v>45006</v>
      </c>
      <c r="CH213" s="110">
        <v>2997</v>
      </c>
      <c r="CI213" s="110"/>
      <c r="CJ213" s="226"/>
      <c r="CK213" s="206"/>
      <c r="CL213" s="206"/>
      <c r="CM213" s="226"/>
      <c r="CN213" s="206"/>
      <c r="CO213" s="206"/>
      <c r="CP213" s="206"/>
      <c r="CQ213" s="206"/>
      <c r="CR213" s="206"/>
      <c r="CS213" s="206"/>
      <c r="CT213" s="206"/>
      <c r="CU213" s="90">
        <v>1</v>
      </c>
      <c r="CV213" s="181" t="s">
        <v>121</v>
      </c>
      <c r="CW213" s="181"/>
      <c r="CX213" s="207"/>
      <c r="CY213" s="155" t="s">
        <v>122</v>
      </c>
      <c r="CZ213" s="155"/>
      <c r="DA213" s="2148" t="s">
        <v>517</v>
      </c>
      <c r="DB213" s="115" t="s">
        <v>518</v>
      </c>
      <c r="DC213" s="191" t="s">
        <v>519</v>
      </c>
      <c r="DD213" s="116" t="str">
        <f>BP213</f>
        <v>blackship</v>
      </c>
      <c r="DE213" s="117">
        <f>IF(OR(D213&gt;0),IF(BJ213=0,BN213*BQ213,0))</f>
        <v>0</v>
      </c>
      <c r="DF213" s="117">
        <f>IF(OR(D213&gt;0),IF(BJ213=0,BN213*BY213,0))</f>
        <v>149.85</v>
      </c>
      <c r="DG213" s="116" t="str">
        <f>BX213</f>
        <v>Client Angel</v>
      </c>
      <c r="DH213" s="76"/>
      <c r="DI213" s="120" t="s">
        <v>126</v>
      </c>
      <c r="DJ213" s="120"/>
      <c r="DK213" s="121"/>
      <c r="DL213" s="121"/>
      <c r="DM213" s="122"/>
      <c r="DN213" s="6"/>
      <c r="DO213" s="6"/>
      <c r="DP213" s="6"/>
      <c r="DQ213" s="6"/>
      <c r="DR213" s="6"/>
      <c r="DS213" s="6"/>
      <c r="DT213" s="6"/>
      <c r="DU213" s="6"/>
      <c r="DV213" s="6"/>
      <c r="DW213" s="6"/>
      <c r="DX213" s="6"/>
      <c r="DY213" s="6"/>
      <c r="DZ213" s="6"/>
    </row>
    <row r="214" spans="1:130" ht="34.5" hidden="1" customHeight="1">
      <c r="A214" s="228"/>
      <c r="B214" s="75" t="s">
        <v>1928</v>
      </c>
      <c r="C214" s="155"/>
      <c r="D214" s="75"/>
      <c r="E214" s="119">
        <v>1</v>
      </c>
      <c r="F214" s="148"/>
      <c r="G214" s="393" t="s">
        <v>2377</v>
      </c>
      <c r="H214" s="393" t="s">
        <v>2378</v>
      </c>
      <c r="I214" s="1842" t="s">
        <v>2379</v>
      </c>
      <c r="J214" s="75" t="str">
        <f>CONCATENATE(G214," ",H214)</f>
        <v>Gian Luca Boarini</v>
      </c>
      <c r="K214" s="224"/>
      <c r="L214" s="183"/>
      <c r="M214" s="183"/>
      <c r="N214" s="160" t="s">
        <v>2380</v>
      </c>
      <c r="O214" s="975"/>
      <c r="P214" s="1939"/>
      <c r="Q214" s="623"/>
      <c r="R214" s="624"/>
      <c r="S214" s="625"/>
      <c r="T214" s="1952"/>
      <c r="U214" s="328"/>
      <c r="V214" s="251"/>
      <c r="W214" s="251"/>
      <c r="X214" s="131"/>
      <c r="Y214" s="251"/>
      <c r="Z214" s="251"/>
      <c r="AA214" s="1958"/>
      <c r="AB214" s="255"/>
      <c r="AC214" s="131"/>
      <c r="AD214" s="121"/>
      <c r="AE214" s="1963"/>
      <c r="AF214" s="1967"/>
      <c r="AG214" s="628"/>
      <c r="AH214" s="629"/>
      <c r="AI214" s="405"/>
      <c r="AJ214" s="258"/>
      <c r="AK214" s="258"/>
      <c r="AL214" s="258"/>
      <c r="AM214" s="1967"/>
      <c r="AN214" s="207"/>
      <c r="AO214" s="207"/>
      <c r="AP214" s="207"/>
      <c r="AQ214" s="1981"/>
      <c r="AR214" s="259"/>
      <c r="AS214" s="259"/>
      <c r="AT214" s="1987"/>
      <c r="AU214" s="1990"/>
      <c r="AV214" s="1985" t="s">
        <v>116</v>
      </c>
      <c r="AW214" s="19" t="s">
        <v>116</v>
      </c>
      <c r="AX214" s="154" t="s">
        <v>116</v>
      </c>
      <c r="AY214" s="1981"/>
      <c r="AZ214" s="121"/>
      <c r="BA214" s="162" t="s">
        <v>116</v>
      </c>
      <c r="BB214" s="162" t="s">
        <v>116</v>
      </c>
      <c r="BC214" s="1981"/>
      <c r="BD214" s="121"/>
      <c r="BE214" s="121"/>
      <c r="BF214" s="121"/>
      <c r="BG214" s="1990"/>
      <c r="BH214" s="238">
        <f>CF214+CI214+CL214+CO214+CR214</f>
        <v>0</v>
      </c>
      <c r="BI214" s="238"/>
      <c r="BJ214" s="238"/>
      <c r="BK214" s="239"/>
      <c r="BL214" s="260"/>
      <c r="BM214" s="241"/>
      <c r="BN214" s="273"/>
      <c r="BO214" s="274"/>
      <c r="BP214" s="2038"/>
      <c r="BQ214" s="191"/>
      <c r="BR214" s="409"/>
      <c r="BS214" s="242"/>
      <c r="BT214" s="410"/>
      <c r="BU214" s="167"/>
      <c r="BV214" s="168">
        <f>BO214*BQ214</f>
        <v>0</v>
      </c>
      <c r="BW214" s="131"/>
      <c r="BX214" s="281"/>
      <c r="BY214" s="207"/>
      <c r="BZ214" s="262"/>
      <c r="CA214" s="242"/>
      <c r="CB214" s="101"/>
      <c r="CC214" s="530"/>
      <c r="CD214" s="531">
        <f>BO214*BY214</f>
        <v>0</v>
      </c>
      <c r="CE214" s="2092"/>
      <c r="CF214" s="2098"/>
      <c r="CG214" s="2098"/>
      <c r="CH214" s="338"/>
      <c r="CI214" s="338"/>
      <c r="CJ214" s="338"/>
      <c r="CK214" s="338"/>
      <c r="CL214" s="338"/>
      <c r="CM214" s="338"/>
      <c r="CN214" s="338"/>
      <c r="CO214" s="338"/>
      <c r="CP214" s="338"/>
      <c r="CQ214" s="338"/>
      <c r="CR214" s="338"/>
      <c r="CS214" s="338"/>
      <c r="CT214" s="338"/>
      <c r="CU214" s="2124">
        <v>1</v>
      </c>
      <c r="CV214" s="331"/>
      <c r="CW214" s="331"/>
      <c r="CX214" s="331"/>
      <c r="CY214" s="155"/>
      <c r="CZ214" s="331"/>
      <c r="DA214" s="2150" t="s">
        <v>2342</v>
      </c>
      <c r="DB214" s="115" t="str">
        <f>PROPER(N214)</f>
        <v>Switch Up</v>
      </c>
      <c r="DC214" s="191" t="s">
        <v>2343</v>
      </c>
      <c r="DD214" s="116">
        <f>BP214</f>
        <v>0</v>
      </c>
      <c r="DE214" s="117" t="b">
        <f>IF(OR(D214&gt;0),IF(BJ214=0,BN214*BQ214,0))</f>
        <v>0</v>
      </c>
      <c r="DF214" s="117" t="b">
        <f>IF(OR(D214&gt;0),IF(BJ214=0,BN214*BY214,0))</f>
        <v>0</v>
      </c>
      <c r="DG214" s="116">
        <f>BX214</f>
        <v>0</v>
      </c>
      <c r="DH214" s="510"/>
      <c r="DI214" s="120" t="s">
        <v>126</v>
      </c>
      <c r="DJ214" s="120"/>
      <c r="DK214" s="331"/>
      <c r="DL214" s="331"/>
      <c r="DM214" s="248">
        <v>1</v>
      </c>
    </row>
    <row r="215" spans="1:130" ht="34.5" hidden="1" customHeight="1">
      <c r="A215" s="3"/>
      <c r="B215" s="75" t="s">
        <v>108</v>
      </c>
      <c r="C215" s="121"/>
      <c r="D215" s="75">
        <v>1</v>
      </c>
      <c r="E215" s="75"/>
      <c r="F215" s="75"/>
      <c r="G215" s="79" t="s">
        <v>160</v>
      </c>
      <c r="H215" s="79" t="s">
        <v>189</v>
      </c>
      <c r="I215" s="1839" t="s">
        <v>547</v>
      </c>
      <c r="J215" s="75" t="str">
        <f>CONCATENATE(G215," ",H215)</f>
        <v>Gianluca Bono</v>
      </c>
      <c r="K215" s="156">
        <v>3356191062</v>
      </c>
      <c r="L215" s="157" t="s">
        <v>191</v>
      </c>
      <c r="M215" s="176"/>
      <c r="N215" s="160" t="s">
        <v>192</v>
      </c>
      <c r="O215" s="407"/>
      <c r="P215" s="1941"/>
      <c r="Q215" s="86"/>
      <c r="R215" s="86"/>
      <c r="S215" s="86"/>
      <c r="T215" s="1953"/>
      <c r="U215" s="1941"/>
      <c r="V215" s="1941"/>
      <c r="W215" s="1941"/>
      <c r="X215" s="86"/>
      <c r="Y215" s="1960"/>
      <c r="Z215" s="1941"/>
      <c r="AA215" s="1941"/>
      <c r="AB215" s="86"/>
      <c r="AC215" s="86"/>
      <c r="AD215" s="86" t="s">
        <v>193</v>
      </c>
      <c r="AE215" s="88" t="str">
        <f>L215</f>
        <v>Non indicare i nomi dei partecipanti in fattura</v>
      </c>
      <c r="AF215" s="407"/>
      <c r="AG215" s="121"/>
      <c r="AH215" s="121"/>
      <c r="AI215" s="407"/>
      <c r="AJ215" s="121"/>
      <c r="AK215" s="121"/>
      <c r="AL215" s="121"/>
      <c r="AM215" s="407"/>
      <c r="AN215" s="155"/>
      <c r="AO215" s="155"/>
      <c r="AP215" s="155"/>
      <c r="AQ215" s="1982"/>
      <c r="AR215" s="259"/>
      <c r="AS215" s="259"/>
      <c r="AT215" s="1987"/>
      <c r="AU215" s="408"/>
      <c r="AV215" s="75"/>
      <c r="AW215" s="121"/>
      <c r="AX215" s="121"/>
      <c r="AY215" s="1982"/>
      <c r="AZ215" s="121" t="s">
        <v>115</v>
      </c>
      <c r="BA215" s="154" t="s">
        <v>194</v>
      </c>
      <c r="BB215" s="121" t="s">
        <v>115</v>
      </c>
      <c r="BC215" s="1982"/>
      <c r="BD215" s="121"/>
      <c r="BE215" s="121" t="s">
        <v>115</v>
      </c>
      <c r="BF215" s="121"/>
      <c r="BG215" s="408"/>
      <c r="BH215" s="238">
        <f>CF215+CI215+CL215+CO215+CR215</f>
        <v>2997</v>
      </c>
      <c r="BI215" s="238">
        <f>CH215+CK215+CN215+CQ215+CT215</f>
        <v>2997</v>
      </c>
      <c r="BJ215" s="238">
        <f>BH215-BI215</f>
        <v>0</v>
      </c>
      <c r="BK215" s="199"/>
      <c r="BL215" s="200"/>
      <c r="BM215" s="241"/>
      <c r="BN215" s="142">
        <v>2997</v>
      </c>
      <c r="BO215" s="182"/>
      <c r="BP215" s="281" t="s">
        <v>184</v>
      </c>
      <c r="BQ215" s="98">
        <v>0.15</v>
      </c>
      <c r="BR215" s="2057"/>
      <c r="BS215" s="202"/>
      <c r="BT215" s="410">
        <f>BM215*BQ215</f>
        <v>0</v>
      </c>
      <c r="BU215" s="167">
        <f>BN215*BQ215</f>
        <v>449.55</v>
      </c>
      <c r="BV215" s="168">
        <f>BO215*BQ215</f>
        <v>0</v>
      </c>
      <c r="BW215" s="160" t="s">
        <v>185</v>
      </c>
      <c r="BX215" s="105" t="s">
        <v>184</v>
      </c>
      <c r="BY215" s="98">
        <v>0.05</v>
      </c>
      <c r="BZ215" s="2058"/>
      <c r="CA215" s="202"/>
      <c r="CB215" s="101">
        <f>BM215*BY215</f>
        <v>0</v>
      </c>
      <c r="CC215" s="530">
        <f>BN215*BY215</f>
        <v>149.85</v>
      </c>
      <c r="CD215" s="531">
        <f>BO215*BY215</f>
        <v>0</v>
      </c>
      <c r="CE215" s="84" t="s">
        <v>185</v>
      </c>
      <c r="CF215" s="412">
        <v>2997</v>
      </c>
      <c r="CG215" s="413">
        <v>45012</v>
      </c>
      <c r="CH215" s="110">
        <v>2997</v>
      </c>
      <c r="CI215" s="110"/>
      <c r="CJ215" s="226"/>
      <c r="CK215" s="206"/>
      <c r="CL215" s="206"/>
      <c r="CM215" s="226"/>
      <c r="CN215" s="206"/>
      <c r="CO215" s="206"/>
      <c r="CP215" s="206"/>
      <c r="CQ215" s="206"/>
      <c r="CR215" s="206"/>
      <c r="CS215" s="206"/>
      <c r="CT215" s="206"/>
      <c r="CU215" s="90">
        <v>1</v>
      </c>
      <c r="CV215" s="181" t="s">
        <v>121</v>
      </c>
      <c r="CW215" s="181"/>
      <c r="CX215" s="207"/>
      <c r="CY215" s="155" t="s">
        <v>122</v>
      </c>
      <c r="CZ215" s="155"/>
      <c r="DA215" s="1867" t="s">
        <v>195</v>
      </c>
      <c r="DB215" s="115" t="str">
        <f>PROPER(N215)</f>
        <v>Depur-Vebo</v>
      </c>
      <c r="DC215" s="191" t="s">
        <v>196</v>
      </c>
      <c r="DD215" s="116" t="str">
        <f>BP215</f>
        <v>Cristian A</v>
      </c>
      <c r="DE215" s="117">
        <f>IF(OR(D215&gt;0),IF(BJ215=0,BN215*BQ215,0))</f>
        <v>449.55</v>
      </c>
      <c r="DF215" s="117">
        <f>IF(OR(D215&gt;0),IF(BJ215=0,BN215*BY215,0))</f>
        <v>149.85</v>
      </c>
      <c r="DG215" s="116" t="str">
        <f>BX215</f>
        <v>Cristian A</v>
      </c>
      <c r="DH215" s="76"/>
      <c r="DI215" s="120" t="s">
        <v>126</v>
      </c>
      <c r="DJ215" s="120"/>
      <c r="DK215" s="121"/>
      <c r="DL215" s="121"/>
      <c r="DM215" s="122"/>
      <c r="DN215" s="6"/>
      <c r="DO215" s="6"/>
      <c r="DP215" s="6"/>
      <c r="DQ215" s="6"/>
      <c r="DR215" s="6"/>
      <c r="DS215" s="6"/>
      <c r="DT215" s="6"/>
      <c r="DU215" s="6"/>
      <c r="DV215" s="6"/>
      <c r="DW215" s="6"/>
      <c r="DX215" s="6"/>
      <c r="DY215" s="6"/>
      <c r="DZ215" s="6"/>
    </row>
    <row r="216" spans="1:130" ht="34.5" hidden="1" customHeight="1">
      <c r="A216" s="3"/>
      <c r="B216" s="75" t="s">
        <v>816</v>
      </c>
      <c r="C216" s="121"/>
      <c r="D216" s="75">
        <v>1</v>
      </c>
      <c r="E216" s="75">
        <v>1</v>
      </c>
      <c r="F216" s="75"/>
      <c r="G216" s="79" t="s">
        <v>817</v>
      </c>
      <c r="H216" s="79" t="s">
        <v>818</v>
      </c>
      <c r="I216" s="187" t="s">
        <v>819</v>
      </c>
      <c r="J216" s="75" t="str">
        <f>CONCATENATE(G216," ",H216)</f>
        <v>Gianmarco Rosani</v>
      </c>
      <c r="K216" s="254">
        <v>3401458556</v>
      </c>
      <c r="L216" s="176"/>
      <c r="M216" s="1896" t="s">
        <v>820</v>
      </c>
      <c r="N216" s="160" t="s">
        <v>812</v>
      </c>
      <c r="O216" s="407"/>
      <c r="P216" s="1941"/>
      <c r="Q216" s="86"/>
      <c r="R216" s="86"/>
      <c r="S216" s="86"/>
      <c r="T216" s="1953"/>
      <c r="U216" s="1941"/>
      <c r="V216" s="1941"/>
      <c r="W216" s="1941"/>
      <c r="X216" s="86"/>
      <c r="Y216" s="1960"/>
      <c r="Z216" s="1941"/>
      <c r="AA216" s="1941"/>
      <c r="AB216" s="86"/>
      <c r="AC216" s="86"/>
      <c r="AD216" s="86" t="s">
        <v>821</v>
      </c>
      <c r="AE216" s="138"/>
      <c r="AF216" s="407"/>
      <c r="AG216" s="121"/>
      <c r="AH216" s="121"/>
      <c r="AI216" s="407"/>
      <c r="AJ216" s="121"/>
      <c r="AK216" s="121"/>
      <c r="AL216" s="121"/>
      <c r="AM216" s="407"/>
      <c r="AN216" s="155"/>
      <c r="AO216" s="155"/>
      <c r="AP216" s="155"/>
      <c r="AQ216" s="1982"/>
      <c r="AR216" s="259"/>
      <c r="AS216" s="259"/>
      <c r="AT216" s="1987"/>
      <c r="AU216" s="408"/>
      <c r="AV216" s="75"/>
      <c r="AW216" s="121"/>
      <c r="AX216" s="121"/>
      <c r="AY216" s="1982"/>
      <c r="AZ216" s="121" t="s">
        <v>245</v>
      </c>
      <c r="BA216" s="121" t="s">
        <v>245</v>
      </c>
      <c r="BB216" s="135" t="s">
        <v>115</v>
      </c>
      <c r="BC216" s="1982"/>
      <c r="BD216" s="121"/>
      <c r="BE216" s="121"/>
      <c r="BF216" s="121"/>
      <c r="BG216" s="408"/>
      <c r="BH216" s="238">
        <f>CF216+CI216+CL216+CO216+CR216</f>
        <v>2997</v>
      </c>
      <c r="BI216" s="238">
        <f>CH216+CK216+CN216+CQ216+CT216</f>
        <v>1498.5</v>
      </c>
      <c r="BJ216" s="238">
        <f>BH216-BI216</f>
        <v>1498.5</v>
      </c>
      <c r="BK216" s="199"/>
      <c r="BL216" s="200"/>
      <c r="BM216" s="241"/>
      <c r="BN216" s="142">
        <v>2997</v>
      </c>
      <c r="BO216" s="182"/>
      <c r="BP216" s="281" t="s">
        <v>160</v>
      </c>
      <c r="BQ216" s="98">
        <v>0.15</v>
      </c>
      <c r="BR216" s="2057"/>
      <c r="BS216" s="202"/>
      <c r="BT216" s="410"/>
      <c r="BU216" s="167">
        <f>BN216*BQ216</f>
        <v>449.55</v>
      </c>
      <c r="BV216" s="168">
        <f>BO216*BQ216</f>
        <v>0</v>
      </c>
      <c r="BW216" s="131"/>
      <c r="BX216" s="105" t="s">
        <v>246</v>
      </c>
      <c r="BY216" s="98">
        <v>0.1</v>
      </c>
      <c r="BZ216" s="2058"/>
      <c r="CA216" s="202"/>
      <c r="CB216" s="101"/>
      <c r="CC216" s="530">
        <f>BN216*BY216</f>
        <v>299.7</v>
      </c>
      <c r="CD216" s="531">
        <f>BO216*BY216</f>
        <v>0</v>
      </c>
      <c r="CE216" s="90"/>
      <c r="CF216" s="412">
        <f>2997/2</f>
        <v>1498.5</v>
      </c>
      <c r="CG216" s="413">
        <v>45209</v>
      </c>
      <c r="CH216" s="110">
        <f>2997/2</f>
        <v>1498.5</v>
      </c>
      <c r="CI216" s="110">
        <f>2997/2</f>
        <v>1498.5</v>
      </c>
      <c r="CJ216" s="226">
        <v>45240</v>
      </c>
      <c r="CK216" s="418"/>
      <c r="CL216" s="206"/>
      <c r="CM216" s="226"/>
      <c r="CN216" s="206"/>
      <c r="CO216" s="206"/>
      <c r="CP216" s="206"/>
      <c r="CQ216" s="206"/>
      <c r="CR216" s="206"/>
      <c r="CS216" s="206"/>
      <c r="CT216" s="206"/>
      <c r="CU216" s="90"/>
      <c r="CV216" s="181"/>
      <c r="CW216" s="181"/>
      <c r="CX216" s="207"/>
      <c r="CY216" s="155"/>
      <c r="CZ216" s="155"/>
      <c r="DA216" s="114" t="s">
        <v>814</v>
      </c>
      <c r="DB216" s="115" t="str">
        <f>PROPER(N216)</f>
        <v>La Commerciale Colori</v>
      </c>
      <c r="DC216" s="191" t="s">
        <v>815</v>
      </c>
      <c r="DD216" s="116" t="str">
        <f>BP216</f>
        <v>Gianluca</v>
      </c>
      <c r="DE216" s="117">
        <f>IF(OR(D216&gt;0),IF(BJ216=0,BN216*BQ216,0))</f>
        <v>0</v>
      </c>
      <c r="DF216" s="117">
        <f>IF(OR(D216&gt;0),IF(BJ216=0,BN216*BY216,0))</f>
        <v>0</v>
      </c>
      <c r="DG216" s="118" t="str">
        <f>BX216</f>
        <v>Marco</v>
      </c>
      <c r="DH216" s="76"/>
      <c r="DI216" s="120" t="s">
        <v>126</v>
      </c>
      <c r="DJ216" s="120"/>
      <c r="DK216" s="121"/>
      <c r="DL216" s="121"/>
      <c r="DM216" s="122">
        <v>1</v>
      </c>
      <c r="DN216" s="6"/>
      <c r="DO216" s="6"/>
      <c r="DP216" s="6"/>
      <c r="DQ216" s="6"/>
      <c r="DR216" s="6"/>
      <c r="DS216" s="6"/>
      <c r="DT216" s="6"/>
      <c r="DU216" s="6"/>
      <c r="DV216" s="6"/>
      <c r="DW216" s="6"/>
      <c r="DX216" s="6"/>
      <c r="DY216" s="6"/>
      <c r="DZ216" s="6"/>
    </row>
    <row r="217" spans="1:130" ht="34.5" hidden="1" customHeight="1">
      <c r="A217" s="228"/>
      <c r="B217" s="75" t="s">
        <v>1928</v>
      </c>
      <c r="C217" s="155"/>
      <c r="D217" s="75"/>
      <c r="E217" s="75">
        <v>1</v>
      </c>
      <c r="F217" s="148"/>
      <c r="G217" s="181" t="s">
        <v>1022</v>
      </c>
      <c r="H217" s="181" t="s">
        <v>2576</v>
      </c>
      <c r="I217" s="181" t="s">
        <v>2577</v>
      </c>
      <c r="J217" s="75" t="str">
        <f>CONCATENATE(G217," ",H217)</f>
        <v>Gianni Miatello</v>
      </c>
      <c r="K217" s="224">
        <v>3356910710</v>
      </c>
      <c r="L217" s="131"/>
      <c r="M217" s="1914" t="s">
        <v>2578</v>
      </c>
      <c r="N217" s="1819" t="s">
        <v>2579</v>
      </c>
      <c r="O217" s="556"/>
      <c r="P217" s="328"/>
      <c r="Q217" s="255"/>
      <c r="R217" s="131"/>
      <c r="S217" s="131"/>
      <c r="T217" s="318"/>
      <c r="U217" s="251"/>
      <c r="V217" s="251"/>
      <c r="W217" s="1958"/>
      <c r="X217" s="131"/>
      <c r="Y217" s="1958"/>
      <c r="Z217" s="1958"/>
      <c r="AA217" s="1958"/>
      <c r="AB217" s="255"/>
      <c r="AC217" s="131"/>
      <c r="AD217" s="255"/>
      <c r="AE217" s="161"/>
      <c r="AF217" s="405"/>
      <c r="AG217" s="516"/>
      <c r="AH217" s="516"/>
      <c r="AI217" s="405"/>
      <c r="AJ217" s="155"/>
      <c r="AK217" s="155"/>
      <c r="AL217" s="155"/>
      <c r="AM217" s="405"/>
      <c r="AN217" s="258"/>
      <c r="AO217" s="258"/>
      <c r="AP217" s="258"/>
      <c r="AQ217" s="1981"/>
      <c r="AR217" s="259"/>
      <c r="AS217" s="259"/>
      <c r="AT217" s="1987"/>
      <c r="AU217" s="1990"/>
      <c r="AV217" s="75"/>
      <c r="AW217" s="19"/>
      <c r="AX217" s="19"/>
      <c r="AY217" s="1981"/>
      <c r="AZ217" s="121"/>
      <c r="BA217" s="121" t="s">
        <v>116</v>
      </c>
      <c r="BB217" s="162" t="s">
        <v>116</v>
      </c>
      <c r="BC217" s="1981"/>
      <c r="BD217" s="121"/>
      <c r="BE217" s="121"/>
      <c r="BF217" s="121"/>
      <c r="BG217" s="1990"/>
      <c r="BH217" s="238"/>
      <c r="BI217" s="238"/>
      <c r="BJ217" s="238"/>
      <c r="BK217" s="239"/>
      <c r="BL217" s="260"/>
      <c r="BM217" s="241"/>
      <c r="BN217" s="273"/>
      <c r="BO217" s="274"/>
      <c r="BP217" s="281" t="s">
        <v>184</v>
      </c>
      <c r="BQ217" s="145"/>
      <c r="BR217" s="409"/>
      <c r="BS217" s="242"/>
      <c r="BT217" s="410"/>
      <c r="BU217" s="167">
        <f>BN217*BQ217</f>
        <v>0</v>
      </c>
      <c r="BV217" s="168">
        <f>BO217*BQ217</f>
        <v>0</v>
      </c>
      <c r="BW217" s="131"/>
      <c r="BX217" s="281" t="s">
        <v>184</v>
      </c>
      <c r="BY217" s="145"/>
      <c r="BZ217" s="262"/>
      <c r="CA217" s="242"/>
      <c r="CB217" s="101"/>
      <c r="CC217" s="530">
        <f>BN217*BY217</f>
        <v>0</v>
      </c>
      <c r="CD217" s="531">
        <f>BO217*BY217</f>
        <v>0</v>
      </c>
      <c r="CE217" s="677"/>
      <c r="CF217" s="412"/>
      <c r="CG217" s="413"/>
      <c r="CH217" s="110"/>
      <c r="CI217" s="110"/>
      <c r="CJ217" s="226"/>
      <c r="CK217" s="110"/>
      <c r="CL217" s="110"/>
      <c r="CM217" s="226"/>
      <c r="CN217" s="110"/>
      <c r="CO217" s="206"/>
      <c r="CP217" s="206"/>
      <c r="CQ217" s="206"/>
      <c r="CR217" s="206"/>
      <c r="CS217" s="206"/>
      <c r="CT217" s="206"/>
      <c r="CU217" s="90"/>
      <c r="CV217" s="181"/>
      <c r="CW217" s="181"/>
      <c r="CX217" s="207"/>
      <c r="CY217" s="207"/>
      <c r="CZ217" s="155"/>
      <c r="DA217" s="1867" t="s">
        <v>2580</v>
      </c>
      <c r="DB217" s="115" t="str">
        <f>PROPER(N217)</f>
        <v>Cp Parquet</v>
      </c>
      <c r="DC217" s="191" t="s">
        <v>2581</v>
      </c>
      <c r="DD217" s="116" t="str">
        <f>BP217</f>
        <v>Cristian A</v>
      </c>
      <c r="DE217" s="117" t="b">
        <f>IF(OR(D217&gt;0),IF(BJ217=0,BN217*BQ217,0))</f>
        <v>0</v>
      </c>
      <c r="DF217" s="117" t="b">
        <f>IF(OR(D217&gt;0),IF(BJ217=0,BN217*BY217,0))</f>
        <v>0</v>
      </c>
      <c r="DG217" s="533" t="str">
        <f>BX217</f>
        <v>Cristian A</v>
      </c>
      <c r="DH217" s="510"/>
      <c r="DI217" s="120" t="s">
        <v>126</v>
      </c>
      <c r="DJ217" s="120"/>
      <c r="DK217" s="207"/>
      <c r="DL217" s="207"/>
      <c r="DM217" s="248">
        <v>1</v>
      </c>
    </row>
    <row r="218" spans="1:130" ht="34.5" hidden="1" customHeight="1">
      <c r="A218" s="3"/>
      <c r="B218" s="75" t="s">
        <v>108</v>
      </c>
      <c r="C218" s="121"/>
      <c r="D218" s="75"/>
      <c r="E218" s="75"/>
      <c r="F218" s="75"/>
      <c r="G218" s="79" t="s">
        <v>563</v>
      </c>
      <c r="H218" s="79" t="s">
        <v>564</v>
      </c>
      <c r="I218" s="131" t="s">
        <v>565</v>
      </c>
      <c r="J218" s="123" t="str">
        <f>CONCATENATE(G218," ",H218)</f>
        <v>Giorgio Paris</v>
      </c>
      <c r="K218" s="156">
        <v>3407578253</v>
      </c>
      <c r="L218" s="157"/>
      <c r="M218" s="176" t="s">
        <v>566</v>
      </c>
      <c r="N218" s="160" t="s">
        <v>567</v>
      </c>
      <c r="O218" s="407"/>
      <c r="P218" s="1941"/>
      <c r="Q218" s="86"/>
      <c r="R218" s="86"/>
      <c r="S218" s="86"/>
      <c r="T218" s="1953"/>
      <c r="U218" s="1941"/>
      <c r="V218" s="1941"/>
      <c r="W218" s="1941"/>
      <c r="X218" s="86"/>
      <c r="Y218" s="1960"/>
      <c r="Z218" s="1941"/>
      <c r="AA218" s="1941"/>
      <c r="AB218" s="86"/>
      <c r="AC218" s="86"/>
      <c r="AD218" s="86" t="s">
        <v>568</v>
      </c>
      <c r="AE218" s="88">
        <f>L218</f>
        <v>0</v>
      </c>
      <c r="AF218" s="407"/>
      <c r="AG218" s="121"/>
      <c r="AH218" s="121"/>
      <c r="AI218" s="407"/>
      <c r="AJ218" s="121"/>
      <c r="AK218" s="121"/>
      <c r="AL218" s="121"/>
      <c r="AM218" s="407"/>
      <c r="AN218" s="155"/>
      <c r="AO218" s="155"/>
      <c r="AP218" s="155"/>
      <c r="AQ218" s="1982"/>
      <c r="AR218" s="259"/>
      <c r="AS218" s="259"/>
      <c r="AT218" s="1987"/>
      <c r="AU218" s="408"/>
      <c r="AV218" s="75" t="s">
        <v>115</v>
      </c>
      <c r="AW218" s="121" t="s">
        <v>115</v>
      </c>
      <c r="AX218" s="19"/>
      <c r="AY218" s="1982"/>
      <c r="AZ218" s="121"/>
      <c r="BA218" s="121"/>
      <c r="BB218" s="121" t="s">
        <v>115</v>
      </c>
      <c r="BC218" s="1982"/>
      <c r="BD218" s="121"/>
      <c r="BE218" s="121"/>
      <c r="BF218" s="121"/>
      <c r="BG218" s="408"/>
      <c r="BH218" s="238">
        <f>CF218+CI218+CL218+CO218+CR218</f>
        <v>2997</v>
      </c>
      <c r="BI218" s="238">
        <f>CH218+CK218+CN218+CQ218+CT218</f>
        <v>2997</v>
      </c>
      <c r="BJ218" s="238">
        <f>BH218-BI218</f>
        <v>0</v>
      </c>
      <c r="BK218" s="199"/>
      <c r="BL218" s="200"/>
      <c r="BM218" s="241">
        <v>2997</v>
      </c>
      <c r="BN218" s="96"/>
      <c r="BO218" s="97"/>
      <c r="BP218" s="161" t="s">
        <v>160</v>
      </c>
      <c r="BQ218" s="98">
        <v>0.15</v>
      </c>
      <c r="BR218" s="2057"/>
      <c r="BS218" s="202"/>
      <c r="BT218" s="410">
        <f>BM218*BQ218</f>
        <v>449.55</v>
      </c>
      <c r="BU218" s="167">
        <f>BN218*BQ218</f>
        <v>0</v>
      </c>
      <c r="BV218" s="168">
        <f>BO218*BQ218</f>
        <v>0</v>
      </c>
      <c r="BW218" s="131" t="s">
        <v>120</v>
      </c>
      <c r="BX218" s="105" t="s">
        <v>160</v>
      </c>
      <c r="BY218" s="98">
        <v>0.05</v>
      </c>
      <c r="BZ218" s="2058"/>
      <c r="CA218" s="202"/>
      <c r="CB218" s="101">
        <f>BM218*BY218</f>
        <v>149.85</v>
      </c>
      <c r="CC218" s="530">
        <f>BN218*BY218</f>
        <v>0</v>
      </c>
      <c r="CD218" s="531">
        <f>BO218*BY218</f>
        <v>0</v>
      </c>
      <c r="CE218" s="90" t="s">
        <v>120</v>
      </c>
      <c r="CF218" s="412">
        <v>2997</v>
      </c>
      <c r="CG218" s="109">
        <v>45029</v>
      </c>
      <c r="CH218" s="412">
        <v>2997</v>
      </c>
      <c r="CI218" s="110"/>
      <c r="CJ218" s="226"/>
      <c r="CK218" s="206"/>
      <c r="CL218" s="206"/>
      <c r="CM218" s="226"/>
      <c r="CN218" s="206"/>
      <c r="CO218" s="206"/>
      <c r="CP218" s="206"/>
      <c r="CQ218" s="206"/>
      <c r="CR218" s="206"/>
      <c r="CS218" s="206"/>
      <c r="CT218" s="206"/>
      <c r="CU218" s="90">
        <v>1</v>
      </c>
      <c r="CV218" s="181" t="s">
        <v>121</v>
      </c>
      <c r="CW218" s="181"/>
      <c r="CX218" s="207"/>
      <c r="CY218" s="155" t="s">
        <v>122</v>
      </c>
      <c r="CZ218" s="155"/>
      <c r="DA218" s="131" t="s">
        <v>569</v>
      </c>
      <c r="DB218" s="115" t="str">
        <f>PROPER(N218)</f>
        <v>Paris Silvestro</v>
      </c>
      <c r="DC218" s="191"/>
      <c r="DD218" s="116" t="str">
        <f>BP218</f>
        <v>Gianluca</v>
      </c>
      <c r="DE218" s="117" t="b">
        <f>IF(OR(D218&gt;0),IF(BJ218=0,BN218*BQ218,0))</f>
        <v>0</v>
      </c>
      <c r="DF218" s="117" t="b">
        <f>IF(OR(D218&gt;0),IF(BJ218=0,BN218*BY218,0))</f>
        <v>0</v>
      </c>
      <c r="DG218" s="118" t="str">
        <f>BX218</f>
        <v>Gianluca</v>
      </c>
      <c r="DH218" s="76"/>
      <c r="DI218" s="120" t="s">
        <v>126</v>
      </c>
      <c r="DJ218" s="120"/>
      <c r="DK218" s="121"/>
      <c r="DL218" s="121"/>
      <c r="DM218" s="122"/>
      <c r="DN218" s="6"/>
      <c r="DO218" s="6"/>
      <c r="DP218" s="6"/>
      <c r="DQ218" s="6"/>
      <c r="DR218" s="6"/>
      <c r="DS218" s="6"/>
      <c r="DT218" s="6"/>
      <c r="DU218" s="6"/>
      <c r="DV218" s="6"/>
      <c r="DW218" s="6"/>
      <c r="DX218" s="6"/>
      <c r="DY218" s="6"/>
      <c r="DZ218" s="6"/>
    </row>
    <row r="219" spans="1:130" ht="34.5" hidden="1" customHeight="1">
      <c r="A219" s="3"/>
      <c r="B219" s="75" t="s">
        <v>108</v>
      </c>
      <c r="C219" s="121"/>
      <c r="D219" s="75">
        <v>1</v>
      </c>
      <c r="E219" s="75">
        <v>1</v>
      </c>
      <c r="F219" s="75"/>
      <c r="G219" s="79" t="s">
        <v>570</v>
      </c>
      <c r="H219" s="79" t="s">
        <v>571</v>
      </c>
      <c r="I219" s="131" t="s">
        <v>572</v>
      </c>
      <c r="J219" s="75" t="str">
        <f>CONCATENATE(G219," ",H219)</f>
        <v>Giovanni Aiello</v>
      </c>
      <c r="K219" s="156">
        <v>3356928308</v>
      </c>
      <c r="L219" s="160" t="s">
        <v>573</v>
      </c>
      <c r="M219" s="1887" t="s">
        <v>574</v>
      </c>
      <c r="N219" s="160" t="s">
        <v>575</v>
      </c>
      <c r="O219" s="407"/>
      <c r="P219" s="1941"/>
      <c r="Q219" s="86"/>
      <c r="R219" s="86"/>
      <c r="S219" s="86"/>
      <c r="T219" s="1953"/>
      <c r="U219" s="1941"/>
      <c r="V219" s="1941"/>
      <c r="W219" s="1941"/>
      <c r="X219" s="86"/>
      <c r="Y219" s="1960"/>
      <c r="Z219" s="1941"/>
      <c r="AA219" s="1941"/>
      <c r="AB219" s="86"/>
      <c r="AC219" s="86"/>
      <c r="AD219" s="86" t="s">
        <v>576</v>
      </c>
      <c r="AE219" s="138" t="str">
        <f>L219</f>
        <v>CONFERMA ENTRO IL 23/03</v>
      </c>
      <c r="AF219" s="407"/>
      <c r="AG219" s="121"/>
      <c r="AH219" s="121"/>
      <c r="AI219" s="407"/>
      <c r="AJ219" s="121"/>
      <c r="AK219" s="121"/>
      <c r="AL219" s="121"/>
      <c r="AM219" s="407"/>
      <c r="AN219" s="155"/>
      <c r="AO219" s="155"/>
      <c r="AP219" s="155"/>
      <c r="AQ219" s="1982"/>
      <c r="AR219" s="259"/>
      <c r="AS219" s="259"/>
      <c r="AT219" s="1987"/>
      <c r="AU219" s="408"/>
      <c r="AV219" s="75"/>
      <c r="AW219" s="121"/>
      <c r="AX219" s="121"/>
      <c r="AY219" s="1982"/>
      <c r="AZ219" s="121" t="s">
        <v>115</v>
      </c>
      <c r="BA219" s="121" t="s">
        <v>115</v>
      </c>
      <c r="BB219" s="135" t="s">
        <v>115</v>
      </c>
      <c r="BC219" s="1982"/>
      <c r="BD219" s="121"/>
      <c r="BE219" s="121"/>
      <c r="BF219" s="121"/>
      <c r="BG219" s="408"/>
      <c r="BH219" s="238">
        <f>CF219+CI219+CL219+CO219+CR219</f>
        <v>2997</v>
      </c>
      <c r="BI219" s="238">
        <f>CH219+CK219+CN219+CQ219+CT219</f>
        <v>2997</v>
      </c>
      <c r="BJ219" s="238">
        <f>BH219-BI219</f>
        <v>0</v>
      </c>
      <c r="BK219" s="199"/>
      <c r="BL219" s="200"/>
      <c r="BM219" s="241"/>
      <c r="BN219" s="142">
        <v>2997</v>
      </c>
      <c r="BO219" s="182"/>
      <c r="BP219" s="80" t="s">
        <v>117</v>
      </c>
      <c r="BQ219" s="98">
        <v>0</v>
      </c>
      <c r="BR219" s="2057"/>
      <c r="BS219" s="202"/>
      <c r="BT219" s="410">
        <f>BM219*BQ219</f>
        <v>0</v>
      </c>
      <c r="BU219" s="167">
        <f>BN219*BQ219</f>
        <v>0</v>
      </c>
      <c r="BV219" s="168">
        <f>BO219*BQ219</f>
        <v>0</v>
      </c>
      <c r="BW219" s="131" t="s">
        <v>118</v>
      </c>
      <c r="BX219" s="105" t="s">
        <v>152</v>
      </c>
      <c r="BY219" s="98">
        <v>0.05</v>
      </c>
      <c r="BZ219" s="2058"/>
      <c r="CA219" s="202"/>
      <c r="CB219" s="101">
        <f>BM219*BY219</f>
        <v>0</v>
      </c>
      <c r="CC219" s="530">
        <f>BN219*BY219</f>
        <v>149.85</v>
      </c>
      <c r="CD219" s="531">
        <f>BO219*BY219</f>
        <v>0</v>
      </c>
      <c r="CE219" s="163" t="s">
        <v>185</v>
      </c>
      <c r="CF219" s="412">
        <v>2997</v>
      </c>
      <c r="CG219" s="413">
        <v>45012</v>
      </c>
      <c r="CH219" s="110">
        <v>2997</v>
      </c>
      <c r="CI219" s="110"/>
      <c r="CJ219" s="226"/>
      <c r="CK219" s="206"/>
      <c r="CL219" s="206"/>
      <c r="CM219" s="226"/>
      <c r="CN219" s="206"/>
      <c r="CO219" s="206"/>
      <c r="CP219" s="206"/>
      <c r="CQ219" s="206"/>
      <c r="CR219" s="206"/>
      <c r="CS219" s="206"/>
      <c r="CT219" s="206"/>
      <c r="CU219" s="90">
        <v>1</v>
      </c>
      <c r="CV219" s="181" t="s">
        <v>121</v>
      </c>
      <c r="CW219" s="181"/>
      <c r="CX219" s="207"/>
      <c r="CY219" s="155" t="s">
        <v>122</v>
      </c>
      <c r="CZ219" s="155"/>
      <c r="DA219" s="384" t="s">
        <v>577</v>
      </c>
      <c r="DB219" s="115" t="str">
        <f>PROPER(N219)</f>
        <v xml:space="preserve">Studio Medico Odontoiatrico Aiello </v>
      </c>
      <c r="DC219" s="191" t="s">
        <v>578</v>
      </c>
      <c r="DD219" s="116" t="str">
        <f>BP219</f>
        <v>blackship</v>
      </c>
      <c r="DE219" s="117">
        <f>IF(OR(D219&gt;0),IF(BJ219=0,BN219*BQ219,0))</f>
        <v>0</v>
      </c>
      <c r="DF219" s="117">
        <f>IF(OR(D219&gt;0),IF(BJ219=0,BN219*BY219,0))</f>
        <v>149.85</v>
      </c>
      <c r="DG219" s="116" t="str">
        <f>BX219</f>
        <v>Client Angel</v>
      </c>
      <c r="DH219" s="76"/>
      <c r="DI219" s="120" t="s">
        <v>126</v>
      </c>
      <c r="DJ219" s="120"/>
      <c r="DK219" s="121"/>
      <c r="DL219" s="121"/>
      <c r="DM219" s="122">
        <v>1</v>
      </c>
      <c r="DN219" s="6"/>
      <c r="DO219" s="6"/>
      <c r="DP219" s="6"/>
      <c r="DQ219" s="6"/>
      <c r="DR219" s="6"/>
      <c r="DS219" s="6"/>
      <c r="DT219" s="6"/>
      <c r="DU219" s="6"/>
      <c r="DV219" s="6"/>
      <c r="DW219" s="6"/>
      <c r="DX219" s="6"/>
      <c r="DY219" s="6"/>
      <c r="DZ219" s="6"/>
    </row>
    <row r="220" spans="1:130" ht="34.5" hidden="1" customHeight="1">
      <c r="A220" s="228"/>
      <c r="B220" s="371" t="s">
        <v>1359</v>
      </c>
      <c r="C220" s="155"/>
      <c r="D220" s="75"/>
      <c r="E220" s="75"/>
      <c r="F220" s="75"/>
      <c r="G220" s="400" t="s">
        <v>1307</v>
      </c>
      <c r="H220" s="400" t="s">
        <v>1360</v>
      </c>
      <c r="I220" s="207" t="s">
        <v>1361</v>
      </c>
      <c r="J220" s="90" t="str">
        <f>CONCATENATE(G220," ",H220)</f>
        <v>Alberto Algerini</v>
      </c>
      <c r="K220" s="156">
        <v>3485308876</v>
      </c>
      <c r="L220" s="422" t="s">
        <v>1362</v>
      </c>
      <c r="M220" s="153" t="s">
        <v>1148</v>
      </c>
      <c r="N220" s="160" t="s">
        <v>1363</v>
      </c>
      <c r="O220" s="402"/>
      <c r="P220" s="315"/>
      <c r="Q220" s="160"/>
      <c r="R220" s="403"/>
      <c r="S220" s="160"/>
      <c r="T220" s="404"/>
      <c r="U220" s="315"/>
      <c r="V220" s="315"/>
      <c r="W220" s="315"/>
      <c r="X220" s="131"/>
      <c r="Y220" s="315"/>
      <c r="Z220" s="315"/>
      <c r="AA220" s="315"/>
      <c r="AB220" s="37"/>
      <c r="AC220" s="131"/>
      <c r="AD220" s="121"/>
      <c r="AE220" s="88"/>
      <c r="AF220" s="405"/>
      <c r="AG220" s="406"/>
      <c r="AH220" s="406"/>
      <c r="AI220" s="405"/>
      <c r="AJ220" s="155"/>
      <c r="AK220" s="155"/>
      <c r="AL220" s="155"/>
      <c r="AM220" s="407"/>
      <c r="AN220" s="155"/>
      <c r="AO220" s="155"/>
      <c r="AP220" s="155"/>
      <c r="AQ220" s="85"/>
      <c r="AR220" s="259"/>
      <c r="AS220" s="259"/>
      <c r="AT220" s="3"/>
      <c r="AU220" s="408"/>
      <c r="AV220" s="75"/>
      <c r="AW220" s="121"/>
      <c r="AX220" s="121"/>
      <c r="AY220" s="85"/>
      <c r="AZ220" s="121"/>
      <c r="BA220" s="121"/>
      <c r="BB220" s="121"/>
      <c r="BC220" s="85"/>
      <c r="BD220" s="121" t="s">
        <v>1364</v>
      </c>
      <c r="BE220" s="121"/>
      <c r="BF220" s="121"/>
      <c r="BG220" s="408"/>
      <c r="BH220" s="238">
        <f>CF220+CI220+CL220+CO220+CR220</f>
        <v>1097</v>
      </c>
      <c r="BI220" s="238">
        <f>CH220+CK220+CN220+CQ220+CT220</f>
        <v>0</v>
      </c>
      <c r="BJ220" s="238">
        <f>BH220-BI220</f>
        <v>1097</v>
      </c>
      <c r="BK220" s="239"/>
      <c r="BL220" s="260"/>
      <c r="BM220" s="241"/>
      <c r="BN220" s="142"/>
      <c r="BO220" s="182">
        <v>1097</v>
      </c>
      <c r="BP220" s="105" t="s">
        <v>414</v>
      </c>
      <c r="BQ220" s="98">
        <v>0.15</v>
      </c>
      <c r="BR220" s="409"/>
      <c r="BS220" s="242">
        <f>BL220*BQ220</f>
        <v>0</v>
      </c>
      <c r="BT220" s="203">
        <f>BM220*BQ220</f>
        <v>0</v>
      </c>
      <c r="BU220" s="167">
        <f>BN220*BQ220</f>
        <v>0</v>
      </c>
      <c r="BV220" s="168">
        <f>BO220*BQ220</f>
        <v>164.54999999999998</v>
      </c>
      <c r="BW220" s="131"/>
      <c r="BX220" s="105" t="s">
        <v>414</v>
      </c>
      <c r="BY220" s="145">
        <v>0.05</v>
      </c>
      <c r="BZ220" s="262"/>
      <c r="CA220" s="242">
        <f>BL220*BY220</f>
        <v>0</v>
      </c>
      <c r="CB220" s="101">
        <f>BM220*BY220</f>
        <v>0</v>
      </c>
      <c r="CC220" s="106">
        <f>BN220*BY220</f>
        <v>0</v>
      </c>
      <c r="CD220" s="107">
        <f>BO220*BY220</f>
        <v>54.85</v>
      </c>
      <c r="CE220" s="411"/>
      <c r="CF220" s="108">
        <v>1097</v>
      </c>
      <c r="CG220" s="109">
        <v>45198</v>
      </c>
      <c r="CH220" s="249"/>
      <c r="CI220" s="415"/>
      <c r="CJ220" s="416"/>
      <c r="CK220" s="415"/>
      <c r="CL220" s="415"/>
      <c r="CM220" s="416"/>
      <c r="CN220" s="415"/>
      <c r="CO220" s="263"/>
      <c r="CP220" s="263"/>
      <c r="CQ220" s="263"/>
      <c r="CR220" s="263"/>
      <c r="CS220" s="263"/>
      <c r="CT220" s="263"/>
      <c r="CU220" s="90">
        <v>1</v>
      </c>
      <c r="CV220" s="181"/>
      <c r="CW220" s="181"/>
      <c r="CX220" s="181"/>
      <c r="CY220" s="155"/>
      <c r="CZ220" s="121"/>
      <c r="DA220" s="419" t="s">
        <v>1365</v>
      </c>
      <c r="DB220" s="115" t="str">
        <f>PROPER(N220)</f>
        <v>Algerini Gioielli</v>
      </c>
      <c r="DC220" s="419" t="s">
        <v>264</v>
      </c>
      <c r="DD220" s="116" t="str">
        <f>BP220</f>
        <v>Barbara</v>
      </c>
      <c r="DE220" s="117" t="b">
        <f>IF(OR(D220&gt;0),IF(BJ220=0,BN220*BQ220,0))</f>
        <v>0</v>
      </c>
      <c r="DF220" s="117" t="b">
        <f>IF(OR(D220&gt;0),IF(BJ220=0,BN220*BY220,0))</f>
        <v>0</v>
      </c>
      <c r="DG220" s="118" t="str">
        <f>BX220</f>
        <v>Barbara</v>
      </c>
      <c r="DH220" s="76"/>
      <c r="DI220" s="120" t="s">
        <v>154</v>
      </c>
      <c r="DJ220" s="120"/>
      <c r="DK220" s="74" t="s">
        <v>1366</v>
      </c>
      <c r="DL220" s="74" t="s">
        <v>1366</v>
      </c>
      <c r="DM220" s="122"/>
      <c r="DN220" s="6"/>
      <c r="DO220" s="6"/>
      <c r="DP220" s="6"/>
      <c r="DQ220" s="6"/>
      <c r="DR220" s="6"/>
      <c r="DS220" s="6"/>
      <c r="DT220" s="6"/>
      <c r="DU220" s="6"/>
      <c r="DV220" s="6"/>
      <c r="DW220" s="6"/>
      <c r="DX220" s="6"/>
      <c r="DY220" s="6"/>
      <c r="DZ220" s="6"/>
    </row>
    <row r="221" spans="1:130" ht="34.5" hidden="1" customHeight="1">
      <c r="A221" s="228"/>
      <c r="B221" s="75" t="s">
        <v>1359</v>
      </c>
      <c r="C221" s="155"/>
      <c r="D221" s="75"/>
      <c r="E221" s="75">
        <v>1</v>
      </c>
      <c r="F221" s="75"/>
      <c r="G221" s="400" t="s">
        <v>1307</v>
      </c>
      <c r="H221" s="400" t="s">
        <v>1367</v>
      </c>
      <c r="I221" s="207" t="s">
        <v>1368</v>
      </c>
      <c r="J221" s="90" t="str">
        <f>CONCATENATE(G221," ",H221)</f>
        <v>Alberto Milanesio</v>
      </c>
      <c r="K221" s="156">
        <v>3383793658</v>
      </c>
      <c r="L221" s="423"/>
      <c r="M221" s="153"/>
      <c r="N221" s="160" t="s">
        <v>1369</v>
      </c>
      <c r="O221" s="402"/>
      <c r="P221" s="315"/>
      <c r="Q221" s="160"/>
      <c r="R221" s="403"/>
      <c r="S221" s="160"/>
      <c r="T221" s="404"/>
      <c r="U221" s="315"/>
      <c r="V221" s="315"/>
      <c r="W221" s="315"/>
      <c r="X221" s="131"/>
      <c r="Y221" s="315"/>
      <c r="Z221" s="315"/>
      <c r="AA221" s="315"/>
      <c r="AB221" s="37"/>
      <c r="AC221" s="131"/>
      <c r="AD221" s="121" t="s">
        <v>1370</v>
      </c>
      <c r="AE221" s="88"/>
      <c r="AF221" s="405"/>
      <c r="AG221" s="406"/>
      <c r="AH221" s="406"/>
      <c r="AI221" s="405"/>
      <c r="AJ221" s="155"/>
      <c r="AK221" s="155"/>
      <c r="AL221" s="155"/>
      <c r="AM221" s="407"/>
      <c r="AN221" s="155"/>
      <c r="AO221" s="155"/>
      <c r="AP221" s="155"/>
      <c r="AQ221" s="85"/>
      <c r="AR221" s="259"/>
      <c r="AS221" s="259"/>
      <c r="AT221" s="3"/>
      <c r="AU221" s="408"/>
      <c r="AV221" s="75"/>
      <c r="AW221" s="121"/>
      <c r="AX221" s="121"/>
      <c r="AY221" s="85"/>
      <c r="AZ221" s="121"/>
      <c r="BA221" s="121" t="s">
        <v>115</v>
      </c>
      <c r="BB221" s="135" t="s">
        <v>154</v>
      </c>
      <c r="BC221" s="85"/>
      <c r="BD221" s="121" t="s">
        <v>115</v>
      </c>
      <c r="BE221" s="153"/>
      <c r="BF221" s="121" t="s">
        <v>115</v>
      </c>
      <c r="BG221" s="408"/>
      <c r="BH221" s="238">
        <f>CF221+CI221+CL221+CO221+CR221</f>
        <v>2797</v>
      </c>
      <c r="BI221" s="238">
        <f>CH221+CK221+CN221+CQ221+CT221</f>
        <v>2797</v>
      </c>
      <c r="BJ221" s="238">
        <f>BH221-BI221</f>
        <v>0</v>
      </c>
      <c r="BK221" s="239"/>
      <c r="BL221" s="260"/>
      <c r="BM221" s="241"/>
      <c r="BN221" s="142">
        <v>2797</v>
      </c>
      <c r="BO221" s="182"/>
      <c r="BP221" s="105" t="s">
        <v>141</v>
      </c>
      <c r="BQ221" s="98">
        <v>0.15</v>
      </c>
      <c r="BR221" s="409"/>
      <c r="BS221" s="242">
        <f>BL221*BQ221</f>
        <v>0</v>
      </c>
      <c r="BT221" s="203">
        <f>BM221*BQ221</f>
        <v>0</v>
      </c>
      <c r="BU221" s="167">
        <f>BN221*BQ221</f>
        <v>419.55</v>
      </c>
      <c r="BV221" s="168">
        <f>BO221*BQ221</f>
        <v>0</v>
      </c>
      <c r="BW221" s="131"/>
      <c r="BX221" s="105" t="s">
        <v>141</v>
      </c>
      <c r="BY221" s="145">
        <v>0.05</v>
      </c>
      <c r="BZ221" s="262"/>
      <c r="CA221" s="242">
        <f>BL221*BY221</f>
        <v>0</v>
      </c>
      <c r="CB221" s="101">
        <f>BM221*BY221</f>
        <v>0</v>
      </c>
      <c r="CC221" s="106">
        <f>BN221*BY221</f>
        <v>139.85</v>
      </c>
      <c r="CD221" s="107">
        <f>BO221*BY221</f>
        <v>0</v>
      </c>
      <c r="CE221" s="411"/>
      <c r="CF221" s="108">
        <v>2797</v>
      </c>
      <c r="CG221" s="109">
        <v>45198</v>
      </c>
      <c r="CH221" s="108">
        <v>2797</v>
      </c>
      <c r="CI221" s="415"/>
      <c r="CJ221" s="416"/>
      <c r="CK221" s="415"/>
      <c r="CL221" s="415"/>
      <c r="CM221" s="416"/>
      <c r="CN221" s="415"/>
      <c r="CO221" s="263"/>
      <c r="CP221" s="263"/>
      <c r="CQ221" s="263"/>
      <c r="CR221" s="263"/>
      <c r="CS221" s="263"/>
      <c r="CT221" s="263"/>
      <c r="CU221" s="90">
        <v>1</v>
      </c>
      <c r="CV221" s="181"/>
      <c r="CW221" s="181"/>
      <c r="CX221" s="181"/>
      <c r="CY221" s="155"/>
      <c r="CZ221" s="121"/>
      <c r="DA221" s="424" t="s">
        <v>1371</v>
      </c>
      <c r="DB221" s="115" t="str">
        <f>PROPER(N221)</f>
        <v>Libellula</v>
      </c>
      <c r="DC221" s="419" t="s">
        <v>1372</v>
      </c>
      <c r="DD221" s="116" t="str">
        <f>BP221</f>
        <v>Daniele</v>
      </c>
      <c r="DE221" s="117" t="b">
        <f>IF(OR(D221&gt;0),IF(BJ221=0,BN221*BQ221,0))</f>
        <v>0</v>
      </c>
      <c r="DF221" s="117" t="b">
        <f>IF(OR(D221&gt;0),IF(BJ221=0,BN221*BY221,0))</f>
        <v>0</v>
      </c>
      <c r="DG221" s="118" t="str">
        <f>BX221</f>
        <v>Daniele</v>
      </c>
      <c r="DH221" s="76"/>
      <c r="DI221" s="120" t="s">
        <v>154</v>
      </c>
      <c r="DJ221" s="120"/>
      <c r="DK221" s="74" t="s">
        <v>1366</v>
      </c>
      <c r="DL221" s="74" t="s">
        <v>1366</v>
      </c>
      <c r="DM221" s="122">
        <v>1</v>
      </c>
      <c r="DN221" s="6"/>
      <c r="DO221" s="6"/>
      <c r="DP221" s="6"/>
      <c r="DQ221" s="6"/>
      <c r="DR221" s="6"/>
      <c r="DS221" s="6"/>
      <c r="DT221" s="6"/>
      <c r="DU221" s="6"/>
      <c r="DV221" s="6"/>
      <c r="DW221" s="6"/>
      <c r="DX221" s="6"/>
      <c r="DY221" s="6"/>
      <c r="DZ221" s="6"/>
    </row>
    <row r="222" spans="1:130" ht="34.5" hidden="1" customHeight="1">
      <c r="A222" s="228"/>
      <c r="B222" s="75" t="s">
        <v>1359</v>
      </c>
      <c r="C222" s="155"/>
      <c r="D222" s="75">
        <v>1</v>
      </c>
      <c r="E222" s="75"/>
      <c r="F222" s="75"/>
      <c r="G222" s="400" t="s">
        <v>471</v>
      </c>
      <c r="H222" s="400" t="s">
        <v>1373</v>
      </c>
      <c r="I222" s="207" t="s">
        <v>1374</v>
      </c>
      <c r="J222" s="155" t="str">
        <f>CONCATENATE(G222," ",H222)</f>
        <v>Federico Tesio</v>
      </c>
      <c r="K222" s="156">
        <v>3346698018</v>
      </c>
      <c r="L222" s="423"/>
      <c r="M222" s="425" t="s">
        <v>1375</v>
      </c>
      <c r="N222" s="160" t="s">
        <v>1369</v>
      </c>
      <c r="O222" s="402"/>
      <c r="P222" s="315"/>
      <c r="Q222" s="160"/>
      <c r="R222" s="403"/>
      <c r="S222" s="160"/>
      <c r="T222" s="404"/>
      <c r="U222" s="315"/>
      <c r="V222" s="315"/>
      <c r="W222" s="315"/>
      <c r="X222" s="131"/>
      <c r="Y222" s="315"/>
      <c r="Z222" s="315"/>
      <c r="AA222" s="315"/>
      <c r="AB222" s="37"/>
      <c r="AC222" s="131"/>
      <c r="AD222" s="121" t="s">
        <v>1370</v>
      </c>
      <c r="AE222" s="88"/>
      <c r="AF222" s="405"/>
      <c r="AG222" s="406"/>
      <c r="AH222" s="406"/>
      <c r="AI222" s="405"/>
      <c r="AJ222" s="155"/>
      <c r="AK222" s="155"/>
      <c r="AL222" s="155"/>
      <c r="AM222" s="407"/>
      <c r="AN222" s="155"/>
      <c r="AO222" s="155"/>
      <c r="AP222" s="155"/>
      <c r="AQ222" s="85"/>
      <c r="AR222" s="259"/>
      <c r="AS222" s="259"/>
      <c r="AT222" s="3"/>
      <c r="AU222" s="408"/>
      <c r="AV222" s="75"/>
      <c r="AW222" s="121"/>
      <c r="AX222" s="121"/>
      <c r="AY222" s="85"/>
      <c r="AZ222" s="121" t="s">
        <v>115</v>
      </c>
      <c r="BA222" s="121"/>
      <c r="BB222" s="121"/>
      <c r="BC222" s="85"/>
      <c r="BD222" s="153"/>
      <c r="BE222" s="121" t="s">
        <v>115</v>
      </c>
      <c r="BF222" s="121" t="s">
        <v>115</v>
      </c>
      <c r="BG222" s="408"/>
      <c r="BH222" s="238">
        <f>CF222+CI222+CL222+CO222+CR222</f>
        <v>2797</v>
      </c>
      <c r="BI222" s="238">
        <f>CH222+CK222+CN222+CQ222+CT222</f>
        <v>2797</v>
      </c>
      <c r="BJ222" s="238">
        <f>BH222-BI222</f>
        <v>0</v>
      </c>
      <c r="BK222" s="239"/>
      <c r="BL222" s="260"/>
      <c r="BM222" s="241"/>
      <c r="BN222" s="142">
        <v>2797</v>
      </c>
      <c r="BO222" s="182"/>
      <c r="BP222" s="105" t="s">
        <v>141</v>
      </c>
      <c r="BQ222" s="98">
        <v>0.15</v>
      </c>
      <c r="BR222" s="409"/>
      <c r="BS222" s="242">
        <f>BL222*BQ222</f>
        <v>0</v>
      </c>
      <c r="BT222" s="203">
        <f>BM222*BQ222</f>
        <v>0</v>
      </c>
      <c r="BU222" s="167">
        <f>BN222*BQ222</f>
        <v>419.55</v>
      </c>
      <c r="BV222" s="168">
        <f>BO222*BQ222</f>
        <v>0</v>
      </c>
      <c r="BW222" s="160" t="s">
        <v>185</v>
      </c>
      <c r="BX222" s="105" t="s">
        <v>141</v>
      </c>
      <c r="BY222" s="145">
        <v>0.05</v>
      </c>
      <c r="BZ222" s="262"/>
      <c r="CA222" s="242">
        <f>BL222*BY222</f>
        <v>0</v>
      </c>
      <c r="CB222" s="101">
        <f>BM222*BY222</f>
        <v>0</v>
      </c>
      <c r="CC222" s="106">
        <f>BN222*BY222</f>
        <v>139.85</v>
      </c>
      <c r="CD222" s="107">
        <f>BO222*BY222</f>
        <v>0</v>
      </c>
      <c r="CE222" s="160" t="s">
        <v>185</v>
      </c>
      <c r="CF222" s="108">
        <v>2797</v>
      </c>
      <c r="CG222" s="109">
        <v>45198</v>
      </c>
      <c r="CH222" s="108">
        <v>2797</v>
      </c>
      <c r="CI222" s="415"/>
      <c r="CJ222" s="416"/>
      <c r="CK222" s="415"/>
      <c r="CL222" s="415"/>
      <c r="CM222" s="416"/>
      <c r="CN222" s="415"/>
      <c r="CO222" s="263"/>
      <c r="CP222" s="263"/>
      <c r="CQ222" s="263"/>
      <c r="CR222" s="263"/>
      <c r="CS222" s="263"/>
      <c r="CT222" s="263"/>
      <c r="CU222" s="90">
        <v>1</v>
      </c>
      <c r="CV222" s="181"/>
      <c r="CW222" s="181"/>
      <c r="CX222" s="181"/>
      <c r="CY222" s="155"/>
      <c r="CZ222" s="121"/>
      <c r="DA222" s="426" t="s">
        <v>1371</v>
      </c>
      <c r="DB222" s="115" t="str">
        <f>PROPER(N222)</f>
        <v>Libellula</v>
      </c>
      <c r="DC222" s="419" t="s">
        <v>1372</v>
      </c>
      <c r="DD222" s="116" t="str">
        <f>BP222</f>
        <v>Daniele</v>
      </c>
      <c r="DE222" s="117">
        <f>IF(OR(D222&gt;0),IF(BJ222=0,BN222*BQ222,0))</f>
        <v>419.55</v>
      </c>
      <c r="DF222" s="117">
        <f>IF(OR(D222&gt;0),IF(BJ222=0,BN222*BY222,0))</f>
        <v>139.85</v>
      </c>
      <c r="DG222" s="118" t="str">
        <f>BX222</f>
        <v>Daniele</v>
      </c>
      <c r="DH222" s="76"/>
      <c r="DI222" s="120" t="s">
        <v>154</v>
      </c>
      <c r="DJ222" s="120"/>
      <c r="DK222" s="74" t="s">
        <v>1366</v>
      </c>
      <c r="DL222" s="74" t="s">
        <v>1366</v>
      </c>
      <c r="DM222" s="122">
        <v>1</v>
      </c>
      <c r="DN222" s="6"/>
      <c r="DO222" s="6"/>
      <c r="DP222" s="6"/>
      <c r="DQ222" s="6"/>
      <c r="DR222" s="6"/>
      <c r="DS222" s="6"/>
      <c r="DT222" s="6"/>
      <c r="DU222" s="6"/>
      <c r="DV222" s="6"/>
      <c r="DW222" s="6"/>
      <c r="DX222" s="6"/>
      <c r="DY222" s="6"/>
      <c r="DZ222" s="6"/>
    </row>
    <row r="223" spans="1:130" ht="34.5" hidden="1" customHeight="1">
      <c r="A223" s="228"/>
      <c r="B223" s="75" t="s">
        <v>1359</v>
      </c>
      <c r="C223" s="155"/>
      <c r="D223" s="75"/>
      <c r="E223" s="75">
        <v>1</v>
      </c>
      <c r="F223" s="75"/>
      <c r="G223" s="400" t="s">
        <v>570</v>
      </c>
      <c r="H223" s="400" t="s">
        <v>1376</v>
      </c>
      <c r="I223" s="207" t="s">
        <v>1377</v>
      </c>
      <c r="J223" s="155" t="str">
        <f>CONCATENATE(G223," ",H223)</f>
        <v>Giovanni Pilla</v>
      </c>
      <c r="K223" s="156">
        <v>3425584098</v>
      </c>
      <c r="L223" s="423"/>
      <c r="M223" s="153"/>
      <c r="N223" s="160" t="s">
        <v>1369</v>
      </c>
      <c r="O223" s="402"/>
      <c r="P223" s="315"/>
      <c r="Q223" s="160"/>
      <c r="R223" s="403"/>
      <c r="S223" s="160"/>
      <c r="T223" s="404"/>
      <c r="U223" s="315"/>
      <c r="V223" s="315"/>
      <c r="W223" s="315"/>
      <c r="X223" s="131"/>
      <c r="Y223" s="315"/>
      <c r="Z223" s="315"/>
      <c r="AA223" s="315"/>
      <c r="AB223" s="37"/>
      <c r="AC223" s="131"/>
      <c r="AD223" s="121" t="s">
        <v>1370</v>
      </c>
      <c r="AE223" s="88"/>
      <c r="AF223" s="405"/>
      <c r="AG223" s="406"/>
      <c r="AH223" s="406"/>
      <c r="AI223" s="405"/>
      <c r="AJ223" s="155"/>
      <c r="AK223" s="155"/>
      <c r="AL223" s="155"/>
      <c r="AM223" s="407"/>
      <c r="AN223" s="155"/>
      <c r="AO223" s="155"/>
      <c r="AP223" s="155"/>
      <c r="AQ223" s="85"/>
      <c r="AR223" s="121"/>
      <c r="AS223" s="121"/>
      <c r="AT223" s="121"/>
      <c r="AU223" s="408"/>
      <c r="AV223" s="75"/>
      <c r="AW223" s="121"/>
      <c r="AX223" s="121"/>
      <c r="AY223" s="85"/>
      <c r="AZ223" s="121"/>
      <c r="BA223" s="121" t="s">
        <v>115</v>
      </c>
      <c r="BB223" s="135" t="s">
        <v>154</v>
      </c>
      <c r="BC223" s="85"/>
      <c r="BD223" s="121" t="s">
        <v>115</v>
      </c>
      <c r="BE223" s="121"/>
      <c r="BF223" s="121" t="s">
        <v>115</v>
      </c>
      <c r="BG223" s="408"/>
      <c r="BH223" s="238">
        <f>CF223+CI223+CL223+CO223+CR223</f>
        <v>2797</v>
      </c>
      <c r="BI223" s="238">
        <f>CH223+CK223+CN223+CQ223+CT223</f>
        <v>2797</v>
      </c>
      <c r="BJ223" s="238">
        <f>BH223-BI223</f>
        <v>0</v>
      </c>
      <c r="BK223" s="239"/>
      <c r="BL223" s="260"/>
      <c r="BM223" s="241"/>
      <c r="BN223" s="142">
        <v>2797</v>
      </c>
      <c r="BO223" s="182"/>
      <c r="BP223" s="105" t="s">
        <v>141</v>
      </c>
      <c r="BQ223" s="98">
        <v>0.15</v>
      </c>
      <c r="BR223" s="409"/>
      <c r="BS223" s="242">
        <f>BL223*BQ223</f>
        <v>0</v>
      </c>
      <c r="BT223" s="203">
        <f>BM223*BQ223</f>
        <v>0</v>
      </c>
      <c r="BU223" s="167">
        <f>BN223*BQ223</f>
        <v>419.55</v>
      </c>
      <c r="BV223" s="168">
        <f>BO223*BQ223</f>
        <v>0</v>
      </c>
      <c r="BW223" s="131"/>
      <c r="BX223" s="105" t="s">
        <v>141</v>
      </c>
      <c r="BY223" s="145">
        <v>0.05</v>
      </c>
      <c r="BZ223" s="262"/>
      <c r="CA223" s="242">
        <f>BL223*BY223</f>
        <v>0</v>
      </c>
      <c r="CB223" s="101">
        <f>BM223*BY223</f>
        <v>0</v>
      </c>
      <c r="CC223" s="106">
        <f>BN223*BY223</f>
        <v>139.85</v>
      </c>
      <c r="CD223" s="107">
        <f>BO223*BY223</f>
        <v>0</v>
      </c>
      <c r="CE223" s="411"/>
      <c r="CF223" s="108">
        <v>2797</v>
      </c>
      <c r="CG223" s="109">
        <v>45198</v>
      </c>
      <c r="CH223" s="108">
        <v>2797</v>
      </c>
      <c r="CI223" s="415"/>
      <c r="CJ223" s="416"/>
      <c r="CK223" s="415"/>
      <c r="CL223" s="415"/>
      <c r="CM223" s="416"/>
      <c r="CN223" s="415"/>
      <c r="CO223" s="263"/>
      <c r="CP223" s="263"/>
      <c r="CQ223" s="263"/>
      <c r="CR223" s="263"/>
      <c r="CS223" s="263"/>
      <c r="CT223" s="263"/>
      <c r="CU223" s="90">
        <v>1</v>
      </c>
      <c r="CV223" s="181"/>
      <c r="CW223" s="181"/>
      <c r="CX223" s="181"/>
      <c r="CY223" s="155"/>
      <c r="CZ223" s="121"/>
      <c r="DA223" s="424" t="s">
        <v>1371</v>
      </c>
      <c r="DB223" s="115" t="str">
        <f>PROPER(N223)</f>
        <v>Libellula</v>
      </c>
      <c r="DC223" s="419" t="s">
        <v>1372</v>
      </c>
      <c r="DD223" s="116" t="str">
        <f>BP223</f>
        <v>Daniele</v>
      </c>
      <c r="DE223" s="117" t="b">
        <f>IF(OR(D223&gt;0),IF(BJ223=0,BN223*BQ223,0))</f>
        <v>0</v>
      </c>
      <c r="DF223" s="117" t="b">
        <f>IF(OR(D223&gt;0),IF(BJ223=0,BN223*BY223,0))</f>
        <v>0</v>
      </c>
      <c r="DG223" s="118" t="str">
        <f>BX223</f>
        <v>Daniele</v>
      </c>
      <c r="DH223" s="76"/>
      <c r="DI223" s="120" t="s">
        <v>154</v>
      </c>
      <c r="DJ223" s="120"/>
      <c r="DK223" s="74" t="s">
        <v>1366</v>
      </c>
      <c r="DL223" s="74" t="s">
        <v>1366</v>
      </c>
      <c r="DM223" s="122">
        <v>1</v>
      </c>
      <c r="DN223" s="6"/>
      <c r="DO223" s="6"/>
      <c r="DP223" s="6"/>
      <c r="DQ223" s="6"/>
      <c r="DR223" s="6"/>
      <c r="DS223" s="6"/>
      <c r="DT223" s="6"/>
      <c r="DU223" s="6"/>
      <c r="DV223" s="6"/>
      <c r="DW223" s="6"/>
      <c r="DX223" s="6"/>
      <c r="DY223" s="6"/>
      <c r="DZ223" s="6"/>
    </row>
    <row r="224" spans="1:130" ht="34.5" hidden="1" customHeight="1">
      <c r="A224" s="228"/>
      <c r="B224" s="75" t="s">
        <v>1359</v>
      </c>
      <c r="C224" s="155"/>
      <c r="D224" s="75">
        <v>1</v>
      </c>
      <c r="E224" s="75"/>
      <c r="F224" s="75"/>
      <c r="G224" s="400" t="s">
        <v>1378</v>
      </c>
      <c r="H224" s="400" t="s">
        <v>1379</v>
      </c>
      <c r="I224" s="207" t="s">
        <v>1380</v>
      </c>
      <c r="J224" s="155" t="str">
        <f>CONCATENATE(G224," ",H224)</f>
        <v>Cristian Pegorini</v>
      </c>
      <c r="K224" s="427">
        <v>3938317626</v>
      </c>
      <c r="L224" s="423" t="s">
        <v>1381</v>
      </c>
      <c r="M224" s="153"/>
      <c r="N224" s="160" t="s">
        <v>1369</v>
      </c>
      <c r="O224" s="402"/>
      <c r="P224" s="315"/>
      <c r="Q224" s="160"/>
      <c r="R224" s="403"/>
      <c r="S224" s="160"/>
      <c r="T224" s="404"/>
      <c r="U224" s="315"/>
      <c r="V224" s="315"/>
      <c r="W224" s="315"/>
      <c r="X224" s="131"/>
      <c r="Y224" s="315"/>
      <c r="Z224" s="315"/>
      <c r="AA224" s="315"/>
      <c r="AB224" s="37"/>
      <c r="AC224" s="131"/>
      <c r="AD224" s="121" t="s">
        <v>1370</v>
      </c>
      <c r="AE224" s="88"/>
      <c r="AF224" s="405"/>
      <c r="AG224" s="406"/>
      <c r="AH224" s="406"/>
      <c r="AI224" s="405"/>
      <c r="AJ224" s="155"/>
      <c r="AK224" s="155"/>
      <c r="AL224" s="155"/>
      <c r="AM224" s="407"/>
      <c r="AN224" s="155"/>
      <c r="AO224" s="155"/>
      <c r="AP224" s="155"/>
      <c r="AQ224" s="85"/>
      <c r="AR224" s="121"/>
      <c r="AS224" s="121"/>
      <c r="AT224" s="121"/>
      <c r="AU224" s="408"/>
      <c r="AV224" s="75"/>
      <c r="AW224" s="121"/>
      <c r="AX224" s="121"/>
      <c r="AY224" s="85"/>
      <c r="AZ224" s="121" t="s">
        <v>115</v>
      </c>
      <c r="BA224" s="121"/>
      <c r="BB224" s="121"/>
      <c r="BC224" s="85"/>
      <c r="BD224" s="121"/>
      <c r="BE224" s="121" t="s">
        <v>115</v>
      </c>
      <c r="BF224" s="121" t="s">
        <v>115</v>
      </c>
      <c r="BG224" s="408"/>
      <c r="BH224" s="238">
        <f>CF224+CI224+CL224+CO224+CR224</f>
        <v>2797</v>
      </c>
      <c r="BI224" s="238">
        <f>CH224+CK224+CN224+CQ224+CT224</f>
        <v>2797</v>
      </c>
      <c r="BJ224" s="238">
        <f>BH224-BI224</f>
        <v>0</v>
      </c>
      <c r="BK224" s="239"/>
      <c r="BL224" s="260"/>
      <c r="BM224" s="241"/>
      <c r="BN224" s="142">
        <v>2797</v>
      </c>
      <c r="BO224" s="182"/>
      <c r="BP224" s="105" t="s">
        <v>141</v>
      </c>
      <c r="BQ224" s="98">
        <v>0.15</v>
      </c>
      <c r="BR224" s="409"/>
      <c r="BS224" s="242">
        <f>BL224*BQ224</f>
        <v>0</v>
      </c>
      <c r="BT224" s="203">
        <f>BM224*BQ224</f>
        <v>0</v>
      </c>
      <c r="BU224" s="167">
        <f>BN224*BQ224</f>
        <v>419.55</v>
      </c>
      <c r="BV224" s="168">
        <f>BO224*BQ224</f>
        <v>0</v>
      </c>
      <c r="BW224" s="160" t="s">
        <v>185</v>
      </c>
      <c r="BX224" s="105" t="s">
        <v>141</v>
      </c>
      <c r="BY224" s="145">
        <v>0.05</v>
      </c>
      <c r="BZ224" s="262"/>
      <c r="CA224" s="242">
        <f>BL224*BY224</f>
        <v>0</v>
      </c>
      <c r="CB224" s="101">
        <f>BM224*BY224</f>
        <v>0</v>
      </c>
      <c r="CC224" s="106">
        <f>BN224*BY224</f>
        <v>139.85</v>
      </c>
      <c r="CD224" s="107">
        <f>BO224*BY224</f>
        <v>0</v>
      </c>
      <c r="CE224" s="160" t="s">
        <v>185</v>
      </c>
      <c r="CF224" s="108">
        <v>2797</v>
      </c>
      <c r="CG224" s="109">
        <v>45198</v>
      </c>
      <c r="CH224" s="108">
        <v>2797</v>
      </c>
      <c r="CI224" s="415"/>
      <c r="CJ224" s="416"/>
      <c r="CK224" s="415"/>
      <c r="CL224" s="415"/>
      <c r="CM224" s="416"/>
      <c r="CN224" s="415"/>
      <c r="CO224" s="263"/>
      <c r="CP224" s="263"/>
      <c r="CQ224" s="263"/>
      <c r="CR224" s="263"/>
      <c r="CS224" s="263"/>
      <c r="CT224" s="263"/>
      <c r="CU224" s="90">
        <v>1</v>
      </c>
      <c r="CV224" s="181"/>
      <c r="CW224" s="181"/>
      <c r="CX224" s="181"/>
      <c r="CY224" s="155"/>
      <c r="CZ224" s="121"/>
      <c r="DA224" s="428" t="s">
        <v>1371</v>
      </c>
      <c r="DB224" s="115" t="str">
        <f>PROPER(N224)</f>
        <v>Libellula</v>
      </c>
      <c r="DC224" s="419" t="s">
        <v>1372</v>
      </c>
      <c r="DD224" s="116" t="str">
        <f>BP224</f>
        <v>Daniele</v>
      </c>
      <c r="DE224" s="117">
        <f>IF(OR(D224&gt;0),IF(BJ224=0,BN224*BQ224,0))</f>
        <v>419.55</v>
      </c>
      <c r="DF224" s="117">
        <f>IF(OR(D224&gt;0),IF(BJ224=0,BN224*BY224,0))</f>
        <v>139.85</v>
      </c>
      <c r="DG224" s="118" t="str">
        <f>BX224</f>
        <v>Daniele</v>
      </c>
      <c r="DH224" s="76"/>
      <c r="DI224" s="120" t="s">
        <v>154</v>
      </c>
      <c r="DJ224" s="120"/>
      <c r="DK224" s="74" t="s">
        <v>1366</v>
      </c>
      <c r="DL224" s="74" t="s">
        <v>1366</v>
      </c>
      <c r="DM224" s="122">
        <v>1</v>
      </c>
      <c r="DN224" s="6"/>
      <c r="DO224" s="6"/>
      <c r="DP224" s="6"/>
      <c r="DQ224" s="6"/>
      <c r="DR224" s="6"/>
      <c r="DS224" s="6"/>
      <c r="DT224" s="6"/>
      <c r="DU224" s="6"/>
      <c r="DV224" s="6"/>
      <c r="DW224" s="6"/>
      <c r="DX224" s="6"/>
      <c r="DY224" s="6"/>
      <c r="DZ224" s="6"/>
    </row>
    <row r="225" spans="1:130" ht="34.5" hidden="1" customHeight="1">
      <c r="A225" s="228"/>
      <c r="B225" s="75" t="s">
        <v>1359</v>
      </c>
      <c r="C225" s="155"/>
      <c r="D225" s="75"/>
      <c r="E225" s="75"/>
      <c r="F225" s="75"/>
      <c r="G225" s="400" t="s">
        <v>1382</v>
      </c>
      <c r="H225" s="400" t="s">
        <v>1383</v>
      </c>
      <c r="I225" s="294" t="s">
        <v>1384</v>
      </c>
      <c r="J225" s="155" t="str">
        <f>CONCATENATE(G225," ",H225)</f>
        <v>Alessandra Leonardi</v>
      </c>
      <c r="K225" s="429">
        <v>3479604678</v>
      </c>
      <c r="L225" s="430"/>
      <c r="M225" s="131" t="s">
        <v>707</v>
      </c>
      <c r="N225" s="160" t="s">
        <v>1385</v>
      </c>
      <c r="O225" s="402"/>
      <c r="P225" s="315"/>
      <c r="Q225" s="160"/>
      <c r="R225" s="403"/>
      <c r="S225" s="160"/>
      <c r="T225" s="404"/>
      <c r="U225" s="315"/>
      <c r="V225" s="315"/>
      <c r="W225" s="315"/>
      <c r="X225" s="131"/>
      <c r="Y225" s="315"/>
      <c r="Z225" s="315"/>
      <c r="AA225" s="315"/>
      <c r="AB225" s="37"/>
      <c r="AC225" s="131"/>
      <c r="AD225" s="121" t="s">
        <v>1386</v>
      </c>
      <c r="AE225" s="88"/>
      <c r="AF225" s="405"/>
      <c r="AG225" s="406"/>
      <c r="AH225" s="406"/>
      <c r="AI225" s="405"/>
      <c r="AJ225" s="155"/>
      <c r="AK225" s="155"/>
      <c r="AL225" s="155"/>
      <c r="AM225" s="407"/>
      <c r="AN225" s="155"/>
      <c r="AO225" s="155"/>
      <c r="AP225" s="155"/>
      <c r="AQ225" s="85"/>
      <c r="AR225" s="259"/>
      <c r="AS225" s="259"/>
      <c r="AT225" s="3"/>
      <c r="AU225" s="408"/>
      <c r="AV225" s="75"/>
      <c r="AW225" s="121"/>
      <c r="AX225" s="121"/>
      <c r="AY225" s="85"/>
      <c r="AZ225" s="121"/>
      <c r="BA225" s="121"/>
      <c r="BB225" s="121"/>
      <c r="BC225" s="85"/>
      <c r="BD225" s="121" t="s">
        <v>245</v>
      </c>
      <c r="BE225" s="121" t="s">
        <v>245</v>
      </c>
      <c r="BF225" s="121" t="s">
        <v>245</v>
      </c>
      <c r="BG225" s="408"/>
      <c r="BH225" s="238">
        <f>CF225+CI225+CL225+CO225+CR225</f>
        <v>3497.0000000000005</v>
      </c>
      <c r="BI225" s="238">
        <f>CH225+CK225+CN225+CQ225+CT225</f>
        <v>163.9344262295082</v>
      </c>
      <c r="BJ225" s="238">
        <f>BH225-BI225</f>
        <v>3333.0655737704924</v>
      </c>
      <c r="BK225" s="239"/>
      <c r="BL225" s="260"/>
      <c r="BM225" s="241"/>
      <c r="BN225" s="142"/>
      <c r="BO225" s="182">
        <v>3497</v>
      </c>
      <c r="BP225" s="105" t="s">
        <v>487</v>
      </c>
      <c r="BQ225" s="98">
        <v>0.15</v>
      </c>
      <c r="BR225" s="409"/>
      <c r="BS225" s="242">
        <f>BL225*BQ225</f>
        <v>0</v>
      </c>
      <c r="BT225" s="203">
        <f>BM225*BQ225</f>
        <v>0</v>
      </c>
      <c r="BU225" s="167">
        <f>BN225*BQ225</f>
        <v>0</v>
      </c>
      <c r="BV225" s="168">
        <f>BO225*BQ225</f>
        <v>524.54999999999995</v>
      </c>
      <c r="BW225" s="131"/>
      <c r="BX225" s="105" t="s">
        <v>487</v>
      </c>
      <c r="BY225" s="145">
        <v>0.05</v>
      </c>
      <c r="BZ225" s="262"/>
      <c r="CA225" s="242">
        <f>BL225*BY225</f>
        <v>0</v>
      </c>
      <c r="CB225" s="101">
        <f>BM225*BY225</f>
        <v>0</v>
      </c>
      <c r="CC225" s="106">
        <f>BN225*BY225</f>
        <v>0</v>
      </c>
      <c r="CD225" s="107">
        <f>BO225*BY225</f>
        <v>174.85000000000002</v>
      </c>
      <c r="CE225" s="411"/>
      <c r="CF225" s="108">
        <f>200/1.22</f>
        <v>163.9344262295082</v>
      </c>
      <c r="CG225" s="109">
        <v>45198</v>
      </c>
      <c r="CH225" s="108">
        <f>200/1.22</f>
        <v>163.9344262295082</v>
      </c>
      <c r="CI225" s="110">
        <f>1720/1.22</f>
        <v>1409.8360655737706</v>
      </c>
      <c r="CJ225" s="226">
        <v>45205</v>
      </c>
      <c r="CK225" s="381"/>
      <c r="CL225" s="110">
        <f>2346.34/1.22</f>
        <v>1923.2295081967216</v>
      </c>
      <c r="CM225" s="226">
        <v>45233</v>
      </c>
      <c r="CN225" s="168"/>
      <c r="CO225" s="263"/>
      <c r="CP225" s="263"/>
      <c r="CQ225" s="263"/>
      <c r="CR225" s="263"/>
      <c r="CS225" s="263"/>
      <c r="CT225" s="263"/>
      <c r="CU225" s="90">
        <v>1</v>
      </c>
      <c r="CV225" s="181"/>
      <c r="CW225" s="431" t="s">
        <v>1387</v>
      </c>
      <c r="CX225" s="432" t="s">
        <v>1388</v>
      </c>
      <c r="CY225" s="155"/>
      <c r="CZ225" s="121"/>
      <c r="DA225" s="424" t="s">
        <v>1389</v>
      </c>
      <c r="DB225" s="115" t="str">
        <f>PROPER(N225)</f>
        <v>Studio Ceccarelli Leonardi</v>
      </c>
      <c r="DC225" s="419" t="s">
        <v>264</v>
      </c>
      <c r="DD225" s="116" t="str">
        <f>BP225</f>
        <v>Daniela</v>
      </c>
      <c r="DE225" s="117" t="b">
        <f>IF(OR(D225&gt;0),IF(BJ225=0,BN225*BQ225,0))</f>
        <v>0</v>
      </c>
      <c r="DF225" s="117" t="b">
        <f>IF(OR(D225&gt;0),IF(BJ225=0,BN225*BY225,0))</f>
        <v>0</v>
      </c>
      <c r="DG225" s="118" t="str">
        <f>BX225</f>
        <v>Daniela</v>
      </c>
      <c r="DH225" s="76"/>
      <c r="DI225" s="120" t="s">
        <v>154</v>
      </c>
      <c r="DJ225" s="120"/>
      <c r="DK225" s="74"/>
      <c r="DL225" s="74"/>
      <c r="DM225" s="122"/>
      <c r="DN225" s="6"/>
      <c r="DO225" s="6"/>
      <c r="DP225" s="6"/>
      <c r="DQ225" s="6"/>
      <c r="DR225" s="6"/>
      <c r="DS225" s="6"/>
      <c r="DT225" s="6"/>
      <c r="DU225" s="6"/>
      <c r="DV225" s="6"/>
      <c r="DW225" s="6"/>
      <c r="DX225" s="6"/>
      <c r="DY225" s="6"/>
      <c r="DZ225" s="6"/>
    </row>
    <row r="226" spans="1:130" ht="34.5" hidden="1" customHeight="1">
      <c r="A226" s="228"/>
      <c r="B226" s="75" t="s">
        <v>1359</v>
      </c>
      <c r="C226" s="155"/>
      <c r="D226" s="75"/>
      <c r="E226" s="75"/>
      <c r="F226" s="75"/>
      <c r="G226" s="400" t="s">
        <v>208</v>
      </c>
      <c r="H226" s="400" t="s">
        <v>1390</v>
      </c>
      <c r="I226" s="207" t="s">
        <v>1391</v>
      </c>
      <c r="J226" s="155" t="str">
        <f>CONCATENATE(G226," ",H226)</f>
        <v>Sara Ceccarelli</v>
      </c>
      <c r="K226" s="429">
        <v>3486488460</v>
      </c>
      <c r="L226" s="430"/>
      <c r="M226" s="131" t="s">
        <v>707</v>
      </c>
      <c r="N226" s="160" t="s">
        <v>1385</v>
      </c>
      <c r="O226" s="402"/>
      <c r="P226" s="315"/>
      <c r="Q226" s="160"/>
      <c r="R226" s="403"/>
      <c r="S226" s="160"/>
      <c r="T226" s="404"/>
      <c r="U226" s="315"/>
      <c r="V226" s="315"/>
      <c r="W226" s="315"/>
      <c r="X226" s="131"/>
      <c r="Y226" s="315"/>
      <c r="Z226" s="315"/>
      <c r="AA226" s="315"/>
      <c r="AB226" s="37"/>
      <c r="AC226" s="131"/>
      <c r="AD226" s="121" t="s">
        <v>1392</v>
      </c>
      <c r="AE226" s="88"/>
      <c r="AF226" s="405"/>
      <c r="AG226" s="406"/>
      <c r="AH226" s="406"/>
      <c r="AI226" s="405"/>
      <c r="AJ226" s="155"/>
      <c r="AK226" s="155"/>
      <c r="AL226" s="155"/>
      <c r="AM226" s="407"/>
      <c r="AN226" s="155"/>
      <c r="AO226" s="155"/>
      <c r="AP226" s="155"/>
      <c r="AQ226" s="85"/>
      <c r="AR226" s="259"/>
      <c r="AS226" s="259"/>
      <c r="AT226" s="3"/>
      <c r="AU226" s="408"/>
      <c r="AV226" s="75"/>
      <c r="AW226" s="121"/>
      <c r="AX226" s="121"/>
      <c r="AY226" s="85"/>
      <c r="AZ226" s="121"/>
      <c r="BA226" s="121"/>
      <c r="BB226" s="121"/>
      <c r="BC226" s="85"/>
      <c r="BD226" s="121" t="s">
        <v>245</v>
      </c>
      <c r="BE226" s="121" t="s">
        <v>245</v>
      </c>
      <c r="BF226" s="121" t="s">
        <v>245</v>
      </c>
      <c r="BG226" s="408"/>
      <c r="BH226" s="238">
        <f>CF226+CI226+CL226+CO226+CR226</f>
        <v>3497.0000000000005</v>
      </c>
      <c r="BI226" s="238">
        <f>CH226+CK226+CN226+CQ226+CT226</f>
        <v>163.9344262295082</v>
      </c>
      <c r="BJ226" s="238">
        <f>BH226-BI226</f>
        <v>3333.0655737704924</v>
      </c>
      <c r="BK226" s="239"/>
      <c r="BL226" s="260"/>
      <c r="BM226" s="241"/>
      <c r="BN226" s="142"/>
      <c r="BO226" s="182">
        <v>3497</v>
      </c>
      <c r="BP226" s="105" t="s">
        <v>487</v>
      </c>
      <c r="BQ226" s="98">
        <v>0.15</v>
      </c>
      <c r="BR226" s="409"/>
      <c r="BS226" s="242">
        <f>BL226*BQ226</f>
        <v>0</v>
      </c>
      <c r="BT226" s="203">
        <f>BM226*BQ226</f>
        <v>0</v>
      </c>
      <c r="BU226" s="167">
        <f>BN226*BQ226</f>
        <v>0</v>
      </c>
      <c r="BV226" s="168">
        <f>BO226*BQ226</f>
        <v>524.54999999999995</v>
      </c>
      <c r="BW226" s="131"/>
      <c r="BX226" s="105" t="s">
        <v>487</v>
      </c>
      <c r="BY226" s="145">
        <v>0.05</v>
      </c>
      <c r="BZ226" s="262"/>
      <c r="CA226" s="242">
        <f>BL226*BY226</f>
        <v>0</v>
      </c>
      <c r="CB226" s="101">
        <f>BM226*BY226</f>
        <v>0</v>
      </c>
      <c r="CC226" s="106">
        <f>BN226*BY226</f>
        <v>0</v>
      </c>
      <c r="CD226" s="107">
        <f>BO226*BY226</f>
        <v>174.85000000000002</v>
      </c>
      <c r="CE226" s="411"/>
      <c r="CF226" s="108">
        <f>200/1.22</f>
        <v>163.9344262295082</v>
      </c>
      <c r="CG226" s="109">
        <v>45198</v>
      </c>
      <c r="CH226" s="108">
        <f>200/1.22</f>
        <v>163.9344262295082</v>
      </c>
      <c r="CI226" s="110">
        <f>1720/1.22</f>
        <v>1409.8360655737706</v>
      </c>
      <c r="CJ226" s="226">
        <v>45205</v>
      </c>
      <c r="CK226" s="381"/>
      <c r="CL226" s="110">
        <f>2346.34/1.22</f>
        <v>1923.2295081967216</v>
      </c>
      <c r="CM226" s="226">
        <v>45233</v>
      </c>
      <c r="CN226" s="168"/>
      <c r="CO226" s="263"/>
      <c r="CP226" s="263"/>
      <c r="CQ226" s="263"/>
      <c r="CR226" s="263"/>
      <c r="CS226" s="263"/>
      <c r="CT226" s="263"/>
      <c r="CU226" s="90">
        <v>1</v>
      </c>
      <c r="CV226" s="181"/>
      <c r="CW226" s="431" t="s">
        <v>1387</v>
      </c>
      <c r="CX226" s="432" t="s">
        <v>1388</v>
      </c>
      <c r="CY226" s="155"/>
      <c r="CZ226" s="121"/>
      <c r="DA226" s="424" t="s">
        <v>1389</v>
      </c>
      <c r="DB226" s="115" t="str">
        <f>PROPER(N226)</f>
        <v>Studio Ceccarelli Leonardi</v>
      </c>
      <c r="DC226" s="419" t="s">
        <v>264</v>
      </c>
      <c r="DD226" s="116" t="str">
        <f>BP226</f>
        <v>Daniela</v>
      </c>
      <c r="DE226" s="117" t="b">
        <f>IF(OR(D226&gt;0),IF(BJ226=0,BN226*BQ226,0))</f>
        <v>0</v>
      </c>
      <c r="DF226" s="117" t="b">
        <f>IF(OR(D226&gt;0),IF(BJ226=0,BN226*BY226,0))</f>
        <v>0</v>
      </c>
      <c r="DG226" s="118" t="str">
        <f>BX226</f>
        <v>Daniela</v>
      </c>
      <c r="DH226" s="76"/>
      <c r="DI226" s="120" t="s">
        <v>154</v>
      </c>
      <c r="DJ226" s="120"/>
      <c r="DK226" s="74"/>
      <c r="DL226" s="74"/>
      <c r="DM226" s="122"/>
      <c r="DN226" s="6"/>
      <c r="DO226" s="6"/>
      <c r="DP226" s="6"/>
      <c r="DQ226" s="6"/>
      <c r="DR226" s="6"/>
      <c r="DS226" s="6"/>
      <c r="DT226" s="6"/>
      <c r="DU226" s="6"/>
      <c r="DV226" s="6"/>
      <c r="DW226" s="6"/>
      <c r="DX226" s="6"/>
      <c r="DY226" s="6"/>
      <c r="DZ226" s="6"/>
    </row>
    <row r="227" spans="1:130" ht="34.5" hidden="1" customHeight="1">
      <c r="A227" s="228"/>
      <c r="B227" s="371" t="s">
        <v>1359</v>
      </c>
      <c r="C227" s="155"/>
      <c r="D227" s="75"/>
      <c r="E227" s="75"/>
      <c r="F227" s="75"/>
      <c r="G227" s="400" t="s">
        <v>1382</v>
      </c>
      <c r="H227" s="400" t="s">
        <v>1393</v>
      </c>
      <c r="I227" s="294" t="s">
        <v>1394</v>
      </c>
      <c r="J227" s="155" t="str">
        <f>CONCATENATE(G227," ",H227)</f>
        <v>Alessandra Sabaini</v>
      </c>
      <c r="K227" s="156">
        <v>3898756450</v>
      </c>
      <c r="L227" s="433" t="s">
        <v>1395</v>
      </c>
      <c r="M227" s="131" t="s">
        <v>514</v>
      </c>
      <c r="N227" s="160" t="s">
        <v>1396</v>
      </c>
      <c r="O227" s="402"/>
      <c r="P227" s="315"/>
      <c r="Q227" s="160"/>
      <c r="R227" s="403"/>
      <c r="S227" s="160"/>
      <c r="T227" s="404"/>
      <c r="U227" s="315"/>
      <c r="V227" s="315"/>
      <c r="W227" s="315"/>
      <c r="X227" s="131"/>
      <c r="Y227" s="315"/>
      <c r="Z227" s="315"/>
      <c r="AA227" s="315"/>
      <c r="AB227" s="37"/>
      <c r="AC227" s="131"/>
      <c r="AD227" s="121"/>
      <c r="AE227" s="88"/>
      <c r="AF227" s="405"/>
      <c r="AG227" s="406"/>
      <c r="AH227" s="406"/>
      <c r="AI227" s="405"/>
      <c r="AJ227" s="155"/>
      <c r="AK227" s="155"/>
      <c r="AL227" s="155"/>
      <c r="AM227" s="407"/>
      <c r="AN227" s="155"/>
      <c r="AO227" s="155"/>
      <c r="AP227" s="155"/>
      <c r="AQ227" s="85"/>
      <c r="AR227" s="259"/>
      <c r="AS227" s="259"/>
      <c r="AT227" s="3"/>
      <c r="AU227" s="408"/>
      <c r="AV227" s="75"/>
      <c r="AW227" s="121"/>
      <c r="AX227" s="121"/>
      <c r="AY227" s="85"/>
      <c r="AZ227" s="154" t="s">
        <v>165</v>
      </c>
      <c r="BA227" s="154" t="s">
        <v>165</v>
      </c>
      <c r="BB227" s="154" t="s">
        <v>165</v>
      </c>
      <c r="BC227" s="85"/>
      <c r="BD227" s="121"/>
      <c r="BE227" s="121"/>
      <c r="BF227" s="121"/>
      <c r="BG227" s="408"/>
      <c r="BH227" s="238">
        <f>CF227+CI227+CL227+CO227+CR227</f>
        <v>0</v>
      </c>
      <c r="BI227" s="238">
        <f>CH227+CK227+CN227+CQ227+CT227</f>
        <v>0</v>
      </c>
      <c r="BJ227" s="238">
        <f>BH227-BI227</f>
        <v>0</v>
      </c>
      <c r="BK227" s="239"/>
      <c r="BL227" s="260"/>
      <c r="BM227" s="241"/>
      <c r="BN227" s="142"/>
      <c r="BO227" s="182"/>
      <c r="BP227" s="105" t="s">
        <v>160</v>
      </c>
      <c r="BQ227" s="98">
        <v>0.15</v>
      </c>
      <c r="BR227" s="409"/>
      <c r="BS227" s="242">
        <f>BL227*BQ227</f>
        <v>0</v>
      </c>
      <c r="BT227" s="203">
        <f>BM227*BQ227</f>
        <v>0</v>
      </c>
      <c r="BU227" s="167">
        <f>BN227*BQ227</f>
        <v>0</v>
      </c>
      <c r="BV227" s="168">
        <f>BO227*BQ227</f>
        <v>0</v>
      </c>
      <c r="BW227" s="131"/>
      <c r="BX227" s="105" t="s">
        <v>160</v>
      </c>
      <c r="BY227" s="145">
        <v>0.05</v>
      </c>
      <c r="BZ227" s="262"/>
      <c r="CA227" s="242">
        <f>BL227*BY227</f>
        <v>0</v>
      </c>
      <c r="CB227" s="101">
        <f>BM227*BY227</f>
        <v>0</v>
      </c>
      <c r="CC227" s="106">
        <f>BN227*BY227</f>
        <v>0</v>
      </c>
      <c r="CD227" s="107">
        <f>BO227*BY227</f>
        <v>0</v>
      </c>
      <c r="CE227" s="411"/>
      <c r="CF227" s="108"/>
      <c r="CG227" s="109"/>
      <c r="CH227" s="108"/>
      <c r="CI227" s="415"/>
      <c r="CJ227" s="416"/>
      <c r="CK227" s="415"/>
      <c r="CL227" s="415"/>
      <c r="CM227" s="416"/>
      <c r="CN227" s="415"/>
      <c r="CO227" s="263"/>
      <c r="CP227" s="263"/>
      <c r="CQ227" s="263"/>
      <c r="CR227" s="263"/>
      <c r="CS227" s="263"/>
      <c r="CT227" s="263"/>
      <c r="CU227" s="90">
        <v>1</v>
      </c>
      <c r="CV227" s="181"/>
      <c r="CW227" s="181"/>
      <c r="CX227" s="181"/>
      <c r="CY227" s="155"/>
      <c r="CZ227" s="121"/>
      <c r="DA227" s="419" t="s">
        <v>1397</v>
      </c>
      <c r="DB227" s="115" t="str">
        <f>PROPER(N227)</f>
        <v>Primo Promo Italia</v>
      </c>
      <c r="DC227" s="419" t="s">
        <v>1398</v>
      </c>
      <c r="DD227" s="116" t="str">
        <f>BP227</f>
        <v>Gianluca</v>
      </c>
      <c r="DE227" s="117" t="b">
        <f>IF(OR(D227&gt;0),IF(BJ227=0,BN227*BQ227,0))</f>
        <v>0</v>
      </c>
      <c r="DF227" s="117" t="b">
        <f>IF(OR(D227&gt;0),IF(BJ227=0,BN227*BY227,0))</f>
        <v>0</v>
      </c>
      <c r="DG227" s="118" t="str">
        <f>BX227</f>
        <v>Gianluca</v>
      </c>
      <c r="DH227" s="76"/>
      <c r="DI227" s="120" t="s">
        <v>154</v>
      </c>
      <c r="DJ227" s="120"/>
      <c r="DK227" s="74" t="s">
        <v>1399</v>
      </c>
      <c r="DL227" s="74" t="s">
        <v>1399</v>
      </c>
      <c r="DM227" s="122"/>
      <c r="DN227" s="6"/>
      <c r="DO227" s="6"/>
      <c r="DP227" s="6"/>
      <c r="DQ227" s="6"/>
      <c r="DR227" s="6"/>
      <c r="DS227" s="6"/>
      <c r="DT227" s="6"/>
      <c r="DU227" s="6"/>
      <c r="DV227" s="6"/>
      <c r="DW227" s="6"/>
      <c r="DX227" s="6"/>
      <c r="DY227" s="6"/>
      <c r="DZ227" s="6"/>
    </row>
    <row r="228" spans="1:130" ht="34.5" hidden="1" customHeight="1">
      <c r="A228" s="228"/>
      <c r="B228" s="371" t="s">
        <v>1359</v>
      </c>
      <c r="C228" s="155"/>
      <c r="D228" s="75"/>
      <c r="E228" s="75"/>
      <c r="F228" s="75"/>
      <c r="G228" s="400" t="s">
        <v>1400</v>
      </c>
      <c r="H228" s="400" t="s">
        <v>1401</v>
      </c>
      <c r="I228" s="207" t="s">
        <v>1402</v>
      </c>
      <c r="J228" s="155" t="str">
        <f>CONCATENATE(G228," ",H228)</f>
        <v>Camilla Andrea Polini</v>
      </c>
      <c r="K228" s="156">
        <v>3384460341</v>
      </c>
      <c r="L228" s="433" t="s">
        <v>1395</v>
      </c>
      <c r="M228" s="153"/>
      <c r="N228" s="160" t="s">
        <v>1396</v>
      </c>
      <c r="O228" s="402"/>
      <c r="P228" s="315"/>
      <c r="Q228" s="160"/>
      <c r="R228" s="403"/>
      <c r="S228" s="160"/>
      <c r="T228" s="404"/>
      <c r="U228" s="315"/>
      <c r="V228" s="315"/>
      <c r="W228" s="315"/>
      <c r="X228" s="131"/>
      <c r="Y228" s="315"/>
      <c r="Z228" s="315"/>
      <c r="AA228" s="315"/>
      <c r="AB228" s="37"/>
      <c r="AC228" s="131"/>
      <c r="AD228" s="121"/>
      <c r="AE228" s="88"/>
      <c r="AF228" s="405"/>
      <c r="AG228" s="406"/>
      <c r="AH228" s="406"/>
      <c r="AI228" s="405"/>
      <c r="AJ228" s="155"/>
      <c r="AK228" s="155"/>
      <c r="AL228" s="155"/>
      <c r="AM228" s="407"/>
      <c r="AN228" s="155"/>
      <c r="AO228" s="155"/>
      <c r="AP228" s="155"/>
      <c r="AQ228" s="85"/>
      <c r="AR228" s="259"/>
      <c r="AS228" s="259"/>
      <c r="AT228" s="3"/>
      <c r="AU228" s="408"/>
      <c r="AV228" s="75"/>
      <c r="AW228" s="121"/>
      <c r="AX228" s="121"/>
      <c r="AY228" s="85"/>
      <c r="AZ228" s="154" t="s">
        <v>165</v>
      </c>
      <c r="BA228" s="154" t="s">
        <v>165</v>
      </c>
      <c r="BB228" s="154" t="s">
        <v>165</v>
      </c>
      <c r="BC228" s="85"/>
      <c r="BD228" s="121"/>
      <c r="BE228" s="121"/>
      <c r="BF228" s="121"/>
      <c r="BG228" s="408"/>
      <c r="BH228" s="238">
        <f>CF228+CI228+CL228+CO228+CR228</f>
        <v>0</v>
      </c>
      <c r="BI228" s="238">
        <f>CH228+CK228+CN228+CQ228+CT228</f>
        <v>0</v>
      </c>
      <c r="BJ228" s="238">
        <f>BH228-BI228</f>
        <v>0</v>
      </c>
      <c r="BK228" s="239"/>
      <c r="BL228" s="260"/>
      <c r="BM228" s="241"/>
      <c r="BN228" s="142"/>
      <c r="BO228" s="182"/>
      <c r="BP228" s="105" t="s">
        <v>160</v>
      </c>
      <c r="BQ228" s="98">
        <v>0.15</v>
      </c>
      <c r="BR228" s="409"/>
      <c r="BS228" s="242">
        <f>BL228*BQ228</f>
        <v>0</v>
      </c>
      <c r="BT228" s="203">
        <f>BM228*BQ228</f>
        <v>0</v>
      </c>
      <c r="BU228" s="167">
        <f>BN228*BQ228</f>
        <v>0</v>
      </c>
      <c r="BV228" s="168">
        <f>BO228*BQ228</f>
        <v>0</v>
      </c>
      <c r="BW228" s="131"/>
      <c r="BX228" s="105" t="s">
        <v>160</v>
      </c>
      <c r="BY228" s="145">
        <v>0.05</v>
      </c>
      <c r="BZ228" s="262"/>
      <c r="CA228" s="242">
        <f>BL228*BY228</f>
        <v>0</v>
      </c>
      <c r="CB228" s="101">
        <f>BM228*BY228</f>
        <v>0</v>
      </c>
      <c r="CC228" s="106">
        <f>BN228*BY228</f>
        <v>0</v>
      </c>
      <c r="CD228" s="107">
        <f>BO228*BY228</f>
        <v>0</v>
      </c>
      <c r="CE228" s="411"/>
      <c r="CF228" s="434"/>
      <c r="CG228" s="109"/>
      <c r="CH228" s="414"/>
      <c r="CI228" s="415"/>
      <c r="CJ228" s="416"/>
      <c r="CK228" s="415"/>
      <c r="CL228" s="415"/>
      <c r="CM228" s="416"/>
      <c r="CN228" s="415"/>
      <c r="CO228" s="263"/>
      <c r="CP228" s="263"/>
      <c r="CQ228" s="263"/>
      <c r="CR228" s="263"/>
      <c r="CS228" s="263"/>
      <c r="CT228" s="263"/>
      <c r="CU228" s="90">
        <v>1</v>
      </c>
      <c r="CV228" s="181"/>
      <c r="CW228" s="181"/>
      <c r="CX228" s="181"/>
      <c r="CY228" s="155"/>
      <c r="CZ228" s="121"/>
      <c r="DA228" s="419" t="s">
        <v>1397</v>
      </c>
      <c r="DB228" s="115" t="str">
        <f>PROPER(N228)</f>
        <v>Primo Promo Italia</v>
      </c>
      <c r="DC228" s="419" t="s">
        <v>1398</v>
      </c>
      <c r="DD228" s="116" t="str">
        <f>BP228</f>
        <v>Gianluca</v>
      </c>
      <c r="DE228" s="117" t="b">
        <f>IF(OR(D228&gt;0),IF(BJ228=0,BN228*BQ228,0))</f>
        <v>0</v>
      </c>
      <c r="DF228" s="117" t="b">
        <f>IF(OR(D228&gt;0),IF(BJ228=0,BN228*BY228,0))</f>
        <v>0</v>
      </c>
      <c r="DG228" s="118" t="str">
        <f>BX228</f>
        <v>Gianluca</v>
      </c>
      <c r="DH228" s="76"/>
      <c r="DI228" s="120" t="s">
        <v>154</v>
      </c>
      <c r="DJ228" s="120"/>
      <c r="DK228" s="74" t="s">
        <v>1366</v>
      </c>
      <c r="DL228" s="74" t="s">
        <v>1366</v>
      </c>
      <c r="DM228" s="122"/>
      <c r="DN228" s="6"/>
      <c r="DO228" s="6"/>
      <c r="DP228" s="6"/>
      <c r="DQ228" s="6"/>
      <c r="DR228" s="6"/>
      <c r="DS228" s="6"/>
      <c r="DT228" s="6"/>
      <c r="DU228" s="6"/>
      <c r="DV228" s="6"/>
      <c r="DW228" s="6"/>
      <c r="DX228" s="6"/>
      <c r="DY228" s="6"/>
      <c r="DZ228" s="6"/>
    </row>
    <row r="229" spans="1:130" ht="34.5" hidden="1" customHeight="1">
      <c r="A229" s="228"/>
      <c r="B229" s="75" t="s">
        <v>1928</v>
      </c>
      <c r="C229" s="155"/>
      <c r="D229" s="75"/>
      <c r="E229" s="75"/>
      <c r="F229" s="75"/>
      <c r="G229" s="400" t="s">
        <v>570</v>
      </c>
      <c r="H229" s="400" t="s">
        <v>2301</v>
      </c>
      <c r="I229" s="207" t="s">
        <v>2302</v>
      </c>
      <c r="J229" s="121" t="str">
        <f>CONCATENATE(G229," ",H229)</f>
        <v>Giovanni Giovi</v>
      </c>
      <c r="K229" s="224">
        <v>3485652971</v>
      </c>
      <c r="L229" s="131"/>
      <c r="M229" s="131"/>
      <c r="N229" s="160" t="s">
        <v>916</v>
      </c>
      <c r="O229" s="556"/>
      <c r="P229" s="314"/>
      <c r="Q229" s="37"/>
      <c r="R229" s="131" t="s">
        <v>916</v>
      </c>
      <c r="S229" s="160"/>
      <c r="T229" s="404"/>
      <c r="U229" s="315"/>
      <c r="V229" s="315"/>
      <c r="W229" s="316"/>
      <c r="X229" s="131"/>
      <c r="Y229" s="316"/>
      <c r="Z229" s="316"/>
      <c r="AA229" s="316"/>
      <c r="AB229" s="37"/>
      <c r="AC229" s="131"/>
      <c r="AD229" s="121"/>
      <c r="AE229" s="138">
        <f>L229</f>
        <v>0</v>
      </c>
      <c r="AF229" s="405"/>
      <c r="AG229" s="155"/>
      <c r="AH229" s="155"/>
      <c r="AI229" s="405"/>
      <c r="AJ229" s="155"/>
      <c r="AK229" s="155"/>
      <c r="AL229" s="155"/>
      <c r="AM229" s="405"/>
      <c r="AN229" s="155"/>
      <c r="AO229" s="155"/>
      <c r="AP229" s="155"/>
      <c r="AQ229" s="1981"/>
      <c r="AR229" s="259"/>
      <c r="AS229" s="259"/>
      <c r="AT229" s="1987"/>
      <c r="AU229" s="1990"/>
      <c r="AV229" s="75"/>
      <c r="AW229" s="121"/>
      <c r="AX229" s="121"/>
      <c r="AY229" s="1981"/>
      <c r="AZ229" s="121"/>
      <c r="BA229" s="154" t="s">
        <v>297</v>
      </c>
      <c r="BB229" s="121" t="s">
        <v>116</v>
      </c>
      <c r="BC229" s="1981"/>
      <c r="BD229" s="121" t="s">
        <v>116</v>
      </c>
      <c r="BE229" s="121"/>
      <c r="BF229" s="121"/>
      <c r="BG229" s="1990"/>
      <c r="BH229" s="238">
        <f>CF229+CI229+CL229+CO229+CR229</f>
        <v>0</v>
      </c>
      <c r="BI229" s="238"/>
      <c r="BJ229" s="238"/>
      <c r="BK229" s="239"/>
      <c r="BL229" s="260"/>
      <c r="BM229" s="241"/>
      <c r="BN229" s="142"/>
      <c r="BO229" s="182"/>
      <c r="BP229" s="105"/>
      <c r="BQ229" s="145"/>
      <c r="BR229" s="409"/>
      <c r="BS229" s="242"/>
      <c r="BT229" s="203"/>
      <c r="BU229" s="167">
        <f>BN229*BQ229</f>
        <v>0</v>
      </c>
      <c r="BV229" s="168">
        <f>BO229*BQ229</f>
        <v>0</v>
      </c>
      <c r="BW229" s="80"/>
      <c r="BX229" s="105"/>
      <c r="BY229" s="145"/>
      <c r="BZ229" s="262"/>
      <c r="CA229" s="242"/>
      <c r="CB229" s="101">
        <f>BM229*BY229</f>
        <v>0</v>
      </c>
      <c r="CC229" s="106">
        <f>BN229*BY229</f>
        <v>0</v>
      </c>
      <c r="CD229" s="107">
        <f>BO229*BY229</f>
        <v>0</v>
      </c>
      <c r="CE229" s="2092"/>
      <c r="CF229" s="2096"/>
      <c r="CG229" s="2096"/>
      <c r="CH229" s="2096"/>
      <c r="CI229" s="338"/>
      <c r="CJ229" s="338"/>
      <c r="CK229" s="338"/>
      <c r="CL229" s="338"/>
      <c r="CM229" s="338"/>
      <c r="CN229" s="338"/>
      <c r="CO229" s="338"/>
      <c r="CP229" s="338"/>
      <c r="CQ229" s="338"/>
      <c r="CR229" s="338"/>
      <c r="CS229" s="338"/>
      <c r="CT229" s="338"/>
      <c r="CU229" s="90">
        <v>1</v>
      </c>
      <c r="CV229" s="181" t="s">
        <v>121</v>
      </c>
      <c r="CW229" s="181"/>
      <c r="CX229" s="354"/>
      <c r="CY229" s="207"/>
      <c r="CZ229" s="155"/>
      <c r="DA229" s="131" t="s">
        <v>501</v>
      </c>
      <c r="DB229" s="115" t="str">
        <f>PROPER(N229)</f>
        <v>Automazioni Industriali</v>
      </c>
      <c r="DC229" s="191" t="s">
        <v>917</v>
      </c>
      <c r="DD229" s="116">
        <f>BP229</f>
        <v>0</v>
      </c>
      <c r="DE229" s="117" t="b">
        <f>IF(OR(D229&gt;0),IF(BJ229=0,BN229*BQ229,0))</f>
        <v>0</v>
      </c>
      <c r="DF229" s="117" t="b">
        <f>IF(OR(D229&gt;0),IF(BJ229=0,BN229*BY229,0))</f>
        <v>0</v>
      </c>
      <c r="DG229" s="116">
        <f>BX229</f>
        <v>0</v>
      </c>
      <c r="DH229" s="76"/>
      <c r="DI229" s="120" t="s">
        <v>126</v>
      </c>
      <c r="DJ229" s="120"/>
      <c r="DK229" s="207"/>
      <c r="DL229" s="207"/>
      <c r="DM229" s="248">
        <v>1</v>
      </c>
    </row>
    <row r="230" spans="1:130" ht="34.5" hidden="1" customHeight="1">
      <c r="A230" s="228"/>
      <c r="B230" s="75" t="s">
        <v>1359</v>
      </c>
      <c r="C230" s="155"/>
      <c r="D230" s="75"/>
      <c r="E230" s="75"/>
      <c r="F230" s="75"/>
      <c r="G230" s="400" t="s">
        <v>135</v>
      </c>
      <c r="H230" s="400" t="s">
        <v>1412</v>
      </c>
      <c r="I230" s="207" t="s">
        <v>1413</v>
      </c>
      <c r="J230" s="155" t="str">
        <f>CONCATENATE(G230," ",H230)</f>
        <v>Alessandro Cascone</v>
      </c>
      <c r="K230" s="156">
        <v>3462329590</v>
      </c>
      <c r="L230" s="435"/>
      <c r="M230" s="153" t="s">
        <v>1148</v>
      </c>
      <c r="N230" s="160" t="s">
        <v>1414</v>
      </c>
      <c r="O230" s="402"/>
      <c r="P230" s="315"/>
      <c r="Q230" s="160"/>
      <c r="R230" s="403"/>
      <c r="S230" s="160"/>
      <c r="T230" s="404"/>
      <c r="U230" s="315"/>
      <c r="V230" s="315"/>
      <c r="W230" s="315"/>
      <c r="X230" s="131"/>
      <c r="Y230" s="315"/>
      <c r="Z230" s="315"/>
      <c r="AA230" s="315"/>
      <c r="AB230" s="37"/>
      <c r="AC230" s="131"/>
      <c r="AD230" s="121" t="s">
        <v>1415</v>
      </c>
      <c r="AE230" s="88"/>
      <c r="AF230" s="405"/>
      <c r="AG230" s="406"/>
      <c r="AH230" s="406"/>
      <c r="AI230" s="405"/>
      <c r="AJ230" s="155"/>
      <c r="AK230" s="155"/>
      <c r="AL230" s="155"/>
      <c r="AM230" s="407"/>
      <c r="AN230" s="155"/>
      <c r="AO230" s="155"/>
      <c r="AP230" s="155"/>
      <c r="AQ230" s="85"/>
      <c r="AR230" s="259"/>
      <c r="AS230" s="259"/>
      <c r="AT230" s="3"/>
      <c r="AU230" s="408"/>
      <c r="AV230" s="75"/>
      <c r="AW230" s="121"/>
      <c r="AX230" s="121"/>
      <c r="AY230" s="85"/>
      <c r="AZ230" s="121"/>
      <c r="BA230" s="121"/>
      <c r="BB230" s="121"/>
      <c r="BC230" s="85"/>
      <c r="BD230" s="121" t="s">
        <v>115</v>
      </c>
      <c r="BE230" s="121" t="s">
        <v>115</v>
      </c>
      <c r="BF230" s="121" t="s">
        <v>115</v>
      </c>
      <c r="BG230" s="408"/>
      <c r="BH230" s="238">
        <f>CF230+CI230+CL230+CO230+CR230</f>
        <v>2797</v>
      </c>
      <c r="BI230" s="238">
        <f>CH230+CK230+CN230+CQ230+CT230</f>
        <v>2797</v>
      </c>
      <c r="BJ230" s="238">
        <f>BH230-BI230</f>
        <v>0</v>
      </c>
      <c r="BK230" s="239"/>
      <c r="BL230" s="260"/>
      <c r="BM230" s="241"/>
      <c r="BN230" s="142"/>
      <c r="BO230" s="182">
        <v>2797</v>
      </c>
      <c r="BP230" s="105" t="s">
        <v>119</v>
      </c>
      <c r="BQ230" s="98">
        <v>0.15</v>
      </c>
      <c r="BR230" s="409"/>
      <c r="BS230" s="242">
        <f>BL230*BQ230</f>
        <v>0</v>
      </c>
      <c r="BT230" s="203">
        <f>BM230*BQ230</f>
        <v>0</v>
      </c>
      <c r="BU230" s="167">
        <f>BN230*BQ230</f>
        <v>0</v>
      </c>
      <c r="BV230" s="168">
        <f>BO230*BQ230</f>
        <v>419.55</v>
      </c>
      <c r="BW230" s="131"/>
      <c r="BX230" s="105" t="s">
        <v>119</v>
      </c>
      <c r="BY230" s="145">
        <v>0.05</v>
      </c>
      <c r="BZ230" s="262"/>
      <c r="CA230" s="242">
        <f>BL230*BY230</f>
        <v>0</v>
      </c>
      <c r="CB230" s="101">
        <f>BM230*BY230</f>
        <v>0</v>
      </c>
      <c r="CC230" s="106">
        <f>BN230*BY230</f>
        <v>0</v>
      </c>
      <c r="CD230" s="107">
        <f>BO230*BY230</f>
        <v>139.85</v>
      </c>
      <c r="CE230" s="411"/>
      <c r="CF230" s="108">
        <v>2797</v>
      </c>
      <c r="CG230" s="109">
        <v>45208</v>
      </c>
      <c r="CH230" s="108">
        <v>2797</v>
      </c>
      <c r="CI230" s="415"/>
      <c r="CJ230" s="416"/>
      <c r="CK230" s="415"/>
      <c r="CL230" s="415"/>
      <c r="CM230" s="416"/>
      <c r="CN230" s="415"/>
      <c r="CO230" s="263"/>
      <c r="CP230" s="263"/>
      <c r="CQ230" s="263"/>
      <c r="CR230" s="263"/>
      <c r="CS230" s="263"/>
      <c r="CT230" s="263"/>
      <c r="CU230" s="90">
        <v>1</v>
      </c>
      <c r="CV230" s="181"/>
      <c r="CW230" s="181"/>
      <c r="CX230" s="181"/>
      <c r="CY230" s="155"/>
      <c r="CZ230" s="121"/>
      <c r="DA230" s="424" t="s">
        <v>1416</v>
      </c>
      <c r="DB230" s="115" t="str">
        <f>PROPER(N230)</f>
        <v>Reali Utensileria</v>
      </c>
      <c r="DC230" s="419" t="s">
        <v>1417</v>
      </c>
      <c r="DD230" s="116" t="str">
        <f>BP230</f>
        <v>Raffaella</v>
      </c>
      <c r="DE230" s="117" t="b">
        <f>IF(OR(D230&gt;0),IF(BJ230=0,BN230*BQ230,0))</f>
        <v>0</v>
      </c>
      <c r="DF230" s="117" t="b">
        <f>IF(OR(D230&gt;0),IF(BJ230=0,BN230*BY230,0))</f>
        <v>0</v>
      </c>
      <c r="DG230" s="118" t="str">
        <f>BX230</f>
        <v>Raffaella</v>
      </c>
      <c r="DH230" s="76"/>
      <c r="DI230" s="120" t="s">
        <v>154</v>
      </c>
      <c r="DJ230" s="120"/>
      <c r="DK230" s="74" t="s">
        <v>1418</v>
      </c>
      <c r="DL230" s="74" t="s">
        <v>1418</v>
      </c>
      <c r="DM230" s="122"/>
      <c r="DN230" s="6"/>
      <c r="DO230" s="6"/>
      <c r="DP230" s="6"/>
      <c r="DQ230" s="6"/>
      <c r="DR230" s="6"/>
      <c r="DS230" s="6"/>
      <c r="DT230" s="6"/>
      <c r="DU230" s="6"/>
      <c r="DV230" s="6"/>
      <c r="DW230" s="6"/>
      <c r="DX230" s="6"/>
      <c r="DY230" s="6"/>
      <c r="DZ230" s="6"/>
    </row>
    <row r="231" spans="1:130" ht="34.5" hidden="1" customHeight="1">
      <c r="A231" s="228"/>
      <c r="B231" s="75" t="s">
        <v>1359</v>
      </c>
      <c r="C231" s="155"/>
      <c r="D231" s="75"/>
      <c r="E231" s="75"/>
      <c r="F231" s="75"/>
      <c r="G231" s="400" t="s">
        <v>487</v>
      </c>
      <c r="H231" s="400" t="s">
        <v>1419</v>
      </c>
      <c r="I231" s="207" t="s">
        <v>1420</v>
      </c>
      <c r="J231" s="155" t="str">
        <f>CONCATENATE(G231," ",H231)</f>
        <v>Daniela Reali</v>
      </c>
      <c r="K231" s="156">
        <v>3405074741</v>
      </c>
      <c r="L231" s="435"/>
      <c r="M231" s="153" t="s">
        <v>1148</v>
      </c>
      <c r="N231" s="160" t="s">
        <v>1414</v>
      </c>
      <c r="O231" s="402"/>
      <c r="P231" s="315"/>
      <c r="Q231" s="160"/>
      <c r="R231" s="403"/>
      <c r="S231" s="160"/>
      <c r="T231" s="404"/>
      <c r="U231" s="315"/>
      <c r="V231" s="315"/>
      <c r="W231" s="315"/>
      <c r="X231" s="131"/>
      <c r="Y231" s="315"/>
      <c r="Z231" s="315"/>
      <c r="AA231" s="315"/>
      <c r="AB231" s="37"/>
      <c r="AC231" s="131"/>
      <c r="AD231" s="121" t="s">
        <v>1415</v>
      </c>
      <c r="AE231" s="88"/>
      <c r="AF231" s="405"/>
      <c r="AG231" s="406"/>
      <c r="AH231" s="406"/>
      <c r="AI231" s="405"/>
      <c r="AJ231" s="155"/>
      <c r="AK231" s="155"/>
      <c r="AL231" s="155"/>
      <c r="AM231" s="407"/>
      <c r="AN231" s="155"/>
      <c r="AO231" s="155"/>
      <c r="AP231" s="155"/>
      <c r="AQ231" s="85"/>
      <c r="AR231" s="259"/>
      <c r="AS231" s="259"/>
      <c r="AT231" s="3"/>
      <c r="AU231" s="408"/>
      <c r="AV231" s="75"/>
      <c r="AW231" s="121"/>
      <c r="AX231" s="121"/>
      <c r="AY231" s="85"/>
      <c r="AZ231" s="121"/>
      <c r="BA231" s="121"/>
      <c r="BB231" s="121"/>
      <c r="BC231" s="85"/>
      <c r="BD231" s="121" t="s">
        <v>115</v>
      </c>
      <c r="BE231" s="121" t="s">
        <v>115</v>
      </c>
      <c r="BF231" s="121" t="s">
        <v>115</v>
      </c>
      <c r="BG231" s="408"/>
      <c r="BH231" s="238">
        <f>CF231+CI231+CL231+CO231+CR231</f>
        <v>2797</v>
      </c>
      <c r="BI231" s="238">
        <f>CH231+CK231+CN231+CQ231+CT231</f>
        <v>2797</v>
      </c>
      <c r="BJ231" s="238">
        <f>BH231-BI231</f>
        <v>0</v>
      </c>
      <c r="BK231" s="239"/>
      <c r="BL231" s="260"/>
      <c r="BM231" s="241"/>
      <c r="BN231" s="142"/>
      <c r="BO231" s="182">
        <v>2797</v>
      </c>
      <c r="BP231" s="105" t="s">
        <v>119</v>
      </c>
      <c r="BQ231" s="98">
        <v>0.15</v>
      </c>
      <c r="BR231" s="409"/>
      <c r="BS231" s="242">
        <f>BL231*BQ231</f>
        <v>0</v>
      </c>
      <c r="BT231" s="203">
        <f>BM231*BQ231</f>
        <v>0</v>
      </c>
      <c r="BU231" s="167">
        <f>BN231*BQ231</f>
        <v>0</v>
      </c>
      <c r="BV231" s="168">
        <f>BO231*BQ231</f>
        <v>419.55</v>
      </c>
      <c r="BW231" s="131"/>
      <c r="BX231" s="105" t="s">
        <v>119</v>
      </c>
      <c r="BY231" s="145">
        <v>0.05</v>
      </c>
      <c r="BZ231" s="262"/>
      <c r="CA231" s="242">
        <f>BL231*BY231</f>
        <v>0</v>
      </c>
      <c r="CB231" s="101">
        <f>BM231*BY231</f>
        <v>0</v>
      </c>
      <c r="CC231" s="106">
        <f>BN231*BY231</f>
        <v>0</v>
      </c>
      <c r="CD231" s="107">
        <f>BO231*BY231</f>
        <v>139.85</v>
      </c>
      <c r="CE231" s="411"/>
      <c r="CF231" s="108">
        <v>2797</v>
      </c>
      <c r="CG231" s="109">
        <v>45208</v>
      </c>
      <c r="CH231" s="108">
        <v>2797</v>
      </c>
      <c r="CI231" s="415"/>
      <c r="CJ231" s="416"/>
      <c r="CK231" s="415"/>
      <c r="CL231" s="415"/>
      <c r="CM231" s="416"/>
      <c r="CN231" s="415"/>
      <c r="CO231" s="263"/>
      <c r="CP231" s="263"/>
      <c r="CQ231" s="263"/>
      <c r="CR231" s="263"/>
      <c r="CS231" s="263"/>
      <c r="CT231" s="263"/>
      <c r="CU231" s="90">
        <v>1</v>
      </c>
      <c r="CV231" s="181"/>
      <c r="CW231" s="181"/>
      <c r="CX231" s="181"/>
      <c r="CY231" s="155"/>
      <c r="CZ231" s="121"/>
      <c r="DA231" s="424" t="s">
        <v>1416</v>
      </c>
      <c r="DB231" s="115" t="str">
        <f>PROPER(N231)</f>
        <v>Reali Utensileria</v>
      </c>
      <c r="DC231" s="419" t="s">
        <v>1417</v>
      </c>
      <c r="DD231" s="116" t="str">
        <f>BP231</f>
        <v>Raffaella</v>
      </c>
      <c r="DE231" s="117" t="b">
        <f>IF(OR(D231&gt;0),IF(BJ231=0,BN231*BQ231,0))</f>
        <v>0</v>
      </c>
      <c r="DF231" s="117" t="b">
        <f>IF(OR(D231&gt;0),IF(BJ231=0,BN231*BY231,0))</f>
        <v>0</v>
      </c>
      <c r="DG231" s="118" t="str">
        <f>BX231</f>
        <v>Raffaella</v>
      </c>
      <c r="DH231" s="76"/>
      <c r="DI231" s="120" t="s">
        <v>154</v>
      </c>
      <c r="DJ231" s="120"/>
      <c r="DK231" s="74" t="s">
        <v>1418</v>
      </c>
      <c r="DL231" s="74" t="s">
        <v>1418</v>
      </c>
      <c r="DM231" s="122"/>
      <c r="DN231" s="6"/>
      <c r="DO231" s="6"/>
      <c r="DP231" s="6"/>
      <c r="DQ231" s="6"/>
      <c r="DR231" s="6"/>
      <c r="DS231" s="6"/>
      <c r="DT231" s="6"/>
      <c r="DU231" s="6"/>
      <c r="DV231" s="6"/>
      <c r="DW231" s="6"/>
      <c r="DX231" s="6"/>
      <c r="DY231" s="6"/>
      <c r="DZ231" s="6"/>
    </row>
    <row r="232" spans="1:130" ht="34.5" hidden="1" customHeight="1">
      <c r="A232" s="228"/>
      <c r="B232" s="75" t="s">
        <v>1359</v>
      </c>
      <c r="C232" s="155"/>
      <c r="D232" s="75"/>
      <c r="E232" s="75"/>
      <c r="F232" s="75"/>
      <c r="G232" s="400" t="s">
        <v>817</v>
      </c>
      <c r="H232" s="400" t="s">
        <v>1419</v>
      </c>
      <c r="I232" s="207" t="s">
        <v>1421</v>
      </c>
      <c r="J232" s="155" t="str">
        <f>CONCATENATE(G232," ",H232)</f>
        <v>Gianmarco Reali</v>
      </c>
      <c r="K232" s="156">
        <v>3393963321</v>
      </c>
      <c r="L232" s="435"/>
      <c r="M232" s="153" t="s">
        <v>1148</v>
      </c>
      <c r="N232" s="160" t="s">
        <v>1414</v>
      </c>
      <c r="O232" s="402"/>
      <c r="P232" s="315"/>
      <c r="Q232" s="160"/>
      <c r="R232" s="403"/>
      <c r="S232" s="160"/>
      <c r="T232" s="404"/>
      <c r="U232" s="315"/>
      <c r="V232" s="315"/>
      <c r="W232" s="315"/>
      <c r="X232" s="131"/>
      <c r="Y232" s="315"/>
      <c r="Z232" s="315"/>
      <c r="AA232" s="315"/>
      <c r="AB232" s="37"/>
      <c r="AC232" s="131"/>
      <c r="AD232" s="121" t="s">
        <v>1415</v>
      </c>
      <c r="AE232" s="88"/>
      <c r="AF232" s="405"/>
      <c r="AG232" s="406"/>
      <c r="AH232" s="406"/>
      <c r="AI232" s="405"/>
      <c r="AJ232" s="155"/>
      <c r="AK232" s="155"/>
      <c r="AL232" s="155"/>
      <c r="AM232" s="407"/>
      <c r="AN232" s="155"/>
      <c r="AO232" s="155"/>
      <c r="AP232" s="155"/>
      <c r="AQ232" s="85"/>
      <c r="AR232" s="121"/>
      <c r="AS232" s="121"/>
      <c r="AT232" s="121"/>
      <c r="AU232" s="408"/>
      <c r="AV232" s="75"/>
      <c r="AW232" s="121"/>
      <c r="AX232" s="121"/>
      <c r="AY232" s="85"/>
      <c r="AZ232" s="121"/>
      <c r="BA232" s="121"/>
      <c r="BB232" s="121"/>
      <c r="BC232" s="85"/>
      <c r="BD232" s="121" t="s">
        <v>115</v>
      </c>
      <c r="BE232" s="121" t="s">
        <v>115</v>
      </c>
      <c r="BF232" s="121" t="s">
        <v>115</v>
      </c>
      <c r="BG232" s="408"/>
      <c r="BH232" s="238">
        <f>CF232+CI232+CL232+CO232+CR232</f>
        <v>2797</v>
      </c>
      <c r="BI232" s="238">
        <f>CH232+CK232+CN232+CQ232+CT232</f>
        <v>2797</v>
      </c>
      <c r="BJ232" s="238">
        <f>BH232-BI232</f>
        <v>0</v>
      </c>
      <c r="BK232" s="239"/>
      <c r="BL232" s="260"/>
      <c r="BM232" s="241"/>
      <c r="BN232" s="142"/>
      <c r="BO232" s="182">
        <v>2797</v>
      </c>
      <c r="BP232" s="105" t="s">
        <v>119</v>
      </c>
      <c r="BQ232" s="98">
        <v>0.15</v>
      </c>
      <c r="BR232" s="409"/>
      <c r="BS232" s="242">
        <f>BL232*BQ232</f>
        <v>0</v>
      </c>
      <c r="BT232" s="203">
        <f>BM232*BQ232</f>
        <v>0</v>
      </c>
      <c r="BU232" s="167">
        <f>BN232*BQ232</f>
        <v>0</v>
      </c>
      <c r="BV232" s="168">
        <f>BO232*BQ232</f>
        <v>419.55</v>
      </c>
      <c r="BW232" s="131"/>
      <c r="BX232" s="105" t="s">
        <v>119</v>
      </c>
      <c r="BY232" s="145">
        <v>0.05</v>
      </c>
      <c r="BZ232" s="262"/>
      <c r="CA232" s="242">
        <f>BL232*BY232</f>
        <v>0</v>
      </c>
      <c r="CB232" s="101">
        <f>BM232*BY232</f>
        <v>0</v>
      </c>
      <c r="CC232" s="106">
        <f>BN232*BY232</f>
        <v>0</v>
      </c>
      <c r="CD232" s="107">
        <f>BO232*BY232</f>
        <v>139.85</v>
      </c>
      <c r="CE232" s="411"/>
      <c r="CF232" s="108">
        <v>2797</v>
      </c>
      <c r="CG232" s="109">
        <v>45208</v>
      </c>
      <c r="CH232" s="108">
        <v>2797</v>
      </c>
      <c r="CI232" s="415"/>
      <c r="CJ232" s="416"/>
      <c r="CK232" s="415"/>
      <c r="CL232" s="415"/>
      <c r="CM232" s="416"/>
      <c r="CN232" s="415"/>
      <c r="CO232" s="263"/>
      <c r="CP232" s="263"/>
      <c r="CQ232" s="263"/>
      <c r="CR232" s="263"/>
      <c r="CS232" s="263"/>
      <c r="CT232" s="263"/>
      <c r="CU232" s="90">
        <v>1</v>
      </c>
      <c r="CV232" s="181"/>
      <c r="CW232" s="181"/>
      <c r="CX232" s="181"/>
      <c r="CY232" s="155"/>
      <c r="CZ232" s="121"/>
      <c r="DA232" s="424" t="s">
        <v>1416</v>
      </c>
      <c r="DB232" s="115" t="str">
        <f>PROPER(N232)</f>
        <v>Reali Utensileria</v>
      </c>
      <c r="DC232" s="419" t="s">
        <v>1417</v>
      </c>
      <c r="DD232" s="116" t="str">
        <f>BP232</f>
        <v>Raffaella</v>
      </c>
      <c r="DE232" s="117" t="b">
        <f>IF(OR(D232&gt;0),IF(BJ232=0,BN232*BQ232,0))</f>
        <v>0</v>
      </c>
      <c r="DF232" s="117" t="b">
        <f>IF(OR(D232&gt;0),IF(BJ232=0,BN232*BY232,0))</f>
        <v>0</v>
      </c>
      <c r="DG232" s="118" t="str">
        <f>BX232</f>
        <v>Raffaella</v>
      </c>
      <c r="DH232" s="76"/>
      <c r="DI232" s="120" t="s">
        <v>154</v>
      </c>
      <c r="DJ232" s="120"/>
      <c r="DK232" s="74" t="s">
        <v>1418</v>
      </c>
      <c r="DL232" s="74" t="s">
        <v>1418</v>
      </c>
      <c r="DM232" s="122"/>
      <c r="DN232" s="6"/>
      <c r="DO232" s="6"/>
      <c r="DP232" s="6"/>
      <c r="DQ232" s="6"/>
      <c r="DR232" s="6"/>
      <c r="DS232" s="6"/>
      <c r="DT232" s="6"/>
      <c r="DU232" s="6"/>
      <c r="DV232" s="6"/>
      <c r="DW232" s="6"/>
      <c r="DX232" s="6"/>
      <c r="DY232" s="6"/>
      <c r="DZ232" s="6"/>
    </row>
    <row r="233" spans="1:130" ht="34.5" hidden="1" customHeight="1">
      <c r="A233" s="228"/>
      <c r="B233" s="75" t="s">
        <v>1359</v>
      </c>
      <c r="C233" s="155"/>
      <c r="D233" s="75"/>
      <c r="E233" s="75"/>
      <c r="F233" s="75"/>
      <c r="G233" s="400" t="s">
        <v>204</v>
      </c>
      <c r="H233" s="400" t="s">
        <v>1422</v>
      </c>
      <c r="I233" s="207" t="s">
        <v>1423</v>
      </c>
      <c r="J233" s="155" t="str">
        <f>CONCATENATE(G233," ",H233)</f>
        <v>Luca Ripamonti</v>
      </c>
      <c r="K233" s="156">
        <v>3333025766</v>
      </c>
      <c r="L233" s="435"/>
      <c r="M233" s="153" t="s">
        <v>1148</v>
      </c>
      <c r="N233" s="160" t="s">
        <v>1414</v>
      </c>
      <c r="O233" s="402"/>
      <c r="P233" s="315"/>
      <c r="Q233" s="160"/>
      <c r="R233" s="403"/>
      <c r="S233" s="160"/>
      <c r="T233" s="404"/>
      <c r="U233" s="315"/>
      <c r="V233" s="315"/>
      <c r="W233" s="315"/>
      <c r="X233" s="131"/>
      <c r="Y233" s="315"/>
      <c r="Z233" s="315"/>
      <c r="AA233" s="315"/>
      <c r="AB233" s="37"/>
      <c r="AC233" s="131"/>
      <c r="AD233" s="121" t="s">
        <v>1415</v>
      </c>
      <c r="AE233" s="88"/>
      <c r="AF233" s="405"/>
      <c r="AG233" s="406"/>
      <c r="AH233" s="406"/>
      <c r="AI233" s="405"/>
      <c r="AJ233" s="155"/>
      <c r="AK233" s="155"/>
      <c r="AL233" s="155"/>
      <c r="AM233" s="407"/>
      <c r="AN233" s="155"/>
      <c r="AO233" s="155"/>
      <c r="AP233" s="155"/>
      <c r="AQ233" s="85"/>
      <c r="AR233" s="121"/>
      <c r="AS233" s="121"/>
      <c r="AT233" s="121"/>
      <c r="AU233" s="408"/>
      <c r="AV233" s="75"/>
      <c r="AW233" s="121"/>
      <c r="AX233" s="121"/>
      <c r="AY233" s="85"/>
      <c r="AZ233" s="121"/>
      <c r="BA233" s="121"/>
      <c r="BB233" s="121"/>
      <c r="BC233" s="85"/>
      <c r="BD233" s="121" t="s">
        <v>115</v>
      </c>
      <c r="BE233" s="121" t="s">
        <v>115</v>
      </c>
      <c r="BF233" s="121" t="s">
        <v>115</v>
      </c>
      <c r="BG233" s="408"/>
      <c r="BH233" s="238">
        <f>CF233+CI233+CL233+CO233+CR233</f>
        <v>2797</v>
      </c>
      <c r="BI233" s="238">
        <f>CH233+CK233+CN233+CQ233+CT233</f>
        <v>2797</v>
      </c>
      <c r="BJ233" s="238">
        <f>BH233-BI233</f>
        <v>0</v>
      </c>
      <c r="BK233" s="239"/>
      <c r="BL233" s="260"/>
      <c r="BM233" s="241"/>
      <c r="BN233" s="142"/>
      <c r="BO233" s="182">
        <v>2797</v>
      </c>
      <c r="BP233" s="105" t="s">
        <v>119</v>
      </c>
      <c r="BQ233" s="98">
        <v>0.15</v>
      </c>
      <c r="BR233" s="409"/>
      <c r="BS233" s="242">
        <f>BL233*BQ233</f>
        <v>0</v>
      </c>
      <c r="BT233" s="203">
        <f>BM233*BQ233</f>
        <v>0</v>
      </c>
      <c r="BU233" s="167">
        <f>BN233*BQ233</f>
        <v>0</v>
      </c>
      <c r="BV233" s="168">
        <f>BO233*BQ233</f>
        <v>419.55</v>
      </c>
      <c r="BW233" s="131"/>
      <c r="BX233" s="105" t="s">
        <v>119</v>
      </c>
      <c r="BY233" s="145">
        <v>0.05</v>
      </c>
      <c r="BZ233" s="262"/>
      <c r="CA233" s="242">
        <f>BL233*BY233</f>
        <v>0</v>
      </c>
      <c r="CB233" s="101">
        <f>BM233*BY233</f>
        <v>0</v>
      </c>
      <c r="CC233" s="106">
        <f>BN233*BY233</f>
        <v>0</v>
      </c>
      <c r="CD233" s="107">
        <f>BO233*BY233</f>
        <v>139.85</v>
      </c>
      <c r="CE233" s="411"/>
      <c r="CF233" s="108">
        <v>2797</v>
      </c>
      <c r="CG233" s="109">
        <v>45208</v>
      </c>
      <c r="CH233" s="108">
        <v>2797</v>
      </c>
      <c r="CI233" s="415"/>
      <c r="CJ233" s="416"/>
      <c r="CK233" s="415"/>
      <c r="CL233" s="415"/>
      <c r="CM233" s="416"/>
      <c r="CN233" s="415"/>
      <c r="CO233" s="263"/>
      <c r="CP233" s="263"/>
      <c r="CQ233" s="263"/>
      <c r="CR233" s="263"/>
      <c r="CS233" s="263"/>
      <c r="CT233" s="263"/>
      <c r="CU233" s="90">
        <v>1</v>
      </c>
      <c r="CV233" s="181"/>
      <c r="CW233" s="181"/>
      <c r="CX233" s="181"/>
      <c r="CY233" s="155"/>
      <c r="CZ233" s="121"/>
      <c r="DA233" s="424" t="s">
        <v>1416</v>
      </c>
      <c r="DB233" s="115" t="str">
        <f>PROPER(N233)</f>
        <v>Reali Utensileria</v>
      </c>
      <c r="DC233" s="419" t="s">
        <v>1417</v>
      </c>
      <c r="DD233" s="116" t="str">
        <f>BP233</f>
        <v>Raffaella</v>
      </c>
      <c r="DE233" s="117" t="b">
        <f>IF(OR(D233&gt;0),IF(BJ233=0,BN233*BQ233,0))</f>
        <v>0</v>
      </c>
      <c r="DF233" s="117" t="b">
        <f>IF(OR(D233&gt;0),IF(BJ233=0,BN233*BY233,0))</f>
        <v>0</v>
      </c>
      <c r="DG233" s="118" t="str">
        <f>BX233</f>
        <v>Raffaella</v>
      </c>
      <c r="DH233" s="76"/>
      <c r="DI233" s="120" t="s">
        <v>154</v>
      </c>
      <c r="DJ233" s="120"/>
      <c r="DK233" s="74" t="s">
        <v>1418</v>
      </c>
      <c r="DL233" s="74" t="s">
        <v>1418</v>
      </c>
      <c r="DM233" s="122"/>
      <c r="DN233" s="6"/>
      <c r="DO233" s="6"/>
      <c r="DP233" s="6"/>
      <c r="DQ233" s="6"/>
      <c r="DR233" s="6"/>
      <c r="DS233" s="6"/>
      <c r="DT233" s="6"/>
      <c r="DU233" s="6"/>
      <c r="DV233" s="6"/>
      <c r="DW233" s="6"/>
      <c r="DX233" s="6"/>
      <c r="DY233" s="6"/>
      <c r="DZ233" s="6"/>
    </row>
    <row r="234" spans="1:130" ht="34.5" hidden="1" customHeight="1">
      <c r="A234" s="228"/>
      <c r="B234" s="75" t="s">
        <v>1359</v>
      </c>
      <c r="C234" s="155"/>
      <c r="D234" s="75"/>
      <c r="E234" s="75"/>
      <c r="F234" s="75"/>
      <c r="G234" s="400" t="s">
        <v>135</v>
      </c>
      <c r="H234" s="400" t="s">
        <v>1424</v>
      </c>
      <c r="I234" s="294" t="s">
        <v>1425</v>
      </c>
      <c r="J234" s="155" t="str">
        <f>CONCATENATE(G234," ",H234)</f>
        <v>Alessandro Proni</v>
      </c>
      <c r="K234" s="156">
        <v>3355283322</v>
      </c>
      <c r="L234" s="436" t="s">
        <v>1426</v>
      </c>
      <c r="M234" s="153"/>
      <c r="N234" s="160" t="s">
        <v>1427</v>
      </c>
      <c r="O234" s="402"/>
      <c r="P234" s="315"/>
      <c r="Q234" s="160"/>
      <c r="R234" s="403"/>
      <c r="S234" s="160"/>
      <c r="T234" s="404"/>
      <c r="U234" s="315"/>
      <c r="V234" s="315"/>
      <c r="W234" s="315"/>
      <c r="X234" s="131"/>
      <c r="Y234" s="315"/>
      <c r="Z234" s="315"/>
      <c r="AA234" s="315"/>
      <c r="AB234" s="37"/>
      <c r="AC234" s="131"/>
      <c r="AD234" s="121"/>
      <c r="AE234" s="88"/>
      <c r="AF234" s="405"/>
      <c r="AG234" s="406"/>
      <c r="AH234" s="406"/>
      <c r="AI234" s="405"/>
      <c r="AJ234" s="155"/>
      <c r="AK234" s="155"/>
      <c r="AL234" s="155"/>
      <c r="AM234" s="407"/>
      <c r="AN234" s="155"/>
      <c r="AO234" s="155"/>
      <c r="AP234" s="155"/>
      <c r="AQ234" s="85"/>
      <c r="AR234" s="259"/>
      <c r="AS234" s="259"/>
      <c r="AT234" s="3"/>
      <c r="AU234" s="408"/>
      <c r="AV234" s="75"/>
      <c r="AW234" s="121"/>
      <c r="AX234" s="121"/>
      <c r="AY234" s="85"/>
      <c r="AZ234" s="121"/>
      <c r="BA234" s="121"/>
      <c r="BB234" s="121"/>
      <c r="BC234" s="85"/>
      <c r="BD234" s="121" t="s">
        <v>151</v>
      </c>
      <c r="BE234" s="121" t="s">
        <v>151</v>
      </c>
      <c r="BF234" s="121" t="s">
        <v>151</v>
      </c>
      <c r="BG234" s="408"/>
      <c r="BH234" s="238">
        <f>CF234+CI234+CL234+CO234+CR234</f>
        <v>0</v>
      </c>
      <c r="BI234" s="238">
        <f>CH234+CK234+CN234+CQ234+CT234</f>
        <v>0</v>
      </c>
      <c r="BJ234" s="238">
        <f>BH234-BI234</f>
        <v>0</v>
      </c>
      <c r="BK234" s="239"/>
      <c r="BL234" s="260"/>
      <c r="BM234" s="241"/>
      <c r="BN234" s="142"/>
      <c r="BO234" s="182"/>
      <c r="BP234" s="105" t="s">
        <v>690</v>
      </c>
      <c r="BQ234" s="98">
        <v>0.05</v>
      </c>
      <c r="BR234" s="409"/>
      <c r="BS234" s="242">
        <f>BL234*BQ234</f>
        <v>0</v>
      </c>
      <c r="BT234" s="203">
        <f>BM234*BQ234</f>
        <v>0</v>
      </c>
      <c r="BU234" s="167">
        <f>BN234*BQ234</f>
        <v>0</v>
      </c>
      <c r="BV234" s="168">
        <f>BO234*BQ234</f>
        <v>0</v>
      </c>
      <c r="BW234" s="131"/>
      <c r="BX234" s="105" t="s">
        <v>160</v>
      </c>
      <c r="BY234" s="145">
        <v>0.05</v>
      </c>
      <c r="BZ234" s="262"/>
      <c r="CA234" s="242">
        <f>BL234*BY234</f>
        <v>0</v>
      </c>
      <c r="CB234" s="101">
        <f>BM234*BY234</f>
        <v>0</v>
      </c>
      <c r="CC234" s="106">
        <f>BN234*BY234</f>
        <v>0</v>
      </c>
      <c r="CD234" s="107">
        <f>BO234*BY234</f>
        <v>0</v>
      </c>
      <c r="CE234" s="411"/>
      <c r="CF234" s="108"/>
      <c r="CG234" s="109">
        <v>45198</v>
      </c>
      <c r="CH234" s="414"/>
      <c r="CI234" s="415"/>
      <c r="CJ234" s="416"/>
      <c r="CK234" s="415"/>
      <c r="CL234" s="415"/>
      <c r="CM234" s="416"/>
      <c r="CN234" s="415"/>
      <c r="CO234" s="263"/>
      <c r="CP234" s="263"/>
      <c r="CQ234" s="263"/>
      <c r="CR234" s="263"/>
      <c r="CS234" s="263"/>
      <c r="CT234" s="263"/>
      <c r="CU234" s="90">
        <v>1</v>
      </c>
      <c r="CV234" s="181"/>
      <c r="CW234" s="181"/>
      <c r="CX234" s="181"/>
      <c r="CY234" s="155"/>
      <c r="CZ234" s="121"/>
      <c r="DA234" s="424"/>
      <c r="DB234" s="115" t="str">
        <f>PROPER(N234)</f>
        <v>Italsample</v>
      </c>
      <c r="DC234" s="419"/>
      <c r="DD234" s="116" t="str">
        <f>BP234</f>
        <v>MAW</v>
      </c>
      <c r="DE234" s="117" t="b">
        <f>IF(OR(D234&gt;0),IF(BJ234=0,BN234*BQ234,0))</f>
        <v>0</v>
      </c>
      <c r="DF234" s="117" t="b">
        <f>IF(OR(D234&gt;0),IF(BJ234=0,BN234*BY234,0))</f>
        <v>0</v>
      </c>
      <c r="DG234" s="118" t="str">
        <f>BX234</f>
        <v>Gianluca</v>
      </c>
      <c r="DH234" s="76"/>
      <c r="DI234" s="120" t="s">
        <v>154</v>
      </c>
      <c r="DJ234" s="120"/>
      <c r="DK234" s="74" t="s">
        <v>1418</v>
      </c>
      <c r="DL234" s="74" t="s">
        <v>1418</v>
      </c>
      <c r="DM234" s="122">
        <v>1</v>
      </c>
      <c r="DN234" s="6"/>
      <c r="DO234" s="6"/>
      <c r="DP234" s="6"/>
      <c r="DQ234" s="6"/>
      <c r="DR234" s="6"/>
      <c r="DS234" s="6"/>
      <c r="DT234" s="6"/>
      <c r="DU234" s="6"/>
      <c r="DV234" s="6"/>
      <c r="DW234" s="6"/>
      <c r="DX234" s="6"/>
      <c r="DY234" s="6"/>
      <c r="DZ234" s="6"/>
    </row>
    <row r="235" spans="1:130" ht="34.5" hidden="1" customHeight="1">
      <c r="A235" s="228"/>
      <c r="B235" s="75" t="s">
        <v>1359</v>
      </c>
      <c r="C235" s="155"/>
      <c r="D235" s="75"/>
      <c r="E235" s="75"/>
      <c r="F235" s="75"/>
      <c r="G235" s="400" t="s">
        <v>135</v>
      </c>
      <c r="H235" s="400" t="s">
        <v>1428</v>
      </c>
      <c r="I235" s="207" t="s">
        <v>1429</v>
      </c>
      <c r="J235" s="155" t="str">
        <f>CONCATENATE(G235," ",H235)</f>
        <v>Alessandro Villani</v>
      </c>
      <c r="K235" s="156">
        <v>3357217392</v>
      </c>
      <c r="L235" s="437" t="s">
        <v>1430</v>
      </c>
      <c r="M235" s="153"/>
      <c r="N235" s="160" t="s">
        <v>1431</v>
      </c>
      <c r="O235" s="402"/>
      <c r="P235" s="315"/>
      <c r="Q235" s="160"/>
      <c r="R235" s="403"/>
      <c r="S235" s="160"/>
      <c r="T235" s="404"/>
      <c r="U235" s="315"/>
      <c r="V235" s="315"/>
      <c r="W235" s="315"/>
      <c r="X235" s="131"/>
      <c r="Y235" s="315"/>
      <c r="Z235" s="315"/>
      <c r="AA235" s="315"/>
      <c r="AB235" s="37"/>
      <c r="AC235" s="131"/>
      <c r="AD235" s="121"/>
      <c r="AE235" s="88"/>
      <c r="AF235" s="405"/>
      <c r="AG235" s="406"/>
      <c r="AH235" s="406"/>
      <c r="AI235" s="405"/>
      <c r="AJ235" s="155"/>
      <c r="AK235" s="155"/>
      <c r="AL235" s="155"/>
      <c r="AM235" s="407"/>
      <c r="AN235" s="155"/>
      <c r="AO235" s="155"/>
      <c r="AP235" s="155"/>
      <c r="AQ235" s="85"/>
      <c r="AR235" s="259"/>
      <c r="AS235" s="259"/>
      <c r="AT235" s="3"/>
      <c r="AU235" s="408"/>
      <c r="AV235" s="75"/>
      <c r="AW235" s="121"/>
      <c r="AX235" s="121"/>
      <c r="AY235" s="85"/>
      <c r="AZ235" s="121"/>
      <c r="BA235" s="121"/>
      <c r="BB235" s="121"/>
      <c r="BC235" s="85"/>
      <c r="BD235" s="121" t="s">
        <v>245</v>
      </c>
      <c r="BE235" s="121" t="s">
        <v>245</v>
      </c>
      <c r="BF235" s="121" t="s">
        <v>245</v>
      </c>
      <c r="BG235" s="408"/>
      <c r="BH235" s="238">
        <f>CF235+CI235+CL235+CO235+CR235</f>
        <v>2997</v>
      </c>
      <c r="BI235" s="238">
        <f>CH235+CK235+CN235+CQ235+CT235</f>
        <v>0</v>
      </c>
      <c r="BJ235" s="238">
        <f>BH235-BI235</f>
        <v>2997</v>
      </c>
      <c r="BK235" s="239"/>
      <c r="BL235" s="260"/>
      <c r="BM235" s="241"/>
      <c r="BN235" s="142"/>
      <c r="BO235" s="182">
        <v>2997</v>
      </c>
      <c r="BP235" s="105" t="s">
        <v>262</v>
      </c>
      <c r="BQ235" s="98">
        <v>0.15</v>
      </c>
      <c r="BR235" s="409"/>
      <c r="BS235" s="242">
        <f>BL235*BQ235</f>
        <v>0</v>
      </c>
      <c r="BT235" s="203">
        <f>BM235*BQ235</f>
        <v>0</v>
      </c>
      <c r="BU235" s="167">
        <f>BN235*BQ235</f>
        <v>0</v>
      </c>
      <c r="BV235" s="168">
        <f>BO235*BQ235</f>
        <v>449.55</v>
      </c>
      <c r="BW235" s="131"/>
      <c r="BX235" s="105" t="s">
        <v>262</v>
      </c>
      <c r="BY235" s="145">
        <v>0.05</v>
      </c>
      <c r="BZ235" s="262"/>
      <c r="CA235" s="242">
        <f>BL235*BY235</f>
        <v>0</v>
      </c>
      <c r="CB235" s="101">
        <f>BM235*BY235</f>
        <v>0</v>
      </c>
      <c r="CC235" s="106">
        <f>BN235*BY235</f>
        <v>0</v>
      </c>
      <c r="CD235" s="107">
        <f>BO235*BY235</f>
        <v>149.85</v>
      </c>
      <c r="CE235" s="411"/>
      <c r="CF235" s="108">
        <f>2997/4</f>
        <v>749.25</v>
      </c>
      <c r="CG235" s="109">
        <v>45322</v>
      </c>
      <c r="CH235" s="414"/>
      <c r="CI235" s="108">
        <f>2997/4</f>
        <v>749.25</v>
      </c>
      <c r="CJ235" s="416">
        <v>45350</v>
      </c>
      <c r="CK235" s="415"/>
      <c r="CL235" s="108">
        <f>2997/4</f>
        <v>749.25</v>
      </c>
      <c r="CM235" s="416">
        <v>45382</v>
      </c>
      <c r="CN235" s="415"/>
      <c r="CO235" s="108">
        <f>2997/4</f>
        <v>749.25</v>
      </c>
      <c r="CP235" s="416">
        <v>45412</v>
      </c>
      <c r="CQ235" s="263"/>
      <c r="CR235" s="263"/>
      <c r="CS235" s="263"/>
      <c r="CT235" s="263"/>
      <c r="CU235" s="90">
        <v>1</v>
      </c>
      <c r="CV235" s="181"/>
      <c r="CW235" s="181"/>
      <c r="CX235" s="181"/>
      <c r="CY235" s="155"/>
      <c r="CZ235" s="121"/>
      <c r="DA235" s="424"/>
      <c r="DB235" s="115" t="str">
        <f>PROPER(N235)</f>
        <v>Explan Consulting</v>
      </c>
      <c r="DC235" s="419" t="s">
        <v>1432</v>
      </c>
      <c r="DD235" s="116" t="str">
        <f>BP235</f>
        <v>Pacci</v>
      </c>
      <c r="DE235" s="117" t="b">
        <f>IF(OR(D235&gt;0),IF(BJ235=0,BN235*BQ235,0))</f>
        <v>0</v>
      </c>
      <c r="DF235" s="117" t="b">
        <f>IF(OR(D235&gt;0),IF(BJ235=0,BN235*BY235,0))</f>
        <v>0</v>
      </c>
      <c r="DG235" s="118" t="str">
        <f>BX235</f>
        <v>Pacci</v>
      </c>
      <c r="DH235" s="76"/>
      <c r="DI235" s="120" t="s">
        <v>154</v>
      </c>
      <c r="DJ235" s="120"/>
      <c r="DK235" s="74" t="s">
        <v>1418</v>
      </c>
      <c r="DL235" s="74" t="s">
        <v>1418</v>
      </c>
      <c r="DM235" s="122"/>
      <c r="DN235" s="6"/>
      <c r="DO235" s="6"/>
      <c r="DP235" s="6"/>
      <c r="DQ235" s="6"/>
      <c r="DR235" s="6"/>
      <c r="DS235" s="6"/>
      <c r="DT235" s="6"/>
      <c r="DU235" s="6"/>
      <c r="DV235" s="6"/>
      <c r="DW235" s="6"/>
      <c r="DX235" s="6"/>
      <c r="DY235" s="6"/>
      <c r="DZ235" s="6"/>
    </row>
    <row r="236" spans="1:130" ht="34.5" hidden="1" customHeight="1">
      <c r="A236" s="228"/>
      <c r="B236" s="75" t="s">
        <v>1359</v>
      </c>
      <c r="C236" s="155"/>
      <c r="D236" s="75"/>
      <c r="E236" s="75"/>
      <c r="F236" s="75"/>
      <c r="G236" s="400" t="s">
        <v>321</v>
      </c>
      <c r="H236" s="400" t="s">
        <v>1433</v>
      </c>
      <c r="I236" s="207" t="s">
        <v>1434</v>
      </c>
      <c r="J236" s="155" t="str">
        <f>CONCATENATE(G236," ",H236)</f>
        <v>Davide Giro</v>
      </c>
      <c r="K236" s="156"/>
      <c r="L236" s="437" t="s">
        <v>1430</v>
      </c>
      <c r="M236" s="153"/>
      <c r="N236" s="160" t="s">
        <v>1431</v>
      </c>
      <c r="O236" s="402"/>
      <c r="P236" s="315"/>
      <c r="Q236" s="160"/>
      <c r="R236" s="403"/>
      <c r="S236" s="160"/>
      <c r="T236" s="404"/>
      <c r="U236" s="315"/>
      <c r="V236" s="315"/>
      <c r="W236" s="315"/>
      <c r="X236" s="131"/>
      <c r="Y236" s="315"/>
      <c r="Z236" s="315"/>
      <c r="AA236" s="315"/>
      <c r="AB236" s="37"/>
      <c r="AC236" s="131"/>
      <c r="AD236" s="121"/>
      <c r="AE236" s="88"/>
      <c r="AF236" s="405"/>
      <c r="AG236" s="406"/>
      <c r="AH236" s="406"/>
      <c r="AI236" s="405"/>
      <c r="AJ236" s="155"/>
      <c r="AK236" s="155"/>
      <c r="AL236" s="155"/>
      <c r="AM236" s="407"/>
      <c r="AN236" s="155"/>
      <c r="AO236" s="155"/>
      <c r="AP236" s="155"/>
      <c r="AQ236" s="85"/>
      <c r="AR236" s="259"/>
      <c r="AS236" s="259"/>
      <c r="AT236" s="3"/>
      <c r="AU236" s="408"/>
      <c r="AV236" s="75"/>
      <c r="AW236" s="121"/>
      <c r="AX236" s="121"/>
      <c r="AY236" s="85"/>
      <c r="AZ236" s="121"/>
      <c r="BA236" s="121"/>
      <c r="BB236" s="121"/>
      <c r="BC236" s="85"/>
      <c r="BD236" s="121" t="s">
        <v>245</v>
      </c>
      <c r="BE236" s="121" t="s">
        <v>245</v>
      </c>
      <c r="BF236" s="121" t="s">
        <v>245</v>
      </c>
      <c r="BG236" s="408"/>
      <c r="BH236" s="238">
        <f>CF236+CI236+CL236+CO236+CR236</f>
        <v>2997</v>
      </c>
      <c r="BI236" s="238">
        <f>CH236+CK236+CN236+CQ236+CT236</f>
        <v>0</v>
      </c>
      <c r="BJ236" s="238">
        <f>BH236-BI236</f>
        <v>2997</v>
      </c>
      <c r="BK236" s="239"/>
      <c r="BL236" s="260"/>
      <c r="BM236" s="241"/>
      <c r="BN236" s="142"/>
      <c r="BO236" s="182">
        <v>2997</v>
      </c>
      <c r="BP236" s="105" t="s">
        <v>262</v>
      </c>
      <c r="BQ236" s="98">
        <v>0.15</v>
      </c>
      <c r="BR236" s="409"/>
      <c r="BS236" s="242">
        <f>BL236*BQ236</f>
        <v>0</v>
      </c>
      <c r="BT236" s="203">
        <f>BM236*BQ236</f>
        <v>0</v>
      </c>
      <c r="BU236" s="167">
        <f>BN236*BQ236</f>
        <v>0</v>
      </c>
      <c r="BV236" s="168">
        <f>BO236*BQ236</f>
        <v>449.55</v>
      </c>
      <c r="BW236" s="131"/>
      <c r="BX236" s="105" t="s">
        <v>262</v>
      </c>
      <c r="BY236" s="145">
        <v>0.05</v>
      </c>
      <c r="BZ236" s="262"/>
      <c r="CA236" s="242">
        <f>BL236*BY236</f>
        <v>0</v>
      </c>
      <c r="CB236" s="101">
        <f>BM236*BY236</f>
        <v>0</v>
      </c>
      <c r="CC236" s="106">
        <f>BN236*BY236</f>
        <v>0</v>
      </c>
      <c r="CD236" s="107">
        <f>BO236*BY236</f>
        <v>149.85</v>
      </c>
      <c r="CE236" s="411"/>
      <c r="CF236" s="108">
        <f>2997/4</f>
        <v>749.25</v>
      </c>
      <c r="CG236" s="109">
        <v>45322</v>
      </c>
      <c r="CH236" s="414"/>
      <c r="CI236" s="108">
        <f>2997/4</f>
        <v>749.25</v>
      </c>
      <c r="CJ236" s="416">
        <v>45350</v>
      </c>
      <c r="CK236" s="415"/>
      <c r="CL236" s="108">
        <f>2997/4</f>
        <v>749.25</v>
      </c>
      <c r="CM236" s="416">
        <v>45382</v>
      </c>
      <c r="CN236" s="415"/>
      <c r="CO236" s="108">
        <f>2997/4</f>
        <v>749.25</v>
      </c>
      <c r="CP236" s="416">
        <v>45412</v>
      </c>
      <c r="CQ236" s="263"/>
      <c r="CR236" s="263"/>
      <c r="CS236" s="263"/>
      <c r="CT236" s="263"/>
      <c r="CU236" s="90">
        <v>1</v>
      </c>
      <c r="CV236" s="181"/>
      <c r="CW236" s="181"/>
      <c r="CX236" s="181"/>
      <c r="CY236" s="155"/>
      <c r="CZ236" s="121"/>
      <c r="DA236" s="424"/>
      <c r="DB236" s="115" t="str">
        <f>PROPER(N236)</f>
        <v>Explan Consulting</v>
      </c>
      <c r="DC236" s="419" t="s">
        <v>1432</v>
      </c>
      <c r="DD236" s="116" t="str">
        <f>BP236</f>
        <v>Pacci</v>
      </c>
      <c r="DE236" s="117" t="b">
        <f>IF(OR(D236&gt;0),IF(BJ236=0,BN236*BQ236,0))</f>
        <v>0</v>
      </c>
      <c r="DF236" s="117" t="b">
        <f>IF(OR(D236&gt;0),IF(BJ236=0,BN236*BY236,0))</f>
        <v>0</v>
      </c>
      <c r="DG236" s="118" t="str">
        <f>BX236</f>
        <v>Pacci</v>
      </c>
      <c r="DH236" s="76"/>
      <c r="DI236" s="120" t="s">
        <v>154</v>
      </c>
      <c r="DJ236" s="120"/>
      <c r="DK236" s="74" t="s">
        <v>1418</v>
      </c>
      <c r="DL236" s="74" t="s">
        <v>1418</v>
      </c>
      <c r="DM236" s="122"/>
      <c r="DN236" s="6"/>
      <c r="DO236" s="6"/>
      <c r="DP236" s="6"/>
      <c r="DQ236" s="6"/>
      <c r="DR236" s="6"/>
      <c r="DS236" s="6"/>
      <c r="DT236" s="6"/>
      <c r="DU236" s="6"/>
      <c r="DV236" s="6"/>
      <c r="DW236" s="6"/>
      <c r="DX236" s="6"/>
      <c r="DY236" s="6"/>
      <c r="DZ236" s="6"/>
    </row>
    <row r="237" spans="1:130" ht="34.5" hidden="1" customHeight="1">
      <c r="A237" s="228"/>
      <c r="B237" s="75" t="s">
        <v>1359</v>
      </c>
      <c r="C237" s="155"/>
      <c r="D237" s="75"/>
      <c r="E237" s="75"/>
      <c r="F237" s="75"/>
      <c r="G237" s="400" t="s">
        <v>912</v>
      </c>
      <c r="H237" s="400" t="s">
        <v>1435</v>
      </c>
      <c r="I237" s="207" t="s">
        <v>1436</v>
      </c>
      <c r="J237" s="155" t="str">
        <f>CONCATENATE(G237," ",H237)</f>
        <v>Francesco Soatin</v>
      </c>
      <c r="K237" s="156">
        <v>3357217393</v>
      </c>
      <c r="L237" s="437" t="s">
        <v>1430</v>
      </c>
      <c r="M237" s="153"/>
      <c r="N237" s="160" t="s">
        <v>1431</v>
      </c>
      <c r="O237" s="402"/>
      <c r="P237" s="315"/>
      <c r="Q237" s="160"/>
      <c r="R237" s="403"/>
      <c r="S237" s="160"/>
      <c r="T237" s="404"/>
      <c r="U237" s="315"/>
      <c r="V237" s="315"/>
      <c r="W237" s="315"/>
      <c r="X237" s="131"/>
      <c r="Y237" s="315"/>
      <c r="Z237" s="315"/>
      <c r="AA237" s="315"/>
      <c r="AB237" s="37"/>
      <c r="AC237" s="131"/>
      <c r="AD237" s="121"/>
      <c r="AE237" s="88"/>
      <c r="AF237" s="405"/>
      <c r="AG237" s="406"/>
      <c r="AH237" s="406"/>
      <c r="AI237" s="405"/>
      <c r="AJ237" s="155"/>
      <c r="AK237" s="155"/>
      <c r="AL237" s="155"/>
      <c r="AM237" s="407"/>
      <c r="AN237" s="155"/>
      <c r="AO237" s="155"/>
      <c r="AP237" s="155"/>
      <c r="AQ237" s="85"/>
      <c r="AR237" s="121"/>
      <c r="AS237" s="121"/>
      <c r="AT237" s="121"/>
      <c r="AU237" s="408"/>
      <c r="AV237" s="75"/>
      <c r="AW237" s="121"/>
      <c r="AX237" s="121"/>
      <c r="AY237" s="85"/>
      <c r="AZ237" s="121"/>
      <c r="BA237" s="121"/>
      <c r="BB237" s="121"/>
      <c r="BC237" s="85"/>
      <c r="BD237" s="121" t="s">
        <v>245</v>
      </c>
      <c r="BE237" s="121" t="s">
        <v>245</v>
      </c>
      <c r="BF237" s="121" t="s">
        <v>245</v>
      </c>
      <c r="BG237" s="408"/>
      <c r="BH237" s="238">
        <f>CF237+CI237+CL237+CO237+CR237</f>
        <v>2997</v>
      </c>
      <c r="BI237" s="238">
        <f>CH237+CK237+CN237+CQ237+CT237</f>
        <v>0</v>
      </c>
      <c r="BJ237" s="238">
        <f>BH237-BI237</f>
        <v>2997</v>
      </c>
      <c r="BK237" s="239"/>
      <c r="BL237" s="260"/>
      <c r="BM237" s="241"/>
      <c r="BN237" s="142"/>
      <c r="BO237" s="182">
        <v>2997</v>
      </c>
      <c r="BP237" s="105" t="s">
        <v>262</v>
      </c>
      <c r="BQ237" s="98">
        <v>0.15</v>
      </c>
      <c r="BR237" s="409"/>
      <c r="BS237" s="242">
        <f>BL237*BQ237</f>
        <v>0</v>
      </c>
      <c r="BT237" s="203">
        <f>BM237*BQ237</f>
        <v>0</v>
      </c>
      <c r="BU237" s="167">
        <f>BN237*BQ237</f>
        <v>0</v>
      </c>
      <c r="BV237" s="168">
        <f>BO237*BQ237</f>
        <v>449.55</v>
      </c>
      <c r="BW237" s="131"/>
      <c r="BX237" s="105" t="s">
        <v>262</v>
      </c>
      <c r="BY237" s="145">
        <v>0.05</v>
      </c>
      <c r="BZ237" s="262"/>
      <c r="CA237" s="242">
        <f>BL237*BY237</f>
        <v>0</v>
      </c>
      <c r="CB237" s="101">
        <f>BM237*BY237</f>
        <v>0</v>
      </c>
      <c r="CC237" s="106">
        <f>BN237*BY237</f>
        <v>0</v>
      </c>
      <c r="CD237" s="107">
        <f>BO237*BY237</f>
        <v>149.85</v>
      </c>
      <c r="CE237" s="411"/>
      <c r="CF237" s="108">
        <f>2997/4</f>
        <v>749.25</v>
      </c>
      <c r="CG237" s="109">
        <v>45322</v>
      </c>
      <c r="CH237" s="414"/>
      <c r="CI237" s="108">
        <f>2997/4</f>
        <v>749.25</v>
      </c>
      <c r="CJ237" s="416">
        <v>45350</v>
      </c>
      <c r="CK237" s="415"/>
      <c r="CL237" s="108">
        <f>2997/4</f>
        <v>749.25</v>
      </c>
      <c r="CM237" s="416">
        <v>45382</v>
      </c>
      <c r="CN237" s="415"/>
      <c r="CO237" s="108">
        <f>2997/4</f>
        <v>749.25</v>
      </c>
      <c r="CP237" s="416">
        <v>45412</v>
      </c>
      <c r="CQ237" s="263"/>
      <c r="CR237" s="263"/>
      <c r="CS237" s="263"/>
      <c r="CT237" s="263"/>
      <c r="CU237" s="90">
        <v>1</v>
      </c>
      <c r="CV237" s="181"/>
      <c r="CW237" s="181"/>
      <c r="CX237" s="181"/>
      <c r="CY237" s="155"/>
      <c r="CZ237" s="121"/>
      <c r="DA237" s="424"/>
      <c r="DB237" s="115" t="str">
        <f>PROPER(N237)</f>
        <v>Explan Consulting</v>
      </c>
      <c r="DC237" s="419" t="s">
        <v>1432</v>
      </c>
      <c r="DD237" s="116" t="str">
        <f>BP237</f>
        <v>Pacci</v>
      </c>
      <c r="DE237" s="117" t="b">
        <f>IF(OR(D237&gt;0),IF(BJ237=0,BN237*BQ237,0))</f>
        <v>0</v>
      </c>
      <c r="DF237" s="117" t="b">
        <f>IF(OR(D237&gt;0),IF(BJ237=0,BN237*BY237,0))</f>
        <v>0</v>
      </c>
      <c r="DG237" s="118" t="str">
        <f>BX237</f>
        <v>Pacci</v>
      </c>
      <c r="DH237" s="76"/>
      <c r="DI237" s="120" t="s">
        <v>154</v>
      </c>
      <c r="DJ237" s="120"/>
      <c r="DK237" s="74" t="s">
        <v>1418</v>
      </c>
      <c r="DL237" s="74" t="s">
        <v>1418</v>
      </c>
      <c r="DM237" s="122"/>
      <c r="DN237" s="6"/>
      <c r="DO237" s="6"/>
      <c r="DP237" s="6"/>
      <c r="DQ237" s="6"/>
      <c r="DR237" s="6"/>
      <c r="DS237" s="6"/>
      <c r="DT237" s="6"/>
      <c r="DU237" s="6"/>
      <c r="DV237" s="6"/>
      <c r="DW237" s="6"/>
      <c r="DX237" s="6"/>
      <c r="DY237" s="6"/>
      <c r="DZ237" s="6"/>
    </row>
    <row r="238" spans="1:130" ht="34.5" hidden="1" customHeight="1">
      <c r="A238" s="228"/>
      <c r="B238" s="75" t="s">
        <v>1359</v>
      </c>
      <c r="C238" s="155"/>
      <c r="D238" s="75"/>
      <c r="E238" s="75"/>
      <c r="F238" s="75"/>
      <c r="G238" s="400" t="s">
        <v>1437</v>
      </c>
      <c r="H238" s="400" t="s">
        <v>1438</v>
      </c>
      <c r="I238" s="207" t="s">
        <v>1439</v>
      </c>
      <c r="J238" s="155" t="str">
        <f>CONCATENATE(G238," ",H238)</f>
        <v>Marzia Achilli</v>
      </c>
      <c r="K238" s="156">
        <v>3386895456</v>
      </c>
      <c r="L238" s="437" t="s">
        <v>1430</v>
      </c>
      <c r="M238" s="153"/>
      <c r="N238" s="160" t="s">
        <v>1431</v>
      </c>
      <c r="O238" s="402"/>
      <c r="P238" s="315"/>
      <c r="Q238" s="160"/>
      <c r="R238" s="403"/>
      <c r="S238" s="160"/>
      <c r="T238" s="404"/>
      <c r="U238" s="315"/>
      <c r="V238" s="315"/>
      <c r="W238" s="315"/>
      <c r="X238" s="131"/>
      <c r="Y238" s="315"/>
      <c r="Z238" s="315"/>
      <c r="AA238" s="315"/>
      <c r="AB238" s="37"/>
      <c r="AC238" s="131"/>
      <c r="AD238" s="121"/>
      <c r="AE238" s="88"/>
      <c r="AF238" s="405"/>
      <c r="AG238" s="406"/>
      <c r="AH238" s="406"/>
      <c r="AI238" s="405"/>
      <c r="AJ238" s="155"/>
      <c r="AK238" s="155"/>
      <c r="AL238" s="155"/>
      <c r="AM238" s="407"/>
      <c r="AN238" s="155"/>
      <c r="AO238" s="155"/>
      <c r="AP238" s="155"/>
      <c r="AQ238" s="85"/>
      <c r="AR238" s="121"/>
      <c r="AS238" s="121"/>
      <c r="AT238" s="121"/>
      <c r="AU238" s="408"/>
      <c r="AV238" s="75"/>
      <c r="AW238" s="121"/>
      <c r="AX238" s="121"/>
      <c r="AY238" s="85"/>
      <c r="AZ238" s="121"/>
      <c r="BA238" s="121"/>
      <c r="BB238" s="121"/>
      <c r="BC238" s="85"/>
      <c r="BD238" s="121" t="s">
        <v>245</v>
      </c>
      <c r="BE238" s="121" t="s">
        <v>245</v>
      </c>
      <c r="BF238" s="121" t="s">
        <v>245</v>
      </c>
      <c r="BG238" s="408"/>
      <c r="BH238" s="238">
        <f>CF238+CI238+CL238+CO238+CR238</f>
        <v>2997</v>
      </c>
      <c r="BI238" s="238">
        <f>CH238+CK238+CN238+CQ238+CT238</f>
        <v>0</v>
      </c>
      <c r="BJ238" s="238">
        <f>BH238-BI238</f>
        <v>2997</v>
      </c>
      <c r="BK238" s="239"/>
      <c r="BL238" s="260"/>
      <c r="BM238" s="241"/>
      <c r="BN238" s="142"/>
      <c r="BO238" s="182">
        <v>2997</v>
      </c>
      <c r="BP238" s="105" t="s">
        <v>262</v>
      </c>
      <c r="BQ238" s="98">
        <v>0.15</v>
      </c>
      <c r="BR238" s="409"/>
      <c r="BS238" s="242">
        <f>BL238*BQ238</f>
        <v>0</v>
      </c>
      <c r="BT238" s="203">
        <f>BM238*BQ238</f>
        <v>0</v>
      </c>
      <c r="BU238" s="167">
        <f>BN238*BQ238</f>
        <v>0</v>
      </c>
      <c r="BV238" s="168">
        <f>BO238*BQ238</f>
        <v>449.55</v>
      </c>
      <c r="BW238" s="131"/>
      <c r="BX238" s="105" t="s">
        <v>262</v>
      </c>
      <c r="BY238" s="145">
        <v>0.05</v>
      </c>
      <c r="BZ238" s="262"/>
      <c r="CA238" s="242">
        <f>BL238*BY238</f>
        <v>0</v>
      </c>
      <c r="CB238" s="101">
        <f>BM238*BY238</f>
        <v>0</v>
      </c>
      <c r="CC238" s="106">
        <f>BN238*BY238</f>
        <v>0</v>
      </c>
      <c r="CD238" s="107">
        <f>BO238*BY238</f>
        <v>149.85</v>
      </c>
      <c r="CE238" s="411"/>
      <c r="CF238" s="108">
        <f>2997/4</f>
        <v>749.25</v>
      </c>
      <c r="CG238" s="109">
        <v>45322</v>
      </c>
      <c r="CH238" s="414"/>
      <c r="CI238" s="108">
        <f>2997/4</f>
        <v>749.25</v>
      </c>
      <c r="CJ238" s="416">
        <v>45350</v>
      </c>
      <c r="CK238" s="415"/>
      <c r="CL238" s="108">
        <f>2997/4</f>
        <v>749.25</v>
      </c>
      <c r="CM238" s="416">
        <v>45382</v>
      </c>
      <c r="CN238" s="415"/>
      <c r="CO238" s="108">
        <f>2997/4</f>
        <v>749.25</v>
      </c>
      <c r="CP238" s="416">
        <v>45412</v>
      </c>
      <c r="CQ238" s="263"/>
      <c r="CR238" s="263"/>
      <c r="CS238" s="263"/>
      <c r="CT238" s="263"/>
      <c r="CU238" s="90">
        <v>1</v>
      </c>
      <c r="CV238" s="181"/>
      <c r="CW238" s="438"/>
      <c r="CX238" s="439"/>
      <c r="CY238" s="155"/>
      <c r="CZ238" s="121"/>
      <c r="DA238" s="424"/>
      <c r="DB238" s="115" t="str">
        <f>PROPER(N238)</f>
        <v>Explan Consulting</v>
      </c>
      <c r="DC238" s="419" t="s">
        <v>1432</v>
      </c>
      <c r="DD238" s="116" t="str">
        <f>BP238</f>
        <v>Pacci</v>
      </c>
      <c r="DE238" s="117" t="b">
        <f>IF(OR(D238&gt;0),IF(BJ238=0,BN238*BQ238,0))</f>
        <v>0</v>
      </c>
      <c r="DF238" s="117" t="b">
        <f>IF(OR(D238&gt;0),IF(BJ238=0,BN238*BY238,0))</f>
        <v>0</v>
      </c>
      <c r="DG238" s="118" t="str">
        <f>BX238</f>
        <v>Pacci</v>
      </c>
      <c r="DH238" s="76"/>
      <c r="DI238" s="120" t="s">
        <v>154</v>
      </c>
      <c r="DJ238" s="120"/>
      <c r="DK238" s="74" t="s">
        <v>1418</v>
      </c>
      <c r="DL238" s="74" t="s">
        <v>1418</v>
      </c>
      <c r="DM238" s="122"/>
      <c r="DN238" s="6"/>
      <c r="DO238" s="6"/>
      <c r="DP238" s="6"/>
      <c r="DQ238" s="6"/>
      <c r="DR238" s="6"/>
      <c r="DS238" s="6"/>
      <c r="DT238" s="6"/>
      <c r="DU238" s="6"/>
      <c r="DV238" s="6"/>
      <c r="DW238" s="6"/>
      <c r="DX238" s="6"/>
      <c r="DY238" s="6"/>
      <c r="DZ238" s="6"/>
    </row>
    <row r="239" spans="1:130" ht="34.5" hidden="1" customHeight="1">
      <c r="A239" s="228"/>
      <c r="B239" s="371" t="s">
        <v>1359</v>
      </c>
      <c r="C239" s="155"/>
      <c r="D239" s="75"/>
      <c r="E239" s="75"/>
      <c r="F239" s="75"/>
      <c r="G239" s="400" t="s">
        <v>167</v>
      </c>
      <c r="H239" s="400" t="s">
        <v>217</v>
      </c>
      <c r="I239" s="294" t="s">
        <v>1440</v>
      </c>
      <c r="J239" s="155" t="str">
        <f>CONCATENATE(G239," ",H239)</f>
        <v>Alessia Moraglia</v>
      </c>
      <c r="K239" s="156">
        <v>3496265269</v>
      </c>
      <c r="L239" s="152" t="s">
        <v>1441</v>
      </c>
      <c r="M239" s="153" t="s">
        <v>514</v>
      </c>
      <c r="N239" s="160" t="s">
        <v>1442</v>
      </c>
      <c r="O239" s="402"/>
      <c r="P239" s="315"/>
      <c r="Q239" s="160"/>
      <c r="R239" s="403"/>
      <c r="S239" s="160"/>
      <c r="T239" s="404"/>
      <c r="U239" s="315"/>
      <c r="V239" s="315"/>
      <c r="W239" s="315"/>
      <c r="X239" s="131"/>
      <c r="Y239" s="315"/>
      <c r="Z239" s="315"/>
      <c r="AA239" s="315"/>
      <c r="AB239" s="37"/>
      <c r="AC239" s="131"/>
      <c r="AD239" s="121"/>
      <c r="AE239" s="88"/>
      <c r="AF239" s="405"/>
      <c r="AG239" s="406"/>
      <c r="AH239" s="406"/>
      <c r="AI239" s="405"/>
      <c r="AJ239" s="155"/>
      <c r="AK239" s="155"/>
      <c r="AL239" s="155"/>
      <c r="AM239" s="407"/>
      <c r="AN239" s="155"/>
      <c r="AO239" s="155"/>
      <c r="AP239" s="155"/>
      <c r="AQ239" s="85"/>
      <c r="AR239" s="259"/>
      <c r="AS239" s="259"/>
      <c r="AT239" s="3"/>
      <c r="AU239" s="408"/>
      <c r="AV239" s="75"/>
      <c r="AW239" s="121"/>
      <c r="AX239" s="121"/>
      <c r="AY239" s="85"/>
      <c r="AZ239" s="121"/>
      <c r="BA239" s="121"/>
      <c r="BB239" s="121"/>
      <c r="BC239" s="85"/>
      <c r="BD239" s="121" t="s">
        <v>335</v>
      </c>
      <c r="BE239" s="121" t="s">
        <v>245</v>
      </c>
      <c r="BF239" s="121" t="s">
        <v>245</v>
      </c>
      <c r="BG239" s="408"/>
      <c r="BH239" s="238">
        <f>CF239+CI239+CL239+CO239+CR239</f>
        <v>2997</v>
      </c>
      <c r="BI239" s="238">
        <f>CH239+CK239+CN239+CQ239+CT239</f>
        <v>0</v>
      </c>
      <c r="BJ239" s="238">
        <f>BH239-BI239</f>
        <v>2997</v>
      </c>
      <c r="BK239" s="239"/>
      <c r="BL239" s="260"/>
      <c r="BM239" s="241"/>
      <c r="BN239" s="142"/>
      <c r="BO239" s="182">
        <v>2997</v>
      </c>
      <c r="BP239" s="105" t="s">
        <v>141</v>
      </c>
      <c r="BQ239" s="98">
        <v>0.15</v>
      </c>
      <c r="BR239" s="409"/>
      <c r="BS239" s="242">
        <f>BL239*BQ239</f>
        <v>0</v>
      </c>
      <c r="BT239" s="203">
        <f>BM239*BQ239</f>
        <v>0</v>
      </c>
      <c r="BU239" s="167">
        <f>BN239*BQ239</f>
        <v>0</v>
      </c>
      <c r="BV239" s="168">
        <f>BO239*BQ239</f>
        <v>449.55</v>
      </c>
      <c r="BW239" s="131"/>
      <c r="BX239" s="105" t="s">
        <v>141</v>
      </c>
      <c r="BY239" s="145">
        <v>0.05</v>
      </c>
      <c r="BZ239" s="262"/>
      <c r="CA239" s="242">
        <f>BL239*BY239</f>
        <v>0</v>
      </c>
      <c r="CB239" s="101">
        <f>BM239*BY239</f>
        <v>0</v>
      </c>
      <c r="CC239" s="106">
        <f>BN239*BY239</f>
        <v>0</v>
      </c>
      <c r="CD239" s="107">
        <f>BO239*BY239</f>
        <v>149.85</v>
      </c>
      <c r="CE239" s="411"/>
      <c r="CF239" s="108">
        <v>2997</v>
      </c>
      <c r="CG239" s="146" t="s">
        <v>561</v>
      </c>
      <c r="CH239" s="414"/>
      <c r="CI239" s="415"/>
      <c r="CJ239" s="416"/>
      <c r="CK239" s="415"/>
      <c r="CL239" s="415"/>
      <c r="CM239" s="416"/>
      <c r="CN239" s="415"/>
      <c r="CO239" s="263"/>
      <c r="CP239" s="263"/>
      <c r="CQ239" s="263"/>
      <c r="CR239" s="263"/>
      <c r="CS239" s="263"/>
      <c r="CT239" s="263"/>
      <c r="CU239" s="90">
        <v>1</v>
      </c>
      <c r="CV239" s="181"/>
      <c r="CW239" s="181"/>
      <c r="CX239" s="181"/>
      <c r="CY239" s="155"/>
      <c r="CZ239" s="121"/>
      <c r="DA239" s="424" t="s">
        <v>1443</v>
      </c>
      <c r="DB239" s="115" t="str">
        <f>PROPER(N239)</f>
        <v>Happily</v>
      </c>
      <c r="DC239" s="419" t="s">
        <v>264</v>
      </c>
      <c r="DD239" s="116" t="str">
        <f>BP239</f>
        <v>Daniele</v>
      </c>
      <c r="DE239" s="117" t="b">
        <f>IF(OR(D239&gt;0),IF(BJ239=0,BN239*BQ239,0))</f>
        <v>0</v>
      </c>
      <c r="DF239" s="117" t="b">
        <f>IF(OR(D239&gt;0),IF(BJ239=0,BN239*BY239,0))</f>
        <v>0</v>
      </c>
      <c r="DG239" s="118" t="str">
        <f>BX239</f>
        <v>Daniele</v>
      </c>
      <c r="DH239" s="76"/>
      <c r="DI239" s="120" t="s">
        <v>154</v>
      </c>
      <c r="DJ239" s="120"/>
      <c r="DK239" s="74" t="s">
        <v>1418</v>
      </c>
      <c r="DL239" s="74" t="s">
        <v>1418</v>
      </c>
      <c r="DM239" s="122">
        <v>1</v>
      </c>
      <c r="DN239" s="6"/>
      <c r="DO239" s="6"/>
      <c r="DP239" s="6"/>
      <c r="DQ239" s="6"/>
      <c r="DR239" s="6"/>
      <c r="DS239" s="6"/>
      <c r="DT239" s="6"/>
      <c r="DU239" s="6"/>
      <c r="DV239" s="6"/>
      <c r="DW239" s="6"/>
      <c r="DX239" s="6"/>
      <c r="DY239" s="6"/>
      <c r="DZ239" s="6"/>
    </row>
    <row r="240" spans="1:130" ht="34.5" hidden="1" customHeight="1">
      <c r="A240" s="228"/>
      <c r="B240" s="75" t="s">
        <v>902</v>
      </c>
      <c r="C240" s="121"/>
      <c r="D240" s="195">
        <v>1</v>
      </c>
      <c r="E240" s="75">
        <v>1</v>
      </c>
      <c r="F240" s="148"/>
      <c r="G240" s="197" t="s">
        <v>570</v>
      </c>
      <c r="H240" s="197" t="s">
        <v>933</v>
      </c>
      <c r="I240" s="207" t="s">
        <v>934</v>
      </c>
      <c r="J240" s="121" t="str">
        <f>CONCATENATE(G240," ",H240)</f>
        <v>Giovanni Materzanini</v>
      </c>
      <c r="K240" s="1858">
        <v>3311361326</v>
      </c>
      <c r="L240" s="131" t="s">
        <v>935</v>
      </c>
      <c r="M240" s="131" t="s">
        <v>936</v>
      </c>
      <c r="N240" s="160" t="s">
        <v>937</v>
      </c>
      <c r="O240" s="556"/>
      <c r="P240" s="314"/>
      <c r="Q240" s="37"/>
      <c r="R240" s="131"/>
      <c r="S240" s="160"/>
      <c r="T240" s="404"/>
      <c r="U240" s="315"/>
      <c r="V240" s="315"/>
      <c r="W240" s="316"/>
      <c r="X240" s="234"/>
      <c r="Y240" s="316"/>
      <c r="Z240" s="316"/>
      <c r="AA240" s="316"/>
      <c r="AB240" s="37"/>
      <c r="AC240" s="37"/>
      <c r="AD240" s="37" t="s">
        <v>118</v>
      </c>
      <c r="AE240" s="138"/>
      <c r="AF240" s="407"/>
      <c r="AG240" s="121"/>
      <c r="AH240" s="121"/>
      <c r="AI240" s="407"/>
      <c r="AJ240" s="121"/>
      <c r="AK240" s="121"/>
      <c r="AL240" s="121"/>
      <c r="AM240" s="407"/>
      <c r="AN240" s="155"/>
      <c r="AO240" s="155"/>
      <c r="AP240" s="155"/>
      <c r="AQ240" s="1982"/>
      <c r="AR240" s="121"/>
      <c r="AS240" s="121"/>
      <c r="AT240" s="121"/>
      <c r="AU240" s="408"/>
      <c r="AV240" s="75" t="s">
        <v>115</v>
      </c>
      <c r="AW240" s="121" t="s">
        <v>115</v>
      </c>
      <c r="AX240" s="121" t="s">
        <v>115</v>
      </c>
      <c r="AY240" s="1982"/>
      <c r="AZ240" s="121" t="s">
        <v>116</v>
      </c>
      <c r="BA240" s="121" t="s">
        <v>116</v>
      </c>
      <c r="BB240" s="121" t="s">
        <v>116</v>
      </c>
      <c r="BC240" s="1982"/>
      <c r="BD240" s="121"/>
      <c r="BE240" s="121"/>
      <c r="BF240" s="121"/>
      <c r="BG240" s="408"/>
      <c r="BH240" s="238"/>
      <c r="BI240" s="238"/>
      <c r="BJ240" s="238"/>
      <c r="BK240" s="239"/>
      <c r="BL240" s="260"/>
      <c r="BM240" s="241"/>
      <c r="BN240" s="273"/>
      <c r="BO240" s="274"/>
      <c r="BP240" s="275" t="s">
        <v>262</v>
      </c>
      <c r="BQ240" s="98">
        <v>0</v>
      </c>
      <c r="BR240" s="409"/>
      <c r="BS240" s="242"/>
      <c r="BT240" s="203"/>
      <c r="BU240" s="167"/>
      <c r="BV240" s="168">
        <f>BO240*BQ240</f>
        <v>0</v>
      </c>
      <c r="BW240" s="243"/>
      <c r="BX240" s="105" t="s">
        <v>262</v>
      </c>
      <c r="BY240" s="98">
        <v>0</v>
      </c>
      <c r="BZ240" s="262"/>
      <c r="CA240" s="242"/>
      <c r="CB240" s="101"/>
      <c r="CC240" s="106"/>
      <c r="CD240" s="107">
        <f>BO240*BY240</f>
        <v>0</v>
      </c>
      <c r="CE240" s="244"/>
      <c r="CF240" s="108"/>
      <c r="CG240" s="279"/>
      <c r="CH240" s="108"/>
      <c r="CI240" s="110"/>
      <c r="CJ240" s="226"/>
      <c r="CK240" s="206"/>
      <c r="CL240" s="206"/>
      <c r="CM240" s="226"/>
      <c r="CN240" s="206"/>
      <c r="CO240" s="206"/>
      <c r="CP240" s="206"/>
      <c r="CQ240" s="206"/>
      <c r="CR240" s="206"/>
      <c r="CS240" s="206"/>
      <c r="CT240" s="206"/>
      <c r="CU240" s="90"/>
      <c r="CV240" s="181"/>
      <c r="CW240" s="181"/>
      <c r="CX240" s="207"/>
      <c r="CY240" s="207"/>
      <c r="CZ240" s="155"/>
      <c r="DA240" s="384" t="s">
        <v>938</v>
      </c>
      <c r="DB240" s="115" t="str">
        <f>PROPER(N240)</f>
        <v>Ey</v>
      </c>
      <c r="DC240" s="191" t="s">
        <v>264</v>
      </c>
      <c r="DD240" s="116" t="str">
        <f>BP240</f>
        <v>Pacci</v>
      </c>
      <c r="DE240" s="117">
        <f>IF(OR(D240&gt;0),IF(BJ240=0,BN240*BQ240,0))</f>
        <v>0</v>
      </c>
      <c r="DF240" s="117">
        <f>IF(OR(D240&gt;0),IF(BJ240=0,BN240*BY240,0))</f>
        <v>0</v>
      </c>
      <c r="DG240" s="118" t="str">
        <f>BX240</f>
        <v>Pacci</v>
      </c>
      <c r="DH240" s="76"/>
      <c r="DI240" s="120" t="s">
        <v>126</v>
      </c>
      <c r="DJ240" s="120"/>
      <c r="DK240" s="207"/>
      <c r="DL240" s="207"/>
      <c r="DM240" s="248"/>
    </row>
    <row r="241" spans="1:130" ht="34.5" hidden="1" customHeight="1">
      <c r="A241" s="228"/>
      <c r="B241" s="75" t="s">
        <v>1359</v>
      </c>
      <c r="C241" s="155"/>
      <c r="D241" s="75"/>
      <c r="E241" s="75"/>
      <c r="F241" s="75"/>
      <c r="G241" s="400" t="s">
        <v>1449</v>
      </c>
      <c r="H241" s="400" t="s">
        <v>1450</v>
      </c>
      <c r="I241" s="294" t="s">
        <v>1451</v>
      </c>
      <c r="J241" s="155" t="str">
        <f>CONCATENATE(G241," ",H241)</f>
        <v>Alessio Castagno</v>
      </c>
      <c r="K241" s="156">
        <v>3928292230</v>
      </c>
      <c r="L241" s="440" t="s">
        <v>1452</v>
      </c>
      <c r="M241" s="153" t="s">
        <v>1177</v>
      </c>
      <c r="N241" s="160"/>
      <c r="O241" s="402"/>
      <c r="P241" s="315"/>
      <c r="Q241" s="160"/>
      <c r="R241" s="403"/>
      <c r="S241" s="160"/>
      <c r="T241" s="404"/>
      <c r="U241" s="315"/>
      <c r="V241" s="315"/>
      <c r="W241" s="315"/>
      <c r="X241" s="131"/>
      <c r="Y241" s="315"/>
      <c r="Z241" s="315"/>
      <c r="AA241" s="315"/>
      <c r="AB241" s="37"/>
      <c r="AC241" s="131"/>
      <c r="AD241" s="121" t="s">
        <v>1453</v>
      </c>
      <c r="AE241" s="88"/>
      <c r="AF241" s="405"/>
      <c r="AG241" s="406"/>
      <c r="AH241" s="406"/>
      <c r="AI241" s="405"/>
      <c r="AJ241" s="155"/>
      <c r="AK241" s="155"/>
      <c r="AL241" s="155"/>
      <c r="AM241" s="407"/>
      <c r="AN241" s="155"/>
      <c r="AO241" s="155"/>
      <c r="AP241" s="155"/>
      <c r="AQ241" s="85"/>
      <c r="AR241" s="259"/>
      <c r="AS241" s="259"/>
      <c r="AT241" s="3"/>
      <c r="AU241" s="408"/>
      <c r="AV241" s="75"/>
      <c r="AW241" s="121"/>
      <c r="AX241" s="121"/>
      <c r="AY241" s="85"/>
      <c r="AZ241" s="121"/>
      <c r="BA241" s="121"/>
      <c r="BB241" s="121"/>
      <c r="BC241" s="85"/>
      <c r="BD241" s="121" t="s">
        <v>245</v>
      </c>
      <c r="BE241" s="121" t="s">
        <v>245</v>
      </c>
      <c r="BF241" s="121" t="s">
        <v>245</v>
      </c>
      <c r="BG241" s="408"/>
      <c r="BH241" s="238">
        <f>CF241+CI241+CL241+CO241+CR241</f>
        <v>3497.0044262295082</v>
      </c>
      <c r="BI241" s="238">
        <f>CH241+CK241+CN241+CQ241+CT241</f>
        <v>163.9344262295082</v>
      </c>
      <c r="BJ241" s="238">
        <f>BH241-BI241</f>
        <v>3333.07</v>
      </c>
      <c r="BK241" s="239"/>
      <c r="BL241" s="260"/>
      <c r="BM241" s="241"/>
      <c r="BN241" s="142"/>
      <c r="BO241" s="182">
        <v>3497</v>
      </c>
      <c r="BP241" s="105" t="s">
        <v>141</v>
      </c>
      <c r="BQ241" s="98">
        <v>0.15</v>
      </c>
      <c r="BR241" s="409"/>
      <c r="BS241" s="242">
        <f>BL241*BQ241</f>
        <v>0</v>
      </c>
      <c r="BT241" s="203">
        <f>BM241*BQ241</f>
        <v>0</v>
      </c>
      <c r="BU241" s="167">
        <f>BN241*BQ241</f>
        <v>0</v>
      </c>
      <c r="BV241" s="168">
        <f>BO241*BQ241</f>
        <v>524.54999999999995</v>
      </c>
      <c r="BW241" s="131"/>
      <c r="BX241" s="105" t="s">
        <v>141</v>
      </c>
      <c r="BY241" s="145">
        <v>0.05</v>
      </c>
      <c r="BZ241" s="262"/>
      <c r="CA241" s="242">
        <f>BL241*BY241</f>
        <v>0</v>
      </c>
      <c r="CB241" s="101">
        <f>BM241*BY241</f>
        <v>0</v>
      </c>
      <c r="CC241" s="106">
        <f>BN241*BY241</f>
        <v>0</v>
      </c>
      <c r="CD241" s="107">
        <f>BO241*BY241</f>
        <v>174.85000000000002</v>
      </c>
      <c r="CE241" s="411"/>
      <c r="CF241" s="108">
        <f>200/1.22</f>
        <v>163.9344262295082</v>
      </c>
      <c r="CG241" s="109">
        <v>45198</v>
      </c>
      <c r="CH241" s="108">
        <f>200/1.22</f>
        <v>163.9344262295082</v>
      </c>
      <c r="CI241" s="110">
        <f>3497-163.93</f>
        <v>3333.07</v>
      </c>
      <c r="CJ241" s="226">
        <v>45408</v>
      </c>
      <c r="CK241" s="110"/>
      <c r="CL241" s="110"/>
      <c r="CM241" s="226"/>
      <c r="CN241" s="415"/>
      <c r="CO241" s="263"/>
      <c r="CP241" s="263"/>
      <c r="CQ241" s="263"/>
      <c r="CR241" s="263"/>
      <c r="CS241" s="263"/>
      <c r="CT241" s="263"/>
      <c r="CU241" s="90">
        <v>1</v>
      </c>
      <c r="CV241" s="181"/>
      <c r="CW241" s="181"/>
      <c r="CX241" s="181"/>
      <c r="CY241" s="155"/>
      <c r="CZ241" s="121"/>
      <c r="DA241" s="424"/>
      <c r="DB241" s="115" t="str">
        <f>PROPER(N241)</f>
        <v/>
      </c>
      <c r="DC241" s="419"/>
      <c r="DD241" s="116" t="str">
        <f>BP241</f>
        <v>Daniele</v>
      </c>
      <c r="DE241" s="117" t="b">
        <f>IF(OR(D241&gt;0),IF(BJ241=0,BN241*BQ241,0))</f>
        <v>0</v>
      </c>
      <c r="DF241" s="117" t="b">
        <f>IF(OR(D241&gt;0),IF(BJ241=0,BN241*BY241,0))</f>
        <v>0</v>
      </c>
      <c r="DG241" s="118" t="str">
        <f>BX241</f>
        <v>Daniele</v>
      </c>
      <c r="DH241" s="76"/>
      <c r="DI241" s="120" t="s">
        <v>154</v>
      </c>
      <c r="DJ241" s="120"/>
      <c r="DK241" s="74" t="s">
        <v>1366</v>
      </c>
      <c r="DL241" s="74" t="s">
        <v>1366</v>
      </c>
      <c r="DM241" s="122"/>
      <c r="DN241" s="6"/>
      <c r="DO241" s="6"/>
      <c r="DP241" s="6"/>
      <c r="DQ241" s="6"/>
      <c r="DR241" s="6"/>
      <c r="DS241" s="6"/>
      <c r="DT241" s="6"/>
      <c r="DU241" s="6"/>
      <c r="DV241" s="6"/>
      <c r="DW241" s="6"/>
      <c r="DX241" s="6"/>
      <c r="DY241" s="6"/>
      <c r="DZ241" s="6"/>
    </row>
    <row r="242" spans="1:130" ht="34.5" hidden="1" customHeight="1">
      <c r="A242" s="228"/>
      <c r="B242" s="371" t="s">
        <v>1359</v>
      </c>
      <c r="C242" s="155"/>
      <c r="D242" s="75"/>
      <c r="E242" s="75"/>
      <c r="F242" s="75"/>
      <c r="G242" s="400" t="s">
        <v>188</v>
      </c>
      <c r="H242" s="400" t="s">
        <v>1454</v>
      </c>
      <c r="I242" s="294" t="s">
        <v>1455</v>
      </c>
      <c r="J242" s="155" t="str">
        <f>CONCATENATE(G242," ",H242)</f>
        <v>Andrea Aggio</v>
      </c>
      <c r="K242" s="156">
        <v>3484040013</v>
      </c>
      <c r="L242" s="435"/>
      <c r="M242" s="153" t="s">
        <v>1231</v>
      </c>
      <c r="N242" s="160"/>
      <c r="O242" s="402"/>
      <c r="P242" s="315"/>
      <c r="Q242" s="160"/>
      <c r="R242" s="403"/>
      <c r="S242" s="160"/>
      <c r="T242" s="404"/>
      <c r="U242" s="315"/>
      <c r="V242" s="315"/>
      <c r="W242" s="315"/>
      <c r="X242" s="131"/>
      <c r="Y242" s="315"/>
      <c r="Z242" s="315"/>
      <c r="AA242" s="315"/>
      <c r="AB242" s="37"/>
      <c r="AC242" s="131"/>
      <c r="AD242" s="121"/>
      <c r="AE242" s="88"/>
      <c r="AF242" s="405"/>
      <c r="AG242" s="406"/>
      <c r="AH242" s="406"/>
      <c r="AI242" s="405"/>
      <c r="AJ242" s="155"/>
      <c r="AK242" s="155"/>
      <c r="AL242" s="155"/>
      <c r="AM242" s="407"/>
      <c r="AN242" s="155"/>
      <c r="AO242" s="155"/>
      <c r="AP242" s="155"/>
      <c r="AQ242" s="85"/>
      <c r="AR242" s="259"/>
      <c r="AS242" s="259"/>
      <c r="AT242" s="3"/>
      <c r="AU242" s="408"/>
      <c r="AV242" s="75"/>
      <c r="AW242" s="121"/>
      <c r="AX242" s="121"/>
      <c r="AY242" s="85"/>
      <c r="AZ242" s="121"/>
      <c r="BA242" s="121"/>
      <c r="BB242" s="121"/>
      <c r="BC242" s="85"/>
      <c r="BD242" s="121" t="s">
        <v>151</v>
      </c>
      <c r="BE242" s="121" t="s">
        <v>151</v>
      </c>
      <c r="BF242" s="121" t="s">
        <v>151</v>
      </c>
      <c r="BG242" s="408"/>
      <c r="BH242" s="238">
        <f>CF242+CI242+CL242+CO242+CR242</f>
        <v>0</v>
      </c>
      <c r="BI242" s="238">
        <f>CH242+CK242+CN242+CQ242+CT242</f>
        <v>0</v>
      </c>
      <c r="BJ242" s="238">
        <f>BH242-BI242</f>
        <v>0</v>
      </c>
      <c r="BK242" s="239"/>
      <c r="BL242" s="260"/>
      <c r="BM242" s="241"/>
      <c r="BN242" s="142"/>
      <c r="BO242" s="182"/>
      <c r="BP242" s="441" t="s">
        <v>160</v>
      </c>
      <c r="BQ242" s="145"/>
      <c r="BR242" s="409"/>
      <c r="BS242" s="242">
        <f>BL242*BQ242</f>
        <v>0</v>
      </c>
      <c r="BT242" s="203">
        <f>BM242*BQ242</f>
        <v>0</v>
      </c>
      <c r="BU242" s="167">
        <f>BN242*BQ242</f>
        <v>0</v>
      </c>
      <c r="BV242" s="168">
        <f>BO242*BQ242</f>
        <v>0</v>
      </c>
      <c r="BW242" s="131"/>
      <c r="BX242" s="441" t="s">
        <v>160</v>
      </c>
      <c r="BY242" s="145"/>
      <c r="BZ242" s="262"/>
      <c r="CA242" s="242">
        <f>BL242*BY242</f>
        <v>0</v>
      </c>
      <c r="CB242" s="101">
        <f>BM242*BY242</f>
        <v>0</v>
      </c>
      <c r="CC242" s="106">
        <f>BN242*BY242</f>
        <v>0</v>
      </c>
      <c r="CD242" s="107">
        <f>BO242*BY242</f>
        <v>0</v>
      </c>
      <c r="CE242" s="411"/>
      <c r="CF242" s="108">
        <v>0</v>
      </c>
      <c r="CG242" s="130" t="s">
        <v>153</v>
      </c>
      <c r="CH242" s="301"/>
      <c r="CI242" s="110"/>
      <c r="CJ242" s="226"/>
      <c r="CK242" s="110"/>
      <c r="CL242" s="110"/>
      <c r="CM242" s="226"/>
      <c r="CN242" s="415"/>
      <c r="CO242" s="263"/>
      <c r="CP242" s="263"/>
      <c r="CQ242" s="263"/>
      <c r="CR242" s="263"/>
      <c r="CS242" s="263"/>
      <c r="CT242" s="263"/>
      <c r="CU242" s="90">
        <v>1</v>
      </c>
      <c r="CV242" s="181"/>
      <c r="CW242" s="181"/>
      <c r="CX242" s="181"/>
      <c r="CY242" s="155"/>
      <c r="CZ242" s="121"/>
      <c r="DA242" s="424" t="s">
        <v>1456</v>
      </c>
      <c r="DB242" s="115" t="str">
        <f>PROPER(N242)</f>
        <v/>
      </c>
      <c r="DC242" s="419" t="s">
        <v>779</v>
      </c>
      <c r="DD242" s="116" t="str">
        <f>BP242</f>
        <v>Gianluca</v>
      </c>
      <c r="DE242" s="117" t="b">
        <f>IF(OR(D242&gt;0),IF(BJ242=0,BN242*BQ242,0))</f>
        <v>0</v>
      </c>
      <c r="DF242" s="117" t="b">
        <f>IF(OR(D242&gt;0),IF(BJ242=0,BN242*BY242,0))</f>
        <v>0</v>
      </c>
      <c r="DG242" s="118" t="str">
        <f>BX242</f>
        <v>Gianluca</v>
      </c>
      <c r="DH242" s="76"/>
      <c r="DI242" s="120" t="s">
        <v>154</v>
      </c>
      <c r="DJ242" s="120"/>
      <c r="DK242" s="74" t="s">
        <v>1418</v>
      </c>
      <c r="DL242" s="74" t="s">
        <v>1418</v>
      </c>
      <c r="DM242" s="122"/>
      <c r="DN242" s="6"/>
      <c r="DO242" s="6"/>
      <c r="DP242" s="6"/>
      <c r="DQ242" s="6"/>
      <c r="DR242" s="6"/>
      <c r="DS242" s="6"/>
      <c r="DT242" s="6"/>
      <c r="DU242" s="6"/>
      <c r="DV242" s="6"/>
      <c r="DW242" s="6"/>
      <c r="DX242" s="6"/>
      <c r="DY242" s="6"/>
      <c r="DZ242" s="6"/>
    </row>
    <row r="243" spans="1:130" ht="34.5" hidden="1" customHeight="1">
      <c r="A243" s="3"/>
      <c r="B243" s="75" t="s">
        <v>108</v>
      </c>
      <c r="C243" s="121"/>
      <c r="D243" s="75">
        <v>1</v>
      </c>
      <c r="E243" s="75">
        <v>1</v>
      </c>
      <c r="F243" s="75"/>
      <c r="G243" s="79" t="s">
        <v>216</v>
      </c>
      <c r="H243" s="79" t="s">
        <v>588</v>
      </c>
      <c r="I243" s="131" t="s">
        <v>589</v>
      </c>
      <c r="J243" s="121" t="str">
        <f>CONCATENATE(G243," ",H243)</f>
        <v>Giulia Gremasi</v>
      </c>
      <c r="K243" s="156">
        <v>3939213196</v>
      </c>
      <c r="L243" s="157"/>
      <c r="M243" s="1887" t="s">
        <v>590</v>
      </c>
      <c r="N243" s="160" t="s">
        <v>591</v>
      </c>
      <c r="O243" s="407"/>
      <c r="P243" s="1941"/>
      <c r="Q243" s="86"/>
      <c r="R243" s="86"/>
      <c r="S243" s="86"/>
      <c r="T243" s="1953"/>
      <c r="U243" s="1941"/>
      <c r="V243" s="1941"/>
      <c r="W243" s="1941"/>
      <c r="X243" s="86"/>
      <c r="Y243" s="1960"/>
      <c r="Z243" s="1941"/>
      <c r="AA243" s="1941"/>
      <c r="AB243" s="86"/>
      <c r="AC243" s="86"/>
      <c r="AD243" s="86" t="s">
        <v>592</v>
      </c>
      <c r="AE243" s="88">
        <f>L243</f>
        <v>0</v>
      </c>
      <c r="AF243" s="407"/>
      <c r="AG243" s="121"/>
      <c r="AH243" s="121"/>
      <c r="AI243" s="407"/>
      <c r="AJ243" s="121"/>
      <c r="AK243" s="121"/>
      <c r="AL243" s="121"/>
      <c r="AM243" s="407"/>
      <c r="AN243" s="155"/>
      <c r="AO243" s="155"/>
      <c r="AP243" s="155"/>
      <c r="AQ243" s="1982"/>
      <c r="AR243" s="259"/>
      <c r="AS243" s="259"/>
      <c r="AT243" s="1987"/>
      <c r="AU243" s="408"/>
      <c r="AV243" s="75"/>
      <c r="AW243" s="121"/>
      <c r="AX243" s="121"/>
      <c r="AY243" s="1982"/>
      <c r="AZ243" s="121" t="s">
        <v>115</v>
      </c>
      <c r="BA243" s="121" t="s">
        <v>115</v>
      </c>
      <c r="BB243" s="135" t="s">
        <v>115</v>
      </c>
      <c r="BC243" s="1982"/>
      <c r="BD243" s="121"/>
      <c r="BE243" s="121"/>
      <c r="BF243" s="121"/>
      <c r="BG243" s="408"/>
      <c r="BH243" s="238">
        <f>CF243+CI243+CL243+CO243+CR243</f>
        <v>2997</v>
      </c>
      <c r="BI243" s="238">
        <f>CH243+CK243+CN243+CQ243+CT243</f>
        <v>2997</v>
      </c>
      <c r="BJ243" s="238">
        <f>BH243-BI243</f>
        <v>0</v>
      </c>
      <c r="BK243" s="199"/>
      <c r="BL243" s="200"/>
      <c r="BM243" s="241"/>
      <c r="BN243" s="142">
        <v>2997</v>
      </c>
      <c r="BO243" s="182"/>
      <c r="BP243" s="281" t="s">
        <v>160</v>
      </c>
      <c r="BQ243" s="98">
        <v>0.15</v>
      </c>
      <c r="BR243" s="2057"/>
      <c r="BS243" s="202"/>
      <c r="BT243" s="203">
        <f>BM243*BQ243</f>
        <v>0</v>
      </c>
      <c r="BU243" s="167">
        <f>BN243*BQ243</f>
        <v>449.55</v>
      </c>
      <c r="BV243" s="168">
        <f>BO243*BQ243</f>
        <v>0</v>
      </c>
      <c r="BW243" s="160" t="s">
        <v>185</v>
      </c>
      <c r="BX243" s="105" t="s">
        <v>160</v>
      </c>
      <c r="BY243" s="98">
        <v>0.05</v>
      </c>
      <c r="BZ243" s="2058"/>
      <c r="CA243" s="202"/>
      <c r="CB243" s="101">
        <f>BM243*BY243</f>
        <v>0</v>
      </c>
      <c r="CC243" s="106">
        <f>BN243*BY243</f>
        <v>149.85</v>
      </c>
      <c r="CD243" s="107">
        <f>BO243*BY243</f>
        <v>0</v>
      </c>
      <c r="CE243" s="160" t="s">
        <v>185</v>
      </c>
      <c r="CF243" s="108">
        <v>2997</v>
      </c>
      <c r="CG243" s="109">
        <v>45009</v>
      </c>
      <c r="CH243" s="108">
        <v>2997</v>
      </c>
      <c r="CI243" s="110"/>
      <c r="CJ243" s="226"/>
      <c r="CK243" s="206"/>
      <c r="CL243" s="206"/>
      <c r="CM243" s="226"/>
      <c r="CN243" s="206"/>
      <c r="CO243" s="206"/>
      <c r="CP243" s="206"/>
      <c r="CQ243" s="206"/>
      <c r="CR243" s="206"/>
      <c r="CS243" s="206"/>
      <c r="CT243" s="206"/>
      <c r="CU243" s="90">
        <v>1</v>
      </c>
      <c r="CV243" s="181" t="s">
        <v>121</v>
      </c>
      <c r="CW243" s="181"/>
      <c r="CX243" s="207"/>
      <c r="CY243" s="155" t="s">
        <v>122</v>
      </c>
      <c r="CZ243" s="155"/>
      <c r="DA243" s="384" t="s">
        <v>593</v>
      </c>
      <c r="DB243" s="115" t="str">
        <f>PROPER(N243)</f>
        <v>Vielle Acustica</v>
      </c>
      <c r="DC243" s="191" t="s">
        <v>594</v>
      </c>
      <c r="DD243" s="116" t="str">
        <f>BP243</f>
        <v>Gianluca</v>
      </c>
      <c r="DE243" s="117">
        <f>IF(OR(D243&gt;0),IF(BJ243=0,BN243*BQ243,0))</f>
        <v>449.55</v>
      </c>
      <c r="DF243" s="117">
        <f>IF(OR(D243&gt;0),IF(BJ243=0,BN243*BY243,0))</f>
        <v>149.85</v>
      </c>
      <c r="DG243" s="116" t="str">
        <f>BX243</f>
        <v>Gianluca</v>
      </c>
      <c r="DH243" s="76"/>
      <c r="DI243" s="120" t="s">
        <v>126</v>
      </c>
      <c r="DJ243" s="120"/>
      <c r="DK243" s="121"/>
      <c r="DL243" s="121"/>
      <c r="DM243" s="122">
        <v>1</v>
      </c>
      <c r="DN243" s="6"/>
      <c r="DO243" s="6"/>
      <c r="DP243" s="6"/>
      <c r="DQ243" s="6"/>
      <c r="DR243" s="6"/>
      <c r="DS243" s="6"/>
      <c r="DT243" s="6"/>
      <c r="DU243" s="6"/>
      <c r="DV243" s="6"/>
      <c r="DW243" s="6"/>
      <c r="DX243" s="6"/>
      <c r="DY243" s="6"/>
      <c r="DZ243" s="6"/>
    </row>
    <row r="244" spans="1:130" ht="34.5" hidden="1" customHeight="1">
      <c r="A244" s="228"/>
      <c r="B244" s="75" t="s">
        <v>1359</v>
      </c>
      <c r="C244" s="155"/>
      <c r="D244" s="75"/>
      <c r="E244" s="75"/>
      <c r="F244" s="75"/>
      <c r="G244" s="400" t="s">
        <v>321</v>
      </c>
      <c r="H244" s="400" t="s">
        <v>1464</v>
      </c>
      <c r="I244" s="207" t="s">
        <v>1465</v>
      </c>
      <c r="J244" s="155" t="str">
        <f>CONCATENATE(G244," ",H244)</f>
        <v>Davide Zecchino</v>
      </c>
      <c r="K244" s="156">
        <v>3382312949</v>
      </c>
      <c r="L244" s="442" t="s">
        <v>1466</v>
      </c>
      <c r="M244" s="153" t="s">
        <v>514</v>
      </c>
      <c r="N244" s="160" t="s">
        <v>1461</v>
      </c>
      <c r="O244" s="402"/>
      <c r="P244" s="315"/>
      <c r="Q244" s="160"/>
      <c r="R244" s="403"/>
      <c r="S244" s="160"/>
      <c r="T244" s="404"/>
      <c r="U244" s="315"/>
      <c r="V244" s="315"/>
      <c r="W244" s="315"/>
      <c r="X244" s="131"/>
      <c r="Y244" s="315"/>
      <c r="Z244" s="315"/>
      <c r="AA244" s="315"/>
      <c r="AB244" s="37"/>
      <c r="AC244" s="131"/>
      <c r="AD244" s="121"/>
      <c r="AE244" s="88"/>
      <c r="AF244" s="405"/>
      <c r="AG244" s="406"/>
      <c r="AH244" s="406"/>
      <c r="AI244" s="405"/>
      <c r="AJ244" s="155"/>
      <c r="AK244" s="155"/>
      <c r="AL244" s="155"/>
      <c r="AM244" s="407"/>
      <c r="AN244" s="155"/>
      <c r="AO244" s="155"/>
      <c r="AP244" s="155"/>
      <c r="AQ244" s="85"/>
      <c r="AR244" s="259"/>
      <c r="AS244" s="259"/>
      <c r="AT244" s="3"/>
      <c r="AU244" s="408"/>
      <c r="AV244" s="75"/>
      <c r="AW244" s="121"/>
      <c r="AX244" s="121"/>
      <c r="AY244" s="85"/>
      <c r="AZ244" s="444" t="s">
        <v>165</v>
      </c>
      <c r="BA244" s="444" t="s">
        <v>165</v>
      </c>
      <c r="BB244" s="444" t="s">
        <v>165</v>
      </c>
      <c r="BC244" s="85"/>
      <c r="BD244" s="121"/>
      <c r="BE244" s="121"/>
      <c r="BF244" s="121"/>
      <c r="BG244" s="408"/>
      <c r="BH244" s="238">
        <f>CF244+CI244+CL244+CO244+CR244</f>
        <v>0</v>
      </c>
      <c r="BI244" s="238">
        <f>CH244+CK244+CN244+CQ244+CT244</f>
        <v>0</v>
      </c>
      <c r="BJ244" s="238">
        <f>BH244-BI244</f>
        <v>0</v>
      </c>
      <c r="BK244" s="239"/>
      <c r="BL244" s="260"/>
      <c r="BM244" s="241"/>
      <c r="BN244" s="142"/>
      <c r="BO244" s="182"/>
      <c r="BP244" s="105" t="s">
        <v>690</v>
      </c>
      <c r="BQ244" s="98">
        <v>0.15</v>
      </c>
      <c r="BR244" s="409"/>
      <c r="BS244" s="242">
        <f>BL244*BQ244</f>
        <v>0</v>
      </c>
      <c r="BT244" s="203">
        <f>BM244*BQ244</f>
        <v>0</v>
      </c>
      <c r="BU244" s="167">
        <f>BN244*BQ244</f>
        <v>0</v>
      </c>
      <c r="BV244" s="168">
        <f>BO244*BQ244</f>
        <v>0</v>
      </c>
      <c r="BW244" s="131"/>
      <c r="BX244" s="105" t="s">
        <v>262</v>
      </c>
      <c r="BY244" s="145">
        <v>0.05</v>
      </c>
      <c r="BZ244" s="262"/>
      <c r="CA244" s="242">
        <f>BL244*BY244</f>
        <v>0</v>
      </c>
      <c r="CB244" s="101">
        <f>BM244*BY244</f>
        <v>0</v>
      </c>
      <c r="CC244" s="106">
        <f>BN244*BY244</f>
        <v>0</v>
      </c>
      <c r="CD244" s="107">
        <f>BO244*BY244</f>
        <v>0</v>
      </c>
      <c r="CE244" s="411"/>
      <c r="CF244" s="108">
        <v>0</v>
      </c>
      <c r="CG244" s="130" t="s">
        <v>153</v>
      </c>
      <c r="CH244" s="414"/>
      <c r="CI244" s="415"/>
      <c r="CJ244" s="416"/>
      <c r="CK244" s="415"/>
      <c r="CL244" s="415"/>
      <c r="CM244" s="416"/>
      <c r="CN244" s="415"/>
      <c r="CO244" s="263"/>
      <c r="CP244" s="263"/>
      <c r="CQ244" s="263"/>
      <c r="CR244" s="263"/>
      <c r="CS244" s="263"/>
      <c r="CT244" s="263"/>
      <c r="CU244" s="90">
        <v>1</v>
      </c>
      <c r="CV244" s="181"/>
      <c r="CW244" s="181"/>
      <c r="CX244" s="181"/>
      <c r="CY244" s="155"/>
      <c r="CZ244" s="121"/>
      <c r="DA244" s="428" t="s">
        <v>501</v>
      </c>
      <c r="DB244" s="115" t="str">
        <f>PROPER(N244)</f>
        <v>Forgia Rapida</v>
      </c>
      <c r="DC244" s="280" t="s">
        <v>1463</v>
      </c>
      <c r="DD244" s="116" t="str">
        <f>BP244</f>
        <v>MAW</v>
      </c>
      <c r="DE244" s="117" t="b">
        <f>IF(OR(D244&gt;0),IF(BJ244=0,BN244*BQ244,0))</f>
        <v>0</v>
      </c>
      <c r="DF244" s="117" t="b">
        <f>IF(OR(D244&gt;0),IF(BJ244=0,BN244*BY244,0))</f>
        <v>0</v>
      </c>
      <c r="DG244" s="118" t="str">
        <f>BX244</f>
        <v>Pacci</v>
      </c>
      <c r="DH244" s="76"/>
      <c r="DI244" s="120" t="s">
        <v>154</v>
      </c>
      <c r="DJ244" s="120"/>
      <c r="DK244" s="74" t="s">
        <v>1418</v>
      </c>
      <c r="DL244" s="74" t="s">
        <v>1418</v>
      </c>
      <c r="DM244" s="122"/>
      <c r="DN244" s="6"/>
      <c r="DO244" s="6"/>
      <c r="DP244" s="6"/>
      <c r="DQ244" s="6"/>
      <c r="DR244" s="6"/>
      <c r="DS244" s="6"/>
      <c r="DT244" s="6"/>
      <c r="DU244" s="6"/>
      <c r="DV244" s="6"/>
      <c r="DW244" s="6"/>
      <c r="DX244" s="6"/>
      <c r="DY244" s="6"/>
      <c r="DZ244" s="6"/>
    </row>
    <row r="245" spans="1:130" ht="34.5" hidden="1" customHeight="1">
      <c r="A245" s="228"/>
      <c r="B245" s="75" t="s">
        <v>1139</v>
      </c>
      <c r="C245" s="155"/>
      <c r="D245" s="75">
        <v>1</v>
      </c>
      <c r="E245" s="119">
        <v>1</v>
      </c>
      <c r="F245" s="148"/>
      <c r="G245" s="181" t="s">
        <v>216</v>
      </c>
      <c r="H245" s="181" t="s">
        <v>1228</v>
      </c>
      <c r="I245" s="207" t="s">
        <v>1229</v>
      </c>
      <c r="J245" s="121" t="str">
        <f>CONCATENATE(G245," ",H245)</f>
        <v>Giulia Magnani</v>
      </c>
      <c r="K245" s="156">
        <v>3485922824</v>
      </c>
      <c r="L245" s="160" t="s">
        <v>1230</v>
      </c>
      <c r="M245" s="917" t="s">
        <v>1231</v>
      </c>
      <c r="N245" s="393"/>
      <c r="O245" s="250"/>
      <c r="P245" s="251"/>
      <c r="Q245" s="131"/>
      <c r="R245" s="252"/>
      <c r="S245" s="254"/>
      <c r="T245" s="346"/>
      <c r="U245" s="253"/>
      <c r="V245" s="253"/>
      <c r="W245" s="251"/>
      <c r="X245" s="131"/>
      <c r="Y245" s="251"/>
      <c r="Z245" s="251"/>
      <c r="AA245" s="251"/>
      <c r="AB245" s="255"/>
      <c r="AC245" s="256"/>
      <c r="AD245" s="121" t="s">
        <v>1232</v>
      </c>
      <c r="AE245" s="138" t="str">
        <f>L245</f>
        <v xml:space="preserve">CONFERMATO PRESENZA AL MIV 24/9 ORE 12,11 </v>
      </c>
      <c r="AF245" s="407"/>
      <c r="AG245" s="155"/>
      <c r="AH245" s="155"/>
      <c r="AI245" s="407"/>
      <c r="AJ245" s="155"/>
      <c r="AK245" s="155"/>
      <c r="AL245" s="155"/>
      <c r="AM245" s="407"/>
      <c r="AN245" s="258"/>
      <c r="AO245" s="258"/>
      <c r="AP245" s="258"/>
      <c r="AQ245" s="1982"/>
      <c r="AR245" s="121"/>
      <c r="AS245" s="121"/>
      <c r="AT245" s="121"/>
      <c r="AU245" s="408"/>
      <c r="AV245" s="121" t="s">
        <v>115</v>
      </c>
      <c r="AW245" s="121" t="s">
        <v>115</v>
      </c>
      <c r="AX245" s="121" t="s">
        <v>115</v>
      </c>
      <c r="AY245" s="1982"/>
      <c r="AZ245" s="121" t="s">
        <v>116</v>
      </c>
      <c r="BA245" s="121" t="s">
        <v>116</v>
      </c>
      <c r="BB245" s="162" t="s">
        <v>116</v>
      </c>
      <c r="BC245" s="1982"/>
      <c r="BD245" s="121"/>
      <c r="BE245" s="121"/>
      <c r="BF245" s="121"/>
      <c r="BG245" s="408"/>
      <c r="BH245" s="238"/>
      <c r="BI245" s="238"/>
      <c r="BJ245" s="238"/>
      <c r="BK245" s="239"/>
      <c r="BL245" s="260"/>
      <c r="BM245" s="241">
        <v>2997</v>
      </c>
      <c r="BN245" s="273"/>
      <c r="BO245" s="274"/>
      <c r="BP245" s="2047" t="s">
        <v>117</v>
      </c>
      <c r="BQ245" s="98">
        <v>0</v>
      </c>
      <c r="BR245" s="409"/>
      <c r="BS245" s="242">
        <f>BL245*BQ245</f>
        <v>0</v>
      </c>
      <c r="BT245" s="203">
        <f>BM245*BQ245</f>
        <v>0</v>
      </c>
      <c r="BU245" s="167">
        <f>BN245*BQ245</f>
        <v>0</v>
      </c>
      <c r="BV245" s="168">
        <f>BO245*BQ245</f>
        <v>0</v>
      </c>
      <c r="BW245" s="398" t="s">
        <v>118</v>
      </c>
      <c r="BX245" s="105" t="s">
        <v>152</v>
      </c>
      <c r="BY245" s="145">
        <v>0.05</v>
      </c>
      <c r="BZ245" s="262"/>
      <c r="CA245" s="242">
        <f>BL245*BY245</f>
        <v>0</v>
      </c>
      <c r="CB245" s="101">
        <f>BM245*BY245</f>
        <v>149.85</v>
      </c>
      <c r="CC245" s="106">
        <f>BN245*BY245</f>
        <v>0</v>
      </c>
      <c r="CD245" s="107">
        <f>BO245*BY245</f>
        <v>0</v>
      </c>
      <c r="CE245" s="155" t="s">
        <v>120</v>
      </c>
      <c r="CF245" s="108">
        <f>200/1.22</f>
        <v>163.9344262295082</v>
      </c>
      <c r="CG245" s="109">
        <v>44834</v>
      </c>
      <c r="CH245" s="108">
        <f>200/1.22</f>
        <v>163.9344262295082</v>
      </c>
      <c r="CI245" s="110">
        <f>2997-CF245</f>
        <v>2833.0655737704919</v>
      </c>
      <c r="CJ245" s="226">
        <v>45044</v>
      </c>
      <c r="CK245" s="110">
        <f>CI245+CL245</f>
        <v>2833.0655737704919</v>
      </c>
      <c r="CL245" s="110"/>
      <c r="CM245" s="348"/>
      <c r="CN245" s="110"/>
      <c r="CO245" s="110"/>
      <c r="CP245" s="226"/>
      <c r="CQ245" s="110"/>
      <c r="CR245" s="110"/>
      <c r="CS245" s="226"/>
      <c r="CT245" s="110"/>
      <c r="CU245" s="90">
        <v>1</v>
      </c>
      <c r="CV245" s="181" t="s">
        <v>1123</v>
      </c>
      <c r="CW245" s="112"/>
      <c r="CX245" s="1832"/>
      <c r="CY245" s="155" t="s">
        <v>215</v>
      </c>
      <c r="CZ245" s="155"/>
      <c r="DA245" s="208" t="s">
        <v>1233</v>
      </c>
      <c r="DB245" s="115" t="str">
        <f>PROPER(N245)</f>
        <v/>
      </c>
      <c r="DC245" s="191" t="s">
        <v>1234</v>
      </c>
      <c r="DD245" s="116" t="str">
        <f>BP245</f>
        <v>blackship</v>
      </c>
      <c r="DE245" s="117">
        <f>IF(OR(D245&gt;0),IF(BJ245=0,BN245*BQ245,0))</f>
        <v>0</v>
      </c>
      <c r="DF245" s="117">
        <f>IF(OR(D245&gt;0),IF(BJ245=0,BN245*BY245,0))</f>
        <v>0</v>
      </c>
      <c r="DG245" s="118" t="str">
        <f>BX245</f>
        <v>Client Angel</v>
      </c>
      <c r="DH245" s="76"/>
      <c r="DI245" s="120" t="s">
        <v>126</v>
      </c>
      <c r="DJ245" s="120"/>
      <c r="DK245" s="207"/>
      <c r="DL245" s="207"/>
      <c r="DM245" s="264"/>
      <c r="DN245" s="265"/>
      <c r="DO245" s="265"/>
      <c r="DP245" s="265"/>
      <c r="DQ245" s="265"/>
      <c r="DR245" s="265"/>
      <c r="DS245" s="265"/>
      <c r="DT245" s="265"/>
      <c r="DU245" s="265"/>
      <c r="DV245" s="265"/>
      <c r="DW245" s="265"/>
      <c r="DX245" s="265"/>
      <c r="DY245" s="265"/>
      <c r="DZ245" s="265"/>
    </row>
    <row r="246" spans="1:130" ht="34.5" hidden="1" customHeight="1">
      <c r="A246" s="228"/>
      <c r="B246" s="75" t="s">
        <v>1359</v>
      </c>
      <c r="C246" s="155"/>
      <c r="D246" s="75"/>
      <c r="E246" s="75"/>
      <c r="F246" s="75"/>
      <c r="G246" s="400" t="s">
        <v>822</v>
      </c>
      <c r="H246" s="400" t="s">
        <v>1471</v>
      </c>
      <c r="I246" s="207" t="s">
        <v>1472</v>
      </c>
      <c r="J246" s="155" t="str">
        <f>CONCATENATE(G246," ",H246)</f>
        <v>Roberto Drago</v>
      </c>
      <c r="K246" s="156">
        <v>3351245121</v>
      </c>
      <c r="L246" s="442" t="s">
        <v>1466</v>
      </c>
      <c r="M246" s="153" t="s">
        <v>514</v>
      </c>
      <c r="N246" s="160" t="s">
        <v>1461</v>
      </c>
      <c r="O246" s="402"/>
      <c r="P246" s="315"/>
      <c r="Q246" s="160"/>
      <c r="R246" s="403"/>
      <c r="S246" s="160"/>
      <c r="T246" s="404"/>
      <c r="U246" s="315"/>
      <c r="V246" s="315"/>
      <c r="W246" s="315"/>
      <c r="X246" s="131"/>
      <c r="Y246" s="315"/>
      <c r="Z246" s="315"/>
      <c r="AA246" s="315"/>
      <c r="AB246" s="37"/>
      <c r="AC246" s="131"/>
      <c r="AD246" s="121"/>
      <c r="AE246" s="88"/>
      <c r="AF246" s="405"/>
      <c r="AG246" s="406"/>
      <c r="AH246" s="406"/>
      <c r="AI246" s="405"/>
      <c r="AJ246" s="155"/>
      <c r="AK246" s="155"/>
      <c r="AL246" s="155"/>
      <c r="AM246" s="407"/>
      <c r="AN246" s="155"/>
      <c r="AO246" s="155"/>
      <c r="AP246" s="155"/>
      <c r="AQ246" s="85"/>
      <c r="AR246" s="121"/>
      <c r="AS246" s="121"/>
      <c r="AT246" s="121"/>
      <c r="AU246" s="408"/>
      <c r="AV246" s="121"/>
      <c r="AW246" s="121"/>
      <c r="AX246" s="121"/>
      <c r="AY246" s="85"/>
      <c r="AZ246" s="444" t="s">
        <v>165</v>
      </c>
      <c r="BA246" s="444" t="s">
        <v>165</v>
      </c>
      <c r="BB246" s="444" t="s">
        <v>165</v>
      </c>
      <c r="BC246" s="85"/>
      <c r="BD246" s="121"/>
      <c r="BE246" s="121"/>
      <c r="BF246" s="121"/>
      <c r="BG246" s="408"/>
      <c r="BH246" s="238">
        <f>CF246+CI246+CL246+CO246+CR246</f>
        <v>0</v>
      </c>
      <c r="BI246" s="238">
        <f>CH246+CK246+CN246+CQ246+CT246</f>
        <v>0</v>
      </c>
      <c r="BJ246" s="238">
        <f>BH246-BI246</f>
        <v>0</v>
      </c>
      <c r="BK246" s="239"/>
      <c r="BL246" s="260"/>
      <c r="BM246" s="241"/>
      <c r="BN246" s="142"/>
      <c r="BO246" s="182"/>
      <c r="BP246" s="105" t="s">
        <v>690</v>
      </c>
      <c r="BQ246" s="98">
        <v>0.15</v>
      </c>
      <c r="BR246" s="409"/>
      <c r="BS246" s="242">
        <f>BL246*BQ246</f>
        <v>0</v>
      </c>
      <c r="BT246" s="203">
        <f>BM246*BQ246</f>
        <v>0</v>
      </c>
      <c r="BU246" s="167">
        <f>BN246*BQ246</f>
        <v>0</v>
      </c>
      <c r="BV246" s="168">
        <f>BO246*BQ246</f>
        <v>0</v>
      </c>
      <c r="BW246" s="131"/>
      <c r="BX246" s="105" t="s">
        <v>262</v>
      </c>
      <c r="BY246" s="145">
        <v>0.05</v>
      </c>
      <c r="BZ246" s="262"/>
      <c r="CA246" s="242">
        <f>BL246*BY246</f>
        <v>0</v>
      </c>
      <c r="CB246" s="101">
        <f>BM246*BY246</f>
        <v>0</v>
      </c>
      <c r="CC246" s="106">
        <f>BN246*BY246</f>
        <v>0</v>
      </c>
      <c r="CD246" s="107">
        <f>BO246*BY246</f>
        <v>0</v>
      </c>
      <c r="CE246" s="411"/>
      <c r="CF246" s="108">
        <v>0</v>
      </c>
      <c r="CG246" s="130" t="s">
        <v>153</v>
      </c>
      <c r="CH246" s="414"/>
      <c r="CI246" s="415"/>
      <c r="CJ246" s="416"/>
      <c r="CK246" s="415"/>
      <c r="CL246" s="415"/>
      <c r="CM246" s="416"/>
      <c r="CN246" s="415"/>
      <c r="CO246" s="263"/>
      <c r="CP246" s="263"/>
      <c r="CQ246" s="263"/>
      <c r="CR246" s="263"/>
      <c r="CS246" s="263"/>
      <c r="CT246" s="263"/>
      <c r="CU246" s="90">
        <v>1</v>
      </c>
      <c r="CV246" s="181"/>
      <c r="CW246" s="438"/>
      <c r="CX246" s="439"/>
      <c r="CY246" s="155"/>
      <c r="CZ246" s="121"/>
      <c r="DA246" s="428" t="s">
        <v>501</v>
      </c>
      <c r="DB246" s="115" t="str">
        <f>PROPER(N246)</f>
        <v>Forgia Rapida</v>
      </c>
      <c r="DC246" s="280" t="s">
        <v>1463</v>
      </c>
      <c r="DD246" s="116" t="str">
        <f>BP246</f>
        <v>MAW</v>
      </c>
      <c r="DE246" s="117" t="b">
        <f>IF(OR(D246&gt;0),IF(BJ246=0,BN246*BQ246,0))</f>
        <v>0</v>
      </c>
      <c r="DF246" s="117" t="b">
        <f>IF(OR(D246&gt;0),IF(BJ246=0,BN246*BY246,0))</f>
        <v>0</v>
      </c>
      <c r="DG246" s="118" t="str">
        <f>BX246</f>
        <v>Pacci</v>
      </c>
      <c r="DH246" s="76"/>
      <c r="DI246" s="120" t="s">
        <v>154</v>
      </c>
      <c r="DJ246" s="120"/>
      <c r="DK246" s="74" t="s">
        <v>1418</v>
      </c>
      <c r="DL246" s="74" t="s">
        <v>1418</v>
      </c>
      <c r="DM246" s="122"/>
      <c r="DN246" s="6"/>
      <c r="DO246" s="6"/>
      <c r="DP246" s="6"/>
      <c r="DQ246" s="6"/>
      <c r="DR246" s="6"/>
      <c r="DS246" s="6"/>
      <c r="DT246" s="6"/>
      <c r="DU246" s="6"/>
      <c r="DV246" s="6"/>
      <c r="DW246" s="6"/>
      <c r="DX246" s="6"/>
      <c r="DY246" s="6"/>
      <c r="DZ246" s="6"/>
    </row>
    <row r="247" spans="1:130" ht="34.5" hidden="1" customHeight="1">
      <c r="A247" s="228"/>
      <c r="B247" s="75" t="s">
        <v>1359</v>
      </c>
      <c r="C247" s="155"/>
      <c r="D247" s="75"/>
      <c r="E247" s="75">
        <v>1</v>
      </c>
      <c r="F247" s="75"/>
      <c r="G247" s="400" t="s">
        <v>1822</v>
      </c>
      <c r="H247" s="400" t="s">
        <v>2060</v>
      </c>
      <c r="I247" s="479" t="s">
        <v>2061</v>
      </c>
      <c r="J247" s="121" t="str">
        <f>CONCATENATE(G247," ",H247)</f>
        <v>Giulio Bonotto</v>
      </c>
      <c r="K247" s="156"/>
      <c r="L247" s="435"/>
      <c r="M247" s="153"/>
      <c r="N247" s="160" t="s">
        <v>2062</v>
      </c>
      <c r="O247" s="402"/>
      <c r="P247" s="315"/>
      <c r="Q247" s="160"/>
      <c r="R247" s="403"/>
      <c r="S247" s="160"/>
      <c r="T247" s="404"/>
      <c r="U247" s="315"/>
      <c r="V247" s="315"/>
      <c r="W247" s="315"/>
      <c r="X247" s="131"/>
      <c r="Y247" s="315"/>
      <c r="Z247" s="315"/>
      <c r="AA247" s="315"/>
      <c r="AB247" s="37"/>
      <c r="AC247" s="131"/>
      <c r="AD247" s="121" t="s">
        <v>2063</v>
      </c>
      <c r="AE247" s="88"/>
      <c r="AF247" s="405"/>
      <c r="AG247" s="406"/>
      <c r="AH247" s="406"/>
      <c r="AI247" s="405"/>
      <c r="AJ247" s="155"/>
      <c r="AK247" s="155"/>
      <c r="AL247" s="155"/>
      <c r="AM247" s="407"/>
      <c r="AN247" s="155"/>
      <c r="AO247" s="155"/>
      <c r="AP247" s="155"/>
      <c r="AQ247" s="85"/>
      <c r="AR247" s="121"/>
      <c r="AS247" s="121"/>
      <c r="AT247" s="121"/>
      <c r="AU247" s="408"/>
      <c r="AV247" s="121"/>
      <c r="AW247" s="121"/>
      <c r="AX247" s="121"/>
      <c r="AY247" s="85"/>
      <c r="AZ247" s="121"/>
      <c r="BA247" s="121" t="s">
        <v>115</v>
      </c>
      <c r="BB247" s="135" t="s">
        <v>115</v>
      </c>
      <c r="BC247" s="85"/>
      <c r="BD247" s="121" t="s">
        <v>115</v>
      </c>
      <c r="BE247" s="121"/>
      <c r="BF247" s="121"/>
      <c r="BG247" s="408"/>
      <c r="BH247" s="238">
        <f>CF247+CI247+CL247+CO247</f>
        <v>2697.54</v>
      </c>
      <c r="BI247" s="238">
        <f>CH247+CK247+CN247+CQ247</f>
        <v>2697.54</v>
      </c>
      <c r="BJ247" s="238">
        <f>BH247-BI247</f>
        <v>0</v>
      </c>
      <c r="BK247" s="239"/>
      <c r="BL247" s="260"/>
      <c r="BM247" s="241"/>
      <c r="BN247" s="142">
        <v>2697.54</v>
      </c>
      <c r="BO247" s="182"/>
      <c r="BP247" s="441" t="s">
        <v>166</v>
      </c>
      <c r="BQ247" s="145">
        <v>0.05</v>
      </c>
      <c r="BR247" s="480"/>
      <c r="BS247" s="381">
        <f>BL247*BQ247</f>
        <v>0</v>
      </c>
      <c r="BT247" s="168">
        <f>BM247*BQ247</f>
        <v>0</v>
      </c>
      <c r="BU247" s="530">
        <f>BN247*BQ247</f>
        <v>134.87700000000001</v>
      </c>
      <c r="BV247" s="168">
        <f>BO247*BQ247</f>
        <v>0</v>
      </c>
      <c r="BW247" s="204"/>
      <c r="BX247" s="441" t="s">
        <v>166</v>
      </c>
      <c r="BY247" s="145">
        <v>0.05</v>
      </c>
      <c r="BZ247" s="262"/>
      <c r="CA247" s="242">
        <f>BL247*BY247</f>
        <v>0</v>
      </c>
      <c r="CB247" s="101">
        <f>BM247*BY247</f>
        <v>0</v>
      </c>
      <c r="CC247" s="106">
        <f>BN247*BY247</f>
        <v>134.87700000000001</v>
      </c>
      <c r="CD247" s="107">
        <f>BO247*BY247</f>
        <v>0</v>
      </c>
      <c r="CE247" s="244"/>
      <c r="CF247" s="108">
        <v>2697.54</v>
      </c>
      <c r="CG247" s="109">
        <v>45211</v>
      </c>
      <c r="CH247" s="108">
        <v>2697.54</v>
      </c>
      <c r="CI247" s="415"/>
      <c r="CJ247" s="416"/>
      <c r="CK247" s="415"/>
      <c r="CL247" s="415"/>
      <c r="CM247" s="416"/>
      <c r="CN247" s="415"/>
      <c r="CO247" s="263"/>
      <c r="CP247" s="263"/>
      <c r="CQ247" s="263"/>
      <c r="CR247" s="263"/>
      <c r="CS247" s="263"/>
      <c r="CT247" s="263"/>
      <c r="CU247" s="90"/>
      <c r="CV247" s="181"/>
      <c r="CW247" s="438"/>
      <c r="CX247" s="439"/>
      <c r="CY247" s="155"/>
      <c r="CZ247" s="121"/>
      <c r="DA247" s="428"/>
      <c r="DB247" s="115" t="s">
        <v>2064</v>
      </c>
      <c r="DC247" s="280" t="s">
        <v>2065</v>
      </c>
      <c r="DD247" s="116" t="str">
        <f>BP247</f>
        <v>Matteo</v>
      </c>
      <c r="DE247" s="117" t="b">
        <f>IF(OR(D247&gt;0),IF(BJ247=0,BN247*BQ247,0))</f>
        <v>0</v>
      </c>
      <c r="DF247" s="117" t="b">
        <f>IF(OR(D247&gt;0),IF(BJ247=0,BN247*BY247,0))</f>
        <v>0</v>
      </c>
      <c r="DG247" s="118" t="str">
        <f>BX247</f>
        <v>Matteo</v>
      </c>
      <c r="DH247" s="76"/>
      <c r="DI247" s="120" t="s">
        <v>126</v>
      </c>
      <c r="DJ247" s="120"/>
      <c r="DK247" s="74"/>
      <c r="DL247" s="74"/>
      <c r="DM247" s="122"/>
      <c r="DN247" s="6"/>
      <c r="DO247" s="6"/>
      <c r="DP247" s="6"/>
      <c r="DQ247" s="6"/>
      <c r="DR247" s="6"/>
      <c r="DS247" s="6"/>
      <c r="DT247" s="6"/>
      <c r="DU247" s="6"/>
      <c r="DV247" s="6"/>
      <c r="DW247" s="6"/>
      <c r="DX247" s="6"/>
      <c r="DY247" s="6"/>
      <c r="DZ247" s="6"/>
    </row>
    <row r="248" spans="1:130" ht="34.5" hidden="1" customHeight="1">
      <c r="A248" s="228"/>
      <c r="B248" s="75" t="s">
        <v>1359</v>
      </c>
      <c r="C248" s="155"/>
      <c r="D248" s="75">
        <v>1</v>
      </c>
      <c r="E248" s="75">
        <v>1</v>
      </c>
      <c r="F248" s="75"/>
      <c r="G248" s="400" t="s">
        <v>1822</v>
      </c>
      <c r="H248" s="400" t="s">
        <v>1823</v>
      </c>
      <c r="I248" s="207" t="s">
        <v>1824</v>
      </c>
      <c r="J248" s="121" t="str">
        <f>CONCATENATE(G248," ",H248)</f>
        <v>Giulio Palmitessa</v>
      </c>
      <c r="K248" s="156"/>
      <c r="L248" s="204" t="s">
        <v>1119</v>
      </c>
      <c r="M248" s="153"/>
      <c r="N248" s="160" t="s">
        <v>1120</v>
      </c>
      <c r="O248" s="402"/>
      <c r="P248" s="315"/>
      <c r="Q248" s="160"/>
      <c r="R248" s="403"/>
      <c r="S248" s="160"/>
      <c r="T248" s="404"/>
      <c r="U248" s="315"/>
      <c r="V248" s="315"/>
      <c r="W248" s="315"/>
      <c r="X248" s="131"/>
      <c r="Y248" s="315"/>
      <c r="Z248" s="315"/>
      <c r="AA248" s="315"/>
      <c r="AB248" s="37"/>
      <c r="AC248" s="131"/>
      <c r="AD248" s="121" t="s">
        <v>1825</v>
      </c>
      <c r="AE248" s="88"/>
      <c r="AF248" s="405"/>
      <c r="AG248" s="406"/>
      <c r="AH248" s="406"/>
      <c r="AI248" s="405"/>
      <c r="AJ248" s="155"/>
      <c r="AK248" s="155"/>
      <c r="AL248" s="155"/>
      <c r="AM248" s="407"/>
      <c r="AN248" s="155"/>
      <c r="AO248" s="155"/>
      <c r="AP248" s="155"/>
      <c r="AQ248" s="85"/>
      <c r="AR248" s="259"/>
      <c r="AS248" s="259"/>
      <c r="AT248" s="1987"/>
      <c r="AU248" s="408"/>
      <c r="AV248" s="75"/>
      <c r="AW248" s="121"/>
      <c r="AX248" s="121"/>
      <c r="AY248" s="85"/>
      <c r="AZ248" s="121" t="s">
        <v>245</v>
      </c>
      <c r="BA248" s="121" t="s">
        <v>245</v>
      </c>
      <c r="BB248" s="135" t="s">
        <v>115</v>
      </c>
      <c r="BC248" s="85"/>
      <c r="BD248" s="121"/>
      <c r="BE248" s="121"/>
      <c r="BF248" s="121"/>
      <c r="BG248" s="408"/>
      <c r="BH248" s="238">
        <v>2797</v>
      </c>
      <c r="BI248" s="238">
        <f>CH248+CK248+CN248+CQ248+CT248</f>
        <v>0</v>
      </c>
      <c r="BJ248" s="238">
        <f>BH248-BI248</f>
        <v>2797</v>
      </c>
      <c r="BK248" s="239"/>
      <c r="BL248" s="260"/>
      <c r="BM248" s="241"/>
      <c r="BN248" s="142">
        <f>2797-559.4</f>
        <v>2237.6</v>
      </c>
      <c r="BO248" s="182"/>
      <c r="BP248" s="441" t="s">
        <v>141</v>
      </c>
      <c r="BQ248" s="145">
        <v>0.15</v>
      </c>
      <c r="BR248" s="480"/>
      <c r="BS248" s="381"/>
      <c r="BT248" s="168"/>
      <c r="BU248" s="530"/>
      <c r="BV248" s="168">
        <f>BO248*BQ248</f>
        <v>0</v>
      </c>
      <c r="BW248" s="204" t="s">
        <v>1826</v>
      </c>
      <c r="BX248" s="441" t="s">
        <v>141</v>
      </c>
      <c r="BY248" s="145">
        <v>0.05</v>
      </c>
      <c r="BZ248" s="262"/>
      <c r="CA248" s="242"/>
      <c r="CB248" s="101"/>
      <c r="CC248" s="106"/>
      <c r="CD248" s="107">
        <f>BO248*BY248</f>
        <v>0</v>
      </c>
      <c r="CE248" s="174" t="s">
        <v>1827</v>
      </c>
      <c r="CF248" s="108">
        <v>2797</v>
      </c>
      <c r="CG248" s="109"/>
      <c r="CH248" s="141"/>
      <c r="CI248" s="415"/>
      <c r="CJ248" s="416"/>
      <c r="CK248" s="415"/>
      <c r="CL248" s="415"/>
      <c r="CM248" s="416"/>
      <c r="CN248" s="415"/>
      <c r="CO248" s="263"/>
      <c r="CP248" s="263"/>
      <c r="CQ248" s="263"/>
      <c r="CR248" s="263"/>
      <c r="CS248" s="263"/>
      <c r="CT248" s="263"/>
      <c r="CU248" s="90">
        <v>1</v>
      </c>
      <c r="CV248" s="181"/>
      <c r="CW248" s="181"/>
      <c r="CX248" s="181"/>
      <c r="CY248" s="155"/>
      <c r="CZ248" s="121"/>
      <c r="DA248" s="208" t="s">
        <v>911</v>
      </c>
      <c r="DB248" s="115" t="str">
        <f>PROPER(N248)</f>
        <v>Binnova</v>
      </c>
      <c r="DC248" s="280" t="s">
        <v>125</v>
      </c>
      <c r="DD248" s="116" t="str">
        <f>BP248</f>
        <v>Daniele</v>
      </c>
      <c r="DE248" s="117">
        <f>IF(OR(D248&gt;0),IF(BJ248=0,BN248*BQ248,0))</f>
        <v>0</v>
      </c>
      <c r="DF248" s="117">
        <f>IF(OR(D248&gt;0),IF(BJ248=0,BN248*BY248,0))</f>
        <v>0</v>
      </c>
      <c r="DG248" s="118" t="str">
        <f>BX248</f>
        <v>Daniele</v>
      </c>
      <c r="DH248" s="76"/>
      <c r="DI248" s="120" t="s">
        <v>126</v>
      </c>
      <c r="DJ248" s="120"/>
      <c r="DK248" s="74"/>
      <c r="DL248" s="74"/>
      <c r="DM248" s="122">
        <v>1</v>
      </c>
      <c r="DN248" s="6"/>
      <c r="DO248" s="6"/>
      <c r="DP248" s="6"/>
      <c r="DQ248" s="6"/>
      <c r="DR248" s="6"/>
      <c r="DS248" s="6"/>
      <c r="DT248" s="6"/>
      <c r="DU248" s="6"/>
      <c r="DV248" s="6"/>
      <c r="DW248" s="6"/>
      <c r="DX248" s="6"/>
      <c r="DY248" s="6"/>
      <c r="DZ248" s="6"/>
    </row>
    <row r="249" spans="1:130" ht="34.5" hidden="1" customHeight="1">
      <c r="A249" s="3"/>
      <c r="B249" s="75" t="s">
        <v>108</v>
      </c>
      <c r="C249" s="121"/>
      <c r="D249" s="75"/>
      <c r="E249" s="75">
        <v>1</v>
      </c>
      <c r="F249" s="75"/>
      <c r="G249" s="79" t="s">
        <v>595</v>
      </c>
      <c r="H249" s="79" t="s">
        <v>596</v>
      </c>
      <c r="I249" s="131" t="s">
        <v>597</v>
      </c>
      <c r="J249" s="121" t="str">
        <f>CONCATENATE(G249," ",H249)</f>
        <v>Giuseppe D'Armento</v>
      </c>
      <c r="K249" s="224">
        <v>3485698553</v>
      </c>
      <c r="L249" s="157" t="s">
        <v>598</v>
      </c>
      <c r="M249" s="176" t="s">
        <v>364</v>
      </c>
      <c r="N249" s="160" t="s">
        <v>599</v>
      </c>
      <c r="O249" s="407"/>
      <c r="P249" s="1941"/>
      <c r="Q249" s="86"/>
      <c r="R249" s="86"/>
      <c r="S249" s="86"/>
      <c r="T249" s="1953"/>
      <c r="U249" s="1941"/>
      <c r="V249" s="1941"/>
      <c r="W249" s="1941"/>
      <c r="X249" s="86"/>
      <c r="Y249" s="1960"/>
      <c r="Z249" s="1941"/>
      <c r="AA249" s="1941"/>
      <c r="AB249" s="86"/>
      <c r="AC249" s="86"/>
      <c r="AD249" s="86" t="s">
        <v>600</v>
      </c>
      <c r="AE249" s="88" t="str">
        <f>L249</f>
        <v>in data 12/5/23 ha comunicato che partecipa edizione autunnale</v>
      </c>
      <c r="AF249" s="407"/>
      <c r="AG249" s="121"/>
      <c r="AH249" s="121"/>
      <c r="AI249" s="407"/>
      <c r="AJ249" s="121"/>
      <c r="AK249" s="121"/>
      <c r="AL249" s="121"/>
      <c r="AM249" s="407"/>
      <c r="AN249" s="155"/>
      <c r="AO249" s="155"/>
      <c r="AP249" s="155"/>
      <c r="AQ249" s="1982"/>
      <c r="AR249" s="259"/>
      <c r="AS249" s="259"/>
      <c r="AT249" s="1987"/>
      <c r="AU249" s="408"/>
      <c r="AV249" s="75"/>
      <c r="AW249" s="121"/>
      <c r="AX249" s="121"/>
      <c r="AY249" s="1982"/>
      <c r="AZ249" s="154" t="s">
        <v>194</v>
      </c>
      <c r="BA249" s="121" t="s">
        <v>115</v>
      </c>
      <c r="BB249" s="135" t="s">
        <v>115</v>
      </c>
      <c r="BC249" s="1982"/>
      <c r="BD249" s="121" t="s">
        <v>115</v>
      </c>
      <c r="BE249" s="121"/>
      <c r="BF249" s="121"/>
      <c r="BG249" s="408"/>
      <c r="BH249" s="238">
        <f>CF249+CI249+CL249+CO249+CR249</f>
        <v>2997</v>
      </c>
      <c r="BI249" s="238">
        <f>CH249+CK249+CN249+CQ249+CT249</f>
        <v>2997</v>
      </c>
      <c r="BJ249" s="238">
        <f>BH249-BI249</f>
        <v>0</v>
      </c>
      <c r="BK249" s="199"/>
      <c r="BL249" s="200"/>
      <c r="BM249" s="241"/>
      <c r="BN249" s="142">
        <v>2997</v>
      </c>
      <c r="BO249" s="182"/>
      <c r="BP249" s="281" t="s">
        <v>133</v>
      </c>
      <c r="BQ249" s="98">
        <v>0.15</v>
      </c>
      <c r="BR249" s="2057"/>
      <c r="BS249" s="202"/>
      <c r="BT249" s="203">
        <f>BM249*BQ249</f>
        <v>0</v>
      </c>
      <c r="BU249" s="167">
        <f>BN249*BQ249</f>
        <v>449.55</v>
      </c>
      <c r="BV249" s="168">
        <f>BO249*BQ249</f>
        <v>0</v>
      </c>
      <c r="BW249" s="131"/>
      <c r="BX249" s="105" t="s">
        <v>133</v>
      </c>
      <c r="BY249" s="98">
        <v>0.05</v>
      </c>
      <c r="BZ249" s="2058"/>
      <c r="CA249" s="202"/>
      <c r="CB249" s="171"/>
      <c r="CC249" s="106">
        <f>BN249*BY249</f>
        <v>149.85</v>
      </c>
      <c r="CD249" s="107">
        <f>BO249*BY249</f>
        <v>0</v>
      </c>
      <c r="CE249" s="90"/>
      <c r="CF249" s="108">
        <v>2997</v>
      </c>
      <c r="CG249" s="109">
        <v>45007</v>
      </c>
      <c r="CH249" s="108">
        <v>2997</v>
      </c>
      <c r="CI249" s="110"/>
      <c r="CJ249" s="226"/>
      <c r="CK249" s="206"/>
      <c r="CL249" s="206"/>
      <c r="CM249" s="226"/>
      <c r="CN249" s="206"/>
      <c r="CO249" s="206"/>
      <c r="CP249" s="206"/>
      <c r="CQ249" s="206"/>
      <c r="CR249" s="206"/>
      <c r="CS249" s="206"/>
      <c r="CT249" s="206"/>
      <c r="CU249" s="90">
        <v>1</v>
      </c>
      <c r="CV249" s="181" t="s">
        <v>121</v>
      </c>
      <c r="CW249" s="181"/>
      <c r="CX249" s="207"/>
      <c r="CY249" s="155" t="s">
        <v>122</v>
      </c>
      <c r="CZ249" s="155"/>
      <c r="DA249" s="204" t="s">
        <v>601</v>
      </c>
      <c r="DB249" s="115" t="str">
        <f>PROPER(N249)</f>
        <v xml:space="preserve">Systems &amp; Safety </v>
      </c>
      <c r="DC249" s="191" t="s">
        <v>602</v>
      </c>
      <c r="DD249" s="116" t="str">
        <f>BP249</f>
        <v>Cristian B</v>
      </c>
      <c r="DE249" s="117" t="b">
        <f>IF(OR(D249&gt;0),IF(BJ249=0,BN249*BQ249,0))</f>
        <v>0</v>
      </c>
      <c r="DF249" s="117" t="b">
        <f>IF(OR(D249&gt;0),IF(BJ249=0,BN249*BY249,0))</f>
        <v>0</v>
      </c>
      <c r="DG249" s="116" t="str">
        <f>BX249</f>
        <v>Cristian B</v>
      </c>
      <c r="DH249" s="76"/>
      <c r="DI249" s="120" t="s">
        <v>126</v>
      </c>
      <c r="DJ249" s="120"/>
      <c r="DK249" s="121"/>
      <c r="DL249" s="121"/>
      <c r="DM249" s="122">
        <v>1</v>
      </c>
      <c r="DN249" s="6"/>
      <c r="DO249" s="6"/>
      <c r="DP249" s="6"/>
      <c r="DQ249" s="6"/>
      <c r="DR249" s="6"/>
      <c r="DS249" s="6"/>
      <c r="DT249" s="6"/>
      <c r="DU249" s="6"/>
      <c r="DV249" s="6"/>
      <c r="DW249" s="6"/>
      <c r="DX249" s="6"/>
      <c r="DY249" s="6"/>
      <c r="DZ249" s="6"/>
    </row>
    <row r="250" spans="1:130" ht="34.5" hidden="1" customHeight="1">
      <c r="A250" s="228"/>
      <c r="B250" s="371" t="s">
        <v>1359</v>
      </c>
      <c r="C250" s="155"/>
      <c r="D250" s="75">
        <v>1</v>
      </c>
      <c r="E250" s="75"/>
      <c r="F250" s="75"/>
      <c r="G250" s="400" t="s">
        <v>188</v>
      </c>
      <c r="H250" s="400" t="s">
        <v>1485</v>
      </c>
      <c r="I250" s="207" t="s">
        <v>1486</v>
      </c>
      <c r="J250" s="155" t="str">
        <f>CONCATENATE(G250," ",H250)</f>
        <v>Andrea Corbino</v>
      </c>
      <c r="K250" s="156">
        <v>3355620294</v>
      </c>
      <c r="L250" s="152" t="s">
        <v>1487</v>
      </c>
      <c r="M250" s="153"/>
      <c r="N250" s="160" t="s">
        <v>1488</v>
      </c>
      <c r="O250" s="402"/>
      <c r="P250" s="315"/>
      <c r="Q250" s="160"/>
      <c r="R250" s="403"/>
      <c r="S250" s="160"/>
      <c r="T250" s="404"/>
      <c r="U250" s="315"/>
      <c r="V250" s="315"/>
      <c r="W250" s="315"/>
      <c r="X250" s="131"/>
      <c r="Y250" s="315"/>
      <c r="Z250" s="315"/>
      <c r="AA250" s="315"/>
      <c r="AB250" s="37"/>
      <c r="AC250" s="131"/>
      <c r="AD250" s="121" t="s">
        <v>1489</v>
      </c>
      <c r="AE250" s="88"/>
      <c r="AF250" s="405"/>
      <c r="AG250" s="406"/>
      <c r="AH250" s="406"/>
      <c r="AI250" s="405"/>
      <c r="AJ250" s="155"/>
      <c r="AK250" s="155"/>
      <c r="AL250" s="155"/>
      <c r="AM250" s="407"/>
      <c r="AN250" s="155"/>
      <c r="AO250" s="155"/>
      <c r="AP250" s="155"/>
      <c r="AQ250" s="85"/>
      <c r="AR250" s="259"/>
      <c r="AS250" s="259"/>
      <c r="AT250" s="3"/>
      <c r="AU250" s="408"/>
      <c r="AV250" s="75"/>
      <c r="AW250" s="121"/>
      <c r="AX250" s="121"/>
      <c r="AY250" s="85"/>
      <c r="AZ250" s="121" t="s">
        <v>115</v>
      </c>
      <c r="BA250" s="121"/>
      <c r="BB250" s="121"/>
      <c r="BC250" s="85"/>
      <c r="BD250" s="121"/>
      <c r="BE250" s="121" t="s">
        <v>115</v>
      </c>
      <c r="BF250" s="121" t="s">
        <v>115</v>
      </c>
      <c r="BG250" s="408"/>
      <c r="BH250" s="238">
        <f>CF250+CI250+CL250+CO250+CR250</f>
        <v>2997</v>
      </c>
      <c r="BI250" s="238">
        <f>CH250+CK250+CN250+CQ250+CT250</f>
        <v>2997</v>
      </c>
      <c r="BJ250" s="238">
        <f>BH250-BI250</f>
        <v>0</v>
      </c>
      <c r="BK250" s="239"/>
      <c r="BL250" s="260"/>
      <c r="BM250" s="241"/>
      <c r="BN250" s="142">
        <v>2997</v>
      </c>
      <c r="BO250" s="182"/>
      <c r="BP250" s="105" t="s">
        <v>117</v>
      </c>
      <c r="BQ250" s="98">
        <v>0</v>
      </c>
      <c r="BR250" s="409"/>
      <c r="BS250" s="242">
        <f>BL250*BQ250</f>
        <v>0</v>
      </c>
      <c r="BT250" s="203">
        <f>BM250*BQ250</f>
        <v>0</v>
      </c>
      <c r="BU250" s="167">
        <f>BN250*BQ250</f>
        <v>0</v>
      </c>
      <c r="BV250" s="168">
        <f>BO250*BQ250</f>
        <v>0</v>
      </c>
      <c r="BW250" s="131"/>
      <c r="BX250" s="105" t="s">
        <v>300</v>
      </c>
      <c r="BY250" s="145">
        <v>0.05</v>
      </c>
      <c r="BZ250" s="262"/>
      <c r="CA250" s="242">
        <f>BL250*BY250</f>
        <v>0</v>
      </c>
      <c r="CB250" s="101">
        <f>BM250*BY250</f>
        <v>0</v>
      </c>
      <c r="CC250" s="106">
        <f>BN250*BY250</f>
        <v>149.85</v>
      </c>
      <c r="CD250" s="107">
        <f>BO250*BY250</f>
        <v>0</v>
      </c>
      <c r="CE250" s="163" t="s">
        <v>185</v>
      </c>
      <c r="CF250" s="108">
        <v>2997</v>
      </c>
      <c r="CG250" s="109">
        <v>45208</v>
      </c>
      <c r="CH250" s="108">
        <v>2997</v>
      </c>
      <c r="CI250" s="415"/>
      <c r="CJ250" s="416"/>
      <c r="CK250" s="415"/>
      <c r="CL250" s="415"/>
      <c r="CM250" s="416"/>
      <c r="CN250" s="415"/>
      <c r="CO250" s="263"/>
      <c r="CP250" s="263"/>
      <c r="CQ250" s="263"/>
      <c r="CR250" s="263"/>
      <c r="CS250" s="263"/>
      <c r="CT250" s="263"/>
      <c r="CU250" s="90">
        <v>1</v>
      </c>
      <c r="CV250" s="181"/>
      <c r="CW250" s="181"/>
      <c r="CX250" s="181"/>
      <c r="CY250" s="155"/>
      <c r="CZ250" s="121"/>
      <c r="DA250" s="428" t="s">
        <v>1490</v>
      </c>
      <c r="DB250" s="115" t="str">
        <f>PROPER(N250)</f>
        <v>Id Defend</v>
      </c>
      <c r="DC250" s="280" t="s">
        <v>264</v>
      </c>
      <c r="DD250" s="116" t="str">
        <f>BP250</f>
        <v>blackship</v>
      </c>
      <c r="DE250" s="117">
        <f>IF(OR(D250&gt;0),IF(BJ250=0,BN250*BQ250,0))</f>
        <v>0</v>
      </c>
      <c r="DF250" s="117">
        <f>IF(OR(D250&gt;0),IF(BJ250=0,BN250*BY250,0))</f>
        <v>149.85</v>
      </c>
      <c r="DG250" s="118" t="str">
        <f>BX250</f>
        <v>Cristina</v>
      </c>
      <c r="DH250" s="76"/>
      <c r="DI250" s="120" t="s">
        <v>154</v>
      </c>
      <c r="DJ250" s="120"/>
      <c r="DK250" s="74" t="s">
        <v>1399</v>
      </c>
      <c r="DL250" s="74" t="s">
        <v>1399</v>
      </c>
      <c r="DM250" s="122">
        <v>1</v>
      </c>
      <c r="DN250" s="6"/>
      <c r="DO250" s="6"/>
      <c r="DP250" s="6"/>
      <c r="DQ250" s="6"/>
      <c r="DR250" s="6"/>
      <c r="DS250" s="6"/>
      <c r="DT250" s="6"/>
      <c r="DU250" s="6"/>
      <c r="DV250" s="6"/>
      <c r="DW250" s="6"/>
      <c r="DX250" s="6"/>
      <c r="DY250" s="6"/>
      <c r="DZ250" s="6"/>
    </row>
    <row r="251" spans="1:130" ht="34.5" hidden="1" customHeight="1">
      <c r="A251" s="228"/>
      <c r="B251" s="75" t="s">
        <v>1359</v>
      </c>
      <c r="C251" s="155"/>
      <c r="D251" s="75"/>
      <c r="E251" s="75"/>
      <c r="F251" s="75"/>
      <c r="G251" s="400" t="s">
        <v>188</v>
      </c>
      <c r="H251" s="400" t="s">
        <v>1491</v>
      </c>
      <c r="I251" s="207" t="s">
        <v>1492</v>
      </c>
      <c r="J251" s="155" t="str">
        <f>CONCATENATE(G251," ",H251)</f>
        <v>Andrea Crotti</v>
      </c>
      <c r="K251" s="156">
        <v>3921581255</v>
      </c>
      <c r="L251" s="152" t="s">
        <v>1493</v>
      </c>
      <c r="M251" s="153"/>
      <c r="N251" s="160" t="s">
        <v>1494</v>
      </c>
      <c r="O251" s="402"/>
      <c r="P251" s="315"/>
      <c r="Q251" s="160"/>
      <c r="R251" s="403"/>
      <c r="S251" s="160"/>
      <c r="T251" s="404"/>
      <c r="U251" s="315"/>
      <c r="V251" s="315"/>
      <c r="W251" s="315"/>
      <c r="X251" s="131"/>
      <c r="Y251" s="315"/>
      <c r="Z251" s="315"/>
      <c r="AA251" s="315"/>
      <c r="AB251" s="37"/>
      <c r="AC251" s="131"/>
      <c r="AD251" s="121" t="s">
        <v>1495</v>
      </c>
      <c r="AE251" s="88"/>
      <c r="AF251" s="405"/>
      <c r="AG251" s="406"/>
      <c r="AH251" s="406"/>
      <c r="AI251" s="405"/>
      <c r="AJ251" s="155"/>
      <c r="AK251" s="155"/>
      <c r="AL251" s="155"/>
      <c r="AM251" s="407"/>
      <c r="AN251" s="155"/>
      <c r="AO251" s="155"/>
      <c r="AP251" s="155"/>
      <c r="AQ251" s="85"/>
      <c r="AR251" s="259"/>
      <c r="AS251" s="259"/>
      <c r="AT251" s="3"/>
      <c r="AU251" s="408"/>
      <c r="AV251" s="75"/>
      <c r="AW251" s="121"/>
      <c r="AX251" s="121"/>
      <c r="AY251" s="85"/>
      <c r="AZ251" s="153"/>
      <c r="BA251" s="153"/>
      <c r="BB251" s="153"/>
      <c r="BC251" s="85"/>
      <c r="BD251" s="121" t="s">
        <v>115</v>
      </c>
      <c r="BE251" s="121" t="s">
        <v>115</v>
      </c>
      <c r="BF251" s="121" t="s">
        <v>115</v>
      </c>
      <c r="BG251" s="408"/>
      <c r="BH251" s="238">
        <f>CF251+CI251+CL251+CO251+CR251</f>
        <v>2397</v>
      </c>
      <c r="BI251" s="238">
        <f>CH251+CK251+CN251+CQ251+CT251</f>
        <v>2397</v>
      </c>
      <c r="BJ251" s="238">
        <f>BH251-BI251</f>
        <v>0</v>
      </c>
      <c r="BK251" s="239"/>
      <c r="BL251" s="260"/>
      <c r="BM251" s="241"/>
      <c r="BN251" s="142"/>
      <c r="BO251" s="182">
        <v>2397</v>
      </c>
      <c r="BP251" s="441" t="s">
        <v>1496</v>
      </c>
      <c r="BQ251" s="145">
        <v>0.15</v>
      </c>
      <c r="BR251" s="409"/>
      <c r="BS251" s="242">
        <f>BL251*BQ251</f>
        <v>0</v>
      </c>
      <c r="BT251" s="203">
        <f>BM251*BQ251</f>
        <v>0</v>
      </c>
      <c r="BU251" s="167">
        <f>BN251*BQ251</f>
        <v>0</v>
      </c>
      <c r="BV251" s="168">
        <f>BO251*BQ251</f>
        <v>359.55</v>
      </c>
      <c r="BW251" s="131"/>
      <c r="BX251" s="441" t="s">
        <v>525</v>
      </c>
      <c r="BY251" s="145">
        <v>0.05</v>
      </c>
      <c r="BZ251" s="262"/>
      <c r="CA251" s="242">
        <f>BL251*BY251</f>
        <v>0</v>
      </c>
      <c r="CB251" s="101">
        <f>BM251*BY251</f>
        <v>0</v>
      </c>
      <c r="CC251" s="106">
        <f>BN251*BY251</f>
        <v>0</v>
      </c>
      <c r="CD251" s="107">
        <f>BO251*BY251</f>
        <v>119.85000000000001</v>
      </c>
      <c r="CE251" s="411"/>
      <c r="CF251" s="108">
        <v>2397</v>
      </c>
      <c r="CG251" s="109">
        <v>45198</v>
      </c>
      <c r="CH251" s="108">
        <v>2397</v>
      </c>
      <c r="CI251" s="415"/>
      <c r="CJ251" s="416"/>
      <c r="CK251" s="415"/>
      <c r="CL251" s="415"/>
      <c r="CM251" s="416"/>
      <c r="CN251" s="415"/>
      <c r="CO251" s="263"/>
      <c r="CP251" s="263"/>
      <c r="CQ251" s="263"/>
      <c r="CR251" s="263"/>
      <c r="CS251" s="263"/>
      <c r="CT251" s="263"/>
      <c r="CU251" s="90">
        <v>1</v>
      </c>
      <c r="CV251" s="181"/>
      <c r="CW251" s="181"/>
      <c r="CX251" s="181"/>
      <c r="CY251" s="155"/>
      <c r="CZ251" s="121"/>
      <c r="DA251" s="424" t="s">
        <v>367</v>
      </c>
      <c r="DB251" s="115" t="str">
        <f>PROPER(N251)</f>
        <v>L'Officina Dell'Auto</v>
      </c>
      <c r="DC251" s="280" t="s">
        <v>1497</v>
      </c>
      <c r="DD251" s="116" t="str">
        <f>BP251</f>
        <v>Patrizia Sabatino</v>
      </c>
      <c r="DE251" s="117" t="b">
        <f>IF(OR(D251&gt;0),IF(BJ251=0,BN251*BQ251,0))</f>
        <v>0</v>
      </c>
      <c r="DF251" s="117" t="b">
        <f>IF(OR(D251&gt;0),IF(BJ251=0,BN251*BY251,0))</f>
        <v>0</v>
      </c>
      <c r="DG251" s="118" t="str">
        <f>BX251</f>
        <v>Bruno</v>
      </c>
      <c r="DH251" s="76"/>
      <c r="DI251" s="120" t="s">
        <v>154</v>
      </c>
      <c r="DJ251" s="120"/>
      <c r="DK251" s="74" t="s">
        <v>1418</v>
      </c>
      <c r="DL251" s="74" t="s">
        <v>1418</v>
      </c>
      <c r="DM251" s="122">
        <v>1</v>
      </c>
      <c r="DN251" s="6"/>
      <c r="DO251" s="6"/>
      <c r="DP251" s="6"/>
      <c r="DQ251" s="6"/>
      <c r="DR251" s="6"/>
      <c r="DS251" s="6"/>
      <c r="DT251" s="6"/>
      <c r="DU251" s="6"/>
      <c r="DV251" s="6"/>
      <c r="DW251" s="6"/>
      <c r="DX251" s="6"/>
      <c r="DY251" s="6"/>
      <c r="DZ251" s="6"/>
    </row>
    <row r="252" spans="1:130" ht="34.5" hidden="1" customHeight="1">
      <c r="A252" s="3"/>
      <c r="B252" s="75" t="s">
        <v>108</v>
      </c>
      <c r="C252" s="121"/>
      <c r="D252" s="75">
        <v>1</v>
      </c>
      <c r="E252" s="75">
        <v>1</v>
      </c>
      <c r="F252" s="148"/>
      <c r="G252" s="79" t="s">
        <v>595</v>
      </c>
      <c r="H252" s="79" t="s">
        <v>603</v>
      </c>
      <c r="I252" s="131" t="s">
        <v>604</v>
      </c>
      <c r="J252" s="121" t="str">
        <f>CONCATENATE(G252," ",H252)</f>
        <v>Giuseppe Giudice</v>
      </c>
      <c r="K252" s="156">
        <v>3451447145</v>
      </c>
      <c r="L252" s="1334" t="s">
        <v>605</v>
      </c>
      <c r="M252" s="176" t="s">
        <v>606</v>
      </c>
      <c r="N252" s="160" t="s">
        <v>607</v>
      </c>
      <c r="O252" s="407"/>
      <c r="P252" s="1941"/>
      <c r="Q252" s="86"/>
      <c r="R252" s="86"/>
      <c r="S252" s="86"/>
      <c r="T252" s="1953"/>
      <c r="U252" s="1941"/>
      <c r="V252" s="1941"/>
      <c r="W252" s="1941"/>
      <c r="X252" s="86"/>
      <c r="Y252" s="1960"/>
      <c r="Z252" s="1941"/>
      <c r="AA252" s="1941"/>
      <c r="AB252" s="86"/>
      <c r="AC252" s="86"/>
      <c r="AD252" s="86" t="s">
        <v>608</v>
      </c>
      <c r="AE252" s="172"/>
      <c r="AF252" s="407"/>
      <c r="AG252" s="121"/>
      <c r="AH252" s="121"/>
      <c r="AI252" s="407"/>
      <c r="AJ252" s="121"/>
      <c r="AK252" s="121"/>
      <c r="AL252" s="121"/>
      <c r="AM252" s="407"/>
      <c r="AN252" s="155"/>
      <c r="AO252" s="155"/>
      <c r="AP252" s="155"/>
      <c r="AQ252" s="1982"/>
      <c r="AR252" s="259"/>
      <c r="AS252" s="259"/>
      <c r="AT252" s="1987"/>
      <c r="AU252" s="408"/>
      <c r="AV252" s="75" t="s">
        <v>115</v>
      </c>
      <c r="AW252" s="121" t="s">
        <v>115</v>
      </c>
      <c r="AX252" s="121" t="s">
        <v>115</v>
      </c>
      <c r="AY252" s="1982"/>
      <c r="AZ252" s="121" t="s">
        <v>116</v>
      </c>
      <c r="BA252" s="121" t="s">
        <v>116</v>
      </c>
      <c r="BB252" s="162" t="s">
        <v>116</v>
      </c>
      <c r="BC252" s="1982"/>
      <c r="BD252" s="121"/>
      <c r="BE252" s="121"/>
      <c r="BF252" s="121"/>
      <c r="BG252" s="408"/>
      <c r="BH252" s="238"/>
      <c r="BI252" s="238"/>
      <c r="BJ252" s="238"/>
      <c r="BK252" s="199"/>
      <c r="BL252" s="200"/>
      <c r="BM252" s="241">
        <v>2997</v>
      </c>
      <c r="BN252" s="96"/>
      <c r="BO252" s="97"/>
      <c r="BP252" s="281" t="s">
        <v>184</v>
      </c>
      <c r="BQ252" s="98">
        <v>0.15</v>
      </c>
      <c r="BR252" s="2057"/>
      <c r="BS252" s="202"/>
      <c r="BT252" s="203">
        <f>BM252*BQ252</f>
        <v>449.55</v>
      </c>
      <c r="BU252" s="167">
        <f>BN252*BQ252</f>
        <v>0</v>
      </c>
      <c r="BV252" s="168">
        <f>BO252*BQ252</f>
        <v>0</v>
      </c>
      <c r="BW252" s="131" t="s">
        <v>120</v>
      </c>
      <c r="BX252" s="105" t="s">
        <v>184</v>
      </c>
      <c r="BY252" s="98">
        <v>0.05</v>
      </c>
      <c r="BZ252" s="2058"/>
      <c r="CA252" s="202"/>
      <c r="CB252" s="101">
        <f>BM252*BY252</f>
        <v>149.85</v>
      </c>
      <c r="CC252" s="106">
        <f>BN252*BY252</f>
        <v>0</v>
      </c>
      <c r="CD252" s="107">
        <f>BO252*BY252</f>
        <v>0</v>
      </c>
      <c r="CE252" s="155" t="s">
        <v>120</v>
      </c>
      <c r="CF252" s="108">
        <v>2997</v>
      </c>
      <c r="CG252" s="109">
        <v>45013</v>
      </c>
      <c r="CH252" s="108">
        <v>2997</v>
      </c>
      <c r="CI252" s="110"/>
      <c r="CJ252" s="226"/>
      <c r="CK252" s="206"/>
      <c r="CL252" s="206"/>
      <c r="CM252" s="226"/>
      <c r="CN252" s="206"/>
      <c r="CO252" s="206"/>
      <c r="CP252" s="206"/>
      <c r="CQ252" s="206"/>
      <c r="CR252" s="206"/>
      <c r="CS252" s="206"/>
      <c r="CT252" s="206"/>
      <c r="CU252" s="90">
        <v>1</v>
      </c>
      <c r="CV252" s="181" t="s">
        <v>121</v>
      </c>
      <c r="CW252" s="181"/>
      <c r="CX252" s="207"/>
      <c r="CY252" s="155" t="s">
        <v>122</v>
      </c>
      <c r="CZ252" s="155"/>
      <c r="DA252" s="131" t="s">
        <v>609</v>
      </c>
      <c r="DB252" s="115" t="str">
        <f>PROPER(N252)</f>
        <v>Emironet</v>
      </c>
      <c r="DC252" s="191" t="s">
        <v>610</v>
      </c>
      <c r="DD252" s="116" t="str">
        <f>BP252</f>
        <v>Cristian A</v>
      </c>
      <c r="DE252" s="117">
        <f>IF(OR(D252&gt;0),IF(BJ252=0,BN252*BQ252,0))</f>
        <v>0</v>
      </c>
      <c r="DF252" s="117">
        <f>IF(OR(D252&gt;0),IF(BJ252=0,BN252*BY252,0))</f>
        <v>0</v>
      </c>
      <c r="DG252" s="118" t="str">
        <f>BX252</f>
        <v>Cristian A</v>
      </c>
      <c r="DH252" s="76"/>
      <c r="DI252" s="120" t="s">
        <v>126</v>
      </c>
      <c r="DJ252" s="120"/>
      <c r="DK252" s="121"/>
      <c r="DL252" s="121"/>
      <c r="DM252" s="122"/>
      <c r="DN252" s="6"/>
      <c r="DO252" s="6"/>
      <c r="DP252" s="6"/>
      <c r="DQ252" s="6"/>
      <c r="DR252" s="6"/>
      <c r="DS252" s="6"/>
      <c r="DT252" s="6"/>
      <c r="DU252" s="6"/>
      <c r="DV252" s="6"/>
      <c r="DW252" s="6"/>
      <c r="DX252" s="6"/>
      <c r="DY252" s="6"/>
      <c r="DZ252" s="6"/>
    </row>
    <row r="253" spans="1:130" ht="34.5" hidden="1" customHeight="1">
      <c r="A253" s="228"/>
      <c r="B253" s="75" t="s">
        <v>1928</v>
      </c>
      <c r="C253" s="155"/>
      <c r="D253" s="75"/>
      <c r="E253" s="75">
        <v>1</v>
      </c>
      <c r="F253" s="75"/>
      <c r="G253" s="400" t="s">
        <v>2314</v>
      </c>
      <c r="H253" s="400" t="s">
        <v>2315</v>
      </c>
      <c r="I253" s="207" t="s">
        <v>2316</v>
      </c>
      <c r="J253" s="121" t="str">
        <f>CONCATENATE(G253," ",H253)</f>
        <v>Gloria Folli</v>
      </c>
      <c r="K253" s="224">
        <v>3450823670</v>
      </c>
      <c r="L253" s="131" t="s">
        <v>2316</v>
      </c>
      <c r="M253" s="160"/>
      <c r="N253" s="160" t="s">
        <v>916</v>
      </c>
      <c r="O253" s="556"/>
      <c r="P253" s="314"/>
      <c r="Q253" s="37"/>
      <c r="R253" s="131"/>
      <c r="S253" s="160"/>
      <c r="T253" s="404"/>
      <c r="U253" s="315"/>
      <c r="V253" s="315"/>
      <c r="W253" s="316"/>
      <c r="X253" s="131"/>
      <c r="Y253" s="316"/>
      <c r="Z253" s="316"/>
      <c r="AA253" s="316"/>
      <c r="AB253" s="37"/>
      <c r="AC253" s="131"/>
      <c r="AD253" s="121"/>
      <c r="AE253" s="138" t="str">
        <f>L253</f>
        <v>gloria.folli@autind.com</v>
      </c>
      <c r="AF253" s="405"/>
      <c r="AG253" s="155"/>
      <c r="AH253" s="155"/>
      <c r="AI253" s="405"/>
      <c r="AJ253" s="155"/>
      <c r="AK253" s="155"/>
      <c r="AL253" s="155"/>
      <c r="AM253" s="407"/>
      <c r="AN253" s="155"/>
      <c r="AO253" s="155"/>
      <c r="AP253" s="155"/>
      <c r="AQ253" s="1982"/>
      <c r="AR253" s="259"/>
      <c r="AS253" s="259"/>
      <c r="AT253" s="1987"/>
      <c r="AU253" s="408"/>
      <c r="AV253" s="1988"/>
      <c r="AW253" s="124"/>
      <c r="AX253" s="124"/>
      <c r="AY253" s="1982"/>
      <c r="AZ253" s="121"/>
      <c r="BA253" s="121" t="s">
        <v>116</v>
      </c>
      <c r="BB253" s="162" t="s">
        <v>116</v>
      </c>
      <c r="BC253" s="1982"/>
      <c r="BD253" s="121" t="s">
        <v>116</v>
      </c>
      <c r="BE253" s="121"/>
      <c r="BF253" s="121"/>
      <c r="BG253" s="408"/>
      <c r="BH253" s="238">
        <f>CF253+CI253+CL253+CO253+CR253</f>
        <v>0</v>
      </c>
      <c r="BI253" s="238"/>
      <c r="BJ253" s="238"/>
      <c r="BK253" s="239"/>
      <c r="BL253" s="260"/>
      <c r="BM253" s="241"/>
      <c r="BN253" s="142"/>
      <c r="BO253" s="182"/>
      <c r="BP253" s="105"/>
      <c r="BQ253" s="145"/>
      <c r="BR253" s="409"/>
      <c r="BS253" s="242"/>
      <c r="BT253" s="203"/>
      <c r="BU253" s="102">
        <f>BN253*BQ253</f>
        <v>0</v>
      </c>
      <c r="BV253" s="168">
        <f>BO253*BQ253</f>
        <v>0</v>
      </c>
      <c r="BW253" s="131"/>
      <c r="BX253" s="281"/>
      <c r="BY253" s="145"/>
      <c r="BZ253" s="262"/>
      <c r="CA253" s="242"/>
      <c r="CB253" s="101">
        <f>BM253*BY253</f>
        <v>0</v>
      </c>
      <c r="CC253" s="106">
        <f>BN253*BY253</f>
        <v>0</v>
      </c>
      <c r="CD253" s="107">
        <f>BO253*BY253</f>
        <v>0</v>
      </c>
      <c r="CE253" s="566"/>
      <c r="CF253" s="2096"/>
      <c r="CG253" s="2096"/>
      <c r="CH253" s="2096"/>
      <c r="CI253" s="338"/>
      <c r="CJ253" s="338"/>
      <c r="CK253" s="338"/>
      <c r="CL253" s="338"/>
      <c r="CM253" s="338"/>
      <c r="CN253" s="338"/>
      <c r="CO253" s="338"/>
      <c r="CP253" s="338"/>
      <c r="CQ253" s="338"/>
      <c r="CR253" s="338"/>
      <c r="CS253" s="338"/>
      <c r="CT253" s="338"/>
      <c r="CU253" s="90">
        <v>1</v>
      </c>
      <c r="CV253" s="181" t="s">
        <v>121</v>
      </c>
      <c r="CW253" s="181"/>
      <c r="CX253" s="207"/>
      <c r="CY253" s="207"/>
      <c r="CZ253" s="155"/>
      <c r="DA253" s="131" t="s">
        <v>501</v>
      </c>
      <c r="DB253" s="115" t="str">
        <f>PROPER(N253)</f>
        <v>Automazioni Industriali</v>
      </c>
      <c r="DC253" s="191" t="s">
        <v>917</v>
      </c>
      <c r="DD253" s="116">
        <f>BP253</f>
        <v>0</v>
      </c>
      <c r="DE253" s="117" t="b">
        <f>IF(OR(D253&gt;0),IF(BJ253=0,BN253*BQ253,0))</f>
        <v>0</v>
      </c>
      <c r="DF253" s="117" t="b">
        <f>IF(OR(D253&gt;0),IF(BJ253=0,BN253*BY253,0))</f>
        <v>0</v>
      </c>
      <c r="DG253" s="116">
        <f>BX253</f>
        <v>0</v>
      </c>
      <c r="DH253" s="76"/>
      <c r="DI253" s="120" t="s">
        <v>126</v>
      </c>
      <c r="DJ253" s="120"/>
      <c r="DK253" s="207"/>
      <c r="DL253" s="207"/>
      <c r="DM253" s="248">
        <v>1</v>
      </c>
    </row>
    <row r="254" spans="1:130" ht="34.5" hidden="1" customHeight="1">
      <c r="A254" s="228"/>
      <c r="B254" s="75" t="s">
        <v>1359</v>
      </c>
      <c r="C254" s="155"/>
      <c r="D254" s="75">
        <v>1</v>
      </c>
      <c r="E254" s="75">
        <v>1</v>
      </c>
      <c r="F254" s="75"/>
      <c r="G254" s="400" t="s">
        <v>1241</v>
      </c>
      <c r="H254" s="400" t="s">
        <v>1666</v>
      </c>
      <c r="I254" s="488" t="s">
        <v>1667</v>
      </c>
      <c r="J254" s="313" t="str">
        <f>CONCATENATE(G254," ",H254)</f>
        <v>Ivan Bernaschina</v>
      </c>
      <c r="K254" s="391" t="s">
        <v>1668</v>
      </c>
      <c r="L254" s="400"/>
      <c r="M254" s="487" t="s">
        <v>1669</v>
      </c>
      <c r="N254" s="160" t="s">
        <v>1670</v>
      </c>
      <c r="O254" s="402"/>
      <c r="P254" s="315"/>
      <c r="Q254" s="160"/>
      <c r="R254" s="403"/>
      <c r="S254" s="160"/>
      <c r="T254" s="404"/>
      <c r="U254" s="315"/>
      <c r="V254" s="315"/>
      <c r="W254" s="315"/>
      <c r="X254" s="131"/>
      <c r="Y254" s="315"/>
      <c r="Z254" s="315"/>
      <c r="AA254" s="315"/>
      <c r="AB254" s="37"/>
      <c r="AC254" s="131"/>
      <c r="AD254" s="121" t="s">
        <v>1671</v>
      </c>
      <c r="AE254" s="88"/>
      <c r="AF254" s="405"/>
      <c r="AG254" s="406"/>
      <c r="AH254" s="406"/>
      <c r="AI254" s="405"/>
      <c r="AJ254" s="155"/>
      <c r="AK254" s="155"/>
      <c r="AL254" s="155"/>
      <c r="AM254" s="407"/>
      <c r="AN254" s="155"/>
      <c r="AO254" s="155"/>
      <c r="AP254" s="155"/>
      <c r="AQ254" s="85"/>
      <c r="AR254" s="259"/>
      <c r="AS254" s="259"/>
      <c r="AT254" s="3"/>
      <c r="AU254" s="408"/>
      <c r="AV254" s="75"/>
      <c r="AW254" s="121"/>
      <c r="AX254" s="121"/>
      <c r="AY254" s="85"/>
      <c r="AZ254" s="121" t="s">
        <v>115</v>
      </c>
      <c r="BA254" s="121" t="s">
        <v>115</v>
      </c>
      <c r="BB254" s="135" t="s">
        <v>115</v>
      </c>
      <c r="BC254" s="85"/>
      <c r="BD254" s="121"/>
      <c r="BE254" s="121"/>
      <c r="BF254" s="121"/>
      <c r="BG254" s="408"/>
      <c r="BH254" s="238">
        <f>CF254+CI254+CL254+CO254+CR254</f>
        <v>2997</v>
      </c>
      <c r="BI254" s="238">
        <f>CH254+CK254+CN254+CQ254+CT254</f>
        <v>2997</v>
      </c>
      <c r="BJ254" s="238">
        <f>BH254-BI254</f>
        <v>0</v>
      </c>
      <c r="BK254" s="239"/>
      <c r="BL254" s="260"/>
      <c r="BM254" s="241"/>
      <c r="BN254" s="142">
        <v>2997</v>
      </c>
      <c r="BO254" s="182"/>
      <c r="BP254" s="105" t="s">
        <v>133</v>
      </c>
      <c r="BQ254" s="98">
        <v>0.15</v>
      </c>
      <c r="BR254" s="409"/>
      <c r="BS254" s="242">
        <f>BL254*BQ254</f>
        <v>0</v>
      </c>
      <c r="BT254" s="203">
        <f>BM254*BQ254</f>
        <v>0</v>
      </c>
      <c r="BU254" s="167">
        <f>BN254*BQ254</f>
        <v>449.55</v>
      </c>
      <c r="BV254" s="168">
        <f>BO254*BQ254</f>
        <v>0</v>
      </c>
      <c r="BW254" s="160" t="s">
        <v>185</v>
      </c>
      <c r="BX254" s="105" t="s">
        <v>133</v>
      </c>
      <c r="BY254" s="145">
        <v>0.1</v>
      </c>
      <c r="BZ254" s="262"/>
      <c r="CA254" s="242">
        <f>BL254*BY254</f>
        <v>0</v>
      </c>
      <c r="CB254" s="101">
        <f>BM254*BY254</f>
        <v>0</v>
      </c>
      <c r="CC254" s="106">
        <f>BN254*BY254</f>
        <v>299.7</v>
      </c>
      <c r="CD254" s="107">
        <f>BO254*BY254</f>
        <v>0</v>
      </c>
      <c r="CE254" s="84" t="s">
        <v>185</v>
      </c>
      <c r="CF254" s="108">
        <v>2997</v>
      </c>
      <c r="CG254" s="109">
        <v>45198</v>
      </c>
      <c r="CH254" s="443">
        <v>2997</v>
      </c>
      <c r="CI254" s="415"/>
      <c r="CJ254" s="184"/>
      <c r="CK254" s="415"/>
      <c r="CL254" s="415"/>
      <c r="CM254" s="416"/>
      <c r="CN254" s="415"/>
      <c r="CO254" s="263"/>
      <c r="CP254" s="263"/>
      <c r="CQ254" s="263"/>
      <c r="CR254" s="263"/>
      <c r="CS254" s="263"/>
      <c r="CT254" s="263"/>
      <c r="CU254" s="90">
        <v>1</v>
      </c>
      <c r="CV254" s="181"/>
      <c r="CW254" s="181"/>
      <c r="CX254" s="181"/>
      <c r="CY254" s="155"/>
      <c r="CZ254" s="121"/>
      <c r="DA254" s="426" t="s">
        <v>1659</v>
      </c>
      <c r="DB254" s="115" t="s">
        <v>1670</v>
      </c>
      <c r="DC254" s="280" t="s">
        <v>1660</v>
      </c>
      <c r="DD254" s="116" t="str">
        <f>BP254</f>
        <v>Cristian B</v>
      </c>
      <c r="DE254" s="117">
        <f>IF(OR(D254&gt;0),IF(BJ254=0,BN254*BQ254,0))</f>
        <v>449.55</v>
      </c>
      <c r="DF254" s="117">
        <f>IF(OR(D254&gt;0),IF(BJ254=0,BN254*BY254,0))</f>
        <v>299.7</v>
      </c>
      <c r="DG254" s="118" t="str">
        <f>BX254</f>
        <v>Cristian B</v>
      </c>
      <c r="DH254" s="76"/>
      <c r="DI254" s="120" t="s">
        <v>126</v>
      </c>
      <c r="DJ254" s="120"/>
      <c r="DK254" s="74"/>
      <c r="DL254" s="74"/>
      <c r="DM254" s="122"/>
      <c r="DN254" s="6"/>
      <c r="DO254" s="6"/>
      <c r="DP254" s="6"/>
      <c r="DQ254" s="6"/>
      <c r="DR254" s="6"/>
      <c r="DS254" s="6"/>
      <c r="DT254" s="6"/>
      <c r="DU254" s="6"/>
      <c r="DV254" s="6"/>
      <c r="DW254" s="6"/>
      <c r="DX254" s="6"/>
      <c r="DY254" s="6"/>
      <c r="DZ254" s="6"/>
    </row>
    <row r="255" spans="1:130" ht="34.5" hidden="1" customHeight="1">
      <c r="A255" s="228"/>
      <c r="B255" s="75" t="s">
        <v>1359</v>
      </c>
      <c r="C255" s="155"/>
      <c r="D255" s="75"/>
      <c r="E255" s="75"/>
      <c r="F255" s="75"/>
      <c r="G255" s="420" t="s">
        <v>1511</v>
      </c>
      <c r="H255" s="420"/>
      <c r="I255" s="449"/>
      <c r="J255" s="155" t="str">
        <f>CONCATENATE(G255," ",H255)</f>
        <v xml:space="preserve">1 Partecipante di Andrea Fantini </v>
      </c>
      <c r="K255" s="156"/>
      <c r="L255" s="435"/>
      <c r="M255" s="153"/>
      <c r="N255" s="160" t="s">
        <v>1508</v>
      </c>
      <c r="O255" s="402"/>
      <c r="P255" s="315"/>
      <c r="Q255" s="160"/>
      <c r="R255" s="403"/>
      <c r="S255" s="160"/>
      <c r="T255" s="404"/>
      <c r="U255" s="315"/>
      <c r="V255" s="315"/>
      <c r="W255" s="315"/>
      <c r="X255" s="131"/>
      <c r="Y255" s="315"/>
      <c r="Z255" s="315"/>
      <c r="AA255" s="315"/>
      <c r="AB255" s="37"/>
      <c r="AC255" s="131"/>
      <c r="AD255" s="121"/>
      <c r="AE255" s="88"/>
      <c r="AF255" s="405"/>
      <c r="AG255" s="406"/>
      <c r="AH255" s="406"/>
      <c r="AI255" s="405"/>
      <c r="AJ255" s="155"/>
      <c r="AK255" s="155"/>
      <c r="AL255" s="155"/>
      <c r="AM255" s="407"/>
      <c r="AN255" s="155"/>
      <c r="AO255" s="155"/>
      <c r="AP255" s="155"/>
      <c r="AQ255" s="85"/>
      <c r="AR255" s="259"/>
      <c r="AS255" s="259"/>
      <c r="AT255" s="3"/>
      <c r="AU255" s="408"/>
      <c r="AV255" s="75"/>
      <c r="AW255" s="121"/>
      <c r="AX255" s="121"/>
      <c r="AY255" s="85"/>
      <c r="AZ255" s="154" t="s">
        <v>165</v>
      </c>
      <c r="BA255" s="154" t="s">
        <v>165</v>
      </c>
      <c r="BB255" s="154" t="s">
        <v>165</v>
      </c>
      <c r="BC255" s="85"/>
      <c r="BD255" s="121"/>
      <c r="BE255" s="121"/>
      <c r="BF255" s="121"/>
      <c r="BG255" s="408"/>
      <c r="BH255" s="238">
        <f>CF255+CI255+CL255+CO255+CR255</f>
        <v>0</v>
      </c>
      <c r="BI255" s="238">
        <f>CH255+CK255+CN255+CQ255+CT255</f>
        <v>0</v>
      </c>
      <c r="BJ255" s="238">
        <f>BH255-BI255</f>
        <v>0</v>
      </c>
      <c r="BK255" s="239"/>
      <c r="BL255" s="260"/>
      <c r="BM255" s="241"/>
      <c r="BN255" s="142"/>
      <c r="BO255" s="182"/>
      <c r="BP255" s="105" t="s">
        <v>166</v>
      </c>
      <c r="BQ255" s="98">
        <v>0.15</v>
      </c>
      <c r="BR255" s="409"/>
      <c r="BS255" s="242">
        <f>BL255*BQ255</f>
        <v>0</v>
      </c>
      <c r="BT255" s="203">
        <f>BM255*BQ255</f>
        <v>0</v>
      </c>
      <c r="BU255" s="167">
        <f>BN255*BQ255</f>
        <v>0</v>
      </c>
      <c r="BV255" s="168">
        <f>BO255*BQ255</f>
        <v>0</v>
      </c>
      <c r="BW255" s="131"/>
      <c r="BX255" s="105" t="s">
        <v>166</v>
      </c>
      <c r="BY255" s="145">
        <v>0.05</v>
      </c>
      <c r="BZ255" s="262"/>
      <c r="CA255" s="242">
        <f>BL255*BY255</f>
        <v>0</v>
      </c>
      <c r="CB255" s="101">
        <f>BM255*BY255</f>
        <v>0</v>
      </c>
      <c r="CC255" s="106">
        <f>BN255*BY255</f>
        <v>0</v>
      </c>
      <c r="CD255" s="107">
        <f>BO255*BY255</f>
        <v>0</v>
      </c>
      <c r="CE255" s="411"/>
      <c r="CF255" s="108">
        <v>0</v>
      </c>
      <c r="CG255" s="130" t="s">
        <v>153</v>
      </c>
      <c r="CH255" s="301"/>
      <c r="CI255" s="110"/>
      <c r="CJ255" s="109"/>
      <c r="CK255" s="110"/>
      <c r="CL255" s="110"/>
      <c r="CM255" s="109"/>
      <c r="CN255" s="415"/>
      <c r="CO255" s="263"/>
      <c r="CP255" s="263"/>
      <c r="CQ255" s="263"/>
      <c r="CR255" s="263"/>
      <c r="CS255" s="263"/>
      <c r="CT255" s="263"/>
      <c r="CU255" s="90">
        <v>1</v>
      </c>
      <c r="CV255" s="181"/>
      <c r="CW255" s="181"/>
      <c r="CX255" s="181"/>
      <c r="CY255" s="155"/>
      <c r="CZ255" s="121"/>
      <c r="DA255" s="428" t="s">
        <v>1510</v>
      </c>
      <c r="DB255" s="115" t="str">
        <f>PROPER(N255)</f>
        <v>Studio Fantini</v>
      </c>
      <c r="DC255" s="280" t="s">
        <v>809</v>
      </c>
      <c r="DD255" s="116" t="str">
        <f>BP255</f>
        <v>Matteo</v>
      </c>
      <c r="DE255" s="117" t="b">
        <f>IF(OR(D255&gt;0),IF(BJ255=0,BN255*BQ255,0))</f>
        <v>0</v>
      </c>
      <c r="DF255" s="117" t="b">
        <f>IF(OR(D255&gt;0),IF(BJ255=0,BN255*BY255,0))</f>
        <v>0</v>
      </c>
      <c r="DG255" s="118" t="str">
        <f>BX255</f>
        <v>Matteo</v>
      </c>
      <c r="DH255" s="76"/>
      <c r="DI255" s="120" t="s">
        <v>154</v>
      </c>
      <c r="DJ255" s="120"/>
      <c r="DK255" s="74" t="s">
        <v>1366</v>
      </c>
      <c r="DL255" s="74" t="s">
        <v>1366</v>
      </c>
      <c r="DM255" s="122">
        <v>1</v>
      </c>
      <c r="DN255" s="6"/>
      <c r="DO255" s="6"/>
      <c r="DP255" s="6"/>
      <c r="DQ255" s="6"/>
      <c r="DR255" s="6"/>
      <c r="DS255" s="6"/>
      <c r="DT255" s="6"/>
      <c r="DU255" s="6"/>
      <c r="DV255" s="6"/>
      <c r="DW255" s="6"/>
      <c r="DX255" s="6"/>
      <c r="DY255" s="6"/>
      <c r="DZ255" s="6"/>
    </row>
    <row r="256" spans="1:130" ht="34.5" hidden="1" customHeight="1">
      <c r="A256" s="228"/>
      <c r="B256" s="75" t="s">
        <v>1359</v>
      </c>
      <c r="C256" s="155"/>
      <c r="D256" s="75">
        <v>1</v>
      </c>
      <c r="E256" s="75">
        <v>1</v>
      </c>
      <c r="F256" s="75"/>
      <c r="G256" s="400" t="s">
        <v>1444</v>
      </c>
      <c r="H256" s="400" t="s">
        <v>1445</v>
      </c>
      <c r="I256" s="294" t="s">
        <v>1446</v>
      </c>
      <c r="J256" s="121" t="str">
        <f>CONCATENATE(G256," ",H256)</f>
        <v>Kristiana Gjelaj</v>
      </c>
      <c r="K256" s="156">
        <v>3299832492</v>
      </c>
      <c r="L256" s="435"/>
      <c r="M256" s="1908" t="s">
        <v>1447</v>
      </c>
      <c r="N256" s="160" t="s">
        <v>1442</v>
      </c>
      <c r="O256" s="402"/>
      <c r="P256" s="315"/>
      <c r="Q256" s="160"/>
      <c r="R256" s="403"/>
      <c r="S256" s="160"/>
      <c r="T256" s="404"/>
      <c r="U256" s="315"/>
      <c r="V256" s="315"/>
      <c r="W256" s="315"/>
      <c r="X256" s="131"/>
      <c r="Y256" s="315"/>
      <c r="Z256" s="315"/>
      <c r="AA256" s="315"/>
      <c r="AB256" s="37"/>
      <c r="AC256" s="131"/>
      <c r="AD256" s="121" t="s">
        <v>1448</v>
      </c>
      <c r="AE256" s="88"/>
      <c r="AF256" s="405"/>
      <c r="AG256" s="406"/>
      <c r="AH256" s="406"/>
      <c r="AI256" s="405"/>
      <c r="AJ256" s="155"/>
      <c r="AK256" s="155"/>
      <c r="AL256" s="155"/>
      <c r="AM256" s="407"/>
      <c r="AN256" s="155"/>
      <c r="AO256" s="155"/>
      <c r="AP256" s="155"/>
      <c r="AQ256" s="85"/>
      <c r="AR256" s="259"/>
      <c r="AS256" s="259"/>
      <c r="AT256" s="1987"/>
      <c r="AU256" s="408"/>
      <c r="AV256" s="75"/>
      <c r="AW256" s="121"/>
      <c r="AX256" s="121"/>
      <c r="AY256" s="85"/>
      <c r="AZ256" s="121" t="s">
        <v>115</v>
      </c>
      <c r="BA256" s="121" t="s">
        <v>115</v>
      </c>
      <c r="BB256" s="135" t="s">
        <v>115</v>
      </c>
      <c r="BC256" s="85"/>
      <c r="BD256" s="121"/>
      <c r="BE256" s="121"/>
      <c r="BF256" s="121"/>
      <c r="BG256" s="408"/>
      <c r="BH256" s="238">
        <f>CF256+CI256+CL256+CO256+CR256</f>
        <v>2997</v>
      </c>
      <c r="BI256" s="238">
        <f>CH256+CK256+CN256+CQ256+CT256</f>
        <v>2997</v>
      </c>
      <c r="BJ256" s="238">
        <f>BH256-BI256</f>
        <v>0</v>
      </c>
      <c r="BK256" s="239"/>
      <c r="BL256" s="260"/>
      <c r="BM256" s="241"/>
      <c r="BN256" s="142">
        <v>2997</v>
      </c>
      <c r="BO256" s="182"/>
      <c r="BP256" s="105" t="s">
        <v>141</v>
      </c>
      <c r="BQ256" s="98">
        <v>0.15</v>
      </c>
      <c r="BR256" s="409"/>
      <c r="BS256" s="242">
        <f>BL256*BQ256</f>
        <v>0</v>
      </c>
      <c r="BT256" s="203">
        <f>BM256*BQ256</f>
        <v>0</v>
      </c>
      <c r="BU256" s="167">
        <f>BN256*BQ256</f>
        <v>449.55</v>
      </c>
      <c r="BV256" s="168">
        <f>BO256*BQ256</f>
        <v>0</v>
      </c>
      <c r="BW256" s="160" t="s">
        <v>185</v>
      </c>
      <c r="BX256" s="105" t="s">
        <v>141</v>
      </c>
      <c r="BY256" s="145">
        <v>0.05</v>
      </c>
      <c r="BZ256" s="262"/>
      <c r="CA256" s="242">
        <f>BL256*BY256</f>
        <v>0</v>
      </c>
      <c r="CB256" s="101">
        <f>BM256*BY256</f>
        <v>0</v>
      </c>
      <c r="CC256" s="106">
        <f>BN256*BY256</f>
        <v>149.85</v>
      </c>
      <c r="CD256" s="107">
        <f>BO256*BY256</f>
        <v>0</v>
      </c>
      <c r="CE256" s="160" t="s">
        <v>185</v>
      </c>
      <c r="CF256" s="108">
        <v>2997</v>
      </c>
      <c r="CG256" s="109">
        <v>45198</v>
      </c>
      <c r="CH256" s="108">
        <v>2997</v>
      </c>
      <c r="CI256" s="415"/>
      <c r="CJ256" s="416"/>
      <c r="CK256" s="415"/>
      <c r="CL256" s="415"/>
      <c r="CM256" s="416"/>
      <c r="CN256" s="415"/>
      <c r="CO256" s="263"/>
      <c r="CP256" s="263"/>
      <c r="CQ256" s="263"/>
      <c r="CR256" s="263"/>
      <c r="CS256" s="263"/>
      <c r="CT256" s="263"/>
      <c r="CU256" s="90">
        <v>1</v>
      </c>
      <c r="CV256" s="181"/>
      <c r="CW256" s="181"/>
      <c r="CX256" s="181"/>
      <c r="CY256" s="155"/>
      <c r="CZ256" s="121"/>
      <c r="DA256" s="426" t="s">
        <v>1443</v>
      </c>
      <c r="DB256" s="115" t="str">
        <f>PROPER(N256)</f>
        <v>Happily</v>
      </c>
      <c r="DC256" s="280" t="s">
        <v>264</v>
      </c>
      <c r="DD256" s="116" t="str">
        <f>BP256</f>
        <v>Daniele</v>
      </c>
      <c r="DE256" s="117">
        <f>IF(OR(D256&gt;0),IF(BJ256=0,BN256*BQ256,0))</f>
        <v>449.55</v>
      </c>
      <c r="DF256" s="117">
        <f>IF(OR(D256&gt;0),IF(BJ256=0,BN256*BY256,0))</f>
        <v>149.85</v>
      </c>
      <c r="DG256" s="118" t="str">
        <f>BX256</f>
        <v>Daniele</v>
      </c>
      <c r="DH256" s="76"/>
      <c r="DI256" s="120" t="s">
        <v>126</v>
      </c>
      <c r="DJ256" s="120"/>
      <c r="DK256" s="74" t="s">
        <v>1418</v>
      </c>
      <c r="DL256" s="74" t="s">
        <v>1418</v>
      </c>
      <c r="DM256" s="122">
        <v>1</v>
      </c>
      <c r="DN256" s="6"/>
      <c r="DO256" s="6"/>
      <c r="DP256" s="6"/>
      <c r="DQ256" s="6"/>
      <c r="DR256" s="6"/>
      <c r="DS256" s="6"/>
      <c r="DT256" s="6"/>
      <c r="DU256" s="6"/>
      <c r="DV256" s="6"/>
      <c r="DW256" s="6"/>
      <c r="DX256" s="6"/>
      <c r="DY256" s="6"/>
      <c r="DZ256" s="6"/>
    </row>
    <row r="257" spans="1:130" ht="34.5" hidden="1" customHeight="1">
      <c r="A257" s="679"/>
      <c r="B257" s="617" t="s">
        <v>1928</v>
      </c>
      <c r="C257" s="353"/>
      <c r="D257" s="75"/>
      <c r="E257" s="617">
        <v>1</v>
      </c>
      <c r="F257" s="1812"/>
      <c r="G257" s="369" t="s">
        <v>622</v>
      </c>
      <c r="H257" s="369" t="s">
        <v>2571</v>
      </c>
      <c r="I257" s="369" t="s">
        <v>2572</v>
      </c>
      <c r="J257" s="121" t="str">
        <f>CONCATENATE(G257," ",H257)</f>
        <v>Laura Bevilacqua</v>
      </c>
      <c r="K257" s="1335"/>
      <c r="L257" s="305"/>
      <c r="M257" s="305"/>
      <c r="N257" s="602" t="s">
        <v>2573</v>
      </c>
      <c r="O257" s="310"/>
      <c r="P257" s="359"/>
      <c r="Q257" s="359"/>
      <c r="R257" s="305"/>
      <c r="S257" s="305"/>
      <c r="T257" s="305"/>
      <c r="U257" s="305"/>
      <c r="V257" s="305"/>
      <c r="W257" s="1957"/>
      <c r="X257" s="305"/>
      <c r="Y257" s="1957"/>
      <c r="Z257" s="1957"/>
      <c r="AA257" s="1957"/>
      <c r="AB257" s="359"/>
      <c r="AC257" s="305"/>
      <c r="AD257" s="255"/>
      <c r="AE257" s="305"/>
      <c r="AF257" s="518"/>
      <c r="AG257" s="1976"/>
      <c r="AH257" s="1976"/>
      <c r="AI257" s="518"/>
      <c r="AJ257" s="353"/>
      <c r="AK257" s="353"/>
      <c r="AL257" s="353"/>
      <c r="AM257" s="518"/>
      <c r="AN257" s="361"/>
      <c r="AO257" s="361"/>
      <c r="AP257" s="361"/>
      <c r="AQ257" s="1983"/>
      <c r="AR257" s="617"/>
      <c r="AS257" s="617"/>
      <c r="AT257" s="1987"/>
      <c r="AU257" s="1983"/>
      <c r="AV257" s="617"/>
      <c r="AW257" s="1994"/>
      <c r="AX257" s="1994"/>
      <c r="AY257" s="1981"/>
      <c r="AZ257" s="121"/>
      <c r="BA257" s="495" t="s">
        <v>116</v>
      </c>
      <c r="BB257" s="162" t="s">
        <v>116</v>
      </c>
      <c r="BC257" s="1981"/>
      <c r="BD257" s="121"/>
      <c r="BE257" s="121"/>
      <c r="BF257" s="121"/>
      <c r="BG257" s="1983"/>
      <c r="BH257" s="2004"/>
      <c r="BI257" s="2004"/>
      <c r="BJ257" s="2004"/>
      <c r="BK257" s="2009"/>
      <c r="BL257" s="2019"/>
      <c r="BM257" s="2024"/>
      <c r="BN257" s="2029"/>
      <c r="BO257" s="2034"/>
      <c r="BP257" s="600"/>
      <c r="BQ257" s="347"/>
      <c r="BR257" s="2061"/>
      <c r="BS257" s="2068"/>
      <c r="BT257" s="2072"/>
      <c r="BU257" s="2077">
        <f>BN257*BQ257</f>
        <v>0</v>
      </c>
      <c r="BV257" s="2080">
        <f>BO257*BQ257</f>
        <v>0</v>
      </c>
      <c r="BW257" s="131"/>
      <c r="BX257" s="600"/>
      <c r="BY257" s="347"/>
      <c r="BZ257" s="2061"/>
      <c r="CA257" s="2068"/>
      <c r="CB257" s="2072"/>
      <c r="CC257" s="2087">
        <f>BN257*BY257</f>
        <v>0</v>
      </c>
      <c r="CD257" s="2090">
        <f>BO257*BY257</f>
        <v>0</v>
      </c>
      <c r="CE257" s="532"/>
      <c r="CF257" s="2061"/>
      <c r="CG257" s="2101"/>
      <c r="CH257" s="108"/>
      <c r="CI257" s="2061"/>
      <c r="CJ257" s="2101"/>
      <c r="CK257" s="2061"/>
      <c r="CL257" s="2061"/>
      <c r="CM257" s="2101"/>
      <c r="CN257" s="2061"/>
      <c r="CO257" s="2119"/>
      <c r="CP257" s="2119"/>
      <c r="CQ257" s="2119"/>
      <c r="CR257" s="2119"/>
      <c r="CS257" s="2119"/>
      <c r="CT257" s="2119"/>
      <c r="CU257" s="90"/>
      <c r="CV257" s="369"/>
      <c r="CW257" s="369"/>
      <c r="CX257" s="354"/>
      <c r="CY257" s="354"/>
      <c r="CZ257" s="353"/>
      <c r="DA257" s="305" t="s">
        <v>2574</v>
      </c>
      <c r="DB257" s="2157" t="str">
        <f>PROPER(N257)</f>
        <v>Studio Ufficio</v>
      </c>
      <c r="DC257" s="191" t="s">
        <v>2575</v>
      </c>
      <c r="DD257" s="2166">
        <f>BP257</f>
        <v>0</v>
      </c>
      <c r="DE257" s="2170" t="b">
        <f>IF(OR(D257&gt;0),IF(BJ257=0,BN257*BQ257,0))</f>
        <v>0</v>
      </c>
      <c r="DF257" s="2170" t="b">
        <f>IF(OR(D257&gt;0),IF(BJ257=0,BN257*BY257,0))</f>
        <v>0</v>
      </c>
      <c r="DG257" s="347">
        <f>BX257</f>
        <v>0</v>
      </c>
      <c r="DH257" s="1849"/>
      <c r="DI257" s="120" t="s">
        <v>126</v>
      </c>
      <c r="DJ257" s="120"/>
      <c r="DK257" s="207"/>
      <c r="DL257" s="207"/>
      <c r="DM257" s="248"/>
    </row>
    <row r="258" spans="1:130" ht="34.5" hidden="1" customHeight="1">
      <c r="A258" s="228"/>
      <c r="B258" s="75" t="s">
        <v>1359</v>
      </c>
      <c r="C258" s="155"/>
      <c r="D258" s="75">
        <v>1</v>
      </c>
      <c r="E258" s="75">
        <v>1</v>
      </c>
      <c r="F258" s="75"/>
      <c r="G258" s="400" t="s">
        <v>188</v>
      </c>
      <c r="H258" s="400" t="s">
        <v>1522</v>
      </c>
      <c r="I258" s="207" t="s">
        <v>1523</v>
      </c>
      <c r="J258" s="155" t="str">
        <f>CONCATENATE(G258," ",H258)</f>
        <v>Andrea Simonato</v>
      </c>
      <c r="K258" s="156">
        <v>3666269300</v>
      </c>
      <c r="L258" s="435"/>
      <c r="M258" s="450" t="s">
        <v>514</v>
      </c>
      <c r="N258" s="160" t="s">
        <v>1524</v>
      </c>
      <c r="O258" s="402"/>
      <c r="P258" s="315"/>
      <c r="Q258" s="160"/>
      <c r="R258" s="403"/>
      <c r="S258" s="160"/>
      <c r="T258" s="404"/>
      <c r="U258" s="315"/>
      <c r="V258" s="315"/>
      <c r="W258" s="315"/>
      <c r="X258" s="131"/>
      <c r="Y258" s="315"/>
      <c r="Z258" s="315"/>
      <c r="AA258" s="315"/>
      <c r="AB258" s="37"/>
      <c r="AC258" s="131"/>
      <c r="AD258" s="121" t="s">
        <v>1525</v>
      </c>
      <c r="AE258" s="88"/>
      <c r="AF258" s="405"/>
      <c r="AG258" s="406"/>
      <c r="AH258" s="406"/>
      <c r="AI258" s="405"/>
      <c r="AJ258" s="155"/>
      <c r="AK258" s="155"/>
      <c r="AL258" s="155"/>
      <c r="AM258" s="407"/>
      <c r="AN258" s="155"/>
      <c r="AO258" s="155"/>
      <c r="AP258" s="155"/>
      <c r="AQ258" s="85"/>
      <c r="AR258" s="259"/>
      <c r="AS258" s="259"/>
      <c r="AT258" s="3"/>
      <c r="AU258" s="408"/>
      <c r="AV258" s="75"/>
      <c r="AW258" s="121"/>
      <c r="AX258" s="121"/>
      <c r="AY258" s="85"/>
      <c r="AZ258" s="460" t="s">
        <v>115</v>
      </c>
      <c r="BA258" s="460" t="s">
        <v>115</v>
      </c>
      <c r="BB258" s="135" t="s">
        <v>154</v>
      </c>
      <c r="BC258" s="85"/>
      <c r="BD258" s="121"/>
      <c r="BE258" s="121"/>
      <c r="BF258" s="121" t="s">
        <v>115</v>
      </c>
      <c r="BG258" s="408"/>
      <c r="BH258" s="238">
        <f>CF258+CI258+CL258+CO258+CR258</f>
        <v>2997</v>
      </c>
      <c r="BI258" s="238">
        <f>CH258+CK258+CN258+CQ258+CT258</f>
        <v>2997</v>
      </c>
      <c r="BJ258" s="238">
        <f>BH258-BI258</f>
        <v>0</v>
      </c>
      <c r="BK258" s="239"/>
      <c r="BL258" s="260"/>
      <c r="BM258" s="241"/>
      <c r="BN258" s="462">
        <v>2997</v>
      </c>
      <c r="BO258" s="463"/>
      <c r="BP258" s="105" t="s">
        <v>141</v>
      </c>
      <c r="BQ258" s="98">
        <v>0.15</v>
      </c>
      <c r="BR258" s="409"/>
      <c r="BS258" s="242">
        <f>BL258*BQ258</f>
        <v>0</v>
      </c>
      <c r="BT258" s="203">
        <f>BM258*BQ258</f>
        <v>0</v>
      </c>
      <c r="BU258" s="167">
        <f>BN258*BQ258</f>
        <v>449.55</v>
      </c>
      <c r="BV258" s="168">
        <f>BO258*BQ258</f>
        <v>0</v>
      </c>
      <c r="BW258" s="160" t="s">
        <v>185</v>
      </c>
      <c r="BX258" s="105" t="s">
        <v>141</v>
      </c>
      <c r="BY258" s="145">
        <v>0.05</v>
      </c>
      <c r="BZ258" s="262"/>
      <c r="CA258" s="242">
        <f>BL258*BY258</f>
        <v>0</v>
      </c>
      <c r="CB258" s="101">
        <f>BM258*BY258</f>
        <v>0</v>
      </c>
      <c r="CC258" s="106">
        <f>BN258*BY258</f>
        <v>149.85</v>
      </c>
      <c r="CD258" s="107">
        <f>BO258*BY258</f>
        <v>0</v>
      </c>
      <c r="CE258" s="160" t="s">
        <v>185</v>
      </c>
      <c r="CF258" s="470">
        <v>2997</v>
      </c>
      <c r="CG258" s="471">
        <v>45198</v>
      </c>
      <c r="CH258" s="470">
        <v>2997</v>
      </c>
      <c r="CI258" s="415"/>
      <c r="CJ258" s="416"/>
      <c r="CK258" s="415"/>
      <c r="CL258" s="415"/>
      <c r="CM258" s="416"/>
      <c r="CN258" s="415"/>
      <c r="CO258" s="263"/>
      <c r="CP258" s="263"/>
      <c r="CQ258" s="263"/>
      <c r="CR258" s="263"/>
      <c r="CS258" s="263"/>
      <c r="CT258" s="263"/>
      <c r="CU258" s="90">
        <v>1</v>
      </c>
      <c r="CV258" s="181"/>
      <c r="CW258" s="181"/>
      <c r="CX258" s="181"/>
      <c r="CY258" s="155"/>
      <c r="CZ258" s="121"/>
      <c r="DA258" s="428" t="s">
        <v>501</v>
      </c>
      <c r="DB258" s="115" t="str">
        <f>PROPER(N258)</f>
        <v>Steelform</v>
      </c>
      <c r="DC258" s="280" t="s">
        <v>1526</v>
      </c>
      <c r="DD258" s="116" t="str">
        <f>BP258</f>
        <v>Daniele</v>
      </c>
      <c r="DE258" s="117">
        <f>IF(OR(D258&gt;0),IF(BJ258=0,BN258*BQ258,0))</f>
        <v>449.55</v>
      </c>
      <c r="DF258" s="117">
        <f>IF(OR(D258&gt;0),IF(BJ258=0,BN258*BY258,0))</f>
        <v>149.85</v>
      </c>
      <c r="DG258" s="118" t="str">
        <f>BX258</f>
        <v>Daniele</v>
      </c>
      <c r="DH258" s="76"/>
      <c r="DI258" s="120" t="s">
        <v>154</v>
      </c>
      <c r="DJ258" s="120"/>
      <c r="DK258" s="74" t="s">
        <v>1399</v>
      </c>
      <c r="DL258" s="74" t="s">
        <v>1399</v>
      </c>
      <c r="DM258" s="122">
        <v>1</v>
      </c>
      <c r="DN258" s="6"/>
      <c r="DO258" s="6"/>
      <c r="DP258" s="6"/>
      <c r="DQ258" s="6"/>
      <c r="DR258" s="6"/>
      <c r="DS258" s="6"/>
      <c r="DT258" s="6"/>
      <c r="DU258" s="6"/>
      <c r="DV258" s="6"/>
      <c r="DW258" s="6"/>
      <c r="DX258" s="6"/>
      <c r="DY258" s="6"/>
      <c r="DZ258" s="6"/>
    </row>
    <row r="259" spans="1:130" ht="34.5" hidden="1" customHeight="1">
      <c r="A259" s="228"/>
      <c r="B259" s="75" t="s">
        <v>1359</v>
      </c>
      <c r="C259" s="155"/>
      <c r="D259" s="75"/>
      <c r="E259" s="75"/>
      <c r="F259" s="75"/>
      <c r="G259" s="400" t="s">
        <v>414</v>
      </c>
      <c r="H259" s="400" t="s">
        <v>1527</v>
      </c>
      <c r="I259" s="207" t="s">
        <v>1528</v>
      </c>
      <c r="J259" s="155" t="str">
        <f>CONCATENATE(G259," ",H259)</f>
        <v>Barbara De Monte</v>
      </c>
      <c r="K259" s="156">
        <v>3357869124</v>
      </c>
      <c r="L259" s="435"/>
      <c r="M259" s="450" t="s">
        <v>514</v>
      </c>
      <c r="N259" s="160" t="s">
        <v>1524</v>
      </c>
      <c r="O259" s="402"/>
      <c r="P259" s="315"/>
      <c r="Q259" s="160"/>
      <c r="R259" s="403"/>
      <c r="S259" s="160"/>
      <c r="T259" s="404"/>
      <c r="U259" s="315"/>
      <c r="V259" s="315"/>
      <c r="W259" s="315"/>
      <c r="X259" s="131"/>
      <c r="Y259" s="315"/>
      <c r="Z259" s="315"/>
      <c r="AA259" s="315"/>
      <c r="AB259" s="37"/>
      <c r="AC259" s="131"/>
      <c r="AD259" s="121" t="s">
        <v>1525</v>
      </c>
      <c r="AE259" s="88"/>
      <c r="AF259" s="405"/>
      <c r="AG259" s="406"/>
      <c r="AH259" s="406"/>
      <c r="AI259" s="405"/>
      <c r="AJ259" s="155"/>
      <c r="AK259" s="155"/>
      <c r="AL259" s="155"/>
      <c r="AM259" s="407"/>
      <c r="AN259" s="155"/>
      <c r="AO259" s="155"/>
      <c r="AP259" s="155"/>
      <c r="AQ259" s="85"/>
      <c r="AR259" s="259"/>
      <c r="AS259" s="259"/>
      <c r="AT259" s="3"/>
      <c r="AU259" s="408"/>
      <c r="AV259" s="75"/>
      <c r="AW259" s="121"/>
      <c r="AX259" s="121"/>
      <c r="AY259" s="85"/>
      <c r="AZ259" s="121"/>
      <c r="BA259" s="121"/>
      <c r="BB259" s="121"/>
      <c r="BC259" s="85"/>
      <c r="BD259" s="121" t="s">
        <v>115</v>
      </c>
      <c r="BE259" s="121" t="s">
        <v>1529</v>
      </c>
      <c r="BF259" s="121" t="s">
        <v>115</v>
      </c>
      <c r="BG259" s="408"/>
      <c r="BH259" s="238">
        <f>CF259+CI259+CL259+CO259+CR259</f>
        <v>2997</v>
      </c>
      <c r="BI259" s="238">
        <f>CH259+CK259+CN259+CQ259+CT259</f>
        <v>2997</v>
      </c>
      <c r="BJ259" s="238">
        <f>BH259-BI259</f>
        <v>0</v>
      </c>
      <c r="BK259" s="239"/>
      <c r="BL259" s="260"/>
      <c r="BM259" s="241"/>
      <c r="BN259" s="142"/>
      <c r="BO259" s="182">
        <v>2997</v>
      </c>
      <c r="BP259" s="105" t="s">
        <v>141</v>
      </c>
      <c r="BQ259" s="98">
        <v>0.15</v>
      </c>
      <c r="BR259" s="409"/>
      <c r="BS259" s="242">
        <f>BL259*BQ259</f>
        <v>0</v>
      </c>
      <c r="BT259" s="203">
        <f>BM259*BQ259</f>
        <v>0</v>
      </c>
      <c r="BU259" s="167">
        <f>BN259*BQ259</f>
        <v>0</v>
      </c>
      <c r="BV259" s="168">
        <f>BO259*BQ259</f>
        <v>449.55</v>
      </c>
      <c r="BW259" s="131"/>
      <c r="BX259" s="105" t="s">
        <v>141</v>
      </c>
      <c r="BY259" s="145">
        <v>0.05</v>
      </c>
      <c r="BZ259" s="262"/>
      <c r="CA259" s="242">
        <f>BL259*BY259</f>
        <v>0</v>
      </c>
      <c r="CB259" s="101">
        <f>BM259*BY259</f>
        <v>0</v>
      </c>
      <c r="CC259" s="106">
        <f>BN259*BY259</f>
        <v>0</v>
      </c>
      <c r="CD259" s="107">
        <f>BO259*BY259</f>
        <v>149.85</v>
      </c>
      <c r="CE259" s="411"/>
      <c r="CF259" s="470">
        <v>2997</v>
      </c>
      <c r="CG259" s="471">
        <v>45198</v>
      </c>
      <c r="CH259" s="470">
        <v>2997</v>
      </c>
      <c r="CI259" s="415"/>
      <c r="CJ259" s="416"/>
      <c r="CK259" s="415"/>
      <c r="CL259" s="415"/>
      <c r="CM259" s="416"/>
      <c r="CN259" s="415"/>
      <c r="CO259" s="263"/>
      <c r="CP259" s="263"/>
      <c r="CQ259" s="263"/>
      <c r="CR259" s="263"/>
      <c r="CS259" s="263"/>
      <c r="CT259" s="263"/>
      <c r="CU259" s="90">
        <v>1</v>
      </c>
      <c r="CV259" s="181"/>
      <c r="CW259" s="181"/>
      <c r="CX259" s="181"/>
      <c r="CY259" s="155"/>
      <c r="CZ259" s="121"/>
      <c r="DA259" s="428" t="s">
        <v>501</v>
      </c>
      <c r="DB259" s="115" t="str">
        <f>PROPER(N259)</f>
        <v>Steelform</v>
      </c>
      <c r="DC259" s="280" t="s">
        <v>1526</v>
      </c>
      <c r="DD259" s="116" t="str">
        <f>BP259</f>
        <v>Daniele</v>
      </c>
      <c r="DE259" s="117" t="b">
        <f>IF(OR(D259&gt;0),IF(BJ259=0,BN259*BQ259,0))</f>
        <v>0</v>
      </c>
      <c r="DF259" s="117" t="b">
        <f>IF(OR(D259&gt;0),IF(BJ259=0,BN259*BY259,0))</f>
        <v>0</v>
      </c>
      <c r="DG259" s="118" t="str">
        <f>BX259</f>
        <v>Daniele</v>
      </c>
      <c r="DH259" s="76"/>
      <c r="DI259" s="120" t="s">
        <v>154</v>
      </c>
      <c r="DJ259" s="120"/>
      <c r="DK259" s="74" t="s">
        <v>1399</v>
      </c>
      <c r="DL259" s="74" t="s">
        <v>1399</v>
      </c>
      <c r="DM259" s="122">
        <v>1</v>
      </c>
      <c r="DN259" s="6"/>
      <c r="DO259" s="6"/>
      <c r="DP259" s="6"/>
      <c r="DQ259" s="6"/>
      <c r="DR259" s="6"/>
      <c r="DS259" s="6"/>
      <c r="DT259" s="6"/>
      <c r="DU259" s="6"/>
      <c r="DV259" s="6"/>
      <c r="DW259" s="6"/>
      <c r="DX259" s="6"/>
      <c r="DY259" s="6"/>
      <c r="DZ259" s="6"/>
    </row>
    <row r="260" spans="1:130" ht="34.5" hidden="1" customHeight="1">
      <c r="A260" s="228"/>
      <c r="B260" s="75" t="s">
        <v>1359</v>
      </c>
      <c r="C260" s="155"/>
      <c r="D260" s="75"/>
      <c r="E260" s="75">
        <v>1</v>
      </c>
      <c r="F260" s="75"/>
      <c r="G260" s="400" t="s">
        <v>622</v>
      </c>
      <c r="H260" s="400" t="s">
        <v>1840</v>
      </c>
      <c r="I260" s="207" t="s">
        <v>1841</v>
      </c>
      <c r="J260" s="121" t="str">
        <f>CONCATENATE(G260," ",H260)</f>
        <v>Laura Maccapanni</v>
      </c>
      <c r="K260" s="156">
        <v>3497718595</v>
      </c>
      <c r="L260" s="435"/>
      <c r="M260" s="478" t="s">
        <v>1177</v>
      </c>
      <c r="N260" s="160" t="s">
        <v>1842</v>
      </c>
      <c r="O260" s="402"/>
      <c r="P260" s="315"/>
      <c r="Q260" s="160"/>
      <c r="R260" s="403"/>
      <c r="S260" s="160"/>
      <c r="T260" s="404"/>
      <c r="U260" s="315"/>
      <c r="V260" s="315"/>
      <c r="W260" s="315"/>
      <c r="X260" s="131"/>
      <c r="Y260" s="315"/>
      <c r="Z260" s="315"/>
      <c r="AA260" s="315"/>
      <c r="AB260" s="37"/>
      <c r="AC260" s="131"/>
      <c r="AD260" s="121" t="s">
        <v>1843</v>
      </c>
      <c r="AE260" s="88"/>
      <c r="AF260" s="405"/>
      <c r="AG260" s="406"/>
      <c r="AH260" s="406"/>
      <c r="AI260" s="405"/>
      <c r="AJ260" s="155"/>
      <c r="AK260" s="155"/>
      <c r="AL260" s="155"/>
      <c r="AM260" s="407"/>
      <c r="AN260" s="155"/>
      <c r="AO260" s="155"/>
      <c r="AP260" s="155"/>
      <c r="AQ260" s="85"/>
      <c r="AR260" s="259"/>
      <c r="AS260" s="259"/>
      <c r="AT260" s="1987"/>
      <c r="AU260" s="408"/>
      <c r="AV260" s="75"/>
      <c r="AW260" s="121"/>
      <c r="AX260" s="121"/>
      <c r="AY260" s="85"/>
      <c r="AZ260" s="121"/>
      <c r="BA260" s="121" t="s">
        <v>115</v>
      </c>
      <c r="BB260" s="135" t="s">
        <v>115</v>
      </c>
      <c r="BC260" s="85"/>
      <c r="BD260" s="121" t="s">
        <v>115</v>
      </c>
      <c r="BE260" s="121"/>
      <c r="BF260" s="121"/>
      <c r="BG260" s="408"/>
      <c r="BH260" s="238">
        <f>CF260+CI260+CL260+CO260+CR260</f>
        <v>2997</v>
      </c>
      <c r="BI260" s="238">
        <f>CH260+CK260+CN260+CQ260+CT260</f>
        <v>2997</v>
      </c>
      <c r="BJ260" s="238">
        <f>BH260-BI260</f>
        <v>0</v>
      </c>
      <c r="BK260" s="239"/>
      <c r="BL260" s="260"/>
      <c r="BM260" s="241"/>
      <c r="BN260" s="142">
        <v>2997</v>
      </c>
      <c r="BO260" s="182"/>
      <c r="BP260" s="105" t="s">
        <v>117</v>
      </c>
      <c r="BQ260" s="98">
        <v>0</v>
      </c>
      <c r="BR260" s="409"/>
      <c r="BS260" s="242">
        <f>BL260*BQ260</f>
        <v>0</v>
      </c>
      <c r="BT260" s="203">
        <f>BM260*BQ260</f>
        <v>0</v>
      </c>
      <c r="BU260" s="167">
        <f>BN260*BQ260</f>
        <v>0</v>
      </c>
      <c r="BV260" s="168">
        <f>BO260*BQ260</f>
        <v>0</v>
      </c>
      <c r="BW260" s="131"/>
      <c r="BX260" s="105" t="s">
        <v>160</v>
      </c>
      <c r="BY260" s="145">
        <v>0.05</v>
      </c>
      <c r="BZ260" s="262"/>
      <c r="CA260" s="242">
        <f>BL260*BY260</f>
        <v>0</v>
      </c>
      <c r="CB260" s="101">
        <f>BM260*BY260</f>
        <v>0</v>
      </c>
      <c r="CC260" s="106">
        <f>BN260*BY260</f>
        <v>149.85</v>
      </c>
      <c r="CD260" s="107">
        <f>BO260*BY260</f>
        <v>0</v>
      </c>
      <c r="CE260" s="244"/>
      <c r="CF260" s="108">
        <v>2997</v>
      </c>
      <c r="CG260" s="109">
        <v>45198</v>
      </c>
      <c r="CH260" s="108">
        <v>2997</v>
      </c>
      <c r="CI260" s="415"/>
      <c r="CJ260" s="184"/>
      <c r="CK260" s="415"/>
      <c r="CL260" s="415"/>
      <c r="CM260" s="416"/>
      <c r="CN260" s="415"/>
      <c r="CO260" s="263"/>
      <c r="CP260" s="263"/>
      <c r="CQ260" s="263"/>
      <c r="CR260" s="263"/>
      <c r="CS260" s="263"/>
      <c r="CT260" s="263"/>
      <c r="CU260" s="90">
        <v>1</v>
      </c>
      <c r="CV260" s="181"/>
      <c r="CW260" s="181"/>
      <c r="CX260" s="181"/>
      <c r="CY260" s="155"/>
      <c r="CZ260" s="121"/>
      <c r="DA260" s="424" t="s">
        <v>1844</v>
      </c>
      <c r="DB260" s="2158" t="str">
        <f>PROPER(N260)</f>
        <v>Corporate And Finance</v>
      </c>
      <c r="DC260" s="280" t="s">
        <v>1845</v>
      </c>
      <c r="DD260" s="116" t="str">
        <f>BP260</f>
        <v>blackship</v>
      </c>
      <c r="DE260" s="117" t="b">
        <f>IF(OR(D260&gt;0),IF(BJ260=0,BN260*BQ260,0))</f>
        <v>0</v>
      </c>
      <c r="DF260" s="117" t="b">
        <f>IF(OR(D260&gt;0),IF(BJ260=0,BN260*BY260,0))</f>
        <v>0</v>
      </c>
      <c r="DG260" s="118" t="str">
        <f>BX260</f>
        <v>Gianluca</v>
      </c>
      <c r="DH260" s="76"/>
      <c r="DI260" s="120" t="s">
        <v>126</v>
      </c>
      <c r="DJ260" s="120"/>
      <c r="DK260" s="74" t="s">
        <v>1418</v>
      </c>
      <c r="DL260" s="74" t="s">
        <v>1418</v>
      </c>
      <c r="DM260" s="122"/>
      <c r="DN260" s="6"/>
      <c r="DO260" s="6"/>
      <c r="DP260" s="6"/>
      <c r="DQ260" s="6"/>
      <c r="DR260" s="6"/>
      <c r="DS260" s="6"/>
      <c r="DT260" s="6"/>
      <c r="DU260" s="6"/>
      <c r="DV260" s="6"/>
      <c r="DW260" s="6"/>
      <c r="DX260" s="6"/>
      <c r="DY260" s="6"/>
      <c r="DZ260" s="6"/>
    </row>
    <row r="261" spans="1:130" ht="34.5" hidden="1" customHeight="1">
      <c r="A261" s="228"/>
      <c r="B261" s="75" t="s">
        <v>1324</v>
      </c>
      <c r="C261" s="155"/>
      <c r="D261" s="75">
        <v>1</v>
      </c>
      <c r="E261" s="75">
        <v>1</v>
      </c>
      <c r="F261" s="75"/>
      <c r="G261" s="400" t="s">
        <v>622</v>
      </c>
      <c r="H261" s="400" t="s">
        <v>1338</v>
      </c>
      <c r="I261" s="207" t="s">
        <v>1339</v>
      </c>
      <c r="J261" s="121" t="str">
        <f>CONCATENATE(G261," ",H261)</f>
        <v>Laura Mura</v>
      </c>
      <c r="K261" s="156">
        <v>3667774150</v>
      </c>
      <c r="L261" s="156"/>
      <c r="M261" s="478"/>
      <c r="N261" s="160" t="s">
        <v>937</v>
      </c>
      <c r="O261" s="402"/>
      <c r="P261" s="315"/>
      <c r="Q261" s="160"/>
      <c r="R261" s="403"/>
      <c r="S261" s="160"/>
      <c r="T261" s="404"/>
      <c r="U261" s="315"/>
      <c r="V261" s="315"/>
      <c r="W261" s="315"/>
      <c r="X261" s="131"/>
      <c r="Y261" s="315"/>
      <c r="Z261" s="315"/>
      <c r="AA261" s="315"/>
      <c r="AB261" s="37"/>
      <c r="AC261" s="131"/>
      <c r="AD261" s="121" t="s">
        <v>1328</v>
      </c>
      <c r="AE261" s="88"/>
      <c r="AF261" s="405"/>
      <c r="AG261" s="406"/>
      <c r="AH261" s="406"/>
      <c r="AI261" s="405"/>
      <c r="AJ261" s="155"/>
      <c r="AK261" s="155"/>
      <c r="AL261" s="155"/>
      <c r="AM261" s="407"/>
      <c r="AN261" s="155"/>
      <c r="AO261" s="155"/>
      <c r="AP261" s="155"/>
      <c r="AQ261" s="85"/>
      <c r="AR261" s="259"/>
      <c r="AS261" s="259"/>
      <c r="AT261" s="3"/>
      <c r="AU261" s="408"/>
      <c r="AV261" s="75"/>
      <c r="AW261" s="121"/>
      <c r="AX261" s="121"/>
      <c r="AY261" s="85"/>
      <c r="AZ261" s="121" t="s">
        <v>245</v>
      </c>
      <c r="BA261" s="121" t="s">
        <v>245</v>
      </c>
      <c r="BB261" s="135" t="s">
        <v>115</v>
      </c>
      <c r="BC261" s="85"/>
      <c r="BD261" s="121"/>
      <c r="BE261" s="121"/>
      <c r="BF261" s="121"/>
      <c r="BG261" s="408"/>
      <c r="BH261" s="238">
        <f>CF261+CI261+CL261+CO261+CR261</f>
        <v>2397</v>
      </c>
      <c r="BI261" s="238">
        <f>CH261+CK261+CN261+CQ261+CT261</f>
        <v>0</v>
      </c>
      <c r="BJ261" s="238">
        <f>BH261-BI261</f>
        <v>2397</v>
      </c>
      <c r="BK261" s="239"/>
      <c r="BL261" s="260"/>
      <c r="BM261" s="241"/>
      <c r="BN261" s="142">
        <v>2397</v>
      </c>
      <c r="BO261" s="182"/>
      <c r="BP261" s="275" t="s">
        <v>262</v>
      </c>
      <c r="BQ261" s="98">
        <v>0.15</v>
      </c>
      <c r="BR261" s="409"/>
      <c r="BS261" s="242"/>
      <c r="BT261" s="203"/>
      <c r="BU261" s="167">
        <f>BN261*BQ261</f>
        <v>359.55</v>
      </c>
      <c r="BV261" s="168">
        <f>BO261*BQ261</f>
        <v>0</v>
      </c>
      <c r="BW261" s="131"/>
      <c r="BX261" s="105" t="s">
        <v>262</v>
      </c>
      <c r="BY261" s="145">
        <v>0.1</v>
      </c>
      <c r="BZ261" s="262"/>
      <c r="CA261" s="242"/>
      <c r="CB261" s="101"/>
      <c r="CC261" s="102">
        <f>BV261*BY261</f>
        <v>0</v>
      </c>
      <c r="CD261" s="103">
        <f>BW261*BY261</f>
        <v>0</v>
      </c>
      <c r="CE261" s="244"/>
      <c r="CF261" s="2061">
        <v>2397</v>
      </c>
      <c r="CG261" s="109"/>
      <c r="CH261" s="2105"/>
      <c r="CI261" s="415"/>
      <c r="CJ261" s="416"/>
      <c r="CK261" s="415"/>
      <c r="CL261" s="415"/>
      <c r="CM261" s="416"/>
      <c r="CN261" s="415"/>
      <c r="CO261" s="263"/>
      <c r="CP261" s="263"/>
      <c r="CQ261" s="263"/>
      <c r="CR261" s="263"/>
      <c r="CS261" s="263"/>
      <c r="CT261" s="263"/>
      <c r="CU261" s="90"/>
      <c r="CV261" s="181"/>
      <c r="CW261" s="181"/>
      <c r="CX261" s="181"/>
      <c r="CY261" s="155"/>
      <c r="CZ261" s="121"/>
      <c r="DA261" s="384" t="s">
        <v>938</v>
      </c>
      <c r="DB261" s="115" t="str">
        <f>PROPER(N261)</f>
        <v>Ey</v>
      </c>
      <c r="DC261" s="191" t="s">
        <v>264</v>
      </c>
      <c r="DD261" s="116" t="str">
        <f>BP261</f>
        <v>Pacci</v>
      </c>
      <c r="DE261" s="117">
        <f>IF(OR(D261&gt;0),IF(BJ261=0,BN261*BQ261,0))</f>
        <v>0</v>
      </c>
      <c r="DF261" s="117">
        <f>IF(OR(D261&gt;0),IF(BJ261=0,BN261*BY261,0))</f>
        <v>0</v>
      </c>
      <c r="DG261" s="118" t="str">
        <f>BX261</f>
        <v>Pacci</v>
      </c>
      <c r="DH261" s="76"/>
      <c r="DI261" s="120" t="s">
        <v>126</v>
      </c>
      <c r="DJ261" s="120"/>
      <c r="DK261" s="74"/>
      <c r="DL261" s="74"/>
      <c r="DM261" s="122"/>
      <c r="DN261" s="6"/>
      <c r="DO261" s="6"/>
      <c r="DP261" s="6"/>
      <c r="DQ261" s="6"/>
      <c r="DR261" s="6"/>
      <c r="DS261" s="6"/>
      <c r="DT261" s="6"/>
      <c r="DU261" s="6"/>
      <c r="DV261" s="6"/>
      <c r="DW261" s="6"/>
      <c r="DX261" s="6"/>
      <c r="DY261" s="6"/>
      <c r="DZ261" s="6"/>
    </row>
    <row r="262" spans="1:130" ht="34.5" hidden="1" customHeight="1">
      <c r="A262" s="228"/>
      <c r="B262" s="75" t="s">
        <v>1359</v>
      </c>
      <c r="C262" s="155"/>
      <c r="D262" s="75"/>
      <c r="E262" s="75"/>
      <c r="F262" s="75"/>
      <c r="G262" s="420" t="s">
        <v>1545</v>
      </c>
      <c r="H262" s="420"/>
      <c r="I262" s="449"/>
      <c r="J262" s="155" t="str">
        <f>CONCATENATE(G262," ",H262)</f>
        <v xml:space="preserve">1 Partecipante Eco Impianti </v>
      </c>
      <c r="K262" s="156"/>
      <c r="L262" s="477" t="s">
        <v>1546</v>
      </c>
      <c r="M262" s="478"/>
      <c r="N262" s="160" t="s">
        <v>1540</v>
      </c>
      <c r="O262" s="402"/>
      <c r="P262" s="315"/>
      <c r="Q262" s="160"/>
      <c r="R262" s="403"/>
      <c r="S262" s="160"/>
      <c r="T262" s="404"/>
      <c r="U262" s="315"/>
      <c r="V262" s="315"/>
      <c r="W262" s="315"/>
      <c r="X262" s="131"/>
      <c r="Y262" s="315"/>
      <c r="Z262" s="315"/>
      <c r="AA262" s="315"/>
      <c r="AB262" s="37"/>
      <c r="AC262" s="131"/>
      <c r="AD262" s="121"/>
      <c r="AE262" s="88"/>
      <c r="AF262" s="405"/>
      <c r="AG262" s="406"/>
      <c r="AH262" s="406"/>
      <c r="AI262" s="405"/>
      <c r="AJ262" s="155"/>
      <c r="AK262" s="155"/>
      <c r="AL262" s="155"/>
      <c r="AM262" s="407"/>
      <c r="AN262" s="155"/>
      <c r="AO262" s="155"/>
      <c r="AP262" s="155"/>
      <c r="AQ262" s="85"/>
      <c r="AR262" s="259"/>
      <c r="AS262" s="259"/>
      <c r="AT262" s="3"/>
      <c r="AU262" s="408"/>
      <c r="AV262" s="75"/>
      <c r="AW262" s="121"/>
      <c r="AX262" s="121"/>
      <c r="AY262" s="85"/>
      <c r="AZ262" s="154" t="s">
        <v>165</v>
      </c>
      <c r="BA262" s="154" t="s">
        <v>165</v>
      </c>
      <c r="BB262" s="154" t="s">
        <v>165</v>
      </c>
      <c r="BC262" s="85"/>
      <c r="BD262" s="121"/>
      <c r="BE262" s="121"/>
      <c r="BF262" s="121"/>
      <c r="BG262" s="408"/>
      <c r="BH262" s="238">
        <f>CF262+CI262+CL262+CO262+CR262</f>
        <v>0</v>
      </c>
      <c r="BI262" s="238">
        <f>CH262+CK262+CN262+CQ262+CT262</f>
        <v>0</v>
      </c>
      <c r="BJ262" s="238">
        <f>BH262-BI262</f>
        <v>0</v>
      </c>
      <c r="BK262" s="239"/>
      <c r="BL262" s="260"/>
      <c r="BM262" s="241"/>
      <c r="BN262" s="142"/>
      <c r="BO262" s="182"/>
      <c r="BP262" s="105" t="s">
        <v>861</v>
      </c>
      <c r="BQ262" s="98"/>
      <c r="BR262" s="409"/>
      <c r="BS262" s="242">
        <f>BL262*BQ262</f>
        <v>0</v>
      </c>
      <c r="BT262" s="203">
        <f>BM262*BQ262</f>
        <v>0</v>
      </c>
      <c r="BU262" s="167">
        <f>BN262*BQ262</f>
        <v>0</v>
      </c>
      <c r="BV262" s="168">
        <f>BO262*BQ262</f>
        <v>0</v>
      </c>
      <c r="BW262" s="131"/>
      <c r="BX262" s="105" t="s">
        <v>861</v>
      </c>
      <c r="BY262" s="145"/>
      <c r="BZ262" s="262"/>
      <c r="CA262" s="242">
        <f>BL262*BY262</f>
        <v>0</v>
      </c>
      <c r="CB262" s="101">
        <f>BM262*BY262</f>
        <v>0</v>
      </c>
      <c r="CC262" s="106">
        <f>BN262*BY262</f>
        <v>0</v>
      </c>
      <c r="CD262" s="107">
        <f>BO262*BY262</f>
        <v>0</v>
      </c>
      <c r="CE262" s="411"/>
      <c r="CF262" s="470"/>
      <c r="CG262" s="109"/>
      <c r="CH262" s="414"/>
      <c r="CI262" s="415"/>
      <c r="CJ262" s="416"/>
      <c r="CK262" s="415"/>
      <c r="CL262" s="415"/>
      <c r="CM262" s="416"/>
      <c r="CN262" s="415"/>
      <c r="CO262" s="263"/>
      <c r="CP262" s="263"/>
      <c r="CQ262" s="263"/>
      <c r="CR262" s="263"/>
      <c r="CS262" s="263"/>
      <c r="CT262" s="263"/>
      <c r="CU262" s="90">
        <v>1</v>
      </c>
      <c r="CV262" s="181"/>
      <c r="CW262" s="181"/>
      <c r="CX262" s="181"/>
      <c r="CY262" s="155"/>
      <c r="CZ262" s="121"/>
      <c r="DA262" s="426" t="s">
        <v>1542</v>
      </c>
      <c r="DB262" s="115" t="s">
        <v>1543</v>
      </c>
      <c r="DC262" s="280" t="s">
        <v>1544</v>
      </c>
      <c r="DD262" s="116" t="str">
        <f>BP262</f>
        <v>Simone</v>
      </c>
      <c r="DE262" s="117" t="b">
        <f>IF(OR(D262&gt;0),IF(BJ262=0,BN262*BQ262,0))</f>
        <v>0</v>
      </c>
      <c r="DF262" s="117" t="b">
        <f>IF(OR(D262&gt;0),IF(BJ262=0,BN262*BY262,0))</f>
        <v>0</v>
      </c>
      <c r="DG262" s="118" t="str">
        <f>BX262</f>
        <v>Simone</v>
      </c>
      <c r="DH262" s="76"/>
      <c r="DI262" s="120" t="s">
        <v>154</v>
      </c>
      <c r="DJ262" s="120"/>
      <c r="DK262" s="74"/>
      <c r="DL262" s="74"/>
      <c r="DM262" s="122">
        <v>1</v>
      </c>
      <c r="DN262" s="6"/>
      <c r="DO262" s="6"/>
      <c r="DP262" s="6"/>
      <c r="DQ262" s="6"/>
      <c r="DR262" s="6"/>
      <c r="DS262" s="6"/>
      <c r="DT262" s="6"/>
      <c r="DU262" s="6"/>
      <c r="DV262" s="6"/>
      <c r="DW262" s="6"/>
      <c r="DX262" s="6"/>
      <c r="DY262" s="6"/>
      <c r="DZ262" s="6"/>
    </row>
    <row r="263" spans="1:130" ht="34.5" hidden="1" customHeight="1">
      <c r="A263" s="228"/>
      <c r="B263" s="371" t="s">
        <v>1359</v>
      </c>
      <c r="C263" s="155"/>
      <c r="D263" s="75"/>
      <c r="E263" s="75"/>
      <c r="F263" s="75"/>
      <c r="G263" s="400" t="s">
        <v>1185</v>
      </c>
      <c r="H263" s="400" t="s">
        <v>1547</v>
      </c>
      <c r="I263" s="479" t="s">
        <v>1548</v>
      </c>
      <c r="J263" s="155" t="str">
        <f>CONCATENATE(G263," ",H263)</f>
        <v>Angelo La Marca</v>
      </c>
      <c r="K263" s="156">
        <v>3296331661</v>
      </c>
      <c r="L263" s="477" t="s">
        <v>1549</v>
      </c>
      <c r="M263" s="153" t="s">
        <v>1550</v>
      </c>
      <c r="N263" s="160" t="s">
        <v>1551</v>
      </c>
      <c r="O263" s="402"/>
      <c r="P263" s="315"/>
      <c r="Q263" s="160"/>
      <c r="R263" s="403"/>
      <c r="S263" s="160"/>
      <c r="T263" s="404"/>
      <c r="U263" s="315"/>
      <c r="V263" s="315"/>
      <c r="W263" s="315"/>
      <c r="X263" s="131"/>
      <c r="Y263" s="315"/>
      <c r="Z263" s="315"/>
      <c r="AA263" s="315"/>
      <c r="AB263" s="37"/>
      <c r="AC263" s="131"/>
      <c r="AD263" s="121"/>
      <c r="AE263" s="88"/>
      <c r="AF263" s="405"/>
      <c r="AG263" s="406"/>
      <c r="AH263" s="406"/>
      <c r="AI263" s="405"/>
      <c r="AJ263" s="155"/>
      <c r="AK263" s="155"/>
      <c r="AL263" s="155"/>
      <c r="AM263" s="407"/>
      <c r="AN263" s="155"/>
      <c r="AO263" s="155"/>
      <c r="AP263" s="155"/>
      <c r="AQ263" s="85"/>
      <c r="AR263" s="259"/>
      <c r="AS263" s="259"/>
      <c r="AT263" s="3"/>
      <c r="AU263" s="408"/>
      <c r="AV263" s="75"/>
      <c r="AW263" s="121"/>
      <c r="AX263" s="121"/>
      <c r="AY263" s="85"/>
      <c r="AZ263" s="444" t="s">
        <v>194</v>
      </c>
      <c r="BA263" s="444" t="s">
        <v>194</v>
      </c>
      <c r="BB263" s="444" t="s">
        <v>194</v>
      </c>
      <c r="BC263" s="85"/>
      <c r="BD263" s="121"/>
      <c r="BE263" s="121"/>
      <c r="BF263" s="121"/>
      <c r="BG263" s="408"/>
      <c r="BH263" s="238">
        <f>CF263+CI263+CL263+CO263+CR263</f>
        <v>0</v>
      </c>
      <c r="BI263" s="238">
        <f>CH263+CK263+CN263+CQ263+CT263</f>
        <v>0</v>
      </c>
      <c r="BJ263" s="238">
        <f>BH263-BI263</f>
        <v>0</v>
      </c>
      <c r="BK263" s="239"/>
      <c r="BL263" s="260"/>
      <c r="BM263" s="241"/>
      <c r="BN263" s="142"/>
      <c r="BO263" s="182"/>
      <c r="BP263" s="105" t="s">
        <v>822</v>
      </c>
      <c r="BQ263" s="98">
        <v>0.05</v>
      </c>
      <c r="BR263" s="409"/>
      <c r="BS263" s="242">
        <f>BL263*BQ263</f>
        <v>0</v>
      </c>
      <c r="BT263" s="203">
        <f>BM263*BQ263</f>
        <v>0</v>
      </c>
      <c r="BU263" s="167">
        <f>BN263*BQ263</f>
        <v>0</v>
      </c>
      <c r="BV263" s="168">
        <f>BO263*BQ263</f>
        <v>0</v>
      </c>
      <c r="BW263" s="131"/>
      <c r="BX263" s="105" t="s">
        <v>822</v>
      </c>
      <c r="BY263" s="145">
        <v>0.05</v>
      </c>
      <c r="BZ263" s="262"/>
      <c r="CA263" s="242">
        <f>BL263*BY263</f>
        <v>0</v>
      </c>
      <c r="CB263" s="101">
        <f>BM263*BY263</f>
        <v>0</v>
      </c>
      <c r="CC263" s="106">
        <f>BN263*BY263</f>
        <v>0</v>
      </c>
      <c r="CD263" s="107">
        <f>BO263*BY263</f>
        <v>0</v>
      </c>
      <c r="CE263" s="411"/>
      <c r="CF263" s="470"/>
      <c r="CG263" s="109">
        <v>45198</v>
      </c>
      <c r="CH263" s="414"/>
      <c r="CI263" s="415"/>
      <c r="CJ263" s="416"/>
      <c r="CK263" s="415"/>
      <c r="CL263" s="415"/>
      <c r="CM263" s="416"/>
      <c r="CN263" s="415"/>
      <c r="CO263" s="263"/>
      <c r="CP263" s="263"/>
      <c r="CQ263" s="263"/>
      <c r="CR263" s="263"/>
      <c r="CS263" s="263"/>
      <c r="CT263" s="263"/>
      <c r="CU263" s="90">
        <v>1</v>
      </c>
      <c r="CV263" s="181"/>
      <c r="CW263" s="181"/>
      <c r="CX263" s="181"/>
      <c r="CY263" s="155"/>
      <c r="CZ263" s="121"/>
      <c r="DA263" s="424" t="s">
        <v>1552</v>
      </c>
      <c r="DB263" s="115" t="str">
        <f>PROPER(N263)</f>
        <v>La Marca &amp; Food</v>
      </c>
      <c r="DC263" s="280" t="s">
        <v>1553</v>
      </c>
      <c r="DD263" s="116" t="str">
        <f>BP263</f>
        <v>Roberto</v>
      </c>
      <c r="DE263" s="117" t="b">
        <f>IF(OR(D263&gt;0),IF(BJ263=0,BN263*BQ263,0))</f>
        <v>0</v>
      </c>
      <c r="DF263" s="117" t="b">
        <f>IF(OR(D263&gt;0),IF(BJ263=0,BN263*BY263,0))</f>
        <v>0</v>
      </c>
      <c r="DG263" s="118" t="str">
        <f>BX263</f>
        <v>Roberto</v>
      </c>
      <c r="DH263" s="76"/>
      <c r="DI263" s="120" t="s">
        <v>154</v>
      </c>
      <c r="DJ263" s="120"/>
      <c r="DK263" s="74" t="s">
        <v>1418</v>
      </c>
      <c r="DL263" s="74" t="s">
        <v>1418</v>
      </c>
      <c r="DM263" s="122"/>
      <c r="DN263" s="6"/>
      <c r="DO263" s="6"/>
      <c r="DP263" s="6"/>
      <c r="DQ263" s="6"/>
      <c r="DR263" s="6"/>
      <c r="DS263" s="6"/>
      <c r="DT263" s="6"/>
      <c r="DU263" s="6"/>
      <c r="DV263" s="6"/>
      <c r="DW263" s="6"/>
      <c r="DX263" s="6"/>
      <c r="DY263" s="6"/>
      <c r="DZ263" s="6"/>
    </row>
    <row r="264" spans="1:130" ht="34.5" hidden="1" customHeight="1">
      <c r="A264" s="228"/>
      <c r="B264" s="75" t="s">
        <v>1359</v>
      </c>
      <c r="C264" s="155"/>
      <c r="D264" s="75"/>
      <c r="E264" s="75"/>
      <c r="F264" s="75"/>
      <c r="G264" s="400" t="s">
        <v>1554</v>
      </c>
      <c r="H264" s="400" t="s">
        <v>1555</v>
      </c>
      <c r="I264" s="207" t="s">
        <v>1556</v>
      </c>
      <c r="J264" s="155" t="str">
        <f>CONCATENATE(G264," ",H264)</f>
        <v>Arcangelo Davide Ascone</v>
      </c>
      <c r="K264" s="156">
        <v>3277933044</v>
      </c>
      <c r="L264" s="435"/>
      <c r="M264" s="153"/>
      <c r="N264" s="160" t="s">
        <v>1557</v>
      </c>
      <c r="O264" s="402"/>
      <c r="P264" s="315"/>
      <c r="Q264" s="160"/>
      <c r="R264" s="403"/>
      <c r="S264" s="160"/>
      <c r="T264" s="404"/>
      <c r="U264" s="315"/>
      <c r="V264" s="315"/>
      <c r="W264" s="315"/>
      <c r="X264" s="131"/>
      <c r="Y264" s="315"/>
      <c r="Z264" s="315"/>
      <c r="AA264" s="315"/>
      <c r="AB264" s="37"/>
      <c r="AC264" s="131"/>
      <c r="AD264" s="121"/>
      <c r="AE264" s="88"/>
      <c r="AF264" s="405"/>
      <c r="AG264" s="406"/>
      <c r="AH264" s="406"/>
      <c r="AI264" s="405"/>
      <c r="AJ264" s="155"/>
      <c r="AK264" s="155"/>
      <c r="AL264" s="155"/>
      <c r="AM264" s="407"/>
      <c r="AN264" s="155"/>
      <c r="AO264" s="155"/>
      <c r="AP264" s="155"/>
      <c r="AQ264" s="85"/>
      <c r="AR264" s="259"/>
      <c r="AS264" s="259"/>
      <c r="AT264" s="3"/>
      <c r="AU264" s="408"/>
      <c r="AV264" s="75"/>
      <c r="AW264" s="121"/>
      <c r="AX264" s="121"/>
      <c r="AY264" s="85"/>
      <c r="AZ264" s="121"/>
      <c r="BA264" s="121"/>
      <c r="BB264" s="121"/>
      <c r="BC264" s="85"/>
      <c r="BD264" s="121" t="s">
        <v>335</v>
      </c>
      <c r="BE264" s="121" t="s">
        <v>245</v>
      </c>
      <c r="BF264" s="121" t="s">
        <v>245</v>
      </c>
      <c r="BG264" s="408"/>
      <c r="BH264" s="238">
        <f>CF264+CI264+CL264+CO264+CR264</f>
        <v>3497.0000000000005</v>
      </c>
      <c r="BI264" s="238">
        <f>CH264+CK264+CN264+CQ264+CT264</f>
        <v>0</v>
      </c>
      <c r="BJ264" s="238">
        <f>BH264-BI264</f>
        <v>3497.0000000000005</v>
      </c>
      <c r="BK264" s="239"/>
      <c r="BL264" s="260"/>
      <c r="BM264" s="241"/>
      <c r="BN264" s="142"/>
      <c r="BO264" s="182">
        <v>3497</v>
      </c>
      <c r="BP264" s="441" t="s">
        <v>1558</v>
      </c>
      <c r="BQ264" s="207"/>
      <c r="BR264" s="480"/>
      <c r="BS264" s="381">
        <f>BL264*BQ264</f>
        <v>0</v>
      </c>
      <c r="BT264" s="168">
        <f>BM264*BQ264</f>
        <v>0</v>
      </c>
      <c r="BU264" s="106">
        <f>BN264*BQ264</f>
        <v>0</v>
      </c>
      <c r="BV264" s="168">
        <f>BO264*BQ264</f>
        <v>0</v>
      </c>
      <c r="BW264" s="131"/>
      <c r="BX264" s="441" t="s">
        <v>184</v>
      </c>
      <c r="BY264" s="145"/>
      <c r="BZ264" s="262"/>
      <c r="CA264" s="242">
        <f>BL264*BY264</f>
        <v>0</v>
      </c>
      <c r="CB264" s="101">
        <f>BM264*BY264</f>
        <v>0</v>
      </c>
      <c r="CC264" s="106">
        <f>BN264*BY264</f>
        <v>0</v>
      </c>
      <c r="CD264" s="107">
        <f>BO264*BY264</f>
        <v>0</v>
      </c>
      <c r="CE264" s="411"/>
      <c r="CF264" s="108">
        <f>200/1.22</f>
        <v>163.9344262295082</v>
      </c>
      <c r="CG264" s="109">
        <v>45198</v>
      </c>
      <c r="CH264" s="204"/>
      <c r="CI264" s="110">
        <f>1720/1.22</f>
        <v>1409.8360655737706</v>
      </c>
      <c r="CJ264" s="109">
        <v>45205</v>
      </c>
      <c r="CK264" s="381"/>
      <c r="CL264" s="110">
        <f>2346.34/1.22</f>
        <v>1923.2295081967216</v>
      </c>
      <c r="CM264" s="226">
        <v>45233</v>
      </c>
      <c r="CN264" s="168"/>
      <c r="CO264" s="263"/>
      <c r="CP264" s="263"/>
      <c r="CQ264" s="263"/>
      <c r="CR264" s="263"/>
      <c r="CS264" s="263"/>
      <c r="CT264" s="263"/>
      <c r="CU264" s="90">
        <v>1</v>
      </c>
      <c r="CV264" s="181"/>
      <c r="CW264" s="181"/>
      <c r="CX264" s="181"/>
      <c r="CY264" s="155"/>
      <c r="CZ264" s="121"/>
      <c r="DA264" s="424" t="s">
        <v>1559</v>
      </c>
      <c r="DB264" s="115" t="str">
        <f>PROPER(N264)</f>
        <v>Daendco</v>
      </c>
      <c r="DC264" s="280" t="s">
        <v>1560</v>
      </c>
      <c r="DD264" s="116" t="str">
        <f>BP264</f>
        <v>Walter Klinkon</v>
      </c>
      <c r="DE264" s="117" t="b">
        <f>IF(OR(D264&gt;0),IF(BJ264=0,BN264*BQ264,0))</f>
        <v>0</v>
      </c>
      <c r="DF264" s="117" t="b">
        <f>IF(OR(D264&gt;0),IF(BJ264=0,BN264*BY264,0))</f>
        <v>0</v>
      </c>
      <c r="DG264" s="118" t="str">
        <f>BX264</f>
        <v>Cristian A</v>
      </c>
      <c r="DH264" s="76"/>
      <c r="DI264" s="120" t="s">
        <v>154</v>
      </c>
      <c r="DJ264" s="120"/>
      <c r="DK264" s="74" t="s">
        <v>1418</v>
      </c>
      <c r="DL264" s="74" t="s">
        <v>1418</v>
      </c>
      <c r="DM264" s="122"/>
      <c r="DN264" s="6"/>
      <c r="DO264" s="6"/>
      <c r="DP264" s="6"/>
      <c r="DQ264" s="6"/>
      <c r="DR264" s="6"/>
      <c r="DS264" s="6"/>
      <c r="DT264" s="6"/>
      <c r="DU264" s="6"/>
      <c r="DV264" s="6"/>
      <c r="DW264" s="6"/>
      <c r="DX264" s="6"/>
      <c r="DY264" s="6"/>
      <c r="DZ264" s="6"/>
    </row>
    <row r="265" spans="1:130" ht="27.75" hidden="1" customHeight="1">
      <c r="A265" s="228"/>
      <c r="B265" s="75" t="s">
        <v>1359</v>
      </c>
      <c r="C265" s="155"/>
      <c r="D265" s="75"/>
      <c r="E265" s="75"/>
      <c r="F265" s="75"/>
      <c r="G265" s="400" t="s">
        <v>1561</v>
      </c>
      <c r="H265" s="400" t="s">
        <v>1562</v>
      </c>
      <c r="I265" s="207" t="s">
        <v>1563</v>
      </c>
      <c r="J265" s="155" t="str">
        <f>CONCATENATE(G265," ",H265)</f>
        <v>Concetta Sorriente</v>
      </c>
      <c r="K265" s="156">
        <v>3913184637</v>
      </c>
      <c r="L265" s="435"/>
      <c r="M265" s="153"/>
      <c r="N265" s="160" t="s">
        <v>1564</v>
      </c>
      <c r="O265" s="402"/>
      <c r="P265" s="315"/>
      <c r="Q265" s="160"/>
      <c r="R265" s="403"/>
      <c r="S265" s="160"/>
      <c r="T265" s="404"/>
      <c r="U265" s="315"/>
      <c r="V265" s="315"/>
      <c r="W265" s="315"/>
      <c r="X265" s="131"/>
      <c r="Y265" s="315"/>
      <c r="Z265" s="315"/>
      <c r="AA265" s="315"/>
      <c r="AB265" s="37"/>
      <c r="AC265" s="131"/>
      <c r="AD265" s="121"/>
      <c r="AE265" s="88"/>
      <c r="AF265" s="405"/>
      <c r="AG265" s="406"/>
      <c r="AH265" s="406"/>
      <c r="AI265" s="405"/>
      <c r="AJ265" s="155"/>
      <c r="AK265" s="155"/>
      <c r="AL265" s="155"/>
      <c r="AM265" s="407"/>
      <c r="AN265" s="155"/>
      <c r="AO265" s="155"/>
      <c r="AP265" s="155"/>
      <c r="AQ265" s="85"/>
      <c r="AR265" s="259"/>
      <c r="AS265" s="259"/>
      <c r="AT265" s="3"/>
      <c r="AU265" s="408"/>
      <c r="AV265" s="75"/>
      <c r="AW265" s="121"/>
      <c r="AX265" s="121"/>
      <c r="AY265" s="85"/>
      <c r="AZ265" s="121"/>
      <c r="BA265" s="121"/>
      <c r="BB265" s="121"/>
      <c r="BC265" s="85"/>
      <c r="BD265" s="121" t="s">
        <v>335</v>
      </c>
      <c r="BE265" s="121" t="s">
        <v>245</v>
      </c>
      <c r="BF265" s="121" t="s">
        <v>245</v>
      </c>
      <c r="BG265" s="408"/>
      <c r="BH265" s="238">
        <f>CF265+CI265+CL265+CO265+CR265</f>
        <v>3497.0000000000005</v>
      </c>
      <c r="BI265" s="238">
        <f>CH265+CK265+CN265+CQ265+CT265</f>
        <v>0</v>
      </c>
      <c r="BJ265" s="238">
        <f>BH265-BI265</f>
        <v>3497.0000000000005</v>
      </c>
      <c r="BK265" s="239"/>
      <c r="BL265" s="260"/>
      <c r="BM265" s="241"/>
      <c r="BN265" s="142"/>
      <c r="BO265" s="182">
        <v>3497</v>
      </c>
      <c r="BP265" s="441" t="s">
        <v>1558</v>
      </c>
      <c r="BQ265" s="207"/>
      <c r="BR265" s="480"/>
      <c r="BS265" s="381">
        <f>BL265*BQ265</f>
        <v>0</v>
      </c>
      <c r="BT265" s="168">
        <f>BM265*BQ265</f>
        <v>0</v>
      </c>
      <c r="BU265" s="167">
        <f>BN265*BQ265</f>
        <v>0</v>
      </c>
      <c r="BV265" s="168">
        <f>BO265*BQ265</f>
        <v>0</v>
      </c>
      <c r="BW265" s="131"/>
      <c r="BX265" s="441" t="s">
        <v>184</v>
      </c>
      <c r="BY265" s="145"/>
      <c r="BZ265" s="262"/>
      <c r="CA265" s="242">
        <f>BL265*BY265</f>
        <v>0</v>
      </c>
      <c r="CB265" s="101">
        <f>BM265*BY265</f>
        <v>0</v>
      </c>
      <c r="CC265" s="106">
        <f>BN265*BY265</f>
        <v>0</v>
      </c>
      <c r="CD265" s="107">
        <f>BO265*BY265</f>
        <v>0</v>
      </c>
      <c r="CE265" s="411"/>
      <c r="CF265" s="108">
        <f>200/1.22</f>
        <v>163.9344262295082</v>
      </c>
      <c r="CG265" s="109">
        <v>45198</v>
      </c>
      <c r="CH265" s="204"/>
      <c r="CI265" s="110">
        <f>1720/1.22</f>
        <v>1409.8360655737706</v>
      </c>
      <c r="CJ265" s="109">
        <v>45205</v>
      </c>
      <c r="CK265" s="381"/>
      <c r="CL265" s="110">
        <f>2346.34/1.22</f>
        <v>1923.2295081967216</v>
      </c>
      <c r="CM265" s="226">
        <v>45233</v>
      </c>
      <c r="CN265" s="168"/>
      <c r="CO265" s="263"/>
      <c r="CP265" s="263"/>
      <c r="CQ265" s="263"/>
      <c r="CR265" s="263"/>
      <c r="CS265" s="263"/>
      <c r="CT265" s="263"/>
      <c r="CU265" s="90">
        <v>1</v>
      </c>
      <c r="CV265" s="181"/>
      <c r="CW265" s="181"/>
      <c r="CX265" s="181"/>
      <c r="CY265" s="155"/>
      <c r="CZ265" s="121"/>
      <c r="DA265" s="424" t="s">
        <v>1559</v>
      </c>
      <c r="DB265" s="115" t="str">
        <f>PROPER(N265)</f>
        <v>Wellness Technology Academy</v>
      </c>
      <c r="DC265" s="280" t="s">
        <v>1560</v>
      </c>
      <c r="DD265" s="116" t="str">
        <f>BP265</f>
        <v>Walter Klinkon</v>
      </c>
      <c r="DE265" s="117" t="b">
        <f>IF(OR(D265&gt;0),IF(BJ265=0,BN265*BQ265,0))</f>
        <v>0</v>
      </c>
      <c r="DF265" s="117" t="b">
        <f>IF(OR(D265&gt;0),IF(BJ265=0,BN265*BY265,0))</f>
        <v>0</v>
      </c>
      <c r="DG265" s="118" t="str">
        <f>BX265</f>
        <v>Cristian A</v>
      </c>
      <c r="DH265" s="76"/>
      <c r="DI265" s="120" t="s">
        <v>154</v>
      </c>
      <c r="DJ265" s="120"/>
      <c r="DK265" s="74" t="s">
        <v>1399</v>
      </c>
      <c r="DL265" s="74" t="s">
        <v>1399</v>
      </c>
      <c r="DM265" s="122"/>
      <c r="DN265" s="6"/>
      <c r="DO265" s="6"/>
      <c r="DP265" s="6"/>
      <c r="DQ265" s="6"/>
      <c r="DR265" s="6"/>
      <c r="DS265" s="6"/>
      <c r="DT265" s="6"/>
      <c r="DU265" s="6"/>
      <c r="DV265" s="6"/>
      <c r="DW265" s="6"/>
      <c r="DX265" s="6"/>
      <c r="DY265" s="6"/>
      <c r="DZ265" s="6"/>
    </row>
    <row r="266" spans="1:130" ht="34.5" hidden="1" customHeight="1">
      <c r="A266" s="228"/>
      <c r="B266" s="371" t="s">
        <v>1359</v>
      </c>
      <c r="C266" s="155"/>
      <c r="D266" s="75"/>
      <c r="E266" s="75"/>
      <c r="F266" s="75"/>
      <c r="G266" s="400" t="s">
        <v>1565</v>
      </c>
      <c r="H266" s="400" t="s">
        <v>1566</v>
      </c>
      <c r="I266" s="207" t="s">
        <v>1567</v>
      </c>
      <c r="J266" s="155" t="str">
        <f>CONCATENATE(G266," ",H266)</f>
        <v>Arduino Enzo Zanelli</v>
      </c>
      <c r="K266" s="156">
        <v>3288871379</v>
      </c>
      <c r="L266" s="435"/>
      <c r="M266" s="153" t="s">
        <v>1148</v>
      </c>
      <c r="N266" s="160" t="s">
        <v>1568</v>
      </c>
      <c r="O266" s="402"/>
      <c r="P266" s="315"/>
      <c r="Q266" s="160"/>
      <c r="R266" s="403"/>
      <c r="S266" s="160"/>
      <c r="T266" s="404"/>
      <c r="U266" s="315"/>
      <c r="V266" s="315"/>
      <c r="W266" s="315"/>
      <c r="X266" s="131"/>
      <c r="Y266" s="315"/>
      <c r="Z266" s="315"/>
      <c r="AA266" s="315"/>
      <c r="AB266" s="37"/>
      <c r="AC266" s="131"/>
      <c r="AD266" s="121"/>
      <c r="AE266" s="88"/>
      <c r="AF266" s="405"/>
      <c r="AG266" s="406"/>
      <c r="AH266" s="406"/>
      <c r="AI266" s="405"/>
      <c r="AJ266" s="155"/>
      <c r="AK266" s="155"/>
      <c r="AL266" s="155"/>
      <c r="AM266" s="407"/>
      <c r="AN266" s="155"/>
      <c r="AO266" s="155"/>
      <c r="AP266" s="155"/>
      <c r="AQ266" s="85"/>
      <c r="AR266" s="259"/>
      <c r="AS266" s="259"/>
      <c r="AT266" s="3"/>
      <c r="AU266" s="408"/>
      <c r="AV266" s="75"/>
      <c r="AW266" s="121"/>
      <c r="AX266" s="121"/>
      <c r="AY266" s="85"/>
      <c r="AZ266" s="362"/>
      <c r="BA266" s="362"/>
      <c r="BB266" s="362"/>
      <c r="BC266" s="85"/>
      <c r="BD266" s="362" t="s">
        <v>245</v>
      </c>
      <c r="BE266" s="362" t="s">
        <v>245</v>
      </c>
      <c r="BF266" s="362" t="s">
        <v>245</v>
      </c>
      <c r="BG266" s="408"/>
      <c r="BH266" s="238">
        <f>CF266+CI266+CL266+CO266</f>
        <v>2697.6</v>
      </c>
      <c r="BI266" s="238">
        <f>CH266+CK266+CN266+CQ266</f>
        <v>0</v>
      </c>
      <c r="BJ266" s="238">
        <f>BH266-BI266</f>
        <v>2697.6</v>
      </c>
      <c r="BK266" s="239"/>
      <c r="BL266" s="260"/>
      <c r="BM266" s="241"/>
      <c r="BN266" s="142"/>
      <c r="BO266" s="182">
        <f>5394.6/2</f>
        <v>2697.3</v>
      </c>
      <c r="BP266" s="105" t="s">
        <v>1569</v>
      </c>
      <c r="BQ266" s="98">
        <v>0</v>
      </c>
      <c r="BR266" s="409"/>
      <c r="BS266" s="242">
        <f>BL266*BQ266</f>
        <v>0</v>
      </c>
      <c r="BT266" s="203">
        <f>BM266*BQ266</f>
        <v>0</v>
      </c>
      <c r="BU266" s="167">
        <f>BN266*BQ266</f>
        <v>0</v>
      </c>
      <c r="BV266" s="168">
        <f>BO266*BQ266</f>
        <v>0</v>
      </c>
      <c r="BW266" s="131"/>
      <c r="BX266" s="105" t="s">
        <v>133</v>
      </c>
      <c r="BY266" s="145">
        <v>0.05</v>
      </c>
      <c r="BZ266" s="262"/>
      <c r="CA266" s="242">
        <f>BL266*BY266</f>
        <v>0</v>
      </c>
      <c r="CB266" s="101">
        <f>BM266*BY266</f>
        <v>0</v>
      </c>
      <c r="CC266" s="106">
        <f>BN266*BY266</f>
        <v>0</v>
      </c>
      <c r="CD266" s="107">
        <f>BO266*BY266</f>
        <v>134.86500000000001</v>
      </c>
      <c r="CE266" s="411"/>
      <c r="CF266" s="108">
        <v>2697.6</v>
      </c>
      <c r="CG266" s="109">
        <v>45198</v>
      </c>
      <c r="CH266" s="108">
        <v>0</v>
      </c>
      <c r="CI266" s="415"/>
      <c r="CJ266" s="416"/>
      <c r="CK266" s="415"/>
      <c r="CL266" s="415"/>
      <c r="CM266" s="416"/>
      <c r="CN266" s="415"/>
      <c r="CO266" s="263"/>
      <c r="CP266" s="263"/>
      <c r="CQ266" s="263"/>
      <c r="CR266" s="263"/>
      <c r="CS266" s="263"/>
      <c r="CT266" s="263"/>
      <c r="CU266" s="90">
        <v>1</v>
      </c>
      <c r="CV266" s="181"/>
      <c r="CW266" s="181"/>
      <c r="CX266" s="181"/>
      <c r="CY266" s="155"/>
      <c r="CZ266" s="121"/>
      <c r="DA266" s="424" t="s">
        <v>1570</v>
      </c>
      <c r="DB266" s="115" t="str">
        <f>PROPER(N266)</f>
        <v>Stock Mobili</v>
      </c>
      <c r="DC266" s="280" t="s">
        <v>1571</v>
      </c>
      <c r="DD266" s="116" t="str">
        <f>BP266</f>
        <v>Prodability Academy</v>
      </c>
      <c r="DE266" s="117" t="b">
        <f>IF(OR(D266&gt;0),IF(BJ266=0,BN266*BQ266,0))</f>
        <v>0</v>
      </c>
      <c r="DF266" s="117" t="b">
        <f>IF(OR(D266&gt;0),IF(BJ266=0,BN266*BY266,0))</f>
        <v>0</v>
      </c>
      <c r="DG266" s="118" t="str">
        <f>BX266</f>
        <v>Cristian B</v>
      </c>
      <c r="DH266" s="76"/>
      <c r="DI266" s="120" t="s">
        <v>154</v>
      </c>
      <c r="DJ266" s="120"/>
      <c r="DK266" s="74" t="s">
        <v>1399</v>
      </c>
      <c r="DL266" s="74" t="s">
        <v>1399</v>
      </c>
      <c r="DM266" s="122"/>
      <c r="DN266" s="6"/>
      <c r="DO266" s="6"/>
      <c r="DP266" s="6"/>
      <c r="DQ266" s="6"/>
      <c r="DR266" s="6"/>
      <c r="DS266" s="6"/>
      <c r="DT266" s="6"/>
      <c r="DU266" s="6"/>
      <c r="DV266" s="6"/>
      <c r="DW266" s="6"/>
      <c r="DX266" s="6"/>
      <c r="DY266" s="6"/>
      <c r="DZ266" s="6"/>
    </row>
    <row r="267" spans="1:130" ht="34.5" hidden="1" customHeight="1">
      <c r="A267" s="228"/>
      <c r="B267" s="75" t="s">
        <v>1359</v>
      </c>
      <c r="C267" s="155"/>
      <c r="D267" s="75"/>
      <c r="E267" s="75"/>
      <c r="F267" s="75"/>
      <c r="G267" s="400" t="s">
        <v>238</v>
      </c>
      <c r="H267" s="400" t="s">
        <v>1572</v>
      </c>
      <c r="I267" s="294" t="s">
        <v>1573</v>
      </c>
      <c r="J267" s="155" t="str">
        <f>CONCATENATE(G267," ",H267)</f>
        <v>Carlo Castaldi</v>
      </c>
      <c r="K267" s="156">
        <v>3398327429</v>
      </c>
      <c r="L267" s="440" t="s">
        <v>1574</v>
      </c>
      <c r="M267" s="153" t="s">
        <v>1258</v>
      </c>
      <c r="N267" s="160"/>
      <c r="O267" s="402"/>
      <c r="P267" s="315"/>
      <c r="Q267" s="160"/>
      <c r="R267" s="403"/>
      <c r="S267" s="160"/>
      <c r="T267" s="404"/>
      <c r="U267" s="315"/>
      <c r="V267" s="315"/>
      <c r="W267" s="315"/>
      <c r="X267" s="131"/>
      <c r="Y267" s="315"/>
      <c r="Z267" s="315"/>
      <c r="AA267" s="315"/>
      <c r="AB267" s="37"/>
      <c r="AC267" s="131"/>
      <c r="AD267" s="121" t="s">
        <v>1575</v>
      </c>
      <c r="AE267" s="88"/>
      <c r="AF267" s="405"/>
      <c r="AG267" s="406"/>
      <c r="AH267" s="406"/>
      <c r="AI267" s="405"/>
      <c r="AJ267" s="155"/>
      <c r="AK267" s="155"/>
      <c r="AL267" s="155"/>
      <c r="AM267" s="407"/>
      <c r="AN267" s="155"/>
      <c r="AO267" s="155"/>
      <c r="AP267" s="155"/>
      <c r="AQ267" s="85"/>
      <c r="AR267" s="259"/>
      <c r="AS267" s="259"/>
      <c r="AT267" s="3"/>
      <c r="AU267" s="408"/>
      <c r="AV267" s="75"/>
      <c r="AW267" s="121"/>
      <c r="AX267" s="121"/>
      <c r="AY267" s="85"/>
      <c r="AZ267" s="121"/>
      <c r="BA267" s="121"/>
      <c r="BB267" s="121"/>
      <c r="BC267" s="85"/>
      <c r="BD267" s="121" t="s">
        <v>115</v>
      </c>
      <c r="BE267" s="121" t="s">
        <v>115</v>
      </c>
      <c r="BF267" s="121" t="s">
        <v>115</v>
      </c>
      <c r="BG267" s="408"/>
      <c r="BH267" s="238">
        <f>CF267+CI267+CL267+CO267+CR267</f>
        <v>2997</v>
      </c>
      <c r="BI267" s="238">
        <f>CH267+CK267+CN267+CQ267+CT267</f>
        <v>2997</v>
      </c>
      <c r="BJ267" s="238">
        <f>BH267-BI267</f>
        <v>0</v>
      </c>
      <c r="BK267" s="239"/>
      <c r="BL267" s="260"/>
      <c r="BM267" s="241"/>
      <c r="BN267" s="142"/>
      <c r="BO267" s="182">
        <v>2997</v>
      </c>
      <c r="BP267" s="105" t="s">
        <v>133</v>
      </c>
      <c r="BQ267" s="98">
        <v>0.15</v>
      </c>
      <c r="BR267" s="409"/>
      <c r="BS267" s="242">
        <f>BL267*BQ267</f>
        <v>0</v>
      </c>
      <c r="BT267" s="203">
        <f>BM267*BQ267</f>
        <v>0</v>
      </c>
      <c r="BU267" s="167">
        <f>BN267*BQ267</f>
        <v>0</v>
      </c>
      <c r="BV267" s="168">
        <f>BO267*BQ267</f>
        <v>449.55</v>
      </c>
      <c r="BW267" s="131"/>
      <c r="BX267" s="105" t="s">
        <v>133</v>
      </c>
      <c r="BY267" s="145">
        <v>0.05</v>
      </c>
      <c r="BZ267" s="262"/>
      <c r="CA267" s="242">
        <f>BL267*BY267</f>
        <v>0</v>
      </c>
      <c r="CB267" s="101">
        <f>BM267*BY267</f>
        <v>0</v>
      </c>
      <c r="CC267" s="106">
        <f>BN267*BY267</f>
        <v>0</v>
      </c>
      <c r="CD267" s="107">
        <f>BO267*BY267</f>
        <v>149.85</v>
      </c>
      <c r="CE267" s="411"/>
      <c r="CF267" s="108">
        <v>2997</v>
      </c>
      <c r="CG267" s="109">
        <v>45198</v>
      </c>
      <c r="CH267" s="108">
        <v>2997</v>
      </c>
      <c r="CI267" s="415"/>
      <c r="CJ267" s="416"/>
      <c r="CK267" s="415"/>
      <c r="CL267" s="415"/>
      <c r="CM267" s="416"/>
      <c r="CN267" s="415"/>
      <c r="CO267" s="263"/>
      <c r="CP267" s="263"/>
      <c r="CQ267" s="263"/>
      <c r="CR267" s="263"/>
      <c r="CS267" s="263"/>
      <c r="CT267" s="263"/>
      <c r="CU267" s="90">
        <v>1</v>
      </c>
      <c r="CV267" s="181"/>
      <c r="CW267" s="181"/>
      <c r="CX267" s="181"/>
      <c r="CY267" s="155"/>
      <c r="CZ267" s="121"/>
      <c r="DA267" s="424"/>
      <c r="DB267" s="115" t="str">
        <f>PROPER(N267)</f>
        <v/>
      </c>
      <c r="DC267" s="280" t="s">
        <v>315</v>
      </c>
      <c r="DD267" s="116" t="str">
        <f>BP267</f>
        <v>Cristian B</v>
      </c>
      <c r="DE267" s="117" t="b">
        <f>IF(OR(D267&gt;0),IF(BJ267=0,BN267*BQ267,0))</f>
        <v>0</v>
      </c>
      <c r="DF267" s="117" t="b">
        <f>IF(OR(D267&gt;0),IF(BJ267=0,BN267*BY267,0))</f>
        <v>0</v>
      </c>
      <c r="DG267" s="118" t="str">
        <f>BX267</f>
        <v>Cristian B</v>
      </c>
      <c r="DH267" s="76"/>
      <c r="DI267" s="120" t="s">
        <v>154</v>
      </c>
      <c r="DJ267" s="120"/>
      <c r="DK267" s="74" t="s">
        <v>1418</v>
      </c>
      <c r="DL267" s="74" t="s">
        <v>1418</v>
      </c>
      <c r="DM267" s="122"/>
      <c r="DN267" s="6"/>
      <c r="DO267" s="6"/>
      <c r="DP267" s="6"/>
      <c r="DQ267" s="6"/>
      <c r="DR267" s="6"/>
      <c r="DS267" s="6"/>
      <c r="DT267" s="6"/>
      <c r="DU267" s="6"/>
      <c r="DV267" s="6"/>
      <c r="DW267" s="6"/>
      <c r="DX267" s="6"/>
      <c r="DY267" s="6"/>
      <c r="DZ267" s="6"/>
    </row>
    <row r="268" spans="1:130" ht="34.5" hidden="1" customHeight="1">
      <c r="A268" s="1803"/>
      <c r="B268" s="1805" t="s">
        <v>1928</v>
      </c>
      <c r="C268" s="461"/>
      <c r="D268" s="1805"/>
      <c r="E268" s="1810"/>
      <c r="F268" s="1806"/>
      <c r="G268" s="1819" t="s">
        <v>622</v>
      </c>
      <c r="H268" s="1819" t="s">
        <v>2582</v>
      </c>
      <c r="I268" s="1819" t="s">
        <v>2583</v>
      </c>
      <c r="J268" s="1848" t="str">
        <f>CONCATENATE(G268," ",H268)</f>
        <v>Laura Tumiati</v>
      </c>
      <c r="K268" s="1856"/>
      <c r="L268" s="1873"/>
      <c r="M268" s="131"/>
      <c r="N268" s="160"/>
      <c r="O268" s="1931"/>
      <c r="P268" s="1944"/>
      <c r="Q268" s="1868"/>
      <c r="R268" s="461"/>
      <c r="S268" s="461"/>
      <c r="T268" s="1955"/>
      <c r="U268" s="1943"/>
      <c r="V268" s="1943"/>
      <c r="W268" s="1944"/>
      <c r="X268" s="461"/>
      <c r="Y268" s="1944"/>
      <c r="Z268" s="1944"/>
      <c r="AA268" s="1944"/>
      <c r="AB268" s="1868"/>
      <c r="AC268" s="461"/>
      <c r="AD268" s="1962" t="s">
        <v>118</v>
      </c>
      <c r="AE268" s="1965"/>
      <c r="AF268" s="1931"/>
      <c r="AG268" s="1975"/>
      <c r="AH268" s="1975"/>
      <c r="AI268" s="1931"/>
      <c r="AJ268" s="461"/>
      <c r="AK268" s="461"/>
      <c r="AL268" s="461"/>
      <c r="AM268" s="1931"/>
      <c r="AN268" s="461"/>
      <c r="AO268" s="461"/>
      <c r="AP268" s="461"/>
      <c r="AQ268" s="1934"/>
      <c r="AR268" s="1986"/>
      <c r="AS268" s="1986"/>
      <c r="AT268" s="1803"/>
      <c r="AU268" s="1992"/>
      <c r="AV268" s="1806"/>
      <c r="AW268" s="1996"/>
      <c r="AX268" s="1996"/>
      <c r="AY268" s="1934"/>
      <c r="AZ268" s="460"/>
      <c r="BA268" s="460"/>
      <c r="BB268" s="135" t="s">
        <v>116</v>
      </c>
      <c r="BC268" s="1934"/>
      <c r="BD268" s="461"/>
      <c r="BE268" s="461"/>
      <c r="BF268" s="461"/>
      <c r="BG268" s="1992"/>
      <c r="BH268" s="2006"/>
      <c r="BI268" s="2006"/>
      <c r="BJ268" s="2006"/>
      <c r="BK268" s="2008"/>
      <c r="BL268" s="2018"/>
      <c r="BM268" s="2023"/>
      <c r="BN268" s="273"/>
      <c r="BO268" s="274"/>
      <c r="BP268" s="2050"/>
      <c r="BQ268" s="2055"/>
      <c r="BR268" s="2060"/>
      <c r="BS268" s="2070"/>
      <c r="BT268" s="2075"/>
      <c r="BU268" s="2076">
        <f>BN268*BQ268</f>
        <v>0</v>
      </c>
      <c r="BV268" s="2079">
        <f>BO268*BQ268</f>
        <v>0</v>
      </c>
      <c r="BW268" s="1806"/>
      <c r="BX268" s="2050"/>
      <c r="BY268" s="2055"/>
      <c r="BZ268" s="2084"/>
      <c r="CA268" s="2070"/>
      <c r="CB268" s="2073"/>
      <c r="CC268" s="2088">
        <f>BN268*BY268</f>
        <v>0</v>
      </c>
      <c r="CD268" s="2091">
        <f>BO268*BY268</f>
        <v>0</v>
      </c>
      <c r="CE268" s="2094"/>
      <c r="CF268" s="2062"/>
      <c r="CG268" s="2102"/>
      <c r="CH268" s="2062"/>
      <c r="CI268" s="2083"/>
      <c r="CJ268" s="2111"/>
      <c r="CK268" s="2083"/>
      <c r="CL268" s="2083"/>
      <c r="CM268" s="2111"/>
      <c r="CN268" s="2083"/>
      <c r="CO268" s="2122"/>
      <c r="CP268" s="2122"/>
      <c r="CQ268" s="2122"/>
      <c r="CR268" s="2122"/>
      <c r="CS268" s="2122"/>
      <c r="CT268" s="2122"/>
      <c r="CU268" s="1806"/>
      <c r="CV268" s="461"/>
      <c r="CW268" s="461"/>
      <c r="CX268" s="453"/>
      <c r="CY268" s="461"/>
      <c r="CZ268" s="461"/>
      <c r="DA268" s="2153" t="s">
        <v>2584</v>
      </c>
      <c r="DB268" s="2160" t="str">
        <f>PROPER(N268)</f>
        <v/>
      </c>
      <c r="DC268" s="2163" t="s">
        <v>495</v>
      </c>
      <c r="DD268" s="2094">
        <f>BP268</f>
        <v>0</v>
      </c>
      <c r="DE268" s="2169" t="b">
        <f>IF(OR(D268&gt;0),IF(BJ268=0,BN268*BQ268,0))</f>
        <v>0</v>
      </c>
      <c r="DF268" s="2169" t="b">
        <f>IF(OR(D268&gt;0),IF(BJ268=0,BN268*BY268,0))</f>
        <v>0</v>
      </c>
      <c r="DG268" s="2048">
        <f>BX268</f>
        <v>0</v>
      </c>
      <c r="DH268" s="2175"/>
      <c r="DI268" s="120" t="s">
        <v>126</v>
      </c>
      <c r="DJ268" s="120"/>
      <c r="DK268" s="461"/>
      <c r="DL268" s="461"/>
      <c r="DM268" s="248"/>
      <c r="DN268" s="458"/>
      <c r="DO268" s="458"/>
      <c r="DP268" s="458"/>
      <c r="DQ268" s="458"/>
      <c r="DR268" s="458"/>
      <c r="DS268" s="458"/>
      <c r="DT268" s="458"/>
      <c r="DU268" s="458"/>
      <c r="DV268" s="458"/>
      <c r="DW268" s="458"/>
      <c r="DX268" s="458"/>
      <c r="DY268" s="458"/>
      <c r="DZ268" s="458"/>
    </row>
    <row r="269" spans="1:130" ht="34.5" hidden="1" customHeight="1">
      <c r="A269" s="228"/>
      <c r="B269" s="371" t="s">
        <v>1359</v>
      </c>
      <c r="C269" s="155"/>
      <c r="D269" s="75"/>
      <c r="E269" s="75"/>
      <c r="F269" s="75"/>
      <c r="G269" s="420" t="s">
        <v>1584</v>
      </c>
      <c r="H269" s="420"/>
      <c r="I269" s="449"/>
      <c r="J269" s="155" t="str">
        <f>CONCATENATE(G269," ",H269)</f>
        <v xml:space="preserve">1  Partecipante di Carlo Faranda </v>
      </c>
      <c r="K269" s="429"/>
      <c r="L269" s="435"/>
      <c r="M269" s="153"/>
      <c r="N269" s="160"/>
      <c r="O269" s="402"/>
      <c r="P269" s="315"/>
      <c r="Q269" s="160"/>
      <c r="R269" s="403"/>
      <c r="S269" s="160"/>
      <c r="T269" s="404"/>
      <c r="U269" s="315"/>
      <c r="V269" s="315"/>
      <c r="W269" s="315"/>
      <c r="X269" s="131"/>
      <c r="Y269" s="315"/>
      <c r="Z269" s="315"/>
      <c r="AA269" s="315"/>
      <c r="AB269" s="37"/>
      <c r="AC269" s="131"/>
      <c r="AD269" s="121"/>
      <c r="AE269" s="88"/>
      <c r="AF269" s="405"/>
      <c r="AG269" s="406"/>
      <c r="AH269" s="406"/>
      <c r="AI269" s="405"/>
      <c r="AJ269" s="155"/>
      <c r="AK269" s="155"/>
      <c r="AL269" s="155"/>
      <c r="AM269" s="407"/>
      <c r="AN269" s="155"/>
      <c r="AO269" s="155"/>
      <c r="AP269" s="155"/>
      <c r="AQ269" s="85"/>
      <c r="AR269" s="259"/>
      <c r="AS269" s="259"/>
      <c r="AT269" s="3"/>
      <c r="AU269" s="408"/>
      <c r="AV269" s="75"/>
      <c r="AW269" s="121"/>
      <c r="AX269" s="121"/>
      <c r="AY269" s="85"/>
      <c r="AZ269" s="121"/>
      <c r="BA269" s="121"/>
      <c r="BB269" s="121"/>
      <c r="BC269" s="85"/>
      <c r="BD269" s="121" t="s">
        <v>151</v>
      </c>
      <c r="BE269" s="121" t="s">
        <v>151</v>
      </c>
      <c r="BF269" s="121" t="s">
        <v>151</v>
      </c>
      <c r="BG269" s="408"/>
      <c r="BH269" s="238">
        <f>CF269+CI269+CL269+CO269+CR269</f>
        <v>0</v>
      </c>
      <c r="BI269" s="238">
        <f>CH269+CK269+CN269+CQ269+CT269</f>
        <v>0</v>
      </c>
      <c r="BJ269" s="238">
        <f>BH269-BI269</f>
        <v>0</v>
      </c>
      <c r="BK269" s="239"/>
      <c r="BL269" s="260"/>
      <c r="BM269" s="241"/>
      <c r="BN269" s="142"/>
      <c r="BO269" s="182"/>
      <c r="BP269" s="105" t="s">
        <v>262</v>
      </c>
      <c r="BQ269" s="98">
        <v>0.15</v>
      </c>
      <c r="BR269" s="409"/>
      <c r="BS269" s="242">
        <f>BL269*BQ269</f>
        <v>0</v>
      </c>
      <c r="BT269" s="203">
        <f>BM269*BQ269</f>
        <v>0</v>
      </c>
      <c r="BU269" s="167">
        <f>BN269*BQ269</f>
        <v>0</v>
      </c>
      <c r="BV269" s="168">
        <f>BO269*BQ269</f>
        <v>0</v>
      </c>
      <c r="BW269" s="131"/>
      <c r="BX269" s="105" t="s">
        <v>262</v>
      </c>
      <c r="BY269" s="145">
        <v>0.05</v>
      </c>
      <c r="BZ269" s="262"/>
      <c r="CA269" s="242">
        <f>BL269*BY269</f>
        <v>0</v>
      </c>
      <c r="CB269" s="101">
        <f>BM269*BY269</f>
        <v>0</v>
      </c>
      <c r="CC269" s="106">
        <f>BN269*BY269</f>
        <v>0</v>
      </c>
      <c r="CD269" s="107">
        <f>BO269*BY269</f>
        <v>0</v>
      </c>
      <c r="CE269" s="411"/>
      <c r="CF269" s="108">
        <v>0</v>
      </c>
      <c r="CG269" s="130" t="s">
        <v>153</v>
      </c>
      <c r="CH269" s="414"/>
      <c r="CI269" s="415"/>
      <c r="CJ269" s="416"/>
      <c r="CK269" s="415"/>
      <c r="CL269" s="415"/>
      <c r="CM269" s="416"/>
      <c r="CN269" s="415"/>
      <c r="CO269" s="263"/>
      <c r="CP269" s="263"/>
      <c r="CQ269" s="263"/>
      <c r="CR269" s="263"/>
      <c r="CS269" s="263"/>
      <c r="CT269" s="263"/>
      <c r="CU269" s="90">
        <v>1</v>
      </c>
      <c r="CV269" s="181"/>
      <c r="CW269" s="431"/>
      <c r="CX269" s="432"/>
      <c r="CY269" s="155"/>
      <c r="CZ269" s="121"/>
      <c r="DA269" s="424"/>
      <c r="DB269" s="115"/>
      <c r="DC269" s="280"/>
      <c r="DD269" s="116" t="str">
        <f>BP269</f>
        <v>Pacci</v>
      </c>
      <c r="DE269" s="117" t="b">
        <f>IF(OR(D269&gt;0),IF(BJ269=0,BN269*BQ269,0))</f>
        <v>0</v>
      </c>
      <c r="DF269" s="117" t="b">
        <f>IF(OR(D269&gt;0),IF(BJ269=0,BN269*BY269,0))</f>
        <v>0</v>
      </c>
      <c r="DG269" s="118" t="str">
        <f>BX269</f>
        <v>Pacci</v>
      </c>
      <c r="DH269" s="76"/>
      <c r="DI269" s="120" t="s">
        <v>154</v>
      </c>
      <c r="DJ269" s="120"/>
      <c r="DK269" s="74"/>
      <c r="DL269" s="74"/>
      <c r="DM269" s="122"/>
      <c r="DN269" s="6"/>
      <c r="DO269" s="6"/>
      <c r="DP269" s="6"/>
      <c r="DQ269" s="6"/>
      <c r="DR269" s="6"/>
      <c r="DS269" s="6"/>
      <c r="DT269" s="6"/>
      <c r="DU269" s="6"/>
      <c r="DV269" s="6"/>
      <c r="DW269" s="6"/>
      <c r="DX269" s="6"/>
      <c r="DY269" s="6"/>
      <c r="DZ269" s="6"/>
    </row>
    <row r="270" spans="1:130" ht="34.5" hidden="1" customHeight="1">
      <c r="A270" s="228"/>
      <c r="B270" s="75" t="s">
        <v>1359</v>
      </c>
      <c r="C270" s="155"/>
      <c r="D270" s="75">
        <v>1</v>
      </c>
      <c r="E270" s="75">
        <v>1</v>
      </c>
      <c r="F270" s="75"/>
      <c r="G270" s="400" t="s">
        <v>1795</v>
      </c>
      <c r="H270" s="400" t="s">
        <v>1796</v>
      </c>
      <c r="I270" s="207" t="s">
        <v>1797</v>
      </c>
      <c r="J270" s="121" t="str">
        <f>CONCATENATE(G270," ",H270)</f>
        <v>Lorenza Domenicali</v>
      </c>
      <c r="K270" s="156">
        <v>3474341235</v>
      </c>
      <c r="L270" s="152" t="s">
        <v>1493</v>
      </c>
      <c r="M270" s="487" t="s">
        <v>1798</v>
      </c>
      <c r="N270" s="160" t="s">
        <v>1791</v>
      </c>
      <c r="O270" s="402"/>
      <c r="P270" s="315"/>
      <c r="Q270" s="160"/>
      <c r="R270" s="403"/>
      <c r="S270" s="160"/>
      <c r="T270" s="404"/>
      <c r="U270" s="315"/>
      <c r="V270" s="315"/>
      <c r="W270" s="315"/>
      <c r="X270" s="131"/>
      <c r="Y270" s="315"/>
      <c r="Z270" s="315"/>
      <c r="AA270" s="315"/>
      <c r="AB270" s="37"/>
      <c r="AC270" s="131"/>
      <c r="AD270" s="121" t="s">
        <v>1792</v>
      </c>
      <c r="AE270" s="88"/>
      <c r="AF270" s="405"/>
      <c r="AG270" s="406"/>
      <c r="AH270" s="406"/>
      <c r="AI270" s="405"/>
      <c r="AJ270" s="155"/>
      <c r="AK270" s="155"/>
      <c r="AL270" s="155"/>
      <c r="AM270" s="407"/>
      <c r="AN270" s="155"/>
      <c r="AO270" s="155"/>
      <c r="AP270" s="155"/>
      <c r="AQ270" s="85"/>
      <c r="AR270" s="259"/>
      <c r="AS270" s="259"/>
      <c r="AT270" s="1987"/>
      <c r="AU270" s="408"/>
      <c r="AV270" s="75"/>
      <c r="AW270" s="121"/>
      <c r="AX270" s="121"/>
      <c r="AY270" s="85"/>
      <c r="AZ270" s="121" t="s">
        <v>115</v>
      </c>
      <c r="BA270" s="121" t="s">
        <v>115</v>
      </c>
      <c r="BB270" s="135" t="s">
        <v>115</v>
      </c>
      <c r="BC270" s="85"/>
      <c r="BD270" s="121"/>
      <c r="BE270" s="121"/>
      <c r="BF270" s="121"/>
      <c r="BG270" s="408"/>
      <c r="BH270" s="238">
        <f>CF270+CI270+CL270+CO270+CR270</f>
        <v>2397</v>
      </c>
      <c r="BI270" s="238">
        <f>CH270+CK270+CN270+CQ270+CT270</f>
        <v>2397</v>
      </c>
      <c r="BJ270" s="238">
        <f>BH270-BI270</f>
        <v>0</v>
      </c>
      <c r="BK270" s="239"/>
      <c r="BL270" s="260"/>
      <c r="BM270" s="241"/>
      <c r="BN270" s="142">
        <v>2397</v>
      </c>
      <c r="BO270" s="182"/>
      <c r="BP270" s="441" t="s">
        <v>1496</v>
      </c>
      <c r="BQ270" s="145">
        <v>0.15</v>
      </c>
      <c r="BR270" s="480"/>
      <c r="BS270" s="381">
        <f>BL270*BQ270</f>
        <v>0</v>
      </c>
      <c r="BT270" s="168">
        <f>BM270*BQ270</f>
        <v>0</v>
      </c>
      <c r="BU270" s="530">
        <f>BN270*BQ270</f>
        <v>359.55</v>
      </c>
      <c r="BV270" s="168">
        <f>BO270*BQ270</f>
        <v>0</v>
      </c>
      <c r="BW270" s="160" t="s">
        <v>185</v>
      </c>
      <c r="BX270" s="441" t="s">
        <v>525</v>
      </c>
      <c r="BY270" s="145">
        <v>0.05</v>
      </c>
      <c r="BZ270" s="262"/>
      <c r="CA270" s="242">
        <f>BL270*BY270</f>
        <v>0</v>
      </c>
      <c r="CB270" s="101">
        <f>BM270*BY270</f>
        <v>0</v>
      </c>
      <c r="CC270" s="106">
        <f>BN270*BY270</f>
        <v>119.85000000000001</v>
      </c>
      <c r="CD270" s="107">
        <f>BO270*BY270</f>
        <v>0</v>
      </c>
      <c r="CE270" s="84" t="s">
        <v>185</v>
      </c>
      <c r="CF270" s="108">
        <v>2397</v>
      </c>
      <c r="CG270" s="109">
        <v>45198</v>
      </c>
      <c r="CH270" s="108">
        <v>2397</v>
      </c>
      <c r="CI270" s="415"/>
      <c r="CJ270" s="416"/>
      <c r="CK270" s="415"/>
      <c r="CL270" s="415"/>
      <c r="CM270" s="416"/>
      <c r="CN270" s="415"/>
      <c r="CO270" s="263"/>
      <c r="CP270" s="263"/>
      <c r="CQ270" s="263"/>
      <c r="CR270" s="263"/>
      <c r="CS270" s="263"/>
      <c r="CT270" s="263"/>
      <c r="CU270" s="90">
        <v>1</v>
      </c>
      <c r="CV270" s="181"/>
      <c r="CW270" s="181"/>
      <c r="CX270" s="181"/>
      <c r="CY270" s="155"/>
      <c r="CZ270" s="121"/>
      <c r="DA270" s="428" t="s">
        <v>1793</v>
      </c>
      <c r="DB270" s="115" t="str">
        <f>PROPER(N270)</f>
        <v>Tuttogas Autofficina</v>
      </c>
      <c r="DC270" s="280" t="s">
        <v>1794</v>
      </c>
      <c r="DD270" s="116" t="str">
        <f>BP270</f>
        <v>Patrizia Sabatino</v>
      </c>
      <c r="DE270" s="117">
        <f>IF(OR(D270&gt;0),IF(BJ270=0,BN270*BQ270,0))</f>
        <v>359.55</v>
      </c>
      <c r="DF270" s="117">
        <f>IF(OR(D270&gt;0),IF(BJ270=0,BN270*BY270,0))</f>
        <v>119.85000000000001</v>
      </c>
      <c r="DG270" s="118" t="str">
        <f>BX270</f>
        <v>Bruno</v>
      </c>
      <c r="DH270" s="76"/>
      <c r="DI270" s="120" t="s">
        <v>126</v>
      </c>
      <c r="DJ270" s="120"/>
      <c r="DK270" s="74" t="s">
        <v>1399</v>
      </c>
      <c r="DL270" s="74" t="s">
        <v>1399</v>
      </c>
      <c r="DM270" s="122"/>
      <c r="DN270" s="6"/>
      <c r="DO270" s="6"/>
      <c r="DP270" s="6"/>
      <c r="DQ270" s="6"/>
      <c r="DR270" s="6"/>
      <c r="DS270" s="6"/>
      <c r="DT270" s="6"/>
      <c r="DU270" s="6"/>
      <c r="DV270" s="6"/>
      <c r="DW270" s="6"/>
      <c r="DX270" s="6"/>
      <c r="DY270" s="6"/>
      <c r="DZ270" s="6"/>
    </row>
    <row r="271" spans="1:130" ht="34.5" hidden="1" customHeight="1">
      <c r="A271" s="228"/>
      <c r="B271" s="75" t="s">
        <v>1359</v>
      </c>
      <c r="C271" s="155"/>
      <c r="D271" s="75"/>
      <c r="E271" s="75"/>
      <c r="F271" s="75"/>
      <c r="G271" s="420" t="s">
        <v>1591</v>
      </c>
      <c r="H271" s="420"/>
      <c r="I271" s="449"/>
      <c r="J271" s="155" t="str">
        <f>CONCATENATE(G271," ",H271)</f>
        <v xml:space="preserve">1 Partecipante di Carmen Bobbiesi </v>
      </c>
      <c r="K271" s="156"/>
      <c r="L271" s="435"/>
      <c r="M271" s="153"/>
      <c r="N271" s="160"/>
      <c r="O271" s="402"/>
      <c r="P271" s="315"/>
      <c r="Q271" s="160"/>
      <c r="R271" s="403"/>
      <c r="S271" s="160"/>
      <c r="T271" s="404"/>
      <c r="U271" s="315"/>
      <c r="V271" s="315"/>
      <c r="W271" s="315"/>
      <c r="X271" s="131"/>
      <c r="Y271" s="315"/>
      <c r="Z271" s="315"/>
      <c r="AA271" s="315"/>
      <c r="AB271" s="37"/>
      <c r="AC271" s="131"/>
      <c r="AD271" s="121"/>
      <c r="AE271" s="88"/>
      <c r="AF271" s="405"/>
      <c r="AG271" s="406"/>
      <c r="AH271" s="406"/>
      <c r="AI271" s="405"/>
      <c r="AJ271" s="155"/>
      <c r="AK271" s="155"/>
      <c r="AL271" s="155"/>
      <c r="AM271" s="407"/>
      <c r="AN271" s="155"/>
      <c r="AO271" s="155"/>
      <c r="AP271" s="155"/>
      <c r="AQ271" s="85"/>
      <c r="AR271" s="259"/>
      <c r="AS271" s="259"/>
      <c r="AT271" s="3"/>
      <c r="AU271" s="408"/>
      <c r="AV271" s="75"/>
      <c r="AW271" s="121"/>
      <c r="AX271" s="121"/>
      <c r="AY271" s="85"/>
      <c r="AZ271" s="154" t="s">
        <v>165</v>
      </c>
      <c r="BA271" s="154" t="s">
        <v>165</v>
      </c>
      <c r="BB271" s="154" t="s">
        <v>165</v>
      </c>
      <c r="BC271" s="85"/>
      <c r="BD271" s="121"/>
      <c r="BE271" s="121"/>
      <c r="BF271" s="121"/>
      <c r="BG271" s="408"/>
      <c r="BH271" s="92">
        <f>CF271+CI271+CL271+CO271+CR271</f>
        <v>0</v>
      </c>
      <c r="BI271" s="92">
        <f>CH271+CK271+CN271+CQ271+CT271</f>
        <v>0</v>
      </c>
      <c r="BJ271" s="92">
        <f>BH271-BI271</f>
        <v>0</v>
      </c>
      <c r="BK271" s="239"/>
      <c r="BL271" s="260"/>
      <c r="BM271" s="241"/>
      <c r="BN271" s="142"/>
      <c r="BO271" s="182"/>
      <c r="BP271" s="105" t="s">
        <v>487</v>
      </c>
      <c r="BQ271" s="98">
        <v>0.15</v>
      </c>
      <c r="BR271" s="409"/>
      <c r="BS271" s="242">
        <f>BL271*BQ271</f>
        <v>0</v>
      </c>
      <c r="BT271" s="203">
        <f>BM271*BQ271</f>
        <v>0</v>
      </c>
      <c r="BU271" s="167">
        <f>BN271*BQ271</f>
        <v>0</v>
      </c>
      <c r="BV271" s="168">
        <f>BO271*BQ271</f>
        <v>0</v>
      </c>
      <c r="BW271" s="131"/>
      <c r="BX271" s="105" t="s">
        <v>487</v>
      </c>
      <c r="BY271" s="145">
        <v>0.05</v>
      </c>
      <c r="BZ271" s="262"/>
      <c r="CA271" s="242"/>
      <c r="CB271" s="101"/>
      <c r="CC271" s="106"/>
      <c r="CD271" s="107"/>
      <c r="CE271" s="411"/>
      <c r="CF271" s="434"/>
      <c r="CG271" s="109"/>
      <c r="CH271" s="414"/>
      <c r="CI271" s="415"/>
      <c r="CJ271" s="416"/>
      <c r="CK271" s="415"/>
      <c r="CL271" s="415"/>
      <c r="CM271" s="416"/>
      <c r="CN271" s="415"/>
      <c r="CO271" s="263"/>
      <c r="CP271" s="263"/>
      <c r="CQ271" s="263"/>
      <c r="CR271" s="263"/>
      <c r="CS271" s="263"/>
      <c r="CT271" s="263"/>
      <c r="CU271" s="90">
        <v>1</v>
      </c>
      <c r="CV271" s="181"/>
      <c r="CW271" s="181"/>
      <c r="CX271" s="181"/>
      <c r="CY271" s="155"/>
      <c r="CZ271" s="121"/>
      <c r="DA271" s="424"/>
      <c r="DB271" s="115"/>
      <c r="DC271" s="280"/>
      <c r="DD271" s="116" t="str">
        <f>BP271</f>
        <v>Daniela</v>
      </c>
      <c r="DE271" s="117" t="b">
        <f>IF(OR(D271&gt;0),IF(BJ271=0,BN271*BQ271,0))</f>
        <v>0</v>
      </c>
      <c r="DF271" s="117" t="b">
        <f>IF(OR(D271&gt;0),IF(BJ271=0,BN271*BY271,0))</f>
        <v>0</v>
      </c>
      <c r="DG271" s="118" t="str">
        <f>BX271</f>
        <v>Daniela</v>
      </c>
      <c r="DH271" s="76"/>
      <c r="DI271" s="120" t="s">
        <v>154</v>
      </c>
      <c r="DJ271" s="120"/>
      <c r="DK271" s="74"/>
      <c r="DL271" s="74"/>
      <c r="DM271" s="122"/>
      <c r="DN271" s="6"/>
      <c r="DO271" s="6"/>
      <c r="DP271" s="6"/>
      <c r="DQ271" s="6"/>
      <c r="DR271" s="6"/>
      <c r="DS271" s="6"/>
      <c r="DT271" s="6"/>
      <c r="DU271" s="6"/>
      <c r="DV271" s="6"/>
      <c r="DW271" s="6"/>
      <c r="DX271" s="6"/>
      <c r="DY271" s="6"/>
      <c r="DZ271" s="6"/>
    </row>
    <row r="272" spans="1:130" ht="34.5" hidden="1" customHeight="1">
      <c r="A272" s="3"/>
      <c r="B272" s="75" t="s">
        <v>902</v>
      </c>
      <c r="C272" s="121"/>
      <c r="D272" s="75">
        <v>1</v>
      </c>
      <c r="E272" s="75">
        <v>1</v>
      </c>
      <c r="F272" s="75"/>
      <c r="G272" s="197" t="s">
        <v>631</v>
      </c>
      <c r="H272" s="197" t="s">
        <v>918</v>
      </c>
      <c r="I272" s="131" t="s">
        <v>919</v>
      </c>
      <c r="J272" s="121" t="str">
        <f>CONCATENATE(G272," ",H272)</f>
        <v>Lorenzo Belleri</v>
      </c>
      <c r="K272" s="224" t="s">
        <v>920</v>
      </c>
      <c r="L272" s="225"/>
      <c r="M272" s="1896" t="s">
        <v>868</v>
      </c>
      <c r="N272" s="160" t="s">
        <v>921</v>
      </c>
      <c r="O272" s="407"/>
      <c r="P272" s="1941"/>
      <c r="Q272" s="86"/>
      <c r="R272" s="86"/>
      <c r="S272" s="86"/>
      <c r="T272" s="1953"/>
      <c r="U272" s="1941"/>
      <c r="V272" s="1941"/>
      <c r="W272" s="1941"/>
      <c r="X272" s="86"/>
      <c r="Y272" s="1960"/>
      <c r="Z272" s="1941"/>
      <c r="AA272" s="1941"/>
      <c r="AB272" s="86"/>
      <c r="AC272" s="86"/>
      <c r="AD272" s="86" t="s">
        <v>922</v>
      </c>
      <c r="AE272" s="138"/>
      <c r="AF272" s="407"/>
      <c r="AG272" s="121"/>
      <c r="AH272" s="121"/>
      <c r="AI272" s="407"/>
      <c r="AJ272" s="121"/>
      <c r="AK272" s="121"/>
      <c r="AL272" s="121"/>
      <c r="AM272" s="407"/>
      <c r="AN272" s="155"/>
      <c r="AO272" s="155"/>
      <c r="AP272" s="155"/>
      <c r="AQ272" s="1982"/>
      <c r="AR272" s="259"/>
      <c r="AS272" s="259"/>
      <c r="AT272" s="1987"/>
      <c r="AU272" s="408"/>
      <c r="AV272" s="75"/>
      <c r="AW272" s="121"/>
      <c r="AX272" s="121"/>
      <c r="AY272" s="1982"/>
      <c r="AZ272" s="121" t="s">
        <v>115</v>
      </c>
      <c r="BA272" s="121" t="s">
        <v>115</v>
      </c>
      <c r="BB272" s="135" t="s">
        <v>115</v>
      </c>
      <c r="BC272" s="1982"/>
      <c r="BD272" s="121"/>
      <c r="BE272" s="121"/>
      <c r="BF272" s="121"/>
      <c r="BG272" s="408"/>
      <c r="BH272" s="238">
        <f>CF272+CI272+CL272+CO272+CR272</f>
        <v>2997</v>
      </c>
      <c r="BI272" s="238">
        <f>CH272+CK272+CN272+CQ272+CT272</f>
        <v>2997</v>
      </c>
      <c r="BJ272" s="238">
        <f>BH272-BI272</f>
        <v>0</v>
      </c>
      <c r="BK272" s="199"/>
      <c r="BL272" s="200"/>
      <c r="BM272" s="241"/>
      <c r="BN272" s="142">
        <v>2997</v>
      </c>
      <c r="BO272" s="182"/>
      <c r="BP272" s="281" t="s">
        <v>160</v>
      </c>
      <c r="BQ272" s="98">
        <v>0.05</v>
      </c>
      <c r="BR272" s="2057"/>
      <c r="BS272" s="202"/>
      <c r="BT272" s="203"/>
      <c r="BU272" s="167">
        <f>BN272*BQ272</f>
        <v>149.85</v>
      </c>
      <c r="BV272" s="168">
        <f>BO272*BQ272</f>
        <v>0</v>
      </c>
      <c r="BW272" s="160" t="s">
        <v>185</v>
      </c>
      <c r="BX272" s="105" t="s">
        <v>160</v>
      </c>
      <c r="BY272" s="98">
        <v>0.1</v>
      </c>
      <c r="BZ272" s="2058"/>
      <c r="CA272" s="202"/>
      <c r="CB272" s="101"/>
      <c r="CC272" s="106">
        <f>BN272*BY272</f>
        <v>299.7</v>
      </c>
      <c r="CD272" s="107">
        <f>BO272*BY272</f>
        <v>0</v>
      </c>
      <c r="CE272" s="160" t="s">
        <v>185</v>
      </c>
      <c r="CF272" s="108">
        <v>2997</v>
      </c>
      <c r="CG272" s="109">
        <v>45077</v>
      </c>
      <c r="CH272" s="108">
        <v>2997</v>
      </c>
      <c r="CI272" s="110"/>
      <c r="CJ272" s="109"/>
      <c r="CK272" s="206"/>
      <c r="CL272" s="206"/>
      <c r="CM272" s="109"/>
      <c r="CN272" s="206"/>
      <c r="CO272" s="206"/>
      <c r="CP272" s="206"/>
      <c r="CQ272" s="206"/>
      <c r="CR272" s="206"/>
      <c r="CS272" s="206"/>
      <c r="CT272" s="206"/>
      <c r="CU272" s="90">
        <v>1</v>
      </c>
      <c r="CV272" s="181"/>
      <c r="CW272" s="181"/>
      <c r="CX272" s="207"/>
      <c r="CY272" s="155"/>
      <c r="CZ272" s="155"/>
      <c r="DA272" s="384" t="s">
        <v>923</v>
      </c>
      <c r="DB272" s="115" t="str">
        <f>PROPER(N272)</f>
        <v>Gatti Filtrazioni Lubrificanti</v>
      </c>
      <c r="DC272" s="191" t="s">
        <v>924</v>
      </c>
      <c r="DD272" s="552" t="str">
        <f>BP272</f>
        <v>Gianluca</v>
      </c>
      <c r="DE272" s="117">
        <f>IF(OR(D272&gt;0),IF(BJ272=0,BN272*BQ272,0))</f>
        <v>149.85</v>
      </c>
      <c r="DF272" s="117">
        <f>IF(OR(D272&gt;0),IF(BJ272=0,BN272*BY272,0))</f>
        <v>299.7</v>
      </c>
      <c r="DG272" s="552" t="str">
        <f>BX272</f>
        <v>Gianluca</v>
      </c>
      <c r="DH272" s="76"/>
      <c r="DI272" s="120" t="s">
        <v>126</v>
      </c>
      <c r="DJ272" s="120"/>
      <c r="DK272" s="121"/>
      <c r="DL272" s="121"/>
      <c r="DM272" s="122"/>
      <c r="DN272" s="6"/>
      <c r="DO272" s="6"/>
      <c r="DP272" s="6"/>
      <c r="DQ272" s="6"/>
      <c r="DR272" s="6"/>
      <c r="DS272" s="6"/>
      <c r="DT272" s="6"/>
      <c r="DU272" s="6"/>
      <c r="DV272" s="6"/>
      <c r="DW272" s="6"/>
      <c r="DX272" s="6"/>
      <c r="DY272" s="6"/>
      <c r="DZ272" s="6"/>
    </row>
    <row r="273" spans="1:130" ht="34.5" hidden="1" customHeight="1">
      <c r="A273" s="3"/>
      <c r="B273" s="75" t="s">
        <v>108</v>
      </c>
      <c r="C273" s="121"/>
      <c r="D273" s="75"/>
      <c r="E273" s="75"/>
      <c r="F273" s="75"/>
      <c r="G273" s="79" t="s">
        <v>648</v>
      </c>
      <c r="H273" s="79" t="s">
        <v>649</v>
      </c>
      <c r="I273" s="131" t="s">
        <v>650</v>
      </c>
      <c r="J273" s="179" t="str">
        <f>CONCATENATE(G273," ",H273)</f>
        <v>Luana Bellotti</v>
      </c>
      <c r="K273" s="156">
        <v>3332912122</v>
      </c>
      <c r="L273" s="157"/>
      <c r="M273" s="176" t="s">
        <v>651</v>
      </c>
      <c r="N273" s="160" t="s">
        <v>652</v>
      </c>
      <c r="O273" s="407"/>
      <c r="P273" s="1941"/>
      <c r="Q273" s="86"/>
      <c r="R273" s="86"/>
      <c r="S273" s="86"/>
      <c r="T273" s="1953"/>
      <c r="U273" s="1941"/>
      <c r="V273" s="1941"/>
      <c r="W273" s="1941"/>
      <c r="X273" s="86"/>
      <c r="Y273" s="1960"/>
      <c r="Z273" s="1941"/>
      <c r="AA273" s="1941"/>
      <c r="AB273" s="86"/>
      <c r="AC273" s="86"/>
      <c r="AD273" s="86" t="s">
        <v>653</v>
      </c>
      <c r="AE273" s="88">
        <f>L273</f>
        <v>0</v>
      </c>
      <c r="AF273" s="407"/>
      <c r="AG273" s="121"/>
      <c r="AH273" s="121"/>
      <c r="AI273" s="407"/>
      <c r="AJ273" s="121"/>
      <c r="AK273" s="121"/>
      <c r="AL273" s="121"/>
      <c r="AM273" s="407"/>
      <c r="AN273" s="155"/>
      <c r="AO273" s="155"/>
      <c r="AP273" s="155"/>
      <c r="AQ273" s="1982"/>
      <c r="AR273" s="259"/>
      <c r="AS273" s="259"/>
      <c r="AT273" s="1987"/>
      <c r="AU273" s="408"/>
      <c r="AV273" s="75" t="s">
        <v>115</v>
      </c>
      <c r="AW273" s="121" t="s">
        <v>115</v>
      </c>
      <c r="AX273" s="121"/>
      <c r="AY273" s="1982"/>
      <c r="AZ273" s="121"/>
      <c r="BA273" s="121"/>
      <c r="BB273" s="121" t="s">
        <v>115</v>
      </c>
      <c r="BC273" s="1982"/>
      <c r="BD273" s="121"/>
      <c r="BE273" s="121"/>
      <c r="BF273" s="121"/>
      <c r="BG273" s="408"/>
      <c r="BH273" s="238">
        <f>CF273+CI273+CL273+CO273+CR273</f>
        <v>2997</v>
      </c>
      <c r="BI273" s="238">
        <f>CH273+CK273+CN273+CQ273+CT273</f>
        <v>2997</v>
      </c>
      <c r="BJ273" s="238">
        <f>BH273-BI273</f>
        <v>0</v>
      </c>
      <c r="BK273" s="199"/>
      <c r="BL273" s="200"/>
      <c r="BM273" s="241">
        <v>2997</v>
      </c>
      <c r="BN273" s="96"/>
      <c r="BO273" s="97"/>
      <c r="BP273" s="281" t="s">
        <v>184</v>
      </c>
      <c r="BQ273" s="98">
        <v>0.15</v>
      </c>
      <c r="BR273" s="2057"/>
      <c r="BS273" s="202"/>
      <c r="BT273" s="203">
        <f>BM273*BQ273</f>
        <v>449.55</v>
      </c>
      <c r="BU273" s="167">
        <f>BN273*BQ273</f>
        <v>0</v>
      </c>
      <c r="BV273" s="168">
        <f>BO273*BQ273</f>
        <v>0</v>
      </c>
      <c r="BW273" s="131" t="s">
        <v>120</v>
      </c>
      <c r="BX273" s="105" t="s">
        <v>184</v>
      </c>
      <c r="BY273" s="98">
        <v>0.05</v>
      </c>
      <c r="BZ273" s="2058"/>
      <c r="CA273" s="202"/>
      <c r="CB273" s="101">
        <f>BM273*BY273</f>
        <v>149.85</v>
      </c>
      <c r="CC273" s="106">
        <f>BN273*BY273</f>
        <v>0</v>
      </c>
      <c r="CD273" s="107">
        <f>BO273*BY273</f>
        <v>0</v>
      </c>
      <c r="CE273" s="90" t="s">
        <v>120</v>
      </c>
      <c r="CF273" s="108">
        <v>2997</v>
      </c>
      <c r="CG273" s="109">
        <v>45012</v>
      </c>
      <c r="CH273" s="108">
        <v>2997</v>
      </c>
      <c r="CI273" s="110"/>
      <c r="CJ273" s="226"/>
      <c r="CK273" s="206"/>
      <c r="CL273" s="206"/>
      <c r="CM273" s="226"/>
      <c r="CN273" s="206"/>
      <c r="CO273" s="206"/>
      <c r="CP273" s="206"/>
      <c r="CQ273" s="206"/>
      <c r="CR273" s="206"/>
      <c r="CS273" s="206"/>
      <c r="CT273" s="206"/>
      <c r="CU273" s="90">
        <v>1</v>
      </c>
      <c r="CV273" s="181" t="s">
        <v>121</v>
      </c>
      <c r="CW273" s="181"/>
      <c r="CX273" s="207"/>
      <c r="CY273" s="155" t="s">
        <v>122</v>
      </c>
      <c r="CZ273" s="155"/>
      <c r="DA273" s="208" t="s">
        <v>654</v>
      </c>
      <c r="DB273" s="115" t="s">
        <v>655</v>
      </c>
      <c r="DC273" s="191"/>
      <c r="DD273" s="116" t="str">
        <f>BP273</f>
        <v>Cristian A</v>
      </c>
      <c r="DE273" s="117" t="b">
        <f>IF(OR(D273&gt;0),IF(BJ273=0,BN273*BQ273,0))</f>
        <v>0</v>
      </c>
      <c r="DF273" s="117" t="b">
        <f>IF(OR(D273&gt;0),IF(BJ273=0,BN273*BY273,0))</f>
        <v>0</v>
      </c>
      <c r="DG273" s="118" t="str">
        <f>BX273</f>
        <v>Cristian A</v>
      </c>
      <c r="DH273" s="76"/>
      <c r="DI273" s="120" t="s">
        <v>126</v>
      </c>
      <c r="DJ273" s="120"/>
      <c r="DK273" s="121"/>
      <c r="DL273" s="121"/>
      <c r="DM273" s="122"/>
      <c r="DN273" s="6"/>
      <c r="DO273" s="6"/>
      <c r="DP273" s="6"/>
      <c r="DQ273" s="6"/>
      <c r="DR273" s="6"/>
      <c r="DS273" s="6"/>
      <c r="DT273" s="6"/>
      <c r="DU273" s="6"/>
      <c r="DV273" s="6"/>
      <c r="DW273" s="6"/>
      <c r="DX273" s="6"/>
      <c r="DY273" s="6"/>
      <c r="DZ273" s="6"/>
    </row>
    <row r="274" spans="1:130" ht="34.5" hidden="1" customHeight="1">
      <c r="A274" s="228"/>
      <c r="B274" s="1804" t="s">
        <v>1108</v>
      </c>
      <c r="C274" s="155"/>
      <c r="D274" s="75"/>
      <c r="E274" s="75">
        <v>1</v>
      </c>
      <c r="F274" s="75"/>
      <c r="G274" s="344" t="s">
        <v>204</v>
      </c>
      <c r="H274" s="344" t="s">
        <v>1117</v>
      </c>
      <c r="I274" s="207" t="s">
        <v>1118</v>
      </c>
      <c r="J274" s="121" t="str">
        <f>CONCATENATE(G274," ",H274)</f>
        <v>Luca Ameli</v>
      </c>
      <c r="K274" s="156">
        <v>3292669744</v>
      </c>
      <c r="L274" s="204" t="s">
        <v>1119</v>
      </c>
      <c r="M274" s="131"/>
      <c r="N274" s="160" t="s">
        <v>907</v>
      </c>
      <c r="O274" s="250"/>
      <c r="P274" s="251"/>
      <c r="Q274" s="131"/>
      <c r="R274" s="252" t="s">
        <v>1120</v>
      </c>
      <c r="S274" s="254"/>
      <c r="T274" s="346"/>
      <c r="U274" s="253"/>
      <c r="V274" s="253"/>
      <c r="W274" s="251"/>
      <c r="X274" s="131"/>
      <c r="Y274" s="251"/>
      <c r="Z274" s="251"/>
      <c r="AA274" s="251"/>
      <c r="AB274" s="255"/>
      <c r="AC274" s="256"/>
      <c r="AD274" s="121" t="s">
        <v>1121</v>
      </c>
      <c r="AE274" s="138" t="str">
        <f>L274</f>
        <v>Inserito Importo MiV (binnova paga già decurtate provvigioni Daniele)</v>
      </c>
      <c r="AF274" s="407"/>
      <c r="AG274" s="155"/>
      <c r="AH274" s="155"/>
      <c r="AI274" s="407"/>
      <c r="AJ274" s="155"/>
      <c r="AK274" s="155"/>
      <c r="AL274" s="155"/>
      <c r="AM274" s="407"/>
      <c r="AN274" s="258"/>
      <c r="AO274" s="258"/>
      <c r="AP274" s="258"/>
      <c r="AQ274" s="1982"/>
      <c r="AR274" s="19" t="s">
        <v>115</v>
      </c>
      <c r="AS274" s="121"/>
      <c r="AT274" s="121"/>
      <c r="AU274" s="408"/>
      <c r="AV274" s="121"/>
      <c r="AW274" s="124"/>
      <c r="AX274" s="124"/>
      <c r="AY274" s="1982"/>
      <c r="AZ274" s="121"/>
      <c r="BA274" s="121" t="s">
        <v>116</v>
      </c>
      <c r="BB274" s="121" t="s">
        <v>115</v>
      </c>
      <c r="BC274" s="1982"/>
      <c r="BD274" s="121"/>
      <c r="BE274" s="121"/>
      <c r="BF274" s="121"/>
      <c r="BG274" s="408"/>
      <c r="BH274" s="238">
        <f>CF274+CI274+CL274+CO274+CR274</f>
        <v>0</v>
      </c>
      <c r="BI274" s="238">
        <f>CH274+CK274+CN274+CQ274+CT274</f>
        <v>0</v>
      </c>
      <c r="BJ274" s="238">
        <f>BH274-BI274</f>
        <v>0</v>
      </c>
      <c r="BK274" s="239"/>
      <c r="BL274" s="260">
        <f>BH274</f>
        <v>0</v>
      </c>
      <c r="BM274" s="241"/>
      <c r="BN274" s="142"/>
      <c r="BO274" s="182"/>
      <c r="BP274" s="281" t="s">
        <v>141</v>
      </c>
      <c r="BQ274" s="145">
        <v>0.15</v>
      </c>
      <c r="BR274" s="409"/>
      <c r="BS274" s="242">
        <f>BL274*BQ274</f>
        <v>0</v>
      </c>
      <c r="BT274" s="203"/>
      <c r="BU274" s="167">
        <f>BN274*BQ274</f>
        <v>0</v>
      </c>
      <c r="BV274" s="168">
        <f>BO274*BQ274</f>
        <v>0</v>
      </c>
      <c r="BW274" s="243" t="s">
        <v>1122</v>
      </c>
      <c r="BX274" s="105" t="s">
        <v>141</v>
      </c>
      <c r="BY274" s="145">
        <v>0.1</v>
      </c>
      <c r="BZ274" s="262"/>
      <c r="CA274" s="242">
        <f>BL274*BY274</f>
        <v>0</v>
      </c>
      <c r="CB274" s="101">
        <f>BM274*BY274</f>
        <v>0</v>
      </c>
      <c r="CC274" s="106">
        <f>BN274*BY274</f>
        <v>0</v>
      </c>
      <c r="CD274" s="107">
        <f>BO274*BY274</f>
        <v>0</v>
      </c>
      <c r="CE274" s="411" t="s">
        <v>1122</v>
      </c>
      <c r="CF274" s="108"/>
      <c r="CG274" s="109"/>
      <c r="CH274" s="108"/>
      <c r="CI274" s="110"/>
      <c r="CJ274" s="348"/>
      <c r="CK274" s="110"/>
      <c r="CL274" s="110"/>
      <c r="CM274" s="263"/>
      <c r="CN274" s="110"/>
      <c r="CO274" s="110"/>
      <c r="CP274" s="226"/>
      <c r="CQ274" s="110"/>
      <c r="CR274" s="110"/>
      <c r="CS274" s="226"/>
      <c r="CT274" s="110"/>
      <c r="CU274" s="90">
        <v>1</v>
      </c>
      <c r="CV274" s="181" t="s">
        <v>1123</v>
      </c>
      <c r="CW274" s="112"/>
      <c r="CX274" s="1832"/>
      <c r="CY274" s="155" t="s">
        <v>215</v>
      </c>
      <c r="CZ274" s="155"/>
      <c r="DA274" s="208" t="s">
        <v>911</v>
      </c>
      <c r="DB274" s="115" t="str">
        <f>PROPER(N274)</f>
        <v>Binnova</v>
      </c>
      <c r="DC274" s="191" t="s">
        <v>125</v>
      </c>
      <c r="DD274" s="116" t="str">
        <f>BP274</f>
        <v>Daniele</v>
      </c>
      <c r="DE274" s="117" t="b">
        <f>IF(OR(D274&gt;0),IF(BJ274=0,BN274*BQ274,0))</f>
        <v>0</v>
      </c>
      <c r="DF274" s="117" t="b">
        <f>IF(OR(D274&gt;0),IF(BJ274=0,BN274*BY274,0))</f>
        <v>0</v>
      </c>
      <c r="DG274" s="116" t="str">
        <f>BX274</f>
        <v>Daniele</v>
      </c>
      <c r="DH274" s="76"/>
      <c r="DI274" s="120" t="s">
        <v>126</v>
      </c>
      <c r="DJ274" s="120"/>
      <c r="DK274" s="207"/>
      <c r="DL274" s="207"/>
      <c r="DM274" s="264">
        <v>1</v>
      </c>
      <c r="DN274" s="265"/>
      <c r="DO274" s="265"/>
      <c r="DP274" s="265"/>
      <c r="DQ274" s="265"/>
      <c r="DR274" s="265"/>
      <c r="DS274" s="265"/>
      <c r="DT274" s="265"/>
      <c r="DU274" s="265"/>
      <c r="DV274" s="265"/>
      <c r="DW274" s="265"/>
      <c r="DX274" s="265"/>
      <c r="DY274" s="265"/>
      <c r="DZ274" s="265"/>
    </row>
    <row r="275" spans="1:130" ht="34.5" hidden="1" customHeight="1">
      <c r="A275" s="228"/>
      <c r="B275" s="75" t="s">
        <v>1359</v>
      </c>
      <c r="C275" s="155"/>
      <c r="D275" s="75"/>
      <c r="E275" s="75"/>
      <c r="F275" s="75"/>
      <c r="G275" s="400" t="s">
        <v>1304</v>
      </c>
      <c r="H275" s="400" t="s">
        <v>1608</v>
      </c>
      <c r="I275" s="207"/>
      <c r="J275" s="155"/>
      <c r="K275" s="156"/>
      <c r="L275" s="435"/>
      <c r="M275" s="153"/>
      <c r="N275" s="160" t="s">
        <v>1603</v>
      </c>
      <c r="O275" s="402"/>
      <c r="P275" s="315"/>
      <c r="Q275" s="160"/>
      <c r="R275" s="403"/>
      <c r="S275" s="160"/>
      <c r="T275" s="404"/>
      <c r="U275" s="315"/>
      <c r="V275" s="315"/>
      <c r="W275" s="315"/>
      <c r="X275" s="131"/>
      <c r="Y275" s="315"/>
      <c r="Z275" s="315"/>
      <c r="AA275" s="315"/>
      <c r="AB275" s="37"/>
      <c r="AC275" s="131"/>
      <c r="AD275" s="121"/>
      <c r="AE275" s="88"/>
      <c r="AF275" s="405"/>
      <c r="AG275" s="406"/>
      <c r="AH275" s="406"/>
      <c r="AI275" s="405"/>
      <c r="AJ275" s="155"/>
      <c r="AK275" s="155"/>
      <c r="AL275" s="155"/>
      <c r="AM275" s="407"/>
      <c r="AN275" s="155"/>
      <c r="AO275" s="155"/>
      <c r="AP275" s="155"/>
      <c r="AQ275" s="85"/>
      <c r="AR275" s="121"/>
      <c r="AS275" s="121"/>
      <c r="AT275" s="121"/>
      <c r="AU275" s="408"/>
      <c r="AV275" s="121"/>
      <c r="AW275" s="121"/>
      <c r="AX275" s="121"/>
      <c r="AY275" s="85"/>
      <c r="AZ275" s="154" t="s">
        <v>165</v>
      </c>
      <c r="BA275" s="154" t="s">
        <v>165</v>
      </c>
      <c r="BB275" s="154" t="s">
        <v>165</v>
      </c>
      <c r="BC275" s="85"/>
      <c r="BD275" s="121"/>
      <c r="BE275" s="121"/>
      <c r="BF275" s="121"/>
      <c r="BG275" s="408"/>
      <c r="BH275" s="238">
        <f>CF275+CI275+CL275+CO275+CR275</f>
        <v>0</v>
      </c>
      <c r="BI275" s="238">
        <f>CH275+CK275+CN275+CQ275+CT275</f>
        <v>0</v>
      </c>
      <c r="BJ275" s="238">
        <f>BH275-BI275</f>
        <v>0</v>
      </c>
      <c r="BK275" s="239"/>
      <c r="BL275" s="260"/>
      <c r="BM275" s="241"/>
      <c r="BN275" s="142"/>
      <c r="BO275" s="182"/>
      <c r="BP275" s="105" t="s">
        <v>407</v>
      </c>
      <c r="BQ275" s="98">
        <v>0.15</v>
      </c>
      <c r="BR275" s="409"/>
      <c r="BS275" s="242">
        <f>BL275*BQ275</f>
        <v>0</v>
      </c>
      <c r="BT275" s="203">
        <f>BM275*BQ275</f>
        <v>0</v>
      </c>
      <c r="BU275" s="167">
        <f>BN275*BQ275</f>
        <v>0</v>
      </c>
      <c r="BV275" s="168">
        <f>BO275*BQ275</f>
        <v>0</v>
      </c>
      <c r="BW275" s="131"/>
      <c r="BX275" s="105" t="s">
        <v>407</v>
      </c>
      <c r="BY275" s="145">
        <v>0.05</v>
      </c>
      <c r="BZ275" s="262"/>
      <c r="CA275" s="242">
        <f>BL275*BY275</f>
        <v>0</v>
      </c>
      <c r="CB275" s="101">
        <f>BM275*BY275</f>
        <v>0</v>
      </c>
      <c r="CC275" s="106">
        <f>BN275*BY275</f>
        <v>0</v>
      </c>
      <c r="CD275" s="107">
        <f>BO275*BY275</f>
        <v>0</v>
      </c>
      <c r="CE275" s="411"/>
      <c r="CF275" s="108"/>
      <c r="CG275" s="109"/>
      <c r="CH275" s="301"/>
      <c r="CI275" s="110"/>
      <c r="CJ275" s="226"/>
      <c r="CK275" s="110"/>
      <c r="CL275" s="110"/>
      <c r="CM275" s="226"/>
      <c r="CN275" s="415"/>
      <c r="CO275" s="263"/>
      <c r="CP275" s="263"/>
      <c r="CQ275" s="263"/>
      <c r="CR275" s="263"/>
      <c r="CS275" s="263"/>
      <c r="CT275" s="263"/>
      <c r="CU275" s="90">
        <v>1</v>
      </c>
      <c r="CV275" s="181"/>
      <c r="CW275" s="438"/>
      <c r="CX275" s="439"/>
      <c r="CY275" s="155"/>
      <c r="CZ275" s="121"/>
      <c r="DA275" s="424" t="s">
        <v>1605</v>
      </c>
      <c r="DB275" s="115" t="str">
        <f>PROPER(N275)</f>
        <v>Rassicura</v>
      </c>
      <c r="DC275" s="280" t="s">
        <v>1195</v>
      </c>
      <c r="DD275" s="116" t="str">
        <f>BP275</f>
        <v>Stefano</v>
      </c>
      <c r="DE275" s="117" t="b">
        <f>IF(OR(D275&gt;0),IF(BJ275=0,BN275*BQ275,0))</f>
        <v>0</v>
      </c>
      <c r="DF275" s="117" t="b">
        <f>IF(OR(D275&gt;0),IF(BJ275=0,BN275*BY275,0))</f>
        <v>0</v>
      </c>
      <c r="DG275" s="118" t="str">
        <f>BX275</f>
        <v>Stefano</v>
      </c>
      <c r="DH275" s="76"/>
      <c r="DI275" s="120" t="s">
        <v>154</v>
      </c>
      <c r="DJ275" s="120"/>
      <c r="DK275" s="74" t="s">
        <v>1399</v>
      </c>
      <c r="DL275" s="74" t="s">
        <v>1399</v>
      </c>
      <c r="DM275" s="122"/>
      <c r="DN275" s="6"/>
      <c r="DO275" s="6"/>
      <c r="DP275" s="6"/>
      <c r="DQ275" s="6"/>
      <c r="DR275" s="6"/>
      <c r="DS275" s="6"/>
      <c r="DT275" s="6"/>
      <c r="DU275" s="6"/>
      <c r="DV275" s="6"/>
      <c r="DW275" s="6"/>
      <c r="DX275" s="6"/>
      <c r="DY275" s="6"/>
      <c r="DZ275" s="6"/>
    </row>
    <row r="276" spans="1:130" ht="34.5" hidden="1" customHeight="1">
      <c r="A276" s="228"/>
      <c r="B276" s="75" t="s">
        <v>1359</v>
      </c>
      <c r="C276" s="155"/>
      <c r="D276" s="75"/>
      <c r="E276" s="75"/>
      <c r="F276" s="75"/>
      <c r="G276" s="400" t="s">
        <v>1609</v>
      </c>
      <c r="H276" s="400" t="s">
        <v>1610</v>
      </c>
      <c r="I276" s="207"/>
      <c r="J276" s="155"/>
      <c r="K276" s="156"/>
      <c r="L276" s="435"/>
      <c r="M276" s="153"/>
      <c r="N276" s="160" t="s">
        <v>1603</v>
      </c>
      <c r="O276" s="402"/>
      <c r="P276" s="315"/>
      <c r="Q276" s="160"/>
      <c r="R276" s="403"/>
      <c r="S276" s="160"/>
      <c r="T276" s="404"/>
      <c r="U276" s="315"/>
      <c r="V276" s="315"/>
      <c r="W276" s="315"/>
      <c r="X276" s="131"/>
      <c r="Y276" s="315"/>
      <c r="Z276" s="315"/>
      <c r="AA276" s="315"/>
      <c r="AB276" s="37"/>
      <c r="AC276" s="131"/>
      <c r="AD276" s="121"/>
      <c r="AE276" s="88"/>
      <c r="AF276" s="405"/>
      <c r="AG276" s="406"/>
      <c r="AH276" s="406"/>
      <c r="AI276" s="405"/>
      <c r="AJ276" s="155"/>
      <c r="AK276" s="155"/>
      <c r="AL276" s="155"/>
      <c r="AM276" s="407"/>
      <c r="AN276" s="155"/>
      <c r="AO276" s="155"/>
      <c r="AP276" s="155"/>
      <c r="AQ276" s="85"/>
      <c r="AR276" s="121"/>
      <c r="AS276" s="121"/>
      <c r="AT276" s="121"/>
      <c r="AU276" s="408"/>
      <c r="AV276" s="121"/>
      <c r="AW276" s="121"/>
      <c r="AX276" s="121"/>
      <c r="AY276" s="85"/>
      <c r="AZ276" s="154" t="s">
        <v>165</v>
      </c>
      <c r="BA276" s="154" t="s">
        <v>165</v>
      </c>
      <c r="BB276" s="154" t="s">
        <v>165</v>
      </c>
      <c r="BC276" s="85"/>
      <c r="BD276" s="121"/>
      <c r="BE276" s="121"/>
      <c r="BF276" s="121"/>
      <c r="BG276" s="408"/>
      <c r="BH276" s="238">
        <f>CF276+CI276+CL276+CO276+CR276</f>
        <v>0</v>
      </c>
      <c r="BI276" s="238">
        <f>CH276+CK276+CN276+CQ276+CT276</f>
        <v>0</v>
      </c>
      <c r="BJ276" s="238">
        <f>BH276-BI276</f>
        <v>0</v>
      </c>
      <c r="BK276" s="239"/>
      <c r="BL276" s="260"/>
      <c r="BM276" s="241"/>
      <c r="BN276" s="142"/>
      <c r="BO276" s="182"/>
      <c r="BP276" s="105" t="s">
        <v>407</v>
      </c>
      <c r="BQ276" s="98">
        <v>0.15</v>
      </c>
      <c r="BR276" s="409"/>
      <c r="BS276" s="242">
        <f>BL276*BQ276</f>
        <v>0</v>
      </c>
      <c r="BT276" s="203">
        <f>BM276*BQ276</f>
        <v>0</v>
      </c>
      <c r="BU276" s="167">
        <f>BN276*BQ276</f>
        <v>0</v>
      </c>
      <c r="BV276" s="168">
        <f>BO276*BQ276</f>
        <v>0</v>
      </c>
      <c r="BW276" s="131"/>
      <c r="BX276" s="105" t="s">
        <v>407</v>
      </c>
      <c r="BY276" s="145">
        <v>0.05</v>
      </c>
      <c r="BZ276" s="262"/>
      <c r="CA276" s="242">
        <f>BL276*BY276</f>
        <v>0</v>
      </c>
      <c r="CB276" s="101">
        <f>BM276*BY276</f>
        <v>0</v>
      </c>
      <c r="CC276" s="106">
        <f>BN276*BY276</f>
        <v>0</v>
      </c>
      <c r="CD276" s="107">
        <f>BO276*BY276</f>
        <v>0</v>
      </c>
      <c r="CE276" s="411"/>
      <c r="CF276" s="108"/>
      <c r="CG276" s="109"/>
      <c r="CH276" s="301"/>
      <c r="CI276" s="110"/>
      <c r="CJ276" s="226"/>
      <c r="CK276" s="110"/>
      <c r="CL276" s="110"/>
      <c r="CM276" s="226"/>
      <c r="CN276" s="415"/>
      <c r="CO276" s="263"/>
      <c r="CP276" s="263"/>
      <c r="CQ276" s="263"/>
      <c r="CR276" s="263"/>
      <c r="CS276" s="263"/>
      <c r="CT276" s="263"/>
      <c r="CU276" s="90">
        <v>1</v>
      </c>
      <c r="CV276" s="181"/>
      <c r="CW276" s="438"/>
      <c r="CX276" s="439"/>
      <c r="CY276" s="155"/>
      <c r="CZ276" s="121"/>
      <c r="DA276" s="424" t="s">
        <v>1605</v>
      </c>
      <c r="DB276" s="115" t="str">
        <f>PROPER(N276)</f>
        <v>Rassicura</v>
      </c>
      <c r="DC276" s="280" t="s">
        <v>1195</v>
      </c>
      <c r="DD276" s="116" t="str">
        <f>BP276</f>
        <v>Stefano</v>
      </c>
      <c r="DE276" s="117" t="b">
        <f>IF(OR(D276&gt;0),IF(BJ276=0,BN276*BQ276,0))</f>
        <v>0</v>
      </c>
      <c r="DF276" s="117" t="b">
        <f>IF(OR(D276&gt;0),IF(BJ276=0,BN276*BY276,0))</f>
        <v>0</v>
      </c>
      <c r="DG276" s="118" t="str">
        <f>BX276</f>
        <v>Stefano</v>
      </c>
      <c r="DH276" s="76"/>
      <c r="DI276" s="120" t="s">
        <v>154</v>
      </c>
      <c r="DJ276" s="120"/>
      <c r="DK276" s="74" t="s">
        <v>1399</v>
      </c>
      <c r="DL276" s="74" t="s">
        <v>1399</v>
      </c>
      <c r="DM276" s="122"/>
      <c r="DN276" s="6"/>
      <c r="DO276" s="6"/>
      <c r="DP276" s="6"/>
      <c r="DQ276" s="6"/>
      <c r="DR276" s="6"/>
      <c r="DS276" s="6"/>
      <c r="DT276" s="6"/>
      <c r="DU276" s="6"/>
      <c r="DV276" s="6"/>
      <c r="DW276" s="6"/>
      <c r="DX276" s="6"/>
      <c r="DY276" s="6"/>
      <c r="DZ276" s="6"/>
    </row>
    <row r="277" spans="1:130" ht="34.5" hidden="1" customHeight="1">
      <c r="A277" s="228"/>
      <c r="B277" s="371" t="s">
        <v>1359</v>
      </c>
      <c r="C277" s="155"/>
      <c r="D277" s="75"/>
      <c r="E277" s="75"/>
      <c r="F277" s="75"/>
      <c r="G277" s="400" t="s">
        <v>487</v>
      </c>
      <c r="H277" s="400" t="s">
        <v>1611</v>
      </c>
      <c r="I277" s="207" t="s">
        <v>1612</v>
      </c>
      <c r="J277" s="155" t="str">
        <f>CONCATENATE(G277," ",H277)</f>
        <v>Daniela Marigo</v>
      </c>
      <c r="K277" s="156">
        <v>3339115838</v>
      </c>
      <c r="L277" s="482" t="s">
        <v>1613</v>
      </c>
      <c r="M277" s="153"/>
      <c r="N277" s="160"/>
      <c r="O277" s="402"/>
      <c r="P277" s="315"/>
      <c r="Q277" s="160"/>
      <c r="R277" s="403"/>
      <c r="S277" s="160"/>
      <c r="T277" s="404"/>
      <c r="U277" s="315"/>
      <c r="V277" s="315"/>
      <c r="W277" s="315"/>
      <c r="X277" s="131"/>
      <c r="Y277" s="315"/>
      <c r="Z277" s="315"/>
      <c r="AA277" s="315"/>
      <c r="AB277" s="37"/>
      <c r="AC277" s="131"/>
      <c r="AD277" s="121"/>
      <c r="AE277" s="88"/>
      <c r="AF277" s="405"/>
      <c r="AG277" s="406"/>
      <c r="AH277" s="406"/>
      <c r="AI277" s="405"/>
      <c r="AJ277" s="155"/>
      <c r="AK277" s="155"/>
      <c r="AL277" s="155"/>
      <c r="AM277" s="407"/>
      <c r="AN277" s="155"/>
      <c r="AO277" s="155"/>
      <c r="AP277" s="155"/>
      <c r="AQ277" s="85"/>
      <c r="AR277" s="259"/>
      <c r="AS277" s="259"/>
      <c r="AT277" s="3"/>
      <c r="AU277" s="408"/>
      <c r="AV277" s="75"/>
      <c r="AW277" s="121"/>
      <c r="AX277" s="121"/>
      <c r="AY277" s="85"/>
      <c r="AZ277" s="121"/>
      <c r="BA277" s="121"/>
      <c r="BB277" s="121"/>
      <c r="BC277" s="85"/>
      <c r="BD277" s="121" t="s">
        <v>151</v>
      </c>
      <c r="BE277" s="121" t="s">
        <v>151</v>
      </c>
      <c r="BF277" s="121" t="s">
        <v>151</v>
      </c>
      <c r="BG277" s="408"/>
      <c r="BH277" s="238">
        <f>CF277+CI277+CL277+CO277+CR277</f>
        <v>0</v>
      </c>
      <c r="BI277" s="238">
        <f>CH277+CK277+CN277+CQ277+CT277</f>
        <v>0</v>
      </c>
      <c r="BJ277" s="238">
        <f>BH277-BI277</f>
        <v>0</v>
      </c>
      <c r="BK277" s="239"/>
      <c r="BL277" s="260"/>
      <c r="BM277" s="241"/>
      <c r="BN277" s="142"/>
      <c r="BO277" s="182"/>
      <c r="BP277" s="105" t="s">
        <v>166</v>
      </c>
      <c r="BQ277" s="98">
        <v>0.15</v>
      </c>
      <c r="BR277" s="409"/>
      <c r="BS277" s="242">
        <f>BL277*BQ277</f>
        <v>0</v>
      </c>
      <c r="BT277" s="203">
        <f>BM277*BQ277</f>
        <v>0</v>
      </c>
      <c r="BU277" s="167">
        <f>BN277*BQ277</f>
        <v>0</v>
      </c>
      <c r="BV277" s="168">
        <f>BO277*BQ277</f>
        <v>0</v>
      </c>
      <c r="BW277" s="131"/>
      <c r="BX277" s="105" t="s">
        <v>166</v>
      </c>
      <c r="BY277" s="145">
        <v>0.05</v>
      </c>
      <c r="BZ277" s="262"/>
      <c r="CA277" s="242">
        <f>BL277*BY277</f>
        <v>0</v>
      </c>
      <c r="CB277" s="101">
        <f>BM277*BY277</f>
        <v>0</v>
      </c>
      <c r="CC277" s="106">
        <f>BN277*BY277</f>
        <v>0</v>
      </c>
      <c r="CD277" s="107">
        <f>BO277*BY277</f>
        <v>0</v>
      </c>
      <c r="CE277" s="411"/>
      <c r="CF277" s="434">
        <v>0</v>
      </c>
      <c r="CG277" s="130" t="s">
        <v>153</v>
      </c>
      <c r="CH277" s="414"/>
      <c r="CI277" s="415"/>
      <c r="CJ277" s="416"/>
      <c r="CK277" s="415"/>
      <c r="CL277" s="415"/>
      <c r="CM277" s="416"/>
      <c r="CN277" s="415"/>
      <c r="CO277" s="263"/>
      <c r="CP277" s="263"/>
      <c r="CQ277" s="263"/>
      <c r="CR277" s="263"/>
      <c r="CS277" s="263"/>
      <c r="CT277" s="263"/>
      <c r="CU277" s="90">
        <v>1</v>
      </c>
      <c r="CV277" s="181"/>
      <c r="CW277" s="181"/>
      <c r="CX277" s="181"/>
      <c r="CY277" s="155"/>
      <c r="CZ277" s="121"/>
      <c r="DA277" s="424"/>
      <c r="DB277" s="115" t="str">
        <f>PROPER(N277)</f>
        <v/>
      </c>
      <c r="DC277" s="280" t="s">
        <v>1614</v>
      </c>
      <c r="DD277" s="116" t="str">
        <f>BP277</f>
        <v>Matteo</v>
      </c>
      <c r="DE277" s="117" t="b">
        <f>IF(OR(D277&gt;0),IF(BJ277=0,BN277*BQ277,0))</f>
        <v>0</v>
      </c>
      <c r="DF277" s="117" t="b">
        <f>IF(OR(D277&gt;0),IF(BJ277=0,BN277*BY277,0))</f>
        <v>0</v>
      </c>
      <c r="DG277" s="118" t="str">
        <f>BX277</f>
        <v>Matteo</v>
      </c>
      <c r="DH277" s="76"/>
      <c r="DI277" s="120" t="s">
        <v>154</v>
      </c>
      <c r="DJ277" s="120"/>
      <c r="DK277" s="74" t="s">
        <v>1366</v>
      </c>
      <c r="DL277" s="74" t="s">
        <v>1366</v>
      </c>
      <c r="DM277" s="122"/>
      <c r="DN277" s="6"/>
      <c r="DO277" s="6"/>
      <c r="DP277" s="6"/>
      <c r="DQ277" s="6"/>
      <c r="DR277" s="6"/>
      <c r="DS277" s="6"/>
      <c r="DT277" s="6"/>
      <c r="DU277" s="6"/>
      <c r="DV277" s="6"/>
      <c r="DW277" s="6"/>
      <c r="DX277" s="6"/>
      <c r="DY277" s="6"/>
      <c r="DZ277" s="6"/>
    </row>
    <row r="278" spans="1:130" ht="34.5" hidden="1" customHeight="1">
      <c r="A278" s="228"/>
      <c r="B278" s="75" t="s">
        <v>1359</v>
      </c>
      <c r="C278" s="155"/>
      <c r="D278" s="75">
        <v>1</v>
      </c>
      <c r="E278" s="75"/>
      <c r="F278" s="75"/>
      <c r="G278" s="400" t="s">
        <v>141</v>
      </c>
      <c r="H278" s="400" t="s">
        <v>1615</v>
      </c>
      <c r="I278" s="207" t="s">
        <v>1616</v>
      </c>
      <c r="J278" s="155" t="str">
        <f>CONCATENATE(G278," ",H278)</f>
        <v>Daniele Gavinelli</v>
      </c>
      <c r="K278" s="156">
        <v>3921188446</v>
      </c>
      <c r="L278" s="435"/>
      <c r="M278" s="425" t="s">
        <v>1617</v>
      </c>
      <c r="N278" s="483" t="s">
        <v>1618</v>
      </c>
      <c r="O278" s="402"/>
      <c r="P278" s="315"/>
      <c r="Q278" s="160"/>
      <c r="R278" s="403"/>
      <c r="S278" s="160"/>
      <c r="T278" s="404"/>
      <c r="U278" s="315"/>
      <c r="V278" s="315"/>
      <c r="W278" s="315"/>
      <c r="X278" s="131"/>
      <c r="Y278" s="315"/>
      <c r="Z278" s="315"/>
      <c r="AA278" s="315"/>
      <c r="AB278" s="37"/>
      <c r="AC278" s="131"/>
      <c r="AD278" s="121" t="s">
        <v>1619</v>
      </c>
      <c r="AE278" s="88"/>
      <c r="AF278" s="405"/>
      <c r="AG278" s="406"/>
      <c r="AH278" s="406"/>
      <c r="AI278" s="405"/>
      <c r="AJ278" s="155"/>
      <c r="AK278" s="155"/>
      <c r="AL278" s="155"/>
      <c r="AM278" s="407"/>
      <c r="AN278" s="155"/>
      <c r="AO278" s="155"/>
      <c r="AP278" s="155"/>
      <c r="AQ278" s="85"/>
      <c r="AR278" s="259"/>
      <c r="AS278" s="259"/>
      <c r="AT278" s="3"/>
      <c r="AU278" s="408"/>
      <c r="AV278" s="75"/>
      <c r="AW278" s="121"/>
      <c r="AX278" s="121"/>
      <c r="AY278" s="85"/>
      <c r="AZ278" s="121" t="s">
        <v>115</v>
      </c>
      <c r="BA278" s="121"/>
      <c r="BB278" s="121"/>
      <c r="BC278" s="85"/>
      <c r="BD278" s="121"/>
      <c r="BE278" s="121" t="s">
        <v>115</v>
      </c>
      <c r="BF278" s="121" t="s">
        <v>115</v>
      </c>
      <c r="BG278" s="408"/>
      <c r="BH278" s="238">
        <f>CF278+CI278+CL278+CO278+CR278</f>
        <v>2997</v>
      </c>
      <c r="BI278" s="238">
        <f>CH278+CK278+CN278+CQ278+CT278</f>
        <v>2997</v>
      </c>
      <c r="BJ278" s="238">
        <f>BH278-BI278</f>
        <v>0</v>
      </c>
      <c r="BK278" s="239"/>
      <c r="BL278" s="260"/>
      <c r="BM278" s="241"/>
      <c r="BN278" s="142">
        <v>2997</v>
      </c>
      <c r="BO278" s="182"/>
      <c r="BP278" s="484" t="s">
        <v>1620</v>
      </c>
      <c r="BQ278" s="145">
        <v>0.15</v>
      </c>
      <c r="BR278" s="480"/>
      <c r="BS278" s="381">
        <f>BL278*BQ278</f>
        <v>0</v>
      </c>
      <c r="BT278" s="168">
        <f>BM278*BQ278</f>
        <v>0</v>
      </c>
      <c r="BU278" s="106">
        <f>BN278*BQ278</f>
        <v>449.55</v>
      </c>
      <c r="BV278" s="168">
        <f>BO278*BQ278</f>
        <v>0</v>
      </c>
      <c r="BW278" s="160" t="s">
        <v>185</v>
      </c>
      <c r="BX278" s="441" t="s">
        <v>861</v>
      </c>
      <c r="BY278" s="145">
        <v>0.05</v>
      </c>
      <c r="BZ278" s="262"/>
      <c r="CA278" s="242">
        <f>BL278*BY278</f>
        <v>0</v>
      </c>
      <c r="CB278" s="101">
        <f>BM278*BY278</f>
        <v>0</v>
      </c>
      <c r="CC278" s="106">
        <f>BN278*BY278</f>
        <v>149.85</v>
      </c>
      <c r="CD278" s="107">
        <f>BO278*BY278</f>
        <v>0</v>
      </c>
      <c r="CE278" s="160" t="s">
        <v>185</v>
      </c>
      <c r="CF278" s="108">
        <v>2997</v>
      </c>
      <c r="CG278" s="109">
        <v>45198</v>
      </c>
      <c r="CH278" s="108">
        <v>2997</v>
      </c>
      <c r="CI278" s="415"/>
      <c r="CJ278" s="416"/>
      <c r="CK278" s="415"/>
      <c r="CL278" s="415"/>
      <c r="CM278" s="416"/>
      <c r="CN278" s="415"/>
      <c r="CO278" s="263"/>
      <c r="CP278" s="263"/>
      <c r="CQ278" s="263"/>
      <c r="CR278" s="263"/>
      <c r="CS278" s="263"/>
      <c r="CT278" s="263"/>
      <c r="CU278" s="90">
        <v>1</v>
      </c>
      <c r="CV278" s="181"/>
      <c r="CW278" s="181"/>
      <c r="CX278" s="181"/>
      <c r="CY278" s="155"/>
      <c r="CZ278" s="121"/>
      <c r="DA278" s="426" t="s">
        <v>1621</v>
      </c>
      <c r="DB278" s="115" t="str">
        <f>PROPER(N278)</f>
        <v>Delta Paghe</v>
      </c>
      <c r="DC278" s="280" t="s">
        <v>949</v>
      </c>
      <c r="DD278" s="116" t="str">
        <f>BP278</f>
        <v>Daniele (7,5% Dani; 7,5% Simo)</v>
      </c>
      <c r="DE278" s="117">
        <f>IF(OR(D278&gt;0),IF(BJ278=0,BN278*BQ278,0))</f>
        <v>449.55</v>
      </c>
      <c r="DF278" s="117">
        <f>IF(OR(D278&gt;0),IF(BJ278=0,BN278*BY278,0))</f>
        <v>149.85</v>
      </c>
      <c r="DG278" s="118" t="str">
        <f>BX278</f>
        <v>Simone</v>
      </c>
      <c r="DH278" s="76"/>
      <c r="DI278" s="120" t="s">
        <v>154</v>
      </c>
      <c r="DJ278" s="120"/>
      <c r="DK278" s="74" t="s">
        <v>1399</v>
      </c>
      <c r="DL278" s="74" t="s">
        <v>1399</v>
      </c>
      <c r="DM278" s="122"/>
      <c r="DN278" s="6"/>
      <c r="DO278" s="6"/>
      <c r="DP278" s="6"/>
      <c r="DQ278" s="6"/>
      <c r="DR278" s="6"/>
      <c r="DS278" s="6"/>
      <c r="DT278" s="6"/>
      <c r="DU278" s="6"/>
      <c r="DV278" s="6"/>
      <c r="DW278" s="6"/>
      <c r="DX278" s="6"/>
      <c r="DY278" s="6"/>
      <c r="DZ278" s="6"/>
    </row>
    <row r="279" spans="1:130" ht="34.5" hidden="1" customHeight="1">
      <c r="A279" s="228"/>
      <c r="B279" s="75" t="s">
        <v>1359</v>
      </c>
      <c r="C279" s="155"/>
      <c r="D279" s="75"/>
      <c r="E279" s="75"/>
      <c r="F279" s="75"/>
      <c r="G279" s="400" t="s">
        <v>1622</v>
      </c>
      <c r="H279" s="400" t="s">
        <v>1623</v>
      </c>
      <c r="I279" s="207" t="s">
        <v>1624</v>
      </c>
      <c r="J279" s="155" t="str">
        <f>CONCATENATE(G279," ",H279)</f>
        <v>Danilo Aprile</v>
      </c>
      <c r="K279" s="156">
        <v>3303797944</v>
      </c>
      <c r="L279" s="423"/>
      <c r="M279" s="153" t="s">
        <v>1625</v>
      </c>
      <c r="N279" s="160" t="s">
        <v>1626</v>
      </c>
      <c r="O279" s="402"/>
      <c r="P279" s="315"/>
      <c r="Q279" s="160"/>
      <c r="R279" s="403"/>
      <c r="S279" s="160"/>
      <c r="T279" s="404"/>
      <c r="U279" s="315"/>
      <c r="V279" s="315"/>
      <c r="W279" s="315"/>
      <c r="X279" s="131"/>
      <c r="Y279" s="315"/>
      <c r="Z279" s="315"/>
      <c r="AA279" s="315"/>
      <c r="AB279" s="37"/>
      <c r="AC279" s="131"/>
      <c r="AD279" s="121" t="s">
        <v>1627</v>
      </c>
      <c r="AE279" s="88"/>
      <c r="AF279" s="405"/>
      <c r="AG279" s="406"/>
      <c r="AH279" s="406"/>
      <c r="AI279" s="405"/>
      <c r="AJ279" s="155"/>
      <c r="AK279" s="155"/>
      <c r="AL279" s="155"/>
      <c r="AM279" s="407"/>
      <c r="AN279" s="155"/>
      <c r="AO279" s="155"/>
      <c r="AP279" s="155"/>
      <c r="AQ279" s="85"/>
      <c r="AR279" s="259"/>
      <c r="AS279" s="259"/>
      <c r="AT279" s="3"/>
      <c r="AU279" s="408"/>
      <c r="AV279" s="75"/>
      <c r="AW279" s="121"/>
      <c r="AX279" s="121"/>
      <c r="AY279" s="85"/>
      <c r="AZ279" s="121"/>
      <c r="BA279" s="121"/>
      <c r="BB279" s="121"/>
      <c r="BC279" s="85"/>
      <c r="BD279" s="121" t="s">
        <v>115</v>
      </c>
      <c r="BE279" s="121" t="s">
        <v>115</v>
      </c>
      <c r="BF279" s="121" t="s">
        <v>115</v>
      </c>
      <c r="BG279" s="408"/>
      <c r="BH279" s="238">
        <f>CF279+CI279+CL279+CO279+CR279</f>
        <v>3497</v>
      </c>
      <c r="BI279" s="238">
        <f>CH279+CK279+CN279+CQ279+CT279</f>
        <v>163.9344262295082</v>
      </c>
      <c r="BJ279" s="238">
        <f>BH279-BI279</f>
        <v>3333.0655737704919</v>
      </c>
      <c r="BK279" s="239"/>
      <c r="BL279" s="260"/>
      <c r="BM279" s="241"/>
      <c r="BN279" s="142"/>
      <c r="BO279" s="182">
        <f>(200+4066.34)/1.22</f>
        <v>3497</v>
      </c>
      <c r="BP279" s="105" t="s">
        <v>487</v>
      </c>
      <c r="BQ279" s="98">
        <v>0.15</v>
      </c>
      <c r="BR279" s="409"/>
      <c r="BS279" s="242">
        <f>BL279*BQ279</f>
        <v>0</v>
      </c>
      <c r="BT279" s="203">
        <f>BM279*BQ279</f>
        <v>0</v>
      </c>
      <c r="BU279" s="167">
        <f>BN279*BQ279</f>
        <v>0</v>
      </c>
      <c r="BV279" s="168">
        <f>BO279*BQ279</f>
        <v>524.54999999999995</v>
      </c>
      <c r="BW279" s="131"/>
      <c r="BX279" s="105" t="s">
        <v>487</v>
      </c>
      <c r="BY279" s="145">
        <v>0.05</v>
      </c>
      <c r="BZ279" s="262"/>
      <c r="CA279" s="242">
        <f>BL279*BY279</f>
        <v>0</v>
      </c>
      <c r="CB279" s="101">
        <f>BM279*BY279</f>
        <v>0</v>
      </c>
      <c r="CC279" s="106">
        <f>BN279*BY279</f>
        <v>0</v>
      </c>
      <c r="CD279" s="107">
        <f>BO279*BY279</f>
        <v>174.85000000000002</v>
      </c>
      <c r="CE279" s="411"/>
      <c r="CF279" s="108">
        <f>200/1.22</f>
        <v>163.9344262295082</v>
      </c>
      <c r="CG279" s="109">
        <v>45198</v>
      </c>
      <c r="CH279" s="108">
        <f>200/1.22</f>
        <v>163.9344262295082</v>
      </c>
      <c r="CI279" s="110">
        <f>4066.34/1.22</f>
        <v>3333.0655737704919</v>
      </c>
      <c r="CJ279" s="226">
        <v>45408</v>
      </c>
      <c r="CK279" s="415"/>
      <c r="CL279" s="415"/>
      <c r="CM279" s="416"/>
      <c r="CN279" s="415"/>
      <c r="CO279" s="263"/>
      <c r="CP279" s="263"/>
      <c r="CQ279" s="263"/>
      <c r="CR279" s="263"/>
      <c r="CS279" s="263"/>
      <c r="CT279" s="263"/>
      <c r="CU279" s="90">
        <v>1</v>
      </c>
      <c r="CV279" s="181"/>
      <c r="CW279" s="181"/>
      <c r="CX279" s="181"/>
      <c r="CY279" s="155"/>
      <c r="CZ279" s="121"/>
      <c r="DA279" s="424" t="s">
        <v>1628</v>
      </c>
      <c r="DB279" s="115" t="str">
        <f>PROPER(N279)</f>
        <v>Fisio4Wellness</v>
      </c>
      <c r="DC279" s="280" t="s">
        <v>1629</v>
      </c>
      <c r="DD279" s="116" t="str">
        <f>BP279</f>
        <v>Daniela</v>
      </c>
      <c r="DE279" s="117" t="b">
        <f>IF(OR(D279&gt;0),IF(BJ279=0,BN279*BQ279,0))</f>
        <v>0</v>
      </c>
      <c r="DF279" s="117" t="b">
        <f>IF(OR(D279&gt;0),IF(BJ279=0,BN279*BY279,0))</f>
        <v>0</v>
      </c>
      <c r="DG279" s="118" t="str">
        <f>BX279</f>
        <v>Daniela</v>
      </c>
      <c r="DH279" s="76"/>
      <c r="DI279" s="120" t="s">
        <v>154</v>
      </c>
      <c r="DJ279" s="120"/>
      <c r="DK279" s="74" t="s">
        <v>1418</v>
      </c>
      <c r="DL279" s="74" t="s">
        <v>1418</v>
      </c>
      <c r="DM279" s="122"/>
      <c r="DN279" s="6"/>
      <c r="DO279" s="6"/>
      <c r="DP279" s="6"/>
      <c r="DQ279" s="6"/>
      <c r="DR279" s="6"/>
      <c r="DS279" s="6"/>
      <c r="DT279" s="6"/>
      <c r="DU279" s="6"/>
      <c r="DV279" s="6"/>
      <c r="DW279" s="6"/>
      <c r="DX279" s="6"/>
      <c r="DY279" s="6"/>
      <c r="DZ279" s="6"/>
    </row>
    <row r="280" spans="1:130" ht="34.5" hidden="1" customHeight="1">
      <c r="A280" s="228"/>
      <c r="B280" s="75" t="s">
        <v>1359</v>
      </c>
      <c r="C280" s="155"/>
      <c r="D280" s="75"/>
      <c r="E280" s="75">
        <v>1</v>
      </c>
      <c r="F280" s="75"/>
      <c r="G280" s="400" t="s">
        <v>204</v>
      </c>
      <c r="H280" s="400" t="s">
        <v>1854</v>
      </c>
      <c r="I280" s="207" t="s">
        <v>1855</v>
      </c>
      <c r="J280" s="121" t="str">
        <f>CONCATENATE(G280," ",H280)</f>
        <v>Luca Auciello</v>
      </c>
      <c r="K280" s="156">
        <v>3475992503</v>
      </c>
      <c r="L280" s="442" t="s">
        <v>1856</v>
      </c>
      <c r="M280" s="153" t="s">
        <v>1148</v>
      </c>
      <c r="N280" s="160" t="s">
        <v>1857</v>
      </c>
      <c r="O280" s="402"/>
      <c r="P280" s="315"/>
      <c r="Q280" s="160"/>
      <c r="R280" s="403"/>
      <c r="S280" s="160"/>
      <c r="T280" s="404"/>
      <c r="U280" s="315"/>
      <c r="V280" s="315"/>
      <c r="W280" s="315"/>
      <c r="X280" s="131"/>
      <c r="Y280" s="315"/>
      <c r="Z280" s="315"/>
      <c r="AA280" s="315"/>
      <c r="AB280" s="37"/>
      <c r="AC280" s="131"/>
      <c r="AD280" s="121" t="s">
        <v>1858</v>
      </c>
      <c r="AE280" s="88"/>
      <c r="AF280" s="405"/>
      <c r="AG280" s="406"/>
      <c r="AH280" s="406"/>
      <c r="AI280" s="405"/>
      <c r="AJ280" s="155"/>
      <c r="AK280" s="155"/>
      <c r="AL280" s="155"/>
      <c r="AM280" s="407"/>
      <c r="AN280" s="155"/>
      <c r="AO280" s="155"/>
      <c r="AP280" s="155"/>
      <c r="AQ280" s="85"/>
      <c r="AR280" s="259"/>
      <c r="AS280" s="259"/>
      <c r="AT280" s="1987"/>
      <c r="AU280" s="408"/>
      <c r="AV280" s="121"/>
      <c r="AW280" s="121"/>
      <c r="AX280" s="121"/>
      <c r="AY280" s="85"/>
      <c r="AZ280" s="121"/>
      <c r="BA280" s="121" t="s">
        <v>115</v>
      </c>
      <c r="BB280" s="135" t="s">
        <v>115</v>
      </c>
      <c r="BC280" s="85"/>
      <c r="BD280" s="121" t="s">
        <v>115</v>
      </c>
      <c r="BE280" s="121"/>
      <c r="BF280" s="121"/>
      <c r="BG280" s="408"/>
      <c r="BH280" s="238">
        <f>CF280+CI280+CL280+CO280+CR280</f>
        <v>2997</v>
      </c>
      <c r="BI280" s="238">
        <f>CH280+CK280+CN280+CQ280+CT280</f>
        <v>2997</v>
      </c>
      <c r="BJ280" s="238">
        <f>BH280-BI280</f>
        <v>0</v>
      </c>
      <c r="BK280" s="239"/>
      <c r="BL280" s="260"/>
      <c r="BM280" s="241"/>
      <c r="BN280" s="142">
        <v>2997</v>
      </c>
      <c r="BO280" s="182"/>
      <c r="BP280" s="105" t="s">
        <v>262</v>
      </c>
      <c r="BQ280" s="98">
        <v>0.15</v>
      </c>
      <c r="BR280" s="409"/>
      <c r="BS280" s="242">
        <f>BL280*BQ280</f>
        <v>0</v>
      </c>
      <c r="BT280" s="203">
        <f>BM280*BQ280</f>
        <v>0</v>
      </c>
      <c r="BU280" s="167">
        <f>BN280*BQ280</f>
        <v>449.55</v>
      </c>
      <c r="BV280" s="168">
        <f>BO280*BQ280</f>
        <v>0</v>
      </c>
      <c r="BW280" s="131"/>
      <c r="BX280" s="105" t="s">
        <v>262</v>
      </c>
      <c r="BY280" s="145">
        <v>0.05</v>
      </c>
      <c r="BZ280" s="262"/>
      <c r="CA280" s="242">
        <f>BL280*BY280</f>
        <v>0</v>
      </c>
      <c r="CB280" s="101">
        <f>BM280*BY280</f>
        <v>0</v>
      </c>
      <c r="CC280" s="106">
        <f>BN280*BY280</f>
        <v>149.85</v>
      </c>
      <c r="CD280" s="107">
        <f>BO280*BY280</f>
        <v>0</v>
      </c>
      <c r="CE280" s="411"/>
      <c r="CF280" s="108">
        <v>2997</v>
      </c>
      <c r="CG280" s="109">
        <v>45198</v>
      </c>
      <c r="CH280" s="108">
        <v>2997</v>
      </c>
      <c r="CI280" s="415"/>
      <c r="CJ280" s="416"/>
      <c r="CK280" s="415"/>
      <c r="CL280" s="415"/>
      <c r="CM280" s="416"/>
      <c r="CN280" s="415"/>
      <c r="CO280" s="263"/>
      <c r="CP280" s="263"/>
      <c r="CQ280" s="263"/>
      <c r="CR280" s="263"/>
      <c r="CS280" s="263"/>
      <c r="CT280" s="263"/>
      <c r="CU280" s="90">
        <v>1</v>
      </c>
      <c r="CV280" s="181"/>
      <c r="CW280" s="112"/>
      <c r="CX280" s="840"/>
      <c r="CY280" s="155"/>
      <c r="CZ280" s="121"/>
      <c r="DA280" s="2147" t="s">
        <v>1859</v>
      </c>
      <c r="DB280" s="115" t="str">
        <f>PROPER(N280)</f>
        <v>B.Fancy</v>
      </c>
      <c r="DC280" s="280" t="s">
        <v>125</v>
      </c>
      <c r="DD280" s="116" t="str">
        <f>BP280</f>
        <v>Pacci</v>
      </c>
      <c r="DE280" s="117" t="b">
        <f>IF(OR(D280&gt;0),IF(BJ280=0,BN280*BQ280,0))</f>
        <v>0</v>
      </c>
      <c r="DF280" s="117" t="b">
        <f>IF(OR(D280&gt;0),IF(BJ280=0,BN280*BY280,0))</f>
        <v>0</v>
      </c>
      <c r="DG280" s="118" t="str">
        <f>BX280</f>
        <v>Pacci</v>
      </c>
      <c r="DH280" s="76"/>
      <c r="DI280" s="120" t="s">
        <v>126</v>
      </c>
      <c r="DJ280" s="120"/>
      <c r="DK280" s="74" t="s">
        <v>1366</v>
      </c>
      <c r="DL280" s="74" t="s">
        <v>1366</v>
      </c>
      <c r="DM280" s="122"/>
      <c r="DN280" s="6"/>
      <c r="DO280" s="6"/>
      <c r="DP280" s="6"/>
      <c r="DQ280" s="6"/>
      <c r="DR280" s="6"/>
      <c r="DS280" s="6"/>
      <c r="DT280" s="6"/>
      <c r="DU280" s="6"/>
      <c r="DV280" s="6"/>
      <c r="DW280" s="6"/>
      <c r="DX280" s="6"/>
      <c r="DY280" s="6"/>
      <c r="DZ280" s="6"/>
    </row>
    <row r="281" spans="1:130" ht="34.5" hidden="1" customHeight="1">
      <c r="A281" s="228"/>
      <c r="B281" s="75" t="s">
        <v>1359</v>
      </c>
      <c r="C281" s="155"/>
      <c r="D281" s="75">
        <v>1</v>
      </c>
      <c r="E281" s="75">
        <v>1</v>
      </c>
      <c r="F281" s="75"/>
      <c r="G281" s="400" t="s">
        <v>204</v>
      </c>
      <c r="H281" s="400" t="s">
        <v>1860</v>
      </c>
      <c r="I281" s="207" t="s">
        <v>1861</v>
      </c>
      <c r="J281" s="121" t="str">
        <f>CONCATENATE(G281," ",H281)</f>
        <v>Luca Bartoletti</v>
      </c>
      <c r="K281" s="156">
        <v>3357440218</v>
      </c>
      <c r="L281" s="445" t="s">
        <v>1862</v>
      </c>
      <c r="M281" s="153"/>
      <c r="N281" s="160" t="s">
        <v>1863</v>
      </c>
      <c r="O281" s="402"/>
      <c r="P281" s="315"/>
      <c r="Q281" s="160"/>
      <c r="R281" s="403"/>
      <c r="S281" s="160"/>
      <c r="T281" s="404"/>
      <c r="U281" s="315"/>
      <c r="V281" s="315"/>
      <c r="W281" s="315"/>
      <c r="X281" s="131"/>
      <c r="Y281" s="315"/>
      <c r="Z281" s="315"/>
      <c r="AA281" s="315"/>
      <c r="AB281" s="37"/>
      <c r="AC281" s="131"/>
      <c r="AD281" s="121" t="s">
        <v>1328</v>
      </c>
      <c r="AE281" s="88"/>
      <c r="AF281" s="405"/>
      <c r="AG281" s="406"/>
      <c r="AH281" s="406"/>
      <c r="AI281" s="405"/>
      <c r="AJ281" s="155"/>
      <c r="AK281" s="155"/>
      <c r="AL281" s="155"/>
      <c r="AM281" s="407"/>
      <c r="AN281" s="155"/>
      <c r="AO281" s="155"/>
      <c r="AP281" s="155"/>
      <c r="AQ281" s="85"/>
      <c r="AR281" s="259"/>
      <c r="AS281" s="259"/>
      <c r="AT281" s="1987"/>
      <c r="AU281" s="408"/>
      <c r="AV281" s="75"/>
      <c r="AW281" s="121"/>
      <c r="AX281" s="121"/>
      <c r="AY281" s="85"/>
      <c r="AZ281" s="121" t="s">
        <v>245</v>
      </c>
      <c r="BA281" s="121" t="s">
        <v>245</v>
      </c>
      <c r="BB281" s="135" t="s">
        <v>115</v>
      </c>
      <c r="BC281" s="85"/>
      <c r="BD281" s="121"/>
      <c r="BE281" s="121"/>
      <c r="BF281" s="121"/>
      <c r="BG281" s="408"/>
      <c r="BH281" s="238">
        <f>2997</f>
        <v>2997</v>
      </c>
      <c r="BI281" s="238">
        <f>CH281+CL281+CN281+CQ281+CT281</f>
        <v>0</v>
      </c>
      <c r="BJ281" s="238">
        <f>BH281-BI281</f>
        <v>2997</v>
      </c>
      <c r="BK281" s="239"/>
      <c r="BL281" s="260"/>
      <c r="BM281" s="241"/>
      <c r="BN281" s="142">
        <v>2997</v>
      </c>
      <c r="BO281" s="182"/>
      <c r="BP281" s="105" t="s">
        <v>160</v>
      </c>
      <c r="BQ281" s="98">
        <v>0.15</v>
      </c>
      <c r="BR281" s="409"/>
      <c r="BS281" s="242">
        <f>BL281*BQ281</f>
        <v>0</v>
      </c>
      <c r="BT281" s="203">
        <f>BM281*BQ281</f>
        <v>0</v>
      </c>
      <c r="BU281" s="167">
        <f>BN281*BQ281</f>
        <v>449.55</v>
      </c>
      <c r="BV281" s="168">
        <f>BO281*BQ281</f>
        <v>0</v>
      </c>
      <c r="BW281" s="131"/>
      <c r="BX281" s="105" t="s">
        <v>160</v>
      </c>
      <c r="BY281" s="145">
        <v>0.05</v>
      </c>
      <c r="BZ281" s="262"/>
      <c r="CA281" s="242">
        <f>BL281*BY281</f>
        <v>0</v>
      </c>
      <c r="CB281" s="101">
        <f>BM281*BY281</f>
        <v>0</v>
      </c>
      <c r="CC281" s="106">
        <f>BN281*BY281</f>
        <v>149.85</v>
      </c>
      <c r="CD281" s="107">
        <f>BO281*BY281</f>
        <v>0</v>
      </c>
      <c r="CE281" s="244"/>
      <c r="CF281" s="434">
        <v>100</v>
      </c>
      <c r="CG281" s="109">
        <v>45198</v>
      </c>
      <c r="CH281" s="504"/>
      <c r="CI281" s="2107"/>
      <c r="CJ281" s="416"/>
      <c r="CK281" s="415"/>
      <c r="CL281" s="2107"/>
      <c r="CM281" s="416"/>
      <c r="CN281" s="2107"/>
      <c r="CO281" s="2107"/>
      <c r="CP281" s="263"/>
      <c r="CQ281" s="263"/>
      <c r="CR281" s="2107"/>
      <c r="CS281" s="263"/>
      <c r="CT281" s="263"/>
      <c r="CU281" s="90">
        <v>1</v>
      </c>
      <c r="CV281" s="181"/>
      <c r="CW281" s="181"/>
      <c r="CX281" s="181"/>
      <c r="CY281" s="155"/>
      <c r="CZ281" s="121"/>
      <c r="DA281" s="428" t="s">
        <v>1864</v>
      </c>
      <c r="DB281" s="115" t="str">
        <f>PROPER(N281)</f>
        <v>Irecoop E.R.</v>
      </c>
      <c r="DC281" s="280" t="s">
        <v>532</v>
      </c>
      <c r="DD281" s="116" t="str">
        <f>BP281</f>
        <v>Gianluca</v>
      </c>
      <c r="DE281" s="117">
        <f>IF(OR(D281&gt;0),IF(BJ281=0,BN281*BQ281,0))</f>
        <v>0</v>
      </c>
      <c r="DF281" s="117">
        <f>IF(OR(D281&gt;0),IF(BJ281=0,BN281*BY281,0))</f>
        <v>0</v>
      </c>
      <c r="DG281" s="118" t="str">
        <f>BX281</f>
        <v>Gianluca</v>
      </c>
      <c r="DH281" s="76"/>
      <c r="DI281" s="120" t="s">
        <v>126</v>
      </c>
      <c r="DJ281" s="120"/>
      <c r="DK281" s="74" t="s">
        <v>1418</v>
      </c>
      <c r="DL281" s="74" t="s">
        <v>1418</v>
      </c>
      <c r="DM281" s="122"/>
      <c r="DN281" s="6"/>
      <c r="DO281" s="6"/>
      <c r="DP281" s="6"/>
      <c r="DQ281" s="6"/>
      <c r="DR281" s="6"/>
      <c r="DS281" s="6"/>
      <c r="DT281" s="6"/>
      <c r="DU281" s="6"/>
      <c r="DV281" s="6"/>
      <c r="DW281" s="6"/>
      <c r="DX281" s="6"/>
      <c r="DY281" s="6"/>
      <c r="DZ281" s="6"/>
    </row>
    <row r="282" spans="1:130" ht="34.5" hidden="1" customHeight="1">
      <c r="A282" s="228"/>
      <c r="B282" s="75" t="s">
        <v>1359</v>
      </c>
      <c r="C282" s="155"/>
      <c r="D282" s="75"/>
      <c r="E282" s="75"/>
      <c r="F282" s="75"/>
      <c r="G282" s="400" t="s">
        <v>321</v>
      </c>
      <c r="H282" s="400" t="s">
        <v>1642</v>
      </c>
      <c r="I282" s="294" t="s">
        <v>1643</v>
      </c>
      <c r="J282" s="155" t="str">
        <f>CONCATENATE(G282," ",H282)</f>
        <v>Davide Gambarini</v>
      </c>
      <c r="K282" s="156">
        <v>3394288841</v>
      </c>
      <c r="L282" s="435"/>
      <c r="M282" s="153" t="s">
        <v>514</v>
      </c>
      <c r="N282" s="160"/>
      <c r="O282" s="402"/>
      <c r="P282" s="315"/>
      <c r="Q282" s="160"/>
      <c r="R282" s="403"/>
      <c r="S282" s="160"/>
      <c r="T282" s="404"/>
      <c r="U282" s="315"/>
      <c r="V282" s="315"/>
      <c r="W282" s="315"/>
      <c r="X282" s="131"/>
      <c r="Y282" s="315"/>
      <c r="Z282" s="315"/>
      <c r="AA282" s="315"/>
      <c r="AB282" s="37"/>
      <c r="AC282" s="131"/>
      <c r="AD282" s="121" t="s">
        <v>1644</v>
      </c>
      <c r="AE282" s="88"/>
      <c r="AF282" s="405"/>
      <c r="AG282" s="406"/>
      <c r="AH282" s="406"/>
      <c r="AI282" s="405"/>
      <c r="AJ282" s="155"/>
      <c r="AK282" s="155"/>
      <c r="AL282" s="155"/>
      <c r="AM282" s="407"/>
      <c r="AN282" s="155"/>
      <c r="AO282" s="155"/>
      <c r="AP282" s="155"/>
      <c r="AQ282" s="85"/>
      <c r="AR282" s="259"/>
      <c r="AS282" s="259"/>
      <c r="AT282" s="3"/>
      <c r="AU282" s="408"/>
      <c r="AV282" s="75"/>
      <c r="AW282" s="121"/>
      <c r="AX282" s="121"/>
      <c r="AY282" s="85"/>
      <c r="AZ282" s="121"/>
      <c r="BA282" s="121"/>
      <c r="BB282" s="121"/>
      <c r="BC282" s="85"/>
      <c r="BD282" s="121" t="s">
        <v>115</v>
      </c>
      <c r="BE282" s="121" t="s">
        <v>115</v>
      </c>
      <c r="BF282" s="121" t="s">
        <v>115</v>
      </c>
      <c r="BG282" s="408"/>
      <c r="BH282" s="238">
        <f>CF282+CI282+CL282+CO282+CR282</f>
        <v>3497</v>
      </c>
      <c r="BI282" s="238">
        <f>CH282+CK282+CN282+CQ282+CT282</f>
        <v>163.9344262295082</v>
      </c>
      <c r="BJ282" s="238">
        <f>BH282-BI282</f>
        <v>3333.0655737704919</v>
      </c>
      <c r="BK282" s="239"/>
      <c r="BL282" s="260"/>
      <c r="BM282" s="241"/>
      <c r="BN282" s="142"/>
      <c r="BO282" s="182">
        <f>(200+4066.34)/1.22</f>
        <v>3497</v>
      </c>
      <c r="BP282" s="105" t="s">
        <v>287</v>
      </c>
      <c r="BQ282" s="98">
        <v>0.15</v>
      </c>
      <c r="BR282" s="409"/>
      <c r="BS282" s="242">
        <f>BL282*BQ282</f>
        <v>0</v>
      </c>
      <c r="BT282" s="203">
        <f>BM282*BQ282</f>
        <v>0</v>
      </c>
      <c r="BU282" s="167">
        <f>BN282*BQ282</f>
        <v>0</v>
      </c>
      <c r="BV282" s="168">
        <f>BO282*BQ282</f>
        <v>524.54999999999995</v>
      </c>
      <c r="BW282" s="131"/>
      <c r="BX282" s="105" t="s">
        <v>287</v>
      </c>
      <c r="BY282" s="145">
        <v>0.05</v>
      </c>
      <c r="BZ282" s="262"/>
      <c r="CA282" s="242">
        <f>BL282*BY282</f>
        <v>0</v>
      </c>
      <c r="CB282" s="101">
        <f>BM282*BY282</f>
        <v>0</v>
      </c>
      <c r="CC282" s="106">
        <f>BN282*BY282</f>
        <v>0</v>
      </c>
      <c r="CD282" s="107">
        <f>BO282*BY282</f>
        <v>174.85000000000002</v>
      </c>
      <c r="CE282" s="411"/>
      <c r="CF282" s="108">
        <f>200/1.22</f>
        <v>163.9344262295082</v>
      </c>
      <c r="CG282" s="109">
        <v>45198</v>
      </c>
      <c r="CH282" s="108">
        <f>200/1.22</f>
        <v>163.9344262295082</v>
      </c>
      <c r="CI282" s="110">
        <f>4066.34/1.22</f>
        <v>3333.0655737704919</v>
      </c>
      <c r="CJ282" s="226">
        <v>45408</v>
      </c>
      <c r="CK282" s="415"/>
      <c r="CL282" s="415"/>
      <c r="CM282" s="416"/>
      <c r="CN282" s="415"/>
      <c r="CO282" s="263"/>
      <c r="CP282" s="263"/>
      <c r="CQ282" s="263"/>
      <c r="CR282" s="263"/>
      <c r="CS282" s="263"/>
      <c r="CT282" s="263"/>
      <c r="CU282" s="90">
        <v>1</v>
      </c>
      <c r="CV282" s="181"/>
      <c r="CW282" s="181"/>
      <c r="CX282" s="181"/>
      <c r="CY282" s="155"/>
      <c r="CZ282" s="121"/>
      <c r="DA282" s="424" t="s">
        <v>1645</v>
      </c>
      <c r="DB282" s="115" t="str">
        <f>PROPER(N282)</f>
        <v/>
      </c>
      <c r="DC282" s="280" t="s">
        <v>1646</v>
      </c>
      <c r="DD282" s="116" t="str">
        <f>BP282</f>
        <v>Riccardo</v>
      </c>
      <c r="DE282" s="117" t="b">
        <f>IF(OR(D282&gt;0),IF(BJ282=0,BN282*BQ282,0))</f>
        <v>0</v>
      </c>
      <c r="DF282" s="117" t="b">
        <f>IF(OR(D282&gt;0),IF(BJ282=0,BN282*BY282,0))</f>
        <v>0</v>
      </c>
      <c r="DG282" s="118" t="str">
        <f>BX282</f>
        <v>Riccardo</v>
      </c>
      <c r="DH282" s="76"/>
      <c r="DI282" s="120" t="s">
        <v>154</v>
      </c>
      <c r="DJ282" s="120"/>
      <c r="DK282" s="74" t="s">
        <v>1418</v>
      </c>
      <c r="DL282" s="74" t="s">
        <v>1418</v>
      </c>
      <c r="DM282" s="122"/>
      <c r="DN282" s="6"/>
      <c r="DO282" s="6"/>
      <c r="DP282" s="6"/>
      <c r="DQ282" s="6"/>
      <c r="DR282" s="6"/>
      <c r="DS282" s="6"/>
      <c r="DT282" s="6"/>
      <c r="DU282" s="6"/>
      <c r="DV282" s="6"/>
      <c r="DW282" s="6"/>
      <c r="DX282" s="6"/>
      <c r="DY282" s="6"/>
      <c r="DZ282" s="6"/>
    </row>
    <row r="283" spans="1:130" ht="34.5" hidden="1" customHeight="1">
      <c r="A283" s="3"/>
      <c r="B283" s="75" t="s">
        <v>108</v>
      </c>
      <c r="C283" s="121"/>
      <c r="D283" s="75">
        <v>1</v>
      </c>
      <c r="E283" s="75">
        <v>1</v>
      </c>
      <c r="F283" s="75"/>
      <c r="G283" s="140" t="s">
        <v>204</v>
      </c>
      <c r="H283" s="79" t="s">
        <v>205</v>
      </c>
      <c r="I283" s="131" t="s">
        <v>206</v>
      </c>
      <c r="J283" s="121" t="str">
        <f>CONCATENATE(G283," ",H283)</f>
        <v>Luca Guerretta</v>
      </c>
      <c r="K283" s="156">
        <v>3492387362</v>
      </c>
      <c r="L283" s="157"/>
      <c r="M283" s="176" t="s">
        <v>199</v>
      </c>
      <c r="N283" s="160" t="s">
        <v>200</v>
      </c>
      <c r="O283" s="407"/>
      <c r="P283" s="1941"/>
      <c r="Q283" s="86"/>
      <c r="R283" s="86"/>
      <c r="S283" s="86"/>
      <c r="T283" s="1953"/>
      <c r="U283" s="1941"/>
      <c r="V283" s="1941"/>
      <c r="W283" s="1941"/>
      <c r="X283" s="86"/>
      <c r="Y283" s="1960"/>
      <c r="Z283" s="1941"/>
      <c r="AA283" s="1941"/>
      <c r="AB283" s="86"/>
      <c r="AC283" s="86"/>
      <c r="AD283" s="86" t="s">
        <v>207</v>
      </c>
      <c r="AE283" s="88">
        <f>L283</f>
        <v>0</v>
      </c>
      <c r="AF283" s="407"/>
      <c r="AG283" s="121"/>
      <c r="AH283" s="121"/>
      <c r="AI283" s="407"/>
      <c r="AJ283" s="121"/>
      <c r="AK283" s="121"/>
      <c r="AL283" s="121"/>
      <c r="AM283" s="407"/>
      <c r="AN283" s="155"/>
      <c r="AO283" s="155"/>
      <c r="AP283" s="155"/>
      <c r="AQ283" s="1982"/>
      <c r="AR283" s="259"/>
      <c r="AS283" s="259"/>
      <c r="AT283" s="1987"/>
      <c r="AU283" s="408"/>
      <c r="AV283" s="75"/>
      <c r="AW283" s="121"/>
      <c r="AX283" s="121"/>
      <c r="AY283" s="1982"/>
      <c r="AZ283" s="121" t="s">
        <v>115</v>
      </c>
      <c r="BA283" s="121" t="s">
        <v>115</v>
      </c>
      <c r="BB283" s="135" t="s">
        <v>115</v>
      </c>
      <c r="BC283" s="1982"/>
      <c r="BD283" s="121"/>
      <c r="BE283" s="121"/>
      <c r="BF283" s="121"/>
      <c r="BG283" s="408"/>
      <c r="BH283" s="238">
        <f>CF283+CI283+CL283+CO283+CR283</f>
        <v>2996.9986885245903</v>
      </c>
      <c r="BI283" s="238">
        <f>CH283+CK283+CN283+CQ283+CT283</f>
        <v>2996.9986885245903</v>
      </c>
      <c r="BJ283" s="238">
        <f>BH283-BI283</f>
        <v>0</v>
      </c>
      <c r="BK283" s="199"/>
      <c r="BL283" s="200"/>
      <c r="BM283" s="241"/>
      <c r="BN283" s="142">
        <v>2997</v>
      </c>
      <c r="BO283" s="182"/>
      <c r="BP283" s="281" t="s">
        <v>184</v>
      </c>
      <c r="BQ283" s="98">
        <v>0.15</v>
      </c>
      <c r="BR283" s="2057"/>
      <c r="BS283" s="202"/>
      <c r="BT283" s="203">
        <f>BM283*BQ283</f>
        <v>0</v>
      </c>
      <c r="BU283" s="167">
        <f>BN283*BQ283</f>
        <v>449.55</v>
      </c>
      <c r="BV283" s="168">
        <f>BO283*BQ283</f>
        <v>0</v>
      </c>
      <c r="BW283" s="84" t="s">
        <v>185</v>
      </c>
      <c r="BX283" s="105" t="s">
        <v>184</v>
      </c>
      <c r="BY283" s="98">
        <v>0.05</v>
      </c>
      <c r="BZ283" s="2058"/>
      <c r="CA283" s="202"/>
      <c r="CB283" s="101">
        <f>BM283*BY283</f>
        <v>0</v>
      </c>
      <c r="CC283" s="106">
        <f>BN283*BY283</f>
        <v>149.85</v>
      </c>
      <c r="CD283" s="107">
        <f>BO283*BY283</f>
        <v>0</v>
      </c>
      <c r="CE283" s="84" t="s">
        <v>185</v>
      </c>
      <c r="CF283" s="108">
        <f>2997/2/1.22</f>
        <v>1228.2786885245903</v>
      </c>
      <c r="CG283" s="109">
        <v>45040</v>
      </c>
      <c r="CH283" s="108">
        <f>2997/2/1.22</f>
        <v>1228.2786885245903</v>
      </c>
      <c r="CI283" s="110">
        <v>1768.72</v>
      </c>
      <c r="CJ283" s="226">
        <v>45169</v>
      </c>
      <c r="CK283" s="110">
        <v>1768.72</v>
      </c>
      <c r="CL283" s="206"/>
      <c r="CM283" s="226"/>
      <c r="CN283" s="206"/>
      <c r="CO283" s="206"/>
      <c r="CP283" s="206"/>
      <c r="CQ283" s="206"/>
      <c r="CR283" s="206"/>
      <c r="CS283" s="206"/>
      <c r="CT283" s="206"/>
      <c r="CU283" s="90">
        <v>1</v>
      </c>
      <c r="CV283" s="181" t="s">
        <v>121</v>
      </c>
      <c r="CW283" s="181"/>
      <c r="CX283" s="207"/>
      <c r="CY283" s="155" t="s">
        <v>122</v>
      </c>
      <c r="CZ283" s="155"/>
      <c r="DA283" s="301" t="s">
        <v>202</v>
      </c>
      <c r="DB283" s="115" t="str">
        <f>PROPER(N283)</f>
        <v>Veicoli Blindati Nom</v>
      </c>
      <c r="DC283" s="191" t="s">
        <v>203</v>
      </c>
      <c r="DD283" s="116" t="str">
        <f>BP283</f>
        <v>Cristian A</v>
      </c>
      <c r="DE283" s="117">
        <f>IF(OR(D283&gt;0),IF(BJ283=0,BN283*BQ283,0))</f>
        <v>449.55</v>
      </c>
      <c r="DF283" s="117">
        <f>IF(OR(D283&gt;0),IF(BJ283=0,BN283*BY283,0))</f>
        <v>149.85</v>
      </c>
      <c r="DG283" s="116" t="str">
        <f>BX283</f>
        <v>Cristian A</v>
      </c>
      <c r="DH283" s="76"/>
      <c r="DI283" s="120" t="s">
        <v>126</v>
      </c>
      <c r="DJ283" s="120"/>
      <c r="DK283" s="121"/>
      <c r="DL283" s="121"/>
      <c r="DM283" s="122">
        <v>1</v>
      </c>
      <c r="DN283" s="6"/>
      <c r="DO283" s="6"/>
      <c r="DP283" s="6"/>
      <c r="DQ283" s="6"/>
      <c r="DR283" s="6"/>
      <c r="DS283" s="6"/>
      <c r="DT283" s="6"/>
      <c r="DU283" s="6"/>
      <c r="DV283" s="6"/>
      <c r="DW283" s="6"/>
      <c r="DX283" s="6"/>
      <c r="DY283" s="6"/>
      <c r="DZ283" s="6"/>
    </row>
    <row r="284" spans="1:130" ht="34.5" hidden="1" customHeight="1">
      <c r="A284" s="3"/>
      <c r="B284" s="75" t="s">
        <v>108</v>
      </c>
      <c r="C284" s="121"/>
      <c r="D284" s="75"/>
      <c r="E284" s="75"/>
      <c r="F284" s="75"/>
      <c r="G284" s="79" t="s">
        <v>204</v>
      </c>
      <c r="H284" s="79" t="s">
        <v>316</v>
      </c>
      <c r="I284" s="131" t="s">
        <v>656</v>
      </c>
      <c r="J284" s="179" t="str">
        <f>CONCATENATE(G284," ",H284)</f>
        <v>Luca Lombardi</v>
      </c>
      <c r="K284" s="156">
        <v>3290921980</v>
      </c>
      <c r="L284" s="160" t="s">
        <v>657</v>
      </c>
      <c r="M284" s="176" t="s">
        <v>454</v>
      </c>
      <c r="N284" s="160" t="s">
        <v>658</v>
      </c>
      <c r="O284" s="407"/>
      <c r="P284" s="1941"/>
      <c r="Q284" s="86"/>
      <c r="R284" s="86"/>
      <c r="S284" s="86"/>
      <c r="T284" s="1953"/>
      <c r="U284" s="1941"/>
      <c r="V284" s="1941"/>
      <c r="W284" s="1941"/>
      <c r="X284" s="86"/>
      <c r="Y284" s="1960"/>
      <c r="Z284" s="1941"/>
      <c r="AA284" s="1941"/>
      <c r="AB284" s="86"/>
      <c r="AC284" s="86"/>
      <c r="AD284" s="86" t="s">
        <v>659</v>
      </c>
      <c r="AE284" s="138" t="str">
        <f>L284</f>
        <v xml:space="preserve">Nella fattura indicare "Corso di formazione”
</v>
      </c>
      <c r="AF284" s="407"/>
      <c r="AG284" s="121"/>
      <c r="AH284" s="121"/>
      <c r="AI284" s="407"/>
      <c r="AJ284" s="121"/>
      <c r="AK284" s="121"/>
      <c r="AL284" s="121"/>
      <c r="AM284" s="407"/>
      <c r="AN284" s="155"/>
      <c r="AO284" s="155"/>
      <c r="AP284" s="155"/>
      <c r="AQ284" s="1982"/>
      <c r="AR284" s="259"/>
      <c r="AS284" s="259"/>
      <c r="AT284" s="1987"/>
      <c r="AU284" s="408"/>
      <c r="AV284" s="75" t="s">
        <v>115</v>
      </c>
      <c r="AW284" s="121" t="s">
        <v>115</v>
      </c>
      <c r="AX284" s="121"/>
      <c r="AY284" s="1982"/>
      <c r="AZ284" s="121"/>
      <c r="BA284" s="121"/>
      <c r="BB284" s="121" t="s">
        <v>115</v>
      </c>
      <c r="BC284" s="1982"/>
      <c r="BD284" s="121"/>
      <c r="BE284" s="121"/>
      <c r="BF284" s="121"/>
      <c r="BG284" s="408"/>
      <c r="BH284" s="238">
        <f>CF284+CI284+CL284+CO284+CR284</f>
        <v>2997</v>
      </c>
      <c r="BI284" s="238">
        <f>CH284+CK284+CN284+CQ284+CT284</f>
        <v>2997</v>
      </c>
      <c r="BJ284" s="238">
        <f>BH284-BI284</f>
        <v>0</v>
      </c>
      <c r="BK284" s="199"/>
      <c r="BL284" s="200"/>
      <c r="BM284" s="241">
        <v>2997</v>
      </c>
      <c r="BN284" s="96"/>
      <c r="BO284" s="97"/>
      <c r="BP284" s="281" t="s">
        <v>160</v>
      </c>
      <c r="BQ284" s="98">
        <v>0.15</v>
      </c>
      <c r="BR284" s="2057"/>
      <c r="BS284" s="202"/>
      <c r="BT284" s="203">
        <f>BM284*BQ284</f>
        <v>449.55</v>
      </c>
      <c r="BU284" s="167">
        <f>BN284*BQ284</f>
        <v>0</v>
      </c>
      <c r="BV284" s="168">
        <f>BO284*BQ284</f>
        <v>0</v>
      </c>
      <c r="BW284" s="131" t="s">
        <v>120</v>
      </c>
      <c r="BX284" s="105" t="s">
        <v>160</v>
      </c>
      <c r="BY284" s="98">
        <v>0.05</v>
      </c>
      <c r="BZ284" s="2058"/>
      <c r="CA284" s="202"/>
      <c r="CB284" s="101">
        <f>BM284*BY284</f>
        <v>149.85</v>
      </c>
      <c r="CC284" s="106">
        <f>BN284*BY284</f>
        <v>0</v>
      </c>
      <c r="CD284" s="107">
        <f>BO284*BY284</f>
        <v>0</v>
      </c>
      <c r="CE284" s="155" t="s">
        <v>120</v>
      </c>
      <c r="CF284" s="108">
        <v>2997</v>
      </c>
      <c r="CG284" s="109">
        <v>45012</v>
      </c>
      <c r="CH284" s="108">
        <v>2997</v>
      </c>
      <c r="CI284" s="110"/>
      <c r="CJ284" s="226"/>
      <c r="CK284" s="206"/>
      <c r="CL284" s="206"/>
      <c r="CM284" s="226"/>
      <c r="CN284" s="206"/>
      <c r="CO284" s="206"/>
      <c r="CP284" s="206"/>
      <c r="CQ284" s="206"/>
      <c r="CR284" s="206"/>
      <c r="CS284" s="206"/>
      <c r="CT284" s="206"/>
      <c r="CU284" s="90">
        <v>1</v>
      </c>
      <c r="CV284" s="181" t="s">
        <v>121</v>
      </c>
      <c r="CW284" s="181"/>
      <c r="CX284" s="207"/>
      <c r="CY284" s="155" t="s">
        <v>122</v>
      </c>
      <c r="CZ284" s="155"/>
      <c r="DA284" s="208" t="s">
        <v>423</v>
      </c>
      <c r="DB284" s="115" t="str">
        <f>PROPER(N284)</f>
        <v>Sanpaolo Invest - Fideuram</v>
      </c>
      <c r="DC284" s="191"/>
      <c r="DD284" s="116" t="str">
        <f>BP284</f>
        <v>Gianluca</v>
      </c>
      <c r="DE284" s="117" t="b">
        <f>IF(OR(D284&gt;0),IF(BJ284=0,BN284*BQ284,0))</f>
        <v>0</v>
      </c>
      <c r="DF284" s="117" t="b">
        <f>IF(OR(D284&gt;0),IF(BJ284=0,BN284*BY284,0))</f>
        <v>0</v>
      </c>
      <c r="DG284" s="118" t="str">
        <f>BX284</f>
        <v>Gianluca</v>
      </c>
      <c r="DH284" s="76"/>
      <c r="DI284" s="120" t="s">
        <v>126</v>
      </c>
      <c r="DJ284" s="120"/>
      <c r="DK284" s="121"/>
      <c r="DL284" s="121"/>
      <c r="DM284" s="122"/>
      <c r="DN284" s="6"/>
      <c r="DO284" s="6"/>
      <c r="DP284" s="6"/>
      <c r="DQ284" s="6"/>
      <c r="DR284" s="6"/>
      <c r="DS284" s="6"/>
      <c r="DT284" s="6"/>
      <c r="DU284" s="6"/>
      <c r="DV284" s="6"/>
      <c r="DW284" s="6"/>
      <c r="DX284" s="6"/>
      <c r="DY284" s="6"/>
      <c r="DZ284" s="6"/>
    </row>
    <row r="285" spans="1:130" ht="34.5" hidden="1" customHeight="1">
      <c r="A285" s="3"/>
      <c r="B285" s="75" t="s">
        <v>108</v>
      </c>
      <c r="C285" s="121"/>
      <c r="D285" s="75">
        <v>1</v>
      </c>
      <c r="E285" s="75">
        <v>1</v>
      </c>
      <c r="F285" s="75"/>
      <c r="G285" s="79" t="s">
        <v>204</v>
      </c>
      <c r="H285" s="79" t="s">
        <v>645</v>
      </c>
      <c r="I285" s="131" t="s">
        <v>646</v>
      </c>
      <c r="J285" s="121" t="str">
        <f>CONCATENATE(G285," ",H285)</f>
        <v>Luca Vezzoli</v>
      </c>
      <c r="K285" s="156">
        <v>3332152272</v>
      </c>
      <c r="L285" s="157" t="s">
        <v>639</v>
      </c>
      <c r="M285" s="1896" t="s">
        <v>647</v>
      </c>
      <c r="N285" s="160" t="s">
        <v>641</v>
      </c>
      <c r="O285" s="407"/>
      <c r="P285" s="1941"/>
      <c r="Q285" s="86"/>
      <c r="R285" s="86"/>
      <c r="S285" s="86"/>
      <c r="T285" s="1953"/>
      <c r="U285" s="1941"/>
      <c r="V285" s="1941"/>
      <c r="W285" s="1941"/>
      <c r="X285" s="86"/>
      <c r="Y285" s="1960"/>
      <c r="Z285" s="1941"/>
      <c r="AA285" s="1941"/>
      <c r="AB285" s="86"/>
      <c r="AC285" s="86"/>
      <c r="AD285" s="86" t="s">
        <v>642</v>
      </c>
      <c r="AE285" s="88" t="str">
        <f>L285</f>
        <v>Marco - AGO 23 - Conferma che ci sarà</v>
      </c>
      <c r="AF285" s="407"/>
      <c r="AG285" s="121"/>
      <c r="AH285" s="121"/>
      <c r="AI285" s="407"/>
      <c r="AJ285" s="121"/>
      <c r="AK285" s="121"/>
      <c r="AL285" s="121"/>
      <c r="AM285" s="407"/>
      <c r="AN285" s="155"/>
      <c r="AO285" s="155"/>
      <c r="AP285" s="155"/>
      <c r="AQ285" s="1982"/>
      <c r="AR285" s="259"/>
      <c r="AS285" s="259"/>
      <c r="AT285" s="1987"/>
      <c r="AU285" s="408"/>
      <c r="AV285" s="75"/>
      <c r="AW285" s="121"/>
      <c r="AX285" s="121"/>
      <c r="AY285" s="1982"/>
      <c r="AZ285" s="121" t="s">
        <v>115</v>
      </c>
      <c r="BA285" s="121" t="s">
        <v>115</v>
      </c>
      <c r="BB285" s="135" t="s">
        <v>115</v>
      </c>
      <c r="BC285" s="1982"/>
      <c r="BD285" s="121"/>
      <c r="BE285" s="121"/>
      <c r="BF285" s="121"/>
      <c r="BG285" s="408"/>
      <c r="BH285" s="238">
        <f>CF285+CI285+CL285+CO285+CR285</f>
        <v>2997</v>
      </c>
      <c r="BI285" s="238">
        <f>CH285+CK285+CN285+CQ285+CT285</f>
        <v>2997</v>
      </c>
      <c r="BJ285" s="238">
        <f>BH285-BI285</f>
        <v>0</v>
      </c>
      <c r="BK285" s="199"/>
      <c r="BL285" s="200"/>
      <c r="BM285" s="241"/>
      <c r="BN285" s="142">
        <v>2997</v>
      </c>
      <c r="BO285" s="182"/>
      <c r="BP285" s="281" t="s">
        <v>246</v>
      </c>
      <c r="BQ285" s="98">
        <v>0.15</v>
      </c>
      <c r="BR285" s="2057"/>
      <c r="BS285" s="202"/>
      <c r="BT285" s="203">
        <f>BM285*BQ285</f>
        <v>0</v>
      </c>
      <c r="BU285" s="167">
        <f>BN285*BQ285</f>
        <v>449.55</v>
      </c>
      <c r="BV285" s="168">
        <f>BO285*BQ285</f>
        <v>0</v>
      </c>
      <c r="BW285" s="160" t="s">
        <v>185</v>
      </c>
      <c r="BX285" s="105" t="s">
        <v>246</v>
      </c>
      <c r="BY285" s="98">
        <v>0.05</v>
      </c>
      <c r="BZ285" s="2058"/>
      <c r="CA285" s="202"/>
      <c r="CB285" s="101">
        <f>BM285*BY285</f>
        <v>0</v>
      </c>
      <c r="CC285" s="106">
        <f>BN285*BY285</f>
        <v>149.85</v>
      </c>
      <c r="CD285" s="107">
        <f>BO285*BY285</f>
        <v>0</v>
      </c>
      <c r="CE285" s="160" t="s">
        <v>185</v>
      </c>
      <c r="CF285" s="108">
        <v>2997</v>
      </c>
      <c r="CG285" s="109">
        <v>45008</v>
      </c>
      <c r="CH285" s="108">
        <v>2997</v>
      </c>
      <c r="CI285" s="110"/>
      <c r="CJ285" s="226"/>
      <c r="CK285" s="206"/>
      <c r="CL285" s="206"/>
      <c r="CM285" s="226"/>
      <c r="CN285" s="206"/>
      <c r="CO285" s="206"/>
      <c r="CP285" s="206"/>
      <c r="CQ285" s="206"/>
      <c r="CR285" s="206"/>
      <c r="CS285" s="206"/>
      <c r="CT285" s="206"/>
      <c r="CU285" s="90">
        <v>1</v>
      </c>
      <c r="CV285" s="181" t="s">
        <v>121</v>
      </c>
      <c r="CW285" s="181"/>
      <c r="CX285" s="207"/>
      <c r="CY285" s="155" t="s">
        <v>122</v>
      </c>
      <c r="CZ285" s="155"/>
      <c r="DA285" s="131" t="s">
        <v>643</v>
      </c>
      <c r="DB285" s="115" t="str">
        <f>PROPER(N285)</f>
        <v>Farco Group</v>
      </c>
      <c r="DC285" s="191" t="s">
        <v>644</v>
      </c>
      <c r="DD285" s="116" t="str">
        <f>BP285</f>
        <v>Marco</v>
      </c>
      <c r="DE285" s="117">
        <f>IF(OR(D285&gt;0),IF(BJ285=0,BN285*BQ285,0))</f>
        <v>449.55</v>
      </c>
      <c r="DF285" s="117">
        <f>IF(OR(D285&gt;0),IF(BJ285=0,BN285*BY285,0))</f>
        <v>149.85</v>
      </c>
      <c r="DG285" s="116" t="str">
        <f>BX285</f>
        <v>Marco</v>
      </c>
      <c r="DH285" s="76"/>
      <c r="DI285" s="120" t="s">
        <v>126</v>
      </c>
      <c r="DJ285" s="120"/>
      <c r="DK285" s="121"/>
      <c r="DL285" s="121"/>
      <c r="DM285" s="122"/>
      <c r="DN285" s="6"/>
      <c r="DO285" s="6"/>
      <c r="DP285" s="6"/>
      <c r="DQ285" s="6"/>
      <c r="DR285" s="6"/>
      <c r="DS285" s="6"/>
      <c r="DT285" s="6"/>
      <c r="DU285" s="6"/>
      <c r="DV285" s="6"/>
      <c r="DW285" s="6"/>
      <c r="DX285" s="6"/>
      <c r="DY285" s="6"/>
      <c r="DZ285" s="6"/>
    </row>
    <row r="286" spans="1:130" ht="34.5" hidden="1" customHeight="1">
      <c r="A286" s="3"/>
      <c r="B286" s="75" t="s">
        <v>108</v>
      </c>
      <c r="C286" s="121"/>
      <c r="D286" s="75">
        <v>1</v>
      </c>
      <c r="E286" s="75">
        <v>1</v>
      </c>
      <c r="F286" s="75"/>
      <c r="G286" s="79" t="s">
        <v>204</v>
      </c>
      <c r="H286" s="79" t="s">
        <v>663</v>
      </c>
      <c r="I286" s="131" t="s">
        <v>664</v>
      </c>
      <c r="J286" s="121" t="str">
        <f>CONCATENATE(G286," ",H286)</f>
        <v>Luca Volontieri</v>
      </c>
      <c r="K286" s="156">
        <v>3284159472</v>
      </c>
      <c r="L286" s="157"/>
      <c r="M286" s="1887" t="s">
        <v>112</v>
      </c>
      <c r="N286" s="160" t="s">
        <v>591</v>
      </c>
      <c r="O286" s="407"/>
      <c r="P286" s="1941"/>
      <c r="Q286" s="86"/>
      <c r="R286" s="86"/>
      <c r="S286" s="86"/>
      <c r="T286" s="1953"/>
      <c r="U286" s="1941"/>
      <c r="V286" s="1941"/>
      <c r="W286" s="1941"/>
      <c r="X286" s="86"/>
      <c r="Y286" s="1960"/>
      <c r="Z286" s="1941"/>
      <c r="AA286" s="1941"/>
      <c r="AB286" s="86"/>
      <c r="AC286" s="86"/>
      <c r="AD286" s="86" t="s">
        <v>592</v>
      </c>
      <c r="AE286" s="88">
        <f>L286</f>
        <v>0</v>
      </c>
      <c r="AF286" s="407"/>
      <c r="AG286" s="121"/>
      <c r="AH286" s="121"/>
      <c r="AI286" s="407"/>
      <c r="AJ286" s="121"/>
      <c r="AK286" s="121"/>
      <c r="AL286" s="121"/>
      <c r="AM286" s="407"/>
      <c r="AN286" s="155"/>
      <c r="AO286" s="155"/>
      <c r="AP286" s="155"/>
      <c r="AQ286" s="1982"/>
      <c r="AR286" s="259"/>
      <c r="AS286" s="259"/>
      <c r="AT286" s="1987"/>
      <c r="AU286" s="408"/>
      <c r="AV286" s="75"/>
      <c r="AW286" s="121"/>
      <c r="AX286" s="121"/>
      <c r="AY286" s="1982"/>
      <c r="AZ286" s="121" t="s">
        <v>115</v>
      </c>
      <c r="BA286" s="121" t="s">
        <v>115</v>
      </c>
      <c r="BB286" s="135" t="s">
        <v>115</v>
      </c>
      <c r="BC286" s="1982"/>
      <c r="BD286" s="121"/>
      <c r="BE286" s="121"/>
      <c r="BF286" s="121"/>
      <c r="BG286" s="408"/>
      <c r="BH286" s="238">
        <f>CF286+CI286+CL286+CO286+CR286</f>
        <v>2997</v>
      </c>
      <c r="BI286" s="238">
        <f>CH286+CK286+CN286+CQ286+CT286</f>
        <v>2997</v>
      </c>
      <c r="BJ286" s="238">
        <f>BH286-BI286</f>
        <v>0</v>
      </c>
      <c r="BK286" s="199"/>
      <c r="BL286" s="200"/>
      <c r="BM286" s="241"/>
      <c r="BN286" s="142">
        <v>2997</v>
      </c>
      <c r="BO286" s="182"/>
      <c r="BP286" s="281" t="s">
        <v>160</v>
      </c>
      <c r="BQ286" s="98">
        <v>0.15</v>
      </c>
      <c r="BR286" s="2057"/>
      <c r="BS286" s="202"/>
      <c r="BT286" s="203">
        <f>BM286*BQ286</f>
        <v>0</v>
      </c>
      <c r="BU286" s="167">
        <f>BN286*BQ286</f>
        <v>449.55</v>
      </c>
      <c r="BV286" s="168">
        <f>BO286*BQ286</f>
        <v>0</v>
      </c>
      <c r="BW286" s="160" t="s">
        <v>185</v>
      </c>
      <c r="BX286" s="105" t="s">
        <v>160</v>
      </c>
      <c r="BY286" s="98">
        <v>0.05</v>
      </c>
      <c r="BZ286" s="2058"/>
      <c r="CA286" s="202"/>
      <c r="CB286" s="101">
        <f>BM286*BY286</f>
        <v>0</v>
      </c>
      <c r="CC286" s="106">
        <f>BN286*BY286</f>
        <v>149.85</v>
      </c>
      <c r="CD286" s="107">
        <f>BO286*BY286</f>
        <v>0</v>
      </c>
      <c r="CE286" s="160" t="s">
        <v>185</v>
      </c>
      <c r="CF286" s="108">
        <v>2997</v>
      </c>
      <c r="CG286" s="109">
        <v>45009</v>
      </c>
      <c r="CH286" s="108">
        <v>2997</v>
      </c>
      <c r="CI286" s="110"/>
      <c r="CJ286" s="226"/>
      <c r="CK286" s="206"/>
      <c r="CL286" s="206"/>
      <c r="CM286" s="226"/>
      <c r="CN286" s="206"/>
      <c r="CO286" s="206"/>
      <c r="CP286" s="206"/>
      <c r="CQ286" s="206"/>
      <c r="CR286" s="206"/>
      <c r="CS286" s="206"/>
      <c r="CT286" s="206"/>
      <c r="CU286" s="90">
        <v>1</v>
      </c>
      <c r="CV286" s="181" t="s">
        <v>121</v>
      </c>
      <c r="CW286" s="181"/>
      <c r="CX286" s="207"/>
      <c r="CY286" s="155" t="s">
        <v>122</v>
      </c>
      <c r="CZ286" s="155"/>
      <c r="DA286" s="551" t="s">
        <v>593</v>
      </c>
      <c r="DB286" s="2158" t="str">
        <f>PROPER(N286)</f>
        <v>Vielle Acustica</v>
      </c>
      <c r="DC286" s="191" t="s">
        <v>594</v>
      </c>
      <c r="DD286" s="116" t="str">
        <f>BP286</f>
        <v>Gianluca</v>
      </c>
      <c r="DE286" s="117">
        <f>IF(OR(D286&gt;0),IF(BJ286=0,BN286*BQ286,0))</f>
        <v>449.55</v>
      </c>
      <c r="DF286" s="117">
        <f>IF(OR(D286&gt;0),IF(BJ286=0,BN286*BY286,0))</f>
        <v>149.85</v>
      </c>
      <c r="DG286" s="116" t="str">
        <f>BX286</f>
        <v>Gianluca</v>
      </c>
      <c r="DH286" s="76"/>
      <c r="DI286" s="120" t="s">
        <v>126</v>
      </c>
      <c r="DJ286" s="120"/>
      <c r="DK286" s="121"/>
      <c r="DL286" s="121"/>
      <c r="DM286" s="122">
        <v>1</v>
      </c>
      <c r="DN286" s="6"/>
      <c r="DO286" s="6"/>
      <c r="DP286" s="6"/>
      <c r="DQ286" s="6"/>
      <c r="DR286" s="6"/>
      <c r="DS286" s="6"/>
      <c r="DT286" s="6"/>
      <c r="DU286" s="6"/>
      <c r="DV286" s="6"/>
      <c r="DW286" s="6"/>
      <c r="DX286" s="6"/>
      <c r="DY286" s="6"/>
      <c r="DZ286" s="6"/>
    </row>
    <row r="287" spans="1:130" ht="34.5" hidden="1" customHeight="1">
      <c r="A287" s="228"/>
      <c r="B287" s="75" t="s">
        <v>1359</v>
      </c>
      <c r="C287" s="155"/>
      <c r="D287" s="75">
        <v>1</v>
      </c>
      <c r="E287" s="75">
        <v>1</v>
      </c>
      <c r="F287" s="75"/>
      <c r="G287" s="400" t="s">
        <v>204</v>
      </c>
      <c r="H287" s="400" t="s">
        <v>1871</v>
      </c>
      <c r="I287" s="207" t="s">
        <v>1872</v>
      </c>
      <c r="J287" s="121" t="str">
        <f>CONCATENATE(G287," ",H287)</f>
        <v>Luca Zanni</v>
      </c>
      <c r="K287" s="156">
        <v>3339238721</v>
      </c>
      <c r="L287" s="435"/>
      <c r="M287" s="497" t="s">
        <v>1873</v>
      </c>
      <c r="N287" s="498" t="s">
        <v>1874</v>
      </c>
      <c r="O287" s="402"/>
      <c r="P287" s="315"/>
      <c r="Q287" s="160"/>
      <c r="R287" s="403"/>
      <c r="S287" s="160"/>
      <c r="T287" s="404"/>
      <c r="U287" s="315"/>
      <c r="V287" s="315"/>
      <c r="W287" s="315"/>
      <c r="X287" s="131"/>
      <c r="Y287" s="315"/>
      <c r="Z287" s="315"/>
      <c r="AA287" s="315"/>
      <c r="AB287" s="37"/>
      <c r="AC287" s="131"/>
      <c r="AD287" s="121" t="s">
        <v>1875</v>
      </c>
      <c r="AE287" s="88"/>
      <c r="AF287" s="405"/>
      <c r="AG287" s="406"/>
      <c r="AH287" s="406"/>
      <c r="AI287" s="405"/>
      <c r="AJ287" s="155"/>
      <c r="AK287" s="155"/>
      <c r="AL287" s="155"/>
      <c r="AM287" s="407"/>
      <c r="AN287" s="155"/>
      <c r="AO287" s="155"/>
      <c r="AP287" s="155"/>
      <c r="AQ287" s="85"/>
      <c r="AR287" s="259"/>
      <c r="AS287" s="259"/>
      <c r="AT287" s="1987"/>
      <c r="AU287" s="408"/>
      <c r="AV287" s="75"/>
      <c r="AW287" s="121"/>
      <c r="AX287" s="121"/>
      <c r="AY287" s="85"/>
      <c r="AZ287" s="121" t="s">
        <v>115</v>
      </c>
      <c r="BA287" s="121" t="s">
        <v>115</v>
      </c>
      <c r="BB287" s="135" t="s">
        <v>115</v>
      </c>
      <c r="BC287" s="85"/>
      <c r="BD287" s="121"/>
      <c r="BE287" s="121"/>
      <c r="BF287" s="121"/>
      <c r="BG287" s="408"/>
      <c r="BH287" s="238">
        <f>CF287+CI287+CL287+CO287+CR287</f>
        <v>3497.0000000000005</v>
      </c>
      <c r="BI287" s="238">
        <f>CH287+CK287+CN287+CQ287+CT287</f>
        <v>3497.0000000000005</v>
      </c>
      <c r="BJ287" s="238">
        <f>BH287-BI287</f>
        <v>0</v>
      </c>
      <c r="BK287" s="239"/>
      <c r="BL287" s="260"/>
      <c r="BM287" s="241"/>
      <c r="BN287" s="142">
        <v>3497</v>
      </c>
      <c r="BO287" s="182"/>
      <c r="BP287" s="105" t="s">
        <v>141</v>
      </c>
      <c r="BQ287" s="98">
        <v>0.15</v>
      </c>
      <c r="BR287" s="409"/>
      <c r="BS287" s="242">
        <f>BL287*BQ287</f>
        <v>0</v>
      </c>
      <c r="BT287" s="203">
        <f>BM287*BQ287</f>
        <v>0</v>
      </c>
      <c r="BU287" s="167">
        <f>BN287*BQ287</f>
        <v>524.54999999999995</v>
      </c>
      <c r="BV287" s="168">
        <f>BO287*BQ287</f>
        <v>0</v>
      </c>
      <c r="BW287" s="131"/>
      <c r="BX287" s="105" t="s">
        <v>141</v>
      </c>
      <c r="BY287" s="145">
        <v>0.05</v>
      </c>
      <c r="BZ287" s="262"/>
      <c r="CA287" s="242">
        <f>BL287*BY287</f>
        <v>0</v>
      </c>
      <c r="CB287" s="101">
        <f>BM287*BY287</f>
        <v>0</v>
      </c>
      <c r="CC287" s="106">
        <f>BN287*BY287</f>
        <v>174.85000000000002</v>
      </c>
      <c r="CD287" s="107">
        <f>BO287*BY287</f>
        <v>0</v>
      </c>
      <c r="CE287" s="244"/>
      <c r="CF287" s="108">
        <f>200/1.22</f>
        <v>163.9344262295082</v>
      </c>
      <c r="CG287" s="109">
        <v>45198</v>
      </c>
      <c r="CH287" s="108">
        <f>200/1.22</f>
        <v>163.9344262295082</v>
      </c>
      <c r="CI287" s="110">
        <f>1720/1.22</f>
        <v>1409.8360655737706</v>
      </c>
      <c r="CJ287" s="226">
        <v>45205</v>
      </c>
      <c r="CK287" s="110">
        <f>1720/1.22</f>
        <v>1409.8360655737706</v>
      </c>
      <c r="CL287" s="110">
        <f>2346.34/1.22</f>
        <v>1923.2295081967216</v>
      </c>
      <c r="CM287" s="226">
        <v>45233</v>
      </c>
      <c r="CN287" s="110">
        <f>2346.34/1.22</f>
        <v>1923.2295081967216</v>
      </c>
      <c r="CO287" s="263"/>
      <c r="CP287" s="263"/>
      <c r="CQ287" s="263"/>
      <c r="CR287" s="263"/>
      <c r="CS287" s="263"/>
      <c r="CT287" s="263"/>
      <c r="CU287" s="90">
        <v>1</v>
      </c>
      <c r="CV287" s="181"/>
      <c r="CW287" s="181"/>
      <c r="CX287" s="181"/>
      <c r="CY287" s="155"/>
      <c r="CZ287" s="121"/>
      <c r="DA287" s="426" t="s">
        <v>1876</v>
      </c>
      <c r="DB287" s="115" t="str">
        <f>PROPER(N287)</f>
        <v>Integer Factory</v>
      </c>
      <c r="DC287" s="280" t="s">
        <v>125</v>
      </c>
      <c r="DD287" s="116" t="str">
        <f>BP287</f>
        <v>Daniele</v>
      </c>
      <c r="DE287" s="117">
        <f>IF(OR(D287&gt;0),IF(BJ287=0,BN287*BQ287,0))</f>
        <v>524.54999999999995</v>
      </c>
      <c r="DF287" s="117">
        <f>IF(OR(D287&gt;0),IF(BJ287=0,BN287*BY287,0))</f>
        <v>174.85000000000002</v>
      </c>
      <c r="DG287" s="118" t="str">
        <f>BX287</f>
        <v>Daniele</v>
      </c>
      <c r="DH287" s="76"/>
      <c r="DI287" s="120" t="s">
        <v>126</v>
      </c>
      <c r="DJ287" s="120"/>
      <c r="DK287" s="74" t="s">
        <v>1399</v>
      </c>
      <c r="DL287" s="74" t="s">
        <v>1399</v>
      </c>
      <c r="DM287" s="122">
        <v>1</v>
      </c>
      <c r="DN287" s="6"/>
      <c r="DO287" s="6"/>
      <c r="DP287" s="6"/>
      <c r="DQ287" s="6"/>
      <c r="DR287" s="6"/>
      <c r="DS287" s="6"/>
      <c r="DT287" s="6"/>
      <c r="DU287" s="6"/>
      <c r="DV287" s="6"/>
      <c r="DW287" s="6"/>
      <c r="DX287" s="6"/>
      <c r="DY287" s="6"/>
      <c r="DZ287" s="6"/>
    </row>
    <row r="288" spans="1:130" ht="34.5" hidden="1" customHeight="1">
      <c r="A288" s="228"/>
      <c r="B288" s="75" t="s">
        <v>1359</v>
      </c>
      <c r="C288" s="155"/>
      <c r="D288" s="75"/>
      <c r="E288" s="75">
        <v>1</v>
      </c>
      <c r="F288" s="75"/>
      <c r="G288" s="400" t="s">
        <v>1877</v>
      </c>
      <c r="H288" s="400" t="s">
        <v>1878</v>
      </c>
      <c r="I288" s="1830" t="s">
        <v>1879</v>
      </c>
      <c r="J288" s="121" t="str">
        <f>CONCATENATE(G288," ",H288)</f>
        <v>Lucia Falasco</v>
      </c>
      <c r="K288" s="156">
        <v>3382685629</v>
      </c>
      <c r="L288" s="152" t="s">
        <v>1493</v>
      </c>
      <c r="M288" s="153"/>
      <c r="N288" s="160" t="s">
        <v>1880</v>
      </c>
      <c r="O288" s="402"/>
      <c r="P288" s="315"/>
      <c r="Q288" s="160"/>
      <c r="R288" s="403"/>
      <c r="S288" s="160"/>
      <c r="T288" s="404"/>
      <c r="U288" s="315"/>
      <c r="V288" s="315"/>
      <c r="W288" s="315"/>
      <c r="X288" s="131"/>
      <c r="Y288" s="315"/>
      <c r="Z288" s="315"/>
      <c r="AA288" s="315"/>
      <c r="AB288" s="37"/>
      <c r="AC288" s="131"/>
      <c r="AD288" s="121" t="s">
        <v>1881</v>
      </c>
      <c r="AE288" s="88"/>
      <c r="AF288" s="405"/>
      <c r="AG288" s="406"/>
      <c r="AH288" s="406"/>
      <c r="AI288" s="405"/>
      <c r="AJ288" s="155"/>
      <c r="AK288" s="155"/>
      <c r="AL288" s="155"/>
      <c r="AM288" s="407"/>
      <c r="AN288" s="155"/>
      <c r="AO288" s="155"/>
      <c r="AP288" s="155"/>
      <c r="AQ288" s="85"/>
      <c r="AR288" s="259"/>
      <c r="AS288" s="259"/>
      <c r="AT288" s="1987"/>
      <c r="AU288" s="408"/>
      <c r="AV288" s="75"/>
      <c r="AW288" s="121"/>
      <c r="AX288" s="121"/>
      <c r="AY288" s="85"/>
      <c r="AZ288" s="121"/>
      <c r="BA288" s="121" t="s">
        <v>115</v>
      </c>
      <c r="BB288" s="135" t="s">
        <v>115</v>
      </c>
      <c r="BC288" s="85"/>
      <c r="BD288" s="121" t="s">
        <v>115</v>
      </c>
      <c r="BE288" s="121"/>
      <c r="BF288" s="121"/>
      <c r="BG288" s="408"/>
      <c r="BH288" s="238">
        <f>CF288+CI288+CL288+CO288+CR288</f>
        <v>2397</v>
      </c>
      <c r="BI288" s="238">
        <f>CH288+CK288+CN288+CQ288+CT288</f>
        <v>2397</v>
      </c>
      <c r="BJ288" s="238">
        <f>BH288-BI288</f>
        <v>0</v>
      </c>
      <c r="BK288" s="239"/>
      <c r="BL288" s="260"/>
      <c r="BM288" s="241"/>
      <c r="BN288" s="142">
        <v>2397</v>
      </c>
      <c r="BO288" s="182"/>
      <c r="BP288" s="441" t="s">
        <v>1496</v>
      </c>
      <c r="BQ288" s="145">
        <v>0.15</v>
      </c>
      <c r="BR288" s="480"/>
      <c r="BS288" s="381">
        <f>BL288*BQ288</f>
        <v>0</v>
      </c>
      <c r="BT288" s="168">
        <f>BM288*BQ288</f>
        <v>0</v>
      </c>
      <c r="BU288" s="530">
        <f>BN288*BQ288</f>
        <v>359.55</v>
      </c>
      <c r="BV288" s="168">
        <f>BO288*BQ288</f>
        <v>0</v>
      </c>
      <c r="BW288" s="131"/>
      <c r="BX288" s="441" t="s">
        <v>525</v>
      </c>
      <c r="BY288" s="145">
        <v>0.05</v>
      </c>
      <c r="BZ288" s="262"/>
      <c r="CA288" s="242">
        <f>BL288*BY288</f>
        <v>0</v>
      </c>
      <c r="CB288" s="101">
        <f>BM288*BY288</f>
        <v>0</v>
      </c>
      <c r="CC288" s="106">
        <f>BN288*BY288</f>
        <v>119.85000000000001</v>
      </c>
      <c r="CD288" s="107">
        <f>BO288*BY288</f>
        <v>0</v>
      </c>
      <c r="CE288" s="244"/>
      <c r="CF288" s="108">
        <v>2397</v>
      </c>
      <c r="CG288" s="109">
        <v>45198</v>
      </c>
      <c r="CH288" s="108">
        <v>2397</v>
      </c>
      <c r="CI288" s="415"/>
      <c r="CJ288" s="416"/>
      <c r="CK288" s="415"/>
      <c r="CL288" s="415"/>
      <c r="CM288" s="416"/>
      <c r="CN288" s="415"/>
      <c r="CO288" s="263"/>
      <c r="CP288" s="263"/>
      <c r="CQ288" s="263"/>
      <c r="CR288" s="263"/>
      <c r="CS288" s="263"/>
      <c r="CT288" s="263"/>
      <c r="CU288" s="90">
        <v>1</v>
      </c>
      <c r="CV288" s="181"/>
      <c r="CW288" s="181"/>
      <c r="CX288" s="181"/>
      <c r="CY288" s="155"/>
      <c r="CZ288" s="121"/>
      <c r="DA288" s="424" t="s">
        <v>1312</v>
      </c>
      <c r="DB288" s="115" t="str">
        <f>PROPER(N288)</f>
        <v>Autofficina Meccanica Broglioni</v>
      </c>
      <c r="DC288" s="280" t="s">
        <v>1882</v>
      </c>
      <c r="DD288" s="116" t="str">
        <f>BP288</f>
        <v>Patrizia Sabatino</v>
      </c>
      <c r="DE288" s="117" t="b">
        <f>IF(OR(D288&gt;0),IF(BJ288=0,BN288*BQ288,0))</f>
        <v>0</v>
      </c>
      <c r="DF288" s="117" t="b">
        <f>IF(OR(D288&gt;0),IF(BJ288=0,BN288*BY288,0))</f>
        <v>0</v>
      </c>
      <c r="DG288" s="118" t="str">
        <f>BX288</f>
        <v>Bruno</v>
      </c>
      <c r="DH288" s="76"/>
      <c r="DI288" s="120" t="s">
        <v>126</v>
      </c>
      <c r="DJ288" s="120"/>
      <c r="DK288" s="74" t="s">
        <v>1399</v>
      </c>
      <c r="DL288" s="74" t="s">
        <v>1399</v>
      </c>
      <c r="DM288" s="122">
        <v>1</v>
      </c>
      <c r="DN288" s="6"/>
      <c r="DO288" s="6"/>
      <c r="DP288" s="6"/>
      <c r="DQ288" s="6"/>
      <c r="DR288" s="6"/>
      <c r="DS288" s="6"/>
      <c r="DT288" s="6"/>
      <c r="DU288" s="6"/>
      <c r="DV288" s="6"/>
      <c r="DW288" s="6"/>
      <c r="DX288" s="6"/>
      <c r="DY288" s="6"/>
      <c r="DZ288" s="6"/>
    </row>
    <row r="289" spans="1:130" ht="34.5" hidden="1" customHeight="1">
      <c r="A289" s="228"/>
      <c r="B289" s="371" t="s">
        <v>1359</v>
      </c>
      <c r="C289" s="155"/>
      <c r="D289" s="75"/>
      <c r="E289" s="75"/>
      <c r="F289" s="75"/>
      <c r="G289" s="400" t="s">
        <v>1679</v>
      </c>
      <c r="H289" s="400" t="s">
        <v>1680</v>
      </c>
      <c r="I289" s="207" t="s">
        <v>1681</v>
      </c>
      <c r="J289" s="155" t="str">
        <f>CONCATENATE(G289," ",H289)</f>
        <v>Debora Rotta</v>
      </c>
      <c r="K289" s="156">
        <v>3928056881</v>
      </c>
      <c r="L289" s="489" t="s">
        <v>1682</v>
      </c>
      <c r="M289" s="153" t="s">
        <v>514</v>
      </c>
      <c r="N289" s="160"/>
      <c r="O289" s="402"/>
      <c r="P289" s="315"/>
      <c r="Q289" s="160"/>
      <c r="R289" s="403"/>
      <c r="S289" s="160"/>
      <c r="T289" s="404"/>
      <c r="U289" s="315"/>
      <c r="V289" s="315"/>
      <c r="W289" s="315"/>
      <c r="X289" s="131"/>
      <c r="Y289" s="315"/>
      <c r="Z289" s="315"/>
      <c r="AA289" s="315"/>
      <c r="AB289" s="37"/>
      <c r="AC289" s="131"/>
      <c r="AD289" s="121"/>
      <c r="AE289" s="88"/>
      <c r="AF289" s="405"/>
      <c r="AG289" s="406"/>
      <c r="AH289" s="406"/>
      <c r="AI289" s="405"/>
      <c r="AJ289" s="155"/>
      <c r="AK289" s="155"/>
      <c r="AL289" s="155"/>
      <c r="AM289" s="407"/>
      <c r="AN289" s="155"/>
      <c r="AO289" s="155"/>
      <c r="AP289" s="155"/>
      <c r="AQ289" s="85"/>
      <c r="AR289" s="259"/>
      <c r="AS289" s="259"/>
      <c r="AT289" s="3"/>
      <c r="AU289" s="408"/>
      <c r="AV289" s="75"/>
      <c r="AW289" s="121"/>
      <c r="AX289" s="121"/>
      <c r="AY289" s="85"/>
      <c r="AZ289" s="121"/>
      <c r="BA289" s="121"/>
      <c r="BB289" s="121"/>
      <c r="BC289" s="85"/>
      <c r="BD289" s="121" t="s">
        <v>151</v>
      </c>
      <c r="BE289" s="121" t="s">
        <v>151</v>
      </c>
      <c r="BF289" s="121" t="s">
        <v>151</v>
      </c>
      <c r="BG289" s="408"/>
      <c r="BH289" s="238">
        <f>CF289+CI289+CL289+CO289+CR289</f>
        <v>0</v>
      </c>
      <c r="BI289" s="238">
        <f>CH289+CK289+CN289+CQ289+CT289</f>
        <v>0</v>
      </c>
      <c r="BJ289" s="238">
        <f>BH289-BI289</f>
        <v>0</v>
      </c>
      <c r="BK289" s="239"/>
      <c r="BL289" s="260"/>
      <c r="BM289" s="241"/>
      <c r="BN289" s="142"/>
      <c r="BO289" s="182"/>
      <c r="BP289" s="105" t="s">
        <v>160</v>
      </c>
      <c r="BQ289" s="98">
        <v>0.05</v>
      </c>
      <c r="BR289" s="409"/>
      <c r="BS289" s="242">
        <f>BL289*BQ289</f>
        <v>0</v>
      </c>
      <c r="BT289" s="203">
        <f>BM289*BQ289</f>
        <v>0</v>
      </c>
      <c r="BU289" s="167">
        <f>BN289*BQ289</f>
        <v>0</v>
      </c>
      <c r="BV289" s="168">
        <f>BO289*BQ289</f>
        <v>0</v>
      </c>
      <c r="BW289" s="131"/>
      <c r="BX289" s="105" t="s">
        <v>160</v>
      </c>
      <c r="BY289" s="145">
        <v>0.05</v>
      </c>
      <c r="BZ289" s="262"/>
      <c r="CA289" s="242">
        <f>BL289*BY289</f>
        <v>0</v>
      </c>
      <c r="CB289" s="101">
        <f>BM289*BY289</f>
        <v>0</v>
      </c>
      <c r="CC289" s="106">
        <f>BN289*BY289</f>
        <v>0</v>
      </c>
      <c r="CD289" s="107">
        <f>BO289*BY289</f>
        <v>0</v>
      </c>
      <c r="CE289" s="411"/>
      <c r="CF289" s="108">
        <v>0</v>
      </c>
      <c r="CG289" s="130" t="s">
        <v>153</v>
      </c>
      <c r="CH289" s="301"/>
      <c r="CI289" s="110"/>
      <c r="CJ289" s="226"/>
      <c r="CK289" s="415"/>
      <c r="CL289" s="415"/>
      <c r="CM289" s="416"/>
      <c r="CN289" s="415"/>
      <c r="CO289" s="263"/>
      <c r="CP289" s="263"/>
      <c r="CQ289" s="263"/>
      <c r="CR289" s="263"/>
      <c r="CS289" s="263"/>
      <c r="CT289" s="263"/>
      <c r="CU289" s="90">
        <v>1</v>
      </c>
      <c r="CV289" s="181"/>
      <c r="CW289" s="181"/>
      <c r="CX289" s="181"/>
      <c r="CY289" s="155"/>
      <c r="CZ289" s="121"/>
      <c r="DA289" s="424" t="s">
        <v>1683</v>
      </c>
      <c r="DB289" s="115" t="str">
        <f>PROPER(N289)</f>
        <v/>
      </c>
      <c r="DC289" s="280"/>
      <c r="DD289" s="116" t="str">
        <f>BP289</f>
        <v>Gianluca</v>
      </c>
      <c r="DE289" s="117" t="b">
        <f>IF(OR(D289&gt;0),IF(BJ289=0,BN289*BQ289,0))</f>
        <v>0</v>
      </c>
      <c r="DF289" s="117" t="b">
        <f>IF(OR(D289&gt;0),IF(BJ289=0,BN289*BY289,0))</f>
        <v>0</v>
      </c>
      <c r="DG289" s="118" t="str">
        <f>BX289</f>
        <v>Gianluca</v>
      </c>
      <c r="DH289" s="76"/>
      <c r="DI289" s="120" t="s">
        <v>154</v>
      </c>
      <c r="DJ289" s="120"/>
      <c r="DK289" s="74" t="s">
        <v>1399</v>
      </c>
      <c r="DL289" s="74" t="s">
        <v>1399</v>
      </c>
      <c r="DM289" s="122"/>
      <c r="DN289" s="6"/>
      <c r="DO289" s="6"/>
      <c r="DP289" s="6"/>
      <c r="DQ289" s="6"/>
      <c r="DR289" s="6"/>
      <c r="DS289" s="6"/>
      <c r="DT289" s="6"/>
      <c r="DU289" s="6"/>
      <c r="DV289" s="6"/>
      <c r="DW289" s="6"/>
      <c r="DX289" s="6"/>
      <c r="DY289" s="6"/>
      <c r="DZ289" s="6"/>
    </row>
    <row r="290" spans="1:130" ht="34.5" hidden="1" customHeight="1">
      <c r="A290" s="3"/>
      <c r="B290" s="75" t="s">
        <v>108</v>
      </c>
      <c r="C290" s="121"/>
      <c r="D290" s="75">
        <v>1</v>
      </c>
      <c r="E290" s="75">
        <v>1</v>
      </c>
      <c r="F290" s="75"/>
      <c r="G290" s="79" t="s">
        <v>665</v>
      </c>
      <c r="H290" s="79" t="s">
        <v>666</v>
      </c>
      <c r="I290" s="131" t="s">
        <v>667</v>
      </c>
      <c r="J290" s="121" t="str">
        <f>CONCATENATE(G290," ",H290)</f>
        <v>Luigi Cataldi</v>
      </c>
      <c r="K290" s="156">
        <v>3202647963</v>
      </c>
      <c r="L290" s="160" t="s">
        <v>180</v>
      </c>
      <c r="M290" s="176" t="s">
        <v>668</v>
      </c>
      <c r="N290" s="160" t="s">
        <v>669</v>
      </c>
      <c r="O290" s="407"/>
      <c r="P290" s="1941"/>
      <c r="Q290" s="86"/>
      <c r="R290" s="86"/>
      <c r="S290" s="86"/>
      <c r="T290" s="1953"/>
      <c r="U290" s="1941"/>
      <c r="V290" s="1941"/>
      <c r="W290" s="1941"/>
      <c r="X290" s="86"/>
      <c r="Y290" s="1960"/>
      <c r="Z290" s="1941"/>
      <c r="AA290" s="1941"/>
      <c r="AB290" s="86"/>
      <c r="AC290" s="86"/>
      <c r="AD290" s="86" t="s">
        <v>670</v>
      </c>
      <c r="AE290" s="138" t="str">
        <f>L290</f>
        <v>faremo entrambi un bonifico di 200€ e poi Luigi salderà ad Ottobre ed io prima dell'estate va bene</v>
      </c>
      <c r="AF290" s="407"/>
      <c r="AG290" s="121"/>
      <c r="AH290" s="121"/>
      <c r="AI290" s="407"/>
      <c r="AJ290" s="121"/>
      <c r="AK290" s="121"/>
      <c r="AL290" s="121"/>
      <c r="AM290" s="407"/>
      <c r="AN290" s="155"/>
      <c r="AO290" s="155"/>
      <c r="AP290" s="155"/>
      <c r="AQ290" s="1982"/>
      <c r="AR290" s="259"/>
      <c r="AS290" s="259"/>
      <c r="AT290" s="1987"/>
      <c r="AU290" s="408"/>
      <c r="AV290" s="75"/>
      <c r="AW290" s="121"/>
      <c r="AX290" s="121"/>
      <c r="AY290" s="1982"/>
      <c r="AZ290" s="121" t="s">
        <v>115</v>
      </c>
      <c r="BA290" s="121" t="s">
        <v>115</v>
      </c>
      <c r="BB290" s="135" t="s">
        <v>115</v>
      </c>
      <c r="BC290" s="1982"/>
      <c r="BD290" s="121"/>
      <c r="BE290" s="121"/>
      <c r="BF290" s="121"/>
      <c r="BG290" s="408"/>
      <c r="BH290" s="238">
        <f>CF290+CI290+CL290+CO290+CR290</f>
        <v>2997.0044262295082</v>
      </c>
      <c r="BI290" s="238">
        <f>CH290+CK290+CN290+CQ290+CT290</f>
        <v>2997</v>
      </c>
      <c r="BJ290" s="238">
        <f>BH290-BI290</f>
        <v>4.4262295082262426E-3</v>
      </c>
      <c r="BK290" s="199"/>
      <c r="BL290" s="200"/>
      <c r="BM290" s="241"/>
      <c r="BN290" s="142">
        <v>2997</v>
      </c>
      <c r="BO290" s="182"/>
      <c r="BP290" s="281" t="s">
        <v>184</v>
      </c>
      <c r="BQ290" s="98">
        <v>0.15</v>
      </c>
      <c r="BR290" s="2057"/>
      <c r="BS290" s="202"/>
      <c r="BT290" s="203">
        <f>BM290*BQ290</f>
        <v>0</v>
      </c>
      <c r="BU290" s="167">
        <f>BN290*BQ290</f>
        <v>449.55</v>
      </c>
      <c r="BV290" s="168">
        <f>BO290*BQ290</f>
        <v>0</v>
      </c>
      <c r="BW290" s="160" t="s">
        <v>185</v>
      </c>
      <c r="BX290" s="105" t="s">
        <v>184</v>
      </c>
      <c r="BY290" s="98">
        <v>0.05</v>
      </c>
      <c r="BZ290" s="2058"/>
      <c r="CA290" s="202"/>
      <c r="CB290" s="101">
        <f>BM290*BY290</f>
        <v>0</v>
      </c>
      <c r="CC290" s="106">
        <f>BN290*BY290</f>
        <v>149.85</v>
      </c>
      <c r="CD290" s="107">
        <f>BO290*BY290</f>
        <v>0</v>
      </c>
      <c r="CE290" s="160" t="s">
        <v>185</v>
      </c>
      <c r="CF290" s="108">
        <f>200/1.22</f>
        <v>163.9344262295082</v>
      </c>
      <c r="CG290" s="109">
        <v>45012</v>
      </c>
      <c r="CH290" s="108">
        <v>163.93</v>
      </c>
      <c r="CI290" s="110">
        <f>2997-163.93</f>
        <v>2833.07</v>
      </c>
      <c r="CJ290" s="226">
        <v>45204</v>
      </c>
      <c r="CK290" s="110">
        <f>2997-163.93</f>
        <v>2833.07</v>
      </c>
      <c r="CL290" s="206"/>
      <c r="CM290" s="226"/>
      <c r="CN290" s="206"/>
      <c r="CO290" s="206"/>
      <c r="CP290" s="206"/>
      <c r="CQ290" s="206"/>
      <c r="CR290" s="206"/>
      <c r="CS290" s="206"/>
      <c r="CT290" s="206"/>
      <c r="CU290" s="90">
        <v>1</v>
      </c>
      <c r="CV290" s="181" t="s">
        <v>121</v>
      </c>
      <c r="CW290" s="181"/>
      <c r="CX290" s="207"/>
      <c r="CY290" s="155" t="s">
        <v>122</v>
      </c>
      <c r="CZ290" s="155"/>
      <c r="DA290" s="131"/>
      <c r="DB290" s="115" t="str">
        <f>PROPER(N290)</f>
        <v>Air</v>
      </c>
      <c r="DC290" s="191" t="s">
        <v>187</v>
      </c>
      <c r="DD290" s="116" t="str">
        <f>BP290</f>
        <v>Cristian A</v>
      </c>
      <c r="DE290" s="117">
        <v>449.55</v>
      </c>
      <c r="DF290" s="117">
        <v>149.85</v>
      </c>
      <c r="DG290" s="116" t="str">
        <f>BX290</f>
        <v>Cristian A</v>
      </c>
      <c r="DH290" s="76"/>
      <c r="DI290" s="120" t="s">
        <v>126</v>
      </c>
      <c r="DJ290" s="120"/>
      <c r="DK290" s="121"/>
      <c r="DL290" s="121"/>
      <c r="DM290" s="122"/>
      <c r="DN290" s="6"/>
      <c r="DO290" s="6"/>
      <c r="DP290" s="6"/>
      <c r="DQ290" s="6"/>
      <c r="DR290" s="6"/>
      <c r="DS290" s="6"/>
      <c r="DT290" s="6"/>
      <c r="DU290" s="6"/>
      <c r="DV290" s="6"/>
      <c r="DW290" s="6"/>
      <c r="DX290" s="6"/>
      <c r="DY290" s="6"/>
      <c r="DZ290" s="6"/>
    </row>
    <row r="291" spans="1:130" ht="34.5" hidden="1" customHeight="1">
      <c r="A291" s="228"/>
      <c r="B291" s="75" t="s">
        <v>1359</v>
      </c>
      <c r="C291" s="155"/>
      <c r="D291" s="75">
        <v>1</v>
      </c>
      <c r="E291" s="75">
        <v>1</v>
      </c>
      <c r="F291" s="75"/>
      <c r="G291" s="400" t="s">
        <v>1892</v>
      </c>
      <c r="H291" s="400" t="s">
        <v>1893</v>
      </c>
      <c r="I291" s="207" t="s">
        <v>1894</v>
      </c>
      <c r="J291" s="121" t="str">
        <f>CONCATENATE(G291," ",H291)</f>
        <v>Luisa Maria Beltre Perez</v>
      </c>
      <c r="K291" s="156">
        <v>3290757893</v>
      </c>
      <c r="L291" s="435"/>
      <c r="M291" s="447" t="s">
        <v>1895</v>
      </c>
      <c r="N291" s="1922" t="s">
        <v>1896</v>
      </c>
      <c r="O291" s="402"/>
      <c r="P291" s="315"/>
      <c r="Q291" s="160"/>
      <c r="R291" s="403"/>
      <c r="S291" s="160"/>
      <c r="T291" s="404"/>
      <c r="U291" s="315"/>
      <c r="V291" s="315"/>
      <c r="W291" s="315"/>
      <c r="X291" s="131"/>
      <c r="Y291" s="315"/>
      <c r="Z291" s="315"/>
      <c r="AA291" s="315"/>
      <c r="AB291" s="37"/>
      <c r="AC291" s="131"/>
      <c r="AD291" s="121" t="s">
        <v>1897</v>
      </c>
      <c r="AE291" s="88"/>
      <c r="AF291" s="405"/>
      <c r="AG291" s="406"/>
      <c r="AH291" s="406"/>
      <c r="AI291" s="405"/>
      <c r="AJ291" s="155"/>
      <c r="AK291" s="155"/>
      <c r="AL291" s="155"/>
      <c r="AM291" s="407"/>
      <c r="AN291" s="155"/>
      <c r="AO291" s="155"/>
      <c r="AP291" s="155"/>
      <c r="AQ291" s="85"/>
      <c r="AR291" s="259"/>
      <c r="AS291" s="259"/>
      <c r="AT291" s="1987"/>
      <c r="AU291" s="408"/>
      <c r="AV291" s="75"/>
      <c r="AW291" s="121"/>
      <c r="AX291" s="121"/>
      <c r="AY291" s="85"/>
      <c r="AZ291" s="121" t="s">
        <v>115</v>
      </c>
      <c r="BA291" s="121" t="s">
        <v>115</v>
      </c>
      <c r="BB291" s="135" t="s">
        <v>115</v>
      </c>
      <c r="BC291" s="85"/>
      <c r="BD291" s="121"/>
      <c r="BE291" s="121"/>
      <c r="BF291" s="121"/>
      <c r="BG291" s="408"/>
      <c r="BH291" s="238">
        <f>CF291+CI291+CL291+CO291+CR291</f>
        <v>2997.0044262295082</v>
      </c>
      <c r="BI291" s="238">
        <f>CH291+CK291+CN291+CQ291+CT291</f>
        <v>2997.0044262295082</v>
      </c>
      <c r="BJ291" s="238">
        <f>BH291-BI291</f>
        <v>0</v>
      </c>
      <c r="BK291" s="239"/>
      <c r="BL291" s="260"/>
      <c r="BM291" s="241"/>
      <c r="BN291" s="142">
        <v>2997</v>
      </c>
      <c r="BO291" s="182"/>
      <c r="BP291" s="105" t="s">
        <v>117</v>
      </c>
      <c r="BQ291" s="98">
        <v>0</v>
      </c>
      <c r="BR291" s="409"/>
      <c r="BS291" s="242">
        <f>BL291*BQ291</f>
        <v>0</v>
      </c>
      <c r="BT291" s="203">
        <f>BM291*BQ291</f>
        <v>0</v>
      </c>
      <c r="BU291" s="167">
        <f>BN291*BQ291</f>
        <v>0</v>
      </c>
      <c r="BV291" s="168">
        <f>BO291*BQ291</f>
        <v>0</v>
      </c>
      <c r="BW291" s="131"/>
      <c r="BX291" s="105" t="s">
        <v>160</v>
      </c>
      <c r="BY291" s="145">
        <v>0.05</v>
      </c>
      <c r="BZ291" s="262"/>
      <c r="CA291" s="242">
        <f>BL291*BY291</f>
        <v>0</v>
      </c>
      <c r="CB291" s="101">
        <f>BM291*BY291</f>
        <v>0</v>
      </c>
      <c r="CC291" s="106">
        <f>BN291*BY291</f>
        <v>149.85</v>
      </c>
      <c r="CD291" s="107">
        <f>BO291*BY291</f>
        <v>0</v>
      </c>
      <c r="CE291" s="765" t="s">
        <v>185</v>
      </c>
      <c r="CF291" s="108">
        <f>200/1.22</f>
        <v>163.9344262295082</v>
      </c>
      <c r="CG291" s="109">
        <v>45198</v>
      </c>
      <c r="CH291" s="108">
        <f>200/1.22</f>
        <v>163.9344262295082</v>
      </c>
      <c r="CI291" s="110">
        <f>2997-163.93</f>
        <v>2833.07</v>
      </c>
      <c r="CJ291" s="226">
        <v>45205</v>
      </c>
      <c r="CK291" s="508">
        <v>2833.07</v>
      </c>
      <c r="CL291" s="110"/>
      <c r="CM291" s="226"/>
      <c r="CN291" s="415"/>
      <c r="CO291" s="263"/>
      <c r="CP291" s="263"/>
      <c r="CQ291" s="263"/>
      <c r="CR291" s="263"/>
      <c r="CS291" s="263"/>
      <c r="CT291" s="263"/>
      <c r="CU291" s="90">
        <v>1</v>
      </c>
      <c r="CV291" s="181"/>
      <c r="CW291" s="506"/>
      <c r="CX291" s="506"/>
      <c r="CY291" s="155"/>
      <c r="CZ291" s="121"/>
      <c r="DA291" s="428" t="s">
        <v>1898</v>
      </c>
      <c r="DB291" s="115" t="str">
        <f>PROPER(N291)</f>
        <v>Generali Italia</v>
      </c>
      <c r="DC291" s="280" t="s">
        <v>1899</v>
      </c>
      <c r="DD291" s="116" t="str">
        <f>BP291</f>
        <v>blackship</v>
      </c>
      <c r="DE291" s="117">
        <f>IF(OR(D291&gt;0),IF(BJ291=0,BN291*BQ291,0))</f>
        <v>0</v>
      </c>
      <c r="DF291" s="117">
        <f>IF(OR(D291&gt;0),IF(BJ291=0,BN291*BY291,0))</f>
        <v>149.85</v>
      </c>
      <c r="DG291" s="118" t="str">
        <f>BX291</f>
        <v>Gianluca</v>
      </c>
      <c r="DH291" s="76"/>
      <c r="DI291" s="120" t="s">
        <v>126</v>
      </c>
      <c r="DJ291" s="120"/>
      <c r="DK291" s="74" t="s">
        <v>1399</v>
      </c>
      <c r="DL291" s="74" t="s">
        <v>1399</v>
      </c>
      <c r="DM291" s="122"/>
      <c r="DN291" s="6"/>
      <c r="DO291" s="6"/>
      <c r="DP291" s="6"/>
      <c r="DQ291" s="6"/>
      <c r="DR291" s="6"/>
      <c r="DS291" s="6"/>
      <c r="DT291" s="6"/>
      <c r="DU291" s="6"/>
      <c r="DV291" s="6"/>
      <c r="DW291" s="6"/>
      <c r="DX291" s="6"/>
      <c r="DY291" s="6"/>
      <c r="DZ291" s="6"/>
    </row>
    <row r="292" spans="1:130" ht="34.5" hidden="1" customHeight="1">
      <c r="A292" s="228"/>
      <c r="B292" s="75" t="s">
        <v>902</v>
      </c>
      <c r="C292" s="121"/>
      <c r="D292" s="195">
        <v>1</v>
      </c>
      <c r="E292" s="75">
        <v>1</v>
      </c>
      <c r="F292" s="148"/>
      <c r="G292" s="197" t="s">
        <v>939</v>
      </c>
      <c r="H292" s="197" t="s">
        <v>940</v>
      </c>
      <c r="I292" s="207" t="s">
        <v>941</v>
      </c>
      <c r="J292" s="121" t="str">
        <f>CONCATENATE(G292," ",H292)</f>
        <v>Manuel Agnellini</v>
      </c>
      <c r="K292" s="224">
        <v>3920052614</v>
      </c>
      <c r="L292" s="131" t="s">
        <v>935</v>
      </c>
      <c r="M292" s="384" t="s">
        <v>936</v>
      </c>
      <c r="N292" s="160" t="s">
        <v>937</v>
      </c>
      <c r="O292" s="556"/>
      <c r="P292" s="314"/>
      <c r="Q292" s="37"/>
      <c r="R292" s="131"/>
      <c r="S292" s="160"/>
      <c r="T292" s="404"/>
      <c r="U292" s="315"/>
      <c r="V292" s="315"/>
      <c r="W292" s="316"/>
      <c r="X292" s="234"/>
      <c r="Y292" s="316"/>
      <c r="Z292" s="316"/>
      <c r="AA292" s="316"/>
      <c r="AB292" s="37"/>
      <c r="AC292" s="37"/>
      <c r="AD292" s="37" t="s">
        <v>118</v>
      </c>
      <c r="AE292" s="138"/>
      <c r="AF292" s="407"/>
      <c r="AG292" s="121"/>
      <c r="AH292" s="121"/>
      <c r="AI292" s="407"/>
      <c r="AJ292" s="121"/>
      <c r="AK292" s="121"/>
      <c r="AL292" s="121"/>
      <c r="AM292" s="407"/>
      <c r="AN292" s="155"/>
      <c r="AO292" s="155"/>
      <c r="AP292" s="155"/>
      <c r="AQ292" s="1982"/>
      <c r="AR292" s="259"/>
      <c r="AS292" s="259"/>
      <c r="AT292" s="1987"/>
      <c r="AU292" s="408"/>
      <c r="AV292" s="75" t="s">
        <v>115</v>
      </c>
      <c r="AW292" s="121" t="s">
        <v>115</v>
      </c>
      <c r="AX292" s="121" t="s">
        <v>115</v>
      </c>
      <c r="AY292" s="1982"/>
      <c r="AZ292" s="121" t="s">
        <v>116</v>
      </c>
      <c r="BA292" s="121" t="s">
        <v>116</v>
      </c>
      <c r="BB292" s="162" t="s">
        <v>116</v>
      </c>
      <c r="BC292" s="1982"/>
      <c r="BD292" s="121"/>
      <c r="BE292" s="121"/>
      <c r="BF292" s="121"/>
      <c r="BG292" s="408"/>
      <c r="BH292" s="238"/>
      <c r="BI292" s="238"/>
      <c r="BJ292" s="238"/>
      <c r="BK292" s="239"/>
      <c r="BL292" s="260"/>
      <c r="BM292" s="241"/>
      <c r="BN292" s="273"/>
      <c r="BO292" s="274"/>
      <c r="BP292" s="275" t="s">
        <v>262</v>
      </c>
      <c r="BQ292" s="98">
        <v>0</v>
      </c>
      <c r="BR292" s="409"/>
      <c r="BS292" s="242"/>
      <c r="BT292" s="203"/>
      <c r="BU292" s="167"/>
      <c r="BV292" s="168">
        <f>BO292*BQ292</f>
        <v>0</v>
      </c>
      <c r="BW292" s="243"/>
      <c r="BX292" s="105" t="s">
        <v>262</v>
      </c>
      <c r="BY292" s="98">
        <v>0</v>
      </c>
      <c r="BZ292" s="262"/>
      <c r="CA292" s="242"/>
      <c r="CB292" s="101"/>
      <c r="CC292" s="106"/>
      <c r="CD292" s="107">
        <f>BO292*BY292</f>
        <v>0</v>
      </c>
      <c r="CE292" s="244"/>
      <c r="CF292" s="108"/>
      <c r="CG292" s="279"/>
      <c r="CH292" s="108"/>
      <c r="CI292" s="110"/>
      <c r="CJ292" s="226"/>
      <c r="CK292" s="206"/>
      <c r="CL292" s="206"/>
      <c r="CM292" s="226"/>
      <c r="CN292" s="206"/>
      <c r="CO292" s="206"/>
      <c r="CP292" s="206"/>
      <c r="CQ292" s="206"/>
      <c r="CR292" s="206"/>
      <c r="CS292" s="206"/>
      <c r="CT292" s="206"/>
      <c r="CU292" s="90"/>
      <c r="CV292" s="181"/>
      <c r="CW292" s="112"/>
      <c r="CX292" s="1832"/>
      <c r="CY292" s="207"/>
      <c r="CZ292" s="155"/>
      <c r="DA292" s="384" t="s">
        <v>938</v>
      </c>
      <c r="DB292" s="115" t="str">
        <f>PROPER(N292)</f>
        <v>Ey</v>
      </c>
      <c r="DC292" s="191" t="s">
        <v>264</v>
      </c>
      <c r="DD292" s="116" t="str">
        <f>BP292</f>
        <v>Pacci</v>
      </c>
      <c r="DE292" s="117">
        <f>IF(OR(D292&gt;0),IF(BJ292=0,BN292*BQ292,0))</f>
        <v>0</v>
      </c>
      <c r="DF292" s="117">
        <f>IF(OR(D292&gt;0),IF(BJ292=0,BN292*BY292,0))</f>
        <v>0</v>
      </c>
      <c r="DG292" s="118" t="str">
        <f>BX292</f>
        <v>Pacci</v>
      </c>
      <c r="DH292" s="76"/>
      <c r="DI292" s="120" t="s">
        <v>126</v>
      </c>
      <c r="DJ292" s="120"/>
      <c r="DK292" s="207"/>
      <c r="DL292" s="207"/>
      <c r="DM292" s="248"/>
    </row>
    <row r="293" spans="1:130" ht="34.5" hidden="1" customHeight="1">
      <c r="A293" s="228"/>
      <c r="B293" s="75" t="s">
        <v>1928</v>
      </c>
      <c r="C293" s="155"/>
      <c r="D293" s="75"/>
      <c r="E293" s="75">
        <v>1</v>
      </c>
      <c r="F293" s="75"/>
      <c r="G293" s="400" t="s">
        <v>246</v>
      </c>
      <c r="H293" s="400" t="s">
        <v>330</v>
      </c>
      <c r="I293" s="294" t="s">
        <v>2303</v>
      </c>
      <c r="J293" s="121" t="str">
        <f>CONCATENATE(G293," ",H293)</f>
        <v>Marco Brunelli</v>
      </c>
      <c r="K293" s="224">
        <v>3464365251</v>
      </c>
      <c r="L293" s="124"/>
      <c r="M293" s="607"/>
      <c r="N293" s="160" t="s">
        <v>916</v>
      </c>
      <c r="O293" s="556"/>
      <c r="P293" s="314"/>
      <c r="Q293" s="37"/>
      <c r="R293" s="131" t="s">
        <v>916</v>
      </c>
      <c r="S293" s="160"/>
      <c r="T293" s="404"/>
      <c r="U293" s="315"/>
      <c r="V293" s="315"/>
      <c r="W293" s="316"/>
      <c r="X293" s="131"/>
      <c r="Y293" s="316"/>
      <c r="Z293" s="316"/>
      <c r="AA293" s="316"/>
      <c r="AB293" s="37"/>
      <c r="AC293" s="131"/>
      <c r="AD293" s="121"/>
      <c r="AE293" s="608"/>
      <c r="AF293" s="405"/>
      <c r="AG293" s="155"/>
      <c r="AH293" s="155"/>
      <c r="AI293" s="405"/>
      <c r="AJ293" s="155"/>
      <c r="AK293" s="155"/>
      <c r="AL293" s="155"/>
      <c r="AM293" s="405"/>
      <c r="AN293" s="155"/>
      <c r="AO293" s="155"/>
      <c r="AP293" s="155"/>
      <c r="AQ293" s="1981"/>
      <c r="AR293" s="259"/>
      <c r="AS293" s="259"/>
      <c r="AT293" s="1987"/>
      <c r="AU293" s="1990"/>
      <c r="AV293" s="75"/>
      <c r="AW293" s="121"/>
      <c r="AX293" s="121"/>
      <c r="AY293" s="1981"/>
      <c r="AZ293" s="121"/>
      <c r="BA293" s="121" t="s">
        <v>116</v>
      </c>
      <c r="BB293" s="162" t="s">
        <v>116</v>
      </c>
      <c r="BC293" s="1981"/>
      <c r="BD293" s="121" t="s">
        <v>116</v>
      </c>
      <c r="BE293" s="121"/>
      <c r="BF293" s="121"/>
      <c r="BG293" s="1990"/>
      <c r="BH293" s="238">
        <f>CF293+CI293+CL293+CO293+CR293</f>
        <v>0</v>
      </c>
      <c r="BI293" s="238"/>
      <c r="BJ293" s="238"/>
      <c r="BK293" s="239"/>
      <c r="BL293" s="260"/>
      <c r="BM293" s="241"/>
      <c r="BN293" s="142"/>
      <c r="BO293" s="182"/>
      <c r="BP293" s="105"/>
      <c r="BQ293" s="145"/>
      <c r="BR293" s="409"/>
      <c r="BS293" s="242"/>
      <c r="BT293" s="203"/>
      <c r="BU293" s="167">
        <f>BN293*BQ293</f>
        <v>0</v>
      </c>
      <c r="BV293" s="168">
        <f>BO293*BQ293</f>
        <v>0</v>
      </c>
      <c r="BW293" s="131"/>
      <c r="BX293" s="105"/>
      <c r="BY293" s="145"/>
      <c r="BZ293" s="262"/>
      <c r="CA293" s="242"/>
      <c r="CB293" s="101">
        <f>BM293*BY293</f>
        <v>0</v>
      </c>
      <c r="CC293" s="106">
        <f>BN293*BY293</f>
        <v>0</v>
      </c>
      <c r="CD293" s="107">
        <f>BO293*BY293</f>
        <v>0</v>
      </c>
      <c r="CE293" s="2092"/>
      <c r="CF293" s="2096"/>
      <c r="CG293" s="2096"/>
      <c r="CH293" s="2096"/>
      <c r="CI293" s="338"/>
      <c r="CJ293" s="338"/>
      <c r="CK293" s="338"/>
      <c r="CL293" s="338"/>
      <c r="CM293" s="338"/>
      <c r="CN293" s="338"/>
      <c r="CO293" s="338"/>
      <c r="CP293" s="338"/>
      <c r="CQ293" s="338"/>
      <c r="CR293" s="338"/>
      <c r="CS293" s="338"/>
      <c r="CT293" s="338"/>
      <c r="CU293" s="90">
        <v>1</v>
      </c>
      <c r="CV293" s="181" t="s">
        <v>121</v>
      </c>
      <c r="CW293" s="112"/>
      <c r="CX293" s="1832"/>
      <c r="CY293" s="207"/>
      <c r="CZ293" s="155"/>
      <c r="DA293" s="131" t="s">
        <v>501</v>
      </c>
      <c r="DB293" s="115" t="str">
        <f>PROPER(N293)</f>
        <v>Automazioni Industriali</v>
      </c>
      <c r="DC293" s="191" t="s">
        <v>917</v>
      </c>
      <c r="DD293" s="116">
        <f>BP293</f>
        <v>0</v>
      </c>
      <c r="DE293" s="117" t="b">
        <f>IF(OR(D293&gt;0),IF(BJ293=0,BN293*BQ293,0))</f>
        <v>0</v>
      </c>
      <c r="DF293" s="117" t="b">
        <f>IF(OR(D293&gt;0),IF(BJ293=0,BN293*BY293,0))</f>
        <v>0</v>
      </c>
      <c r="DG293" s="116">
        <f>BX293</f>
        <v>0</v>
      </c>
      <c r="DH293" s="76"/>
      <c r="DI293" s="120" t="s">
        <v>126</v>
      </c>
      <c r="DJ293" s="120"/>
      <c r="DK293" s="207"/>
      <c r="DL293" s="207"/>
      <c r="DM293" s="248">
        <v>1</v>
      </c>
    </row>
    <row r="294" spans="1:130" ht="34.5" hidden="1" customHeight="1">
      <c r="A294" s="228"/>
      <c r="B294" s="75" t="s">
        <v>1928</v>
      </c>
      <c r="C294" s="155"/>
      <c r="D294" s="75"/>
      <c r="E294" s="119"/>
      <c r="F294" s="75"/>
      <c r="G294" s="393" t="s">
        <v>246</v>
      </c>
      <c r="H294" s="393" t="s">
        <v>2344</v>
      </c>
      <c r="I294" s="382" t="s">
        <v>2345</v>
      </c>
      <c r="J294" s="179" t="str">
        <f>CONCATENATE(G294," ",H294)</f>
        <v>Marco Carovana</v>
      </c>
      <c r="K294" s="224">
        <v>3245561029</v>
      </c>
      <c r="L294" s="183"/>
      <c r="M294" s="183" t="s">
        <v>2346</v>
      </c>
      <c r="N294" s="160" t="s">
        <v>2347</v>
      </c>
      <c r="O294" s="975"/>
      <c r="P294" s="1939"/>
      <c r="Q294" s="623"/>
      <c r="R294" s="624"/>
      <c r="S294" s="625"/>
      <c r="T294" s="1952"/>
      <c r="U294" s="328"/>
      <c r="V294" s="251"/>
      <c r="W294" s="251"/>
      <c r="X294" s="131"/>
      <c r="Y294" s="251"/>
      <c r="Z294" s="251"/>
      <c r="AA294" s="1958"/>
      <c r="AB294" s="255"/>
      <c r="AC294" s="131"/>
      <c r="AD294" s="121"/>
      <c r="AE294" s="1963"/>
      <c r="AF294" s="1967"/>
      <c r="AG294" s="628"/>
      <c r="AH294" s="629"/>
      <c r="AI294" s="405"/>
      <c r="AJ294" s="258"/>
      <c r="AK294" s="258"/>
      <c r="AL294" s="258"/>
      <c r="AM294" s="1967"/>
      <c r="AN294" s="207"/>
      <c r="AO294" s="207"/>
      <c r="AP294" s="207"/>
      <c r="AQ294" s="1981"/>
      <c r="AR294" s="259"/>
      <c r="AS294" s="259"/>
      <c r="AT294" s="1987"/>
      <c r="AU294" s="1990"/>
      <c r="AV294" s="121" t="s">
        <v>116</v>
      </c>
      <c r="AW294" s="121" t="s">
        <v>116</v>
      </c>
      <c r="AX294" s="1997"/>
      <c r="AY294" s="1981"/>
      <c r="AZ294" s="121"/>
      <c r="BA294" s="121"/>
      <c r="BB294" s="121" t="s">
        <v>116</v>
      </c>
      <c r="BC294" s="1981"/>
      <c r="BD294" s="121"/>
      <c r="BE294" s="121"/>
      <c r="BF294" s="121"/>
      <c r="BG294" s="1990"/>
      <c r="BH294" s="238">
        <f>CF294+CI294+CL294+CO294+CR294</f>
        <v>0</v>
      </c>
      <c r="BI294" s="238"/>
      <c r="BJ294" s="238"/>
      <c r="BK294" s="239"/>
      <c r="BL294" s="260"/>
      <c r="BM294" s="241"/>
      <c r="BN294" s="273"/>
      <c r="BO294" s="274"/>
      <c r="BP294" s="2038"/>
      <c r="BQ294" s="191"/>
      <c r="BR294" s="409"/>
      <c r="BS294" s="242"/>
      <c r="BT294" s="203"/>
      <c r="BU294" s="167"/>
      <c r="BV294" s="168">
        <f>BO294*BQ294</f>
        <v>0</v>
      </c>
      <c r="BW294" s="131"/>
      <c r="BX294" s="281"/>
      <c r="BY294" s="207"/>
      <c r="BZ294" s="262"/>
      <c r="CA294" s="242"/>
      <c r="CB294" s="101"/>
      <c r="CC294" s="106"/>
      <c r="CD294" s="107">
        <f>BO294*BY294</f>
        <v>0</v>
      </c>
      <c r="CE294" s="566"/>
      <c r="CF294" s="2096"/>
      <c r="CG294" s="2096"/>
      <c r="CH294" s="2096"/>
      <c r="CI294" s="338"/>
      <c r="CJ294" s="338"/>
      <c r="CK294" s="338"/>
      <c r="CL294" s="338"/>
      <c r="CM294" s="338"/>
      <c r="CN294" s="338"/>
      <c r="CO294" s="338"/>
      <c r="CP294" s="338"/>
      <c r="CQ294" s="338"/>
      <c r="CR294" s="338"/>
      <c r="CS294" s="338"/>
      <c r="CT294" s="338"/>
      <c r="CU294" s="90">
        <v>1</v>
      </c>
      <c r="CV294" s="181"/>
      <c r="CW294" s="972"/>
      <c r="CX294" s="971"/>
      <c r="CY294" s="155" t="s">
        <v>215</v>
      </c>
      <c r="CZ294" s="331"/>
      <c r="DA294" s="661" t="s">
        <v>2348</v>
      </c>
      <c r="DB294" s="115" t="str">
        <f>PROPER(N294)</f>
        <v>Marco Carovana</v>
      </c>
      <c r="DC294" s="191"/>
      <c r="DD294" s="116">
        <f>BP294</f>
        <v>0</v>
      </c>
      <c r="DE294" s="117" t="b">
        <f>IF(OR(D294&gt;0),IF(BJ294=0,BN294*BQ294,0))</f>
        <v>0</v>
      </c>
      <c r="DF294" s="117" t="b">
        <f>IF(OR(D294&gt;0),IF(BJ294=0,BN294*BY294,0))</f>
        <v>0</v>
      </c>
      <c r="DG294" s="113">
        <f>BX294</f>
        <v>0</v>
      </c>
      <c r="DH294" s="76"/>
      <c r="DI294" s="120" t="s">
        <v>126</v>
      </c>
      <c r="DJ294" s="120"/>
      <c r="DK294" s="331"/>
      <c r="DL294" s="331"/>
      <c r="DM294" s="248">
        <v>1</v>
      </c>
    </row>
    <row r="295" spans="1:130" ht="34.5" hidden="1" customHeight="1">
      <c r="A295" s="228"/>
      <c r="B295" s="75" t="s">
        <v>1324</v>
      </c>
      <c r="C295" s="155"/>
      <c r="D295" s="75">
        <v>1</v>
      </c>
      <c r="E295" s="75">
        <v>1</v>
      </c>
      <c r="F295" s="75"/>
      <c r="G295" s="400" t="s">
        <v>246</v>
      </c>
      <c r="H295" s="400" t="s">
        <v>1331</v>
      </c>
      <c r="I295" s="207" t="s">
        <v>1332</v>
      </c>
      <c r="J295" s="121" t="str">
        <f>CONCATENATE(G295," ",H295)</f>
        <v>Marco Cavagnini</v>
      </c>
      <c r="K295" s="401"/>
      <c r="L295" s="156"/>
      <c r="M295" s="153"/>
      <c r="N295" s="160" t="s">
        <v>937</v>
      </c>
      <c r="O295" s="402"/>
      <c r="P295" s="315"/>
      <c r="Q295" s="160"/>
      <c r="R295" s="403"/>
      <c r="S295" s="160"/>
      <c r="T295" s="404"/>
      <c r="U295" s="315"/>
      <c r="V295" s="315"/>
      <c r="W295" s="315"/>
      <c r="X295" s="131"/>
      <c r="Y295" s="315"/>
      <c r="Z295" s="315"/>
      <c r="AA295" s="315"/>
      <c r="AB295" s="37"/>
      <c r="AC295" s="131"/>
      <c r="AD295" s="121" t="s">
        <v>1328</v>
      </c>
      <c r="AE295" s="88"/>
      <c r="AF295" s="405"/>
      <c r="AG295" s="406"/>
      <c r="AH295" s="406"/>
      <c r="AI295" s="405"/>
      <c r="AJ295" s="155"/>
      <c r="AK295" s="155"/>
      <c r="AL295" s="155"/>
      <c r="AM295" s="407"/>
      <c r="AN295" s="155"/>
      <c r="AO295" s="155"/>
      <c r="AP295" s="155"/>
      <c r="AQ295" s="85"/>
      <c r="AR295" s="259"/>
      <c r="AS295" s="259"/>
      <c r="AT295" s="3"/>
      <c r="AU295" s="408"/>
      <c r="AV295" s="121"/>
      <c r="AW295" s="121"/>
      <c r="AX295" s="121"/>
      <c r="AY295" s="85"/>
      <c r="AZ295" s="121" t="s">
        <v>245</v>
      </c>
      <c r="BA295" s="121" t="s">
        <v>245</v>
      </c>
      <c r="BB295" s="121" t="s">
        <v>115</v>
      </c>
      <c r="BC295" s="85"/>
      <c r="BD295" s="121"/>
      <c r="BE295" s="121"/>
      <c r="BF295" s="121"/>
      <c r="BG295" s="408"/>
      <c r="BH295" s="238">
        <f>CF295+CI295+CL295+CO295+CR295</f>
        <v>2397</v>
      </c>
      <c r="BI295" s="238">
        <f>CH295+CK295+CN295+CQ295+CT295</f>
        <v>0</v>
      </c>
      <c r="BJ295" s="238">
        <f>BH295-BI295</f>
        <v>2397</v>
      </c>
      <c r="BK295" s="239"/>
      <c r="BL295" s="260"/>
      <c r="BM295" s="241"/>
      <c r="BN295" s="142">
        <v>2397</v>
      </c>
      <c r="BO295" s="182"/>
      <c r="BP295" s="275" t="s">
        <v>262</v>
      </c>
      <c r="BQ295" s="98">
        <v>0.15</v>
      </c>
      <c r="BR295" s="409"/>
      <c r="BS295" s="242"/>
      <c r="BT295" s="203"/>
      <c r="BU295" s="167">
        <f>BN295*BQ295</f>
        <v>359.55</v>
      </c>
      <c r="BV295" s="168">
        <f>BO295*BQ295</f>
        <v>0</v>
      </c>
      <c r="BW295" s="131"/>
      <c r="BX295" s="105" t="s">
        <v>262</v>
      </c>
      <c r="BY295" s="145">
        <v>0.1</v>
      </c>
      <c r="BZ295" s="262"/>
      <c r="CA295" s="242"/>
      <c r="CB295" s="101"/>
      <c r="CC295" s="102">
        <f>BV295*BY295</f>
        <v>0</v>
      </c>
      <c r="CD295" s="103">
        <f>BW295*BY295</f>
        <v>0</v>
      </c>
      <c r="CE295" s="244"/>
      <c r="CF295" s="108">
        <v>2397</v>
      </c>
      <c r="CG295" s="109"/>
      <c r="CH295" s="2104"/>
      <c r="CI295" s="415"/>
      <c r="CJ295" s="416"/>
      <c r="CK295" s="415"/>
      <c r="CL295" s="415"/>
      <c r="CM295" s="416"/>
      <c r="CN295" s="415"/>
      <c r="CO295" s="263"/>
      <c r="CP295" s="263"/>
      <c r="CQ295" s="263"/>
      <c r="CR295" s="263"/>
      <c r="CS295" s="263"/>
      <c r="CT295" s="263"/>
      <c r="CU295" s="90"/>
      <c r="CV295" s="181"/>
      <c r="CW295" s="112"/>
      <c r="CX295" s="840"/>
      <c r="CY295" s="155"/>
      <c r="CZ295" s="121"/>
      <c r="DA295" s="384" t="s">
        <v>938</v>
      </c>
      <c r="DB295" s="115" t="str">
        <f>PROPER(N295)</f>
        <v>Ey</v>
      </c>
      <c r="DC295" s="191" t="s">
        <v>264</v>
      </c>
      <c r="DD295" s="116" t="str">
        <f>BP295</f>
        <v>Pacci</v>
      </c>
      <c r="DE295" s="117">
        <f>IF(OR(D295&gt;0),IF(BJ295=0,BN295*BQ295,0))</f>
        <v>0</v>
      </c>
      <c r="DF295" s="117">
        <f>IF(OR(D295&gt;0),IF(BJ295=0,BN295*BY295,0))</f>
        <v>0</v>
      </c>
      <c r="DG295" s="118" t="str">
        <f>BX295</f>
        <v>Pacci</v>
      </c>
      <c r="DH295" s="76"/>
      <c r="DI295" s="120" t="s">
        <v>126</v>
      </c>
      <c r="DJ295" s="120"/>
      <c r="DK295" s="74"/>
      <c r="DL295" s="74"/>
      <c r="DM295" s="122"/>
      <c r="DN295" s="6"/>
      <c r="DO295" s="6"/>
      <c r="DP295" s="6"/>
      <c r="DQ295" s="6"/>
      <c r="DR295" s="6"/>
      <c r="DS295" s="6"/>
      <c r="DT295" s="6"/>
      <c r="DU295" s="6"/>
      <c r="DV295" s="6"/>
      <c r="DW295" s="6"/>
      <c r="DX295" s="6"/>
      <c r="DY295" s="6"/>
      <c r="DZ295" s="6"/>
    </row>
    <row r="296" spans="1:130" ht="34.5" hidden="1" customHeight="1">
      <c r="A296" s="228"/>
      <c r="B296" s="75" t="s">
        <v>1359</v>
      </c>
      <c r="C296" s="155"/>
      <c r="D296" s="75">
        <v>1</v>
      </c>
      <c r="E296" s="75">
        <v>1</v>
      </c>
      <c r="F296" s="75"/>
      <c r="G296" s="400" t="s">
        <v>246</v>
      </c>
      <c r="H296" s="400" t="s">
        <v>1900</v>
      </c>
      <c r="I296" s="207" t="s">
        <v>1901</v>
      </c>
      <c r="J296" s="121" t="str">
        <f>CONCATENATE(G296," ",H296)</f>
        <v>Marco Cernaz</v>
      </c>
      <c r="K296" s="156">
        <v>3299241066</v>
      </c>
      <c r="L296" s="435"/>
      <c r="M296" s="447" t="s">
        <v>347</v>
      </c>
      <c r="N296" s="448" t="s">
        <v>1902</v>
      </c>
      <c r="O296" s="402"/>
      <c r="P296" s="315"/>
      <c r="Q296" s="160"/>
      <c r="R296" s="403"/>
      <c r="S296" s="160"/>
      <c r="T296" s="404"/>
      <c r="U296" s="315"/>
      <c r="V296" s="315"/>
      <c r="W296" s="315"/>
      <c r="X296" s="131"/>
      <c r="Y296" s="315"/>
      <c r="Z296" s="315"/>
      <c r="AA296" s="315"/>
      <c r="AB296" s="37"/>
      <c r="AC296" s="131"/>
      <c r="AD296" s="121" t="s">
        <v>1903</v>
      </c>
      <c r="AE296" s="88"/>
      <c r="AF296" s="405"/>
      <c r="AG296" s="406"/>
      <c r="AH296" s="406"/>
      <c r="AI296" s="405"/>
      <c r="AJ296" s="155"/>
      <c r="AK296" s="155"/>
      <c r="AL296" s="155"/>
      <c r="AM296" s="407"/>
      <c r="AN296" s="155"/>
      <c r="AO296" s="155"/>
      <c r="AP296" s="155"/>
      <c r="AQ296" s="85"/>
      <c r="AR296" s="259"/>
      <c r="AS296" s="259"/>
      <c r="AT296" s="1987"/>
      <c r="AU296" s="408"/>
      <c r="AV296" s="75"/>
      <c r="AW296" s="121"/>
      <c r="AX296" s="121"/>
      <c r="AY296" s="85"/>
      <c r="AZ296" s="121" t="s">
        <v>115</v>
      </c>
      <c r="BA296" s="121" t="s">
        <v>115</v>
      </c>
      <c r="BB296" s="135" t="s">
        <v>115</v>
      </c>
      <c r="BC296" s="85"/>
      <c r="BD296" s="121"/>
      <c r="BE296" s="121"/>
      <c r="BF296" s="121"/>
      <c r="BG296" s="408"/>
      <c r="BH296" s="238">
        <f>CF296+CI296+CL296+CO296+CR296</f>
        <v>3497.0000000000005</v>
      </c>
      <c r="BI296" s="238">
        <f>CH296+CK296+CN296+CQ296+CT296</f>
        <v>3497.0000000000005</v>
      </c>
      <c r="BJ296" s="238">
        <f>BH296-BI296</f>
        <v>0</v>
      </c>
      <c r="BK296" s="239"/>
      <c r="BL296" s="260"/>
      <c r="BM296" s="241"/>
      <c r="BN296" s="142">
        <v>3497</v>
      </c>
      <c r="BO296" s="182"/>
      <c r="BP296" s="105" t="s">
        <v>184</v>
      </c>
      <c r="BQ296" s="98">
        <v>0.15</v>
      </c>
      <c r="BR296" s="409"/>
      <c r="BS296" s="242">
        <f>BL296*BQ296</f>
        <v>0</v>
      </c>
      <c r="BT296" s="203">
        <f>BM296*BQ296</f>
        <v>0</v>
      </c>
      <c r="BU296" s="167">
        <f>BN296*BQ296</f>
        <v>524.54999999999995</v>
      </c>
      <c r="BV296" s="168">
        <f>BO296*BQ296</f>
        <v>0</v>
      </c>
      <c r="BW296" s="160" t="s">
        <v>185</v>
      </c>
      <c r="BX296" s="105" t="s">
        <v>184</v>
      </c>
      <c r="BY296" s="145">
        <v>0.05</v>
      </c>
      <c r="BZ296" s="262"/>
      <c r="CA296" s="242">
        <f>BL296*BY296</f>
        <v>0</v>
      </c>
      <c r="CB296" s="101">
        <f>BM296*BY296</f>
        <v>0</v>
      </c>
      <c r="CC296" s="106">
        <f>BN296*BY296</f>
        <v>174.85000000000002</v>
      </c>
      <c r="CD296" s="107">
        <f>BO296*BY296</f>
        <v>0</v>
      </c>
      <c r="CE296" s="160" t="s">
        <v>185</v>
      </c>
      <c r="CF296" s="108">
        <f>200/1.22</f>
        <v>163.9344262295082</v>
      </c>
      <c r="CG296" s="109">
        <v>45198</v>
      </c>
      <c r="CH296" s="108">
        <f>200/1.22</f>
        <v>163.9344262295082</v>
      </c>
      <c r="CI296" s="110">
        <f>1720/1.22</f>
        <v>1409.8360655737706</v>
      </c>
      <c r="CJ296" s="226">
        <v>45205</v>
      </c>
      <c r="CK296" s="110">
        <f>1720/1.22</f>
        <v>1409.8360655737706</v>
      </c>
      <c r="CL296" s="110">
        <f>2346.34/1.22</f>
        <v>1923.2295081967216</v>
      </c>
      <c r="CM296" s="226">
        <v>45233</v>
      </c>
      <c r="CN296" s="110">
        <f>2346.34/1.22</f>
        <v>1923.2295081967216</v>
      </c>
      <c r="CO296" s="263"/>
      <c r="CP296" s="263"/>
      <c r="CQ296" s="263"/>
      <c r="CR296" s="263"/>
      <c r="CS296" s="263"/>
      <c r="CT296" s="263"/>
      <c r="CU296" s="90">
        <v>1</v>
      </c>
      <c r="CV296" s="181"/>
      <c r="CW296" s="431"/>
      <c r="CX296" s="431"/>
      <c r="CY296" s="155"/>
      <c r="CZ296" s="121"/>
      <c r="DA296" s="481" t="s">
        <v>1904</v>
      </c>
      <c r="DB296" s="115" t="str">
        <f>PROPER(N296)</f>
        <v>City Media</v>
      </c>
      <c r="DC296" s="280" t="s">
        <v>1905</v>
      </c>
      <c r="DD296" s="116" t="str">
        <f>BP296</f>
        <v>Cristian A</v>
      </c>
      <c r="DE296" s="117">
        <f>IF(OR(D296&gt;0),IF(BJ296=0,BN296*BQ296,0))</f>
        <v>524.54999999999995</v>
      </c>
      <c r="DF296" s="117">
        <f>IF(OR(D296&gt;0),IF(BJ296=0,BN296*BY296,0))</f>
        <v>174.85000000000002</v>
      </c>
      <c r="DG296" s="118" t="str">
        <f>BX296</f>
        <v>Cristian A</v>
      </c>
      <c r="DH296" s="76"/>
      <c r="DI296" s="120" t="s">
        <v>126</v>
      </c>
      <c r="DJ296" s="120"/>
      <c r="DK296" s="74" t="s">
        <v>1418</v>
      </c>
      <c r="DL296" s="74" t="s">
        <v>1418</v>
      </c>
      <c r="DM296" s="122">
        <v>1</v>
      </c>
      <c r="DN296" s="6"/>
      <c r="DO296" s="6"/>
      <c r="DP296" s="6"/>
      <c r="DQ296" s="6"/>
      <c r="DR296" s="6"/>
      <c r="DS296" s="6"/>
      <c r="DT296" s="6"/>
      <c r="DU296" s="6"/>
      <c r="DV296" s="6"/>
      <c r="DW296" s="6"/>
      <c r="DX296" s="6"/>
      <c r="DY296" s="6"/>
      <c r="DZ296" s="6"/>
    </row>
    <row r="297" spans="1:130" ht="34.5" hidden="1" customHeight="1">
      <c r="A297" s="228"/>
      <c r="B297" s="75" t="s">
        <v>1139</v>
      </c>
      <c r="C297" s="155"/>
      <c r="D297" s="75"/>
      <c r="E297" s="75"/>
      <c r="F297" s="75"/>
      <c r="G297" s="181" t="s">
        <v>246</v>
      </c>
      <c r="H297" s="181" t="s">
        <v>1261</v>
      </c>
      <c r="I297" s="382" t="s">
        <v>1262</v>
      </c>
      <c r="J297" s="179" t="str">
        <f>CONCATENATE(G297," ",H297)</f>
        <v>Marco Ciotoli</v>
      </c>
      <c r="K297" s="156">
        <v>3920150975</v>
      </c>
      <c r="L297" s="131" t="s">
        <v>1263</v>
      </c>
      <c r="M297" s="131"/>
      <c r="N297" s="160" t="s">
        <v>1264</v>
      </c>
      <c r="O297" s="250"/>
      <c r="P297" s="251"/>
      <c r="Q297" s="131"/>
      <c r="R297" s="252"/>
      <c r="S297" s="254"/>
      <c r="T297" s="346"/>
      <c r="U297" s="253"/>
      <c r="V297" s="253"/>
      <c r="W297" s="251"/>
      <c r="X297" s="131"/>
      <c r="Y297" s="251"/>
      <c r="Z297" s="251"/>
      <c r="AA297" s="251"/>
      <c r="AB297" s="255"/>
      <c r="AC297" s="256"/>
      <c r="AD297" s="121" t="s">
        <v>1265</v>
      </c>
      <c r="AE297" s="138" t="str">
        <f>L297</f>
        <v>p/to 50% subito, saldo entro venerdì 28 ottobre</v>
      </c>
      <c r="AF297" s="407"/>
      <c r="AG297" s="155"/>
      <c r="AH297" s="155"/>
      <c r="AI297" s="407"/>
      <c r="AJ297" s="155"/>
      <c r="AK297" s="155"/>
      <c r="AL297" s="155"/>
      <c r="AM297" s="407"/>
      <c r="AN297" s="258"/>
      <c r="AO297" s="258"/>
      <c r="AP297" s="258"/>
      <c r="AQ297" s="1982"/>
      <c r="AR297" s="259" t="s">
        <v>115</v>
      </c>
      <c r="AS297" s="259" t="s">
        <v>115</v>
      </c>
      <c r="AT297" s="1989" t="s">
        <v>194</v>
      </c>
      <c r="AU297" s="408"/>
      <c r="AV297" s="1988"/>
      <c r="AW297" s="124"/>
      <c r="AX297" s="121" t="s">
        <v>1266</v>
      </c>
      <c r="AY297" s="1982"/>
      <c r="AZ297" s="121"/>
      <c r="BA297" s="121"/>
      <c r="BB297" s="121" t="s">
        <v>115</v>
      </c>
      <c r="BC297" s="1982"/>
      <c r="BD297" s="121"/>
      <c r="BE297" s="121"/>
      <c r="BF297" s="121"/>
      <c r="BG297" s="408"/>
      <c r="BH297" s="238">
        <f>CF297+CI297+CL297+CO297+CR297</f>
        <v>0</v>
      </c>
      <c r="BI297" s="238">
        <f>CH297+CK297+CN297+CQ297+CT297</f>
        <v>0</v>
      </c>
      <c r="BJ297" s="238">
        <f>BH297-BI297</f>
        <v>0</v>
      </c>
      <c r="BK297" s="239"/>
      <c r="BL297" s="260">
        <f>BH297</f>
        <v>0</v>
      </c>
      <c r="BM297" s="241"/>
      <c r="BN297" s="142"/>
      <c r="BO297" s="182"/>
      <c r="BP297" s="2041" t="s">
        <v>262</v>
      </c>
      <c r="BQ297" s="145">
        <v>0.15</v>
      </c>
      <c r="BR297" s="409"/>
      <c r="BS297" s="242">
        <f>BL297*BQ297</f>
        <v>0</v>
      </c>
      <c r="BT297" s="203">
        <f>BM297*BQ297</f>
        <v>0</v>
      </c>
      <c r="BU297" s="167">
        <f>BN297*BQ297</f>
        <v>0</v>
      </c>
      <c r="BV297" s="168">
        <f>BO297*BQ297</f>
        <v>0</v>
      </c>
      <c r="BW297" s="2042" t="s">
        <v>1205</v>
      </c>
      <c r="BX297" s="105" t="s">
        <v>262</v>
      </c>
      <c r="BY297" s="145">
        <v>0.05</v>
      </c>
      <c r="BZ297" s="262"/>
      <c r="CA297" s="242">
        <f>BH297*BY297</f>
        <v>0</v>
      </c>
      <c r="CB297" s="101">
        <f>BM297*BY297</f>
        <v>0</v>
      </c>
      <c r="CC297" s="106">
        <f>BN297*BY297</f>
        <v>0</v>
      </c>
      <c r="CD297" s="107">
        <f>BO297*BY297</f>
        <v>0</v>
      </c>
      <c r="CE297" s="411" t="s">
        <v>1205</v>
      </c>
      <c r="CF297" s="108"/>
      <c r="CG297" s="109"/>
      <c r="CH297" s="108"/>
      <c r="CI297" s="110"/>
      <c r="CJ297" s="348"/>
      <c r="CK297" s="110"/>
      <c r="CL297" s="110"/>
      <c r="CM297" s="263"/>
      <c r="CN297" s="110"/>
      <c r="CO297" s="110"/>
      <c r="CP297" s="226"/>
      <c r="CQ297" s="110"/>
      <c r="CR297" s="110"/>
      <c r="CS297" s="226"/>
      <c r="CT297" s="110"/>
      <c r="CU297" s="90"/>
      <c r="CV297" s="181"/>
      <c r="CW297" s="181"/>
      <c r="CX297" s="207"/>
      <c r="CY297" s="155" t="s">
        <v>122</v>
      </c>
      <c r="CZ297" s="155"/>
      <c r="DA297" s="131"/>
      <c r="DB297" s="115" t="str">
        <f>PROPER(N297)</f>
        <v>Kromin</v>
      </c>
      <c r="DC297" s="191"/>
      <c r="DD297" s="116" t="str">
        <f>BP297</f>
        <v>Pacci</v>
      </c>
      <c r="DE297" s="117" t="b">
        <f>IF(OR(D297&gt;0),IF(BJ297=0,BN297*BQ297,0))</f>
        <v>0</v>
      </c>
      <c r="DF297" s="117" t="b">
        <f>IF(OR(D297&gt;0),IF(BJ297=0,BN297*BY297,0))</f>
        <v>0</v>
      </c>
      <c r="DG297" s="116" t="str">
        <f>BX297</f>
        <v>Pacci</v>
      </c>
      <c r="DH297" s="76"/>
      <c r="DI297" s="120" t="s">
        <v>126</v>
      </c>
      <c r="DJ297" s="120"/>
      <c r="DK297" s="207"/>
      <c r="DL297" s="207"/>
      <c r="DM297" s="264"/>
      <c r="DN297" s="265"/>
      <c r="DO297" s="265"/>
      <c r="DP297" s="265"/>
      <c r="DQ297" s="265"/>
      <c r="DR297" s="265"/>
      <c r="DS297" s="265"/>
      <c r="DT297" s="265"/>
      <c r="DU297" s="265"/>
      <c r="DV297" s="265"/>
      <c r="DW297" s="265"/>
      <c r="DX297" s="265"/>
      <c r="DY297" s="265"/>
      <c r="DZ297" s="265"/>
    </row>
    <row r="298" spans="1:130" ht="34.5" hidden="1" customHeight="1">
      <c r="A298" s="228"/>
      <c r="B298" s="75" t="s">
        <v>1359</v>
      </c>
      <c r="C298" s="155"/>
      <c r="D298" s="75"/>
      <c r="E298" s="75"/>
      <c r="F298" s="75"/>
      <c r="G298" s="400" t="s">
        <v>343</v>
      </c>
      <c r="H298" s="400" t="s">
        <v>1709</v>
      </c>
      <c r="I298" s="207" t="s">
        <v>1710</v>
      </c>
      <c r="J298" s="155" t="str">
        <f>CONCATENATE(G298," ",H298)</f>
        <v>Domenico Arpino</v>
      </c>
      <c r="K298" s="156">
        <v>3293397719</v>
      </c>
      <c r="L298" s="436" t="s">
        <v>1711</v>
      </c>
      <c r="M298" s="153" t="s">
        <v>1712</v>
      </c>
      <c r="N298" s="160" t="s">
        <v>1713</v>
      </c>
      <c r="O298" s="402"/>
      <c r="P298" s="315"/>
      <c r="Q298" s="160"/>
      <c r="R298" s="403"/>
      <c r="S298" s="160"/>
      <c r="T298" s="404"/>
      <c r="U298" s="315"/>
      <c r="V298" s="315"/>
      <c r="W298" s="315"/>
      <c r="X298" s="131"/>
      <c r="Y298" s="315"/>
      <c r="Z298" s="315"/>
      <c r="AA298" s="315"/>
      <c r="AB298" s="37"/>
      <c r="AC298" s="131"/>
      <c r="AD298" s="121"/>
      <c r="AE298" s="88"/>
      <c r="AF298" s="405"/>
      <c r="AG298" s="406"/>
      <c r="AH298" s="406"/>
      <c r="AI298" s="405"/>
      <c r="AJ298" s="155"/>
      <c r="AK298" s="155"/>
      <c r="AL298" s="155"/>
      <c r="AM298" s="407"/>
      <c r="AN298" s="155"/>
      <c r="AO298" s="155"/>
      <c r="AP298" s="155"/>
      <c r="AQ298" s="85"/>
      <c r="AR298" s="259"/>
      <c r="AS298" s="259"/>
      <c r="AT298" s="3"/>
      <c r="AU298" s="408"/>
      <c r="AV298" s="75"/>
      <c r="AW298" s="121"/>
      <c r="AX298" s="121"/>
      <c r="AY298" s="85"/>
      <c r="AZ298" s="154" t="s">
        <v>165</v>
      </c>
      <c r="BA298" s="154" t="s">
        <v>165</v>
      </c>
      <c r="BB298" s="154" t="s">
        <v>165</v>
      </c>
      <c r="BC298" s="85"/>
      <c r="BD298" s="121"/>
      <c r="BE298" s="121"/>
      <c r="BF298" s="121"/>
      <c r="BG298" s="408"/>
      <c r="BH298" s="238">
        <f>CF298+CI298+CL298+CO298+CR298</f>
        <v>0</v>
      </c>
      <c r="BI298" s="238">
        <f>CH298+CK298+CN298+CQ298+CT298</f>
        <v>0</v>
      </c>
      <c r="BJ298" s="238">
        <f>BH298-BI298</f>
        <v>0</v>
      </c>
      <c r="BK298" s="239"/>
      <c r="BL298" s="260"/>
      <c r="BM298" s="241"/>
      <c r="BN298" s="142"/>
      <c r="BO298" s="182"/>
      <c r="BP298" s="105" t="s">
        <v>690</v>
      </c>
      <c r="BQ298" s="98">
        <v>0.15</v>
      </c>
      <c r="BR298" s="409"/>
      <c r="BS298" s="242">
        <f>BL298*BQ298</f>
        <v>0</v>
      </c>
      <c r="BT298" s="203">
        <f>BM298*BQ298</f>
        <v>0</v>
      </c>
      <c r="BU298" s="167">
        <f>BN298*BQ298</f>
        <v>0</v>
      </c>
      <c r="BV298" s="168">
        <f>BO298*BQ298</f>
        <v>0</v>
      </c>
      <c r="BW298" s="131"/>
      <c r="BX298" s="105" t="s">
        <v>184</v>
      </c>
      <c r="BY298" s="145">
        <v>0.05</v>
      </c>
      <c r="BZ298" s="262"/>
      <c r="CA298" s="242">
        <f>BL298*BY298</f>
        <v>0</v>
      </c>
      <c r="CB298" s="101">
        <f>BM298*BY298</f>
        <v>0</v>
      </c>
      <c r="CC298" s="106">
        <f>BN298*BY298</f>
        <v>0</v>
      </c>
      <c r="CD298" s="107">
        <f>BO298*BY298</f>
        <v>0</v>
      </c>
      <c r="CE298" s="411"/>
      <c r="CF298" s="108"/>
      <c r="CG298" s="109"/>
      <c r="CH298" s="301"/>
      <c r="CI298" s="110"/>
      <c r="CJ298" s="226"/>
      <c r="CK298" s="415"/>
      <c r="CL298" s="415"/>
      <c r="CM298" s="416"/>
      <c r="CN298" s="415"/>
      <c r="CO298" s="263"/>
      <c r="CP298" s="263"/>
      <c r="CQ298" s="263"/>
      <c r="CR298" s="263"/>
      <c r="CS298" s="263"/>
      <c r="CT298" s="263"/>
      <c r="CU298" s="90">
        <v>1</v>
      </c>
      <c r="CV298" s="181"/>
      <c r="CW298" s="181"/>
      <c r="CX298" s="181"/>
      <c r="CY298" s="155"/>
      <c r="CZ298" s="121"/>
      <c r="DA298" s="424"/>
      <c r="DB298" s="115" t="str">
        <f>PROPER(N298)</f>
        <v>Martini Gruppo</v>
      </c>
      <c r="DC298" s="280"/>
      <c r="DD298" s="116" t="str">
        <f>BP298</f>
        <v>MAW</v>
      </c>
      <c r="DE298" s="117" t="b">
        <f>IF(OR(D298&gt;0),IF(BJ298=0,BN298*BQ298,0))</f>
        <v>0</v>
      </c>
      <c r="DF298" s="117" t="b">
        <f>IF(OR(D298&gt;0),IF(BJ298=0,BN298*BY298,0))</f>
        <v>0</v>
      </c>
      <c r="DG298" s="118" t="str">
        <f>BX298</f>
        <v>Cristian A</v>
      </c>
      <c r="DH298" s="76"/>
      <c r="DI298" s="120" t="s">
        <v>154</v>
      </c>
      <c r="DJ298" s="120"/>
      <c r="DK298" s="74" t="s">
        <v>1366</v>
      </c>
      <c r="DL298" s="74" t="s">
        <v>1399</v>
      </c>
      <c r="DM298" s="122"/>
      <c r="DN298" s="6"/>
      <c r="DO298" s="6"/>
      <c r="DP298" s="6"/>
      <c r="DQ298" s="6"/>
      <c r="DR298" s="6"/>
      <c r="DS298" s="6"/>
      <c r="DT298" s="6"/>
      <c r="DU298" s="6"/>
      <c r="DV298" s="6"/>
      <c r="DW298" s="6"/>
      <c r="DX298" s="6"/>
      <c r="DY298" s="6"/>
      <c r="DZ298" s="6"/>
    </row>
    <row r="299" spans="1:130" ht="34.5" hidden="1" customHeight="1">
      <c r="A299" s="228"/>
      <c r="B299" s="371" t="s">
        <v>1359</v>
      </c>
      <c r="C299" s="155"/>
      <c r="D299" s="75"/>
      <c r="E299" s="75"/>
      <c r="F299" s="75"/>
      <c r="G299" s="400" t="s">
        <v>343</v>
      </c>
      <c r="H299" s="400" t="s">
        <v>1714</v>
      </c>
      <c r="I299" s="207" t="s">
        <v>1715</v>
      </c>
      <c r="J299" s="155" t="str">
        <f>CONCATENATE(G299," ",H299)</f>
        <v>Domenico Arrigoni</v>
      </c>
      <c r="K299" s="156">
        <v>3881244618</v>
      </c>
      <c r="L299" s="494" t="s">
        <v>1716</v>
      </c>
      <c r="M299" s="153" t="s">
        <v>514</v>
      </c>
      <c r="N299" s="160" t="s">
        <v>1717</v>
      </c>
      <c r="O299" s="402"/>
      <c r="P299" s="315"/>
      <c r="Q299" s="160"/>
      <c r="R299" s="403"/>
      <c r="S299" s="160"/>
      <c r="T299" s="404"/>
      <c r="U299" s="315"/>
      <c r="V299" s="315"/>
      <c r="W299" s="315"/>
      <c r="X299" s="131"/>
      <c r="Y299" s="315"/>
      <c r="Z299" s="315"/>
      <c r="AA299" s="315"/>
      <c r="AB299" s="37"/>
      <c r="AC299" s="131"/>
      <c r="AD299" s="121"/>
      <c r="AE299" s="88"/>
      <c r="AF299" s="405"/>
      <c r="AG299" s="406"/>
      <c r="AH299" s="406"/>
      <c r="AI299" s="405"/>
      <c r="AJ299" s="155"/>
      <c r="AK299" s="155"/>
      <c r="AL299" s="155"/>
      <c r="AM299" s="407"/>
      <c r="AN299" s="155"/>
      <c r="AO299" s="155"/>
      <c r="AP299" s="155"/>
      <c r="AQ299" s="85"/>
      <c r="AR299" s="259"/>
      <c r="AS299" s="259"/>
      <c r="AT299" s="3"/>
      <c r="AU299" s="408"/>
      <c r="AV299" s="75"/>
      <c r="AW299" s="121"/>
      <c r="AX299" s="121"/>
      <c r="AY299" s="85"/>
      <c r="AZ299" s="154" t="s">
        <v>165</v>
      </c>
      <c r="BA299" s="154" t="s">
        <v>165</v>
      </c>
      <c r="BB299" s="154" t="s">
        <v>165</v>
      </c>
      <c r="BC299" s="85"/>
      <c r="BD299" s="121"/>
      <c r="BE299" s="121"/>
      <c r="BF299" s="121"/>
      <c r="BG299" s="408"/>
      <c r="BH299" s="238">
        <f>CF299+CI299+CL299+CO299+CR299</f>
        <v>0</v>
      </c>
      <c r="BI299" s="238">
        <f>CH299+CK299+CN299+CQ299+CT299</f>
        <v>0</v>
      </c>
      <c r="BJ299" s="238">
        <f>BH299-BI299</f>
        <v>0</v>
      </c>
      <c r="BK299" s="239"/>
      <c r="BL299" s="260"/>
      <c r="BM299" s="241"/>
      <c r="BN299" s="142"/>
      <c r="BO299" s="182"/>
      <c r="BP299" s="105" t="s">
        <v>690</v>
      </c>
      <c r="BQ299" s="98">
        <v>0.15</v>
      </c>
      <c r="BR299" s="409"/>
      <c r="BS299" s="242">
        <f>BL299*BQ299</f>
        <v>0</v>
      </c>
      <c r="BT299" s="203">
        <f>BM299*BQ299</f>
        <v>0</v>
      </c>
      <c r="BU299" s="167">
        <f>BN299*BQ299</f>
        <v>0</v>
      </c>
      <c r="BV299" s="168">
        <f>BO299*BQ299</f>
        <v>0</v>
      </c>
      <c r="BW299" s="131"/>
      <c r="BX299" s="105" t="s">
        <v>525</v>
      </c>
      <c r="BY299" s="145">
        <v>0.05</v>
      </c>
      <c r="BZ299" s="262"/>
      <c r="CA299" s="242">
        <f>BL299*BY299</f>
        <v>0</v>
      </c>
      <c r="CB299" s="101">
        <f>BM299*BY299</f>
        <v>0</v>
      </c>
      <c r="CC299" s="106">
        <f>BN299*BY299</f>
        <v>0</v>
      </c>
      <c r="CD299" s="107">
        <f>BO299*BY299</f>
        <v>0</v>
      </c>
      <c r="CE299" s="411"/>
      <c r="CF299" s="108"/>
      <c r="CG299" s="109"/>
      <c r="CH299" s="414"/>
      <c r="CI299" s="415"/>
      <c r="CJ299" s="416"/>
      <c r="CK299" s="415"/>
      <c r="CL299" s="415"/>
      <c r="CM299" s="416"/>
      <c r="CN299" s="415"/>
      <c r="CO299" s="263"/>
      <c r="CP299" s="263"/>
      <c r="CQ299" s="263"/>
      <c r="CR299" s="263"/>
      <c r="CS299" s="263"/>
      <c r="CT299" s="263"/>
      <c r="CU299" s="90">
        <v>1</v>
      </c>
      <c r="CV299" s="181"/>
      <c r="CW299" s="181"/>
      <c r="CX299" s="181"/>
      <c r="CY299" s="155"/>
      <c r="CZ299" s="121"/>
      <c r="DA299" s="428" t="s">
        <v>501</v>
      </c>
      <c r="DB299" s="115" t="str">
        <f>PROPER(N299)</f>
        <v>Nicro</v>
      </c>
      <c r="DC299" s="280" t="s">
        <v>1718</v>
      </c>
      <c r="DD299" s="116" t="str">
        <f>BP299</f>
        <v>MAW</v>
      </c>
      <c r="DE299" s="117" t="b">
        <f>IF(OR(D299&gt;0),IF(BJ299=0,BN299*BQ299,0))</f>
        <v>0</v>
      </c>
      <c r="DF299" s="117" t="b">
        <f>IF(OR(D299&gt;0),IF(BJ299=0,BN299*BY299,0))</f>
        <v>0</v>
      </c>
      <c r="DG299" s="118" t="str">
        <f>BX299</f>
        <v>Bruno</v>
      </c>
      <c r="DH299" s="76"/>
      <c r="DI299" s="120" t="s">
        <v>154</v>
      </c>
      <c r="DJ299" s="120"/>
      <c r="DK299" s="74" t="s">
        <v>1399</v>
      </c>
      <c r="DL299" s="74" t="s">
        <v>1399</v>
      </c>
      <c r="DM299" s="122">
        <v>1</v>
      </c>
      <c r="DN299" s="6"/>
      <c r="DO299" s="6"/>
      <c r="DP299" s="6"/>
      <c r="DQ299" s="6"/>
      <c r="DR299" s="6"/>
      <c r="DS299" s="6"/>
      <c r="DT299" s="6"/>
      <c r="DU299" s="6"/>
      <c r="DV299" s="6"/>
      <c r="DW299" s="6"/>
      <c r="DX299" s="6"/>
      <c r="DY299" s="6"/>
      <c r="DZ299" s="6"/>
    </row>
    <row r="300" spans="1:130" ht="34.5" hidden="1" customHeight="1">
      <c r="A300" s="228"/>
      <c r="B300" s="75" t="s">
        <v>1928</v>
      </c>
      <c r="C300" s="121"/>
      <c r="D300" s="75">
        <v>1</v>
      </c>
      <c r="E300" s="75"/>
      <c r="F300" s="75"/>
      <c r="G300" s="181" t="s">
        <v>246</v>
      </c>
      <c r="H300" s="181" t="s">
        <v>2528</v>
      </c>
      <c r="I300" s="181" t="s">
        <v>2529</v>
      </c>
      <c r="J300" s="121" t="str">
        <f>CONCATENATE(G300," ",H300)</f>
        <v>Marco Gianesini</v>
      </c>
      <c r="K300" s="181">
        <v>3299293872</v>
      </c>
      <c r="L300" s="636" t="s">
        <v>2530</v>
      </c>
      <c r="M300" s="301" t="s">
        <v>2531</v>
      </c>
      <c r="N300" s="160" t="s">
        <v>2532</v>
      </c>
      <c r="O300" s="556"/>
      <c r="P300" s="314"/>
      <c r="Q300" s="37"/>
      <c r="R300" s="131"/>
      <c r="S300" s="160"/>
      <c r="T300" s="404"/>
      <c r="U300" s="315"/>
      <c r="V300" s="315"/>
      <c r="W300" s="316"/>
      <c r="X300" s="234"/>
      <c r="Y300" s="316"/>
      <c r="Z300" s="316"/>
      <c r="AA300" s="316"/>
      <c r="AB300" s="37"/>
      <c r="AC300" s="37"/>
      <c r="AD300" s="37" t="s">
        <v>118</v>
      </c>
      <c r="AE300" s="138" t="str">
        <f>L300</f>
        <v>A Vendita Strategica NOVEMBRE 23 sarà solo il venerdì (anche senza posto in sala)</v>
      </c>
      <c r="AF300" s="407"/>
      <c r="AG300" s="121"/>
      <c r="AH300" s="121"/>
      <c r="AI300" s="407"/>
      <c r="AJ300" s="121"/>
      <c r="AK300" s="121"/>
      <c r="AL300" s="121"/>
      <c r="AM300" s="407"/>
      <c r="AN300" s="155"/>
      <c r="AO300" s="155"/>
      <c r="AP300" s="155"/>
      <c r="AQ300" s="1982"/>
      <c r="AR300" s="259"/>
      <c r="AS300" s="259"/>
      <c r="AT300" s="1987"/>
      <c r="AU300" s="408"/>
      <c r="AV300" s="121"/>
      <c r="AW300" s="121"/>
      <c r="AX300" s="121"/>
      <c r="AY300" s="1982"/>
      <c r="AZ300" s="121" t="s">
        <v>116</v>
      </c>
      <c r="BA300" s="177" t="s">
        <v>116</v>
      </c>
      <c r="BB300" s="162" t="s">
        <v>116</v>
      </c>
      <c r="BC300" s="1982"/>
      <c r="BD300" s="121"/>
      <c r="BE300" s="121"/>
      <c r="BF300" s="121"/>
      <c r="BG300" s="408"/>
      <c r="BH300" s="238"/>
      <c r="BI300" s="238"/>
      <c r="BJ300" s="238"/>
      <c r="BK300" s="239"/>
      <c r="BL300" s="260"/>
      <c r="BM300" s="241">
        <v>2997</v>
      </c>
      <c r="BN300" s="142"/>
      <c r="BO300" s="182"/>
      <c r="BP300" s="281"/>
      <c r="BQ300" s="98"/>
      <c r="BR300" s="409">
        <f>BH300*BQ300</f>
        <v>0</v>
      </c>
      <c r="BS300" s="242"/>
      <c r="BT300" s="203">
        <v>0</v>
      </c>
      <c r="BU300" s="167">
        <f>BN300*BQ300</f>
        <v>0</v>
      </c>
      <c r="BV300" s="168">
        <f>BO300*BQ300</f>
        <v>0</v>
      </c>
      <c r="BW300" s="243"/>
      <c r="BX300" s="275"/>
      <c r="BY300" s="145"/>
      <c r="BZ300" s="262"/>
      <c r="CA300" s="242"/>
      <c r="CB300" s="101">
        <v>0</v>
      </c>
      <c r="CC300" s="106">
        <f>BN300*BY300</f>
        <v>0</v>
      </c>
      <c r="CD300" s="107">
        <f>BO300*BY300</f>
        <v>0</v>
      </c>
      <c r="CE300" s="244"/>
      <c r="CF300" s="108"/>
      <c r="CG300" s="109"/>
      <c r="CH300" s="108"/>
      <c r="CI300" s="110"/>
      <c r="CJ300" s="226"/>
      <c r="CK300" s="206"/>
      <c r="CL300" s="206"/>
      <c r="CM300" s="226"/>
      <c r="CN300" s="206"/>
      <c r="CO300" s="206"/>
      <c r="CP300" s="206"/>
      <c r="CQ300" s="206"/>
      <c r="CR300" s="206"/>
      <c r="CS300" s="206"/>
      <c r="CT300" s="206"/>
      <c r="CU300" s="90">
        <v>1</v>
      </c>
      <c r="CV300" s="181"/>
      <c r="CW300" s="112"/>
      <c r="CX300" s="1832"/>
      <c r="CY300" s="155"/>
      <c r="CZ300" s="155"/>
      <c r="DA300" s="2141" t="s">
        <v>2533</v>
      </c>
      <c r="DB300" s="115" t="s">
        <v>2532</v>
      </c>
      <c r="DC300" s="191" t="s">
        <v>237</v>
      </c>
      <c r="DD300" s="116">
        <f>BP300</f>
        <v>0</v>
      </c>
      <c r="DE300" s="117">
        <f>IF(OR(D300&gt;0),IF(BJ300=0,BN300*BQ300,0))</f>
        <v>0</v>
      </c>
      <c r="DF300" s="117">
        <f>IF(OR(D300&gt;0),IF(BJ300=0,BN300*BY300,0))</f>
        <v>0</v>
      </c>
      <c r="DG300" s="113">
        <f>BX300</f>
        <v>0</v>
      </c>
      <c r="DH300" s="510"/>
      <c r="DI300" s="120" t="s">
        <v>126</v>
      </c>
      <c r="DJ300" s="120"/>
      <c r="DK300" s="207"/>
      <c r="DL300" s="207"/>
      <c r="DM300" s="248"/>
    </row>
    <row r="301" spans="1:130" ht="34.5" hidden="1" customHeight="1">
      <c r="A301" s="228"/>
      <c r="B301" s="75" t="s">
        <v>1359</v>
      </c>
      <c r="C301" s="155"/>
      <c r="D301" s="75"/>
      <c r="E301" s="75"/>
      <c r="F301" s="75"/>
      <c r="G301" s="400" t="s">
        <v>1723</v>
      </c>
      <c r="H301" s="400" t="s">
        <v>1724</v>
      </c>
      <c r="I301" s="207" t="s">
        <v>1725</v>
      </c>
      <c r="J301" s="155" t="str">
        <f>CONCATENATE(G301," ",H301)</f>
        <v>Dora Binnella</v>
      </c>
      <c r="K301" s="156">
        <v>3483262936</v>
      </c>
      <c r="L301" s="435"/>
      <c r="M301" s="153" t="s">
        <v>1148</v>
      </c>
      <c r="N301" s="160" t="s">
        <v>1726</v>
      </c>
      <c r="O301" s="402"/>
      <c r="P301" s="315"/>
      <c r="Q301" s="160"/>
      <c r="R301" s="403"/>
      <c r="S301" s="160"/>
      <c r="T301" s="404"/>
      <c r="U301" s="315"/>
      <c r="V301" s="315"/>
      <c r="W301" s="315"/>
      <c r="X301" s="131"/>
      <c r="Y301" s="315"/>
      <c r="Z301" s="315"/>
      <c r="AA301" s="315"/>
      <c r="AB301" s="37"/>
      <c r="AC301" s="131"/>
      <c r="AD301" s="121" t="s">
        <v>1727</v>
      </c>
      <c r="AE301" s="88"/>
      <c r="AF301" s="405"/>
      <c r="AG301" s="406"/>
      <c r="AH301" s="406"/>
      <c r="AI301" s="405"/>
      <c r="AJ301" s="155"/>
      <c r="AK301" s="155"/>
      <c r="AL301" s="155"/>
      <c r="AM301" s="407"/>
      <c r="AN301" s="155"/>
      <c r="AO301" s="155"/>
      <c r="AP301" s="155"/>
      <c r="AQ301" s="85"/>
      <c r="AR301" s="259"/>
      <c r="AS301" s="259"/>
      <c r="AT301" s="3"/>
      <c r="AU301" s="408"/>
      <c r="AV301" s="75"/>
      <c r="AW301" s="121"/>
      <c r="AX301" s="121"/>
      <c r="AY301" s="85"/>
      <c r="AZ301" s="121"/>
      <c r="BA301" s="121"/>
      <c r="BB301" s="121"/>
      <c r="BC301" s="85"/>
      <c r="BD301" s="121" t="s">
        <v>245</v>
      </c>
      <c r="BE301" s="121" t="s">
        <v>245</v>
      </c>
      <c r="BF301" s="121" t="s">
        <v>245</v>
      </c>
      <c r="BG301" s="408"/>
      <c r="BH301" s="238">
        <f>CF301+CI301+CL301+CO301+CR301</f>
        <v>3497</v>
      </c>
      <c r="BI301" s="238">
        <f>CH301+CK301+CN301+CQ301+CT301</f>
        <v>163.9344262295082</v>
      </c>
      <c r="BJ301" s="238">
        <f>BH301-BI301</f>
        <v>3333.0655737704919</v>
      </c>
      <c r="BK301" s="239"/>
      <c r="BL301" s="260"/>
      <c r="BM301" s="241"/>
      <c r="BN301" s="142"/>
      <c r="BO301" s="182">
        <f>(200+4066.34)/1.22</f>
        <v>3497</v>
      </c>
      <c r="BP301" s="105" t="s">
        <v>262</v>
      </c>
      <c r="BQ301" s="98">
        <v>0.15</v>
      </c>
      <c r="BR301" s="409"/>
      <c r="BS301" s="242">
        <f>BL301*BQ301</f>
        <v>0</v>
      </c>
      <c r="BT301" s="203">
        <f>BM301*BQ301</f>
        <v>0</v>
      </c>
      <c r="BU301" s="167">
        <f>BN301*BQ301</f>
        <v>0</v>
      </c>
      <c r="BV301" s="168">
        <f>BO301*BQ301</f>
        <v>524.54999999999995</v>
      </c>
      <c r="BW301" s="131"/>
      <c r="BX301" s="105" t="s">
        <v>262</v>
      </c>
      <c r="BY301" s="145">
        <v>0.05</v>
      </c>
      <c r="BZ301" s="262"/>
      <c r="CA301" s="242">
        <f>BL301*BY301</f>
        <v>0</v>
      </c>
      <c r="CB301" s="101">
        <f>BM301*BY301</f>
        <v>0</v>
      </c>
      <c r="CC301" s="106">
        <f>BN301*BY301</f>
        <v>0</v>
      </c>
      <c r="CD301" s="107">
        <f>BO301*BY301</f>
        <v>174.85000000000002</v>
      </c>
      <c r="CE301" s="411"/>
      <c r="CF301" s="108">
        <f>200/1.22</f>
        <v>163.9344262295082</v>
      </c>
      <c r="CG301" s="109">
        <v>45198</v>
      </c>
      <c r="CH301" s="108">
        <f>200/1.22</f>
        <v>163.9344262295082</v>
      </c>
      <c r="CI301" s="110">
        <f>4066.34/1.22</f>
        <v>3333.0655737704919</v>
      </c>
      <c r="CJ301" s="226">
        <v>45408</v>
      </c>
      <c r="CK301" s="415"/>
      <c r="CL301" s="415"/>
      <c r="CM301" s="416"/>
      <c r="CN301" s="415"/>
      <c r="CO301" s="263"/>
      <c r="CP301" s="263"/>
      <c r="CQ301" s="263"/>
      <c r="CR301" s="263"/>
      <c r="CS301" s="263"/>
      <c r="CT301" s="263"/>
      <c r="CU301" s="90">
        <v>1</v>
      </c>
      <c r="CV301" s="181"/>
      <c r="CW301" s="181"/>
      <c r="CX301" s="181"/>
      <c r="CY301" s="155"/>
      <c r="CZ301" s="121"/>
      <c r="DA301" s="424" t="s">
        <v>1728</v>
      </c>
      <c r="DB301" s="115" t="str">
        <f>PROPER(N301)</f>
        <v>Studio Dora Binnella</v>
      </c>
      <c r="DC301" s="280" t="s">
        <v>1729</v>
      </c>
      <c r="DD301" s="116" t="str">
        <f>BP301</f>
        <v>Pacci</v>
      </c>
      <c r="DE301" s="117" t="b">
        <f>IF(OR(D301&gt;0),IF(BJ301=0,BN301*BQ301,0))</f>
        <v>0</v>
      </c>
      <c r="DF301" s="117" t="b">
        <f>IF(OR(D301&gt;0),IF(BJ301=0,BN301*BY301,0))</f>
        <v>0</v>
      </c>
      <c r="DG301" s="118" t="str">
        <f>BX301</f>
        <v>Pacci</v>
      </c>
      <c r="DH301" s="76"/>
      <c r="DI301" s="120" t="s">
        <v>154</v>
      </c>
      <c r="DJ301" s="120"/>
      <c r="DK301" s="74" t="s">
        <v>1366</v>
      </c>
      <c r="DL301" s="74" t="s">
        <v>1366</v>
      </c>
      <c r="DM301" s="122"/>
      <c r="DN301" s="6"/>
      <c r="DO301" s="6"/>
      <c r="DP301" s="6"/>
      <c r="DQ301" s="6"/>
      <c r="DR301" s="6"/>
      <c r="DS301" s="6"/>
      <c r="DT301" s="6"/>
      <c r="DU301" s="6"/>
      <c r="DV301" s="6"/>
      <c r="DW301" s="6"/>
      <c r="DX301" s="6"/>
      <c r="DY301" s="6"/>
      <c r="DZ301" s="6"/>
    </row>
    <row r="302" spans="1:130" ht="34.5" hidden="1" customHeight="1">
      <c r="A302" s="228"/>
      <c r="B302" s="75" t="s">
        <v>1359</v>
      </c>
      <c r="C302" s="155"/>
      <c r="D302" s="75"/>
      <c r="E302" s="75"/>
      <c r="F302" s="75"/>
      <c r="G302" s="400" t="s">
        <v>1730</v>
      </c>
      <c r="H302" s="400" t="s">
        <v>1731</v>
      </c>
      <c r="I302" s="207" t="s">
        <v>1732</v>
      </c>
      <c r="J302" s="155" t="str">
        <f>CONCATENATE(G302," ",H302)</f>
        <v>Nicoletta Campi</v>
      </c>
      <c r="K302" s="156">
        <v>3513053822</v>
      </c>
      <c r="L302" s="435"/>
      <c r="M302" s="153" t="s">
        <v>514</v>
      </c>
      <c r="N302" s="160" t="s">
        <v>1726</v>
      </c>
      <c r="O302" s="402"/>
      <c r="P302" s="315"/>
      <c r="Q302" s="160"/>
      <c r="R302" s="403"/>
      <c r="S302" s="160"/>
      <c r="T302" s="404"/>
      <c r="U302" s="315"/>
      <c r="V302" s="315"/>
      <c r="W302" s="315"/>
      <c r="X302" s="131"/>
      <c r="Y302" s="315"/>
      <c r="Z302" s="315"/>
      <c r="AA302" s="315"/>
      <c r="AB302" s="37"/>
      <c r="AC302" s="131"/>
      <c r="AD302" s="121" t="s">
        <v>1727</v>
      </c>
      <c r="AE302" s="88"/>
      <c r="AF302" s="405"/>
      <c r="AG302" s="406"/>
      <c r="AH302" s="406"/>
      <c r="AI302" s="405"/>
      <c r="AJ302" s="155"/>
      <c r="AK302" s="155"/>
      <c r="AL302" s="155"/>
      <c r="AM302" s="407"/>
      <c r="AN302" s="155"/>
      <c r="AO302" s="155"/>
      <c r="AP302" s="155"/>
      <c r="AQ302" s="85"/>
      <c r="AR302" s="121"/>
      <c r="AS302" s="121"/>
      <c r="AT302" s="121"/>
      <c r="AU302" s="408"/>
      <c r="AV302" s="121"/>
      <c r="AW302" s="121"/>
      <c r="AX302" s="121"/>
      <c r="AY302" s="85"/>
      <c r="AZ302" s="121"/>
      <c r="BA302" s="121"/>
      <c r="BB302" s="121"/>
      <c r="BC302" s="85"/>
      <c r="BD302" s="121" t="s">
        <v>245</v>
      </c>
      <c r="BE302" s="121" t="s">
        <v>245</v>
      </c>
      <c r="BF302" s="121" t="s">
        <v>245</v>
      </c>
      <c r="BG302" s="408"/>
      <c r="BH302" s="238">
        <f>CF302+CI302+CL302+CO302+CR302</f>
        <v>3497</v>
      </c>
      <c r="BI302" s="238">
        <f>CH302+CK302+CN302+CQ302+CT302</f>
        <v>163.9344262295082</v>
      </c>
      <c r="BJ302" s="238">
        <f>BH302-BI302</f>
        <v>3333.0655737704919</v>
      </c>
      <c r="BK302" s="239"/>
      <c r="BL302" s="260"/>
      <c r="BM302" s="241"/>
      <c r="BN302" s="142"/>
      <c r="BO302" s="182">
        <f>(200+4066.34)/1.22</f>
        <v>3497</v>
      </c>
      <c r="BP302" s="105" t="s">
        <v>262</v>
      </c>
      <c r="BQ302" s="98">
        <v>0.15</v>
      </c>
      <c r="BR302" s="409"/>
      <c r="BS302" s="242">
        <f>BL302*BQ302</f>
        <v>0</v>
      </c>
      <c r="BT302" s="203">
        <f>BM302*BQ302</f>
        <v>0</v>
      </c>
      <c r="BU302" s="167">
        <f>BN302*BQ302</f>
        <v>0</v>
      </c>
      <c r="BV302" s="168">
        <f>BO302*BQ302</f>
        <v>524.54999999999995</v>
      </c>
      <c r="BW302" s="131"/>
      <c r="BX302" s="105" t="s">
        <v>262</v>
      </c>
      <c r="BY302" s="145">
        <v>0.05</v>
      </c>
      <c r="BZ302" s="262"/>
      <c r="CA302" s="242">
        <f>BL302*BY302</f>
        <v>0</v>
      </c>
      <c r="CB302" s="101">
        <f>BM302*BY302</f>
        <v>0</v>
      </c>
      <c r="CC302" s="106">
        <f>BN302*BY302</f>
        <v>0</v>
      </c>
      <c r="CD302" s="107">
        <f>BO302*BY302</f>
        <v>174.85000000000002</v>
      </c>
      <c r="CE302" s="411"/>
      <c r="CF302" s="108">
        <f>200/1.22</f>
        <v>163.9344262295082</v>
      </c>
      <c r="CG302" s="109">
        <v>45198</v>
      </c>
      <c r="CH302" s="108">
        <f>200/1.22</f>
        <v>163.9344262295082</v>
      </c>
      <c r="CI302" s="110">
        <f>4066.34/1.22</f>
        <v>3333.0655737704919</v>
      </c>
      <c r="CJ302" s="226">
        <v>45408</v>
      </c>
      <c r="CK302" s="415"/>
      <c r="CL302" s="415"/>
      <c r="CM302" s="416"/>
      <c r="CN302" s="415"/>
      <c r="CO302" s="263"/>
      <c r="CP302" s="263"/>
      <c r="CQ302" s="263"/>
      <c r="CR302" s="263"/>
      <c r="CS302" s="263"/>
      <c r="CT302" s="263"/>
      <c r="CU302" s="90">
        <v>1</v>
      </c>
      <c r="CV302" s="181"/>
      <c r="CW302" s="438"/>
      <c r="CX302" s="439"/>
      <c r="CY302" s="155"/>
      <c r="CZ302" s="121"/>
      <c r="DA302" s="424" t="s">
        <v>1728</v>
      </c>
      <c r="DB302" s="115" t="str">
        <f>PROPER(N302)</f>
        <v>Studio Dora Binnella</v>
      </c>
      <c r="DC302" s="280" t="s">
        <v>1729</v>
      </c>
      <c r="DD302" s="116" t="str">
        <f>BP302</f>
        <v>Pacci</v>
      </c>
      <c r="DE302" s="117" t="b">
        <f>IF(OR(D302&gt;0),IF(BJ302=0,BN302*BQ302,0))</f>
        <v>0</v>
      </c>
      <c r="DF302" s="117" t="b">
        <f>IF(OR(D302&gt;0),IF(BJ302=0,BN302*BY302,0))</f>
        <v>0</v>
      </c>
      <c r="DG302" s="118" t="str">
        <f>BX302</f>
        <v>Pacci</v>
      </c>
      <c r="DH302" s="76"/>
      <c r="DI302" s="120" t="s">
        <v>154</v>
      </c>
      <c r="DJ302" s="120"/>
      <c r="DK302" s="74" t="s">
        <v>1366</v>
      </c>
      <c r="DL302" s="74" t="s">
        <v>1366</v>
      </c>
      <c r="DM302" s="122"/>
      <c r="DN302" s="6"/>
      <c r="DO302" s="6"/>
      <c r="DP302" s="6"/>
      <c r="DQ302" s="6"/>
      <c r="DR302" s="6"/>
      <c r="DS302" s="6"/>
      <c r="DT302" s="6"/>
      <c r="DU302" s="6"/>
      <c r="DV302" s="6"/>
      <c r="DW302" s="6"/>
      <c r="DX302" s="6"/>
      <c r="DY302" s="6"/>
      <c r="DZ302" s="6"/>
    </row>
    <row r="303" spans="1:130" ht="34.5" hidden="1" customHeight="1">
      <c r="A303" s="228"/>
      <c r="B303" s="371" t="s">
        <v>1359</v>
      </c>
      <c r="C303" s="155"/>
      <c r="D303" s="75"/>
      <c r="E303" s="75"/>
      <c r="F303" s="75"/>
      <c r="G303" s="400" t="s">
        <v>1733</v>
      </c>
      <c r="H303" s="400" t="s">
        <v>1734</v>
      </c>
      <c r="I303" s="207" t="s">
        <v>1735</v>
      </c>
      <c r="J303" s="155" t="str">
        <f>CONCATENATE(G303," ",H303)</f>
        <v>Elisabetta Presotto</v>
      </c>
      <c r="K303" s="156">
        <v>3385246868</v>
      </c>
      <c r="L303" s="152" t="s">
        <v>1736</v>
      </c>
      <c r="M303" s="153"/>
      <c r="N303" s="160" t="s">
        <v>1737</v>
      </c>
      <c r="O303" s="402"/>
      <c r="P303" s="315"/>
      <c r="Q303" s="160"/>
      <c r="R303" s="403"/>
      <c r="S303" s="160"/>
      <c r="T303" s="404"/>
      <c r="U303" s="315"/>
      <c r="V303" s="315"/>
      <c r="W303" s="315"/>
      <c r="X303" s="131"/>
      <c r="Y303" s="315"/>
      <c r="Z303" s="315"/>
      <c r="AA303" s="315"/>
      <c r="AB303" s="37"/>
      <c r="AC303" s="131"/>
      <c r="AD303" s="121"/>
      <c r="AE303" s="88"/>
      <c r="AF303" s="405"/>
      <c r="AG303" s="406"/>
      <c r="AH303" s="406"/>
      <c r="AI303" s="405"/>
      <c r="AJ303" s="155"/>
      <c r="AK303" s="155"/>
      <c r="AL303" s="155"/>
      <c r="AM303" s="407"/>
      <c r="AN303" s="155"/>
      <c r="AO303" s="155"/>
      <c r="AP303" s="155"/>
      <c r="AQ303" s="85"/>
      <c r="AR303" s="259"/>
      <c r="AS303" s="259"/>
      <c r="AT303" s="3"/>
      <c r="AU303" s="408"/>
      <c r="AV303" s="75"/>
      <c r="AW303" s="121"/>
      <c r="AX303" s="121"/>
      <c r="AY303" s="85"/>
      <c r="AZ303" s="121"/>
      <c r="BA303" s="121"/>
      <c r="BB303" s="121"/>
      <c r="BC303" s="85"/>
      <c r="BD303" s="121" t="s">
        <v>151</v>
      </c>
      <c r="BE303" s="121" t="s">
        <v>151</v>
      </c>
      <c r="BF303" s="121" t="s">
        <v>151</v>
      </c>
      <c r="BG303" s="408"/>
      <c r="BH303" s="238">
        <f>CF303+CI303+CL303+CO303+CR303</f>
        <v>0</v>
      </c>
      <c r="BI303" s="238">
        <f>CH303+CK303+CN303+CQ303+CT303</f>
        <v>0</v>
      </c>
      <c r="BJ303" s="238">
        <f>BH303-BI303</f>
        <v>0</v>
      </c>
      <c r="BK303" s="239"/>
      <c r="BL303" s="260"/>
      <c r="BM303" s="241"/>
      <c r="BN303" s="142"/>
      <c r="BO303" s="182"/>
      <c r="BP303" s="105" t="s">
        <v>414</v>
      </c>
      <c r="BQ303" s="98">
        <v>0.15</v>
      </c>
      <c r="BR303" s="409"/>
      <c r="BS303" s="242">
        <f>BL303*BQ303</f>
        <v>0</v>
      </c>
      <c r="BT303" s="203">
        <f>BM303*BQ303</f>
        <v>0</v>
      </c>
      <c r="BU303" s="167">
        <f>BN303*BQ303</f>
        <v>0</v>
      </c>
      <c r="BV303" s="168">
        <f>BO303*BQ303</f>
        <v>0</v>
      </c>
      <c r="BW303" s="131"/>
      <c r="BX303" s="105" t="s">
        <v>414</v>
      </c>
      <c r="BY303" s="145">
        <v>0.05</v>
      </c>
      <c r="BZ303" s="262"/>
      <c r="CA303" s="242">
        <f>BL303*BY303</f>
        <v>0</v>
      </c>
      <c r="CB303" s="101">
        <f>BM303*BY303</f>
        <v>0</v>
      </c>
      <c r="CC303" s="106">
        <f>BN303*BY303</f>
        <v>0</v>
      </c>
      <c r="CD303" s="107">
        <f>BO303*BY303</f>
        <v>0</v>
      </c>
      <c r="CE303" s="411"/>
      <c r="CF303" s="108">
        <v>0</v>
      </c>
      <c r="CG303" s="130" t="s">
        <v>153</v>
      </c>
      <c r="CH303" s="301"/>
      <c r="CI303" s="110"/>
      <c r="CJ303" s="226"/>
      <c r="CK303" s="415"/>
      <c r="CL303" s="415"/>
      <c r="CM303" s="416"/>
      <c r="CN303" s="415"/>
      <c r="CO303" s="263"/>
      <c r="CP303" s="263"/>
      <c r="CQ303" s="263"/>
      <c r="CR303" s="263"/>
      <c r="CS303" s="263"/>
      <c r="CT303" s="263"/>
      <c r="CU303" s="90">
        <v>1</v>
      </c>
      <c r="CV303" s="181"/>
      <c r="CW303" s="181"/>
      <c r="CX303" s="181"/>
      <c r="CY303" s="155"/>
      <c r="CZ303" s="121"/>
      <c r="DA303" s="424"/>
      <c r="DB303" s="115" t="str">
        <f>PROPER(N303)</f>
        <v>Studio Presotto</v>
      </c>
      <c r="DC303" s="280" t="s">
        <v>264</v>
      </c>
      <c r="DD303" s="116" t="str">
        <f>BP303</f>
        <v>Barbara</v>
      </c>
      <c r="DE303" s="117" t="b">
        <f>IF(OR(D303&gt;0),IF(BJ303=0,BN303*BQ303,0))</f>
        <v>0</v>
      </c>
      <c r="DF303" s="117" t="b">
        <f>IF(OR(D303&gt;0),IF(BJ303=0,BN303*BY303,0))</f>
        <v>0</v>
      </c>
      <c r="DG303" s="118" t="str">
        <f>BX303</f>
        <v>Barbara</v>
      </c>
      <c r="DH303" s="76"/>
      <c r="DI303" s="120" t="s">
        <v>154</v>
      </c>
      <c r="DJ303" s="120"/>
      <c r="DK303" s="74" t="s">
        <v>1366</v>
      </c>
      <c r="DL303" s="74" t="s">
        <v>1366</v>
      </c>
      <c r="DM303" s="122"/>
      <c r="DN303" s="6"/>
      <c r="DO303" s="6"/>
      <c r="DP303" s="6"/>
      <c r="DQ303" s="6"/>
      <c r="DR303" s="6"/>
      <c r="DS303" s="6"/>
      <c r="DT303" s="6"/>
      <c r="DU303" s="6"/>
      <c r="DV303" s="6"/>
      <c r="DW303" s="6"/>
      <c r="DX303" s="6"/>
      <c r="DY303" s="6"/>
      <c r="DZ303" s="6"/>
    </row>
    <row r="304" spans="1:130" ht="34.5" hidden="1" customHeight="1">
      <c r="A304" s="228"/>
      <c r="B304" s="75" t="s">
        <v>2405</v>
      </c>
      <c r="C304" s="155"/>
      <c r="D304" s="75"/>
      <c r="E304" s="75"/>
      <c r="F304" s="75"/>
      <c r="G304" s="181" t="s">
        <v>246</v>
      </c>
      <c r="H304" s="181" t="s">
        <v>2406</v>
      </c>
      <c r="I304" s="207" t="s">
        <v>2407</v>
      </c>
      <c r="J304" s="121" t="str">
        <f>CONCATENATE(G304," ",H304)</f>
        <v>Marco Regazzo</v>
      </c>
      <c r="K304" s="224">
        <v>3461081171</v>
      </c>
      <c r="L304" s="131"/>
      <c r="M304" s="289"/>
      <c r="N304" s="160" t="s">
        <v>1106</v>
      </c>
      <c r="O304" s="556"/>
      <c r="P304" s="328" t="s">
        <v>2408</v>
      </c>
      <c r="Q304" s="255" t="s">
        <v>2408</v>
      </c>
      <c r="R304" s="289" t="s">
        <v>2409</v>
      </c>
      <c r="S304" s="598" t="s">
        <v>2410</v>
      </c>
      <c r="T304" s="1954"/>
      <c r="U304" s="296"/>
      <c r="V304" s="296"/>
      <c r="W304" s="329"/>
      <c r="X304" s="131" t="s">
        <v>2411</v>
      </c>
      <c r="Y304" s="329"/>
      <c r="Z304" s="329"/>
      <c r="AA304" s="329"/>
      <c r="AB304" s="255" t="s">
        <v>2412</v>
      </c>
      <c r="AC304" s="131"/>
      <c r="AD304" s="255"/>
      <c r="AE304" s="161"/>
      <c r="AF304" s="405"/>
      <c r="AG304" s="516"/>
      <c r="AH304" s="516"/>
      <c r="AI304" s="405"/>
      <c r="AJ304" s="155" t="s">
        <v>115</v>
      </c>
      <c r="AK304" s="155"/>
      <c r="AL304" s="155"/>
      <c r="AM304" s="405"/>
      <c r="AN304" s="155"/>
      <c r="AO304" s="155" t="s">
        <v>27</v>
      </c>
      <c r="AP304" s="155" t="s">
        <v>27</v>
      </c>
      <c r="AQ304" s="1981"/>
      <c r="AR304" s="259"/>
      <c r="AS304" s="259"/>
      <c r="AT304" s="1987"/>
      <c r="AU304" s="1990"/>
      <c r="AV304" s="75"/>
      <c r="AW304" s="153"/>
      <c r="AX304" s="121"/>
      <c r="AY304" s="1981"/>
      <c r="AZ304" s="121"/>
      <c r="BA304" s="154" t="s">
        <v>194</v>
      </c>
      <c r="BB304" s="121" t="s">
        <v>115</v>
      </c>
      <c r="BC304" s="1981"/>
      <c r="BD304" s="121"/>
      <c r="BE304" s="121"/>
      <c r="BF304" s="121"/>
      <c r="BG304" s="1990"/>
      <c r="BH304" s="238">
        <f>CF304+CI304+CL304+CO304+CR304</f>
        <v>0</v>
      </c>
      <c r="BI304" s="238"/>
      <c r="BJ304" s="238"/>
      <c r="BK304" s="239"/>
      <c r="BL304" s="260"/>
      <c r="BM304" s="241"/>
      <c r="BN304" s="142"/>
      <c r="BO304" s="182"/>
      <c r="BP304" s="281"/>
      <c r="BQ304" s="98"/>
      <c r="BR304" s="409"/>
      <c r="BS304" s="242"/>
      <c r="BT304" s="203"/>
      <c r="BU304" s="167">
        <f>BN304*BQ304</f>
        <v>0</v>
      </c>
      <c r="BV304" s="168">
        <f>BO304*BQ304</f>
        <v>0</v>
      </c>
      <c r="BW304" s="525"/>
      <c r="BX304" s="2039"/>
      <c r="BY304" s="145"/>
      <c r="BZ304" s="262"/>
      <c r="CA304" s="242"/>
      <c r="CB304" s="101">
        <f>BM304*BY304</f>
        <v>0</v>
      </c>
      <c r="CC304" s="106">
        <f>BN304*BY304</f>
        <v>0</v>
      </c>
      <c r="CD304" s="107">
        <f>BO304*BY304</f>
        <v>0</v>
      </c>
      <c r="CE304" s="90"/>
      <c r="CF304" s="2096"/>
      <c r="CG304" s="2096"/>
      <c r="CH304" s="2096"/>
      <c r="CI304" s="2096"/>
      <c r="CJ304" s="338"/>
      <c r="CK304" s="2096"/>
      <c r="CL304" s="338"/>
      <c r="CM304" s="338"/>
      <c r="CN304" s="338"/>
      <c r="CO304" s="338"/>
      <c r="CP304" s="338"/>
      <c r="CQ304" s="338"/>
      <c r="CR304" s="338"/>
      <c r="CS304" s="338"/>
      <c r="CT304" s="338"/>
      <c r="CU304" s="90"/>
      <c r="CV304" s="181"/>
      <c r="CW304" s="181"/>
      <c r="CX304" s="207"/>
      <c r="CY304" s="207"/>
      <c r="CZ304" s="155"/>
      <c r="DA304" s="131"/>
      <c r="DB304" s="115" t="str">
        <f>PROPER(N304)</f>
        <v>Primo Round</v>
      </c>
      <c r="DC304" s="191"/>
      <c r="DD304" s="116">
        <f>BP304</f>
        <v>0</v>
      </c>
      <c r="DE304" s="117" t="b">
        <f>IF(OR(D304&gt;0),IF(BJ304=0,BN304*BQ304,0))</f>
        <v>0</v>
      </c>
      <c r="DF304" s="117" t="b">
        <f>IF(OR(D304&gt;0),IF(BJ304=0,BN304*BY304,0))</f>
        <v>0</v>
      </c>
      <c r="DG304" s="116">
        <f>BX304</f>
        <v>0</v>
      </c>
      <c r="DH304" s="510"/>
      <c r="DI304" s="120" t="s">
        <v>126</v>
      </c>
      <c r="DJ304" s="120"/>
      <c r="DK304" s="207"/>
      <c r="DL304" s="207"/>
      <c r="DM304" s="248"/>
    </row>
    <row r="305" spans="1:130" ht="34.5" hidden="1" customHeight="1">
      <c r="A305" s="228"/>
      <c r="B305" s="371" t="s">
        <v>1359</v>
      </c>
      <c r="C305" s="155"/>
      <c r="D305" s="75"/>
      <c r="E305" s="75"/>
      <c r="F305" s="75"/>
      <c r="G305" s="400" t="s">
        <v>1747</v>
      </c>
      <c r="H305" s="400" t="s">
        <v>1748</v>
      </c>
      <c r="I305" s="207" t="s">
        <v>1749</v>
      </c>
      <c r="J305" s="155" t="str">
        <f>CONCATENATE(G305," ",H305)</f>
        <v>Emil Cioban</v>
      </c>
      <c r="K305" s="156">
        <v>3200965431</v>
      </c>
      <c r="L305" s="435"/>
      <c r="M305" s="153" t="s">
        <v>1625</v>
      </c>
      <c r="N305" s="160" t="s">
        <v>1750</v>
      </c>
      <c r="O305" s="402"/>
      <c r="P305" s="315"/>
      <c r="Q305" s="160"/>
      <c r="R305" s="403"/>
      <c r="S305" s="160"/>
      <c r="T305" s="404"/>
      <c r="U305" s="315"/>
      <c r="V305" s="315"/>
      <c r="W305" s="315"/>
      <c r="X305" s="131"/>
      <c r="Y305" s="315"/>
      <c r="Z305" s="315"/>
      <c r="AA305" s="315"/>
      <c r="AB305" s="37"/>
      <c r="AC305" s="131"/>
      <c r="AD305" s="121"/>
      <c r="AE305" s="88"/>
      <c r="AF305" s="405"/>
      <c r="AG305" s="406"/>
      <c r="AH305" s="406"/>
      <c r="AI305" s="405"/>
      <c r="AJ305" s="155"/>
      <c r="AK305" s="155"/>
      <c r="AL305" s="155"/>
      <c r="AM305" s="407"/>
      <c r="AN305" s="155"/>
      <c r="AO305" s="155"/>
      <c r="AP305" s="155"/>
      <c r="AQ305" s="85"/>
      <c r="AR305" s="259"/>
      <c r="AS305" s="259"/>
      <c r="AT305" s="3"/>
      <c r="AU305" s="408"/>
      <c r="AV305" s="75"/>
      <c r="AW305" s="121"/>
      <c r="AX305" s="121"/>
      <c r="AY305" s="85"/>
      <c r="AZ305" s="154" t="s">
        <v>194</v>
      </c>
      <c r="BA305" s="154" t="s">
        <v>194</v>
      </c>
      <c r="BB305" s="154" t="s">
        <v>194</v>
      </c>
      <c r="BC305" s="85"/>
      <c r="BD305" s="121"/>
      <c r="BE305" s="121"/>
      <c r="BF305" s="121"/>
      <c r="BG305" s="408"/>
      <c r="BH305" s="238">
        <f>CF305+CI305+CL305+CO305+CR305</f>
        <v>0</v>
      </c>
      <c r="BI305" s="238">
        <f>CH305+CK305+CN305+CQ305+CT305</f>
        <v>0</v>
      </c>
      <c r="BJ305" s="238">
        <f>BH305-BI305</f>
        <v>0</v>
      </c>
      <c r="BK305" s="239"/>
      <c r="BL305" s="260"/>
      <c r="BM305" s="241"/>
      <c r="BN305" s="142"/>
      <c r="BO305" s="182"/>
      <c r="BP305" s="105" t="s">
        <v>117</v>
      </c>
      <c r="BQ305" s="98">
        <v>0.15</v>
      </c>
      <c r="BR305" s="409"/>
      <c r="BS305" s="242">
        <f>BL305*BQ305</f>
        <v>0</v>
      </c>
      <c r="BT305" s="203">
        <f>BM305*BQ305</f>
        <v>0</v>
      </c>
      <c r="BU305" s="167">
        <f>BN305*BQ305</f>
        <v>0</v>
      </c>
      <c r="BV305" s="168">
        <f>BO305*BQ305</f>
        <v>0</v>
      </c>
      <c r="BW305" s="131"/>
      <c r="BX305" s="105" t="s">
        <v>152</v>
      </c>
      <c r="BY305" s="145">
        <v>0.05</v>
      </c>
      <c r="BZ305" s="262"/>
      <c r="CA305" s="242">
        <f>BL305*BY305</f>
        <v>0</v>
      </c>
      <c r="CB305" s="101">
        <f>BM305*BY305</f>
        <v>0</v>
      </c>
      <c r="CC305" s="106">
        <f>BN305*BY305</f>
        <v>0</v>
      </c>
      <c r="CD305" s="107">
        <f>BO305*BY305</f>
        <v>0</v>
      </c>
      <c r="CE305" s="411"/>
      <c r="CF305" s="108">
        <v>0</v>
      </c>
      <c r="CG305" s="130" t="s">
        <v>153</v>
      </c>
      <c r="CH305" s="301"/>
      <c r="CI305" s="110"/>
      <c r="CJ305" s="226"/>
      <c r="CK305" s="415"/>
      <c r="CL305" s="415"/>
      <c r="CM305" s="416"/>
      <c r="CN305" s="415"/>
      <c r="CO305" s="263"/>
      <c r="CP305" s="263"/>
      <c r="CQ305" s="263"/>
      <c r="CR305" s="263"/>
      <c r="CS305" s="263"/>
      <c r="CT305" s="263"/>
      <c r="CU305" s="90">
        <v>1</v>
      </c>
      <c r="CV305" s="181"/>
      <c r="CW305" s="181"/>
      <c r="CX305" s="181"/>
      <c r="CY305" s="155"/>
      <c r="CZ305" s="121"/>
      <c r="DA305" s="424" t="s">
        <v>1751</v>
      </c>
      <c r="DB305" s="115" t="str">
        <f>PROPER(N305)</f>
        <v>Whole Lotta Hemp</v>
      </c>
      <c r="DC305" s="280" t="s">
        <v>610</v>
      </c>
      <c r="DD305" s="116" t="str">
        <f>BP305</f>
        <v>blackship</v>
      </c>
      <c r="DE305" s="117" t="b">
        <f>IF(OR(D305&gt;0),IF(BJ305=0,BN305*BQ305,0))</f>
        <v>0</v>
      </c>
      <c r="DF305" s="117" t="b">
        <f>IF(OR(D305&gt;0),IF(BJ305=0,BN305*BY305,0))</f>
        <v>0</v>
      </c>
      <c r="DG305" s="118" t="str">
        <f>BX305</f>
        <v>Client Angel</v>
      </c>
      <c r="DH305" s="76"/>
      <c r="DI305" s="120" t="s">
        <v>154</v>
      </c>
      <c r="DJ305" s="120"/>
      <c r="DK305" s="74" t="s">
        <v>1366</v>
      </c>
      <c r="DL305" s="74" t="s">
        <v>1399</v>
      </c>
      <c r="DM305" s="122"/>
      <c r="DN305" s="6"/>
      <c r="DO305" s="6"/>
      <c r="DP305" s="6"/>
      <c r="DQ305" s="6"/>
      <c r="DR305" s="6"/>
      <c r="DS305" s="6"/>
      <c r="DT305" s="6"/>
      <c r="DU305" s="6"/>
      <c r="DV305" s="6"/>
      <c r="DW305" s="6"/>
      <c r="DX305" s="6"/>
      <c r="DY305" s="6"/>
      <c r="DZ305" s="6"/>
    </row>
    <row r="306" spans="1:130" ht="34.5" hidden="1" customHeight="1">
      <c r="A306" s="1801"/>
      <c r="B306" s="75" t="s">
        <v>1928</v>
      </c>
      <c r="C306" s="155"/>
      <c r="D306" s="75">
        <v>1</v>
      </c>
      <c r="E306" s="119"/>
      <c r="F306" s="148"/>
      <c r="G306" s="181" t="s">
        <v>246</v>
      </c>
      <c r="H306" s="181" t="s">
        <v>2448</v>
      </c>
      <c r="I306" s="294" t="s">
        <v>2449</v>
      </c>
      <c r="J306" s="121" t="str">
        <f>CONCATENATE(G306," ",H306)</f>
        <v>Marco Sciarratta</v>
      </c>
      <c r="K306" s="684"/>
      <c r="L306" s="685" t="s">
        <v>2450</v>
      </c>
      <c r="M306" s="131"/>
      <c r="N306" s="160" t="s">
        <v>2451</v>
      </c>
      <c r="O306" s="556"/>
      <c r="P306" s="328"/>
      <c r="Q306" s="255"/>
      <c r="R306" s="131"/>
      <c r="S306" s="131"/>
      <c r="T306" s="318"/>
      <c r="U306" s="251"/>
      <c r="V306" s="251"/>
      <c r="W306" s="1958"/>
      <c r="X306" s="131"/>
      <c r="Y306" s="1958"/>
      <c r="Z306" s="1958"/>
      <c r="AA306" s="1958"/>
      <c r="AB306" s="255"/>
      <c r="AC306" s="131"/>
      <c r="AD306" s="37" t="s">
        <v>118</v>
      </c>
      <c r="AE306" s="161"/>
      <c r="AF306" s="405"/>
      <c r="AG306" s="516"/>
      <c r="AH306" s="516"/>
      <c r="AI306" s="405"/>
      <c r="AJ306" s="155"/>
      <c r="AK306" s="155"/>
      <c r="AL306" s="155"/>
      <c r="AM306" s="405"/>
      <c r="AN306" s="258"/>
      <c r="AO306" s="258"/>
      <c r="AP306" s="258"/>
      <c r="AQ306" s="1981"/>
      <c r="AR306" s="259"/>
      <c r="AS306" s="259"/>
      <c r="AT306" s="1987"/>
      <c r="AU306" s="1990"/>
      <c r="AV306" s="75"/>
      <c r="AW306" s="121"/>
      <c r="AX306" s="121"/>
      <c r="AY306" s="1981"/>
      <c r="AZ306" s="121" t="s">
        <v>116</v>
      </c>
      <c r="BA306" s="121" t="s">
        <v>116</v>
      </c>
      <c r="BB306" s="162" t="s">
        <v>116</v>
      </c>
      <c r="BC306" s="1981"/>
      <c r="BD306" s="121"/>
      <c r="BE306" s="121"/>
      <c r="BF306" s="121"/>
      <c r="BG306" s="1990"/>
      <c r="BH306" s="238"/>
      <c r="BI306" s="238"/>
      <c r="BJ306" s="238"/>
      <c r="BK306" s="239"/>
      <c r="BL306" s="260"/>
      <c r="BM306" s="241"/>
      <c r="BN306" s="273"/>
      <c r="BO306" s="274"/>
      <c r="BP306" s="2039"/>
      <c r="BQ306" s="145"/>
      <c r="BR306" s="409"/>
      <c r="BS306" s="242"/>
      <c r="BT306" s="203"/>
      <c r="BU306" s="167">
        <f>BN306*BQ306</f>
        <v>0</v>
      </c>
      <c r="BV306" s="168">
        <f>BO306*BQ306</f>
        <v>0</v>
      </c>
      <c r="BW306" s="131"/>
      <c r="BX306" s="2039"/>
      <c r="BY306" s="145"/>
      <c r="BZ306" s="262"/>
      <c r="CA306" s="242"/>
      <c r="CB306" s="101"/>
      <c r="CC306" s="106">
        <f>BN306*BY306</f>
        <v>0</v>
      </c>
      <c r="CD306" s="107">
        <f>BO306*BY306</f>
        <v>0</v>
      </c>
      <c r="CE306" s="532"/>
      <c r="CF306" s="108"/>
      <c r="CG306" s="109"/>
      <c r="CH306" s="108"/>
      <c r="CI306" s="110"/>
      <c r="CJ306" s="226"/>
      <c r="CK306" s="110"/>
      <c r="CL306" s="110"/>
      <c r="CM306" s="226"/>
      <c r="CN306" s="110"/>
      <c r="CO306" s="206"/>
      <c r="CP306" s="206"/>
      <c r="CQ306" s="206"/>
      <c r="CR306" s="206"/>
      <c r="CS306" s="206"/>
      <c r="CT306" s="206"/>
      <c r="CU306" s="90">
        <v>1</v>
      </c>
      <c r="CV306" s="181"/>
      <c r="CW306" s="181"/>
      <c r="CX306" s="207"/>
      <c r="CY306" s="207"/>
      <c r="CZ306" s="155"/>
      <c r="DA306" s="131" t="s">
        <v>2452</v>
      </c>
      <c r="DB306" s="115" t="str">
        <f>PROPER(N306)</f>
        <v>Dataconnect</v>
      </c>
      <c r="DC306" s="191" t="s">
        <v>2453</v>
      </c>
      <c r="DD306" s="116">
        <f>BP306</f>
        <v>0</v>
      </c>
      <c r="DE306" s="117">
        <f>IF(OR(D306&gt;0),IF(BJ306=0,BN306*BQ306,0))</f>
        <v>0</v>
      </c>
      <c r="DF306" s="117">
        <f>IF(OR(D306&gt;0),IF(BJ306=0,BN306*BY306,0))</f>
        <v>0</v>
      </c>
      <c r="DG306" s="533">
        <f>BX306</f>
        <v>0</v>
      </c>
      <c r="DH306" s="510"/>
      <c r="DI306" s="120" t="s">
        <v>126</v>
      </c>
      <c r="DJ306" s="120"/>
      <c r="DK306" s="207"/>
      <c r="DL306" s="207"/>
      <c r="DM306" s="248">
        <v>1</v>
      </c>
    </row>
    <row r="307" spans="1:130" ht="34.5" hidden="1" customHeight="1">
      <c r="A307" s="228"/>
      <c r="B307" s="75" t="s">
        <v>1359</v>
      </c>
      <c r="C307" s="155"/>
      <c r="D307" s="75">
        <v>1</v>
      </c>
      <c r="E307" s="75">
        <v>1</v>
      </c>
      <c r="F307" s="75"/>
      <c r="G307" s="400" t="s">
        <v>246</v>
      </c>
      <c r="H307" s="400" t="s">
        <v>1692</v>
      </c>
      <c r="I307" s="207" t="s">
        <v>1693</v>
      </c>
      <c r="J307" s="121" t="str">
        <f>CONCATENATE(G307," ",H307)</f>
        <v>Marco Zanini</v>
      </c>
      <c r="K307" s="156">
        <v>3351785485</v>
      </c>
      <c r="L307" s="435"/>
      <c r="M307" s="153" t="s">
        <v>640</v>
      </c>
      <c r="N307" s="490" t="s">
        <v>1686</v>
      </c>
      <c r="O307" s="402"/>
      <c r="P307" s="315"/>
      <c r="Q307" s="160"/>
      <c r="R307" s="403"/>
      <c r="S307" s="160"/>
      <c r="T307" s="404"/>
      <c r="U307" s="315"/>
      <c r="V307" s="315"/>
      <c r="W307" s="315"/>
      <c r="X307" s="131"/>
      <c r="Y307" s="315"/>
      <c r="Z307" s="315"/>
      <c r="AA307" s="315"/>
      <c r="AB307" s="37"/>
      <c r="AC307" s="131"/>
      <c r="AD307" s="121" t="s">
        <v>1687</v>
      </c>
      <c r="AE307" s="88"/>
      <c r="AF307" s="405"/>
      <c r="AG307" s="406"/>
      <c r="AH307" s="406"/>
      <c r="AI307" s="405"/>
      <c r="AJ307" s="155"/>
      <c r="AK307" s="155"/>
      <c r="AL307" s="155"/>
      <c r="AM307" s="407"/>
      <c r="AN307" s="155"/>
      <c r="AO307" s="155"/>
      <c r="AP307" s="155"/>
      <c r="AQ307" s="85"/>
      <c r="AR307" s="259"/>
      <c r="AS307" s="259"/>
      <c r="AT307" s="3"/>
      <c r="AU307" s="408"/>
      <c r="AV307" s="121"/>
      <c r="AW307" s="121"/>
      <c r="AX307" s="121"/>
      <c r="AY307" s="85"/>
      <c r="AZ307" s="121" t="s">
        <v>115</v>
      </c>
      <c r="BA307" s="121" t="s">
        <v>115</v>
      </c>
      <c r="BB307" s="135" t="s">
        <v>115</v>
      </c>
      <c r="BC307" s="85"/>
      <c r="BD307" s="121"/>
      <c r="BE307" s="121"/>
      <c r="BF307" s="121"/>
      <c r="BG307" s="408"/>
      <c r="BH307" s="238">
        <f>CF307+CI307+CL307+CO307+CR307</f>
        <v>2597</v>
      </c>
      <c r="BI307" s="238">
        <f>CH307+CK307+CN307+CQ307+CT307</f>
        <v>2597</v>
      </c>
      <c r="BJ307" s="238">
        <f>BH307-BI307</f>
        <v>0</v>
      </c>
      <c r="BK307" s="239"/>
      <c r="BL307" s="260"/>
      <c r="BM307" s="241"/>
      <c r="BN307" s="142">
        <v>2597</v>
      </c>
      <c r="BO307" s="182"/>
      <c r="BP307" s="105" t="s">
        <v>160</v>
      </c>
      <c r="BQ307" s="98">
        <v>0.15</v>
      </c>
      <c r="BR307" s="409"/>
      <c r="BS307" s="242">
        <f>BL307*BQ307</f>
        <v>0</v>
      </c>
      <c r="BT307" s="203">
        <f>BM307*BQ307</f>
        <v>0</v>
      </c>
      <c r="BU307" s="167">
        <f>BN307*BQ307</f>
        <v>389.55</v>
      </c>
      <c r="BV307" s="168">
        <f>BO307*BQ307</f>
        <v>0</v>
      </c>
      <c r="BW307" s="160" t="s">
        <v>185</v>
      </c>
      <c r="BX307" s="105" t="s">
        <v>160</v>
      </c>
      <c r="BY307" s="145">
        <v>0.05</v>
      </c>
      <c r="BZ307" s="262"/>
      <c r="CA307" s="242">
        <f>BL307*BY307</f>
        <v>0</v>
      </c>
      <c r="CB307" s="101">
        <f>BM307*BY307</f>
        <v>0</v>
      </c>
      <c r="CC307" s="106">
        <f>BN307*BY307</f>
        <v>129.85</v>
      </c>
      <c r="CD307" s="107">
        <f>BO307*BY307</f>
        <v>0</v>
      </c>
      <c r="CE307" s="160" t="s">
        <v>185</v>
      </c>
      <c r="CF307" s="108">
        <v>2597</v>
      </c>
      <c r="CG307" s="109">
        <v>45198</v>
      </c>
      <c r="CH307" s="443">
        <v>2597</v>
      </c>
      <c r="CI307" s="415"/>
      <c r="CJ307" s="416"/>
      <c r="CK307" s="415"/>
      <c r="CL307" s="415"/>
      <c r="CM307" s="416"/>
      <c r="CN307" s="415"/>
      <c r="CO307" s="263"/>
      <c r="CP307" s="263"/>
      <c r="CQ307" s="263"/>
      <c r="CR307" s="263"/>
      <c r="CS307" s="263"/>
      <c r="CT307" s="263"/>
      <c r="CU307" s="90">
        <v>1</v>
      </c>
      <c r="CV307" s="181"/>
      <c r="CW307" s="438"/>
      <c r="CX307" s="439"/>
      <c r="CY307" s="155"/>
      <c r="CZ307" s="121"/>
      <c r="DA307" s="428" t="s">
        <v>1688</v>
      </c>
      <c r="DB307" s="115" t="str">
        <f>PROPER(N307)</f>
        <v>Simply Water</v>
      </c>
      <c r="DC307" s="280" t="s">
        <v>1689</v>
      </c>
      <c r="DD307" s="116" t="str">
        <f>BP307</f>
        <v>Gianluca</v>
      </c>
      <c r="DE307" s="117">
        <f>IF(OR(D307&gt;0),IF(BJ307=0,BN307*BQ307,0))</f>
        <v>389.55</v>
      </c>
      <c r="DF307" s="117">
        <f>IF(OR(D307&gt;0),IF(BJ307=0,BN307*BY307,0))</f>
        <v>129.85</v>
      </c>
      <c r="DG307" s="118" t="str">
        <f>BX307</f>
        <v>Gianluca</v>
      </c>
      <c r="DH307" s="76"/>
      <c r="DI307" s="120" t="s">
        <v>126</v>
      </c>
      <c r="DJ307" s="120"/>
      <c r="DK307" s="74" t="s">
        <v>1418</v>
      </c>
      <c r="DL307" s="74" t="s">
        <v>1418</v>
      </c>
      <c r="DM307" s="122">
        <v>1</v>
      </c>
      <c r="DN307" s="6"/>
      <c r="DO307" s="6"/>
      <c r="DP307" s="6"/>
      <c r="DQ307" s="6"/>
      <c r="DR307" s="6"/>
      <c r="DS307" s="6"/>
      <c r="DT307" s="6"/>
      <c r="DU307" s="6"/>
      <c r="DV307" s="6"/>
      <c r="DW307" s="6"/>
      <c r="DX307" s="6"/>
      <c r="DY307" s="6"/>
      <c r="DZ307" s="6"/>
    </row>
    <row r="308" spans="1:130" ht="34.5" hidden="1" customHeight="1">
      <c r="A308" s="3"/>
      <c r="B308" s="75" t="s">
        <v>108</v>
      </c>
      <c r="C308" s="121"/>
      <c r="D308" s="75"/>
      <c r="E308" s="75">
        <v>1</v>
      </c>
      <c r="F308" s="75"/>
      <c r="G308" s="79" t="s">
        <v>246</v>
      </c>
      <c r="H308" s="79" t="s">
        <v>685</v>
      </c>
      <c r="I308" s="131" t="s">
        <v>686</v>
      </c>
      <c r="J308" s="121" t="str">
        <f>CONCATENATE(G308," ",H308)</f>
        <v>Marco Zoccarato</v>
      </c>
      <c r="K308" s="156">
        <v>3409199587</v>
      </c>
      <c r="L308" s="157" t="s">
        <v>687</v>
      </c>
      <c r="M308" s="176" t="s">
        <v>112</v>
      </c>
      <c r="N308" s="160" t="s">
        <v>688</v>
      </c>
      <c r="O308" s="407"/>
      <c r="P308" s="1941"/>
      <c r="Q308" s="86"/>
      <c r="R308" s="86"/>
      <c r="S308" s="86"/>
      <c r="T308" s="1953"/>
      <c r="U308" s="1941"/>
      <c r="V308" s="1941"/>
      <c r="W308" s="1941"/>
      <c r="X308" s="86"/>
      <c r="Y308" s="1960"/>
      <c r="Z308" s="1941"/>
      <c r="AA308" s="1941"/>
      <c r="AB308" s="86"/>
      <c r="AC308" s="86"/>
      <c r="AD308" s="86" t="s">
        <v>689</v>
      </c>
      <c r="AE308" s="88" t="str">
        <f>L308</f>
        <v>forse altri 4???!!! Cambiato opzione di pagamento in rateale</v>
      </c>
      <c r="AF308" s="407"/>
      <c r="AG308" s="121"/>
      <c r="AH308" s="121"/>
      <c r="AI308" s="407"/>
      <c r="AJ308" s="121"/>
      <c r="AK308" s="121"/>
      <c r="AL308" s="121"/>
      <c r="AM308" s="407"/>
      <c r="AN308" s="155"/>
      <c r="AO308" s="155"/>
      <c r="AP308" s="155"/>
      <c r="AQ308" s="1982"/>
      <c r="AR308" s="259"/>
      <c r="AS308" s="259"/>
      <c r="AT308" s="1987"/>
      <c r="AU308" s="408"/>
      <c r="AV308" s="121" t="s">
        <v>115</v>
      </c>
      <c r="AW308" s="124"/>
      <c r="AX308" s="121"/>
      <c r="AY308" s="1982"/>
      <c r="AZ308" s="121"/>
      <c r="BA308" s="121" t="s">
        <v>115</v>
      </c>
      <c r="BB308" s="135" t="s">
        <v>115</v>
      </c>
      <c r="BC308" s="1982"/>
      <c r="BD308" s="121"/>
      <c r="BE308" s="121"/>
      <c r="BF308" s="121"/>
      <c r="BG308" s="408"/>
      <c r="BH308" s="238">
        <v>3297</v>
      </c>
      <c r="BI308" s="238">
        <f>CH308+CK308+CN308+CQ308+CT308</f>
        <v>3297.0004918032791</v>
      </c>
      <c r="BJ308" s="238">
        <f>BH308-BI308</f>
        <v>-4.9180327914655209E-4</v>
      </c>
      <c r="BK308" s="199"/>
      <c r="BL308" s="200"/>
      <c r="BM308" s="241">
        <v>3497</v>
      </c>
      <c r="BN308" s="96"/>
      <c r="BO308" s="97"/>
      <c r="BP308" s="281" t="s">
        <v>690</v>
      </c>
      <c r="BQ308" s="98">
        <v>0.15</v>
      </c>
      <c r="BR308" s="2057"/>
      <c r="BS308" s="202"/>
      <c r="BT308" s="203">
        <f>BM308*BQ308</f>
        <v>524.54999999999995</v>
      </c>
      <c r="BU308" s="167">
        <f>BN308*BQ308</f>
        <v>0</v>
      </c>
      <c r="BV308" s="168">
        <f>BO308*BQ308</f>
        <v>0</v>
      </c>
      <c r="BW308" s="131"/>
      <c r="BX308" s="105" t="s">
        <v>184</v>
      </c>
      <c r="BY308" s="98">
        <v>0.05</v>
      </c>
      <c r="BZ308" s="2058"/>
      <c r="CA308" s="202"/>
      <c r="CB308" s="101">
        <f>BM308*BY308</f>
        <v>174.85000000000002</v>
      </c>
      <c r="CC308" s="106">
        <f>BN308*BY308</f>
        <v>0</v>
      </c>
      <c r="CD308" s="107">
        <f>BO308*BY308</f>
        <v>0</v>
      </c>
      <c r="CE308" s="90"/>
      <c r="CF308" s="108">
        <f>200/1.22</f>
        <v>163.9344262295082</v>
      </c>
      <c r="CG308" s="109">
        <v>45012</v>
      </c>
      <c r="CH308" s="108">
        <f>200/1.22</f>
        <v>163.9344262295082</v>
      </c>
      <c r="CI308" s="110">
        <f>1720/1.22</f>
        <v>1409.8360655737706</v>
      </c>
      <c r="CJ308" s="226">
        <v>45057</v>
      </c>
      <c r="CK308" s="110">
        <f>1720/1.22</f>
        <v>1409.8360655737706</v>
      </c>
      <c r="CL308" s="110">
        <v>1723.22</v>
      </c>
      <c r="CM308" s="226">
        <v>45236</v>
      </c>
      <c r="CN308" s="110">
        <v>1723.23</v>
      </c>
      <c r="CO308" s="206"/>
      <c r="CP308" s="206"/>
      <c r="CQ308" s="206"/>
      <c r="CR308" s="206"/>
      <c r="CS308" s="206"/>
      <c r="CT308" s="206"/>
      <c r="CU308" s="90">
        <v>1</v>
      </c>
      <c r="CV308" s="181" t="s">
        <v>121</v>
      </c>
      <c r="CW308" s="112"/>
      <c r="CX308" s="1832"/>
      <c r="CY308" s="155" t="s">
        <v>122</v>
      </c>
      <c r="CZ308" s="155"/>
      <c r="DA308" s="384" t="s">
        <v>691</v>
      </c>
      <c r="DB308" s="115" t="str">
        <f>PROPER(N308)</f>
        <v>Puli.Gest</v>
      </c>
      <c r="DC308" s="191" t="s">
        <v>692</v>
      </c>
      <c r="DD308" s="116" t="str">
        <f>BP308</f>
        <v>MAW</v>
      </c>
      <c r="DE308" s="117" t="b">
        <f>IF(OR(D308&gt;0),IF(BJ308=0,BN308*BQ308,0))</f>
        <v>0</v>
      </c>
      <c r="DF308" s="117" t="b">
        <f>IF(OR(D308&gt;0),IF(BJ308=0,BN308*BY308,0))</f>
        <v>0</v>
      </c>
      <c r="DG308" s="118" t="str">
        <f>BX308</f>
        <v>Cristian A</v>
      </c>
      <c r="DH308" s="76"/>
      <c r="DI308" s="120" t="s">
        <v>126</v>
      </c>
      <c r="DJ308" s="120"/>
      <c r="DK308" s="121"/>
      <c r="DL308" s="121"/>
      <c r="DM308" s="122">
        <v>1</v>
      </c>
      <c r="DN308" s="6"/>
      <c r="DO308" s="6"/>
      <c r="DP308" s="6"/>
      <c r="DQ308" s="6"/>
      <c r="DR308" s="6"/>
      <c r="DS308" s="6"/>
      <c r="DT308" s="6"/>
      <c r="DU308" s="6"/>
      <c r="DV308" s="6"/>
      <c r="DW308" s="6"/>
      <c r="DX308" s="6"/>
      <c r="DY308" s="6"/>
      <c r="DZ308" s="6"/>
    </row>
    <row r="309" spans="1:130" ht="34.5" hidden="1" customHeight="1">
      <c r="A309" s="1801"/>
      <c r="B309" s="75" t="s">
        <v>1928</v>
      </c>
      <c r="C309" s="155"/>
      <c r="D309" s="75"/>
      <c r="E309" s="119">
        <v>1</v>
      </c>
      <c r="F309" s="148"/>
      <c r="G309" s="181" t="s">
        <v>2464</v>
      </c>
      <c r="H309" s="181" t="s">
        <v>2465</v>
      </c>
      <c r="I309" s="1835" t="s">
        <v>2466</v>
      </c>
      <c r="J309" s="121" t="str">
        <f>CONCATENATE(G309," ",H309)</f>
        <v>Marilena Riello</v>
      </c>
      <c r="K309" s="181"/>
      <c r="L309" s="131"/>
      <c r="M309" s="131"/>
      <c r="N309" s="160" t="s">
        <v>2467</v>
      </c>
      <c r="O309" s="556"/>
      <c r="P309" s="328"/>
      <c r="Q309" s="255"/>
      <c r="R309" s="131"/>
      <c r="S309" s="131"/>
      <c r="T309" s="318"/>
      <c r="U309" s="251"/>
      <c r="V309" s="251"/>
      <c r="W309" s="1958"/>
      <c r="X309" s="131"/>
      <c r="Y309" s="1958"/>
      <c r="Z309" s="1958"/>
      <c r="AA309" s="1958"/>
      <c r="AB309" s="255"/>
      <c r="AC309" s="131"/>
      <c r="AD309" s="255"/>
      <c r="AE309" s="161"/>
      <c r="AF309" s="405"/>
      <c r="AG309" s="516"/>
      <c r="AH309" s="516"/>
      <c r="AI309" s="405"/>
      <c r="AJ309" s="155"/>
      <c r="AK309" s="155"/>
      <c r="AL309" s="155"/>
      <c r="AM309" s="405"/>
      <c r="AN309" s="258"/>
      <c r="AO309" s="258"/>
      <c r="AP309" s="258"/>
      <c r="AQ309" s="1981"/>
      <c r="AR309" s="259"/>
      <c r="AS309" s="259"/>
      <c r="AT309" s="1987"/>
      <c r="AU309" s="1990"/>
      <c r="AV309" s="75"/>
      <c r="AW309" s="121"/>
      <c r="AX309" s="121"/>
      <c r="AY309" s="1981"/>
      <c r="AZ309" s="121"/>
      <c r="BA309" s="162" t="s">
        <v>116</v>
      </c>
      <c r="BB309" s="162" t="s">
        <v>116</v>
      </c>
      <c r="BC309" s="1981"/>
      <c r="BD309" s="121"/>
      <c r="BE309" s="121"/>
      <c r="BF309" s="121"/>
      <c r="BG309" s="1990"/>
      <c r="BH309" s="238">
        <f>CF309+CI309+CL309+CO309+CR309</f>
        <v>0</v>
      </c>
      <c r="BI309" s="238"/>
      <c r="BJ309" s="238"/>
      <c r="BK309" s="239"/>
      <c r="BL309" s="260"/>
      <c r="BM309" s="241"/>
      <c r="BN309" s="273"/>
      <c r="BO309" s="274"/>
      <c r="BP309" s="2039"/>
      <c r="BQ309" s="145"/>
      <c r="BR309" s="409"/>
      <c r="BS309" s="242"/>
      <c r="BT309" s="203"/>
      <c r="BU309" s="167"/>
      <c r="BV309" s="168">
        <f>BO309*BQ309</f>
        <v>0</v>
      </c>
      <c r="BW309" s="80"/>
      <c r="BX309" s="2039"/>
      <c r="BY309" s="145"/>
      <c r="BZ309" s="262"/>
      <c r="CA309" s="242"/>
      <c r="CB309" s="101"/>
      <c r="CC309" s="106"/>
      <c r="CD309" s="107">
        <f>BO309*BY309</f>
        <v>0</v>
      </c>
      <c r="CE309" s="677"/>
      <c r="CF309" s="108"/>
      <c r="CG309" s="109"/>
      <c r="CH309" s="108"/>
      <c r="CI309" s="110"/>
      <c r="CJ309" s="226"/>
      <c r="CK309" s="110"/>
      <c r="CL309" s="110"/>
      <c r="CM309" s="226"/>
      <c r="CN309" s="110"/>
      <c r="CO309" s="206"/>
      <c r="CP309" s="206"/>
      <c r="CQ309" s="206"/>
      <c r="CR309" s="206"/>
      <c r="CS309" s="206"/>
      <c r="CT309" s="206"/>
      <c r="CU309" s="90">
        <v>1</v>
      </c>
      <c r="CV309" s="181"/>
      <c r="CW309" s="181"/>
      <c r="CX309" s="207"/>
      <c r="CY309" s="207"/>
      <c r="CZ309" s="155"/>
      <c r="DA309" s="131" t="s">
        <v>2468</v>
      </c>
      <c r="DB309" s="115" t="str">
        <f>PROPER(N309)</f>
        <v>Studio Riello</v>
      </c>
      <c r="DC309" s="191" t="s">
        <v>237</v>
      </c>
      <c r="DD309" s="116">
        <f>BP309</f>
        <v>0</v>
      </c>
      <c r="DE309" s="117" t="b">
        <f>IF(OR(D309&gt;0),IF(BJ309=0,BN309*BQ309,0))</f>
        <v>0</v>
      </c>
      <c r="DF309" s="117" t="b">
        <f>IF(OR(D309&gt;0),IF(BJ309=0,BN309*BY309,0))</f>
        <v>0</v>
      </c>
      <c r="DG309" s="533">
        <f>BX309</f>
        <v>0</v>
      </c>
      <c r="DH309" s="510"/>
      <c r="DI309" s="120" t="s">
        <v>126</v>
      </c>
      <c r="DJ309" s="120"/>
      <c r="DK309" s="207"/>
      <c r="DL309" s="207"/>
      <c r="DM309" s="248">
        <v>1</v>
      </c>
    </row>
    <row r="310" spans="1:130" ht="34.5" hidden="1" customHeight="1">
      <c r="A310" s="228"/>
      <c r="B310" s="371" t="s">
        <v>1359</v>
      </c>
      <c r="C310" s="155"/>
      <c r="D310" s="75"/>
      <c r="E310" s="75"/>
      <c r="F310" s="75"/>
      <c r="G310" s="400" t="s">
        <v>1769</v>
      </c>
      <c r="H310" s="400" t="s">
        <v>1770</v>
      </c>
      <c r="I310" s="207" t="s">
        <v>1771</v>
      </c>
      <c r="J310" s="155" t="str">
        <f>CONCATENATE(G310," ",H310)</f>
        <v>Federica Borsetti</v>
      </c>
      <c r="K310" s="156">
        <v>3664178950</v>
      </c>
      <c r="L310" s="435" t="s">
        <v>1772</v>
      </c>
      <c r="M310" s="153" t="s">
        <v>1773</v>
      </c>
      <c r="N310" s="160"/>
      <c r="O310" s="402"/>
      <c r="P310" s="315"/>
      <c r="Q310" s="160"/>
      <c r="R310" s="403"/>
      <c r="S310" s="160"/>
      <c r="T310" s="404"/>
      <c r="U310" s="315"/>
      <c r="V310" s="315"/>
      <c r="W310" s="315"/>
      <c r="X310" s="131"/>
      <c r="Y310" s="315"/>
      <c r="Z310" s="315"/>
      <c r="AA310" s="315"/>
      <c r="AB310" s="37"/>
      <c r="AC310" s="131"/>
      <c r="AD310" s="121" t="s">
        <v>1328</v>
      </c>
      <c r="AE310" s="88"/>
      <c r="AF310" s="405"/>
      <c r="AG310" s="406"/>
      <c r="AH310" s="406"/>
      <c r="AI310" s="405"/>
      <c r="AJ310" s="155"/>
      <c r="AK310" s="155"/>
      <c r="AL310" s="155"/>
      <c r="AM310" s="407"/>
      <c r="AN310" s="155"/>
      <c r="AO310" s="155"/>
      <c r="AP310" s="155"/>
      <c r="AQ310" s="85"/>
      <c r="AR310" s="259"/>
      <c r="AS310" s="259"/>
      <c r="AT310" s="3"/>
      <c r="AU310" s="408"/>
      <c r="AV310" s="75"/>
      <c r="AW310" s="121"/>
      <c r="AX310" s="121"/>
      <c r="AY310" s="85"/>
      <c r="AZ310" s="121"/>
      <c r="BB310" s="121"/>
      <c r="BC310" s="85"/>
      <c r="BD310" s="177" t="s">
        <v>245</v>
      </c>
      <c r="BE310" s="177" t="s">
        <v>245</v>
      </c>
      <c r="BF310" s="177" t="s">
        <v>245</v>
      </c>
      <c r="BG310" s="408"/>
      <c r="BH310" s="238">
        <f>CF310+CI310+CL310+CO310+CR310</f>
        <v>3497.0000000000005</v>
      </c>
      <c r="BI310" s="238">
        <f>CH310+CK310+CN310+CQ310+CT310</f>
        <v>0</v>
      </c>
      <c r="BJ310" s="238">
        <f>BH310-BI310</f>
        <v>3497.0000000000005</v>
      </c>
      <c r="BK310" s="239"/>
      <c r="BL310" s="260"/>
      <c r="BM310" s="241"/>
      <c r="BN310" s="421">
        <v>3497</v>
      </c>
      <c r="BO310" s="182"/>
      <c r="BP310" s="105" t="s">
        <v>262</v>
      </c>
      <c r="BQ310" s="98">
        <v>0.15</v>
      </c>
      <c r="BR310" s="409"/>
      <c r="BS310" s="242">
        <f>BL310*BQ310</f>
        <v>0</v>
      </c>
      <c r="BT310" s="203">
        <f>BM310*BQ310</f>
        <v>0</v>
      </c>
      <c r="BU310" s="167">
        <f>BN310*BQ310</f>
        <v>524.54999999999995</v>
      </c>
      <c r="BV310" s="168">
        <f>BO310*BQ310</f>
        <v>0</v>
      </c>
      <c r="BW310" s="131"/>
      <c r="BX310" s="105" t="s">
        <v>262</v>
      </c>
      <c r="BY310" s="145">
        <v>0.05</v>
      </c>
      <c r="BZ310" s="262"/>
      <c r="CA310" s="242">
        <f>BL310*BY310</f>
        <v>0</v>
      </c>
      <c r="CB310" s="101">
        <f>BM310*BY310</f>
        <v>0</v>
      </c>
      <c r="CC310" s="106">
        <f>BN310*BY310</f>
        <v>174.85000000000002</v>
      </c>
      <c r="CD310" s="107">
        <f>BO310*BY310</f>
        <v>0</v>
      </c>
      <c r="CE310" s="411"/>
      <c r="CF310" s="108">
        <f>200/1.22</f>
        <v>163.9344262295082</v>
      </c>
      <c r="CG310" s="109">
        <v>45198</v>
      </c>
      <c r="CH310" s="204"/>
      <c r="CI310" s="110">
        <f>1720/1.22</f>
        <v>1409.8360655737706</v>
      </c>
      <c r="CJ310" s="226">
        <v>45205</v>
      </c>
      <c r="CK310" s="168"/>
      <c r="CL310" s="110">
        <f>2346.34/1.22</f>
        <v>1923.2295081967216</v>
      </c>
      <c r="CM310" s="226">
        <v>45233</v>
      </c>
      <c r="CN310" s="168"/>
      <c r="CO310" s="263"/>
      <c r="CP310" s="263"/>
      <c r="CQ310" s="263"/>
      <c r="CR310" s="263"/>
      <c r="CS310" s="263"/>
      <c r="CT310" s="263"/>
      <c r="CU310" s="90">
        <v>1</v>
      </c>
      <c r="CV310" s="181"/>
      <c r="CW310" s="181"/>
      <c r="CX310" s="181"/>
      <c r="CY310" s="155"/>
      <c r="CZ310" s="121"/>
      <c r="DA310" s="424"/>
      <c r="DB310" s="115" t="str">
        <f>PROPER(N310)</f>
        <v/>
      </c>
      <c r="DC310" s="280" t="s">
        <v>1774</v>
      </c>
      <c r="DD310" s="116" t="str">
        <f>BP310</f>
        <v>Pacci</v>
      </c>
      <c r="DE310" s="117" t="b">
        <f>IF(OR(D310&gt;0),IF(BJ310=0,BN310*BQ310,0))</f>
        <v>0</v>
      </c>
      <c r="DF310" s="117" t="b">
        <f>IF(OR(D310&gt;0),IF(BJ310=0,BN310*BY310,0))</f>
        <v>0</v>
      </c>
      <c r="DG310" s="118" t="str">
        <f>BX310</f>
        <v>Pacci</v>
      </c>
      <c r="DH310" s="76"/>
      <c r="DI310" s="120" t="s">
        <v>154</v>
      </c>
      <c r="DJ310" s="120"/>
      <c r="DK310" s="74" t="s">
        <v>1418</v>
      </c>
      <c r="DL310" s="74" t="s">
        <v>1418</v>
      </c>
      <c r="DM310" s="122"/>
      <c r="DN310" s="6"/>
      <c r="DO310" s="6"/>
      <c r="DP310" s="6"/>
      <c r="DQ310" s="6"/>
      <c r="DR310" s="6"/>
      <c r="DS310" s="6"/>
      <c r="DT310" s="6"/>
      <c r="DU310" s="6"/>
      <c r="DV310" s="6"/>
      <c r="DW310" s="6"/>
      <c r="DX310" s="6"/>
      <c r="DY310" s="6"/>
      <c r="DZ310" s="6"/>
    </row>
    <row r="311" spans="1:130" ht="34.5" hidden="1" customHeight="1">
      <c r="A311" s="228"/>
      <c r="B311" s="371" t="s">
        <v>1359</v>
      </c>
      <c r="C311" s="155"/>
      <c r="D311" s="75"/>
      <c r="E311" s="75"/>
      <c r="F311" s="75"/>
      <c r="G311" s="400" t="s">
        <v>912</v>
      </c>
      <c r="H311" s="400" t="s">
        <v>1775</v>
      </c>
      <c r="I311" s="207" t="s">
        <v>1776</v>
      </c>
      <c r="J311" s="155" t="str">
        <f>CONCATENATE(G311," ",H311)</f>
        <v>Francesco Gaiotto</v>
      </c>
      <c r="K311" s="156">
        <v>3450909838</v>
      </c>
      <c r="L311" s="436" t="s">
        <v>1777</v>
      </c>
      <c r="M311" s="153" t="s">
        <v>514</v>
      </c>
      <c r="N311" s="160" t="s">
        <v>1778</v>
      </c>
      <c r="O311" s="402"/>
      <c r="P311" s="315"/>
      <c r="Q311" s="160"/>
      <c r="R311" s="403"/>
      <c r="S311" s="160"/>
      <c r="T311" s="404"/>
      <c r="U311" s="315"/>
      <c r="V311" s="315"/>
      <c r="W311" s="315"/>
      <c r="X311" s="131"/>
      <c r="Y311" s="315"/>
      <c r="Z311" s="315"/>
      <c r="AA311" s="315"/>
      <c r="AB311" s="37"/>
      <c r="AC311" s="131"/>
      <c r="AD311" s="121"/>
      <c r="AE311" s="88"/>
      <c r="AF311" s="405"/>
      <c r="AG311" s="406"/>
      <c r="AH311" s="406"/>
      <c r="AI311" s="405"/>
      <c r="AJ311" s="155"/>
      <c r="AK311" s="155"/>
      <c r="AL311" s="155"/>
      <c r="AM311" s="407"/>
      <c r="AN311" s="155"/>
      <c r="AO311" s="155"/>
      <c r="AP311" s="155"/>
      <c r="AQ311" s="85"/>
      <c r="AR311" s="259"/>
      <c r="AS311" s="259"/>
      <c r="AT311" s="3"/>
      <c r="AU311" s="408"/>
      <c r="AV311" s="75"/>
      <c r="AW311" s="121"/>
      <c r="AX311" s="121"/>
      <c r="AY311" s="85"/>
      <c r="AZ311" s="154" t="s">
        <v>165</v>
      </c>
      <c r="BA311" s="154" t="s">
        <v>165</v>
      </c>
      <c r="BB311" s="154" t="s">
        <v>165</v>
      </c>
      <c r="BC311" s="85"/>
      <c r="BD311" s="121" t="s">
        <v>151</v>
      </c>
      <c r="BE311" s="121" t="s">
        <v>151</v>
      </c>
      <c r="BF311" s="121" t="s">
        <v>151</v>
      </c>
      <c r="BG311" s="408"/>
      <c r="BH311" s="238">
        <f>CF311+CI311+CL311+CO311+CR311</f>
        <v>0</v>
      </c>
      <c r="BI311" s="238">
        <f>CH311+CK311+CN311+CQ311+CT311</f>
        <v>0</v>
      </c>
      <c r="BJ311" s="238">
        <f>BH311-BI311</f>
        <v>0</v>
      </c>
      <c r="BK311" s="239"/>
      <c r="BL311" s="260"/>
      <c r="BM311" s="241"/>
      <c r="BN311" s="142"/>
      <c r="BO311" s="182"/>
      <c r="BP311" s="105" t="s">
        <v>262</v>
      </c>
      <c r="BQ311" s="98">
        <v>0.15</v>
      </c>
      <c r="BR311" s="409"/>
      <c r="BS311" s="242">
        <f>BL311*BQ311</f>
        <v>0</v>
      </c>
      <c r="BT311" s="203">
        <f>BM311*BQ311</f>
        <v>0</v>
      </c>
      <c r="BU311" s="167">
        <f>BN311*BQ311</f>
        <v>0</v>
      </c>
      <c r="BV311" s="168">
        <f>BO311*BQ311</f>
        <v>0</v>
      </c>
      <c r="BW311" s="131"/>
      <c r="BX311" s="105" t="s">
        <v>262</v>
      </c>
      <c r="BY311" s="145">
        <v>0.05</v>
      </c>
      <c r="BZ311" s="262"/>
      <c r="CA311" s="242">
        <f>BL311*BY311</f>
        <v>0</v>
      </c>
      <c r="CB311" s="101">
        <f>BM311*BY311</f>
        <v>0</v>
      </c>
      <c r="CC311" s="106">
        <f>BN311*BY311</f>
        <v>0</v>
      </c>
      <c r="CD311" s="107">
        <f>BO311*BY311</f>
        <v>0</v>
      </c>
      <c r="CE311" s="411"/>
      <c r="CF311" s="434"/>
      <c r="CG311" s="109"/>
      <c r="CH311" s="415"/>
      <c r="CI311" s="415"/>
      <c r="CJ311" s="416"/>
      <c r="CK311" s="415"/>
      <c r="CL311" s="415"/>
      <c r="CM311" s="416"/>
      <c r="CN311" s="415"/>
      <c r="CO311" s="263"/>
      <c r="CP311" s="263"/>
      <c r="CQ311" s="263"/>
      <c r="CR311" s="263"/>
      <c r="CS311" s="263"/>
      <c r="CT311" s="263"/>
      <c r="CU311" s="90">
        <v>1</v>
      </c>
      <c r="CV311" s="181"/>
      <c r="CW311" s="181"/>
      <c r="CX311" s="181"/>
      <c r="CY311" s="155"/>
      <c r="CZ311" s="121"/>
      <c r="DA311" s="424" t="s">
        <v>1779</v>
      </c>
      <c r="DB311" s="115" t="str">
        <f>PROPER(N311)</f>
        <v>Grosso Legno</v>
      </c>
      <c r="DC311" s="280" t="s">
        <v>1780</v>
      </c>
      <c r="DD311" s="116" t="str">
        <f>BP311</f>
        <v>Pacci</v>
      </c>
      <c r="DE311" s="117" t="b">
        <f>IF(OR(D311&gt;0),IF(BJ311=0,BN311*BQ311,0))</f>
        <v>0</v>
      </c>
      <c r="DF311" s="117" t="b">
        <f>IF(OR(D311&gt;0),IF(BJ311=0,BN311*BY311,0))</f>
        <v>0</v>
      </c>
      <c r="DG311" s="118" t="str">
        <f>BX311</f>
        <v>Pacci</v>
      </c>
      <c r="DH311" s="76"/>
      <c r="DI311" s="120" t="s">
        <v>154</v>
      </c>
      <c r="DJ311" s="120"/>
      <c r="DK311" s="74" t="s">
        <v>1366</v>
      </c>
      <c r="DL311" s="74" t="s">
        <v>1366</v>
      </c>
      <c r="DM311" s="122">
        <v>1</v>
      </c>
      <c r="DN311" s="6"/>
      <c r="DO311" s="6"/>
      <c r="DP311" s="6"/>
      <c r="DQ311" s="6"/>
      <c r="DR311" s="6"/>
      <c r="DS311" s="6"/>
      <c r="DT311" s="6"/>
      <c r="DU311" s="6"/>
      <c r="DV311" s="6"/>
      <c r="DW311" s="6"/>
      <c r="DX311" s="6"/>
      <c r="DY311" s="6"/>
      <c r="DZ311" s="6"/>
    </row>
    <row r="312" spans="1:130" ht="34.5" hidden="1" customHeight="1">
      <c r="A312" s="228"/>
      <c r="B312" s="371" t="s">
        <v>1359</v>
      </c>
      <c r="C312" s="155"/>
      <c r="D312" s="75"/>
      <c r="E312" s="75"/>
      <c r="F312" s="75"/>
      <c r="G312" s="400" t="s">
        <v>1781</v>
      </c>
      <c r="H312" s="400" t="s">
        <v>1782</v>
      </c>
      <c r="I312" s="207" t="s">
        <v>1783</v>
      </c>
      <c r="J312" s="155" t="str">
        <f>CONCATENATE(G312," ",H312)</f>
        <v>Igor Marcon</v>
      </c>
      <c r="K312" s="156">
        <v>3888065463</v>
      </c>
      <c r="L312" s="436" t="s">
        <v>1777</v>
      </c>
      <c r="M312" s="153" t="s">
        <v>514</v>
      </c>
      <c r="N312" s="160" t="s">
        <v>1778</v>
      </c>
      <c r="O312" s="402"/>
      <c r="P312" s="315"/>
      <c r="Q312" s="160"/>
      <c r="R312" s="403"/>
      <c r="S312" s="160"/>
      <c r="T312" s="404"/>
      <c r="U312" s="315"/>
      <c r="V312" s="315"/>
      <c r="W312" s="315"/>
      <c r="X312" s="131"/>
      <c r="Y312" s="315"/>
      <c r="Z312" s="315"/>
      <c r="AA312" s="315"/>
      <c r="AB312" s="37"/>
      <c r="AC312" s="131"/>
      <c r="AD312" s="121"/>
      <c r="AE312" s="88"/>
      <c r="AF312" s="405"/>
      <c r="AG312" s="406"/>
      <c r="AH312" s="406"/>
      <c r="AI312" s="405"/>
      <c r="AJ312" s="155"/>
      <c r="AK312" s="155"/>
      <c r="AL312" s="155"/>
      <c r="AM312" s="407"/>
      <c r="AN312" s="155"/>
      <c r="AO312" s="155"/>
      <c r="AP312" s="155"/>
      <c r="AQ312" s="85"/>
      <c r="AR312" s="121"/>
      <c r="AS312" s="121"/>
      <c r="AT312" s="121"/>
      <c r="AU312" s="408"/>
      <c r="AV312" s="75"/>
      <c r="AW312" s="121"/>
      <c r="AX312" s="121"/>
      <c r="AY312" s="85"/>
      <c r="AZ312" s="154" t="s">
        <v>165</v>
      </c>
      <c r="BA312" s="154" t="s">
        <v>165</v>
      </c>
      <c r="BB312" s="154" t="s">
        <v>165</v>
      </c>
      <c r="BC312" s="85"/>
      <c r="BD312" s="121" t="s">
        <v>151</v>
      </c>
      <c r="BE312" s="121" t="s">
        <v>151</v>
      </c>
      <c r="BF312" s="121" t="s">
        <v>151</v>
      </c>
      <c r="BG312" s="408"/>
      <c r="BH312" s="238">
        <f>CF312+CI312+CL312+CO312+CR312</f>
        <v>0</v>
      </c>
      <c r="BI312" s="238">
        <f>CH312+CK312+CN312+CQ312+CT312</f>
        <v>0</v>
      </c>
      <c r="BJ312" s="238">
        <f>BH312-BI312</f>
        <v>0</v>
      </c>
      <c r="BK312" s="239"/>
      <c r="BL312" s="260"/>
      <c r="BM312" s="241"/>
      <c r="BN312" s="142"/>
      <c r="BO312" s="182"/>
      <c r="BP312" s="105" t="s">
        <v>262</v>
      </c>
      <c r="BQ312" s="98">
        <v>0.15</v>
      </c>
      <c r="BR312" s="409"/>
      <c r="BS312" s="242">
        <f>BL312*BQ312</f>
        <v>0</v>
      </c>
      <c r="BT312" s="203">
        <f>BM312*BQ312</f>
        <v>0</v>
      </c>
      <c r="BU312" s="167">
        <f>BN312*BQ312</f>
        <v>0</v>
      </c>
      <c r="BV312" s="168">
        <f>BO312*BQ312</f>
        <v>0</v>
      </c>
      <c r="BW312" s="131"/>
      <c r="BX312" s="105" t="s">
        <v>262</v>
      </c>
      <c r="BY312" s="145">
        <v>0.05</v>
      </c>
      <c r="BZ312" s="262"/>
      <c r="CA312" s="242">
        <f>BL312*BY312</f>
        <v>0</v>
      </c>
      <c r="CB312" s="101">
        <f>BM312*BY312</f>
        <v>0</v>
      </c>
      <c r="CC312" s="106">
        <f>BN312*BY312</f>
        <v>0</v>
      </c>
      <c r="CD312" s="107">
        <f>BO312*BY312</f>
        <v>0</v>
      </c>
      <c r="CE312" s="411"/>
      <c r="CF312" s="434"/>
      <c r="CG312" s="109"/>
      <c r="CH312" s="415"/>
      <c r="CI312" s="415"/>
      <c r="CJ312" s="416"/>
      <c r="CK312" s="415"/>
      <c r="CL312" s="415"/>
      <c r="CM312" s="416"/>
      <c r="CN312" s="415"/>
      <c r="CO312" s="263"/>
      <c r="CP312" s="263"/>
      <c r="CQ312" s="263"/>
      <c r="CR312" s="263"/>
      <c r="CS312" s="263"/>
      <c r="CT312" s="263"/>
      <c r="CU312" s="90">
        <v>1</v>
      </c>
      <c r="CV312" s="181"/>
      <c r="CW312" s="181"/>
      <c r="CX312" s="181"/>
      <c r="CY312" s="155"/>
      <c r="CZ312" s="121"/>
      <c r="DA312" s="424" t="s">
        <v>1779</v>
      </c>
      <c r="DB312" s="115" t="str">
        <f>PROPER(N312)</f>
        <v>Grosso Legno</v>
      </c>
      <c r="DC312" s="280" t="s">
        <v>1780</v>
      </c>
      <c r="DD312" s="116" t="str">
        <f>BP312</f>
        <v>Pacci</v>
      </c>
      <c r="DE312" s="117" t="b">
        <f>IF(OR(D312&gt;0),IF(BJ312=0,BN312*BQ312,0))</f>
        <v>0</v>
      </c>
      <c r="DF312" s="117" t="b">
        <f>IF(OR(D312&gt;0),IF(BJ312=0,BN312*BY312,0))</f>
        <v>0</v>
      </c>
      <c r="DG312" s="118" t="str">
        <f>BX312</f>
        <v>Pacci</v>
      </c>
      <c r="DH312" s="76"/>
      <c r="DI312" s="120" t="s">
        <v>154</v>
      </c>
      <c r="DJ312" s="120"/>
      <c r="DK312" s="74" t="s">
        <v>1366</v>
      </c>
      <c r="DL312" s="74" t="s">
        <v>1366</v>
      </c>
      <c r="DM312" s="122">
        <v>1</v>
      </c>
      <c r="DN312" s="6"/>
      <c r="DO312" s="6"/>
      <c r="DP312" s="6"/>
      <c r="DQ312" s="6"/>
      <c r="DR312" s="6"/>
      <c r="DS312" s="6"/>
      <c r="DT312" s="6"/>
      <c r="DU312" s="6"/>
      <c r="DV312" s="6"/>
      <c r="DW312" s="6"/>
      <c r="DX312" s="6"/>
      <c r="DY312" s="6"/>
      <c r="DZ312" s="6"/>
    </row>
    <row r="313" spans="1:130" ht="34.5" hidden="1" customHeight="1">
      <c r="A313" s="228"/>
      <c r="B313" s="371" t="s">
        <v>1359</v>
      </c>
      <c r="C313" s="155"/>
      <c r="D313" s="75"/>
      <c r="E313" s="75"/>
      <c r="F313" s="75"/>
      <c r="G313" s="400" t="s">
        <v>912</v>
      </c>
      <c r="H313" s="400" t="s">
        <v>1784</v>
      </c>
      <c r="I313" s="207" t="s">
        <v>1785</v>
      </c>
      <c r="J313" s="155" t="str">
        <f>CONCATENATE(G313," ",H313)</f>
        <v>Francesco Inguscio</v>
      </c>
      <c r="K313" s="156">
        <v>3470944047</v>
      </c>
      <c r="L313" s="499" t="s">
        <v>1786</v>
      </c>
      <c r="M313" s="153"/>
      <c r="N313" s="160" t="s">
        <v>1787</v>
      </c>
      <c r="O313" s="402"/>
      <c r="P313" s="315"/>
      <c r="Q313" s="160"/>
      <c r="R313" s="403"/>
      <c r="S313" s="160"/>
      <c r="T313" s="404"/>
      <c r="U313" s="315"/>
      <c r="V313" s="315"/>
      <c r="W313" s="315"/>
      <c r="X313" s="131"/>
      <c r="Y313" s="315"/>
      <c r="Z313" s="315"/>
      <c r="AA313" s="315"/>
      <c r="AB313" s="37"/>
      <c r="AC313" s="131"/>
      <c r="AD313" s="121"/>
      <c r="AE313" s="88"/>
      <c r="AF313" s="405"/>
      <c r="AG313" s="406"/>
      <c r="AH313" s="406"/>
      <c r="AI313" s="405"/>
      <c r="AJ313" s="155"/>
      <c r="AK313" s="155"/>
      <c r="AL313" s="155"/>
      <c r="AM313" s="407"/>
      <c r="AN313" s="155"/>
      <c r="AO313" s="155"/>
      <c r="AP313" s="155"/>
      <c r="AQ313" s="85"/>
      <c r="AR313" s="121"/>
      <c r="AS313" s="121"/>
      <c r="AT313" s="121"/>
      <c r="AU313" s="408"/>
      <c r="AV313" s="75"/>
      <c r="AW313" s="121"/>
      <c r="AX313" s="121"/>
      <c r="AY313" s="85"/>
      <c r="AZ313" s="121"/>
      <c r="BA313" s="121"/>
      <c r="BB313" s="121"/>
      <c r="BC313" s="85"/>
      <c r="BD313" s="121" t="s">
        <v>335</v>
      </c>
      <c r="BE313" s="121" t="s">
        <v>245</v>
      </c>
      <c r="BF313" s="121" t="s">
        <v>245</v>
      </c>
      <c r="BG313" s="408"/>
      <c r="BH313" s="238">
        <f>CF313+CI313+CL313+CO313+CR313</f>
        <v>2997</v>
      </c>
      <c r="BI313" s="238">
        <f>CH313+CK313+CN313+CQ313+CT313</f>
        <v>0</v>
      </c>
      <c r="BJ313" s="238">
        <f>BH313-BI313</f>
        <v>2997</v>
      </c>
      <c r="BK313" s="239"/>
      <c r="BL313" s="260"/>
      <c r="BM313" s="241"/>
      <c r="BN313" s="142"/>
      <c r="BO313" s="182">
        <v>2997</v>
      </c>
      <c r="BP313" s="105" t="s">
        <v>166</v>
      </c>
      <c r="BQ313" s="98">
        <v>0.15</v>
      </c>
      <c r="BR313" s="409"/>
      <c r="BS313" s="242">
        <f>BL313*BQ313</f>
        <v>0</v>
      </c>
      <c r="BT313" s="203">
        <f>BM313*BQ313</f>
        <v>0</v>
      </c>
      <c r="BU313" s="167">
        <f>BN313*BQ313</f>
        <v>0</v>
      </c>
      <c r="BV313" s="168">
        <f>BO313*BQ313</f>
        <v>449.55</v>
      </c>
      <c r="BW313" s="131"/>
      <c r="BX313" s="105" t="s">
        <v>166</v>
      </c>
      <c r="BY313" s="145">
        <v>0.05</v>
      </c>
      <c r="BZ313" s="262"/>
      <c r="CA313" s="242">
        <f>BL313*BY313</f>
        <v>0</v>
      </c>
      <c r="CB313" s="101">
        <f>BM313*BY313</f>
        <v>0</v>
      </c>
      <c r="CC313" s="106">
        <f>BN313*BY313</f>
        <v>0</v>
      </c>
      <c r="CD313" s="107">
        <f>BO313*BY313</f>
        <v>149.85</v>
      </c>
      <c r="CE313" s="411"/>
      <c r="CF313" s="108">
        <v>2997</v>
      </c>
      <c r="CG313" s="130" t="s">
        <v>153</v>
      </c>
      <c r="CH313" s="414"/>
      <c r="CI313" s="415"/>
      <c r="CJ313" s="416"/>
      <c r="CK313" s="415"/>
      <c r="CL313" s="415"/>
      <c r="CM313" s="416"/>
      <c r="CN313" s="415"/>
      <c r="CO313" s="263"/>
      <c r="CP313" s="263"/>
      <c r="CQ313" s="263"/>
      <c r="CR313" s="263"/>
      <c r="CS313" s="263"/>
      <c r="CT313" s="263"/>
      <c r="CU313" s="90">
        <v>1</v>
      </c>
      <c r="CV313" s="181"/>
      <c r="CW313" s="181"/>
      <c r="CX313" s="181"/>
      <c r="CY313" s="155"/>
      <c r="CZ313" s="121"/>
      <c r="DA313" s="424" t="s">
        <v>1788</v>
      </c>
      <c r="DB313" s="115" t="str">
        <f>PROPER(N313)</f>
        <v>Rainmakers</v>
      </c>
      <c r="DC313" s="280" t="s">
        <v>264</v>
      </c>
      <c r="DD313" s="116" t="str">
        <f>BP313</f>
        <v>Matteo</v>
      </c>
      <c r="DE313" s="117" t="b">
        <f>IF(OR(D313&gt;0),IF(BJ313=0,BN313*BQ313,0))</f>
        <v>0</v>
      </c>
      <c r="DF313" s="117" t="b">
        <f>IF(OR(D313&gt;0),IF(BJ313=0,BN313*BY313,0))</f>
        <v>0</v>
      </c>
      <c r="DG313" s="118" t="str">
        <f>BX313</f>
        <v>Matteo</v>
      </c>
      <c r="DH313" s="76"/>
      <c r="DI313" s="120" t="s">
        <v>154</v>
      </c>
      <c r="DJ313" s="120"/>
      <c r="DK313" s="74" t="s">
        <v>1418</v>
      </c>
      <c r="DL313" s="74" t="s">
        <v>1418</v>
      </c>
      <c r="DM313" s="122"/>
      <c r="DN313" s="6"/>
      <c r="DO313" s="6"/>
      <c r="DP313" s="6"/>
      <c r="DQ313" s="6"/>
      <c r="DR313" s="6"/>
      <c r="DS313" s="6"/>
      <c r="DT313" s="6"/>
      <c r="DU313" s="6"/>
      <c r="DV313" s="6"/>
      <c r="DW313" s="6"/>
      <c r="DX313" s="6"/>
      <c r="DY313" s="6"/>
      <c r="DZ313" s="6"/>
    </row>
    <row r="314" spans="1:130" ht="34.5" hidden="1" customHeight="1">
      <c r="A314" s="228"/>
      <c r="B314" s="75" t="s">
        <v>1928</v>
      </c>
      <c r="C314" s="155"/>
      <c r="D314" s="75"/>
      <c r="E314" s="75"/>
      <c r="F314" s="75"/>
      <c r="G314" s="181" t="s">
        <v>2418</v>
      </c>
      <c r="H314" s="181" t="s">
        <v>2419</v>
      </c>
      <c r="I314" s="207" t="s">
        <v>2420</v>
      </c>
      <c r="J314" s="179" t="str">
        <f>CONCATENATE(G314," ",H314)</f>
        <v>Marta Azzurra Brognoli</v>
      </c>
      <c r="K314" s="676"/>
      <c r="L314" s="131" t="s">
        <v>2421</v>
      </c>
      <c r="M314" s="131"/>
      <c r="N314" s="160" t="s">
        <v>2422</v>
      </c>
      <c r="O314" s="1937"/>
      <c r="P314" s="328"/>
      <c r="Q314" s="255"/>
      <c r="R314" s="131" t="s">
        <v>2423</v>
      </c>
      <c r="S314" s="207"/>
      <c r="T314" s="1956"/>
      <c r="U314" s="247"/>
      <c r="V314" s="247"/>
      <c r="W314" s="329"/>
      <c r="X314" s="131"/>
      <c r="Y314" s="329"/>
      <c r="Z314" s="329"/>
      <c r="AA314" s="329"/>
      <c r="AB314" s="255"/>
      <c r="AC314" s="131"/>
      <c r="AD314" s="255"/>
      <c r="AE314" s="161" t="s">
        <v>2421</v>
      </c>
      <c r="AF314" s="405"/>
      <c r="AG314" s="516"/>
      <c r="AH314" s="516"/>
      <c r="AI314" s="405"/>
      <c r="AJ314" s="155" t="s">
        <v>115</v>
      </c>
      <c r="AK314" s="155" t="s">
        <v>115</v>
      </c>
      <c r="AL314" s="155"/>
      <c r="AM314" s="405"/>
      <c r="AN314" s="155"/>
      <c r="AO314" s="155"/>
      <c r="AP314" s="155"/>
      <c r="AQ314" s="1981"/>
      <c r="AR314" s="121"/>
      <c r="AS314" s="121"/>
      <c r="AT314" s="154" t="s">
        <v>297</v>
      </c>
      <c r="AU314" s="1990"/>
      <c r="AV314" s="75"/>
      <c r="AW314" s="121"/>
      <c r="AX314" s="153"/>
      <c r="AY314" s="1981"/>
      <c r="AZ314" s="121"/>
      <c r="BA314" s="121"/>
      <c r="BB314" s="162" t="s">
        <v>115</v>
      </c>
      <c r="BC314" s="1981"/>
      <c r="BD314" s="121"/>
      <c r="BE314" s="121"/>
      <c r="BF314" s="121"/>
      <c r="BG314" s="1990"/>
      <c r="BH314" s="238">
        <f>CF314+CI314+CL314+CO314+CR314</f>
        <v>0</v>
      </c>
      <c r="BI314" s="238"/>
      <c r="BJ314" s="238"/>
      <c r="BK314" s="239"/>
      <c r="BL314" s="260"/>
      <c r="BM314" s="241"/>
      <c r="BN314" s="142"/>
      <c r="BO314" s="182"/>
      <c r="BP314" s="2039"/>
      <c r="BQ314" s="145"/>
      <c r="BR314" s="409"/>
      <c r="BS314" s="242"/>
      <c r="BT314" s="203"/>
      <c r="BU314" s="102">
        <f>BN314*BQ314</f>
        <v>0</v>
      </c>
      <c r="BV314" s="168">
        <f>BO314*BQ314</f>
        <v>0</v>
      </c>
      <c r="BW314" s="529"/>
      <c r="BX314" s="2039"/>
      <c r="BY314" s="145"/>
      <c r="BZ314" s="262"/>
      <c r="CA314" s="242"/>
      <c r="CB314" s="101">
        <f>BM314*BY314</f>
        <v>0</v>
      </c>
      <c r="CC314" s="106">
        <f>BN314*BY314</f>
        <v>0</v>
      </c>
      <c r="CD314" s="107">
        <f>BO314*BY314</f>
        <v>0</v>
      </c>
      <c r="CE314" s="532"/>
      <c r="CF314" s="2096"/>
      <c r="CG314" s="2096"/>
      <c r="CH314" s="2096"/>
      <c r="CI314" s="338"/>
      <c r="CJ314" s="338"/>
      <c r="CK314" s="338"/>
      <c r="CL314" s="338"/>
      <c r="CM314" s="338"/>
      <c r="CN314" s="338"/>
      <c r="CO314" s="338"/>
      <c r="CP314" s="338"/>
      <c r="CQ314" s="338"/>
      <c r="CR314" s="338"/>
      <c r="CS314" s="338"/>
      <c r="CT314" s="338"/>
      <c r="CU314" s="90">
        <v>1</v>
      </c>
      <c r="CV314" s="181"/>
      <c r="CW314" s="181"/>
      <c r="CX314" s="181"/>
      <c r="CY314" s="181"/>
      <c r="CZ314" s="121"/>
      <c r="DA314" s="131"/>
      <c r="DB314" s="115" t="str">
        <f>PROPER(N314)</f>
        <v>Marta Azzurra Brognoli</v>
      </c>
      <c r="DC314" s="191"/>
      <c r="DD314" s="116">
        <f>BP314</f>
        <v>0</v>
      </c>
      <c r="DE314" s="117" t="b">
        <f>IF(OR(D314&gt;0),IF(BJ314=0,BN314*BQ314,0))</f>
        <v>0</v>
      </c>
      <c r="DF314" s="117" t="b">
        <f>IF(OR(D314&gt;0),IF(BJ314=0,BN314*BY314,0))</f>
        <v>0</v>
      </c>
      <c r="DG314" s="2173">
        <f>BX314</f>
        <v>0</v>
      </c>
      <c r="DH314" s="510"/>
      <c r="DI314" s="120" t="s">
        <v>126</v>
      </c>
      <c r="DJ314" s="120"/>
      <c r="DK314" s="181"/>
      <c r="DL314" s="181"/>
      <c r="DM314" s="248"/>
    </row>
    <row r="315" spans="1:130" ht="34.5" hidden="1" customHeight="1">
      <c r="A315" s="3"/>
      <c r="B315" s="75" t="s">
        <v>108</v>
      </c>
      <c r="C315" s="121"/>
      <c r="D315" s="75">
        <v>1</v>
      </c>
      <c r="E315" s="75">
        <v>1</v>
      </c>
      <c r="F315" s="75"/>
      <c r="G315" s="79" t="s">
        <v>724</v>
      </c>
      <c r="H315" s="79" t="s">
        <v>725</v>
      </c>
      <c r="I315" s="131" t="s">
        <v>726</v>
      </c>
      <c r="J315" s="121" t="str">
        <f>CONCATENATE(G315," ",H315)</f>
        <v>Marta Nistico</v>
      </c>
      <c r="K315" s="156">
        <v>3463125965</v>
      </c>
      <c r="L315" s="157"/>
      <c r="M315" s="176"/>
      <c r="N315" s="160" t="s">
        <v>139</v>
      </c>
      <c r="O315" s="407"/>
      <c r="P315" s="1941"/>
      <c r="Q315" s="86"/>
      <c r="R315" s="86"/>
      <c r="S315" s="86"/>
      <c r="T315" s="1953"/>
      <c r="U315" s="1941"/>
      <c r="V315" s="1941"/>
      <c r="W315" s="1941"/>
      <c r="X315" s="86"/>
      <c r="Y315" s="1960"/>
      <c r="Z315" s="1941"/>
      <c r="AA315" s="1941"/>
      <c r="AB315" s="86"/>
      <c r="AC315" s="86"/>
      <c r="AD315" s="86" t="s">
        <v>140</v>
      </c>
      <c r="AE315" s="88">
        <f>L315</f>
        <v>0</v>
      </c>
      <c r="AF315" s="407"/>
      <c r="AG315" s="121"/>
      <c r="AH315" s="121"/>
      <c r="AI315" s="407"/>
      <c r="AJ315" s="121"/>
      <c r="AK315" s="121"/>
      <c r="AL315" s="121"/>
      <c r="AM315" s="407"/>
      <c r="AN315" s="155"/>
      <c r="AO315" s="155"/>
      <c r="AP315" s="155"/>
      <c r="AQ315" s="1982"/>
      <c r="AR315" s="121"/>
      <c r="AS315" s="121"/>
      <c r="AT315" s="121"/>
      <c r="AU315" s="408"/>
      <c r="AV315" s="75"/>
      <c r="AW315" s="121"/>
      <c r="AX315" s="121"/>
      <c r="AY315" s="1982"/>
      <c r="AZ315" s="121" t="s">
        <v>115</v>
      </c>
      <c r="BA315" s="121" t="s">
        <v>115</v>
      </c>
      <c r="BB315" s="135" t="s">
        <v>115</v>
      </c>
      <c r="BC315" s="1982"/>
      <c r="BD315" s="121"/>
      <c r="BE315" s="121"/>
      <c r="BF315" s="121"/>
      <c r="BG315" s="408"/>
      <c r="BH315" s="238">
        <f>CF315+CI315+CL315+CO315+CR315</f>
        <v>2797</v>
      </c>
      <c r="BI315" s="238">
        <f>CH315+CK315+CN315+CQ315+CT315</f>
        <v>2797</v>
      </c>
      <c r="BJ315" s="238">
        <f>BH315-BI315</f>
        <v>0</v>
      </c>
      <c r="BK315" s="199"/>
      <c r="BL315" s="200"/>
      <c r="BM315" s="241"/>
      <c r="BN315" s="142">
        <v>2797</v>
      </c>
      <c r="BO315" s="182"/>
      <c r="BP315" s="281" t="s">
        <v>141</v>
      </c>
      <c r="BQ315" s="98">
        <v>0.15</v>
      </c>
      <c r="BR315" s="2057"/>
      <c r="BS315" s="202"/>
      <c r="BT315" s="203">
        <f>BM315*BQ315</f>
        <v>0</v>
      </c>
      <c r="BU315" s="102"/>
      <c r="BV315" s="168">
        <f>BO315*BQ315</f>
        <v>0</v>
      </c>
      <c r="BW315" s="131" t="s">
        <v>142</v>
      </c>
      <c r="BX315" s="105" t="s">
        <v>141</v>
      </c>
      <c r="BY315" s="98">
        <v>0.05</v>
      </c>
      <c r="BZ315" s="2058"/>
      <c r="CA315" s="202"/>
      <c r="CB315" s="101">
        <f>BM315*BY315</f>
        <v>0</v>
      </c>
      <c r="CC315" s="106"/>
      <c r="CD315" s="107">
        <f>BO315*BY315</f>
        <v>0</v>
      </c>
      <c r="CE315" s="131" t="s">
        <v>142</v>
      </c>
      <c r="CF315" s="108">
        <v>2797</v>
      </c>
      <c r="CG315" s="109">
        <v>45008</v>
      </c>
      <c r="CH315" s="108">
        <v>2797</v>
      </c>
      <c r="CI315" s="110"/>
      <c r="CJ315" s="226"/>
      <c r="CK315" s="206"/>
      <c r="CL315" s="206"/>
      <c r="CM315" s="226"/>
      <c r="CN315" s="206"/>
      <c r="CO315" s="206"/>
      <c r="CP315" s="206"/>
      <c r="CQ315" s="206"/>
      <c r="CR315" s="206"/>
      <c r="CS315" s="206"/>
      <c r="CT315" s="206"/>
      <c r="CU315" s="90">
        <v>1</v>
      </c>
      <c r="CV315" s="181" t="s">
        <v>121</v>
      </c>
      <c r="CW315" s="181"/>
      <c r="CX315" s="207"/>
      <c r="CY315" s="155" t="s">
        <v>122</v>
      </c>
      <c r="CZ315" s="155"/>
      <c r="DA315" s="131" t="s">
        <v>143</v>
      </c>
      <c r="DB315" s="115" t="str">
        <f>PROPER(N315)</f>
        <v>Ribes Solutions</v>
      </c>
      <c r="DC315" s="191" t="s">
        <v>144</v>
      </c>
      <c r="DD315" s="116" t="str">
        <f>BP315</f>
        <v>Daniele</v>
      </c>
      <c r="DE315" s="117">
        <f>IF(OR(D315&gt;0),IF(BJ315=0,BN315*BQ315,0))</f>
        <v>419.55</v>
      </c>
      <c r="DF315" s="117">
        <f>IF(OR(D315&gt;0),IF(BJ315=0,BN315*BY315,0))</f>
        <v>139.85</v>
      </c>
      <c r="DG315" s="116" t="str">
        <f>BX315</f>
        <v>Daniele</v>
      </c>
      <c r="DH315" s="76"/>
      <c r="DI315" s="120" t="s">
        <v>126</v>
      </c>
      <c r="DJ315" s="120"/>
      <c r="DK315" s="121"/>
      <c r="DL315" s="121"/>
      <c r="DM315" s="122">
        <v>1</v>
      </c>
      <c r="DN315" s="6"/>
      <c r="DO315" s="6"/>
      <c r="DP315" s="6"/>
      <c r="DQ315" s="6"/>
      <c r="DR315" s="6"/>
      <c r="DS315" s="6"/>
      <c r="DT315" s="6"/>
      <c r="DU315" s="6"/>
      <c r="DV315" s="6"/>
      <c r="DW315" s="6"/>
      <c r="DX315" s="6"/>
      <c r="DY315" s="6"/>
      <c r="DZ315" s="6"/>
    </row>
    <row r="316" spans="1:130" ht="34.5" hidden="1" customHeight="1">
      <c r="A316" s="228"/>
      <c r="B316" s="75" t="s">
        <v>1928</v>
      </c>
      <c r="C316" s="155"/>
      <c r="D316" s="75">
        <v>1</v>
      </c>
      <c r="E316" s="75">
        <v>1</v>
      </c>
      <c r="F316" s="75"/>
      <c r="G316" s="612" t="s">
        <v>1134</v>
      </c>
      <c r="H316" s="181" t="s">
        <v>2324</v>
      </c>
      <c r="I316" s="294" t="s">
        <v>2325</v>
      </c>
      <c r="J316" s="121" t="str">
        <f>CONCATENATE(G316," ",H316)</f>
        <v>Massimo Confalonieri</v>
      </c>
      <c r="K316" s="224">
        <v>3487812823</v>
      </c>
      <c r="L316" s="291" t="s">
        <v>2326</v>
      </c>
      <c r="M316" s="131"/>
      <c r="N316" s="160" t="s">
        <v>2327</v>
      </c>
      <c r="O316" s="562"/>
      <c r="P316" s="245"/>
      <c r="Q316" s="255"/>
      <c r="R316" s="131"/>
      <c r="S316" s="131"/>
      <c r="T316" s="318"/>
      <c r="U316" s="251"/>
      <c r="V316" s="251"/>
      <c r="W316" s="329"/>
      <c r="X316" s="131"/>
      <c r="Y316" s="329"/>
      <c r="Z316" s="329"/>
      <c r="AA316" s="329"/>
      <c r="AB316" s="255"/>
      <c r="AC316" s="131"/>
      <c r="AD316" s="37" t="s">
        <v>118</v>
      </c>
      <c r="AE316" s="138"/>
      <c r="AF316" s="405"/>
      <c r="AG316" s="516"/>
      <c r="AH316" s="516"/>
      <c r="AI316" s="405"/>
      <c r="AJ316" s="155"/>
      <c r="AK316" s="155"/>
      <c r="AL316" s="155"/>
      <c r="AM316" s="405"/>
      <c r="AN316" s="155"/>
      <c r="AO316" s="155"/>
      <c r="AP316" s="155"/>
      <c r="AQ316" s="1981"/>
      <c r="AR316" s="616"/>
      <c r="AS316" s="616"/>
      <c r="AT316" s="616"/>
      <c r="AU316" s="1990"/>
      <c r="AV316" s="75"/>
      <c r="AW316" s="121"/>
      <c r="AX316" s="121"/>
      <c r="AY316" s="1981"/>
      <c r="AZ316" s="121" t="s">
        <v>116</v>
      </c>
      <c r="BA316" s="121" t="s">
        <v>116</v>
      </c>
      <c r="BB316" s="162" t="s">
        <v>116</v>
      </c>
      <c r="BC316" s="1981"/>
      <c r="BD316" s="121"/>
      <c r="BE316" s="121"/>
      <c r="BF316" s="121"/>
      <c r="BG316" s="1990"/>
      <c r="BH316" s="238"/>
      <c r="BI316" s="238"/>
      <c r="BJ316" s="238"/>
      <c r="BK316" s="239"/>
      <c r="BL316" s="260"/>
      <c r="BM316" s="241"/>
      <c r="BN316" s="142"/>
      <c r="BO316" s="182"/>
      <c r="BP316" s="2039"/>
      <c r="BQ316" s="145"/>
      <c r="BR316" s="409"/>
      <c r="BS316" s="242"/>
      <c r="BT316" s="203"/>
      <c r="BU316" s="167">
        <f>BN316*BQ316</f>
        <v>0</v>
      </c>
      <c r="BV316" s="168">
        <f>BO316*BQ316</f>
        <v>0</v>
      </c>
      <c r="BW316" s="529"/>
      <c r="BX316" s="2039"/>
      <c r="BY316" s="145"/>
      <c r="BZ316" s="262"/>
      <c r="CA316" s="242"/>
      <c r="CB316" s="101"/>
      <c r="CC316" s="106">
        <f>BN316*BY316</f>
        <v>0</v>
      </c>
      <c r="CD316" s="107">
        <f>BO316*BY316</f>
        <v>0</v>
      </c>
      <c r="CE316" s="566"/>
      <c r="CF316" s="2096"/>
      <c r="CG316" s="2096"/>
      <c r="CH316" s="2096"/>
      <c r="CI316" s="338"/>
      <c r="CJ316" s="338"/>
      <c r="CK316" s="338"/>
      <c r="CL316" s="338"/>
      <c r="CM316" s="338"/>
      <c r="CN316" s="338"/>
      <c r="CO316" s="338"/>
      <c r="CP316" s="338"/>
      <c r="CQ316" s="338"/>
      <c r="CR316" s="338"/>
      <c r="CS316" s="338"/>
      <c r="CT316" s="338"/>
      <c r="CU316" s="90">
        <v>1</v>
      </c>
      <c r="CV316" s="181"/>
      <c r="CW316" s="181"/>
      <c r="CX316" s="207"/>
      <c r="CY316" s="155" t="s">
        <v>215</v>
      </c>
      <c r="CZ316" s="155"/>
      <c r="DA316" s="208" t="s">
        <v>2328</v>
      </c>
      <c r="DB316" s="115" t="str">
        <f>PROPER(N316)</f>
        <v>Duplex Brianza</v>
      </c>
      <c r="DC316" s="191" t="s">
        <v>2329</v>
      </c>
      <c r="DD316" s="116">
        <f>BP316</f>
        <v>0</v>
      </c>
      <c r="DE316" s="117">
        <f>IF(OR(D316&gt;0),IF(BJ316=0,BN316*BQ316,0))</f>
        <v>0</v>
      </c>
      <c r="DF316" s="117">
        <f>IF(OR(D316&gt;0),IF(BJ316=0,BN316*BY316,0))</f>
        <v>0</v>
      </c>
      <c r="DG316" s="533">
        <f>BX316</f>
        <v>0</v>
      </c>
      <c r="DH316" s="76"/>
      <c r="DI316" s="120" t="s">
        <v>126</v>
      </c>
      <c r="DJ316" s="120"/>
      <c r="DK316" s="207"/>
      <c r="DL316" s="207"/>
      <c r="DM316" s="248">
        <v>1</v>
      </c>
    </row>
    <row r="317" spans="1:130" ht="34.5" hidden="1" customHeight="1">
      <c r="A317" s="228"/>
      <c r="B317" s="371" t="s">
        <v>1359</v>
      </c>
      <c r="C317" s="155"/>
      <c r="D317" s="75"/>
      <c r="E317" s="75"/>
      <c r="F317" s="75"/>
      <c r="G317" s="400" t="s">
        <v>1805</v>
      </c>
      <c r="H317" s="400" t="s">
        <v>1806</v>
      </c>
      <c r="I317" s="294" t="s">
        <v>1807</v>
      </c>
      <c r="J317" s="155" t="str">
        <f>CONCATENATE(G317," ",H317)</f>
        <v>Gaspare Schillaci</v>
      </c>
      <c r="K317" s="156">
        <v>3923590716</v>
      </c>
      <c r="L317" s="445" t="s">
        <v>1808</v>
      </c>
      <c r="M317" s="153"/>
      <c r="N317" s="160"/>
      <c r="O317" s="402"/>
      <c r="P317" s="315"/>
      <c r="Q317" s="160"/>
      <c r="R317" s="403"/>
      <c r="S317" s="160"/>
      <c r="T317" s="404"/>
      <c r="U317" s="315"/>
      <c r="V317" s="315"/>
      <c r="W317" s="315"/>
      <c r="X317" s="131"/>
      <c r="Y317" s="315"/>
      <c r="Z317" s="315"/>
      <c r="AA317" s="315"/>
      <c r="AB317" s="37"/>
      <c r="AC317" s="131"/>
      <c r="AD317" s="121"/>
      <c r="AE317" s="88"/>
      <c r="AF317" s="405"/>
      <c r="AG317" s="406"/>
      <c r="AH317" s="406"/>
      <c r="AI317" s="405"/>
      <c r="AJ317" s="155"/>
      <c r="AK317" s="155"/>
      <c r="AL317" s="155"/>
      <c r="AM317" s="407"/>
      <c r="AN317" s="155"/>
      <c r="AO317" s="155"/>
      <c r="AP317" s="155"/>
      <c r="AQ317" s="85"/>
      <c r="AR317" s="121"/>
      <c r="AS317" s="121"/>
      <c r="AT317" s="121"/>
      <c r="AU317" s="408"/>
      <c r="AV317" s="75"/>
      <c r="AW317" s="121"/>
      <c r="AX317" s="121"/>
      <c r="AY317" s="85"/>
      <c r="AZ317" s="121"/>
      <c r="BA317" s="121"/>
      <c r="BB317" s="121"/>
      <c r="BC317" s="85"/>
      <c r="BD317" s="121" t="s">
        <v>151</v>
      </c>
      <c r="BE317" s="121" t="s">
        <v>151</v>
      </c>
      <c r="BF317" s="121" t="s">
        <v>151</v>
      </c>
      <c r="BG317" s="408"/>
      <c r="BH317" s="238">
        <f>CF317+CI317+CL317+CO317+CR317</f>
        <v>0</v>
      </c>
      <c r="BI317" s="238">
        <f>CH317+CK317+CN317+CQ317+CT317</f>
        <v>0</v>
      </c>
      <c r="BJ317" s="238">
        <f>BH317-BI317</f>
        <v>0</v>
      </c>
      <c r="BK317" s="239"/>
      <c r="BL317" s="260"/>
      <c r="BM317" s="241"/>
      <c r="BN317" s="142"/>
      <c r="BO317" s="182"/>
      <c r="BP317" s="105" t="s">
        <v>166</v>
      </c>
      <c r="BQ317" s="98">
        <v>0.15</v>
      </c>
      <c r="BR317" s="409"/>
      <c r="BS317" s="242">
        <f>BL317*BQ317</f>
        <v>0</v>
      </c>
      <c r="BT317" s="203">
        <f>BM317*BQ317</f>
        <v>0</v>
      </c>
      <c r="BU317" s="167">
        <f>BN317*BQ317</f>
        <v>0</v>
      </c>
      <c r="BV317" s="168">
        <f>BO317*BQ317</f>
        <v>0</v>
      </c>
      <c r="BW317" s="131"/>
      <c r="BX317" s="105" t="s">
        <v>166</v>
      </c>
      <c r="BY317" s="145">
        <v>0.05</v>
      </c>
      <c r="BZ317" s="262"/>
      <c r="CA317" s="242">
        <f>BL317*BY317</f>
        <v>0</v>
      </c>
      <c r="CB317" s="101">
        <f>BM317*BY317</f>
        <v>0</v>
      </c>
      <c r="CC317" s="106">
        <f>BN317*BY317</f>
        <v>0</v>
      </c>
      <c r="CD317" s="107">
        <f>BO317*BY317</f>
        <v>0</v>
      </c>
      <c r="CE317" s="411"/>
      <c r="CF317" s="108">
        <v>0</v>
      </c>
      <c r="CG317" s="130" t="s">
        <v>153</v>
      </c>
      <c r="CH317" s="414"/>
      <c r="CI317" s="415"/>
      <c r="CJ317" s="416"/>
      <c r="CK317" s="415"/>
      <c r="CL317" s="415"/>
      <c r="CM317" s="416"/>
      <c r="CN317" s="415"/>
      <c r="CO317" s="263"/>
      <c r="CP317" s="263"/>
      <c r="CQ317" s="263"/>
      <c r="CR317" s="263"/>
      <c r="CS317" s="263"/>
      <c r="CT317" s="263"/>
      <c r="CU317" s="90">
        <v>1</v>
      </c>
      <c r="CV317" s="181"/>
      <c r="CW317" s="181"/>
      <c r="CX317" s="181"/>
      <c r="CY317" s="155"/>
      <c r="CZ317" s="121"/>
      <c r="DA317" s="424"/>
      <c r="DB317" s="115" t="str">
        <f>PROPER(N317)</f>
        <v/>
      </c>
      <c r="DC317" s="280" t="s">
        <v>125</v>
      </c>
      <c r="DD317" s="116" t="str">
        <f>BP317</f>
        <v>Matteo</v>
      </c>
      <c r="DE317" s="117" t="b">
        <f>IF(OR(D317&gt;0),IF(BJ317=0,BN317*BQ317,0))</f>
        <v>0</v>
      </c>
      <c r="DF317" s="117" t="b">
        <f>IF(OR(D317&gt;0),IF(BJ317=0,BN317*BY317,0))</f>
        <v>0</v>
      </c>
      <c r="DG317" s="118" t="str">
        <f>BX317</f>
        <v>Matteo</v>
      </c>
      <c r="DH317" s="76"/>
      <c r="DI317" s="120" t="s">
        <v>154</v>
      </c>
      <c r="DJ317" s="120"/>
      <c r="DK317" s="74" t="s">
        <v>1366</v>
      </c>
      <c r="DL317" s="74" t="s">
        <v>1366</v>
      </c>
      <c r="DM317" s="122"/>
      <c r="DN317" s="6"/>
      <c r="DO317" s="6"/>
      <c r="DP317" s="6"/>
      <c r="DQ317" s="6"/>
      <c r="DR317" s="6"/>
      <c r="DS317" s="6"/>
      <c r="DT317" s="6"/>
      <c r="DU317" s="6"/>
      <c r="DV317" s="6"/>
      <c r="DW317" s="6"/>
      <c r="DX317" s="6"/>
      <c r="DY317" s="6"/>
      <c r="DZ317" s="6"/>
    </row>
    <row r="318" spans="1:130" ht="34.5" hidden="1" customHeight="1">
      <c r="A318" s="228"/>
      <c r="B318" s="75" t="s">
        <v>1359</v>
      </c>
      <c r="C318" s="155"/>
      <c r="D318" s="75"/>
      <c r="E318" s="75"/>
      <c r="F318" s="75"/>
      <c r="G318" s="400" t="s">
        <v>563</v>
      </c>
      <c r="H318" s="400" t="s">
        <v>1809</v>
      </c>
      <c r="I318" s="207" t="s">
        <v>1810</v>
      </c>
      <c r="J318" s="155" t="str">
        <f>CONCATENATE(G318," ",H318)</f>
        <v>Giorgio Carrara</v>
      </c>
      <c r="K318" s="156">
        <v>3470717159</v>
      </c>
      <c r="L318" s="435"/>
      <c r="M318" s="153" t="s">
        <v>1177</v>
      </c>
      <c r="N318" s="160" t="s">
        <v>1811</v>
      </c>
      <c r="O318" s="402"/>
      <c r="P318" s="315"/>
      <c r="Q318" s="160"/>
      <c r="R318" s="403"/>
      <c r="S318" s="160"/>
      <c r="T318" s="404"/>
      <c r="U318" s="315"/>
      <c r="V318" s="315"/>
      <c r="W318" s="315"/>
      <c r="X318" s="131"/>
      <c r="Y318" s="315"/>
      <c r="Z318" s="315"/>
      <c r="AA318" s="315"/>
      <c r="AB318" s="37"/>
      <c r="AC318" s="131"/>
      <c r="AD318" s="121" t="s">
        <v>1812</v>
      </c>
      <c r="AE318" s="88"/>
      <c r="AF318" s="405"/>
      <c r="AG318" s="406"/>
      <c r="AH318" s="406"/>
      <c r="AI318" s="405"/>
      <c r="AJ318" s="155"/>
      <c r="AK318" s="155"/>
      <c r="AL318" s="155"/>
      <c r="AM318" s="407"/>
      <c r="AN318" s="155"/>
      <c r="AO318" s="155"/>
      <c r="AP318" s="155"/>
      <c r="AQ318" s="85"/>
      <c r="AR318" s="121"/>
      <c r="AS318" s="121"/>
      <c r="AT318" s="121"/>
      <c r="AU318" s="408"/>
      <c r="AV318" s="75"/>
      <c r="AW318" s="121"/>
      <c r="AX318" s="121"/>
      <c r="AY318" s="85"/>
      <c r="AZ318" s="121"/>
      <c r="BA318" s="121"/>
      <c r="BB318" s="121"/>
      <c r="BC318" s="85"/>
      <c r="BD318" s="121" t="s">
        <v>115</v>
      </c>
      <c r="BE318" s="121" t="s">
        <v>115</v>
      </c>
      <c r="BF318" s="121" t="s">
        <v>115</v>
      </c>
      <c r="BG318" s="408"/>
      <c r="BH318" s="238">
        <f>CF318+CI318+CL318+CO318+CR318</f>
        <v>2997</v>
      </c>
      <c r="BI318" s="238">
        <f>CH318+CK318+CN318+CQ318+CT318</f>
        <v>2997</v>
      </c>
      <c r="BJ318" s="238">
        <f>BH318-BI318</f>
        <v>0</v>
      </c>
      <c r="BK318" s="239"/>
      <c r="BL318" s="260"/>
      <c r="BM318" s="241"/>
      <c r="BN318" s="142"/>
      <c r="BO318" s="182">
        <v>2997</v>
      </c>
      <c r="BP318" s="105" t="s">
        <v>166</v>
      </c>
      <c r="BQ318" s="98">
        <v>0.15</v>
      </c>
      <c r="BR318" s="409"/>
      <c r="BS318" s="242">
        <f>BL318*BQ318</f>
        <v>0</v>
      </c>
      <c r="BT318" s="203">
        <f>BM318*BQ318</f>
        <v>0</v>
      </c>
      <c r="BU318" s="167">
        <f>BN318*BQ318</f>
        <v>0</v>
      </c>
      <c r="BV318" s="168">
        <f>BO318*BQ318</f>
        <v>449.55</v>
      </c>
      <c r="BW318" s="131"/>
      <c r="BX318" s="105" t="s">
        <v>166</v>
      </c>
      <c r="BY318" s="145">
        <v>0.05</v>
      </c>
      <c r="BZ318" s="262"/>
      <c r="CA318" s="242">
        <f>BL318*BY318</f>
        <v>0</v>
      </c>
      <c r="CB318" s="101">
        <f>BM318*BY318</f>
        <v>0</v>
      </c>
      <c r="CC318" s="106">
        <f>BN318*BY318</f>
        <v>0</v>
      </c>
      <c r="CD318" s="107">
        <f>BO318*BY318</f>
        <v>149.85</v>
      </c>
      <c r="CE318" s="411"/>
      <c r="CF318" s="108">
        <v>2997</v>
      </c>
      <c r="CG318" s="109">
        <v>45198</v>
      </c>
      <c r="CH318" s="108">
        <v>2997</v>
      </c>
      <c r="CI318" s="415"/>
      <c r="CJ318" s="416"/>
      <c r="CK318" s="415"/>
      <c r="CL318" s="415"/>
      <c r="CM318" s="416"/>
      <c r="CN318" s="415"/>
      <c r="CO318" s="263"/>
      <c r="CP318" s="263"/>
      <c r="CQ318" s="263"/>
      <c r="CR318" s="263"/>
      <c r="CS318" s="263"/>
      <c r="CT318" s="263"/>
      <c r="CU318" s="90">
        <v>1</v>
      </c>
      <c r="CV318" s="181"/>
      <c r="CW318" s="181"/>
      <c r="CX318" s="181"/>
      <c r="CY318" s="155"/>
      <c r="CZ318" s="121"/>
      <c r="DA318" s="424" t="s">
        <v>1389</v>
      </c>
      <c r="DB318" s="115" t="str">
        <f>PROPER(N318)</f>
        <v>Studio Carrara</v>
      </c>
      <c r="DC318" s="280" t="s">
        <v>264</v>
      </c>
      <c r="DD318" s="116" t="str">
        <f>BP318</f>
        <v>Matteo</v>
      </c>
      <c r="DE318" s="117" t="b">
        <f>IF(OR(D318&gt;0),IF(BJ318=0,BN318*BQ318,0))</f>
        <v>0</v>
      </c>
      <c r="DF318" s="117" t="b">
        <f>IF(OR(D318&gt;0),IF(BJ318=0,BN318*BY318,0))</f>
        <v>0</v>
      </c>
      <c r="DG318" s="118" t="str">
        <f>BX318</f>
        <v>Matteo</v>
      </c>
      <c r="DH318" s="76"/>
      <c r="DI318" s="120" t="s">
        <v>154</v>
      </c>
      <c r="DJ318" s="120"/>
      <c r="DK318" s="74" t="s">
        <v>1366</v>
      </c>
      <c r="DL318" s="74" t="s">
        <v>1366</v>
      </c>
      <c r="DM318" s="122"/>
      <c r="DN318" s="6"/>
      <c r="DO318" s="6"/>
      <c r="DP318" s="6"/>
      <c r="DQ318" s="6"/>
      <c r="DR318" s="6"/>
      <c r="DS318" s="6"/>
      <c r="DT318" s="6"/>
      <c r="DU318" s="6"/>
      <c r="DV318" s="6"/>
      <c r="DW318" s="6"/>
      <c r="DX318" s="6"/>
      <c r="DY318" s="6"/>
      <c r="DZ318" s="6"/>
    </row>
    <row r="319" spans="1:130" ht="34.5" hidden="1" customHeight="1">
      <c r="A319" s="228"/>
      <c r="B319" s="371" t="s">
        <v>1359</v>
      </c>
      <c r="C319" s="155"/>
      <c r="D319" s="75"/>
      <c r="E319" s="75"/>
      <c r="F319" s="75"/>
      <c r="G319" s="400" t="s">
        <v>570</v>
      </c>
      <c r="H319" s="400" t="s">
        <v>1813</v>
      </c>
      <c r="I319" s="294" t="s">
        <v>1814</v>
      </c>
      <c r="J319" s="155" t="str">
        <f>CONCATENATE(G319," ",H319)</f>
        <v>Giovanni Lorenzi</v>
      </c>
      <c r="K319" s="156">
        <v>3357312318</v>
      </c>
      <c r="L319" s="435" t="s">
        <v>1815</v>
      </c>
      <c r="M319" s="153" t="s">
        <v>251</v>
      </c>
      <c r="N319" s="160" t="s">
        <v>1816</v>
      </c>
      <c r="O319" s="402"/>
      <c r="P319" s="315"/>
      <c r="Q319" s="160"/>
      <c r="R319" s="403"/>
      <c r="S319" s="160"/>
      <c r="T319" s="404"/>
      <c r="U319" s="315"/>
      <c r="V319" s="315"/>
      <c r="W319" s="315"/>
      <c r="X319" s="131"/>
      <c r="Y319" s="315"/>
      <c r="Z319" s="315"/>
      <c r="AA319" s="315"/>
      <c r="AB319" s="37"/>
      <c r="AC319" s="131"/>
      <c r="AD319" s="121"/>
      <c r="AE319" s="88"/>
      <c r="AF319" s="405"/>
      <c r="AG319" s="406"/>
      <c r="AH319" s="406"/>
      <c r="AI319" s="405"/>
      <c r="AJ319" s="155"/>
      <c r="AK319" s="155"/>
      <c r="AL319" s="155"/>
      <c r="AM319" s="407"/>
      <c r="AN319" s="155"/>
      <c r="AO319" s="155"/>
      <c r="AP319" s="155"/>
      <c r="AQ319" s="85"/>
      <c r="AR319" s="121"/>
      <c r="AS319" s="121"/>
      <c r="AT319" s="121"/>
      <c r="AU319" s="408"/>
      <c r="AV319" s="75"/>
      <c r="AW319" s="121"/>
      <c r="AX319" s="121"/>
      <c r="AY319" s="85"/>
      <c r="AZ319" s="121"/>
      <c r="BA319" s="121"/>
      <c r="BB319" s="121"/>
      <c r="BC319" s="85"/>
      <c r="BD319" s="121" t="s">
        <v>151</v>
      </c>
      <c r="BE319" s="121" t="s">
        <v>151</v>
      </c>
      <c r="BF319" s="121" t="s">
        <v>151</v>
      </c>
      <c r="BG319" s="408"/>
      <c r="BH319" s="238">
        <f>CF319+CI319+CL319+CO319+CR319</f>
        <v>0</v>
      </c>
      <c r="BI319" s="238">
        <f>CH319+CK319+CN319+CQ319+CT319</f>
        <v>0</v>
      </c>
      <c r="BJ319" s="238">
        <f>BH319-BI319</f>
        <v>0</v>
      </c>
      <c r="BK319" s="239"/>
      <c r="BL319" s="260"/>
      <c r="BM319" s="241"/>
      <c r="BN319" s="142"/>
      <c r="BO319" s="182"/>
      <c r="BP319" s="105" t="s">
        <v>407</v>
      </c>
      <c r="BQ319" s="98">
        <v>0.15</v>
      </c>
      <c r="BR319" s="409"/>
      <c r="BS319" s="242">
        <f>BL319*BQ319</f>
        <v>0</v>
      </c>
      <c r="BT319" s="203">
        <f>BM319*BQ319</f>
        <v>0</v>
      </c>
      <c r="BU319" s="167">
        <f>BN319*BQ319</f>
        <v>0</v>
      </c>
      <c r="BV319" s="168">
        <f>BO319*BQ319</f>
        <v>0</v>
      </c>
      <c r="BW319" s="131"/>
      <c r="BX319" s="105" t="s">
        <v>407</v>
      </c>
      <c r="BY319" s="145">
        <v>0.05</v>
      </c>
      <c r="BZ319" s="262"/>
      <c r="CA319" s="242">
        <f>BL319*BY319</f>
        <v>0</v>
      </c>
      <c r="CB319" s="101">
        <f>BM319*BY319</f>
        <v>0</v>
      </c>
      <c r="CC319" s="106">
        <f>BN319*BY319</f>
        <v>0</v>
      </c>
      <c r="CD319" s="107">
        <f>BO319*BY319</f>
        <v>0</v>
      </c>
      <c r="CE319" s="411"/>
      <c r="CF319" s="108">
        <v>0</v>
      </c>
      <c r="CG319" s="130" t="s">
        <v>153</v>
      </c>
      <c r="CH319" s="414"/>
      <c r="CI319" s="415"/>
      <c r="CJ319" s="416"/>
      <c r="CK319" s="415"/>
      <c r="CL319" s="415"/>
      <c r="CM319" s="416"/>
      <c r="CN319" s="415"/>
      <c r="CO319" s="263"/>
      <c r="CP319" s="263"/>
      <c r="CQ319" s="263"/>
      <c r="CR319" s="263"/>
      <c r="CS319" s="263"/>
      <c r="CT319" s="263"/>
      <c r="CU319" s="90">
        <v>1</v>
      </c>
      <c r="CV319" s="181"/>
      <c r="CW319" s="181"/>
      <c r="CX319" s="181"/>
      <c r="CY319" s="155"/>
      <c r="CZ319" s="121"/>
      <c r="DA319" s="424"/>
      <c r="DB319" s="115" t="str">
        <f>PROPER(N319)</f>
        <v>Cobo Group</v>
      </c>
      <c r="DC319" s="280" t="s">
        <v>1817</v>
      </c>
      <c r="DD319" s="116" t="str">
        <f>BP319</f>
        <v>Stefano</v>
      </c>
      <c r="DE319" s="117" t="b">
        <f>IF(OR(D319&gt;0),IF(BJ319=0,BN319*BQ319,0))</f>
        <v>0</v>
      </c>
      <c r="DF319" s="117" t="b">
        <f>IF(OR(D319&gt;0),IF(BJ319=0,BN319*BY319,0))</f>
        <v>0</v>
      </c>
      <c r="DG319" s="118" t="str">
        <f>BX319</f>
        <v>Stefano</v>
      </c>
      <c r="DH319" s="76"/>
      <c r="DI319" s="120" t="s">
        <v>154</v>
      </c>
      <c r="DJ319" s="120"/>
      <c r="DK319" s="74" t="s">
        <v>1366</v>
      </c>
      <c r="DL319" s="74" t="s">
        <v>1366</v>
      </c>
      <c r="DM319" s="122"/>
      <c r="DN319" s="6"/>
      <c r="DO319" s="6"/>
      <c r="DP319" s="6"/>
      <c r="DQ319" s="6"/>
      <c r="DR319" s="6"/>
      <c r="DS319" s="6"/>
      <c r="DT319" s="6"/>
      <c r="DU319" s="6"/>
      <c r="DV319" s="6"/>
      <c r="DW319" s="6"/>
      <c r="DX319" s="6"/>
      <c r="DY319" s="6"/>
      <c r="DZ319" s="6"/>
    </row>
    <row r="320" spans="1:130" ht="34.5" hidden="1" customHeight="1">
      <c r="A320" s="228"/>
      <c r="B320" s="371" t="s">
        <v>1359</v>
      </c>
      <c r="C320" s="155"/>
      <c r="D320" s="75"/>
      <c r="E320" s="75"/>
      <c r="F320" s="75"/>
      <c r="G320" s="400" t="s">
        <v>570</v>
      </c>
      <c r="H320" s="400" t="s">
        <v>1818</v>
      </c>
      <c r="I320" s="207" t="s">
        <v>1819</v>
      </c>
      <c r="J320" s="155" t="str">
        <f>CONCATENATE(G320," ",H320)</f>
        <v>Giovanni Salice</v>
      </c>
      <c r="K320" s="156">
        <v>3493204769</v>
      </c>
      <c r="L320" s="500" t="s">
        <v>1820</v>
      </c>
      <c r="M320" s="153" t="s">
        <v>1148</v>
      </c>
      <c r="N320" s="160" t="s">
        <v>1821</v>
      </c>
      <c r="O320" s="402"/>
      <c r="P320" s="315"/>
      <c r="Q320" s="160"/>
      <c r="R320" s="403"/>
      <c r="S320" s="160"/>
      <c r="T320" s="404"/>
      <c r="U320" s="315"/>
      <c r="V320" s="315"/>
      <c r="W320" s="315"/>
      <c r="X320" s="131"/>
      <c r="Y320" s="315"/>
      <c r="Z320" s="315"/>
      <c r="AA320" s="315"/>
      <c r="AB320" s="37"/>
      <c r="AC320" s="131"/>
      <c r="AD320" s="121"/>
      <c r="AE320" s="88"/>
      <c r="AF320" s="405"/>
      <c r="AG320" s="406"/>
      <c r="AH320" s="406"/>
      <c r="AI320" s="405"/>
      <c r="AJ320" s="155"/>
      <c r="AK320" s="155"/>
      <c r="AL320" s="155"/>
      <c r="AM320" s="407"/>
      <c r="AN320" s="155"/>
      <c r="AO320" s="155"/>
      <c r="AP320" s="155"/>
      <c r="AQ320" s="85"/>
      <c r="AR320" s="121"/>
      <c r="AS320" s="121"/>
      <c r="AT320" s="121"/>
      <c r="AU320" s="408"/>
      <c r="AV320" s="75"/>
      <c r="AW320" s="121"/>
      <c r="AX320" s="121"/>
      <c r="AY320" s="85"/>
      <c r="AZ320" s="121"/>
      <c r="BA320" s="121"/>
      <c r="BB320" s="121"/>
      <c r="BC320" s="85"/>
      <c r="BD320" s="121" t="s">
        <v>151</v>
      </c>
      <c r="BE320" s="121" t="s">
        <v>151</v>
      </c>
      <c r="BF320" s="121" t="s">
        <v>151</v>
      </c>
      <c r="BG320" s="408"/>
      <c r="BH320" s="238">
        <f>CF320+CI320+CL320+CO320+CR320</f>
        <v>0</v>
      </c>
      <c r="BI320" s="238">
        <f>CH320+CK320+CN320+CQ320+CT320</f>
        <v>0</v>
      </c>
      <c r="BJ320" s="238">
        <f>BH320-BI320</f>
        <v>0</v>
      </c>
      <c r="BK320" s="239"/>
      <c r="BL320" s="260"/>
      <c r="BM320" s="241"/>
      <c r="BN320" s="142"/>
      <c r="BO320" s="182"/>
      <c r="BP320" s="105" t="s">
        <v>160</v>
      </c>
      <c r="BQ320" s="98">
        <v>0.15</v>
      </c>
      <c r="BR320" s="409"/>
      <c r="BS320" s="242">
        <f>BL320*BQ320</f>
        <v>0</v>
      </c>
      <c r="BT320" s="203">
        <f>BM320*BQ320</f>
        <v>0</v>
      </c>
      <c r="BU320" s="167">
        <f>BN320*BQ320</f>
        <v>0</v>
      </c>
      <c r="BV320" s="168">
        <f>BO320*BQ320</f>
        <v>0</v>
      </c>
      <c r="BW320" s="131"/>
      <c r="BX320" s="105" t="s">
        <v>160</v>
      </c>
      <c r="BY320" s="145">
        <v>0.05</v>
      </c>
      <c r="BZ320" s="262"/>
      <c r="CA320" s="242">
        <f>BL320*BY320</f>
        <v>0</v>
      </c>
      <c r="CB320" s="101">
        <f>BM320*BY320</f>
        <v>0</v>
      </c>
      <c r="CC320" s="106">
        <f>BN320*BY320</f>
        <v>0</v>
      </c>
      <c r="CD320" s="107">
        <f>BO320*BY320</f>
        <v>0</v>
      </c>
      <c r="CE320" s="411"/>
      <c r="CF320" s="108">
        <v>0</v>
      </c>
      <c r="CG320" s="130" t="s">
        <v>153</v>
      </c>
      <c r="CH320" s="414"/>
      <c r="CI320" s="415"/>
      <c r="CJ320" s="416"/>
      <c r="CK320" s="415"/>
      <c r="CL320" s="415"/>
      <c r="CM320" s="416"/>
      <c r="CN320" s="415"/>
      <c r="CO320" s="263"/>
      <c r="CP320" s="263"/>
      <c r="CQ320" s="263"/>
      <c r="CR320" s="263"/>
      <c r="CS320" s="263"/>
      <c r="CT320" s="263"/>
      <c r="CU320" s="90">
        <v>1</v>
      </c>
      <c r="CV320" s="181"/>
      <c r="CW320" s="181"/>
      <c r="CX320" s="181"/>
      <c r="CY320" s="155"/>
      <c r="CZ320" s="121"/>
      <c r="DA320" s="424"/>
      <c r="DB320" s="115" t="str">
        <f>PROPER(N320)</f>
        <v>Sg Biosistemi</v>
      </c>
      <c r="DC320" s="280"/>
      <c r="DD320" s="116" t="str">
        <f>BP320</f>
        <v>Gianluca</v>
      </c>
      <c r="DE320" s="117" t="b">
        <f>IF(OR(D320&gt;0),IF(BJ320=0,BN320*BQ320,0))</f>
        <v>0</v>
      </c>
      <c r="DF320" s="117" t="b">
        <f>IF(OR(D320&gt;0),IF(BJ320=0,BN320*BY320,0))</f>
        <v>0</v>
      </c>
      <c r="DG320" s="118" t="str">
        <f>BX320</f>
        <v>Gianluca</v>
      </c>
      <c r="DH320" s="76"/>
      <c r="DI320" s="120" t="s">
        <v>154</v>
      </c>
      <c r="DJ320" s="120"/>
      <c r="DK320" s="74" t="s">
        <v>1399</v>
      </c>
      <c r="DL320" s="74" t="s">
        <v>1399</v>
      </c>
      <c r="DM320" s="122"/>
      <c r="DN320" s="6"/>
      <c r="DO320" s="6"/>
      <c r="DP320" s="6"/>
      <c r="DQ320" s="6"/>
      <c r="DR320" s="6"/>
      <c r="DS320" s="6"/>
      <c r="DT320" s="6"/>
      <c r="DU320" s="6"/>
      <c r="DV320" s="6"/>
      <c r="DW320" s="6"/>
      <c r="DX320" s="6"/>
      <c r="DY320" s="6"/>
      <c r="DZ320" s="6"/>
    </row>
    <row r="321" spans="1:130" ht="51.75" hidden="1">
      <c r="A321" s="228"/>
      <c r="B321" s="75" t="s">
        <v>1359</v>
      </c>
      <c r="C321" s="155"/>
      <c r="D321" s="75"/>
      <c r="E321" s="75">
        <v>1</v>
      </c>
      <c r="F321" s="75"/>
      <c r="G321" s="400" t="s">
        <v>1134</v>
      </c>
      <c r="H321" s="400" t="s">
        <v>1694</v>
      </c>
      <c r="I321" s="207" t="s">
        <v>1695</v>
      </c>
      <c r="J321" s="121" t="str">
        <f>CONCATENATE(G321," ",H321)</f>
        <v>Massimo Di Filippo</v>
      </c>
      <c r="K321" s="156">
        <v>3484007073</v>
      </c>
      <c r="L321" s="435"/>
      <c r="M321" s="153" t="s">
        <v>514</v>
      </c>
      <c r="N321" s="160" t="s">
        <v>1686</v>
      </c>
      <c r="O321" s="402"/>
      <c r="P321" s="315"/>
      <c r="Q321" s="160"/>
      <c r="R321" s="403"/>
      <c r="S321" s="160"/>
      <c r="T321" s="404"/>
      <c r="U321" s="315"/>
      <c r="V321" s="315"/>
      <c r="W321" s="315"/>
      <c r="X321" s="131"/>
      <c r="Y321" s="315"/>
      <c r="Z321" s="315"/>
      <c r="AA321" s="315"/>
      <c r="AB321" s="37"/>
      <c r="AC321" s="131"/>
      <c r="AD321" s="121" t="s">
        <v>1687</v>
      </c>
      <c r="AE321" s="88"/>
      <c r="AF321" s="405"/>
      <c r="AG321" s="406"/>
      <c r="AH321" s="406"/>
      <c r="AI321" s="405"/>
      <c r="AJ321" s="155"/>
      <c r="AK321" s="155"/>
      <c r="AL321" s="155"/>
      <c r="AM321" s="407"/>
      <c r="AN321" s="155"/>
      <c r="AO321" s="155"/>
      <c r="AP321" s="155"/>
      <c r="AQ321" s="85"/>
      <c r="AR321" s="121"/>
      <c r="AS321" s="121"/>
      <c r="AT321" s="121"/>
      <c r="AU321" s="408"/>
      <c r="AV321" s="75"/>
      <c r="AW321" s="121"/>
      <c r="AX321" s="121"/>
      <c r="AY321" s="85"/>
      <c r="AZ321" s="121"/>
      <c r="BA321" s="121" t="s">
        <v>115</v>
      </c>
      <c r="BB321" s="135" t="s">
        <v>115</v>
      </c>
      <c r="BC321" s="85"/>
      <c r="BD321" s="121" t="s">
        <v>115</v>
      </c>
      <c r="BE321" s="121"/>
      <c r="BF321" s="121"/>
      <c r="BG321" s="408"/>
      <c r="BH321" s="238">
        <f>CF321+CI321+CL321+CO321+CR321</f>
        <v>2597</v>
      </c>
      <c r="BI321" s="238">
        <f>CH321+CK321+CN321+CQ321+CT321</f>
        <v>2597</v>
      </c>
      <c r="BJ321" s="238">
        <f>BH321-BI321</f>
        <v>0</v>
      </c>
      <c r="BK321" s="239"/>
      <c r="BL321" s="260"/>
      <c r="BM321" s="241"/>
      <c r="BN321" s="142">
        <v>2597</v>
      </c>
      <c r="BO321" s="182"/>
      <c r="BP321" s="105" t="s">
        <v>160</v>
      </c>
      <c r="BQ321" s="98">
        <v>0.15</v>
      </c>
      <c r="BR321" s="409"/>
      <c r="BS321" s="242">
        <f>BL321*BQ321</f>
        <v>0</v>
      </c>
      <c r="BT321" s="203">
        <f>BM321*BQ321</f>
        <v>0</v>
      </c>
      <c r="BU321" s="102">
        <f>BN321*BQ321</f>
        <v>389.55</v>
      </c>
      <c r="BV321" s="168">
        <f>BO321*BQ321</f>
        <v>0</v>
      </c>
      <c r="BW321" s="131"/>
      <c r="BX321" s="105" t="s">
        <v>160</v>
      </c>
      <c r="BY321" s="145">
        <v>0.05</v>
      </c>
      <c r="BZ321" s="262"/>
      <c r="CA321" s="242">
        <f>BL321*BY321</f>
        <v>0</v>
      </c>
      <c r="CB321" s="101">
        <f>BM321*BY321</f>
        <v>0</v>
      </c>
      <c r="CC321" s="106">
        <f>BN321*BY321</f>
        <v>129.85</v>
      </c>
      <c r="CD321" s="107">
        <f>BO321*BY321</f>
        <v>0</v>
      </c>
      <c r="CE321" s="244"/>
      <c r="CF321" s="110">
        <v>2597</v>
      </c>
      <c r="CG321" s="109">
        <v>45198</v>
      </c>
      <c r="CH321" s="508">
        <v>2597</v>
      </c>
      <c r="CI321" s="415"/>
      <c r="CJ321" s="416"/>
      <c r="CK321" s="415"/>
      <c r="CL321" s="415"/>
      <c r="CM321" s="416"/>
      <c r="CN321" s="415"/>
      <c r="CO321" s="263"/>
      <c r="CP321" s="263"/>
      <c r="CQ321" s="263"/>
      <c r="CR321" s="263"/>
      <c r="CS321" s="263"/>
      <c r="CT321" s="263"/>
      <c r="CU321" s="90">
        <v>1</v>
      </c>
      <c r="CV321" s="181"/>
      <c r="CW321" s="506"/>
      <c r="CX321" s="506"/>
      <c r="CY321" s="155"/>
      <c r="CZ321" s="121"/>
      <c r="DA321" s="424" t="s">
        <v>1688</v>
      </c>
      <c r="DB321" s="115" t="str">
        <f>PROPER(N321)</f>
        <v>Simply Water</v>
      </c>
      <c r="DC321" s="280" t="s">
        <v>1689</v>
      </c>
      <c r="DD321" s="116" t="str">
        <f>BP321</f>
        <v>Gianluca</v>
      </c>
      <c r="DE321" s="117" t="b">
        <f>IF(OR(D321&gt;0),IF(BJ321=0,BN321*BQ321,0))</f>
        <v>0</v>
      </c>
      <c r="DF321" s="117" t="b">
        <f>IF(OR(D321&gt;0),IF(BJ321=0,BN321*BY321,0))</f>
        <v>0</v>
      </c>
      <c r="DG321" s="118" t="str">
        <f>BX321</f>
        <v>Gianluca</v>
      </c>
      <c r="DH321" s="76"/>
      <c r="DI321" s="120" t="s">
        <v>126</v>
      </c>
      <c r="DJ321" s="120"/>
      <c r="DK321" s="74" t="s">
        <v>1418</v>
      </c>
      <c r="DL321" s="74" t="s">
        <v>1418</v>
      </c>
      <c r="DM321" s="122">
        <v>1</v>
      </c>
      <c r="DN321" s="6"/>
      <c r="DO321" s="6"/>
      <c r="DP321" s="6"/>
      <c r="DQ321" s="6"/>
      <c r="DR321" s="6"/>
      <c r="DS321" s="6"/>
      <c r="DT321" s="6"/>
      <c r="DU321" s="6"/>
      <c r="DV321" s="6"/>
      <c r="DW321" s="6"/>
      <c r="DX321" s="6"/>
      <c r="DY321" s="6"/>
      <c r="DZ321" s="6"/>
    </row>
    <row r="322" spans="1:130" ht="34.5" hidden="1" customHeight="1">
      <c r="A322" s="228"/>
      <c r="B322" s="371" t="s">
        <v>1359</v>
      </c>
      <c r="C322" s="155"/>
      <c r="D322" s="75"/>
      <c r="E322" s="75"/>
      <c r="F322" s="75"/>
      <c r="G322" s="400" t="s">
        <v>1828</v>
      </c>
      <c r="H322" s="400" t="s">
        <v>1829</v>
      </c>
      <c r="I322" s="207" t="s">
        <v>1830</v>
      </c>
      <c r="J322" s="155" t="str">
        <f>CONCATENATE(G322," ",H322)</f>
        <v>Lara Iannuzzi</v>
      </c>
      <c r="K322" s="156">
        <v>3391902784</v>
      </c>
      <c r="L322" s="501" t="s">
        <v>1831</v>
      </c>
      <c r="M322" s="153" t="s">
        <v>1258</v>
      </c>
      <c r="N322" s="160" t="s">
        <v>1832</v>
      </c>
      <c r="O322" s="402"/>
      <c r="P322" s="315"/>
      <c r="Q322" s="160"/>
      <c r="R322" s="403"/>
      <c r="S322" s="160"/>
      <c r="T322" s="404"/>
      <c r="U322" s="315"/>
      <c r="V322" s="315"/>
      <c r="W322" s="315"/>
      <c r="X322" s="131"/>
      <c r="Y322" s="315"/>
      <c r="Z322" s="315"/>
      <c r="AA322" s="315"/>
      <c r="AB322" s="37"/>
      <c r="AC322" s="131"/>
      <c r="AD322" s="121" t="s">
        <v>1833</v>
      </c>
      <c r="AE322" s="88"/>
      <c r="AF322" s="405"/>
      <c r="AG322" s="406"/>
      <c r="AH322" s="406"/>
      <c r="AI322" s="405"/>
      <c r="AJ322" s="155"/>
      <c r="AK322" s="155"/>
      <c r="AL322" s="155"/>
      <c r="AM322" s="407"/>
      <c r="AN322" s="155"/>
      <c r="AO322" s="155"/>
      <c r="AP322" s="155"/>
      <c r="AQ322" s="85"/>
      <c r="AR322" s="121"/>
      <c r="AS322" s="121"/>
      <c r="AT322" s="121"/>
      <c r="AU322" s="408"/>
      <c r="AV322" s="75"/>
      <c r="AW322" s="121"/>
      <c r="AX322" s="121"/>
      <c r="AY322" s="85"/>
      <c r="AZ322" s="121"/>
      <c r="BA322" s="121"/>
      <c r="BB322" s="121"/>
      <c r="BC322" s="85"/>
      <c r="BD322" s="121" t="s">
        <v>115</v>
      </c>
      <c r="BE322" s="121" t="s">
        <v>115</v>
      </c>
      <c r="BF322" s="121" t="s">
        <v>115</v>
      </c>
      <c r="BG322" s="408"/>
      <c r="BH322" s="238">
        <f>CF322+CI322+CL322+CO322+CR322</f>
        <v>2997</v>
      </c>
      <c r="BI322" s="238">
        <f>CH322+CK322+CN322+CQ322+CT322</f>
        <v>2997</v>
      </c>
      <c r="BJ322" s="238">
        <f>BH322-BI322</f>
        <v>0</v>
      </c>
      <c r="BK322" s="239"/>
      <c r="BL322" s="260"/>
      <c r="BM322" s="241"/>
      <c r="BN322" s="142"/>
      <c r="BO322" s="182">
        <v>2997</v>
      </c>
      <c r="BP322" s="105" t="s">
        <v>133</v>
      </c>
      <c r="BQ322" s="98">
        <v>0.15</v>
      </c>
      <c r="BR322" s="409"/>
      <c r="BS322" s="242">
        <f>BL322*BQ322</f>
        <v>0</v>
      </c>
      <c r="BT322" s="203">
        <f>BM322*BQ322</f>
        <v>0</v>
      </c>
      <c r="BU322" s="167">
        <f>BN322*BQ322</f>
        <v>0</v>
      </c>
      <c r="BV322" s="168">
        <f>BO322*BQ322</f>
        <v>449.55</v>
      </c>
      <c r="BW322" s="131"/>
      <c r="BX322" s="105" t="s">
        <v>133</v>
      </c>
      <c r="BY322" s="145">
        <v>0.05</v>
      </c>
      <c r="BZ322" s="262"/>
      <c r="CA322" s="242">
        <f>BL322*BY322</f>
        <v>0</v>
      </c>
      <c r="CB322" s="101">
        <f>BM322*BY322</f>
        <v>0</v>
      </c>
      <c r="CC322" s="106">
        <f>BN322*BY322</f>
        <v>0</v>
      </c>
      <c r="CD322" s="107">
        <f>BO322*BY322</f>
        <v>149.85</v>
      </c>
      <c r="CE322" s="411"/>
      <c r="CF322" s="108">
        <v>2997</v>
      </c>
      <c r="CG322" s="109">
        <v>45210</v>
      </c>
      <c r="CH322" s="108">
        <v>2997</v>
      </c>
      <c r="CI322" s="415"/>
      <c r="CJ322" s="416"/>
      <c r="CK322" s="415"/>
      <c r="CL322" s="415"/>
      <c r="CM322" s="416"/>
      <c r="CN322" s="415"/>
      <c r="CO322" s="263"/>
      <c r="CP322" s="263"/>
      <c r="CQ322" s="263"/>
      <c r="CR322" s="263"/>
      <c r="CS322" s="263"/>
      <c r="CT322" s="263"/>
      <c r="CU322" s="90">
        <v>1</v>
      </c>
      <c r="CV322" s="181"/>
      <c r="CW322" s="181"/>
      <c r="CX322" s="181"/>
      <c r="CY322" s="155"/>
      <c r="CZ322" s="121"/>
      <c r="DA322" s="424" t="s">
        <v>1834</v>
      </c>
      <c r="DB322" s="115" t="str">
        <f>PROPER(N322)</f>
        <v>Mediafive</v>
      </c>
      <c r="DC322" s="280" t="s">
        <v>1835</v>
      </c>
      <c r="DD322" s="116" t="str">
        <f>BP322</f>
        <v>Cristian B</v>
      </c>
      <c r="DE322" s="117" t="b">
        <f>IF(OR(D322&gt;0),IF(BJ322=0,BN322*BQ322,0))</f>
        <v>0</v>
      </c>
      <c r="DF322" s="117" t="b">
        <f>IF(OR(D322&gt;0),IF(BJ322=0,BN322*BY322,0))</f>
        <v>0</v>
      </c>
      <c r="DG322" s="118" t="str">
        <f>BX322</f>
        <v>Cristian B</v>
      </c>
      <c r="DH322" s="76"/>
      <c r="DI322" s="120" t="s">
        <v>154</v>
      </c>
      <c r="DJ322" s="120"/>
      <c r="DK322" s="74" t="s">
        <v>1418</v>
      </c>
      <c r="DL322" s="74" t="s">
        <v>1418</v>
      </c>
      <c r="DM322" s="122"/>
      <c r="DN322" s="6"/>
      <c r="DO322" s="6"/>
      <c r="DP322" s="6"/>
      <c r="DQ322" s="6"/>
      <c r="DR322" s="6"/>
      <c r="DS322" s="6"/>
      <c r="DT322" s="6"/>
      <c r="DU322" s="6"/>
      <c r="DV322" s="6"/>
      <c r="DW322" s="6"/>
      <c r="DX322" s="6"/>
      <c r="DY322" s="6"/>
      <c r="DZ322" s="6"/>
    </row>
    <row r="323" spans="1:130" ht="34.5" hidden="1" customHeight="1">
      <c r="A323" s="228"/>
      <c r="B323" s="75" t="s">
        <v>1359</v>
      </c>
      <c r="C323" s="155"/>
      <c r="D323" s="75"/>
      <c r="E323" s="75"/>
      <c r="F323" s="75"/>
      <c r="G323" s="400" t="s">
        <v>622</v>
      </c>
      <c r="H323" s="400" t="s">
        <v>1836</v>
      </c>
      <c r="I323" s="207" t="s">
        <v>1837</v>
      </c>
      <c r="J323" s="155" t="str">
        <f>CONCATENATE(G323," ",H323)</f>
        <v>Laura Guaitolini</v>
      </c>
      <c r="K323" s="156">
        <v>3891410095</v>
      </c>
      <c r="L323" s="502"/>
      <c r="M323" s="153" t="s">
        <v>514</v>
      </c>
      <c r="N323" s="160"/>
      <c r="O323" s="402"/>
      <c r="P323" s="315"/>
      <c r="Q323" s="160"/>
      <c r="R323" s="403"/>
      <c r="S323" s="160"/>
      <c r="T323" s="404"/>
      <c r="U323" s="315"/>
      <c r="V323" s="315"/>
      <c r="W323" s="315"/>
      <c r="X323" s="131"/>
      <c r="Y323" s="315"/>
      <c r="Z323" s="315"/>
      <c r="AA323" s="315"/>
      <c r="AB323" s="37"/>
      <c r="AC323" s="131"/>
      <c r="AD323" s="121" t="s">
        <v>1838</v>
      </c>
      <c r="AE323" s="88"/>
      <c r="AF323" s="405"/>
      <c r="AG323" s="406"/>
      <c r="AH323" s="406"/>
      <c r="AI323" s="405"/>
      <c r="AJ323" s="155"/>
      <c r="AK323" s="155"/>
      <c r="AL323" s="155"/>
      <c r="AM323" s="407"/>
      <c r="AN323" s="155"/>
      <c r="AO323" s="155"/>
      <c r="AP323" s="155"/>
      <c r="AQ323" s="85"/>
      <c r="AR323" s="121"/>
      <c r="AS323" s="121"/>
      <c r="AT323" s="121"/>
      <c r="AU323" s="408"/>
      <c r="AV323" s="75"/>
      <c r="AW323" s="121"/>
      <c r="AX323" s="121"/>
      <c r="AY323" s="85"/>
      <c r="AZ323" s="121"/>
      <c r="BA323" s="121"/>
      <c r="BB323" s="121"/>
      <c r="BC323" s="85"/>
      <c r="BD323" s="121" t="s">
        <v>245</v>
      </c>
      <c r="BE323" s="121" t="s">
        <v>245</v>
      </c>
      <c r="BF323" s="121" t="s">
        <v>245</v>
      </c>
      <c r="BG323" s="408"/>
      <c r="BH323" s="238">
        <f>CF323+CI323+CL323+CO323+CR323</f>
        <v>3497</v>
      </c>
      <c r="BI323" s="238">
        <f>CH323+CK323+CN323+CQ323+CT323</f>
        <v>163.9344262295082</v>
      </c>
      <c r="BJ323" s="238">
        <f>BH323-BI323</f>
        <v>3333.0655737704919</v>
      </c>
      <c r="BK323" s="239"/>
      <c r="BL323" s="260"/>
      <c r="BM323" s="241"/>
      <c r="BN323" s="142"/>
      <c r="BO323" s="182">
        <v>3497</v>
      </c>
      <c r="BP323" s="105" t="s">
        <v>287</v>
      </c>
      <c r="BQ323" s="98">
        <v>0.15</v>
      </c>
      <c r="BR323" s="409"/>
      <c r="BS323" s="242">
        <f>BL323*BQ323</f>
        <v>0</v>
      </c>
      <c r="BT323" s="203">
        <f>BM323*BQ323</f>
        <v>0</v>
      </c>
      <c r="BU323" s="167">
        <f>BN323*BQ323</f>
        <v>0</v>
      </c>
      <c r="BV323" s="168">
        <f>BO323*BQ323</f>
        <v>524.54999999999995</v>
      </c>
      <c r="BW323" s="131"/>
      <c r="BX323" s="105" t="s">
        <v>287</v>
      </c>
      <c r="BY323" s="145">
        <v>0.05</v>
      </c>
      <c r="BZ323" s="262"/>
      <c r="CA323" s="242">
        <f>BL323*BY323</f>
        <v>0</v>
      </c>
      <c r="CB323" s="101">
        <f>BM323*BY323</f>
        <v>0</v>
      </c>
      <c r="CC323" s="106">
        <f>BN323*BY323</f>
        <v>0</v>
      </c>
      <c r="CD323" s="107">
        <f>BO323*BY323</f>
        <v>174.85000000000002</v>
      </c>
      <c r="CE323" s="411"/>
      <c r="CF323" s="108">
        <f>200/1.22</f>
        <v>163.9344262295082</v>
      </c>
      <c r="CG323" s="109">
        <v>45198</v>
      </c>
      <c r="CH323" s="108">
        <f>200/1.22</f>
        <v>163.9344262295082</v>
      </c>
      <c r="CI323" s="110">
        <f>4066.34/1.22</f>
        <v>3333.0655737704919</v>
      </c>
      <c r="CJ323" s="226">
        <v>45408</v>
      </c>
      <c r="CK323" s="415"/>
      <c r="CL323" s="415"/>
      <c r="CM323" s="416"/>
      <c r="CN323" s="415"/>
      <c r="CO323" s="263"/>
      <c r="CP323" s="263"/>
      <c r="CQ323" s="263"/>
      <c r="CR323" s="263"/>
      <c r="CS323" s="263"/>
      <c r="CT323" s="263"/>
      <c r="CU323" s="90">
        <v>1</v>
      </c>
      <c r="CV323" s="181"/>
      <c r="CW323" s="181"/>
      <c r="CX323" s="181"/>
      <c r="CY323" s="155"/>
      <c r="CZ323" s="121"/>
      <c r="DA323" s="424" t="s">
        <v>1645</v>
      </c>
      <c r="DB323" s="115" t="str">
        <f>PROPER(N323)</f>
        <v/>
      </c>
      <c r="DC323" s="280" t="s">
        <v>1839</v>
      </c>
      <c r="DD323" s="116" t="str">
        <f>BP323</f>
        <v>Riccardo</v>
      </c>
      <c r="DE323" s="117" t="b">
        <f>IF(OR(D323&gt;0),IF(BJ323=0,BN323*BQ323,0))</f>
        <v>0</v>
      </c>
      <c r="DF323" s="117" t="b">
        <f>IF(OR(D323&gt;0),IF(BJ323=0,BN323*BY323,0))</f>
        <v>0</v>
      </c>
      <c r="DG323" s="118" t="str">
        <f>BX323</f>
        <v>Riccardo</v>
      </c>
      <c r="DH323" s="76"/>
      <c r="DI323" s="120" t="s">
        <v>154</v>
      </c>
      <c r="DJ323" s="120"/>
      <c r="DK323" s="74" t="s">
        <v>1366</v>
      </c>
      <c r="DL323" s="74" t="s">
        <v>1366</v>
      </c>
      <c r="DM323" s="122"/>
      <c r="DN323" s="6"/>
      <c r="DO323" s="6"/>
      <c r="DP323" s="6"/>
      <c r="DQ323" s="6"/>
      <c r="DR323" s="6"/>
      <c r="DS323" s="6"/>
      <c r="DT323" s="6"/>
      <c r="DU323" s="6"/>
      <c r="DV323" s="6"/>
      <c r="DW323" s="6"/>
      <c r="DX323" s="6"/>
      <c r="DY323" s="6"/>
      <c r="DZ323" s="6"/>
    </row>
    <row r="324" spans="1:130" ht="34.5" hidden="1" customHeight="1">
      <c r="A324" s="228"/>
      <c r="B324" s="75" t="s">
        <v>2267</v>
      </c>
      <c r="C324" s="155"/>
      <c r="D324" s="75"/>
      <c r="E324" s="75"/>
      <c r="F324" s="75"/>
      <c r="G324" s="181" t="s">
        <v>166</v>
      </c>
      <c r="H324" s="181" t="s">
        <v>2424</v>
      </c>
      <c r="I324" s="207" t="s">
        <v>2425</v>
      </c>
      <c r="J324" s="179" t="str">
        <f>CONCATENATE(G324," ",H324)</f>
        <v>Matteo Canali</v>
      </c>
      <c r="K324" s="224">
        <v>3393104949</v>
      </c>
      <c r="L324" s="131"/>
      <c r="M324" s="131"/>
      <c r="N324" s="160" t="s">
        <v>2426</v>
      </c>
      <c r="O324" s="562"/>
      <c r="P324" s="328" t="s">
        <v>2427</v>
      </c>
      <c r="Q324" s="564" t="s">
        <v>2427</v>
      </c>
      <c r="R324" s="131" t="s">
        <v>2428</v>
      </c>
      <c r="S324" s="131" t="s">
        <v>2429</v>
      </c>
      <c r="T324" s="318"/>
      <c r="U324" s="251"/>
      <c r="V324" s="251"/>
      <c r="W324" s="329"/>
      <c r="X324" s="131" t="s">
        <v>2425</v>
      </c>
      <c r="Y324" s="329"/>
      <c r="Z324" s="329"/>
      <c r="AA324" s="329"/>
      <c r="AB324" s="255" t="s">
        <v>2412</v>
      </c>
      <c r="AC324" s="131"/>
      <c r="AD324" s="255"/>
      <c r="AE324" s="161"/>
      <c r="AF324" s="405"/>
      <c r="AG324" s="516" t="s">
        <v>115</v>
      </c>
      <c r="AH324" s="516"/>
      <c r="AI324" s="405"/>
      <c r="AJ324" s="155" t="s">
        <v>116</v>
      </c>
      <c r="AK324" s="155"/>
      <c r="AL324" s="155"/>
      <c r="AM324" s="405"/>
      <c r="AN324" s="155"/>
      <c r="AO324" s="155"/>
      <c r="AP324" s="155" t="s">
        <v>27</v>
      </c>
      <c r="AQ324" s="1981"/>
      <c r="AR324" s="121"/>
      <c r="AS324" s="121"/>
      <c r="AT324" s="121"/>
      <c r="AU324" s="1990"/>
      <c r="AV324" s="75"/>
      <c r="AW324" s="121"/>
      <c r="AX324" s="121"/>
      <c r="AY324" s="1981"/>
      <c r="AZ324" s="121"/>
      <c r="BA324" s="121"/>
      <c r="BB324" s="121" t="s">
        <v>115</v>
      </c>
      <c r="BC324" s="1981"/>
      <c r="BD324" s="121"/>
      <c r="BE324" s="121"/>
      <c r="BF324" s="121"/>
      <c r="BG324" s="1990"/>
      <c r="BH324" s="238">
        <f>CF324+CI324+CL324+CO324+CR324</f>
        <v>0</v>
      </c>
      <c r="BI324" s="238"/>
      <c r="BJ324" s="238"/>
      <c r="BK324" s="239"/>
      <c r="BL324" s="260"/>
      <c r="BM324" s="241"/>
      <c r="BN324" s="142"/>
      <c r="BO324" s="182"/>
      <c r="BP324" s="2039"/>
      <c r="BQ324" s="145"/>
      <c r="BR324" s="409"/>
      <c r="BS324" s="242"/>
      <c r="BT324" s="203"/>
      <c r="BU324" s="167">
        <f>BN324*BQ324</f>
        <v>0</v>
      </c>
      <c r="BV324" s="168">
        <f>BO324*BQ324</f>
        <v>0</v>
      </c>
      <c r="BW324" s="529"/>
      <c r="BX324" s="2039"/>
      <c r="BY324" s="145"/>
      <c r="BZ324" s="262"/>
      <c r="CA324" s="242"/>
      <c r="CB324" s="101">
        <f>BM324*BY324</f>
        <v>0</v>
      </c>
      <c r="CC324" s="106">
        <f>BN324*BY324</f>
        <v>0</v>
      </c>
      <c r="CD324" s="107">
        <f>BO324*BY324</f>
        <v>0</v>
      </c>
      <c r="CE324" s="90"/>
      <c r="CF324" s="2096"/>
      <c r="CG324" s="2096"/>
      <c r="CH324" s="2096"/>
      <c r="CI324" s="338"/>
      <c r="CJ324" s="338"/>
      <c r="CK324" s="338"/>
      <c r="CL324" s="338"/>
      <c r="CM324" s="338"/>
      <c r="CN324" s="338"/>
      <c r="CO324" s="338"/>
      <c r="CP324" s="338"/>
      <c r="CQ324" s="338"/>
      <c r="CR324" s="338"/>
      <c r="CS324" s="338"/>
      <c r="CT324" s="338"/>
      <c r="CU324" s="90">
        <v>1</v>
      </c>
      <c r="CV324" s="181"/>
      <c r="CW324" s="181"/>
      <c r="CX324" s="181"/>
      <c r="CY324" s="181"/>
      <c r="CZ324" s="121"/>
      <c r="DA324" s="131"/>
      <c r="DB324" s="115" t="str">
        <f>PROPER(N324)</f>
        <v>Matteo Canali</v>
      </c>
      <c r="DC324" s="191"/>
      <c r="DD324" s="116">
        <f>BP324</f>
        <v>0</v>
      </c>
      <c r="DE324" s="117" t="b">
        <f>IF(OR(D324&gt;0),IF(BJ324=0,BN324*BQ324,0))</f>
        <v>0</v>
      </c>
      <c r="DF324" s="117" t="b">
        <f>IF(OR(D324&gt;0),IF(BJ324=0,BN324*BY324,0))</f>
        <v>0</v>
      </c>
      <c r="DG324" s="2173">
        <f>BX324</f>
        <v>0</v>
      </c>
      <c r="DH324" s="510"/>
      <c r="DI324" s="120" t="s">
        <v>126</v>
      </c>
      <c r="DJ324" s="120"/>
      <c r="DK324" s="181"/>
      <c r="DL324" s="181"/>
      <c r="DM324" s="248"/>
    </row>
    <row r="325" spans="1:130" ht="34.5" hidden="1" customHeight="1">
      <c r="A325" s="228"/>
      <c r="B325" s="371" t="s">
        <v>1359</v>
      </c>
      <c r="C325" s="155"/>
      <c r="D325" s="75"/>
      <c r="E325" s="75"/>
      <c r="F325" s="75"/>
      <c r="G325" s="400" t="s">
        <v>622</v>
      </c>
      <c r="H325" s="400" t="s">
        <v>1846</v>
      </c>
      <c r="I325" s="207" t="s">
        <v>1847</v>
      </c>
      <c r="J325" s="155" t="str">
        <f>CONCATENATE(G325," ",H325)</f>
        <v>Laura Mercati</v>
      </c>
      <c r="K325" s="156">
        <v>3391065673</v>
      </c>
      <c r="L325" s="503" t="s">
        <v>1848</v>
      </c>
      <c r="M325" s="153"/>
      <c r="N325" s="160" t="s">
        <v>1849</v>
      </c>
      <c r="O325" s="402"/>
      <c r="P325" s="315"/>
      <c r="Q325" s="160"/>
      <c r="R325" s="403"/>
      <c r="S325" s="160"/>
      <c r="T325" s="404"/>
      <c r="U325" s="315"/>
      <c r="V325" s="315"/>
      <c r="W325" s="315"/>
      <c r="X325" s="131"/>
      <c r="Y325" s="315"/>
      <c r="Z325" s="315"/>
      <c r="AA325" s="315"/>
      <c r="AB325" s="37"/>
      <c r="AC325" s="131"/>
      <c r="AD325" s="121"/>
      <c r="AE325" s="88"/>
      <c r="AF325" s="405"/>
      <c r="AG325" s="406"/>
      <c r="AH325" s="406"/>
      <c r="AI325" s="405"/>
      <c r="AJ325" s="155"/>
      <c r="AK325" s="155"/>
      <c r="AL325" s="155"/>
      <c r="AM325" s="407"/>
      <c r="AN325" s="155"/>
      <c r="AO325" s="155"/>
      <c r="AP325" s="155"/>
      <c r="AQ325" s="85"/>
      <c r="AR325" s="121"/>
      <c r="AS325" s="121"/>
      <c r="AT325" s="121"/>
      <c r="AU325" s="408"/>
      <c r="AV325" s="75"/>
      <c r="AW325" s="121"/>
      <c r="AX325" s="121"/>
      <c r="AY325" s="85"/>
      <c r="AZ325" s="154" t="s">
        <v>194</v>
      </c>
      <c r="BA325" s="154" t="s">
        <v>194</v>
      </c>
      <c r="BB325" s="154" t="s">
        <v>194</v>
      </c>
      <c r="BC325" s="85"/>
      <c r="BD325" s="121"/>
      <c r="BE325" s="121"/>
      <c r="BF325" s="121"/>
      <c r="BG325" s="408"/>
      <c r="BH325" s="238">
        <f>CF325+CI325+CL325+CO325+CR325</f>
        <v>0</v>
      </c>
      <c r="BI325" s="238">
        <f>CH325+CK325+CN325+CQ325+CT325</f>
        <v>0</v>
      </c>
      <c r="BJ325" s="238">
        <f>BH325-BI325</f>
        <v>0</v>
      </c>
      <c r="BK325" s="239"/>
      <c r="BL325" s="260"/>
      <c r="BM325" s="241"/>
      <c r="BN325" s="142"/>
      <c r="BO325" s="182"/>
      <c r="BP325" s="105" t="s">
        <v>184</v>
      </c>
      <c r="BQ325" s="98">
        <v>0.15</v>
      </c>
      <c r="BR325" s="409"/>
      <c r="BS325" s="242">
        <f>BL325*BQ325</f>
        <v>0</v>
      </c>
      <c r="BT325" s="203">
        <f>BM325*BQ325</f>
        <v>0</v>
      </c>
      <c r="BU325" s="167">
        <f>BN325*BQ325</f>
        <v>0</v>
      </c>
      <c r="BV325" s="168">
        <f>BO325*BQ325</f>
        <v>0</v>
      </c>
      <c r="BW325" s="131"/>
      <c r="BX325" s="105" t="s">
        <v>184</v>
      </c>
      <c r="BY325" s="145">
        <v>0.05</v>
      </c>
      <c r="BZ325" s="262"/>
      <c r="CA325" s="242">
        <f>BL325*BY325</f>
        <v>0</v>
      </c>
      <c r="CB325" s="101">
        <f>BM325*BY325</f>
        <v>0</v>
      </c>
      <c r="CC325" s="106">
        <f>BN325*BY325</f>
        <v>0</v>
      </c>
      <c r="CD325" s="107">
        <f>BO325*BY325</f>
        <v>0</v>
      </c>
      <c r="CE325" s="411"/>
      <c r="CF325" s="108">
        <v>0</v>
      </c>
      <c r="CG325" s="130" t="s">
        <v>153</v>
      </c>
      <c r="CH325" s="414"/>
      <c r="CI325" s="415"/>
      <c r="CJ325" s="416"/>
      <c r="CK325" s="415"/>
      <c r="CL325" s="415"/>
      <c r="CM325" s="416"/>
      <c r="CN325" s="415"/>
      <c r="CO325" s="263"/>
      <c r="CP325" s="263"/>
      <c r="CQ325" s="263"/>
      <c r="CR325" s="263"/>
      <c r="CS325" s="263"/>
      <c r="CT325" s="263"/>
      <c r="CU325" s="90">
        <v>1</v>
      </c>
      <c r="CV325" s="181"/>
      <c r="CW325" s="181"/>
      <c r="CX325" s="181"/>
      <c r="CY325" s="155"/>
      <c r="CZ325" s="121"/>
      <c r="DA325" s="424"/>
      <c r="DB325" s="115" t="str">
        <f>PROPER(N325)</f>
        <v>Ipkom</v>
      </c>
      <c r="DC325" s="280" t="s">
        <v>1850</v>
      </c>
      <c r="DD325" s="116" t="str">
        <f>BP325</f>
        <v>Cristian A</v>
      </c>
      <c r="DE325" s="117" t="b">
        <f>IF(OR(D325&gt;0),IF(BJ325=0,BN325*BQ325,0))</f>
        <v>0</v>
      </c>
      <c r="DF325" s="117" t="b">
        <f>IF(OR(D325&gt;0),IF(BJ325=0,BN325*BY325,0))</f>
        <v>0</v>
      </c>
      <c r="DG325" s="118" t="str">
        <f>BX325</f>
        <v>Cristian A</v>
      </c>
      <c r="DH325" s="76"/>
      <c r="DI325" s="120" t="s">
        <v>154</v>
      </c>
      <c r="DJ325" s="120"/>
      <c r="DK325" s="74" t="s">
        <v>1366</v>
      </c>
      <c r="DL325" s="74" t="s">
        <v>1366</v>
      </c>
      <c r="DM325" s="122"/>
      <c r="DN325" s="6"/>
      <c r="DO325" s="6"/>
      <c r="DP325" s="6"/>
      <c r="DQ325" s="6"/>
      <c r="DR325" s="6"/>
      <c r="DS325" s="6"/>
      <c r="DT325" s="6"/>
      <c r="DU325" s="6"/>
      <c r="DV325" s="6"/>
      <c r="DW325" s="6"/>
      <c r="DX325" s="6"/>
      <c r="DY325" s="6"/>
      <c r="DZ325" s="6"/>
    </row>
    <row r="326" spans="1:130" ht="34.5" hidden="1" customHeight="1">
      <c r="A326" s="228"/>
      <c r="B326" s="371" t="s">
        <v>1359</v>
      </c>
      <c r="C326" s="155"/>
      <c r="D326" s="75"/>
      <c r="E326" s="75"/>
      <c r="F326" s="75"/>
      <c r="G326" s="420" t="s">
        <v>1851</v>
      </c>
      <c r="H326" s="420"/>
      <c r="I326" s="449"/>
      <c r="J326" s="155" t="str">
        <f>CONCATENATE(G326," ",H326)</f>
        <v xml:space="preserve">1 Partecipante Ipkom </v>
      </c>
      <c r="K326" s="156"/>
      <c r="L326" s="435"/>
      <c r="M326" s="153"/>
      <c r="N326" s="160" t="s">
        <v>1849</v>
      </c>
      <c r="O326" s="402"/>
      <c r="P326" s="315"/>
      <c r="Q326" s="160"/>
      <c r="R326" s="403"/>
      <c r="S326" s="160"/>
      <c r="T326" s="404"/>
      <c r="U326" s="315"/>
      <c r="V326" s="315"/>
      <c r="W326" s="315"/>
      <c r="X326" s="131"/>
      <c r="Y326" s="315"/>
      <c r="Z326" s="315"/>
      <c r="AA326" s="315"/>
      <c r="AB326" s="37"/>
      <c r="AC326" s="131"/>
      <c r="AD326" s="121"/>
      <c r="AE326" s="88"/>
      <c r="AF326" s="405"/>
      <c r="AG326" s="406"/>
      <c r="AH326" s="406"/>
      <c r="AI326" s="405"/>
      <c r="AJ326" s="155"/>
      <c r="AK326" s="155"/>
      <c r="AL326" s="155"/>
      <c r="AM326" s="407"/>
      <c r="AN326" s="155"/>
      <c r="AO326" s="155"/>
      <c r="AP326" s="155"/>
      <c r="AQ326" s="85"/>
      <c r="AR326" s="121"/>
      <c r="AS326" s="121"/>
      <c r="AT326" s="121"/>
      <c r="AU326" s="408"/>
      <c r="AV326" s="75"/>
      <c r="AW326" s="121"/>
      <c r="AX326" s="121"/>
      <c r="AY326" s="85"/>
      <c r="AZ326" s="154" t="s">
        <v>194</v>
      </c>
      <c r="BA326" s="154" t="s">
        <v>194</v>
      </c>
      <c r="BB326" s="154" t="s">
        <v>194</v>
      </c>
      <c r="BC326" s="85"/>
      <c r="BD326" s="121"/>
      <c r="BE326" s="121"/>
      <c r="BF326" s="121"/>
      <c r="BG326" s="408"/>
      <c r="BH326" s="238">
        <f>CF326+CI326+CL326+CO326+CR326</f>
        <v>0</v>
      </c>
      <c r="BI326" s="238">
        <f>CH326+CK326+CN326+CQ326+CT326</f>
        <v>0</v>
      </c>
      <c r="BJ326" s="238">
        <f>BH326-BI326</f>
        <v>0</v>
      </c>
      <c r="BK326" s="239"/>
      <c r="BL326" s="260"/>
      <c r="BM326" s="241"/>
      <c r="BN326" s="142"/>
      <c r="BO326" s="182"/>
      <c r="BP326" s="105" t="s">
        <v>184</v>
      </c>
      <c r="BQ326" s="98">
        <v>0.15</v>
      </c>
      <c r="BR326" s="409"/>
      <c r="BS326" s="242">
        <f>BL326*BQ326</f>
        <v>0</v>
      </c>
      <c r="BT326" s="203">
        <f>BM326*BQ326</f>
        <v>0</v>
      </c>
      <c r="BU326" s="167">
        <f>BN326*BQ326</f>
        <v>0</v>
      </c>
      <c r="BV326" s="168">
        <f>BO326*BQ326</f>
        <v>0</v>
      </c>
      <c r="BW326" s="131"/>
      <c r="BX326" s="105" t="s">
        <v>184</v>
      </c>
      <c r="BY326" s="145">
        <v>0.05</v>
      </c>
      <c r="BZ326" s="262"/>
      <c r="CA326" s="242">
        <f>BL326*BY326</f>
        <v>0</v>
      </c>
      <c r="CB326" s="101">
        <f>BM326*BY326</f>
        <v>0</v>
      </c>
      <c r="CC326" s="106">
        <f>BN326*BY326</f>
        <v>0</v>
      </c>
      <c r="CD326" s="107">
        <f>BO326*BY326</f>
        <v>0</v>
      </c>
      <c r="CE326" s="411"/>
      <c r="CF326" s="108">
        <v>0</v>
      </c>
      <c r="CG326" s="130" t="s">
        <v>153</v>
      </c>
      <c r="CH326" s="414"/>
      <c r="CI326" s="415"/>
      <c r="CJ326" s="416"/>
      <c r="CK326" s="415"/>
      <c r="CL326" s="415"/>
      <c r="CM326" s="416"/>
      <c r="CN326" s="415"/>
      <c r="CO326" s="263"/>
      <c r="CP326" s="263"/>
      <c r="CQ326" s="263"/>
      <c r="CR326" s="263"/>
      <c r="CS326" s="263"/>
      <c r="CT326" s="263"/>
      <c r="CU326" s="90">
        <v>1</v>
      </c>
      <c r="CV326" s="181"/>
      <c r="CW326" s="181"/>
      <c r="CX326" s="181"/>
      <c r="CY326" s="155"/>
      <c r="CZ326" s="121"/>
      <c r="DA326" s="424"/>
      <c r="DB326" s="115" t="str">
        <f>PROPER(N326)</f>
        <v>Ipkom</v>
      </c>
      <c r="DC326" s="280"/>
      <c r="DD326" s="116" t="str">
        <f>BP326</f>
        <v>Cristian A</v>
      </c>
      <c r="DE326" s="117" t="b">
        <f>IF(OR(D326&gt;0),IF(BJ326=0,BN326*BQ326,0))</f>
        <v>0</v>
      </c>
      <c r="DF326" s="117" t="b">
        <f>IF(OR(D326&gt;0),IF(BJ326=0,BN326*BY326,0))</f>
        <v>0</v>
      </c>
      <c r="DG326" s="118" t="str">
        <f>BX326</f>
        <v>Cristian A</v>
      </c>
      <c r="DH326" s="76"/>
      <c r="DI326" s="120" t="s">
        <v>154</v>
      </c>
      <c r="DJ326" s="120"/>
      <c r="DK326" s="74"/>
      <c r="DL326" s="74"/>
      <c r="DM326" s="122"/>
      <c r="DN326" s="6"/>
      <c r="DO326" s="6"/>
      <c r="DP326" s="6"/>
      <c r="DQ326" s="6"/>
      <c r="DR326" s="6"/>
      <c r="DS326" s="6"/>
      <c r="DT326" s="6"/>
      <c r="DU326" s="6"/>
      <c r="DV326" s="6"/>
      <c r="DW326" s="6"/>
      <c r="DX326" s="6"/>
      <c r="DY326" s="6"/>
      <c r="DZ326" s="6"/>
    </row>
    <row r="327" spans="1:130" ht="34.5" hidden="1" customHeight="1">
      <c r="A327" s="228"/>
      <c r="B327" s="371" t="s">
        <v>1359</v>
      </c>
      <c r="C327" s="155"/>
      <c r="D327" s="75"/>
      <c r="E327" s="75"/>
      <c r="F327" s="75"/>
      <c r="G327" s="420" t="s">
        <v>1852</v>
      </c>
      <c r="H327" s="420"/>
      <c r="I327" s="449"/>
      <c r="J327" s="155" t="str">
        <f>CONCATENATE(G327," ",H327)</f>
        <v xml:space="preserve">2 Partecipante Ipkom </v>
      </c>
      <c r="K327" s="156"/>
      <c r="L327" s="435"/>
      <c r="M327" s="153"/>
      <c r="N327" s="160" t="s">
        <v>1849</v>
      </c>
      <c r="O327" s="402"/>
      <c r="P327" s="315"/>
      <c r="Q327" s="160"/>
      <c r="R327" s="403"/>
      <c r="S327" s="160"/>
      <c r="T327" s="404"/>
      <c r="U327" s="315"/>
      <c r="V327" s="315"/>
      <c r="W327" s="315"/>
      <c r="X327" s="131"/>
      <c r="Y327" s="315"/>
      <c r="Z327" s="315"/>
      <c r="AA327" s="315"/>
      <c r="AB327" s="37"/>
      <c r="AC327" s="131"/>
      <c r="AD327" s="121"/>
      <c r="AE327" s="88"/>
      <c r="AF327" s="405"/>
      <c r="AG327" s="406"/>
      <c r="AH327" s="406"/>
      <c r="AI327" s="405"/>
      <c r="AJ327" s="155"/>
      <c r="AK327" s="155"/>
      <c r="AL327" s="155"/>
      <c r="AM327" s="407"/>
      <c r="AN327" s="155"/>
      <c r="AO327" s="155"/>
      <c r="AP327" s="155"/>
      <c r="AQ327" s="85"/>
      <c r="AR327" s="121"/>
      <c r="AS327" s="121"/>
      <c r="AT327" s="121"/>
      <c r="AU327" s="408"/>
      <c r="AV327" s="75"/>
      <c r="AW327" s="121"/>
      <c r="AX327" s="121"/>
      <c r="AY327" s="85"/>
      <c r="AZ327" s="154" t="s">
        <v>194</v>
      </c>
      <c r="BA327" s="154" t="s">
        <v>194</v>
      </c>
      <c r="BB327" s="154" t="s">
        <v>194</v>
      </c>
      <c r="BC327" s="85"/>
      <c r="BD327" s="121"/>
      <c r="BE327" s="121"/>
      <c r="BF327" s="121"/>
      <c r="BG327" s="408"/>
      <c r="BH327" s="238">
        <f>CF327+CI327+CL327+CO327+CR327</f>
        <v>0</v>
      </c>
      <c r="BI327" s="238">
        <f>CH327+CK327+CN327+CQ327+CT327</f>
        <v>0</v>
      </c>
      <c r="BJ327" s="238">
        <f>BH327-BI327</f>
        <v>0</v>
      </c>
      <c r="BK327" s="239"/>
      <c r="BL327" s="260"/>
      <c r="BM327" s="241"/>
      <c r="BN327" s="142"/>
      <c r="BO327" s="182"/>
      <c r="BP327" s="105" t="s">
        <v>184</v>
      </c>
      <c r="BQ327" s="98">
        <v>0.15</v>
      </c>
      <c r="BR327" s="409"/>
      <c r="BS327" s="242">
        <f>BL327*BQ327</f>
        <v>0</v>
      </c>
      <c r="BT327" s="203">
        <f>BM327*BQ327</f>
        <v>0</v>
      </c>
      <c r="BU327" s="167">
        <f>BN327*BQ327</f>
        <v>0</v>
      </c>
      <c r="BV327" s="168">
        <f>BO327*BQ327</f>
        <v>0</v>
      </c>
      <c r="BW327" s="131"/>
      <c r="BX327" s="105" t="s">
        <v>184</v>
      </c>
      <c r="BY327" s="145">
        <v>0.05</v>
      </c>
      <c r="BZ327" s="262"/>
      <c r="CA327" s="242">
        <f>BL327*BY327</f>
        <v>0</v>
      </c>
      <c r="CB327" s="101">
        <f>BM327*BY327</f>
        <v>0</v>
      </c>
      <c r="CC327" s="106">
        <f>BN327*BY327</f>
        <v>0</v>
      </c>
      <c r="CD327" s="107">
        <f>BO327*BY327</f>
        <v>0</v>
      </c>
      <c r="CE327" s="411"/>
      <c r="CF327" s="108">
        <v>0</v>
      </c>
      <c r="CG327" s="130" t="s">
        <v>153</v>
      </c>
      <c r="CH327" s="414"/>
      <c r="CI327" s="415"/>
      <c r="CJ327" s="416"/>
      <c r="CK327" s="415"/>
      <c r="CL327" s="415"/>
      <c r="CM327" s="416"/>
      <c r="CN327" s="415"/>
      <c r="CO327" s="263"/>
      <c r="CP327" s="263"/>
      <c r="CQ327" s="263"/>
      <c r="CR327" s="263"/>
      <c r="CS327" s="263"/>
      <c r="CT327" s="263"/>
      <c r="CU327" s="90">
        <v>1</v>
      </c>
      <c r="CV327" s="181"/>
      <c r="CW327" s="181"/>
      <c r="CX327" s="181"/>
      <c r="CY327" s="155"/>
      <c r="CZ327" s="121"/>
      <c r="DA327" s="424"/>
      <c r="DB327" s="115" t="str">
        <f>PROPER(N327)</f>
        <v>Ipkom</v>
      </c>
      <c r="DC327" s="280"/>
      <c r="DD327" s="116" t="str">
        <f>BP327</f>
        <v>Cristian A</v>
      </c>
      <c r="DE327" s="117" t="b">
        <f>IF(OR(D327&gt;0),IF(BJ327=0,BN327*BQ327,0))</f>
        <v>0</v>
      </c>
      <c r="DF327" s="117" t="b">
        <f>IF(OR(D327&gt;0),IF(BJ327=0,BN327*BY327,0))</f>
        <v>0</v>
      </c>
      <c r="DG327" s="118" t="str">
        <f>BX327</f>
        <v>Cristian A</v>
      </c>
      <c r="DH327" s="76"/>
      <c r="DI327" s="120" t="s">
        <v>154</v>
      </c>
      <c r="DJ327" s="120"/>
      <c r="DK327" s="74"/>
      <c r="DL327" s="74"/>
      <c r="DM327" s="122"/>
      <c r="DN327" s="6"/>
      <c r="DO327" s="6"/>
      <c r="DP327" s="6"/>
      <c r="DQ327" s="6"/>
      <c r="DR327" s="6"/>
      <c r="DS327" s="6"/>
      <c r="DT327" s="6"/>
      <c r="DU327" s="6"/>
      <c r="DV327" s="6"/>
      <c r="DW327" s="6"/>
      <c r="DX327" s="6"/>
      <c r="DY327" s="6"/>
      <c r="DZ327" s="6"/>
    </row>
    <row r="328" spans="1:130" ht="34.5" hidden="1" customHeight="1">
      <c r="A328" s="228"/>
      <c r="B328" s="371" t="s">
        <v>1359</v>
      </c>
      <c r="C328" s="155"/>
      <c r="D328" s="75"/>
      <c r="E328" s="75"/>
      <c r="F328" s="75"/>
      <c r="G328" s="420" t="s">
        <v>1853</v>
      </c>
      <c r="H328" s="420"/>
      <c r="I328" s="449"/>
      <c r="J328" s="155" t="str">
        <f>CONCATENATE(G328," ",H328)</f>
        <v xml:space="preserve">3 Partecipante Ipkom </v>
      </c>
      <c r="K328" s="156"/>
      <c r="L328" s="435"/>
      <c r="M328" s="153"/>
      <c r="N328" s="160" t="s">
        <v>1849</v>
      </c>
      <c r="O328" s="402"/>
      <c r="P328" s="315"/>
      <c r="Q328" s="160"/>
      <c r="R328" s="403"/>
      <c r="S328" s="160"/>
      <c r="T328" s="404"/>
      <c r="U328" s="315"/>
      <c r="V328" s="315"/>
      <c r="W328" s="315"/>
      <c r="X328" s="131"/>
      <c r="Y328" s="315"/>
      <c r="Z328" s="315"/>
      <c r="AA328" s="315"/>
      <c r="AB328" s="37"/>
      <c r="AC328" s="131"/>
      <c r="AD328" s="121"/>
      <c r="AE328" s="88"/>
      <c r="AF328" s="405"/>
      <c r="AG328" s="406"/>
      <c r="AH328" s="406"/>
      <c r="AI328" s="405"/>
      <c r="AJ328" s="155"/>
      <c r="AK328" s="155"/>
      <c r="AL328" s="155"/>
      <c r="AM328" s="407"/>
      <c r="AN328" s="155"/>
      <c r="AO328" s="155"/>
      <c r="AP328" s="155"/>
      <c r="AQ328" s="85"/>
      <c r="AR328" s="121"/>
      <c r="AS328" s="121"/>
      <c r="AT328" s="121"/>
      <c r="AU328" s="408"/>
      <c r="AV328" s="75"/>
      <c r="AW328" s="121"/>
      <c r="AX328" s="121"/>
      <c r="AY328" s="85"/>
      <c r="AZ328" s="154" t="s">
        <v>194</v>
      </c>
      <c r="BA328" s="154" t="s">
        <v>194</v>
      </c>
      <c r="BB328" s="154" t="s">
        <v>194</v>
      </c>
      <c r="BC328" s="85"/>
      <c r="BD328" s="121"/>
      <c r="BE328" s="121"/>
      <c r="BF328" s="121"/>
      <c r="BG328" s="408"/>
      <c r="BH328" s="238">
        <f>CF328+CI328+CL328+CO328+CR328</f>
        <v>0</v>
      </c>
      <c r="BI328" s="238">
        <f>CH328+CK328+CN328+CQ328+CT328</f>
        <v>0</v>
      </c>
      <c r="BJ328" s="238">
        <f>BH328-BI328</f>
        <v>0</v>
      </c>
      <c r="BK328" s="239"/>
      <c r="BL328" s="260"/>
      <c r="BM328" s="241"/>
      <c r="BN328" s="142"/>
      <c r="BO328" s="182"/>
      <c r="BP328" s="105" t="s">
        <v>184</v>
      </c>
      <c r="BQ328" s="98">
        <v>0.15</v>
      </c>
      <c r="BR328" s="409"/>
      <c r="BS328" s="242">
        <f>BL328*BQ328</f>
        <v>0</v>
      </c>
      <c r="BT328" s="203">
        <f>BM328*BQ328</f>
        <v>0</v>
      </c>
      <c r="BU328" s="167">
        <f>BN328*BQ328</f>
        <v>0</v>
      </c>
      <c r="BV328" s="168">
        <f>BO328*BQ328</f>
        <v>0</v>
      </c>
      <c r="BW328" s="131"/>
      <c r="BX328" s="105" t="s">
        <v>184</v>
      </c>
      <c r="BY328" s="145">
        <v>0.05</v>
      </c>
      <c r="BZ328" s="262"/>
      <c r="CA328" s="242">
        <f>BL328*BY328</f>
        <v>0</v>
      </c>
      <c r="CB328" s="101">
        <f>BM328*BY328</f>
        <v>0</v>
      </c>
      <c r="CC328" s="106">
        <f>BN328*BY328</f>
        <v>0</v>
      </c>
      <c r="CD328" s="107">
        <f>BO328*BY328</f>
        <v>0</v>
      </c>
      <c r="CE328" s="411"/>
      <c r="CF328" s="108">
        <v>0</v>
      </c>
      <c r="CG328" s="130" t="s">
        <v>153</v>
      </c>
      <c r="CH328" s="414"/>
      <c r="CI328" s="415"/>
      <c r="CJ328" s="416"/>
      <c r="CK328" s="415"/>
      <c r="CL328" s="415"/>
      <c r="CM328" s="416"/>
      <c r="CN328" s="415"/>
      <c r="CO328" s="263"/>
      <c r="CP328" s="263"/>
      <c r="CQ328" s="263"/>
      <c r="CR328" s="263"/>
      <c r="CS328" s="263"/>
      <c r="CT328" s="263"/>
      <c r="CU328" s="90">
        <v>1</v>
      </c>
      <c r="CV328" s="181"/>
      <c r="CW328" s="181"/>
      <c r="CX328" s="181"/>
      <c r="CY328" s="155"/>
      <c r="CZ328" s="121"/>
      <c r="DA328" s="424"/>
      <c r="DB328" s="115" t="str">
        <f>PROPER(N328)</f>
        <v>Ipkom</v>
      </c>
      <c r="DC328" s="280"/>
      <c r="DD328" s="116" t="str">
        <f>BP328</f>
        <v>Cristian A</v>
      </c>
      <c r="DE328" s="117" t="b">
        <f>IF(OR(D328&gt;0),IF(BJ328=0,BN328*BQ328,0))</f>
        <v>0</v>
      </c>
      <c r="DF328" s="117" t="b">
        <f>IF(OR(D328&gt;0),IF(BJ328=0,BN328*BY328,0))</f>
        <v>0</v>
      </c>
      <c r="DG328" s="118" t="str">
        <f>BX328</f>
        <v>Cristian A</v>
      </c>
      <c r="DH328" s="76"/>
      <c r="DI328" s="120" t="s">
        <v>154</v>
      </c>
      <c r="DJ328" s="120"/>
      <c r="DK328" s="74"/>
      <c r="DL328" s="74"/>
      <c r="DM328" s="122"/>
      <c r="DN328" s="6"/>
      <c r="DO328" s="6"/>
      <c r="DP328" s="6"/>
      <c r="DQ328" s="6"/>
      <c r="DR328" s="6"/>
      <c r="DS328" s="6"/>
      <c r="DT328" s="6"/>
      <c r="DU328" s="6"/>
      <c r="DV328" s="6"/>
      <c r="DW328" s="6"/>
      <c r="DX328" s="6"/>
      <c r="DY328" s="6"/>
      <c r="DZ328" s="6"/>
    </row>
    <row r="329" spans="1:130" ht="34.5" hidden="1" customHeight="1">
      <c r="A329" s="228"/>
      <c r="B329" s="75" t="s">
        <v>1324</v>
      </c>
      <c r="C329" s="155"/>
      <c r="D329" s="75">
        <v>1</v>
      </c>
      <c r="E329" s="75">
        <v>1</v>
      </c>
      <c r="F329" s="75"/>
      <c r="G329" s="400" t="s">
        <v>166</v>
      </c>
      <c r="H329" s="400" t="s">
        <v>1336</v>
      </c>
      <c r="I329" s="207" t="s">
        <v>1337</v>
      </c>
      <c r="J329" s="121" t="str">
        <f>CONCATENATE(G329," ",H329)</f>
        <v>Matteo Miele</v>
      </c>
      <c r="K329" s="417">
        <v>3402870453</v>
      </c>
      <c r="L329" s="156"/>
      <c r="M329" s="153"/>
      <c r="N329" s="160" t="s">
        <v>937</v>
      </c>
      <c r="O329" s="402"/>
      <c r="P329" s="315"/>
      <c r="Q329" s="160"/>
      <c r="R329" s="403"/>
      <c r="S329" s="160"/>
      <c r="T329" s="404"/>
      <c r="U329" s="315"/>
      <c r="V329" s="315"/>
      <c r="W329" s="315"/>
      <c r="X329" s="131"/>
      <c r="Y329" s="315"/>
      <c r="Z329" s="315"/>
      <c r="AA329" s="315"/>
      <c r="AB329" s="37"/>
      <c r="AC329" s="131"/>
      <c r="AD329" s="121" t="s">
        <v>1328</v>
      </c>
      <c r="AE329" s="88"/>
      <c r="AF329" s="405"/>
      <c r="AG329" s="406"/>
      <c r="AH329" s="406"/>
      <c r="AI329" s="405"/>
      <c r="AJ329" s="155"/>
      <c r="AK329" s="155"/>
      <c r="AL329" s="155"/>
      <c r="AM329" s="407"/>
      <c r="AN329" s="155"/>
      <c r="AO329" s="155"/>
      <c r="AP329" s="155"/>
      <c r="AQ329" s="85"/>
      <c r="AR329" s="121"/>
      <c r="AS329" s="121"/>
      <c r="AT329" s="121"/>
      <c r="AU329" s="408"/>
      <c r="AV329" s="75"/>
      <c r="AW329" s="121"/>
      <c r="AX329" s="121"/>
      <c r="AY329" s="85"/>
      <c r="AZ329" s="121" t="s">
        <v>245</v>
      </c>
      <c r="BA329" s="121" t="s">
        <v>245</v>
      </c>
      <c r="BB329" s="135" t="s">
        <v>115</v>
      </c>
      <c r="BC329" s="85"/>
      <c r="BD329" s="121"/>
      <c r="BE329" s="121"/>
      <c r="BF329" s="121"/>
      <c r="BG329" s="408"/>
      <c r="BH329" s="238">
        <f>CF329+CI329+CL329+CO329+CR329</f>
        <v>2397</v>
      </c>
      <c r="BI329" s="238">
        <f>CH329+CK329+CN329+CQ329+CT329</f>
        <v>0</v>
      </c>
      <c r="BJ329" s="238">
        <f>BH329-BI329</f>
        <v>2397</v>
      </c>
      <c r="BK329" s="239"/>
      <c r="BL329" s="260"/>
      <c r="BM329" s="241"/>
      <c r="BN329" s="142">
        <v>2397</v>
      </c>
      <c r="BO329" s="182"/>
      <c r="BP329" s="275" t="s">
        <v>262</v>
      </c>
      <c r="BQ329" s="98">
        <v>0.15</v>
      </c>
      <c r="BR329" s="409"/>
      <c r="BS329" s="242"/>
      <c r="BT329" s="203"/>
      <c r="BU329" s="167">
        <f>BN329*BQ329</f>
        <v>359.55</v>
      </c>
      <c r="BV329" s="168">
        <f>BO329*BQ329</f>
        <v>0</v>
      </c>
      <c r="BW329" s="131"/>
      <c r="BX329" s="105" t="s">
        <v>262</v>
      </c>
      <c r="BY329" s="145">
        <v>0.1</v>
      </c>
      <c r="BZ329" s="262"/>
      <c r="CA329" s="242"/>
      <c r="CB329" s="101"/>
      <c r="CC329" s="102">
        <f>BV329*BY329</f>
        <v>0</v>
      </c>
      <c r="CD329" s="103">
        <f>BW329*BY329</f>
        <v>0</v>
      </c>
      <c r="CE329" s="411"/>
      <c r="CF329" s="108">
        <v>2397</v>
      </c>
      <c r="CG329" s="109"/>
      <c r="CH329" s="2104"/>
      <c r="CI329" s="415"/>
      <c r="CJ329" s="416"/>
      <c r="CK329" s="415"/>
      <c r="CL329" s="415"/>
      <c r="CM329" s="416"/>
      <c r="CN329" s="415"/>
      <c r="CO329" s="263"/>
      <c r="CP329" s="263"/>
      <c r="CQ329" s="263"/>
      <c r="CR329" s="263"/>
      <c r="CS329" s="263"/>
      <c r="CT329" s="263"/>
      <c r="CU329" s="90"/>
      <c r="CV329" s="181"/>
      <c r="CW329" s="181"/>
      <c r="CX329" s="181"/>
      <c r="CY329" s="155"/>
      <c r="CZ329" s="121"/>
      <c r="DA329" s="384" t="s">
        <v>938</v>
      </c>
      <c r="DB329" s="115" t="str">
        <f>PROPER(N329)</f>
        <v>Ey</v>
      </c>
      <c r="DC329" s="191" t="s">
        <v>264</v>
      </c>
      <c r="DD329" s="116" t="str">
        <f>BP329</f>
        <v>Pacci</v>
      </c>
      <c r="DE329" s="117">
        <f>IF(OR(D329&gt;0),IF(BJ329=0,BN329*BQ329,0))</f>
        <v>0</v>
      </c>
      <c r="DF329" s="117">
        <f>IF(OR(D329&gt;0),IF(BJ329=0,BN329*BY329,0))</f>
        <v>0</v>
      </c>
      <c r="DG329" s="118" t="str">
        <f>BX329</f>
        <v>Pacci</v>
      </c>
      <c r="DH329" s="76"/>
      <c r="DI329" s="120" t="s">
        <v>126</v>
      </c>
      <c r="DJ329" s="120"/>
      <c r="DK329" s="74"/>
      <c r="DL329" s="74"/>
      <c r="DM329" s="122"/>
      <c r="DN329" s="6"/>
      <c r="DO329" s="6"/>
      <c r="DP329" s="6"/>
      <c r="DQ329" s="6"/>
      <c r="DR329" s="6"/>
      <c r="DS329" s="6"/>
      <c r="DT329" s="6"/>
      <c r="DU329" s="6"/>
      <c r="DV329" s="6"/>
      <c r="DW329" s="6"/>
      <c r="DX329" s="6"/>
      <c r="DY329" s="6"/>
      <c r="DZ329" s="6"/>
    </row>
    <row r="330" spans="1:130" ht="34.5" hidden="1" customHeight="1">
      <c r="A330" s="228"/>
      <c r="B330" s="75" t="s">
        <v>1359</v>
      </c>
      <c r="C330" s="155"/>
      <c r="D330" s="75">
        <v>1</v>
      </c>
      <c r="E330" s="75">
        <v>1</v>
      </c>
      <c r="F330" s="75"/>
      <c r="G330" s="400" t="s">
        <v>1945</v>
      </c>
      <c r="H330" s="400" t="s">
        <v>1946</v>
      </c>
      <c r="I330" s="207" t="s">
        <v>1947</v>
      </c>
      <c r="J330" s="121" t="str">
        <f>CONCATENATE(G330," ",H330)</f>
        <v>Mattia Bossi</v>
      </c>
      <c r="K330" s="156">
        <v>3337048286</v>
      </c>
      <c r="L330" s="435"/>
      <c r="M330" s="153" t="s">
        <v>1148</v>
      </c>
      <c r="N330" s="160" t="s">
        <v>1948</v>
      </c>
      <c r="O330" s="402"/>
      <c r="P330" s="315"/>
      <c r="Q330" s="160"/>
      <c r="R330" s="403"/>
      <c r="S330" s="160"/>
      <c r="T330" s="404"/>
      <c r="U330" s="315"/>
      <c r="V330" s="315"/>
      <c r="W330" s="315"/>
      <c r="X330" s="131"/>
      <c r="Y330" s="315"/>
      <c r="Z330" s="315"/>
      <c r="AA330" s="315"/>
      <c r="AB330" s="37"/>
      <c r="AC330" s="131"/>
      <c r="AD330" s="121" t="s">
        <v>1949</v>
      </c>
      <c r="AE330" s="88"/>
      <c r="AF330" s="405"/>
      <c r="AG330" s="406"/>
      <c r="AH330" s="406"/>
      <c r="AI330" s="405"/>
      <c r="AJ330" s="155"/>
      <c r="AK330" s="155"/>
      <c r="AL330" s="155"/>
      <c r="AM330" s="407"/>
      <c r="AN330" s="155"/>
      <c r="AO330" s="155"/>
      <c r="AP330" s="155"/>
      <c r="AQ330" s="85"/>
      <c r="AR330" s="121"/>
      <c r="AS330" s="121"/>
      <c r="AT330" s="121"/>
      <c r="AU330" s="408"/>
      <c r="AV330" s="75"/>
      <c r="AW330" s="121"/>
      <c r="AX330" s="121"/>
      <c r="AY330" s="85"/>
      <c r="AZ330" s="121" t="s">
        <v>115</v>
      </c>
      <c r="BA330" s="121" t="s">
        <v>115</v>
      </c>
      <c r="BB330" s="135" t="s">
        <v>115</v>
      </c>
      <c r="BC330" s="85"/>
      <c r="BD330" s="121"/>
      <c r="BE330" s="121"/>
      <c r="BF330" s="121"/>
      <c r="BG330" s="408"/>
      <c r="BH330" s="238">
        <f>CF330+CI330+CL330+CO330+CR330</f>
        <v>2997</v>
      </c>
      <c r="BI330" s="238">
        <f>CH330+CK330+CN330+CQ330+CT330</f>
        <v>2997</v>
      </c>
      <c r="BJ330" s="238">
        <f>BH330-BI330</f>
        <v>0</v>
      </c>
      <c r="BK330" s="239"/>
      <c r="BL330" s="260"/>
      <c r="BM330" s="241"/>
      <c r="BN330" s="142">
        <v>2997</v>
      </c>
      <c r="BO330" s="182"/>
      <c r="BP330" s="441" t="s">
        <v>160</v>
      </c>
      <c r="BQ330" s="145">
        <v>0.15</v>
      </c>
      <c r="BR330" s="480"/>
      <c r="BS330" s="381">
        <f>BL330*BQ330</f>
        <v>0</v>
      </c>
      <c r="BT330" s="168">
        <f>BM330*BQ330</f>
        <v>0</v>
      </c>
      <c r="BU330" s="530">
        <f>BN330*BQ330</f>
        <v>449.55</v>
      </c>
      <c r="BV330" s="168">
        <f>BO330*BQ330</f>
        <v>0</v>
      </c>
      <c r="BW330" s="160" t="s">
        <v>185</v>
      </c>
      <c r="BX330" s="441" t="s">
        <v>160</v>
      </c>
      <c r="BY330" s="145">
        <v>0.05</v>
      </c>
      <c r="BZ330" s="262"/>
      <c r="CA330" s="242">
        <f>BL330*BY330</f>
        <v>0</v>
      </c>
      <c r="CB330" s="101">
        <f>BM330*BY330</f>
        <v>0</v>
      </c>
      <c r="CC330" s="106">
        <f>BN330*BY330</f>
        <v>149.85</v>
      </c>
      <c r="CD330" s="107">
        <f>BO330*BY330</f>
        <v>0</v>
      </c>
      <c r="CE330" s="84" t="s">
        <v>185</v>
      </c>
      <c r="CF330" s="108">
        <v>2997</v>
      </c>
      <c r="CG330" s="109">
        <v>45198</v>
      </c>
      <c r="CH330" s="108">
        <v>2997</v>
      </c>
      <c r="CI330" s="2106"/>
      <c r="CJ330" s="416"/>
      <c r="CK330" s="415"/>
      <c r="CL330" s="2106"/>
      <c r="CM330" s="416"/>
      <c r="CN330" s="2106"/>
      <c r="CO330" s="130"/>
      <c r="CP330" s="263"/>
      <c r="CQ330" s="263"/>
      <c r="CR330" s="130"/>
      <c r="CS330" s="263"/>
      <c r="CT330" s="263"/>
      <c r="CU330" s="90">
        <v>1</v>
      </c>
      <c r="CV330" s="181"/>
      <c r="CW330" s="506"/>
      <c r="CX330" s="431"/>
      <c r="CY330" s="155"/>
      <c r="CZ330" s="121"/>
      <c r="DA330" s="428" t="s">
        <v>1950</v>
      </c>
      <c r="DB330" s="115" t="str">
        <f>PROPER(N330)</f>
        <v>Sviluppo Business</v>
      </c>
      <c r="DC330" s="280" t="s">
        <v>1951</v>
      </c>
      <c r="DD330" s="116" t="str">
        <f>BP330</f>
        <v>Gianluca</v>
      </c>
      <c r="DE330" s="117">
        <f>IF(OR(D330&gt;0),IF(BJ330=0,BN330*BQ330,0))</f>
        <v>449.55</v>
      </c>
      <c r="DF330" s="117">
        <f>IF(OR(D330&gt;0),IF(BJ330=0,BN330*BY330,0))</f>
        <v>149.85</v>
      </c>
      <c r="DG330" s="118" t="str">
        <f>BX330</f>
        <v>Gianluca</v>
      </c>
      <c r="DH330" s="76"/>
      <c r="DI330" s="120" t="s">
        <v>126</v>
      </c>
      <c r="DJ330" s="120"/>
      <c r="DK330" s="74" t="s">
        <v>1418</v>
      </c>
      <c r="DL330" s="74" t="s">
        <v>1418</v>
      </c>
      <c r="DM330" s="122">
        <v>1</v>
      </c>
      <c r="DN330" s="6"/>
      <c r="DO330" s="6"/>
      <c r="DP330" s="6"/>
      <c r="DQ330" s="6"/>
      <c r="DR330" s="6"/>
      <c r="DS330" s="6"/>
      <c r="DT330" s="6"/>
      <c r="DU330" s="6"/>
      <c r="DV330" s="6"/>
      <c r="DW330" s="6"/>
      <c r="DX330" s="6"/>
      <c r="DY330" s="6"/>
      <c r="DZ330" s="6"/>
    </row>
    <row r="331" spans="1:130" ht="34.5" hidden="1" customHeight="1">
      <c r="A331" s="228"/>
      <c r="B331" s="371" t="s">
        <v>1359</v>
      </c>
      <c r="C331" s="155"/>
      <c r="D331" s="75"/>
      <c r="E331" s="75"/>
      <c r="F331" s="75"/>
      <c r="G331" s="400" t="s">
        <v>204</v>
      </c>
      <c r="H331" s="400" t="s">
        <v>1865</v>
      </c>
      <c r="I331" s="207" t="s">
        <v>1866</v>
      </c>
      <c r="J331" s="155" t="str">
        <f>CONCATENATE(G331," ",H331)</f>
        <v>Luca Vajani</v>
      </c>
      <c r="K331" s="156">
        <v>3278224272</v>
      </c>
      <c r="L331" s="505" t="s">
        <v>1867</v>
      </c>
      <c r="M331" s="153"/>
      <c r="N331" s="160" t="s">
        <v>1868</v>
      </c>
      <c r="O331" s="402"/>
      <c r="P331" s="315"/>
      <c r="Q331" s="160"/>
      <c r="R331" s="403"/>
      <c r="S331" s="160"/>
      <c r="T331" s="404"/>
      <c r="U331" s="315"/>
      <c r="V331" s="315"/>
      <c r="W331" s="315"/>
      <c r="X331" s="131"/>
      <c r="Y331" s="315"/>
      <c r="Z331" s="315"/>
      <c r="AA331" s="315"/>
      <c r="AB331" s="37"/>
      <c r="AC331" s="131"/>
      <c r="AD331" s="121"/>
      <c r="AE331" s="88"/>
      <c r="AF331" s="405"/>
      <c r="AG331" s="406"/>
      <c r="AH331" s="406"/>
      <c r="AI331" s="405"/>
      <c r="AJ331" s="155"/>
      <c r="AK331" s="155"/>
      <c r="AL331" s="155"/>
      <c r="AM331" s="407"/>
      <c r="AN331" s="155"/>
      <c r="AO331" s="155"/>
      <c r="AP331" s="155"/>
      <c r="AQ331" s="85"/>
      <c r="AR331" s="121"/>
      <c r="AS331" s="121"/>
      <c r="AT331" s="121"/>
      <c r="AU331" s="408"/>
      <c r="AV331" s="75"/>
      <c r="AW331" s="121"/>
      <c r="AX331" s="121"/>
      <c r="AY331" s="85"/>
      <c r="AZ331" s="154" t="s">
        <v>165</v>
      </c>
      <c r="BA331" s="154" t="s">
        <v>165</v>
      </c>
      <c r="BB331" s="154" t="s">
        <v>165</v>
      </c>
      <c r="BC331" s="85"/>
      <c r="BD331" s="121"/>
      <c r="BE331" s="121"/>
      <c r="BF331" s="121"/>
      <c r="BG331" s="408"/>
      <c r="BH331" s="238">
        <f>CF331+CI331+CL331+CO331+CR331</f>
        <v>0</v>
      </c>
      <c r="BI331" s="238">
        <f>CH331+CK331+CN331+CQ331+CT331</f>
        <v>0</v>
      </c>
      <c r="BJ331" s="238">
        <f>BH331-BI331</f>
        <v>0</v>
      </c>
      <c r="BK331" s="239"/>
      <c r="BL331" s="260"/>
      <c r="BM331" s="241"/>
      <c r="BN331" s="142"/>
      <c r="BO331" s="182"/>
      <c r="BP331" s="105" t="s">
        <v>117</v>
      </c>
      <c r="BQ331" s="98">
        <v>0</v>
      </c>
      <c r="BR331" s="409"/>
      <c r="BS331" s="242">
        <f>BL331*BQ331</f>
        <v>0</v>
      </c>
      <c r="BT331" s="203">
        <f>BM331*BQ331</f>
        <v>0</v>
      </c>
      <c r="BU331" s="167">
        <f>BN331*BQ331</f>
        <v>0</v>
      </c>
      <c r="BV331" s="168">
        <f>BO331*BQ331</f>
        <v>0</v>
      </c>
      <c r="BW331" s="131"/>
      <c r="BX331" s="105" t="s">
        <v>152</v>
      </c>
      <c r="BY331" s="145">
        <v>0.05</v>
      </c>
      <c r="BZ331" s="262"/>
      <c r="CA331" s="242">
        <f>BL331*BY331</f>
        <v>0</v>
      </c>
      <c r="CB331" s="101">
        <f>BM331*BY331</f>
        <v>0</v>
      </c>
      <c r="CC331" s="106">
        <f>BN331*BY331</f>
        <v>0</v>
      </c>
      <c r="CD331" s="107">
        <f>BO331*BY331</f>
        <v>0</v>
      </c>
      <c r="CE331" s="411"/>
      <c r="CF331" s="434"/>
      <c r="CG331" s="109"/>
      <c r="CH331" s="414"/>
      <c r="CI331" s="415"/>
      <c r="CJ331" s="416"/>
      <c r="CK331" s="415"/>
      <c r="CL331" s="415"/>
      <c r="CM331" s="416"/>
      <c r="CN331" s="415"/>
      <c r="CO331" s="263"/>
      <c r="CP331" s="263"/>
      <c r="CQ331" s="263"/>
      <c r="CR331" s="263"/>
      <c r="CS331" s="263"/>
      <c r="CT331" s="263"/>
      <c r="CU331" s="90">
        <v>1</v>
      </c>
      <c r="CV331" s="181"/>
      <c r="CW331" s="181"/>
      <c r="CX331" s="181"/>
      <c r="CY331" s="155"/>
      <c r="CZ331" s="121"/>
      <c r="DA331" s="424" t="s">
        <v>1869</v>
      </c>
      <c r="DB331" s="115" t="str">
        <f>PROPER(N331)</f>
        <v>Aries Tech</v>
      </c>
      <c r="DC331" s="280" t="s">
        <v>264</v>
      </c>
      <c r="DD331" s="116" t="str">
        <f>BP331</f>
        <v>blackship</v>
      </c>
      <c r="DE331" s="117" t="b">
        <f>IF(OR(D331&gt;0),IF(BJ331=0,BN331*BQ331,0))</f>
        <v>0</v>
      </c>
      <c r="DF331" s="117" t="b">
        <f>IF(OR(D331&gt;0),IF(BJ331=0,BN331*BY331,0))</f>
        <v>0</v>
      </c>
      <c r="DG331" s="118" t="str">
        <f>BX331</f>
        <v>Client Angel</v>
      </c>
      <c r="DH331" s="76"/>
      <c r="DI331" s="120" t="s">
        <v>154</v>
      </c>
      <c r="DJ331" s="120"/>
      <c r="DK331" s="74" t="s">
        <v>1399</v>
      </c>
      <c r="DL331" s="74" t="s">
        <v>1399</v>
      </c>
      <c r="DM331" s="122"/>
      <c r="DN331" s="6"/>
      <c r="DO331" s="6"/>
      <c r="DP331" s="6"/>
      <c r="DQ331" s="6"/>
      <c r="DR331" s="6"/>
      <c r="DS331" s="6"/>
      <c r="DT331" s="6"/>
      <c r="DU331" s="6"/>
      <c r="DV331" s="6"/>
      <c r="DW331" s="6"/>
      <c r="DX331" s="6"/>
      <c r="DY331" s="6"/>
      <c r="DZ331" s="6"/>
    </row>
    <row r="332" spans="1:130" ht="34.5" hidden="1" customHeight="1">
      <c r="A332" s="228"/>
      <c r="B332" s="371" t="s">
        <v>1359</v>
      </c>
      <c r="C332" s="155"/>
      <c r="D332" s="75"/>
      <c r="E332" s="75"/>
      <c r="F332" s="75"/>
      <c r="G332" s="420" t="s">
        <v>1870</v>
      </c>
      <c r="H332" s="420"/>
      <c r="I332" s="449"/>
      <c r="J332" s="155" t="str">
        <f>CONCATENATE(G332," ",H332)</f>
        <v xml:space="preserve">1 Partecipante di Luca Vajani </v>
      </c>
      <c r="K332" s="156"/>
      <c r="L332" s="505" t="s">
        <v>1867</v>
      </c>
      <c r="M332" s="153"/>
      <c r="N332" s="160"/>
      <c r="O332" s="402"/>
      <c r="P332" s="315"/>
      <c r="Q332" s="160"/>
      <c r="R332" s="403"/>
      <c r="S332" s="160"/>
      <c r="T332" s="404"/>
      <c r="U332" s="315"/>
      <c r="V332" s="315"/>
      <c r="W332" s="315"/>
      <c r="X332" s="131"/>
      <c r="Y332" s="315"/>
      <c r="Z332" s="315"/>
      <c r="AA332" s="315"/>
      <c r="AB332" s="37"/>
      <c r="AC332" s="131"/>
      <c r="AD332" s="121"/>
      <c r="AE332" s="88"/>
      <c r="AF332" s="405"/>
      <c r="AG332" s="406"/>
      <c r="AH332" s="406"/>
      <c r="AI332" s="405"/>
      <c r="AJ332" s="155"/>
      <c r="AK332" s="155"/>
      <c r="AL332" s="155"/>
      <c r="AM332" s="407"/>
      <c r="AN332" s="155"/>
      <c r="AO332" s="155"/>
      <c r="AP332" s="155"/>
      <c r="AQ332" s="85"/>
      <c r="AR332" s="121"/>
      <c r="AS332" s="121"/>
      <c r="AT332" s="121"/>
      <c r="AU332" s="408"/>
      <c r="AV332" s="75"/>
      <c r="AW332" s="121"/>
      <c r="AX332" s="121"/>
      <c r="AY332" s="85"/>
      <c r="AZ332" s="154" t="s">
        <v>165</v>
      </c>
      <c r="BA332" s="154" t="s">
        <v>165</v>
      </c>
      <c r="BB332" s="154" t="s">
        <v>165</v>
      </c>
      <c r="BC332" s="85"/>
      <c r="BD332" s="121"/>
      <c r="BE332" s="121"/>
      <c r="BF332" s="121"/>
      <c r="BG332" s="408"/>
      <c r="BH332" s="238">
        <f>CF332+CI332+CL332+CO332+CR332</f>
        <v>0</v>
      </c>
      <c r="BI332" s="238">
        <f>CH332+CK332+CN332+CQ332+CT332</f>
        <v>0</v>
      </c>
      <c r="BJ332" s="238">
        <f>BH332-BI332</f>
        <v>0</v>
      </c>
      <c r="BK332" s="239"/>
      <c r="BL332" s="260"/>
      <c r="BM332" s="241"/>
      <c r="BN332" s="142"/>
      <c r="BO332" s="182"/>
      <c r="BP332" s="105" t="s">
        <v>117</v>
      </c>
      <c r="BQ332" s="98">
        <v>0</v>
      </c>
      <c r="BR332" s="409"/>
      <c r="BS332" s="242">
        <f>BL332*BQ332</f>
        <v>0</v>
      </c>
      <c r="BT332" s="203">
        <f>BM332*BQ332</f>
        <v>0</v>
      </c>
      <c r="BU332" s="167">
        <f>BN332*BQ332</f>
        <v>0</v>
      </c>
      <c r="BV332" s="168">
        <f>BO332*BQ332</f>
        <v>0</v>
      </c>
      <c r="BW332" s="131"/>
      <c r="BX332" s="105" t="s">
        <v>152</v>
      </c>
      <c r="BY332" s="145">
        <v>0.05</v>
      </c>
      <c r="BZ332" s="262"/>
      <c r="CA332" s="242">
        <f>BL332*BY332</f>
        <v>0</v>
      </c>
      <c r="CB332" s="101">
        <f>BM332*BY332</f>
        <v>0</v>
      </c>
      <c r="CC332" s="106">
        <f>BN332*BY332</f>
        <v>0</v>
      </c>
      <c r="CD332" s="107">
        <f>BO332*BY332</f>
        <v>0</v>
      </c>
      <c r="CE332" s="411"/>
      <c r="CF332" s="434"/>
      <c r="CG332" s="109"/>
      <c r="CH332" s="414"/>
      <c r="CI332" s="415"/>
      <c r="CJ332" s="416"/>
      <c r="CK332" s="415"/>
      <c r="CL332" s="415"/>
      <c r="CM332" s="416"/>
      <c r="CN332" s="415"/>
      <c r="CO332" s="263"/>
      <c r="CP332" s="263"/>
      <c r="CQ332" s="263"/>
      <c r="CR332" s="263"/>
      <c r="CS332" s="263"/>
      <c r="CT332" s="263"/>
      <c r="CU332" s="90">
        <v>1</v>
      </c>
      <c r="CV332" s="181"/>
      <c r="CW332" s="181"/>
      <c r="CX332" s="181"/>
      <c r="CY332" s="155"/>
      <c r="CZ332" s="121"/>
      <c r="DA332" s="424"/>
      <c r="DB332" s="115"/>
      <c r="DC332" s="280"/>
      <c r="DD332" s="116" t="str">
        <f>BP332</f>
        <v>blackship</v>
      </c>
      <c r="DE332" s="117" t="b">
        <f>IF(OR(D332&gt;0),IF(BJ332=0,BN332*BQ332,0))</f>
        <v>0</v>
      </c>
      <c r="DF332" s="117" t="b">
        <f>IF(OR(D332&gt;0),IF(BJ332=0,BN332*BY332,0))</f>
        <v>0</v>
      </c>
      <c r="DG332" s="118" t="str">
        <f>BX332</f>
        <v>Client Angel</v>
      </c>
      <c r="DH332" s="76"/>
      <c r="DI332" s="120" t="s">
        <v>154</v>
      </c>
      <c r="DJ332" s="120"/>
      <c r="DK332" s="74"/>
      <c r="DL332" s="74"/>
      <c r="DM332" s="122"/>
      <c r="DN332" s="6"/>
      <c r="DO332" s="6"/>
      <c r="DP332" s="6"/>
      <c r="DQ332" s="6"/>
      <c r="DR332" s="6"/>
      <c r="DS332" s="6"/>
      <c r="DT332" s="6"/>
      <c r="DU332" s="6"/>
      <c r="DV332" s="6"/>
      <c r="DW332" s="6"/>
      <c r="DX332" s="6"/>
      <c r="DY332" s="6"/>
      <c r="DZ332" s="6"/>
    </row>
    <row r="333" spans="1:130" ht="34.5" hidden="1" customHeight="1">
      <c r="A333" s="228"/>
      <c r="B333" s="75" t="s">
        <v>1359</v>
      </c>
      <c r="C333" s="155"/>
      <c r="D333" s="75">
        <v>1</v>
      </c>
      <c r="E333" s="75">
        <v>1</v>
      </c>
      <c r="F333" s="75"/>
      <c r="G333" s="400" t="s">
        <v>2199</v>
      </c>
      <c r="H333" s="400" t="s">
        <v>2200</v>
      </c>
      <c r="I333" s="207" t="s">
        <v>2201</v>
      </c>
      <c r="J333" s="121" t="str">
        <f>CONCATENATE(G333," ",H333)</f>
        <v>Maurizio Capello</v>
      </c>
      <c r="K333" s="156">
        <v>3346980198</v>
      </c>
      <c r="L333" s="156"/>
      <c r="M333" s="487" t="s">
        <v>702</v>
      </c>
      <c r="N333" s="602" t="s">
        <v>2196</v>
      </c>
      <c r="O333" s="402"/>
      <c r="P333" s="315"/>
      <c r="Q333" s="160"/>
      <c r="R333" s="403"/>
      <c r="S333" s="160"/>
      <c r="T333" s="404"/>
      <c r="U333" s="315"/>
      <c r="V333" s="315"/>
      <c r="W333" s="315"/>
      <c r="X333" s="131"/>
      <c r="Y333" s="315"/>
      <c r="Z333" s="315"/>
      <c r="AA333" s="315"/>
      <c r="AB333" s="37"/>
      <c r="AC333" s="131"/>
      <c r="AD333" s="121" t="s">
        <v>2197</v>
      </c>
      <c r="AE333" s="88"/>
      <c r="AF333" s="405"/>
      <c r="AG333" s="406"/>
      <c r="AH333" s="406"/>
      <c r="AI333" s="405"/>
      <c r="AJ333" s="155"/>
      <c r="AK333" s="155"/>
      <c r="AL333" s="155"/>
      <c r="AM333" s="407"/>
      <c r="AN333" s="155"/>
      <c r="AO333" s="155"/>
      <c r="AP333" s="155"/>
      <c r="AQ333" s="85"/>
      <c r="AR333" s="121"/>
      <c r="AS333" s="121"/>
      <c r="AT333" s="121"/>
      <c r="AU333" s="408"/>
      <c r="AV333" s="75"/>
      <c r="AW333" s="121"/>
      <c r="AX333" s="121"/>
      <c r="AY333" s="1982"/>
      <c r="AZ333" s="121" t="s">
        <v>115</v>
      </c>
      <c r="BA333" s="121" t="s">
        <v>115</v>
      </c>
      <c r="BB333" s="2002" t="s">
        <v>115</v>
      </c>
      <c r="BC333" s="1982"/>
      <c r="BD333" s="121"/>
      <c r="BE333" s="121"/>
      <c r="BF333" s="121"/>
      <c r="BG333" s="408"/>
      <c r="BH333" s="238">
        <f>CF333+CI333+CL333+CO333+CR333</f>
        <v>2597</v>
      </c>
      <c r="BI333" s="238">
        <f>CH333+CK333+CN333+CQ333+CT333</f>
        <v>2597</v>
      </c>
      <c r="BJ333" s="238">
        <f>BH333-BI333</f>
        <v>0</v>
      </c>
      <c r="BK333" s="239"/>
      <c r="BL333" s="260"/>
      <c r="BM333" s="241"/>
      <c r="BN333" s="142">
        <v>2597</v>
      </c>
      <c r="BO333" s="182"/>
      <c r="BP333" s="105" t="s">
        <v>246</v>
      </c>
      <c r="BQ333" s="98">
        <v>0.15</v>
      </c>
      <c r="BR333" s="409"/>
      <c r="BS333" s="242">
        <f>BL333*BQ333</f>
        <v>0</v>
      </c>
      <c r="BT333" s="203">
        <f>BM333*BQ333</f>
        <v>0</v>
      </c>
      <c r="BU333" s="167">
        <f>BN333*BQ333</f>
        <v>389.55</v>
      </c>
      <c r="BV333" s="168">
        <f>BO333*BQ333</f>
        <v>0</v>
      </c>
      <c r="BW333" s="160" t="s">
        <v>185</v>
      </c>
      <c r="BX333" s="105" t="s">
        <v>246</v>
      </c>
      <c r="BY333" s="145">
        <v>0.05</v>
      </c>
      <c r="BZ333" s="262"/>
      <c r="CA333" s="242">
        <f>BL333*BY333</f>
        <v>0</v>
      </c>
      <c r="CB333" s="101">
        <f>BM333*BY333</f>
        <v>0</v>
      </c>
      <c r="CC333" s="106">
        <f>BN333*BY333</f>
        <v>129.85</v>
      </c>
      <c r="CD333" s="107">
        <f>BO333*BY333</f>
        <v>0</v>
      </c>
      <c r="CE333" s="84" t="s">
        <v>185</v>
      </c>
      <c r="CF333" s="108">
        <v>2597</v>
      </c>
      <c r="CG333" s="109">
        <v>45204</v>
      </c>
      <c r="CH333" s="108">
        <v>2597</v>
      </c>
      <c r="CI333" s="415"/>
      <c r="CJ333" s="416"/>
      <c r="CK333" s="415"/>
      <c r="CL333" s="415"/>
      <c r="CM333" s="416"/>
      <c r="CN333" s="415"/>
      <c r="CO333" s="263"/>
      <c r="CP333" s="263"/>
      <c r="CQ333" s="263"/>
      <c r="CR333" s="263"/>
      <c r="CS333" s="263"/>
      <c r="CT333" s="263"/>
      <c r="CU333" s="90">
        <v>1</v>
      </c>
      <c r="CV333" s="181"/>
      <c r="CW333" s="506"/>
      <c r="CX333" s="431"/>
      <c r="CY333" s="155"/>
      <c r="CZ333" s="121"/>
      <c r="DA333" s="542" t="s">
        <v>2198</v>
      </c>
      <c r="DB333" s="115" t="str">
        <f>PROPER(N333)</f>
        <v>Com.Pac.</v>
      </c>
      <c r="DC333" s="280" t="s">
        <v>1398</v>
      </c>
      <c r="DD333" s="116" t="str">
        <f>BP333</f>
        <v>Marco</v>
      </c>
      <c r="DE333" s="117">
        <f>IF(OR(D333&gt;0),IF(BJ333=0,BN333*BQ333,0))</f>
        <v>389.55</v>
      </c>
      <c r="DF333" s="117">
        <f>IF(OR(D333&gt;0),IF(BJ333=0,BN333*BY333,0))</f>
        <v>129.85</v>
      </c>
      <c r="DG333" s="118" t="str">
        <f>BX333</f>
        <v>Marco</v>
      </c>
      <c r="DH333" s="76"/>
      <c r="DI333" s="120" t="s">
        <v>126</v>
      </c>
      <c r="DJ333" s="120"/>
      <c r="DK333" s="74" t="s">
        <v>1366</v>
      </c>
      <c r="DL333" s="74" t="s">
        <v>1366</v>
      </c>
      <c r="DM333" s="122">
        <v>1</v>
      </c>
      <c r="DN333" s="6"/>
      <c r="DO333" s="6"/>
      <c r="DP333" s="6"/>
      <c r="DQ333" s="6"/>
      <c r="DR333" s="6"/>
      <c r="DS333" s="6"/>
      <c r="DT333" s="6"/>
      <c r="DU333" s="6"/>
      <c r="DV333" s="6"/>
      <c r="DW333" s="6"/>
      <c r="DX333" s="6"/>
      <c r="DY333" s="6"/>
      <c r="DZ333" s="6"/>
    </row>
    <row r="334" spans="1:130" ht="34.5" hidden="1" customHeight="1">
      <c r="A334" s="228"/>
      <c r="B334" s="75" t="s">
        <v>1324</v>
      </c>
      <c r="C334" s="155"/>
      <c r="D334" s="75">
        <v>1</v>
      </c>
      <c r="E334" s="75">
        <v>1</v>
      </c>
      <c r="F334" s="75"/>
      <c r="G334" s="400" t="s">
        <v>730</v>
      </c>
      <c r="H334" s="400" t="s">
        <v>1329</v>
      </c>
      <c r="I334" s="207" t="s">
        <v>1330</v>
      </c>
      <c r="J334" s="121" t="str">
        <f>CONCATENATE(G334," ",H334)</f>
        <v>Mauro Bui</v>
      </c>
      <c r="K334" s="156">
        <v>3666392521</v>
      </c>
      <c r="L334" s="156"/>
      <c r="M334" s="153"/>
      <c r="N334" s="160" t="s">
        <v>937</v>
      </c>
      <c r="O334" s="402"/>
      <c r="P334" s="315"/>
      <c r="Q334" s="160"/>
      <c r="R334" s="403"/>
      <c r="S334" s="160"/>
      <c r="T334" s="404"/>
      <c r="U334" s="315"/>
      <c r="V334" s="315"/>
      <c r="W334" s="315"/>
      <c r="X334" s="131"/>
      <c r="Y334" s="315"/>
      <c r="Z334" s="315"/>
      <c r="AA334" s="315"/>
      <c r="AB334" s="37"/>
      <c r="AC334" s="131"/>
      <c r="AD334" s="121" t="s">
        <v>1328</v>
      </c>
      <c r="AE334" s="88"/>
      <c r="AF334" s="405"/>
      <c r="AG334" s="406"/>
      <c r="AH334" s="406"/>
      <c r="AI334" s="405"/>
      <c r="AJ334" s="155"/>
      <c r="AK334" s="155"/>
      <c r="AL334" s="155"/>
      <c r="AM334" s="407"/>
      <c r="AN334" s="155"/>
      <c r="AO334" s="155"/>
      <c r="AP334" s="155"/>
      <c r="AQ334" s="85"/>
      <c r="AR334" s="121"/>
      <c r="AS334" s="121"/>
      <c r="AT334" s="121"/>
      <c r="AU334" s="408"/>
      <c r="AV334" s="75"/>
      <c r="AW334" s="121"/>
      <c r="AX334" s="121"/>
      <c r="AY334" s="85"/>
      <c r="AZ334" s="121" t="s">
        <v>245</v>
      </c>
      <c r="BA334" s="121" t="s">
        <v>245</v>
      </c>
      <c r="BB334" s="135" t="s">
        <v>115</v>
      </c>
      <c r="BC334" s="85"/>
      <c r="BD334" s="121"/>
      <c r="BE334" s="121"/>
      <c r="BF334" s="121"/>
      <c r="BG334" s="408"/>
      <c r="BH334" s="238">
        <f>CF334+CI334+CL334+CO334+CR334</f>
        <v>2397</v>
      </c>
      <c r="BI334" s="238">
        <f>CH334+CK334+CN334+CQ334+CT334</f>
        <v>0</v>
      </c>
      <c r="BJ334" s="238">
        <f>BH334-BI334</f>
        <v>2397</v>
      </c>
      <c r="BK334" s="239"/>
      <c r="BL334" s="260"/>
      <c r="BM334" s="241"/>
      <c r="BN334" s="142">
        <v>2397</v>
      </c>
      <c r="BO334" s="182"/>
      <c r="BP334" s="275" t="s">
        <v>262</v>
      </c>
      <c r="BQ334" s="98">
        <v>0.15</v>
      </c>
      <c r="BR334" s="409"/>
      <c r="BS334" s="242"/>
      <c r="BT334" s="203"/>
      <c r="BU334" s="102">
        <f>BN334*BQ334</f>
        <v>359.55</v>
      </c>
      <c r="BV334" s="168">
        <f>BO334*BQ334</f>
        <v>0</v>
      </c>
      <c r="BW334" s="131"/>
      <c r="BX334" s="105" t="s">
        <v>262</v>
      </c>
      <c r="BY334" s="145">
        <v>0.1</v>
      </c>
      <c r="BZ334" s="262"/>
      <c r="CA334" s="242"/>
      <c r="CB334" s="101"/>
      <c r="CC334" s="102">
        <f>BV334*BY334</f>
        <v>0</v>
      </c>
      <c r="CD334" s="103">
        <f>BW334*BY334</f>
        <v>0</v>
      </c>
      <c r="CE334" s="411"/>
      <c r="CF334" s="108">
        <v>2397</v>
      </c>
      <c r="CG334" s="109"/>
      <c r="CH334" s="2104"/>
      <c r="CI334" s="415"/>
      <c r="CJ334" s="416"/>
      <c r="CK334" s="415"/>
      <c r="CL334" s="415"/>
      <c r="CM334" s="416"/>
      <c r="CN334" s="415"/>
      <c r="CO334" s="263"/>
      <c r="CP334" s="263"/>
      <c r="CQ334" s="263"/>
      <c r="CR334" s="263"/>
      <c r="CS334" s="263"/>
      <c r="CT334" s="263"/>
      <c r="CU334" s="90"/>
      <c r="CV334" s="181"/>
      <c r="CW334" s="181"/>
      <c r="CX334" s="181"/>
      <c r="CY334" s="155"/>
      <c r="CZ334" s="121"/>
      <c r="DA334" s="384" t="s">
        <v>938</v>
      </c>
      <c r="DB334" s="115" t="str">
        <f>PROPER(N334)</f>
        <v>Ey</v>
      </c>
      <c r="DC334" s="191" t="s">
        <v>264</v>
      </c>
      <c r="DD334" s="116" t="str">
        <f>BP334</f>
        <v>Pacci</v>
      </c>
      <c r="DE334" s="117">
        <f>IF(OR(D334&gt;0),IF(BJ334=0,BN334*BQ334,0))</f>
        <v>0</v>
      </c>
      <c r="DF334" s="117">
        <f>IF(OR(D334&gt;0),IF(BJ334=0,BN334*BY334,0))</f>
        <v>0</v>
      </c>
      <c r="DG334" s="118" t="str">
        <f>BX334</f>
        <v>Pacci</v>
      </c>
      <c r="DH334" s="76"/>
      <c r="DI334" s="120" t="s">
        <v>126</v>
      </c>
      <c r="DJ334" s="120"/>
      <c r="DK334" s="74"/>
      <c r="DL334" s="74"/>
      <c r="DM334" s="122"/>
      <c r="DN334" s="6"/>
      <c r="DO334" s="6"/>
      <c r="DP334" s="6"/>
      <c r="DQ334" s="6"/>
      <c r="DR334" s="6"/>
      <c r="DS334" s="6"/>
      <c r="DT334" s="6"/>
      <c r="DU334" s="6"/>
      <c r="DV334" s="6"/>
      <c r="DW334" s="6"/>
      <c r="DX334" s="6"/>
      <c r="DY334" s="6"/>
      <c r="DZ334" s="6"/>
    </row>
    <row r="335" spans="1:130" ht="34.5" hidden="1" customHeight="1">
      <c r="A335" s="228"/>
      <c r="B335" s="75" t="s">
        <v>1928</v>
      </c>
      <c r="C335" s="155"/>
      <c r="D335" s="75"/>
      <c r="E335" s="75"/>
      <c r="F335" s="75"/>
      <c r="G335" s="393" t="s">
        <v>730</v>
      </c>
      <c r="H335" s="393" t="s">
        <v>2363</v>
      </c>
      <c r="I335" s="393" t="s">
        <v>2364</v>
      </c>
      <c r="J335" s="121" t="str">
        <f>CONCATENATE(G335," ",H335)</f>
        <v>Mauro Migliorati</v>
      </c>
      <c r="K335" s="224"/>
      <c r="L335" s="183"/>
      <c r="M335" s="183"/>
      <c r="N335" s="160"/>
      <c r="O335" s="975"/>
      <c r="P335" s="1939"/>
      <c r="Q335" s="623"/>
      <c r="R335" s="624"/>
      <c r="S335" s="625"/>
      <c r="T335" s="1952"/>
      <c r="U335" s="328"/>
      <c r="V335" s="251"/>
      <c r="W335" s="251"/>
      <c r="X335" s="131"/>
      <c r="Y335" s="251"/>
      <c r="Z335" s="251"/>
      <c r="AA335" s="1958"/>
      <c r="AB335" s="255"/>
      <c r="AC335" s="131"/>
      <c r="AD335" s="37" t="s">
        <v>118</v>
      </c>
      <c r="AE335" s="1963"/>
      <c r="AF335" s="1967"/>
      <c r="AG335" s="628"/>
      <c r="AH335" s="629"/>
      <c r="AI335" s="405"/>
      <c r="AJ335" s="258"/>
      <c r="AK335" s="258"/>
      <c r="AL335" s="258"/>
      <c r="AM335" s="1967"/>
      <c r="AN335" s="207"/>
      <c r="AO335" s="207"/>
      <c r="AP335" s="207"/>
      <c r="AQ335" s="1981"/>
      <c r="AR335" s="121"/>
      <c r="AS335" s="121"/>
      <c r="AT335" s="121"/>
      <c r="AU335" s="1990"/>
      <c r="AV335" s="121"/>
      <c r="AW335" s="121"/>
      <c r="AX335" s="121"/>
      <c r="AY335" s="1981"/>
      <c r="AZ335" s="154" t="s">
        <v>297</v>
      </c>
      <c r="BA335" s="154" t="s">
        <v>297</v>
      </c>
      <c r="BB335" s="121" t="s">
        <v>116</v>
      </c>
      <c r="BC335" s="1981"/>
      <c r="BD335" s="121"/>
      <c r="BE335" s="121"/>
      <c r="BF335" s="121"/>
      <c r="BG335" s="1990"/>
      <c r="BH335" s="238"/>
      <c r="BI335" s="238"/>
      <c r="BJ335" s="238"/>
      <c r="BK335" s="239"/>
      <c r="BL335" s="260"/>
      <c r="BM335" s="241"/>
      <c r="BN335" s="142"/>
      <c r="BO335" s="182"/>
      <c r="BP335" s="2038"/>
      <c r="BQ335" s="191"/>
      <c r="BR335" s="409"/>
      <c r="BS335" s="242"/>
      <c r="BT335" s="203"/>
      <c r="BU335" s="102">
        <f>BN335*BQ335</f>
        <v>0</v>
      </c>
      <c r="BV335" s="168">
        <f>BO335*BQ335</f>
        <v>0</v>
      </c>
      <c r="BW335" s="131"/>
      <c r="BX335" s="281"/>
      <c r="BY335" s="207"/>
      <c r="BZ335" s="262"/>
      <c r="CA335" s="242"/>
      <c r="CB335" s="101"/>
      <c r="CC335" s="106">
        <f>BN335*BY335</f>
        <v>0</v>
      </c>
      <c r="CD335" s="107">
        <f>BO335*BY335</f>
        <v>0</v>
      </c>
      <c r="CE335" s="2092"/>
      <c r="CF335" s="2096"/>
      <c r="CG335" s="2096"/>
      <c r="CH335" s="2096"/>
      <c r="CI335" s="338"/>
      <c r="CJ335" s="338"/>
      <c r="CK335" s="338"/>
      <c r="CL335" s="338"/>
      <c r="CM335" s="338"/>
      <c r="CN335" s="338"/>
      <c r="CO335" s="338"/>
      <c r="CP335" s="338"/>
      <c r="CQ335" s="338"/>
      <c r="CR335" s="338"/>
      <c r="CS335" s="338"/>
      <c r="CT335" s="338"/>
      <c r="CU335" s="2124">
        <v>1</v>
      </c>
      <c r="CV335" s="331"/>
      <c r="CW335" s="972"/>
      <c r="CX335" s="971"/>
      <c r="CY335" s="155" t="s">
        <v>215</v>
      </c>
      <c r="CZ335" s="331"/>
      <c r="DA335" s="662" t="s">
        <v>1788</v>
      </c>
      <c r="DB335" s="115" t="str">
        <f>PROPER(N335)</f>
        <v/>
      </c>
      <c r="DC335" s="191" t="s">
        <v>1614</v>
      </c>
      <c r="DD335" s="116">
        <f>BP335</f>
        <v>0</v>
      </c>
      <c r="DE335" s="117" t="b">
        <f>IF(OR(D335&gt;0),IF(BJ335=0,BN335*BQ335,0))</f>
        <v>0</v>
      </c>
      <c r="DF335" s="117" t="b">
        <f>IF(OR(D335&gt;0),IF(BJ335=0,BN335*BY335,0))</f>
        <v>0</v>
      </c>
      <c r="DG335" s="113">
        <f>BX335</f>
        <v>0</v>
      </c>
      <c r="DH335" s="76"/>
      <c r="DI335" s="120" t="s">
        <v>126</v>
      </c>
      <c r="DJ335" s="120"/>
      <c r="DK335" s="331"/>
      <c r="DL335" s="331"/>
      <c r="DM335" s="248">
        <v>1</v>
      </c>
    </row>
    <row r="336" spans="1:130" ht="34.5" hidden="1" customHeight="1">
      <c r="A336" s="228"/>
      <c r="B336" s="75" t="s">
        <v>1359</v>
      </c>
      <c r="C336" s="155"/>
      <c r="D336" s="75"/>
      <c r="E336" s="75"/>
      <c r="F336" s="75"/>
      <c r="G336" s="400" t="s">
        <v>1877</v>
      </c>
      <c r="H336" s="400" t="s">
        <v>1885</v>
      </c>
      <c r="I336" s="207" t="s">
        <v>1886</v>
      </c>
      <c r="J336" s="155" t="str">
        <f>CONCATENATE(G336," ",H336)</f>
        <v>Lucia Violi</v>
      </c>
      <c r="K336" s="156">
        <v>3471372506</v>
      </c>
      <c r="L336" s="442" t="s">
        <v>1887</v>
      </c>
      <c r="M336" s="153" t="s">
        <v>1888</v>
      </c>
      <c r="N336" s="160"/>
      <c r="O336" s="402"/>
      <c r="P336" s="315"/>
      <c r="Q336" s="160"/>
      <c r="R336" s="403"/>
      <c r="S336" s="160"/>
      <c r="T336" s="404"/>
      <c r="U336" s="315"/>
      <c r="V336" s="315"/>
      <c r="W336" s="315"/>
      <c r="X336" s="131"/>
      <c r="Y336" s="315"/>
      <c r="Z336" s="315"/>
      <c r="AA336" s="315"/>
      <c r="AB336" s="37"/>
      <c r="AC336" s="131"/>
      <c r="AD336" s="121" t="s">
        <v>1889</v>
      </c>
      <c r="AE336" s="88"/>
      <c r="AF336" s="405"/>
      <c r="AG336" s="406"/>
      <c r="AH336" s="406"/>
      <c r="AI336" s="405"/>
      <c r="AJ336" s="155"/>
      <c r="AK336" s="155"/>
      <c r="AL336" s="155"/>
      <c r="AM336" s="407"/>
      <c r="AN336" s="155"/>
      <c r="AO336" s="155"/>
      <c r="AP336" s="155"/>
      <c r="AQ336" s="85"/>
      <c r="AR336" s="121"/>
      <c r="AS336" s="121"/>
      <c r="AT336" s="121"/>
      <c r="AU336" s="408"/>
      <c r="AV336" s="75"/>
      <c r="AW336" s="121"/>
      <c r="AX336" s="121"/>
      <c r="AY336" s="85"/>
      <c r="AZ336" s="121"/>
      <c r="BA336" s="121"/>
      <c r="BB336" s="121"/>
      <c r="BC336" s="85"/>
      <c r="BD336" s="121" t="s">
        <v>245</v>
      </c>
      <c r="BE336" s="121" t="s">
        <v>245</v>
      </c>
      <c r="BF336" s="121" t="s">
        <v>245</v>
      </c>
      <c r="BG336" s="408"/>
      <c r="BH336" s="238">
        <f>CF336+CI336+CL336+CO336+CR336</f>
        <v>3497.0000000000005</v>
      </c>
      <c r="BI336" s="238">
        <f>CH336+CK336+CN336+CQ336+CT336</f>
        <v>163.9344262295082</v>
      </c>
      <c r="BJ336" s="238">
        <f>BH336-BI336</f>
        <v>3333.0655737704924</v>
      </c>
      <c r="BK336" s="239"/>
      <c r="BL336" s="260"/>
      <c r="BM336" s="241"/>
      <c r="BN336" s="142"/>
      <c r="BO336" s="182">
        <f>3497</f>
        <v>3497</v>
      </c>
      <c r="BP336" s="105" t="s">
        <v>166</v>
      </c>
      <c r="BQ336" s="98">
        <v>0.15</v>
      </c>
      <c r="BR336" s="409"/>
      <c r="BS336" s="242">
        <f>BL336*BQ336</f>
        <v>0</v>
      </c>
      <c r="BT336" s="203">
        <f>BM336*BQ336</f>
        <v>0</v>
      </c>
      <c r="BU336" s="167">
        <f>BN336*BQ336</f>
        <v>0</v>
      </c>
      <c r="BV336" s="168">
        <f>BO336*BQ336</f>
        <v>524.54999999999995</v>
      </c>
      <c r="BW336" s="131"/>
      <c r="BX336" s="105" t="s">
        <v>166</v>
      </c>
      <c r="BY336" s="145">
        <v>0.05</v>
      </c>
      <c r="BZ336" s="262"/>
      <c r="CA336" s="242">
        <f>BL336*BY336</f>
        <v>0</v>
      </c>
      <c r="CB336" s="101">
        <f>BM336*BY336</f>
        <v>0</v>
      </c>
      <c r="CC336" s="106">
        <f>BN336*BY336</f>
        <v>0</v>
      </c>
      <c r="CD336" s="107">
        <f>BO336*BY336</f>
        <v>174.85000000000002</v>
      </c>
      <c r="CE336" s="411"/>
      <c r="CF336" s="108">
        <f>200/1.22</f>
        <v>163.9344262295082</v>
      </c>
      <c r="CG336" s="109">
        <v>45198</v>
      </c>
      <c r="CH336" s="108">
        <f>200/1.22</f>
        <v>163.9344262295082</v>
      </c>
      <c r="CI336" s="110">
        <f>1720/1.22</f>
        <v>1409.8360655737706</v>
      </c>
      <c r="CJ336" s="226">
        <v>45407</v>
      </c>
      <c r="CK336" s="110"/>
      <c r="CL336" s="110">
        <f>2346.34/1.22</f>
        <v>1923.2295081967216</v>
      </c>
      <c r="CM336" s="226">
        <v>45432</v>
      </c>
      <c r="CN336" s="415"/>
      <c r="CO336" s="263"/>
      <c r="CP336" s="263"/>
      <c r="CQ336" s="263"/>
      <c r="CR336" s="263"/>
      <c r="CS336" s="263"/>
      <c r="CT336" s="263"/>
      <c r="CU336" s="90">
        <v>1</v>
      </c>
      <c r="CV336" s="181"/>
      <c r="CW336" s="506"/>
      <c r="CX336" s="507"/>
      <c r="CY336" s="155"/>
      <c r="CZ336" s="121"/>
      <c r="DA336" s="424" t="s">
        <v>1890</v>
      </c>
      <c r="DB336" s="115" t="str">
        <f>PROPER(N336)</f>
        <v/>
      </c>
      <c r="DC336" s="280" t="s">
        <v>1891</v>
      </c>
      <c r="DD336" s="116" t="str">
        <f>BP336</f>
        <v>Matteo</v>
      </c>
      <c r="DE336" s="117" t="b">
        <f>IF(OR(D336&gt;0),IF(BJ336=0,BN336*BQ336,0))</f>
        <v>0</v>
      </c>
      <c r="DF336" s="117" t="b">
        <f>IF(OR(D336&gt;0),IF(BJ336=0,BN336*BY336,0))</f>
        <v>0</v>
      </c>
      <c r="DG336" s="118" t="str">
        <f>BX336</f>
        <v>Matteo</v>
      </c>
      <c r="DH336" s="76"/>
      <c r="DI336" s="120" t="s">
        <v>154</v>
      </c>
      <c r="DJ336" s="120"/>
      <c r="DK336" s="74" t="s">
        <v>1366</v>
      </c>
      <c r="DL336" s="74" t="s">
        <v>1366</v>
      </c>
      <c r="DM336" s="122"/>
      <c r="DN336" s="6"/>
      <c r="DO336" s="6"/>
      <c r="DP336" s="6"/>
      <c r="DQ336" s="6"/>
      <c r="DR336" s="6"/>
      <c r="DS336" s="6"/>
      <c r="DT336" s="6"/>
      <c r="DU336" s="6"/>
      <c r="DV336" s="6"/>
      <c r="DW336" s="6"/>
      <c r="DX336" s="6"/>
      <c r="DY336" s="6"/>
      <c r="DZ336" s="6"/>
    </row>
    <row r="337" spans="1:130" ht="34.5" hidden="1" customHeight="1">
      <c r="A337" s="228"/>
      <c r="B337" s="75" t="s">
        <v>1928</v>
      </c>
      <c r="C337" s="155"/>
      <c r="D337" s="75"/>
      <c r="E337" s="75"/>
      <c r="F337" s="75"/>
      <c r="G337" s="393" t="s">
        <v>741</v>
      </c>
      <c r="H337" s="393" t="s">
        <v>2387</v>
      </c>
      <c r="I337" s="1846" t="s">
        <v>2388</v>
      </c>
      <c r="J337" s="179" t="str">
        <f>CONCATENATE(G337," ",H337)</f>
        <v>Michele Mezzi</v>
      </c>
      <c r="K337" s="224"/>
      <c r="L337" s="183"/>
      <c r="M337" s="183" t="s">
        <v>2389</v>
      </c>
      <c r="N337" s="1883" t="s">
        <v>2390</v>
      </c>
      <c r="O337" s="975"/>
      <c r="P337" s="1939"/>
      <c r="Q337" s="623"/>
      <c r="R337" s="624"/>
      <c r="S337" s="625"/>
      <c r="T337" s="1952"/>
      <c r="U337" s="328"/>
      <c r="V337" s="251"/>
      <c r="W337" s="251"/>
      <c r="X337" s="131"/>
      <c r="Y337" s="251"/>
      <c r="Z337" s="251"/>
      <c r="AA337" s="1958"/>
      <c r="AB337" s="255"/>
      <c r="AC337" s="131"/>
      <c r="AD337" s="121"/>
      <c r="AE337" s="1963"/>
      <c r="AF337" s="1967"/>
      <c r="AG337" s="628"/>
      <c r="AH337" s="629"/>
      <c r="AI337" s="405"/>
      <c r="AJ337" s="258"/>
      <c r="AK337" s="258"/>
      <c r="AL337" s="258"/>
      <c r="AM337" s="1967"/>
      <c r="AN337" s="207"/>
      <c r="AO337" s="207"/>
      <c r="AP337" s="207"/>
      <c r="AQ337" s="1981"/>
      <c r="AR337" s="121"/>
      <c r="AS337" s="121"/>
      <c r="AT337" s="121"/>
      <c r="AU337" s="1990"/>
      <c r="AV337" s="75" t="s">
        <v>116</v>
      </c>
      <c r="AW337" s="121"/>
      <c r="AX337" s="154" t="s">
        <v>297</v>
      </c>
      <c r="AY337" s="1981"/>
      <c r="AZ337" s="121"/>
      <c r="BA337" s="121"/>
      <c r="BB337" s="19" t="s">
        <v>116</v>
      </c>
      <c r="BC337" s="1981"/>
      <c r="BD337" s="121"/>
      <c r="BE337" s="121"/>
      <c r="BF337" s="121"/>
      <c r="BG337" s="1990"/>
      <c r="BH337" s="238">
        <f>CF337+CI337+CL337+CO337+CR337</f>
        <v>0</v>
      </c>
      <c r="BI337" s="238"/>
      <c r="BJ337" s="238"/>
      <c r="BK337" s="239"/>
      <c r="BL337" s="260"/>
      <c r="BM337" s="241"/>
      <c r="BN337" s="273"/>
      <c r="BO337" s="274"/>
      <c r="BP337" s="2038"/>
      <c r="BQ337" s="191"/>
      <c r="BR337" s="409"/>
      <c r="BS337" s="242"/>
      <c r="BT337" s="203"/>
      <c r="BU337" s="167"/>
      <c r="BV337" s="168">
        <f>BO337*BQ337</f>
        <v>0</v>
      </c>
      <c r="BW337" s="131"/>
      <c r="BX337" s="281"/>
      <c r="BY337" s="207"/>
      <c r="BZ337" s="262"/>
      <c r="CA337" s="242"/>
      <c r="CB337" s="101"/>
      <c r="CC337" s="106"/>
      <c r="CD337" s="107">
        <f>BO337*BY337</f>
        <v>0</v>
      </c>
      <c r="CE337" s="2092"/>
      <c r="CF337" s="2096"/>
      <c r="CG337" s="2096"/>
      <c r="CH337" s="2096"/>
      <c r="CI337" s="338"/>
      <c r="CJ337" s="338"/>
      <c r="CK337" s="338"/>
      <c r="CL337" s="338"/>
      <c r="CM337" s="338"/>
      <c r="CN337" s="338"/>
      <c r="CO337" s="338"/>
      <c r="CP337" s="338"/>
      <c r="CQ337" s="338"/>
      <c r="CR337" s="338"/>
      <c r="CS337" s="338"/>
      <c r="CT337" s="338"/>
      <c r="CU337" s="2124">
        <v>1</v>
      </c>
      <c r="CV337" s="331"/>
      <c r="CW337" s="972"/>
      <c r="CX337" s="971"/>
      <c r="CY337" s="155" t="s">
        <v>215</v>
      </c>
      <c r="CZ337" s="331"/>
      <c r="DA337" s="661" t="s">
        <v>2391</v>
      </c>
      <c r="DB337" s="115" t="str">
        <f>PROPER(N337)</f>
        <v>Res Synesis</v>
      </c>
      <c r="DC337" s="191"/>
      <c r="DD337" s="116">
        <f>BP337</f>
        <v>0</v>
      </c>
      <c r="DE337" s="117" t="b">
        <f>IF(OR(D337&gt;0),IF(BJ337=0,BN337*BQ337,0))</f>
        <v>0</v>
      </c>
      <c r="DF337" s="117" t="b">
        <f>IF(OR(D337&gt;0),IF(BJ337=0,BN337*BY337,0))</f>
        <v>0</v>
      </c>
      <c r="DG337" s="113">
        <f>BX337</f>
        <v>0</v>
      </c>
      <c r="DH337" s="510"/>
      <c r="DI337" s="120" t="s">
        <v>126</v>
      </c>
      <c r="DJ337" s="120"/>
      <c r="DK337" s="331"/>
      <c r="DL337" s="331"/>
      <c r="DM337" s="248"/>
    </row>
    <row r="338" spans="1:130" ht="34.5" hidden="1" customHeight="1">
      <c r="A338" s="228"/>
      <c r="B338" s="75" t="s">
        <v>1359</v>
      </c>
      <c r="C338" s="155"/>
      <c r="D338" s="75">
        <v>1</v>
      </c>
      <c r="E338" s="75">
        <v>1</v>
      </c>
      <c r="F338" s="75"/>
      <c r="G338" s="400" t="s">
        <v>741</v>
      </c>
      <c r="H338" s="400" t="s">
        <v>1952</v>
      </c>
      <c r="I338" s="207" t="s">
        <v>1953</v>
      </c>
      <c r="J338" s="121" t="str">
        <f>CONCATENATE(G338," ",H338)</f>
        <v>Michele Prandelli</v>
      </c>
      <c r="K338" s="156">
        <v>3396593530</v>
      </c>
      <c r="L338" s="430"/>
      <c r="M338" s="487" t="s">
        <v>112</v>
      </c>
      <c r="N338" s="483" t="s">
        <v>1954</v>
      </c>
      <c r="O338" s="402"/>
      <c r="P338" s="315"/>
      <c r="Q338" s="160"/>
      <c r="R338" s="403"/>
      <c r="S338" s="160"/>
      <c r="T338" s="404"/>
      <c r="U338" s="315"/>
      <c r="V338" s="315"/>
      <c r="W338" s="315"/>
      <c r="X338" s="131"/>
      <c r="Y338" s="315"/>
      <c r="Z338" s="315"/>
      <c r="AA338" s="315"/>
      <c r="AB338" s="37"/>
      <c r="AC338" s="131"/>
      <c r="AD338" s="121" t="s">
        <v>1955</v>
      </c>
      <c r="AE338" s="88"/>
      <c r="AF338" s="405"/>
      <c r="AG338" s="406"/>
      <c r="AH338" s="406"/>
      <c r="AI338" s="405"/>
      <c r="AJ338" s="155"/>
      <c r="AK338" s="155"/>
      <c r="AL338" s="155"/>
      <c r="AM338" s="407"/>
      <c r="AN338" s="155"/>
      <c r="AO338" s="155"/>
      <c r="AP338" s="155"/>
      <c r="AQ338" s="85"/>
      <c r="AR338" s="121"/>
      <c r="AS338" s="121"/>
      <c r="AT338" s="121"/>
      <c r="AU338" s="408"/>
      <c r="AV338" s="75"/>
      <c r="AW338" s="121"/>
      <c r="AX338" s="121"/>
      <c r="AY338" s="85"/>
      <c r="AZ338" s="121" t="s">
        <v>115</v>
      </c>
      <c r="BA338" s="495" t="s">
        <v>115</v>
      </c>
      <c r="BB338" s="135" t="s">
        <v>115</v>
      </c>
      <c r="BC338" s="85"/>
      <c r="BD338" s="121"/>
      <c r="BE338" s="121"/>
      <c r="BF338" s="121"/>
      <c r="BG338" s="408"/>
      <c r="BH338" s="238">
        <f>CF338+CI338+CL338+CO338+CR338</f>
        <v>2997</v>
      </c>
      <c r="BI338" s="238">
        <f>CH338+CK338+CN338+CQ338+CT338</f>
        <v>2997</v>
      </c>
      <c r="BJ338" s="238">
        <f>BH338-BI338</f>
        <v>0</v>
      </c>
      <c r="BK338" s="239"/>
      <c r="BL338" s="260"/>
      <c r="BM338" s="241"/>
      <c r="BN338" s="142">
        <v>2997</v>
      </c>
      <c r="BO338" s="182"/>
      <c r="BP338" s="105" t="s">
        <v>117</v>
      </c>
      <c r="BQ338" s="98">
        <v>0</v>
      </c>
      <c r="BR338" s="409"/>
      <c r="BS338" s="242">
        <f>BL338*BQ338</f>
        <v>0</v>
      </c>
      <c r="BT338" s="203">
        <f>BM338*BQ338</f>
        <v>0</v>
      </c>
      <c r="BU338" s="167">
        <f>BN338*BQ338</f>
        <v>0</v>
      </c>
      <c r="BV338" s="168">
        <f>BO338*BQ338</f>
        <v>0</v>
      </c>
      <c r="BW338" s="80"/>
      <c r="BX338" s="105" t="s">
        <v>160</v>
      </c>
      <c r="BY338" s="145">
        <v>0.05</v>
      </c>
      <c r="BZ338" s="262"/>
      <c r="CA338" s="242">
        <f>BL338*BY338</f>
        <v>0</v>
      </c>
      <c r="CB338" s="101">
        <f>BM338*BY338</f>
        <v>0</v>
      </c>
      <c r="CC338" s="106">
        <f>BN338*BY338</f>
        <v>149.85</v>
      </c>
      <c r="CD338" s="107">
        <f>BO338*BY338</f>
        <v>0</v>
      </c>
      <c r="CE338" s="163" t="s">
        <v>185</v>
      </c>
      <c r="CF338" s="108">
        <v>2997</v>
      </c>
      <c r="CG338" s="109">
        <v>45198</v>
      </c>
      <c r="CH338" s="108">
        <v>2997</v>
      </c>
      <c r="CI338" s="415"/>
      <c r="CJ338" s="416"/>
      <c r="CK338" s="415"/>
      <c r="CL338" s="415"/>
      <c r="CM338" s="416"/>
      <c r="CN338" s="415"/>
      <c r="CO338" s="263"/>
      <c r="CP338" s="263"/>
      <c r="CQ338" s="263"/>
      <c r="CR338" s="263"/>
      <c r="CS338" s="263"/>
      <c r="CT338" s="263"/>
      <c r="CU338" s="90">
        <v>1</v>
      </c>
      <c r="CV338" s="181"/>
      <c r="CW338" s="438"/>
      <c r="CX338" s="439"/>
      <c r="CY338" s="155"/>
      <c r="CZ338" s="121"/>
      <c r="DA338" s="426" t="s">
        <v>1956</v>
      </c>
      <c r="DB338" s="115" t="str">
        <f>PROPER(N338)</f>
        <v>Rizzi Fausto &amp; C.</v>
      </c>
      <c r="DC338" s="280" t="s">
        <v>1398</v>
      </c>
      <c r="DD338" s="116" t="str">
        <f>BP338</f>
        <v>blackship</v>
      </c>
      <c r="DE338" s="117">
        <f>IF(OR(D338&gt;0),IF(BJ338=0,BN338*BQ338,0))</f>
        <v>0</v>
      </c>
      <c r="DF338" s="117">
        <f>IF(OR(D338&gt;0),IF(BJ338=0,BN338*BY338,0))</f>
        <v>149.85</v>
      </c>
      <c r="DG338" s="118" t="str">
        <f>BX338</f>
        <v>Gianluca</v>
      </c>
      <c r="DH338" s="76"/>
      <c r="DI338" s="120" t="s">
        <v>126</v>
      </c>
      <c r="DJ338" s="120"/>
      <c r="DK338" s="74" t="s">
        <v>1366</v>
      </c>
      <c r="DL338" s="74" t="s">
        <v>1399</v>
      </c>
      <c r="DM338" s="122">
        <v>1</v>
      </c>
      <c r="DN338" s="6"/>
      <c r="DO338" s="6"/>
      <c r="DP338" s="6"/>
      <c r="DQ338" s="6"/>
      <c r="DR338" s="6"/>
      <c r="DS338" s="6"/>
      <c r="DT338" s="6"/>
      <c r="DU338" s="6"/>
      <c r="DV338" s="6"/>
      <c r="DW338" s="6"/>
      <c r="DX338" s="6"/>
      <c r="DY338" s="6"/>
      <c r="DZ338" s="6"/>
    </row>
    <row r="339" spans="1:130" ht="34.5" hidden="1" customHeight="1">
      <c r="A339" s="228"/>
      <c r="B339" s="75" t="s">
        <v>1359</v>
      </c>
      <c r="C339" s="155"/>
      <c r="D339" s="75"/>
      <c r="E339" s="75"/>
      <c r="F339" s="75"/>
      <c r="G339" s="400" t="s">
        <v>246</v>
      </c>
      <c r="H339" s="400" t="s">
        <v>1906</v>
      </c>
      <c r="I339" s="207" t="s">
        <v>1907</v>
      </c>
      <c r="J339" s="155" t="str">
        <f>CONCATENATE(G339," ",H339)</f>
        <v>Marco Laghi</v>
      </c>
      <c r="K339" s="156">
        <v>3930259114</v>
      </c>
      <c r="L339" s="152" t="s">
        <v>1908</v>
      </c>
      <c r="M339" s="153" t="s">
        <v>1888</v>
      </c>
      <c r="N339" s="160"/>
      <c r="O339" s="402"/>
      <c r="P339" s="315"/>
      <c r="Q339" s="160"/>
      <c r="R339" s="403"/>
      <c r="S339" s="160"/>
      <c r="T339" s="404"/>
      <c r="U339" s="315"/>
      <c r="V339" s="315"/>
      <c r="W339" s="315"/>
      <c r="X339" s="131"/>
      <c r="Y339" s="315"/>
      <c r="Z339" s="315"/>
      <c r="AA339" s="315"/>
      <c r="AB339" s="37"/>
      <c r="AC339" s="131"/>
      <c r="AD339" s="121" t="s">
        <v>1909</v>
      </c>
      <c r="AE339" s="88"/>
      <c r="AF339" s="405"/>
      <c r="AG339" s="406"/>
      <c r="AH339" s="406"/>
      <c r="AI339" s="405"/>
      <c r="AJ339" s="155"/>
      <c r="AK339" s="155"/>
      <c r="AL339" s="155"/>
      <c r="AM339" s="407"/>
      <c r="AN339" s="155"/>
      <c r="AO339" s="155"/>
      <c r="AP339" s="155"/>
      <c r="AQ339" s="85"/>
      <c r="AR339" s="121"/>
      <c r="AS339" s="121"/>
      <c r="AT339" s="121"/>
      <c r="AU339" s="408"/>
      <c r="AV339" s="75"/>
      <c r="AW339" s="121"/>
      <c r="AX339" s="121"/>
      <c r="AY339" s="85"/>
      <c r="AZ339" s="121"/>
      <c r="BA339" s="121"/>
      <c r="BB339" s="121"/>
      <c r="BC339" s="85"/>
      <c r="BD339" s="121" t="s">
        <v>245</v>
      </c>
      <c r="BE339" s="121" t="s">
        <v>245</v>
      </c>
      <c r="BF339" s="121" t="s">
        <v>245</v>
      </c>
      <c r="BG339" s="408"/>
      <c r="BH339" s="238">
        <f>CF339+CI339+CL339+CO339+CR339</f>
        <v>3497</v>
      </c>
      <c r="BI339" s="238">
        <f>CH339+CK339+CN339+CQ339+CT339</f>
        <v>163.9344262295082</v>
      </c>
      <c r="BJ339" s="238">
        <f>BH339-BI339</f>
        <v>3333.0655737704919</v>
      </c>
      <c r="BK339" s="239"/>
      <c r="BL339" s="260"/>
      <c r="BM339" s="241"/>
      <c r="BN339" s="142"/>
      <c r="BO339" s="182">
        <f>3497</f>
        <v>3497</v>
      </c>
      <c r="BP339" s="105" t="s">
        <v>184</v>
      </c>
      <c r="BQ339" s="98">
        <v>0.15</v>
      </c>
      <c r="BR339" s="409"/>
      <c r="BS339" s="242">
        <f>BL339*BQ339</f>
        <v>0</v>
      </c>
      <c r="BT339" s="203">
        <f>BM339*BQ339</f>
        <v>0</v>
      </c>
      <c r="BU339" s="167">
        <f>BN339*BQ339</f>
        <v>0</v>
      </c>
      <c r="BV339" s="168">
        <f>BO339*BQ339</f>
        <v>524.54999999999995</v>
      </c>
      <c r="BW339" s="131"/>
      <c r="BX339" s="105" t="s">
        <v>184</v>
      </c>
      <c r="BY339" s="145">
        <v>0.05</v>
      </c>
      <c r="BZ339" s="262"/>
      <c r="CA339" s="242">
        <f>BL339*BY339</f>
        <v>0</v>
      </c>
      <c r="CB339" s="101">
        <f>BM339*BY339</f>
        <v>0</v>
      </c>
      <c r="CC339" s="106">
        <f>BN339*BY339</f>
        <v>0</v>
      </c>
      <c r="CD339" s="107">
        <f>BO339*BY339</f>
        <v>174.85000000000002</v>
      </c>
      <c r="CE339" s="411"/>
      <c r="CF339" s="108">
        <f>200/1.22</f>
        <v>163.9344262295082</v>
      </c>
      <c r="CG339" s="109">
        <v>45198</v>
      </c>
      <c r="CH339" s="108">
        <f>200/1.22</f>
        <v>163.9344262295082</v>
      </c>
      <c r="CI339" s="110">
        <f>4066.34/1.22</f>
        <v>3333.0655737704919</v>
      </c>
      <c r="CJ339" s="226">
        <v>45408</v>
      </c>
      <c r="CK339" s="415"/>
      <c r="CL339" s="415"/>
      <c r="CM339" s="416"/>
      <c r="CN339" s="415"/>
      <c r="CO339" s="263"/>
      <c r="CP339" s="263"/>
      <c r="CQ339" s="263"/>
      <c r="CR339" s="263"/>
      <c r="CS339" s="263"/>
      <c r="CT339" s="263"/>
      <c r="CU339" s="90">
        <v>1</v>
      </c>
      <c r="CV339" s="181"/>
      <c r="CW339" s="438"/>
      <c r="CX339" s="439"/>
      <c r="CY339" s="155"/>
      <c r="CZ339" s="121"/>
      <c r="DA339" s="424"/>
      <c r="DB339" s="115" t="str">
        <f>PROPER(N339)</f>
        <v/>
      </c>
      <c r="DC339" s="280"/>
      <c r="DD339" s="116" t="str">
        <f>BP339</f>
        <v>Cristian A</v>
      </c>
      <c r="DE339" s="117" t="b">
        <f>IF(OR(D339&gt;0),IF(BJ339=0,BN339*BQ339,0))</f>
        <v>0</v>
      </c>
      <c r="DF339" s="117" t="b">
        <f>IF(OR(D339&gt;0),IF(BJ339=0,BN339*BY339,0))</f>
        <v>0</v>
      </c>
      <c r="DG339" s="118" t="str">
        <f>BX339</f>
        <v>Cristian A</v>
      </c>
      <c r="DH339" s="76"/>
      <c r="DI339" s="120" t="s">
        <v>154</v>
      </c>
      <c r="DJ339" s="120"/>
      <c r="DK339" s="74" t="s">
        <v>1418</v>
      </c>
      <c r="DL339" s="74" t="s">
        <v>1418</v>
      </c>
      <c r="DM339" s="122"/>
      <c r="DN339" s="6"/>
      <c r="DO339" s="6"/>
      <c r="DP339" s="6"/>
      <c r="DQ339" s="6"/>
      <c r="DR339" s="6"/>
      <c r="DS339" s="6"/>
      <c r="DT339" s="6"/>
      <c r="DU339" s="6"/>
      <c r="DV339" s="6"/>
      <c r="DW339" s="6"/>
      <c r="DX339" s="6"/>
      <c r="DY339" s="6"/>
      <c r="DZ339" s="6"/>
    </row>
    <row r="340" spans="1:130" ht="34.5" hidden="1" customHeight="1">
      <c r="A340" s="228"/>
      <c r="B340" s="75" t="s">
        <v>1359</v>
      </c>
      <c r="C340" s="155"/>
      <c r="D340" s="75"/>
      <c r="E340" s="75"/>
      <c r="F340" s="75"/>
      <c r="G340" s="400" t="s">
        <v>1910</v>
      </c>
      <c r="H340" s="400" t="s">
        <v>1911</v>
      </c>
      <c r="I340" s="207" t="s">
        <v>1912</v>
      </c>
      <c r="J340" s="155" t="str">
        <f>CONCATENATE(G340," ",H340)</f>
        <v>Maria Luisa Viggiano</v>
      </c>
      <c r="K340" s="156">
        <v>3428551938</v>
      </c>
      <c r="L340" s="435"/>
      <c r="M340" s="153"/>
      <c r="N340" s="160" t="s">
        <v>1913</v>
      </c>
      <c r="O340" s="402"/>
      <c r="P340" s="315"/>
      <c r="Q340" s="160"/>
      <c r="R340" s="403"/>
      <c r="S340" s="160"/>
      <c r="T340" s="404"/>
      <c r="U340" s="315"/>
      <c r="V340" s="315"/>
      <c r="W340" s="315"/>
      <c r="X340" s="131"/>
      <c r="Y340" s="315"/>
      <c r="Z340" s="315"/>
      <c r="AA340" s="315"/>
      <c r="AB340" s="37"/>
      <c r="AC340" s="131"/>
      <c r="AD340" s="121" t="s">
        <v>1914</v>
      </c>
      <c r="AE340" s="88"/>
      <c r="AF340" s="405"/>
      <c r="AG340" s="406"/>
      <c r="AH340" s="406"/>
      <c r="AI340" s="405"/>
      <c r="AJ340" s="155"/>
      <c r="AK340" s="155"/>
      <c r="AL340" s="155"/>
      <c r="AM340" s="407"/>
      <c r="AN340" s="155"/>
      <c r="AO340" s="155"/>
      <c r="AP340" s="155"/>
      <c r="AQ340" s="85"/>
      <c r="AR340" s="121"/>
      <c r="AS340" s="121"/>
      <c r="AT340" s="121"/>
      <c r="AU340" s="408"/>
      <c r="AV340" s="75"/>
      <c r="AW340" s="121"/>
      <c r="AX340" s="121"/>
      <c r="AY340" s="85"/>
      <c r="AZ340" s="121"/>
      <c r="BA340" s="121"/>
      <c r="BB340" s="121"/>
      <c r="BC340" s="85"/>
      <c r="BD340" s="121" t="s">
        <v>115</v>
      </c>
      <c r="BE340" s="121" t="s">
        <v>115</v>
      </c>
      <c r="BF340" s="121" t="s">
        <v>115</v>
      </c>
      <c r="BG340" s="408"/>
      <c r="BH340" s="238">
        <f>CF340+CI340+CL340+CO340+CR340</f>
        <v>2997</v>
      </c>
      <c r="BI340" s="238">
        <f>CH340+CK340+CN340+CQ340+CT340</f>
        <v>2997</v>
      </c>
      <c r="BJ340" s="238">
        <f>BH340-BI340</f>
        <v>0</v>
      </c>
      <c r="BK340" s="239"/>
      <c r="BL340" s="260"/>
      <c r="BM340" s="241"/>
      <c r="BN340" s="142"/>
      <c r="BO340" s="182">
        <v>2997</v>
      </c>
      <c r="BP340" s="105" t="s">
        <v>407</v>
      </c>
      <c r="BQ340" s="98">
        <v>0.15</v>
      </c>
      <c r="BR340" s="409"/>
      <c r="BS340" s="242">
        <f>BL340*BQ340</f>
        <v>0</v>
      </c>
      <c r="BT340" s="203">
        <f>BM340*BQ340</f>
        <v>0</v>
      </c>
      <c r="BU340" s="167">
        <f>BN340*BQ340</f>
        <v>0</v>
      </c>
      <c r="BV340" s="168">
        <f>BO340*BQ340</f>
        <v>449.55</v>
      </c>
      <c r="BW340" s="131"/>
      <c r="BX340" s="105" t="s">
        <v>407</v>
      </c>
      <c r="BY340" s="145">
        <v>0.05</v>
      </c>
      <c r="BZ340" s="262"/>
      <c r="CA340" s="242">
        <f>BL340*BY340</f>
        <v>0</v>
      </c>
      <c r="CB340" s="101">
        <f>BM340*BY340</f>
        <v>0</v>
      </c>
      <c r="CC340" s="106">
        <f>BN340*BY340</f>
        <v>0</v>
      </c>
      <c r="CD340" s="107">
        <f>BO340*BY340</f>
        <v>149.85</v>
      </c>
      <c r="CE340" s="411"/>
      <c r="CF340" s="108">
        <v>2997</v>
      </c>
      <c r="CG340" s="109">
        <v>45198</v>
      </c>
      <c r="CH340" s="108">
        <v>2997</v>
      </c>
      <c r="CI340" s="415"/>
      <c r="CJ340" s="416"/>
      <c r="CK340" s="415"/>
      <c r="CL340" s="415"/>
      <c r="CM340" s="416"/>
      <c r="CN340" s="415"/>
      <c r="CO340" s="263"/>
      <c r="CP340" s="263"/>
      <c r="CQ340" s="263"/>
      <c r="CR340" s="263"/>
      <c r="CS340" s="263"/>
      <c r="CT340" s="263"/>
      <c r="CU340" s="90">
        <v>1</v>
      </c>
      <c r="CV340" s="181"/>
      <c r="CW340" s="438"/>
      <c r="CX340" s="439"/>
      <c r="CY340" s="155"/>
      <c r="CZ340" s="121"/>
      <c r="DA340" s="131" t="s">
        <v>1915</v>
      </c>
      <c r="DB340" s="115" t="str">
        <f>PROPER(N340)</f>
        <v>Ciclat Trasporti Ambiente</v>
      </c>
      <c r="DC340" s="280" t="s">
        <v>1195</v>
      </c>
      <c r="DD340" s="116" t="str">
        <f>BP340</f>
        <v>Stefano</v>
      </c>
      <c r="DE340" s="117" t="b">
        <f>IF(OR(D340&gt;0),IF(BJ340=0,BN340*BQ340,0))</f>
        <v>0</v>
      </c>
      <c r="DF340" s="117" t="b">
        <f>IF(OR(D340&gt;0),IF(BJ340=0,BN340*BY340,0))</f>
        <v>0</v>
      </c>
      <c r="DG340" s="118" t="str">
        <f>BX340</f>
        <v>Stefano</v>
      </c>
      <c r="DH340" s="76"/>
      <c r="DI340" s="120" t="s">
        <v>154</v>
      </c>
      <c r="DJ340" s="120"/>
      <c r="DK340" s="74" t="s">
        <v>1399</v>
      </c>
      <c r="DL340" s="74" t="s">
        <v>1399</v>
      </c>
      <c r="DM340" s="122">
        <v>1</v>
      </c>
      <c r="DN340" s="6"/>
      <c r="DO340" s="6"/>
      <c r="DP340" s="6"/>
      <c r="DQ340" s="6"/>
      <c r="DR340" s="6"/>
      <c r="DS340" s="6"/>
      <c r="DT340" s="6"/>
      <c r="DU340" s="6"/>
      <c r="DV340" s="6"/>
      <c r="DW340" s="6"/>
      <c r="DX340" s="6"/>
      <c r="DY340" s="6"/>
      <c r="DZ340" s="6"/>
    </row>
    <row r="341" spans="1:130" ht="34.5" hidden="1" customHeight="1">
      <c r="A341" s="228"/>
      <c r="B341" s="75" t="s">
        <v>1324</v>
      </c>
      <c r="C341" s="155"/>
      <c r="D341" s="75">
        <v>1</v>
      </c>
      <c r="E341" s="75">
        <v>1</v>
      </c>
      <c r="F341" s="75"/>
      <c r="G341" s="400" t="s">
        <v>204</v>
      </c>
      <c r="H341" s="400" t="s">
        <v>1916</v>
      </c>
      <c r="I341" s="207" t="s">
        <v>1917</v>
      </c>
      <c r="J341" s="155" t="str">
        <f>CONCATENATE(G341," ",H341)</f>
        <v>Luca Valentini</v>
      </c>
      <c r="K341" s="156">
        <v>3397913348</v>
      </c>
      <c r="L341" s="435"/>
      <c r="M341" s="153"/>
      <c r="N341" s="160" t="s">
        <v>1913</v>
      </c>
      <c r="O341" s="402"/>
      <c r="P341" s="315"/>
      <c r="Q341" s="160"/>
      <c r="R341" s="403"/>
      <c r="S341" s="160"/>
      <c r="T341" s="404"/>
      <c r="U341" s="315"/>
      <c r="V341" s="315"/>
      <c r="W341" s="315"/>
      <c r="X341" s="131"/>
      <c r="Y341" s="315"/>
      <c r="Z341" s="315"/>
      <c r="AA341" s="315"/>
      <c r="AB341" s="37"/>
      <c r="AC341" s="131"/>
      <c r="AD341" s="121" t="s">
        <v>1328</v>
      </c>
      <c r="AE341" s="88"/>
      <c r="AF341" s="405"/>
      <c r="AG341" s="406"/>
      <c r="AH341" s="406"/>
      <c r="AI341" s="405"/>
      <c r="AJ341" s="155"/>
      <c r="AK341" s="155"/>
      <c r="AL341" s="155"/>
      <c r="AM341" s="407"/>
      <c r="AN341" s="155"/>
      <c r="AO341" s="155"/>
      <c r="AP341" s="155"/>
      <c r="AQ341" s="85"/>
      <c r="AR341" s="121"/>
      <c r="AS341" s="121"/>
      <c r="AT341" s="121"/>
      <c r="AU341" s="408"/>
      <c r="AV341" s="75"/>
      <c r="AW341" s="121"/>
      <c r="AX341" s="121"/>
      <c r="AY341" s="85"/>
      <c r="AZ341" s="121" t="s">
        <v>115</v>
      </c>
      <c r="BA341" s="121" t="s">
        <v>115</v>
      </c>
      <c r="BB341" s="121"/>
      <c r="BC341" s="85"/>
      <c r="BD341" s="153"/>
      <c r="BE341" s="153"/>
      <c r="BF341" s="121" t="s">
        <v>115</v>
      </c>
      <c r="BG341" s="408"/>
      <c r="BH341" s="238">
        <f>CF341+CI341+CL341+CO341+CR341</f>
        <v>2997</v>
      </c>
      <c r="BI341" s="238">
        <f>CH341+CK341+CN341+CQ341+CT341</f>
        <v>2997</v>
      </c>
      <c r="BJ341" s="238">
        <f>BH341-BI341</f>
        <v>0</v>
      </c>
      <c r="BK341" s="239"/>
      <c r="BL341" s="260"/>
      <c r="BM341" s="241"/>
      <c r="BN341" s="142">
        <v>2997</v>
      </c>
      <c r="BO341" s="182"/>
      <c r="BP341" s="105" t="s">
        <v>407</v>
      </c>
      <c r="BQ341" s="98">
        <v>0.15</v>
      </c>
      <c r="BR341" s="409"/>
      <c r="BS341" s="242">
        <f>BL341*BQ341</f>
        <v>0</v>
      </c>
      <c r="BT341" s="203">
        <f>BM341*BQ341</f>
        <v>0</v>
      </c>
      <c r="BU341" s="167">
        <f>BN341*BQ341</f>
        <v>449.55</v>
      </c>
      <c r="BV341" s="168">
        <f>BO341*BQ341</f>
        <v>0</v>
      </c>
      <c r="BW341" s="131"/>
      <c r="BX341" s="105" t="s">
        <v>407</v>
      </c>
      <c r="BY341" s="145">
        <v>0.05</v>
      </c>
      <c r="BZ341" s="262"/>
      <c r="CA341" s="242">
        <f>BL341*BY341</f>
        <v>0</v>
      </c>
      <c r="CB341" s="101">
        <f>BM341*BY341</f>
        <v>0</v>
      </c>
      <c r="CC341" s="167">
        <f>BV341*BY341</f>
        <v>0</v>
      </c>
      <c r="CD341" s="168">
        <f>BW341*BY341</f>
        <v>0</v>
      </c>
      <c r="CE341" s="411"/>
      <c r="CF341" s="108">
        <v>2997</v>
      </c>
      <c r="CG341" s="109">
        <v>45240</v>
      </c>
      <c r="CH341" s="108">
        <v>2997</v>
      </c>
      <c r="CI341" s="415"/>
      <c r="CJ341" s="416"/>
      <c r="CK341" s="415"/>
      <c r="CL341" s="415"/>
      <c r="CM341" s="416"/>
      <c r="CN341" s="415"/>
      <c r="CO341" s="263"/>
      <c r="CP341" s="263"/>
      <c r="CQ341" s="263"/>
      <c r="CR341" s="263"/>
      <c r="CS341" s="263"/>
      <c r="CT341" s="263"/>
      <c r="CU341" s="90">
        <v>1</v>
      </c>
      <c r="CV341" s="181"/>
      <c r="CW341" s="438"/>
      <c r="CX341" s="439"/>
      <c r="CY341" s="155"/>
      <c r="CZ341" s="121"/>
      <c r="DA341" s="131" t="s">
        <v>1915</v>
      </c>
      <c r="DB341" s="115" t="str">
        <f>PROPER(N341)</f>
        <v>Ciclat Trasporti Ambiente</v>
      </c>
      <c r="DC341" s="280" t="s">
        <v>1195</v>
      </c>
      <c r="DD341" s="116" t="str">
        <f>BP341</f>
        <v>Stefano</v>
      </c>
      <c r="DE341" s="117">
        <f>IF(OR(D341&gt;0),IF(BJ341=0,BN341*BQ341,0))</f>
        <v>449.55</v>
      </c>
      <c r="DF341" s="117">
        <f>IF(OR(D341&gt;0),IF(BJ341=0,BN341*BY341,0))</f>
        <v>149.85</v>
      </c>
      <c r="DG341" s="118" t="str">
        <f>BX341</f>
        <v>Stefano</v>
      </c>
      <c r="DH341" s="76"/>
      <c r="DI341" s="120" t="s">
        <v>154</v>
      </c>
      <c r="DJ341" s="120"/>
      <c r="DK341" s="74" t="s">
        <v>1399</v>
      </c>
      <c r="DL341" s="74" t="s">
        <v>1399</v>
      </c>
      <c r="DM341" s="122">
        <v>1</v>
      </c>
      <c r="DN341" s="6"/>
      <c r="DO341" s="6"/>
      <c r="DP341" s="6"/>
      <c r="DQ341" s="6"/>
      <c r="DR341" s="6"/>
      <c r="DS341" s="6"/>
      <c r="DT341" s="6"/>
      <c r="DU341" s="6"/>
      <c r="DV341" s="6"/>
      <c r="DW341" s="6"/>
      <c r="DX341" s="6"/>
      <c r="DY341" s="6"/>
      <c r="DZ341" s="6"/>
    </row>
    <row r="342" spans="1:130" ht="34.5" hidden="1" customHeight="1">
      <c r="A342" s="228"/>
      <c r="B342" s="371" t="s">
        <v>1359</v>
      </c>
      <c r="C342" s="155"/>
      <c r="D342" s="75"/>
      <c r="E342" s="75"/>
      <c r="F342" s="75"/>
      <c r="G342" s="400" t="s">
        <v>1918</v>
      </c>
      <c r="H342" s="400" t="s">
        <v>1919</v>
      </c>
      <c r="I342" s="207" t="s">
        <v>1920</v>
      </c>
      <c r="J342" s="155" t="str">
        <f>CONCATENATE(G342," ",H342)</f>
        <v>Maria Rita Grimaccia</v>
      </c>
      <c r="K342" s="156">
        <v>3333553600</v>
      </c>
      <c r="L342" s="435"/>
      <c r="M342" s="153" t="s">
        <v>1177</v>
      </c>
      <c r="N342" s="160"/>
      <c r="O342" s="402"/>
      <c r="P342" s="315"/>
      <c r="Q342" s="160"/>
      <c r="R342" s="403"/>
      <c r="S342" s="160"/>
      <c r="T342" s="404"/>
      <c r="U342" s="315"/>
      <c r="V342" s="315"/>
      <c r="W342" s="315"/>
      <c r="X342" s="131"/>
      <c r="Y342" s="315"/>
      <c r="Z342" s="315"/>
      <c r="AA342" s="315"/>
      <c r="AB342" s="37"/>
      <c r="AC342" s="131"/>
      <c r="AD342" s="121"/>
      <c r="AE342" s="88"/>
      <c r="AF342" s="405"/>
      <c r="AG342" s="406"/>
      <c r="AH342" s="406"/>
      <c r="AI342" s="405"/>
      <c r="AJ342" s="155"/>
      <c r="AK342" s="155"/>
      <c r="AL342" s="155"/>
      <c r="AM342" s="407"/>
      <c r="AN342" s="155"/>
      <c r="AO342" s="155"/>
      <c r="AP342" s="155"/>
      <c r="AQ342" s="85"/>
      <c r="AR342" s="121"/>
      <c r="AS342" s="121"/>
      <c r="AT342" s="121"/>
      <c r="AU342" s="408"/>
      <c r="AV342" s="75"/>
      <c r="AW342" s="121"/>
      <c r="AX342" s="121"/>
      <c r="AY342" s="85"/>
      <c r="AZ342" s="121"/>
      <c r="BA342" s="121"/>
      <c r="BB342" s="121"/>
      <c r="BC342" s="85"/>
      <c r="BD342" s="121" t="s">
        <v>1364</v>
      </c>
      <c r="BE342" s="121"/>
      <c r="BF342" s="121"/>
      <c r="BG342" s="408"/>
      <c r="BH342" s="238">
        <f>CF342+CI342+CL342+CO342+CR342</f>
        <v>1097</v>
      </c>
      <c r="BI342" s="238">
        <f>CH342+CK342+CN342+CQ342+CT342</f>
        <v>0</v>
      </c>
      <c r="BJ342" s="238">
        <f>BH342-BI342</f>
        <v>1097</v>
      </c>
      <c r="BK342" s="239"/>
      <c r="BL342" s="260"/>
      <c r="BM342" s="241"/>
      <c r="BN342" s="142"/>
      <c r="BO342" s="182">
        <v>1097</v>
      </c>
      <c r="BP342" s="105" t="s">
        <v>414</v>
      </c>
      <c r="BQ342" s="98">
        <v>0.15</v>
      </c>
      <c r="BR342" s="409"/>
      <c r="BS342" s="242">
        <f>BL342*BQ342</f>
        <v>0</v>
      </c>
      <c r="BT342" s="203">
        <f>BM342*BQ342</f>
        <v>0</v>
      </c>
      <c r="BU342" s="167">
        <f>BN342*BQ342</f>
        <v>0</v>
      </c>
      <c r="BV342" s="168">
        <f>BO342*BQ342</f>
        <v>164.54999999999998</v>
      </c>
      <c r="BW342" s="131"/>
      <c r="BX342" s="105" t="s">
        <v>414</v>
      </c>
      <c r="BY342" s="145">
        <v>0.05</v>
      </c>
      <c r="BZ342" s="262"/>
      <c r="CA342" s="242">
        <f>BL342*BY342</f>
        <v>0</v>
      </c>
      <c r="CB342" s="101">
        <f>BM342*BY342</f>
        <v>0</v>
      </c>
      <c r="CC342" s="106">
        <f>BN342*BY342</f>
        <v>0</v>
      </c>
      <c r="CD342" s="107">
        <f>BO342*BY342</f>
        <v>54.85</v>
      </c>
      <c r="CE342" s="411"/>
      <c r="CF342" s="108">
        <v>1097</v>
      </c>
      <c r="CG342" s="109">
        <v>45198</v>
      </c>
      <c r="CH342" s="249"/>
      <c r="CI342" s="415"/>
      <c r="CJ342" s="416"/>
      <c r="CK342" s="415"/>
      <c r="CL342" s="415"/>
      <c r="CM342" s="416"/>
      <c r="CN342" s="415"/>
      <c r="CO342" s="263"/>
      <c r="CP342" s="263"/>
      <c r="CQ342" s="263"/>
      <c r="CR342" s="263"/>
      <c r="CS342" s="263"/>
      <c r="CT342" s="263"/>
      <c r="CU342" s="90">
        <v>1</v>
      </c>
      <c r="CV342" s="181"/>
      <c r="CW342" s="438"/>
      <c r="CX342" s="439"/>
      <c r="CY342" s="155"/>
      <c r="CZ342" s="121"/>
      <c r="DA342" s="424" t="s">
        <v>1921</v>
      </c>
      <c r="DB342" s="115" t="str">
        <f>PROPER(N342)</f>
        <v/>
      </c>
      <c r="DC342" s="419" t="s">
        <v>264</v>
      </c>
      <c r="DD342" s="116" t="str">
        <f>BP342</f>
        <v>Barbara</v>
      </c>
      <c r="DE342" s="117" t="b">
        <f>IF(OR(D342&gt;0),IF(BJ342=0,BN342*BQ342,0))</f>
        <v>0</v>
      </c>
      <c r="DF342" s="117" t="b">
        <f>IF(OR(D342&gt;0),IF(BJ342=0,BN342*BY342,0))</f>
        <v>0</v>
      </c>
      <c r="DG342" s="118" t="str">
        <f>BX342</f>
        <v>Barbara</v>
      </c>
      <c r="DH342" s="76"/>
      <c r="DI342" s="120" t="s">
        <v>154</v>
      </c>
      <c r="DJ342" s="120"/>
      <c r="DK342" s="74" t="s">
        <v>1366</v>
      </c>
      <c r="DL342" s="74" t="s">
        <v>1366</v>
      </c>
      <c r="DM342" s="122"/>
      <c r="DN342" s="6"/>
      <c r="DO342" s="6"/>
      <c r="DP342" s="6"/>
      <c r="DQ342" s="6"/>
      <c r="DR342" s="6"/>
      <c r="DS342" s="6"/>
      <c r="DT342" s="6"/>
      <c r="DU342" s="6"/>
      <c r="DV342" s="6"/>
      <c r="DW342" s="6"/>
      <c r="DX342" s="6"/>
      <c r="DY342" s="6"/>
      <c r="DZ342" s="6"/>
    </row>
    <row r="343" spans="1:130" ht="34.5" hidden="1" customHeight="1">
      <c r="A343" s="228"/>
      <c r="B343" s="75" t="s">
        <v>1359</v>
      </c>
      <c r="C343" s="155"/>
      <c r="D343" s="75"/>
      <c r="E343" s="75"/>
      <c r="F343" s="75"/>
      <c r="G343" s="400" t="s">
        <v>724</v>
      </c>
      <c r="H343" s="400" t="s">
        <v>1922</v>
      </c>
      <c r="I343" s="207" t="s">
        <v>1923</v>
      </c>
      <c r="J343" s="155" t="str">
        <f>CONCATENATE(G343," ",H343)</f>
        <v>Marta Bergamaschi</v>
      </c>
      <c r="K343" s="156">
        <v>3401954268</v>
      </c>
      <c r="L343" s="152" t="s">
        <v>1924</v>
      </c>
      <c r="M343" s="153"/>
      <c r="N343" s="160" t="s">
        <v>1925</v>
      </c>
      <c r="O343" s="402"/>
      <c r="P343" s="315"/>
      <c r="Q343" s="160"/>
      <c r="R343" s="403"/>
      <c r="S343" s="160"/>
      <c r="T343" s="404"/>
      <c r="U343" s="315"/>
      <c r="V343" s="315"/>
      <c r="W343" s="315"/>
      <c r="X343" s="131"/>
      <c r="Y343" s="315"/>
      <c r="Z343" s="315"/>
      <c r="AA343" s="315"/>
      <c r="AB343" s="37"/>
      <c r="AC343" s="131"/>
      <c r="AD343" s="121"/>
      <c r="AE343" s="88"/>
      <c r="AF343" s="405"/>
      <c r="AG343" s="406"/>
      <c r="AH343" s="406"/>
      <c r="AI343" s="405"/>
      <c r="AJ343" s="155"/>
      <c r="AK343" s="155"/>
      <c r="AL343" s="155"/>
      <c r="AM343" s="407"/>
      <c r="AN343" s="155"/>
      <c r="AO343" s="155"/>
      <c r="AP343" s="155"/>
      <c r="AQ343" s="85"/>
      <c r="AR343" s="121"/>
      <c r="AS343" s="121"/>
      <c r="AT343" s="121"/>
      <c r="AU343" s="408"/>
      <c r="AV343" s="75"/>
      <c r="AW343" s="121"/>
      <c r="AX343" s="121"/>
      <c r="AY343" s="85"/>
      <c r="AZ343" s="121"/>
      <c r="BA343" s="121"/>
      <c r="BB343" s="121"/>
      <c r="BC343" s="85"/>
      <c r="BD343" s="121" t="s">
        <v>335</v>
      </c>
      <c r="BE343" s="121" t="s">
        <v>245</v>
      </c>
      <c r="BF343" s="121" t="s">
        <v>245</v>
      </c>
      <c r="BG343" s="408"/>
      <c r="BH343" s="238">
        <f>CF343+CI343+CL343+CO343+CR343</f>
        <v>2997</v>
      </c>
      <c r="BI343" s="238">
        <f>CH343+CK343+CN343+CQ343+CT343</f>
        <v>0</v>
      </c>
      <c r="BJ343" s="238">
        <f>BH343-BI343</f>
        <v>2997</v>
      </c>
      <c r="BK343" s="239"/>
      <c r="BL343" s="260"/>
      <c r="BM343" s="241"/>
      <c r="BN343" s="142"/>
      <c r="BO343" s="182">
        <v>2997</v>
      </c>
      <c r="BP343" s="441" t="s">
        <v>690</v>
      </c>
      <c r="BQ343" s="145">
        <v>0.15</v>
      </c>
      <c r="BR343" s="409"/>
      <c r="BS343" s="242">
        <f>BL343*BQ343</f>
        <v>0</v>
      </c>
      <c r="BT343" s="203">
        <f>BM343*BQ343</f>
        <v>0</v>
      </c>
      <c r="BU343" s="167">
        <f>BN343*BQ343</f>
        <v>0</v>
      </c>
      <c r="BV343" s="168">
        <f>BO343*BQ343</f>
        <v>449.55</v>
      </c>
      <c r="BW343" s="131"/>
      <c r="BX343" s="105" t="s">
        <v>160</v>
      </c>
      <c r="BY343" s="145">
        <v>0.05</v>
      </c>
      <c r="BZ343" s="509"/>
      <c r="CA343" s="242">
        <f>BL343*BY343</f>
        <v>0</v>
      </c>
      <c r="CB343" s="101">
        <f>BM343*BY343</f>
        <v>0</v>
      </c>
      <c r="CC343" s="106">
        <f>BN343*BY343</f>
        <v>0</v>
      </c>
      <c r="CD343" s="107">
        <f>BO343*BY343</f>
        <v>149.85</v>
      </c>
      <c r="CE343" s="411"/>
      <c r="CF343" s="108">
        <v>2997</v>
      </c>
      <c r="CG343" s="109">
        <v>45198</v>
      </c>
      <c r="CH343" s="227"/>
      <c r="CI343" s="415"/>
      <c r="CJ343" s="416"/>
      <c r="CK343" s="415"/>
      <c r="CL343" s="415"/>
      <c r="CM343" s="416"/>
      <c r="CN343" s="415"/>
      <c r="CO343" s="263"/>
      <c r="CP343" s="263"/>
      <c r="CQ343" s="263"/>
      <c r="CR343" s="263"/>
      <c r="CS343" s="263"/>
      <c r="CT343" s="263"/>
      <c r="CU343" s="90">
        <v>1</v>
      </c>
      <c r="CV343" s="181"/>
      <c r="CW343" s="491"/>
      <c r="CX343" s="492"/>
      <c r="CY343" s="155"/>
      <c r="CZ343" s="121"/>
      <c r="DA343" s="424" t="s">
        <v>1926</v>
      </c>
      <c r="DB343" s="115" t="str">
        <f>PROPER(N343)</f>
        <v>Ecologica Naviglio</v>
      </c>
      <c r="DC343" s="280" t="s">
        <v>1927</v>
      </c>
      <c r="DD343" s="116" t="str">
        <f>BP343</f>
        <v>MAW</v>
      </c>
      <c r="DE343" s="117" t="b">
        <f>IF(OR(D343&gt;0),IF(BJ343=0,BN343*BQ343,0))</f>
        <v>0</v>
      </c>
      <c r="DF343" s="117" t="b">
        <f>IF(OR(D343&gt;0),IF(BJ343=0,BN343*BY343,0))</f>
        <v>0</v>
      </c>
      <c r="DG343" s="118" t="str">
        <f>BX343</f>
        <v>Gianluca</v>
      </c>
      <c r="DH343" s="76"/>
      <c r="DI343" s="120" t="s">
        <v>154</v>
      </c>
      <c r="DJ343" s="120"/>
      <c r="DK343" s="74" t="s">
        <v>1366</v>
      </c>
      <c r="DL343" s="74" t="s">
        <v>1399</v>
      </c>
      <c r="DM343" s="122"/>
      <c r="DN343" s="6"/>
      <c r="DO343" s="6"/>
      <c r="DP343" s="6"/>
      <c r="DQ343" s="6"/>
      <c r="DR343" s="6"/>
      <c r="DS343" s="6"/>
      <c r="DT343" s="6"/>
      <c r="DU343" s="6"/>
      <c r="DV343" s="6"/>
      <c r="DW343" s="6"/>
      <c r="DX343" s="6"/>
      <c r="DY343" s="6"/>
      <c r="DZ343" s="6"/>
    </row>
    <row r="344" spans="1:130" ht="34.5" hidden="1" customHeight="1">
      <c r="A344" s="228"/>
      <c r="B344" s="121" t="s">
        <v>1928</v>
      </c>
      <c r="C344" s="155"/>
      <c r="D344" s="121"/>
      <c r="E344" s="510"/>
      <c r="F344" s="511"/>
      <c r="G344" s="181" t="s">
        <v>1929</v>
      </c>
      <c r="H344" s="181" t="s">
        <v>1930</v>
      </c>
      <c r="I344" s="181" t="s">
        <v>1931</v>
      </c>
      <c r="J344" s="155" t="str">
        <f>CONCATENATE(G344," ",H344)</f>
        <v>Giusy Riina</v>
      </c>
      <c r="K344" s="181">
        <v>3455587719</v>
      </c>
      <c r="L344" s="131"/>
      <c r="M344" s="131"/>
      <c r="N344" s="160" t="s">
        <v>1925</v>
      </c>
      <c r="O344" s="230"/>
      <c r="P344" s="512"/>
      <c r="Q344" s="512"/>
      <c r="R344" s="80"/>
      <c r="S344" s="513"/>
      <c r="T344" s="131"/>
      <c r="U344" s="131"/>
      <c r="V344" s="131"/>
      <c r="W344" s="514"/>
      <c r="X344" s="131"/>
      <c r="Y344" s="514"/>
      <c r="Z344" s="514"/>
      <c r="AA344" s="514"/>
      <c r="AB344" s="255"/>
      <c r="AC344" s="131"/>
      <c r="AD344" s="255"/>
      <c r="AE344" s="161"/>
      <c r="AF344" s="515"/>
      <c r="AG344" s="516"/>
      <c r="AH344" s="516"/>
      <c r="AI344" s="515"/>
      <c r="AJ344" s="155"/>
      <c r="AK344" s="155"/>
      <c r="AL344" s="155"/>
      <c r="AM344" s="515"/>
      <c r="AN344" s="258"/>
      <c r="AO344" s="258"/>
      <c r="AP344" s="258"/>
      <c r="AQ344" s="517"/>
      <c r="AR344" s="121"/>
      <c r="AS344" s="121"/>
      <c r="AT344" s="121"/>
      <c r="AU344" s="518"/>
      <c r="AV344" s="121"/>
      <c r="AW344" s="19"/>
      <c r="AX344" s="19"/>
      <c r="AY344" s="518"/>
      <c r="AZ344" s="153"/>
      <c r="BA344" s="153"/>
      <c r="BC344" s="518"/>
      <c r="BD344" s="121" t="s">
        <v>116</v>
      </c>
      <c r="BE344" s="121" t="s">
        <v>116</v>
      </c>
      <c r="BF344" s="121" t="s">
        <v>116</v>
      </c>
      <c r="BG344" s="518"/>
      <c r="BH344" s="92"/>
      <c r="BI344" s="519"/>
      <c r="BJ344" s="519"/>
      <c r="BK344" s="520"/>
      <c r="BL344" s="521"/>
      <c r="BM344" s="522"/>
      <c r="BN344" s="523"/>
      <c r="BO344" s="524"/>
      <c r="BP344" s="525"/>
      <c r="BQ344" s="145"/>
      <c r="BR344" s="509"/>
      <c r="BS344" s="526"/>
      <c r="BT344" s="527"/>
      <c r="BU344" s="528"/>
      <c r="BV344" s="168"/>
      <c r="BW344" s="131"/>
      <c r="BX344" s="529"/>
      <c r="BY344" s="145"/>
      <c r="BZ344" s="110"/>
      <c r="CA344" s="242"/>
      <c r="CB344" s="203"/>
      <c r="CC344" s="530"/>
      <c r="CD344" s="531"/>
      <c r="CE344" s="532"/>
      <c r="CF344" s="110"/>
      <c r="CG344" s="226"/>
      <c r="CH344" s="110"/>
      <c r="CI344" s="412"/>
      <c r="CJ344" s="413"/>
      <c r="CK344" s="110"/>
      <c r="CL344" s="110"/>
      <c r="CM344" s="413"/>
      <c r="CN344" s="110"/>
      <c r="CO344" s="206"/>
      <c r="CP344" s="206"/>
      <c r="CQ344" s="206"/>
      <c r="CR344" s="206"/>
      <c r="CS344" s="206"/>
      <c r="CT344" s="206"/>
      <c r="CU344" s="245">
        <v>0</v>
      </c>
      <c r="CV344" s="181"/>
      <c r="CW344" s="246"/>
      <c r="CX344" s="247"/>
      <c r="CY344" s="207"/>
      <c r="CZ344" s="155"/>
      <c r="DA344" s="424" t="s">
        <v>1926</v>
      </c>
      <c r="DB344" s="115" t="str">
        <f>PROPER(N344)</f>
        <v>Ecologica Naviglio</v>
      </c>
      <c r="DC344" s="280" t="s">
        <v>1927</v>
      </c>
      <c r="DD344" s="116">
        <f>BP344</f>
        <v>0</v>
      </c>
      <c r="DE344" s="117" t="b">
        <f>IF(OR(D344&gt;0),IF(BJ344=0,BN344*BQ344,0))</f>
        <v>0</v>
      </c>
      <c r="DF344" s="117" t="b">
        <f>IF(OR(D344&gt;0),IF(BJ344=0,BN344*BY344,0))</f>
        <v>0</v>
      </c>
      <c r="DG344" s="533">
        <f>BX344</f>
        <v>0</v>
      </c>
      <c r="DH344" s="313"/>
      <c r="DI344" s="120" t="s">
        <v>154</v>
      </c>
      <c r="DJ344" s="120"/>
      <c r="DK344" s="207"/>
      <c r="DL344" s="207"/>
      <c r="DM344" s="248"/>
    </row>
    <row r="345" spans="1:130" ht="34.5" hidden="1" customHeight="1">
      <c r="A345" s="228"/>
      <c r="B345" s="371" t="s">
        <v>1359</v>
      </c>
      <c r="C345" s="155"/>
      <c r="D345" s="75"/>
      <c r="E345" s="75"/>
      <c r="F345" s="75"/>
      <c r="G345" s="400" t="s">
        <v>166</v>
      </c>
      <c r="H345" s="400" t="s">
        <v>1932</v>
      </c>
      <c r="I345" s="207" t="s">
        <v>1933</v>
      </c>
      <c r="J345" s="155" t="str">
        <f>CONCATENATE(G345," ",H345)</f>
        <v>Matteo Baffigi</v>
      </c>
      <c r="K345" s="156">
        <v>3388514313</v>
      </c>
      <c r="L345" s="152" t="s">
        <v>1934</v>
      </c>
      <c r="M345" s="153"/>
      <c r="N345" s="160" t="s">
        <v>1935</v>
      </c>
      <c r="O345" s="402"/>
      <c r="P345" s="315"/>
      <c r="Q345" s="160"/>
      <c r="R345" s="403"/>
      <c r="S345" s="160"/>
      <c r="T345" s="404"/>
      <c r="U345" s="315"/>
      <c r="V345" s="315"/>
      <c r="W345" s="315"/>
      <c r="X345" s="131"/>
      <c r="Y345" s="315"/>
      <c r="Z345" s="315"/>
      <c r="AA345" s="315"/>
      <c r="AB345" s="37"/>
      <c r="AC345" s="131"/>
      <c r="AD345" s="121"/>
      <c r="AE345" s="88"/>
      <c r="AF345" s="405"/>
      <c r="AG345" s="406"/>
      <c r="AH345" s="406"/>
      <c r="AI345" s="405"/>
      <c r="AJ345" s="155"/>
      <c r="AK345" s="155"/>
      <c r="AL345" s="155"/>
      <c r="AM345" s="407"/>
      <c r="AN345" s="155"/>
      <c r="AO345" s="155"/>
      <c r="AP345" s="155"/>
      <c r="AQ345" s="85"/>
      <c r="AR345" s="121"/>
      <c r="AS345" s="121"/>
      <c r="AT345" s="121"/>
      <c r="AU345" s="408"/>
      <c r="AV345" s="75"/>
      <c r="AW345" s="121"/>
      <c r="AX345" s="121"/>
      <c r="AY345" s="85"/>
      <c r="AZ345" s="154" t="s">
        <v>165</v>
      </c>
      <c r="BA345" s="154" t="s">
        <v>165</v>
      </c>
      <c r="BB345" s="154" t="s">
        <v>165</v>
      </c>
      <c r="BC345" s="85"/>
      <c r="BD345" s="121"/>
      <c r="BE345" s="121"/>
      <c r="BF345" s="121"/>
      <c r="BG345" s="408"/>
      <c r="BH345" s="238">
        <f>CF345+CI345+CL345+CO345+CR345</f>
        <v>0</v>
      </c>
      <c r="BI345" s="238">
        <f>CH345+CK345+CN345+CQ345+CT345</f>
        <v>0</v>
      </c>
      <c r="BJ345" s="238">
        <f>BH345-BI345</f>
        <v>0</v>
      </c>
      <c r="BK345" s="239"/>
      <c r="BL345" s="260"/>
      <c r="BM345" s="241"/>
      <c r="BN345" s="523"/>
      <c r="BO345" s="182"/>
      <c r="BP345" s="105" t="s">
        <v>398</v>
      </c>
      <c r="BQ345" s="98">
        <v>0.15</v>
      </c>
      <c r="BR345" s="409"/>
      <c r="BS345" s="242">
        <f>BL345*BQ345</f>
        <v>0</v>
      </c>
      <c r="BT345" s="203">
        <f>BM345*BQ345</f>
        <v>0</v>
      </c>
      <c r="BU345" s="167">
        <f>BN345*BQ345</f>
        <v>0</v>
      </c>
      <c r="BV345" s="168">
        <f>BO345*BQ345</f>
        <v>0</v>
      </c>
      <c r="BW345" s="131"/>
      <c r="BX345" s="105" t="s">
        <v>398</v>
      </c>
      <c r="BY345" s="145">
        <v>0.05</v>
      </c>
      <c r="BZ345" s="110"/>
      <c r="CA345" s="242">
        <f>BL345*BY345</f>
        <v>0</v>
      </c>
      <c r="CB345" s="203">
        <f>BM345*BY345</f>
        <v>0</v>
      </c>
      <c r="CC345" s="530">
        <f>BN345*BY345</f>
        <v>0</v>
      </c>
      <c r="CD345" s="531">
        <f>BO345*BY345</f>
        <v>0</v>
      </c>
      <c r="CE345" s="411"/>
      <c r="CF345" s="108"/>
      <c r="CG345" s="109"/>
      <c r="CH345" s="414"/>
      <c r="CI345" s="415"/>
      <c r="CJ345" s="416"/>
      <c r="CK345" s="415"/>
      <c r="CL345" s="415"/>
      <c r="CM345" s="416"/>
      <c r="CN345" s="415"/>
      <c r="CO345" s="263"/>
      <c r="CP345" s="263"/>
      <c r="CQ345" s="263"/>
      <c r="CR345" s="263"/>
      <c r="CS345" s="263"/>
      <c r="CT345" s="263"/>
      <c r="CU345" s="90">
        <v>1</v>
      </c>
      <c r="CV345" s="181"/>
      <c r="CW345" s="491"/>
      <c r="CX345" s="492"/>
      <c r="CY345" s="155"/>
      <c r="CZ345" s="121"/>
      <c r="DA345" s="424" t="s">
        <v>1936</v>
      </c>
      <c r="DB345" s="115" t="str">
        <f>PROPER(N345)</f>
        <v>Coris Medica</v>
      </c>
      <c r="DC345" s="280" t="s">
        <v>1937</v>
      </c>
      <c r="DD345" s="116" t="str">
        <f>BP345</f>
        <v>Arianna</v>
      </c>
      <c r="DE345" s="117" t="b">
        <f>IF(OR(D345&gt;0),IF(BJ345=0,BN345*BQ345,0))</f>
        <v>0</v>
      </c>
      <c r="DF345" s="117" t="b">
        <f>IF(OR(D345&gt;0),IF(BJ345=0,BN345*BY345,0))</f>
        <v>0</v>
      </c>
      <c r="DG345" s="118" t="str">
        <f>BX345</f>
        <v>Arianna</v>
      </c>
      <c r="DH345" s="76"/>
      <c r="DI345" s="120" t="s">
        <v>154</v>
      </c>
      <c r="DJ345" s="120"/>
      <c r="DK345" s="74" t="s">
        <v>1399</v>
      </c>
      <c r="DL345" s="74" t="s">
        <v>1399</v>
      </c>
      <c r="DM345" s="122"/>
      <c r="DN345" s="6"/>
      <c r="DO345" s="6"/>
      <c r="DP345" s="6"/>
      <c r="DQ345" s="6"/>
      <c r="DR345" s="6"/>
      <c r="DS345" s="6"/>
      <c r="DT345" s="6"/>
      <c r="DU345" s="6"/>
      <c r="DV345" s="6"/>
      <c r="DW345" s="6"/>
      <c r="DX345" s="6"/>
      <c r="DY345" s="6"/>
      <c r="DZ345" s="6"/>
    </row>
    <row r="346" spans="1:130" ht="34.5" hidden="1" customHeight="1">
      <c r="A346" s="228"/>
      <c r="B346" s="371" t="s">
        <v>1359</v>
      </c>
      <c r="C346" s="155"/>
      <c r="D346" s="75"/>
      <c r="E346" s="75"/>
      <c r="F346" s="75"/>
      <c r="G346" s="400" t="s">
        <v>166</v>
      </c>
      <c r="H346" s="400" t="s">
        <v>1938</v>
      </c>
      <c r="I346" s="207" t="s">
        <v>1939</v>
      </c>
      <c r="J346" s="155" t="str">
        <f>CONCATENATE(G346," ",H346)</f>
        <v>Matteo Butti</v>
      </c>
      <c r="K346" s="156">
        <v>3381189752</v>
      </c>
      <c r="L346" s="534" t="s">
        <v>1940</v>
      </c>
      <c r="M346" s="153" t="s">
        <v>514</v>
      </c>
      <c r="N346" s="160" t="s">
        <v>1941</v>
      </c>
      <c r="O346" s="402"/>
      <c r="P346" s="315"/>
      <c r="Q346" s="160"/>
      <c r="R346" s="403"/>
      <c r="S346" s="160"/>
      <c r="T346" s="404"/>
      <c r="U346" s="315"/>
      <c r="V346" s="315"/>
      <c r="W346" s="315"/>
      <c r="X346" s="131"/>
      <c r="Y346" s="315"/>
      <c r="Z346" s="315"/>
      <c r="AA346" s="315"/>
      <c r="AB346" s="37"/>
      <c r="AC346" s="131"/>
      <c r="AD346" s="121"/>
      <c r="AE346" s="88"/>
      <c r="AF346" s="405"/>
      <c r="AG346" s="406"/>
      <c r="AH346" s="406"/>
      <c r="AI346" s="405"/>
      <c r="AJ346" s="155"/>
      <c r="AK346" s="155"/>
      <c r="AL346" s="155"/>
      <c r="AM346" s="407"/>
      <c r="AN346" s="155"/>
      <c r="AO346" s="155"/>
      <c r="AP346" s="155"/>
      <c r="AQ346" s="85"/>
      <c r="AR346" s="121"/>
      <c r="AS346" s="121"/>
      <c r="AT346" s="121"/>
      <c r="AU346" s="408"/>
      <c r="AV346" s="75"/>
      <c r="AW346" s="121"/>
      <c r="AX346" s="121"/>
      <c r="AY346" s="85"/>
      <c r="AZ346" s="121"/>
      <c r="BA346" s="121"/>
      <c r="BB346" s="121"/>
      <c r="BC346" s="85"/>
      <c r="BD346" s="121" t="s">
        <v>1942</v>
      </c>
      <c r="BE346" s="121" t="s">
        <v>1942</v>
      </c>
      <c r="BF346" s="121" t="s">
        <v>1942</v>
      </c>
      <c r="BG346" s="408"/>
      <c r="BH346" s="238">
        <f>CF346+CI346+CL346+CO346+CR346</f>
        <v>2997</v>
      </c>
      <c r="BI346" s="238">
        <f>CH346+CK346+CN346+CQ346+CT346</f>
        <v>0</v>
      </c>
      <c r="BJ346" s="238">
        <f>BH346-BI346</f>
        <v>2997</v>
      </c>
      <c r="BK346" s="239"/>
      <c r="BL346" s="260"/>
      <c r="BM346" s="241"/>
      <c r="BN346" s="142"/>
      <c r="BO346" s="182"/>
      <c r="BP346" s="80" t="s">
        <v>160</v>
      </c>
      <c r="BQ346" s="98">
        <v>0.15</v>
      </c>
      <c r="BR346" s="409"/>
      <c r="BS346" s="242">
        <f>BL346*BQ346</f>
        <v>0</v>
      </c>
      <c r="BT346" s="203">
        <f>BM346*BQ346</f>
        <v>0</v>
      </c>
      <c r="BU346" s="167">
        <f>BN346*BQ346</f>
        <v>0</v>
      </c>
      <c r="BV346" s="168">
        <f>BO346*BQ346</f>
        <v>0</v>
      </c>
      <c r="BW346" s="131"/>
      <c r="BX346" s="105" t="s">
        <v>160</v>
      </c>
      <c r="BY346" s="145">
        <v>0.05</v>
      </c>
      <c r="BZ346" s="110"/>
      <c r="CA346" s="242">
        <f>BL346*BY346</f>
        <v>0</v>
      </c>
      <c r="CB346" s="203">
        <f>BM346*BY346</f>
        <v>0</v>
      </c>
      <c r="CC346" s="530">
        <f>BN346*BY346</f>
        <v>0</v>
      </c>
      <c r="CD346" s="531">
        <f>BO346*BY346</f>
        <v>0</v>
      </c>
      <c r="CE346" s="411"/>
      <c r="CF346" s="108">
        <v>2997</v>
      </c>
      <c r="CG346" s="109"/>
      <c r="CH346" s="414"/>
      <c r="CI346" s="415"/>
      <c r="CJ346" s="416"/>
      <c r="CK346" s="415"/>
      <c r="CL346" s="415"/>
      <c r="CM346" s="416"/>
      <c r="CN346" s="415"/>
      <c r="CO346" s="263"/>
      <c r="CP346" s="263"/>
      <c r="CQ346" s="263"/>
      <c r="CR346" s="263"/>
      <c r="CS346" s="263"/>
      <c r="CT346" s="263"/>
      <c r="CU346" s="90">
        <v>1</v>
      </c>
      <c r="CV346" s="181"/>
      <c r="CW346" s="438"/>
      <c r="CX346" s="439"/>
      <c r="CY346" s="155"/>
      <c r="CZ346" s="121"/>
      <c r="DA346" s="424"/>
      <c r="DB346" s="115" t="str">
        <f>PROPER(N346)</f>
        <v>Color Service Market</v>
      </c>
      <c r="DC346" s="280"/>
      <c r="DD346" s="116" t="str">
        <f>BP346</f>
        <v>Gianluca</v>
      </c>
      <c r="DE346" s="117" t="b">
        <f>IF(OR(D346&gt;0),IF(BJ346=0,BN346*BQ346,0))</f>
        <v>0</v>
      </c>
      <c r="DF346" s="117" t="b">
        <f>IF(OR(D346&gt;0),IF(BJ346=0,BN346*BY346,0))</f>
        <v>0</v>
      </c>
      <c r="DG346" s="118" t="str">
        <f>BX346</f>
        <v>Gianluca</v>
      </c>
      <c r="DH346" s="76"/>
      <c r="DI346" s="120" t="s">
        <v>154</v>
      </c>
      <c r="DJ346" s="120"/>
      <c r="DK346" s="74" t="s">
        <v>1366</v>
      </c>
      <c r="DL346" s="74" t="s">
        <v>1366</v>
      </c>
      <c r="DM346" s="122"/>
      <c r="DN346" s="6"/>
      <c r="DO346" s="6"/>
      <c r="DP346" s="6"/>
      <c r="DQ346" s="6"/>
      <c r="DR346" s="6"/>
      <c r="DS346" s="6"/>
      <c r="DT346" s="6"/>
      <c r="DU346" s="6"/>
      <c r="DV346" s="6"/>
      <c r="DW346" s="6"/>
      <c r="DX346" s="6"/>
      <c r="DY346" s="6"/>
      <c r="DZ346" s="6"/>
    </row>
    <row r="347" spans="1:130" ht="34.5" hidden="1" customHeight="1">
      <c r="A347" s="228"/>
      <c r="B347" s="75" t="s">
        <v>1359</v>
      </c>
      <c r="C347" s="155"/>
      <c r="D347" s="75"/>
      <c r="E347" s="75"/>
      <c r="F347" s="75"/>
      <c r="G347" s="400" t="s">
        <v>166</v>
      </c>
      <c r="H347" s="400" t="s">
        <v>1943</v>
      </c>
      <c r="I347" s="207"/>
      <c r="J347" s="155" t="str">
        <f>CONCATENATE(G347," ",H347)</f>
        <v>Matteo Roagna</v>
      </c>
      <c r="K347" s="156">
        <v>3456895580</v>
      </c>
      <c r="L347" s="433" t="s">
        <v>1944</v>
      </c>
      <c r="M347" s="153"/>
      <c r="N347" s="160"/>
      <c r="O347" s="402"/>
      <c r="P347" s="315"/>
      <c r="Q347" s="160"/>
      <c r="R347" s="403"/>
      <c r="S347" s="160"/>
      <c r="T347" s="404"/>
      <c r="U347" s="315"/>
      <c r="V347" s="315"/>
      <c r="W347" s="315"/>
      <c r="X347" s="131"/>
      <c r="Y347" s="315"/>
      <c r="Z347" s="315"/>
      <c r="AA347" s="315"/>
      <c r="AB347" s="37"/>
      <c r="AC347" s="131"/>
      <c r="AD347" s="121"/>
      <c r="AE347" s="88"/>
      <c r="AF347" s="405"/>
      <c r="AG347" s="406"/>
      <c r="AH347" s="406"/>
      <c r="AI347" s="405"/>
      <c r="AJ347" s="155"/>
      <c r="AK347" s="155"/>
      <c r="AL347" s="155"/>
      <c r="AM347" s="407"/>
      <c r="AN347" s="155"/>
      <c r="AO347" s="155"/>
      <c r="AP347" s="155"/>
      <c r="AQ347" s="85"/>
      <c r="AR347" s="121"/>
      <c r="AS347" s="121"/>
      <c r="AT347" s="121"/>
      <c r="AU347" s="408"/>
      <c r="AV347" s="75"/>
      <c r="AW347" s="121"/>
      <c r="AX347" s="121"/>
      <c r="AY347" s="85"/>
      <c r="AZ347" s="154" t="s">
        <v>165</v>
      </c>
      <c r="BA347" s="154" t="s">
        <v>165</v>
      </c>
      <c r="BB347" s="154" t="s">
        <v>165</v>
      </c>
      <c r="BC347" s="85"/>
      <c r="BD347" s="121"/>
      <c r="BE347" s="121"/>
      <c r="BF347" s="121"/>
      <c r="BG347" s="408"/>
      <c r="BH347" s="238">
        <f>CF347+CI347+CL347+CO347+CR347</f>
        <v>0</v>
      </c>
      <c r="BI347" s="238">
        <f>CH347+CK347+CN347+CQ347+CT347</f>
        <v>0</v>
      </c>
      <c r="BJ347" s="238">
        <f>BH347-BI347</f>
        <v>0</v>
      </c>
      <c r="BK347" s="239"/>
      <c r="BL347" s="260"/>
      <c r="BM347" s="241"/>
      <c r="BN347" s="142"/>
      <c r="BO347" s="182"/>
      <c r="BP347" s="105" t="s">
        <v>141</v>
      </c>
      <c r="BQ347" s="98">
        <v>0.15</v>
      </c>
      <c r="BR347" s="409"/>
      <c r="BS347" s="242">
        <f>BL347*BQ347</f>
        <v>0</v>
      </c>
      <c r="BT347" s="203">
        <f>BM347*BQ347</f>
        <v>0</v>
      </c>
      <c r="BU347" s="167">
        <f>BN347*BQ347</f>
        <v>0</v>
      </c>
      <c r="BV347" s="168">
        <f>BO347*BQ347</f>
        <v>0</v>
      </c>
      <c r="BW347" s="131"/>
      <c r="BX347" s="105" t="s">
        <v>141</v>
      </c>
      <c r="BY347" s="145">
        <v>0.05</v>
      </c>
      <c r="BZ347" s="110"/>
      <c r="CA347" s="242">
        <f>BL347*BY347</f>
        <v>0</v>
      </c>
      <c r="CB347" s="203">
        <f>BM347*BY347</f>
        <v>0</v>
      </c>
      <c r="CC347" s="530">
        <f>BN347*BY347</f>
        <v>0</v>
      </c>
      <c r="CD347" s="531">
        <f>BO347*BY347</f>
        <v>0</v>
      </c>
      <c r="CE347" s="411"/>
      <c r="CF347" s="108"/>
      <c r="CG347" s="109"/>
      <c r="CH347" s="414"/>
      <c r="CI347" s="415"/>
      <c r="CJ347" s="416"/>
      <c r="CK347" s="415"/>
      <c r="CL347" s="415"/>
      <c r="CM347" s="416"/>
      <c r="CN347" s="415"/>
      <c r="CO347" s="263"/>
      <c r="CP347" s="263"/>
      <c r="CQ347" s="263"/>
      <c r="CR347" s="263"/>
      <c r="CS347" s="263"/>
      <c r="CT347" s="263"/>
      <c r="CU347" s="90">
        <v>1</v>
      </c>
      <c r="CV347" s="181"/>
      <c r="CW347" s="438"/>
      <c r="CX347" s="439"/>
      <c r="CY347" s="155"/>
      <c r="CZ347" s="121"/>
      <c r="DA347" s="424"/>
      <c r="DB347" s="115" t="str">
        <f>PROPER(N347)</f>
        <v/>
      </c>
      <c r="DC347" s="280"/>
      <c r="DD347" s="116" t="str">
        <f>BP347</f>
        <v>Daniele</v>
      </c>
      <c r="DE347" s="117" t="b">
        <f>IF(OR(D347&gt;0),IF(BJ347=0,BN347*BQ347,0))</f>
        <v>0</v>
      </c>
      <c r="DF347" s="117" t="b">
        <f>IF(OR(D347&gt;0),IF(BJ347=0,BN347*BY347,0))</f>
        <v>0</v>
      </c>
      <c r="DG347" s="118" t="str">
        <f>BX347</f>
        <v>Daniele</v>
      </c>
      <c r="DH347" s="76"/>
      <c r="DI347" s="120" t="s">
        <v>154</v>
      </c>
      <c r="DJ347" s="120"/>
      <c r="DK347" s="74" t="s">
        <v>1418</v>
      </c>
      <c r="DL347" s="74" t="s">
        <v>1418</v>
      </c>
      <c r="DM347" s="122"/>
      <c r="DN347" s="6"/>
      <c r="DO347" s="6"/>
      <c r="DP347" s="6"/>
      <c r="DQ347" s="6"/>
      <c r="DR347" s="6"/>
      <c r="DS347" s="6"/>
      <c r="DT347" s="6"/>
      <c r="DU347" s="6"/>
      <c r="DV347" s="6"/>
      <c r="DW347" s="6"/>
      <c r="DX347" s="6"/>
      <c r="DY347" s="6"/>
      <c r="DZ347" s="6"/>
    </row>
    <row r="348" spans="1:130" ht="34.5" hidden="1" customHeight="1">
      <c r="A348" s="228"/>
      <c r="B348" s="75" t="s">
        <v>1359</v>
      </c>
      <c r="C348" s="155"/>
      <c r="D348" s="75">
        <v>1</v>
      </c>
      <c r="E348" s="75">
        <v>1</v>
      </c>
      <c r="F348" s="75"/>
      <c r="G348" s="400" t="s">
        <v>1957</v>
      </c>
      <c r="H348" s="400" t="s">
        <v>1958</v>
      </c>
      <c r="I348" s="207" t="s">
        <v>1959</v>
      </c>
      <c r="J348" s="121" t="str">
        <f>CONCATENATE(G348," ",H348)</f>
        <v>Mikhael Tommassoni</v>
      </c>
      <c r="K348" s="156">
        <v>3336933975</v>
      </c>
      <c r="L348" s="435"/>
      <c r="M348" s="487" t="s">
        <v>702</v>
      </c>
      <c r="N348" s="160" t="s">
        <v>1960</v>
      </c>
      <c r="O348" s="402"/>
      <c r="P348" s="315"/>
      <c r="Q348" s="160"/>
      <c r="R348" s="403"/>
      <c r="S348" s="160"/>
      <c r="T348" s="404"/>
      <c r="U348" s="315"/>
      <c r="V348" s="315"/>
      <c r="W348" s="315"/>
      <c r="X348" s="131"/>
      <c r="Y348" s="315"/>
      <c r="Z348" s="315"/>
      <c r="AA348" s="315"/>
      <c r="AB348" s="37"/>
      <c r="AC348" s="131"/>
      <c r="AD348" s="121" t="s">
        <v>1961</v>
      </c>
      <c r="AE348" s="88"/>
      <c r="AF348" s="405"/>
      <c r="AG348" s="406"/>
      <c r="AH348" s="406"/>
      <c r="AI348" s="405"/>
      <c r="AJ348" s="155"/>
      <c r="AK348" s="155"/>
      <c r="AL348" s="155"/>
      <c r="AM348" s="407"/>
      <c r="AN348" s="155"/>
      <c r="AO348" s="155"/>
      <c r="AP348" s="155"/>
      <c r="AQ348" s="85"/>
      <c r="AR348" s="121"/>
      <c r="AS348" s="121"/>
      <c r="AT348" s="121"/>
      <c r="AU348" s="408"/>
      <c r="AV348" s="75"/>
      <c r="AW348" s="121"/>
      <c r="AX348" s="121"/>
      <c r="AY348" s="85"/>
      <c r="AZ348" s="121" t="s">
        <v>115</v>
      </c>
      <c r="BA348" s="121" t="s">
        <v>115</v>
      </c>
      <c r="BB348" s="135" t="s">
        <v>115</v>
      </c>
      <c r="BC348" s="85"/>
      <c r="BD348" s="121"/>
      <c r="BE348" s="121"/>
      <c r="BF348" s="121"/>
      <c r="BG348" s="408"/>
      <c r="BH348" s="238">
        <f>CF348+CI348+CL348+CO348+CR348</f>
        <v>2997</v>
      </c>
      <c r="BI348" s="238">
        <f>CH348+CK348+CN348+CQ348+CT348</f>
        <v>2997</v>
      </c>
      <c r="BJ348" s="238">
        <f>BH348-BI348</f>
        <v>0</v>
      </c>
      <c r="BK348" s="239"/>
      <c r="BL348" s="260"/>
      <c r="BM348" s="241"/>
      <c r="BN348" s="142">
        <f>2997</f>
        <v>2997</v>
      </c>
      <c r="BO348" s="182"/>
      <c r="BP348" s="105" t="s">
        <v>184</v>
      </c>
      <c r="BQ348" s="98">
        <v>0.15</v>
      </c>
      <c r="BR348" s="409"/>
      <c r="BS348" s="242">
        <f>BL348*BQ348</f>
        <v>0</v>
      </c>
      <c r="BT348" s="203">
        <f>BM348*BQ348</f>
        <v>0</v>
      </c>
      <c r="BU348" s="102">
        <f>BN348*BQ348</f>
        <v>449.55</v>
      </c>
      <c r="BV348" s="168">
        <f>BO348*BQ348</f>
        <v>0</v>
      </c>
      <c r="BW348" s="160" t="s">
        <v>185</v>
      </c>
      <c r="BX348" s="105" t="s">
        <v>184</v>
      </c>
      <c r="BY348" s="145">
        <v>0.05</v>
      </c>
      <c r="BZ348" s="110"/>
      <c r="CA348" s="242">
        <f>BL348*BY348</f>
        <v>0</v>
      </c>
      <c r="CB348" s="203">
        <f>BM348*BY348</f>
        <v>0</v>
      </c>
      <c r="CC348" s="530">
        <f>BN348*BY348</f>
        <v>149.85</v>
      </c>
      <c r="CD348" s="531">
        <f>BO348*BY348</f>
        <v>0</v>
      </c>
      <c r="CE348" s="160" t="s">
        <v>185</v>
      </c>
      <c r="CF348" s="108">
        <f>2997</f>
        <v>2997</v>
      </c>
      <c r="CG348" s="109">
        <v>45198</v>
      </c>
      <c r="CH348" s="108">
        <f>2997</f>
        <v>2997</v>
      </c>
      <c r="CI348" s="415"/>
      <c r="CJ348" s="416"/>
      <c r="CK348" s="415"/>
      <c r="CL348" s="415"/>
      <c r="CM348" s="416"/>
      <c r="CN348" s="415"/>
      <c r="CO348" s="263"/>
      <c r="CP348" s="263"/>
      <c r="CQ348" s="263"/>
      <c r="CR348" s="263"/>
      <c r="CS348" s="263"/>
      <c r="CT348" s="263"/>
      <c r="CU348" s="90">
        <v>1</v>
      </c>
      <c r="CV348" s="181"/>
      <c r="CW348" s="438"/>
      <c r="CX348" s="439"/>
      <c r="CY348" s="155"/>
      <c r="CZ348" s="121"/>
      <c r="DA348" s="426" t="s">
        <v>1962</v>
      </c>
      <c r="DB348" s="115" t="str">
        <f>PROPER(N348)</f>
        <v>Giemme Etichette</v>
      </c>
      <c r="DC348" s="280" t="s">
        <v>1963</v>
      </c>
      <c r="DD348" s="116" t="str">
        <f>BP348</f>
        <v>Cristian A</v>
      </c>
      <c r="DE348" s="117">
        <f>IF(OR(D348&gt;0),IF(BJ348=0,BN348*BQ348,0))</f>
        <v>449.55</v>
      </c>
      <c r="DF348" s="117">
        <f>IF(OR(D348&gt;0),IF(BJ348=0,BN348*BY348,0))</f>
        <v>149.85</v>
      </c>
      <c r="DG348" s="118" t="str">
        <f>BX348</f>
        <v>Cristian A</v>
      </c>
      <c r="DH348" s="76"/>
      <c r="DI348" s="120" t="s">
        <v>126</v>
      </c>
      <c r="DJ348" s="120"/>
      <c r="DK348" s="74" t="s">
        <v>1418</v>
      </c>
      <c r="DL348" s="74" t="s">
        <v>1418</v>
      </c>
      <c r="DM348" s="122">
        <v>1</v>
      </c>
      <c r="DN348" s="6"/>
      <c r="DO348" s="6"/>
      <c r="DP348" s="6"/>
      <c r="DQ348" s="6"/>
      <c r="DR348" s="6"/>
      <c r="DS348" s="6"/>
      <c r="DT348" s="6"/>
      <c r="DU348" s="6"/>
      <c r="DV348" s="6"/>
      <c r="DW348" s="6"/>
      <c r="DX348" s="6"/>
      <c r="DY348" s="6"/>
      <c r="DZ348" s="6"/>
    </row>
    <row r="349" spans="1:130" ht="34.5" hidden="1" customHeight="1">
      <c r="A349" s="1803"/>
      <c r="B349" s="1805" t="s">
        <v>1359</v>
      </c>
      <c r="C349" s="461"/>
      <c r="D349" s="75">
        <v>1</v>
      </c>
      <c r="E349" s="1807">
        <v>1</v>
      </c>
      <c r="F349" s="1806"/>
      <c r="G349" s="1817" t="s">
        <v>1272</v>
      </c>
      <c r="H349" s="1817" t="s">
        <v>1519</v>
      </c>
      <c r="I349" s="1837" t="s">
        <v>1520</v>
      </c>
      <c r="J349" s="121" t="str">
        <f>CONCATENATE(G349," ",H349)</f>
        <v>Mirco Borella</v>
      </c>
      <c r="K349" s="1855">
        <v>3409603257</v>
      </c>
      <c r="L349" s="1868"/>
      <c r="M349" s="1897" t="s">
        <v>1521</v>
      </c>
      <c r="N349" s="1819" t="s">
        <v>1515</v>
      </c>
      <c r="O349" s="1931"/>
      <c r="P349" s="1943"/>
      <c r="Q349" s="461"/>
      <c r="R349" s="1868"/>
      <c r="S349" s="461"/>
      <c r="T349" s="1955"/>
      <c r="U349" s="1943"/>
      <c r="V349" s="1943"/>
      <c r="W349" s="1943"/>
      <c r="X349" s="461"/>
      <c r="Y349" s="1943"/>
      <c r="Z349" s="1943"/>
      <c r="AA349" s="1943"/>
      <c r="AB349" s="1868"/>
      <c r="AC349" s="461"/>
      <c r="AD349" s="121" t="s">
        <v>1516</v>
      </c>
      <c r="AE349" s="1964"/>
      <c r="AF349" s="1931"/>
      <c r="AG349" s="1975"/>
      <c r="AH349" s="1975"/>
      <c r="AI349" s="1931"/>
      <c r="AJ349" s="461"/>
      <c r="AK349" s="461"/>
      <c r="AL349" s="461"/>
      <c r="AM349" s="1931"/>
      <c r="AN349" s="461"/>
      <c r="AO349" s="461"/>
      <c r="AP349" s="461"/>
      <c r="AQ349" s="1934"/>
      <c r="AR349" s="461"/>
      <c r="AS349" s="461"/>
      <c r="AT349" s="461"/>
      <c r="AU349" s="1992"/>
      <c r="AV349" s="1806"/>
      <c r="AW349" s="461"/>
      <c r="AX349" s="461"/>
      <c r="AY349" s="459"/>
      <c r="AZ349" s="460" t="s">
        <v>115</v>
      </c>
      <c r="BA349" s="460" t="s">
        <v>115</v>
      </c>
      <c r="BB349" s="135" t="s">
        <v>115</v>
      </c>
      <c r="BC349" s="459"/>
      <c r="BD349" s="461"/>
      <c r="BE349" s="461"/>
      <c r="BF349" s="461"/>
      <c r="BG349" s="1992"/>
      <c r="BH349" s="2003">
        <f>CF349+CI349+CL349+CO349+CR349</f>
        <v>2997</v>
      </c>
      <c r="BI349" s="2003">
        <f>CH349+CK349+CN349+CQ349+CT349</f>
        <v>2997</v>
      </c>
      <c r="BJ349" s="2003">
        <f>BH349-BI349</f>
        <v>0</v>
      </c>
      <c r="BK349" s="2008"/>
      <c r="BL349" s="2018"/>
      <c r="BM349" s="2023"/>
      <c r="BN349" s="2028">
        <v>2997</v>
      </c>
      <c r="BO349" s="2033"/>
      <c r="BP349" s="2046" t="s">
        <v>141</v>
      </c>
      <c r="BQ349" s="2054">
        <v>0.15</v>
      </c>
      <c r="BR349" s="2060"/>
      <c r="BS349" s="2067">
        <f>BL349*BQ349</f>
        <v>0</v>
      </c>
      <c r="BT349" s="2071">
        <f>BM349*BQ349</f>
        <v>0</v>
      </c>
      <c r="BU349" s="2076">
        <f>BN349*BQ349</f>
        <v>449.55</v>
      </c>
      <c r="BV349" s="2079">
        <f>BO349*BQ349</f>
        <v>0</v>
      </c>
      <c r="BW349" s="160" t="s">
        <v>185</v>
      </c>
      <c r="BX349" s="2082" t="s">
        <v>141</v>
      </c>
      <c r="BY349" s="2055">
        <v>0.05</v>
      </c>
      <c r="BZ349" s="2083"/>
      <c r="CA349" s="2067">
        <f>BL349*BY349</f>
        <v>0</v>
      </c>
      <c r="CB349" s="2071">
        <f>BM349*BY349</f>
        <v>0</v>
      </c>
      <c r="CC349" s="2086">
        <f>BN349*BY349</f>
        <v>149.85</v>
      </c>
      <c r="CD349" s="2089">
        <f>BO349*BY349</f>
        <v>0</v>
      </c>
      <c r="CE349" s="84" t="s">
        <v>185</v>
      </c>
      <c r="CF349" s="2097">
        <v>2997</v>
      </c>
      <c r="CG349" s="2100">
        <v>45198</v>
      </c>
      <c r="CH349" s="108">
        <v>2997</v>
      </c>
      <c r="CI349" s="2083"/>
      <c r="CJ349" s="2111"/>
      <c r="CK349" s="2083"/>
      <c r="CL349" s="2083"/>
      <c r="CM349" s="2111"/>
      <c r="CN349" s="2083"/>
      <c r="CO349" s="2118"/>
      <c r="CP349" s="2118"/>
      <c r="CQ349" s="2118"/>
      <c r="CR349" s="2118"/>
      <c r="CS349" s="2118"/>
      <c r="CT349" s="2118"/>
      <c r="CU349" s="90">
        <v>1</v>
      </c>
      <c r="CV349" s="461"/>
      <c r="CW349" s="1806"/>
      <c r="CX349" s="1965"/>
      <c r="CY349" s="461"/>
      <c r="CZ349" s="461"/>
      <c r="DA349" s="428" t="s">
        <v>1517</v>
      </c>
      <c r="DB349" s="2156" t="str">
        <f>PROPER(N349)</f>
        <v>Trytech</v>
      </c>
      <c r="DC349" s="280" t="s">
        <v>1518</v>
      </c>
      <c r="DD349" s="2165" t="str">
        <f>BP349</f>
        <v>Daniele</v>
      </c>
      <c r="DE349" s="2169">
        <f>IF(OR(D349&gt;0),IF(BJ349=0,BN349*BQ349,0))</f>
        <v>449.55</v>
      </c>
      <c r="DF349" s="2169">
        <f>IF(OR(D349&gt;0),IF(BJ349=0,BN349*BY349,0))</f>
        <v>149.85</v>
      </c>
      <c r="DG349" s="2172" t="str">
        <f>BX349</f>
        <v>Daniele</v>
      </c>
      <c r="DH349" s="2175"/>
      <c r="DI349" s="120" t="s">
        <v>126</v>
      </c>
      <c r="DJ349" s="120"/>
      <c r="DK349" s="476" t="s">
        <v>1366</v>
      </c>
      <c r="DL349" s="476" t="s">
        <v>1366</v>
      </c>
      <c r="DM349" s="476">
        <v>1</v>
      </c>
      <c r="DN349" s="458"/>
      <c r="DO349" s="458"/>
      <c r="DP349" s="458"/>
      <c r="DQ349" s="458"/>
      <c r="DR349" s="458"/>
      <c r="DS349" s="458"/>
      <c r="DT349" s="458"/>
      <c r="DU349" s="458"/>
      <c r="DV349" s="458"/>
      <c r="DW349" s="458"/>
      <c r="DX349" s="458"/>
      <c r="DY349" s="458"/>
      <c r="DZ349" s="458"/>
    </row>
    <row r="350" spans="1:130" ht="34.5" hidden="1" customHeight="1">
      <c r="A350" s="228"/>
      <c r="B350" s="75" t="s">
        <v>1139</v>
      </c>
      <c r="C350" s="155"/>
      <c r="D350" s="75"/>
      <c r="E350" s="75"/>
      <c r="F350" s="148"/>
      <c r="G350" s="181" t="s">
        <v>1272</v>
      </c>
      <c r="H350" s="181" t="s">
        <v>1273</v>
      </c>
      <c r="I350" s="207" t="s">
        <v>1274</v>
      </c>
      <c r="J350" s="121" t="str">
        <f>CONCATENATE(G350," ",H350)</f>
        <v>Mirco Perini</v>
      </c>
      <c r="K350" s="156">
        <v>3496466497</v>
      </c>
      <c r="L350" s="396" t="s">
        <v>1275</v>
      </c>
      <c r="M350" s="131" t="s">
        <v>514</v>
      </c>
      <c r="N350" s="160" t="s">
        <v>1276</v>
      </c>
      <c r="O350" s="250"/>
      <c r="P350" s="397" t="s">
        <v>1277</v>
      </c>
      <c r="Q350" s="398" t="s">
        <v>1277</v>
      </c>
      <c r="R350" s="252" t="s">
        <v>1278</v>
      </c>
      <c r="S350" s="254" t="s">
        <v>1279</v>
      </c>
      <c r="T350" s="346">
        <v>37137</v>
      </c>
      <c r="U350" s="253" t="s">
        <v>1280</v>
      </c>
      <c r="V350" s="253" t="s">
        <v>1281</v>
      </c>
      <c r="W350" s="251"/>
      <c r="X350" s="131" t="s">
        <v>1282</v>
      </c>
      <c r="Y350" s="251"/>
      <c r="Z350" s="251"/>
      <c r="AA350" s="251"/>
      <c r="AB350" s="255" t="s">
        <v>1283</v>
      </c>
      <c r="AC350" s="256" t="s">
        <v>1284</v>
      </c>
      <c r="AD350" s="121" t="s">
        <v>1285</v>
      </c>
      <c r="AE350" s="138" t="str">
        <f>L350</f>
        <v>a VT partecipato SABATO e DOMENICA, NO venerdì</v>
      </c>
      <c r="AF350" s="407"/>
      <c r="AG350" s="155"/>
      <c r="AH350" s="155"/>
      <c r="AI350" s="407"/>
      <c r="AJ350" s="155"/>
      <c r="AK350" s="155"/>
      <c r="AL350" s="155"/>
      <c r="AM350" s="407"/>
      <c r="AN350" s="258"/>
      <c r="AO350" s="258"/>
      <c r="AP350" s="258"/>
      <c r="AQ350" s="1982"/>
      <c r="AR350" s="121"/>
      <c r="AS350" s="121"/>
      <c r="AT350" s="121"/>
      <c r="AU350" s="408"/>
      <c r="AV350" s="75" t="s">
        <v>115</v>
      </c>
      <c r="AW350" s="153"/>
      <c r="AX350" s="121"/>
      <c r="AY350" s="1982"/>
      <c r="AZ350" s="121"/>
      <c r="BA350" s="154" t="s">
        <v>194</v>
      </c>
      <c r="BB350" s="121" t="s">
        <v>115</v>
      </c>
      <c r="BC350" s="1982"/>
      <c r="BD350" s="121"/>
      <c r="BE350" s="121" t="s">
        <v>115</v>
      </c>
      <c r="BF350" s="121"/>
      <c r="BG350" s="408"/>
      <c r="BH350" s="238">
        <f>CF350+CI350+CL350+CO350+CR350</f>
        <v>2997</v>
      </c>
      <c r="BI350" s="238">
        <f>CH350+CK350+CN350+CQ350+CT350</f>
        <v>2997</v>
      </c>
      <c r="BJ350" s="238">
        <f>BH350-BI350</f>
        <v>0</v>
      </c>
      <c r="BK350" s="239"/>
      <c r="BL350" s="260">
        <v>0</v>
      </c>
      <c r="BM350" s="241">
        <v>2997</v>
      </c>
      <c r="BN350" s="273"/>
      <c r="BO350" s="274"/>
      <c r="BP350" s="2041" t="s">
        <v>300</v>
      </c>
      <c r="BQ350" s="145">
        <v>0.15</v>
      </c>
      <c r="BR350" s="409"/>
      <c r="BS350" s="242">
        <f>BL350*BQ350</f>
        <v>0</v>
      </c>
      <c r="BT350" s="203">
        <f>BM350*BQ350</f>
        <v>449.55</v>
      </c>
      <c r="BU350" s="167">
        <f>BN350*BQ350</f>
        <v>0</v>
      </c>
      <c r="BV350" s="168">
        <f>BO350*BQ350</f>
        <v>0</v>
      </c>
      <c r="BW350" s="80" t="s">
        <v>120</v>
      </c>
      <c r="BX350" s="105" t="s">
        <v>300</v>
      </c>
      <c r="BY350" s="145">
        <v>0.05</v>
      </c>
      <c r="BZ350" s="110"/>
      <c r="CA350" s="242">
        <f>BL350*BY350</f>
        <v>0</v>
      </c>
      <c r="CB350" s="203">
        <f>BM350*BY350</f>
        <v>149.85</v>
      </c>
      <c r="CC350" s="530">
        <f>BN350*BY350</f>
        <v>0</v>
      </c>
      <c r="CD350" s="531">
        <f>BO350*BY350</f>
        <v>0</v>
      </c>
      <c r="CE350" s="90" t="s">
        <v>120</v>
      </c>
      <c r="CF350" s="108">
        <v>2997</v>
      </c>
      <c r="CG350" s="109">
        <v>44833</v>
      </c>
      <c r="CH350" s="108">
        <v>2997</v>
      </c>
      <c r="CI350" s="110"/>
      <c r="CJ350" s="348"/>
      <c r="CK350" s="110"/>
      <c r="CL350" s="110"/>
      <c r="CM350" s="263"/>
      <c r="CN350" s="110"/>
      <c r="CO350" s="110"/>
      <c r="CP350" s="226"/>
      <c r="CQ350" s="110"/>
      <c r="CR350" s="110"/>
      <c r="CS350" s="226"/>
      <c r="CT350" s="110"/>
      <c r="CU350" s="90">
        <v>1</v>
      </c>
      <c r="CV350" s="181" t="s">
        <v>1123</v>
      </c>
      <c r="CW350" s="112"/>
      <c r="CX350" s="1832"/>
      <c r="CY350" s="155" t="s">
        <v>215</v>
      </c>
      <c r="CZ350" s="155"/>
      <c r="DA350" s="131" t="s">
        <v>1286</v>
      </c>
      <c r="DB350" s="115" t="str">
        <f>PROPER(N350)</f>
        <v>Ceradini Group - Kingfruit</v>
      </c>
      <c r="DC350" s="191" t="s">
        <v>1280</v>
      </c>
      <c r="DD350" s="116" t="str">
        <f>BP350</f>
        <v>Cristina</v>
      </c>
      <c r="DE350" s="117" t="b">
        <f>IF(OR(D350&gt;0),IF(BJ350=0,BN350*BQ350,0))</f>
        <v>0</v>
      </c>
      <c r="DF350" s="117" t="b">
        <f>IF(OR(D350&gt;0),IF(BJ350=0,BN350*BY350,0))</f>
        <v>0</v>
      </c>
      <c r="DG350" s="118" t="str">
        <f>BX350</f>
        <v>Cristina</v>
      </c>
      <c r="DH350" s="76"/>
      <c r="DI350" s="120" t="s">
        <v>126</v>
      </c>
      <c r="DJ350" s="120"/>
      <c r="DK350" s="207"/>
      <c r="DL350" s="207"/>
      <c r="DM350" s="264"/>
      <c r="DN350" s="265"/>
      <c r="DO350" s="265"/>
      <c r="DP350" s="265"/>
      <c r="DQ350" s="265"/>
      <c r="DR350" s="265"/>
      <c r="DS350" s="265"/>
      <c r="DT350" s="265"/>
      <c r="DU350" s="265"/>
      <c r="DV350" s="265"/>
      <c r="DW350" s="265"/>
      <c r="DX350" s="265"/>
      <c r="DY350" s="265"/>
      <c r="DZ350" s="265"/>
    </row>
    <row r="351" spans="1:130" ht="34.5" hidden="1" customHeight="1">
      <c r="A351" s="228"/>
      <c r="B351" s="75" t="s">
        <v>1359</v>
      </c>
      <c r="C351" s="155"/>
      <c r="D351" s="75"/>
      <c r="E351" s="75"/>
      <c r="F351" s="75"/>
      <c r="G351" s="400" t="s">
        <v>1048</v>
      </c>
      <c r="H351" s="400" t="s">
        <v>1964</v>
      </c>
      <c r="I351" s="207" t="s">
        <v>1965</v>
      </c>
      <c r="J351" s="155" t="str">
        <f>CONCATENATE(G351," ",H351)</f>
        <v>Monica Nerci</v>
      </c>
      <c r="K351" s="156">
        <v>3484141071</v>
      </c>
      <c r="L351" s="435"/>
      <c r="M351" s="153" t="s">
        <v>1258</v>
      </c>
      <c r="N351" s="160" t="s">
        <v>1966</v>
      </c>
      <c r="O351" s="402"/>
      <c r="P351" s="315"/>
      <c r="Q351" s="160"/>
      <c r="R351" s="403"/>
      <c r="S351" s="160"/>
      <c r="T351" s="404"/>
      <c r="U351" s="315"/>
      <c r="V351" s="315"/>
      <c r="W351" s="315"/>
      <c r="X351" s="131"/>
      <c r="Y351" s="315"/>
      <c r="Z351" s="315"/>
      <c r="AA351" s="315"/>
      <c r="AB351" s="37"/>
      <c r="AC351" s="131"/>
      <c r="AD351" s="121" t="s">
        <v>1967</v>
      </c>
      <c r="AE351" s="88"/>
      <c r="AF351" s="405"/>
      <c r="AG351" s="406"/>
      <c r="AH351" s="406"/>
      <c r="AI351" s="405"/>
      <c r="AJ351" s="155"/>
      <c r="AK351" s="155"/>
      <c r="AL351" s="155"/>
      <c r="AM351" s="407"/>
      <c r="AN351" s="155"/>
      <c r="AO351" s="155"/>
      <c r="AP351" s="155"/>
      <c r="AQ351" s="85"/>
      <c r="AR351" s="121"/>
      <c r="AS351" s="121"/>
      <c r="AT351" s="121"/>
      <c r="AU351" s="408"/>
      <c r="AV351" s="75"/>
      <c r="AW351" s="121"/>
      <c r="AX351" s="121"/>
      <c r="AY351" s="85"/>
      <c r="AZ351" s="121"/>
      <c r="BA351" s="121"/>
      <c r="BB351" s="121"/>
      <c r="BC351" s="85"/>
      <c r="BD351" s="121" t="s">
        <v>115</v>
      </c>
      <c r="BE351" s="121" t="s">
        <v>115</v>
      </c>
      <c r="BF351" s="121" t="s">
        <v>115</v>
      </c>
      <c r="BG351" s="408"/>
      <c r="BH351" s="238">
        <f>CF351+CI351+CL351+CO351+CR351</f>
        <v>2997</v>
      </c>
      <c r="BI351" s="238">
        <f>CH351+CK351+CN351+CQ351+CT351</f>
        <v>2997</v>
      </c>
      <c r="BJ351" s="238">
        <f>BH351-BI351</f>
        <v>0</v>
      </c>
      <c r="BK351" s="239"/>
      <c r="BL351" s="260"/>
      <c r="BM351" s="241"/>
      <c r="BN351" s="142"/>
      <c r="BO351" s="182">
        <v>2997</v>
      </c>
      <c r="BP351" s="105" t="s">
        <v>117</v>
      </c>
      <c r="BQ351" s="98">
        <v>0</v>
      </c>
      <c r="BR351" s="409"/>
      <c r="BS351" s="242">
        <f>BL351*BQ351</f>
        <v>0</v>
      </c>
      <c r="BT351" s="203">
        <f>BM351*BQ351</f>
        <v>0</v>
      </c>
      <c r="BU351" s="167">
        <f>BN351*BQ351</f>
        <v>0</v>
      </c>
      <c r="BV351" s="168">
        <f>BO351*BQ351</f>
        <v>0</v>
      </c>
      <c r="BW351" s="131"/>
      <c r="BX351" s="105" t="s">
        <v>152</v>
      </c>
      <c r="BY351" s="145">
        <v>0.05</v>
      </c>
      <c r="BZ351" s="110"/>
      <c r="CA351" s="242">
        <f>BL351*BY351</f>
        <v>0</v>
      </c>
      <c r="CB351" s="203">
        <f>BM351*BY351</f>
        <v>0</v>
      </c>
      <c r="CC351" s="530">
        <f>BN351*BY351</f>
        <v>0</v>
      </c>
      <c r="CD351" s="531">
        <f>BO351*BY351</f>
        <v>149.85</v>
      </c>
      <c r="CE351" s="411"/>
      <c r="CF351" s="434">
        <v>2997</v>
      </c>
      <c r="CG351" s="109">
        <v>45198</v>
      </c>
      <c r="CH351" s="434">
        <v>2997</v>
      </c>
      <c r="CI351" s="415"/>
      <c r="CJ351" s="416"/>
      <c r="CK351" s="415"/>
      <c r="CL351" s="415"/>
      <c r="CM351" s="416"/>
      <c r="CN351" s="415"/>
      <c r="CO351" s="263"/>
      <c r="CP351" s="263"/>
      <c r="CQ351" s="263"/>
      <c r="CR351" s="263"/>
      <c r="CS351" s="263"/>
      <c r="CT351" s="263"/>
      <c r="CU351" s="90">
        <v>1</v>
      </c>
      <c r="CV351" s="181"/>
      <c r="CW351" s="438"/>
      <c r="CX351" s="439"/>
      <c r="CY351" s="155"/>
      <c r="CZ351" s="121"/>
      <c r="DA351" s="424" t="s">
        <v>1968</v>
      </c>
      <c r="DB351" s="115" t="str">
        <f>PROPER(N351)</f>
        <v>Fitobucaneve</v>
      </c>
      <c r="DC351" s="280" t="s">
        <v>1969</v>
      </c>
      <c r="DD351" s="116" t="str">
        <f>BP351</f>
        <v>blackship</v>
      </c>
      <c r="DE351" s="117" t="b">
        <f>IF(OR(D351&gt;0),IF(BJ351=0,BN351*BQ351,0))</f>
        <v>0</v>
      </c>
      <c r="DF351" s="117" t="b">
        <f>IF(OR(D351&gt;0),IF(BJ351=0,BN351*BY351,0))</f>
        <v>0</v>
      </c>
      <c r="DG351" s="118" t="str">
        <f>BX351</f>
        <v>Client Angel</v>
      </c>
      <c r="DH351" s="76"/>
      <c r="DI351" s="120" t="s">
        <v>154</v>
      </c>
      <c r="DJ351" s="120"/>
      <c r="DK351" s="74" t="s">
        <v>1366</v>
      </c>
      <c r="DL351" s="74" t="s">
        <v>1399</v>
      </c>
      <c r="DM351" s="122"/>
      <c r="DN351" s="6"/>
      <c r="DO351" s="6"/>
      <c r="DP351" s="6"/>
      <c r="DQ351" s="6"/>
      <c r="DR351" s="6"/>
      <c r="DS351" s="6"/>
      <c r="DT351" s="6"/>
      <c r="DU351" s="6"/>
      <c r="DV351" s="6"/>
      <c r="DW351" s="6"/>
      <c r="DX351" s="6"/>
      <c r="DY351" s="6"/>
      <c r="DZ351" s="6"/>
    </row>
    <row r="352" spans="1:130" ht="34.5" hidden="1" customHeight="1">
      <c r="A352" s="228"/>
      <c r="B352" s="75" t="s">
        <v>1359</v>
      </c>
      <c r="C352" s="155"/>
      <c r="D352" s="75"/>
      <c r="E352" s="75"/>
      <c r="F352" s="75"/>
      <c r="G352" s="400" t="s">
        <v>188</v>
      </c>
      <c r="H352" s="400" t="s">
        <v>1964</v>
      </c>
      <c r="I352" s="449"/>
      <c r="J352" s="155" t="str">
        <f>CONCATENATE(G352," ",H352)</f>
        <v>Andrea Nerci</v>
      </c>
      <c r="K352" s="156"/>
      <c r="L352" s="435"/>
      <c r="M352" s="153"/>
      <c r="N352" s="160" t="s">
        <v>1966</v>
      </c>
      <c r="O352" s="402"/>
      <c r="P352" s="315"/>
      <c r="Q352" s="160"/>
      <c r="R352" s="403"/>
      <c r="S352" s="160"/>
      <c r="T352" s="404"/>
      <c r="U352" s="315"/>
      <c r="V352" s="315"/>
      <c r="W352" s="315"/>
      <c r="X352" s="131"/>
      <c r="Y352" s="315"/>
      <c r="Z352" s="315"/>
      <c r="AA352" s="315"/>
      <c r="AB352" s="37"/>
      <c r="AC352" s="131"/>
      <c r="AD352" s="121" t="s">
        <v>1967</v>
      </c>
      <c r="AE352" s="88"/>
      <c r="AF352" s="405"/>
      <c r="AG352" s="406"/>
      <c r="AH352" s="406"/>
      <c r="AI352" s="405"/>
      <c r="AJ352" s="155"/>
      <c r="AK352" s="155"/>
      <c r="AL352" s="155"/>
      <c r="AM352" s="407"/>
      <c r="AN352" s="155"/>
      <c r="AO352" s="155"/>
      <c r="AP352" s="155"/>
      <c r="AQ352" s="85"/>
      <c r="AR352" s="121"/>
      <c r="AS352" s="121"/>
      <c r="AT352" s="121"/>
      <c r="AU352" s="408"/>
      <c r="AV352" s="75"/>
      <c r="AW352" s="121"/>
      <c r="AX352" s="121"/>
      <c r="AY352" s="85"/>
      <c r="AZ352" s="121"/>
      <c r="BA352" s="121"/>
      <c r="BB352" s="121"/>
      <c r="BC352" s="85"/>
      <c r="BD352" s="121" t="s">
        <v>115</v>
      </c>
      <c r="BE352" s="121" t="s">
        <v>115</v>
      </c>
      <c r="BF352" s="121" t="s">
        <v>115</v>
      </c>
      <c r="BG352" s="408"/>
      <c r="BH352" s="238">
        <f>CF352+CI352+CL352+CO352+CR352</f>
        <v>2997</v>
      </c>
      <c r="BI352" s="238">
        <f>CH352+CK352+CN352+CQ352+CT352</f>
        <v>2997</v>
      </c>
      <c r="BJ352" s="238">
        <f>BH352-BI352</f>
        <v>0</v>
      </c>
      <c r="BK352" s="239"/>
      <c r="BL352" s="260"/>
      <c r="BM352" s="241"/>
      <c r="BN352" s="142"/>
      <c r="BO352" s="182">
        <v>2997</v>
      </c>
      <c r="BP352" s="105" t="s">
        <v>117</v>
      </c>
      <c r="BQ352" s="98">
        <v>0</v>
      </c>
      <c r="BR352" s="409"/>
      <c r="BS352" s="242">
        <f>BL352*BQ352</f>
        <v>0</v>
      </c>
      <c r="BT352" s="203">
        <f>BM352*BQ352</f>
        <v>0</v>
      </c>
      <c r="BU352" s="167">
        <f>BN352*BQ352</f>
        <v>0</v>
      </c>
      <c r="BV352" s="168">
        <f>BO352*BQ352</f>
        <v>0</v>
      </c>
      <c r="BW352" s="131"/>
      <c r="BX352" s="105" t="s">
        <v>152</v>
      </c>
      <c r="BY352" s="145">
        <v>0.05</v>
      </c>
      <c r="BZ352" s="110"/>
      <c r="CA352" s="242">
        <f>BL352*BY352</f>
        <v>0</v>
      </c>
      <c r="CB352" s="203">
        <f>BM352*BY352</f>
        <v>0</v>
      </c>
      <c r="CC352" s="530">
        <f>BN352*BY352</f>
        <v>0</v>
      </c>
      <c r="CD352" s="531">
        <f>BO352*BY352</f>
        <v>149.85</v>
      </c>
      <c r="CE352" s="411"/>
      <c r="CF352" s="434">
        <v>2997</v>
      </c>
      <c r="CG352" s="109">
        <v>45198</v>
      </c>
      <c r="CH352" s="434">
        <v>2997</v>
      </c>
      <c r="CI352" s="415"/>
      <c r="CJ352" s="416"/>
      <c r="CK352" s="415"/>
      <c r="CL352" s="415"/>
      <c r="CM352" s="416"/>
      <c r="CN352" s="415"/>
      <c r="CO352" s="263"/>
      <c r="CP352" s="263"/>
      <c r="CQ352" s="263"/>
      <c r="CR352" s="263"/>
      <c r="CS352" s="263"/>
      <c r="CT352" s="263"/>
      <c r="CU352" s="90">
        <v>1</v>
      </c>
      <c r="CV352" s="181"/>
      <c r="CW352" s="438"/>
      <c r="CX352" s="439"/>
      <c r="CY352" s="155"/>
      <c r="CZ352" s="121"/>
      <c r="DA352" s="424"/>
      <c r="DB352" s="115" t="str">
        <f>PROPER(N352)</f>
        <v>Fitobucaneve</v>
      </c>
      <c r="DC352" s="280"/>
      <c r="DD352" s="116" t="str">
        <f>BP352</f>
        <v>blackship</v>
      </c>
      <c r="DE352" s="117" t="b">
        <f>IF(OR(D352&gt;0),IF(BJ352=0,BN352*BQ352,0))</f>
        <v>0</v>
      </c>
      <c r="DF352" s="117" t="b">
        <f>IF(OR(D352&gt;0),IF(BJ352=0,BN352*BY352,0))</f>
        <v>0</v>
      </c>
      <c r="DG352" s="118" t="str">
        <f>BX352</f>
        <v>Client Angel</v>
      </c>
      <c r="DH352" s="76"/>
      <c r="DI352" s="120" t="s">
        <v>154</v>
      </c>
      <c r="DJ352" s="120"/>
      <c r="DK352" s="74"/>
      <c r="DL352" s="74"/>
      <c r="DM352" s="122"/>
      <c r="DN352" s="6"/>
      <c r="DO352" s="6"/>
      <c r="DP352" s="6"/>
      <c r="DQ352" s="6"/>
      <c r="DR352" s="6"/>
      <c r="DS352" s="6"/>
      <c r="DT352" s="6"/>
      <c r="DU352" s="6"/>
      <c r="DV352" s="6"/>
      <c r="DW352" s="6"/>
      <c r="DX352" s="6"/>
      <c r="DY352" s="6"/>
      <c r="DZ352" s="6"/>
    </row>
    <row r="353" spans="1:130" ht="34.5" hidden="1" customHeight="1">
      <c r="A353" s="228"/>
      <c r="B353" s="75" t="s">
        <v>1359</v>
      </c>
      <c r="C353" s="155"/>
      <c r="D353" s="75"/>
      <c r="E353" s="75"/>
      <c r="F353" s="75"/>
      <c r="G353" s="400" t="s">
        <v>1970</v>
      </c>
      <c r="H353" s="400" t="s">
        <v>1971</v>
      </c>
      <c r="I353" s="449"/>
      <c r="J353" s="155" t="str">
        <f>CONCATENATE(G353," ",H353)</f>
        <v>Danilo  Medici</v>
      </c>
      <c r="K353" s="156"/>
      <c r="L353" s="435"/>
      <c r="M353" s="153"/>
      <c r="N353" s="160" t="s">
        <v>1966</v>
      </c>
      <c r="O353" s="402"/>
      <c r="P353" s="315"/>
      <c r="Q353" s="160"/>
      <c r="R353" s="403"/>
      <c r="S353" s="160"/>
      <c r="T353" s="404"/>
      <c r="U353" s="315"/>
      <c r="V353" s="315"/>
      <c r="W353" s="315"/>
      <c r="X353" s="131"/>
      <c r="Y353" s="315"/>
      <c r="Z353" s="315"/>
      <c r="AA353" s="315"/>
      <c r="AB353" s="37"/>
      <c r="AC353" s="131"/>
      <c r="AD353" s="121" t="s">
        <v>1967</v>
      </c>
      <c r="AE353" s="88"/>
      <c r="AF353" s="405"/>
      <c r="AG353" s="406"/>
      <c r="AH353" s="406"/>
      <c r="AI353" s="405"/>
      <c r="AJ353" s="155"/>
      <c r="AK353" s="155"/>
      <c r="AL353" s="155"/>
      <c r="AM353" s="407"/>
      <c r="AN353" s="155"/>
      <c r="AO353" s="155"/>
      <c r="AP353" s="155"/>
      <c r="AQ353" s="85"/>
      <c r="AR353" s="121"/>
      <c r="AS353" s="121"/>
      <c r="AT353" s="121"/>
      <c r="AU353" s="408"/>
      <c r="AV353" s="75"/>
      <c r="AW353" s="121"/>
      <c r="AX353" s="121"/>
      <c r="AY353" s="85"/>
      <c r="AZ353" s="121"/>
      <c r="BA353" s="121"/>
      <c r="BB353" s="121"/>
      <c r="BC353" s="85"/>
      <c r="BD353" s="121" t="s">
        <v>115</v>
      </c>
      <c r="BE353" s="121" t="s">
        <v>115</v>
      </c>
      <c r="BF353" s="121" t="s">
        <v>115</v>
      </c>
      <c r="BG353" s="408"/>
      <c r="BH353" s="238">
        <f>CF353+CI353+CL353+CO353+CR353</f>
        <v>2997</v>
      </c>
      <c r="BI353" s="238">
        <f>CH353+CK353+CN353+CQ353+CT353</f>
        <v>2997</v>
      </c>
      <c r="BJ353" s="238">
        <f>BH353-BI353</f>
        <v>0</v>
      </c>
      <c r="BK353" s="239"/>
      <c r="BL353" s="260"/>
      <c r="BM353" s="241"/>
      <c r="BN353" s="142"/>
      <c r="BO353" s="182">
        <v>2997</v>
      </c>
      <c r="BP353" s="105" t="s">
        <v>117</v>
      </c>
      <c r="BQ353" s="98">
        <v>0</v>
      </c>
      <c r="BR353" s="409"/>
      <c r="BS353" s="242">
        <f>BL353*BQ353</f>
        <v>0</v>
      </c>
      <c r="BT353" s="203">
        <f>BM353*BQ353</f>
        <v>0</v>
      </c>
      <c r="BU353" s="167">
        <f>BN353*BQ353</f>
        <v>0</v>
      </c>
      <c r="BV353" s="168">
        <f>BO353*BQ353</f>
        <v>0</v>
      </c>
      <c r="BW353" s="131"/>
      <c r="BX353" s="105" t="s">
        <v>152</v>
      </c>
      <c r="BY353" s="145">
        <v>0.05</v>
      </c>
      <c r="BZ353" s="110"/>
      <c r="CA353" s="242">
        <f>BL353*BY353</f>
        <v>0</v>
      </c>
      <c r="CB353" s="203">
        <f>BM353*BY353</f>
        <v>0</v>
      </c>
      <c r="CC353" s="530">
        <f>BN353*BY353</f>
        <v>0</v>
      </c>
      <c r="CD353" s="531">
        <f>BO353*BY353</f>
        <v>149.85</v>
      </c>
      <c r="CE353" s="411"/>
      <c r="CF353" s="434">
        <v>2997</v>
      </c>
      <c r="CG353" s="109">
        <v>45198</v>
      </c>
      <c r="CH353" s="434">
        <v>2997</v>
      </c>
      <c r="CI353" s="415"/>
      <c r="CJ353" s="416"/>
      <c r="CK353" s="415"/>
      <c r="CL353" s="415"/>
      <c r="CM353" s="416"/>
      <c r="CN353" s="415"/>
      <c r="CO353" s="263"/>
      <c r="CP353" s="263"/>
      <c r="CQ353" s="263"/>
      <c r="CR353" s="263"/>
      <c r="CS353" s="263"/>
      <c r="CT353" s="263"/>
      <c r="CU353" s="90">
        <v>1</v>
      </c>
      <c r="CV353" s="181"/>
      <c r="CW353" s="438"/>
      <c r="CX353" s="439"/>
      <c r="CY353" s="155"/>
      <c r="CZ353" s="121"/>
      <c r="DA353" s="424"/>
      <c r="DB353" s="115" t="str">
        <f>PROPER(N353)</f>
        <v>Fitobucaneve</v>
      </c>
      <c r="DC353" s="280"/>
      <c r="DD353" s="116" t="str">
        <f>BP353</f>
        <v>blackship</v>
      </c>
      <c r="DE353" s="117" t="b">
        <f>IF(OR(D353&gt;0),IF(BJ353=0,BN353*BQ353,0))</f>
        <v>0</v>
      </c>
      <c r="DF353" s="117" t="b">
        <f>IF(OR(D353&gt;0),IF(BJ353=0,BN353*BY353,0))</f>
        <v>0</v>
      </c>
      <c r="DG353" s="118" t="str">
        <f>BX353</f>
        <v>Client Angel</v>
      </c>
      <c r="DH353" s="76"/>
      <c r="DI353" s="120" t="s">
        <v>154</v>
      </c>
      <c r="DJ353" s="120"/>
      <c r="DK353" s="74"/>
      <c r="DL353" s="74"/>
      <c r="DM353" s="122"/>
      <c r="DN353" s="6"/>
      <c r="DO353" s="6"/>
      <c r="DP353" s="6"/>
      <c r="DQ353" s="6"/>
      <c r="DR353" s="6"/>
      <c r="DS353" s="6"/>
      <c r="DT353" s="6"/>
      <c r="DU353" s="6"/>
      <c r="DV353" s="6"/>
      <c r="DW353" s="6"/>
      <c r="DX353" s="6"/>
      <c r="DY353" s="6"/>
      <c r="DZ353" s="6"/>
    </row>
    <row r="354" spans="1:130" ht="34.5" hidden="1" customHeight="1">
      <c r="A354" s="228"/>
      <c r="B354" s="75" t="s">
        <v>1359</v>
      </c>
      <c r="C354" s="155"/>
      <c r="D354" s="75">
        <v>1</v>
      </c>
      <c r="E354" s="75">
        <v>1</v>
      </c>
      <c r="F354" s="75"/>
      <c r="G354" s="400" t="s">
        <v>1972</v>
      </c>
      <c r="H354" s="400" t="s">
        <v>1973</v>
      </c>
      <c r="I354" s="207" t="s">
        <v>1974</v>
      </c>
      <c r="J354" s="121" t="str">
        <f>CONCATENATE(G354," ",H354)</f>
        <v>Monica Silvia Scolari</v>
      </c>
      <c r="K354" s="156">
        <v>3355795212</v>
      </c>
      <c r="L354" s="435"/>
      <c r="M354" s="153" t="s">
        <v>333</v>
      </c>
      <c r="N354" s="160" t="s">
        <v>1975</v>
      </c>
      <c r="O354" s="402"/>
      <c r="P354" s="315"/>
      <c r="Q354" s="160"/>
      <c r="R354" s="403"/>
      <c r="S354" s="160"/>
      <c r="T354" s="404"/>
      <c r="U354" s="315"/>
      <c r="V354" s="315"/>
      <c r="W354" s="315"/>
      <c r="X354" s="131"/>
      <c r="Y354" s="315"/>
      <c r="Z354" s="315"/>
      <c r="AA354" s="315"/>
      <c r="AB354" s="37"/>
      <c r="AC354" s="131"/>
      <c r="AD354" s="121" t="s">
        <v>1976</v>
      </c>
      <c r="AE354" s="88"/>
      <c r="AF354" s="405"/>
      <c r="AG354" s="406"/>
      <c r="AH354" s="406"/>
      <c r="AI354" s="405"/>
      <c r="AJ354" s="155"/>
      <c r="AK354" s="155"/>
      <c r="AL354" s="155"/>
      <c r="AM354" s="407"/>
      <c r="AN354" s="155"/>
      <c r="AO354" s="155"/>
      <c r="AP354" s="155"/>
      <c r="AQ354" s="85"/>
      <c r="AR354" s="121"/>
      <c r="AS354" s="121"/>
      <c r="AT354" s="121"/>
      <c r="AU354" s="408"/>
      <c r="AV354" s="121"/>
      <c r="AW354" s="121"/>
      <c r="AX354" s="121"/>
      <c r="AY354" s="85"/>
      <c r="AZ354" s="121" t="s">
        <v>115</v>
      </c>
      <c r="BA354" s="121" t="s">
        <v>115</v>
      </c>
      <c r="BB354" s="135" t="s">
        <v>115</v>
      </c>
      <c r="BC354" s="85"/>
      <c r="BD354" s="121"/>
      <c r="BE354" s="121"/>
      <c r="BF354" s="121"/>
      <c r="BG354" s="408"/>
      <c r="BH354" s="238">
        <f>CF354+CI354+CL354+CO354+CR354</f>
        <v>2997</v>
      </c>
      <c r="BI354" s="238">
        <f>CH354+CK354+CN354+CQ354+CT354</f>
        <v>2997</v>
      </c>
      <c r="BJ354" s="238">
        <f>BH354-BI354</f>
        <v>0</v>
      </c>
      <c r="BK354" s="239"/>
      <c r="BL354" s="260"/>
      <c r="BM354" s="241"/>
      <c r="BN354" s="142">
        <v>2997</v>
      </c>
      <c r="BO354" s="182"/>
      <c r="BP354" s="80" t="s">
        <v>184</v>
      </c>
      <c r="BQ354" s="98">
        <v>0.15</v>
      </c>
      <c r="BR354" s="409"/>
      <c r="BS354" s="242">
        <f>BL354*BQ354</f>
        <v>0</v>
      </c>
      <c r="BT354" s="203">
        <f>BM354*BQ354</f>
        <v>0</v>
      </c>
      <c r="BU354" s="167">
        <f>BN354*BQ354</f>
        <v>449.55</v>
      </c>
      <c r="BV354" s="168">
        <f>BO354*BQ354</f>
        <v>0</v>
      </c>
      <c r="BW354" s="84" t="s">
        <v>185</v>
      </c>
      <c r="BX354" s="105" t="s">
        <v>184</v>
      </c>
      <c r="BY354" s="145">
        <v>0.05</v>
      </c>
      <c r="BZ354" s="110"/>
      <c r="CA354" s="242">
        <f>BL354*BY354</f>
        <v>0</v>
      </c>
      <c r="CB354" s="203">
        <f>BM354*BY354</f>
        <v>0</v>
      </c>
      <c r="CC354" s="530">
        <f>BN354*BY354</f>
        <v>149.85</v>
      </c>
      <c r="CD354" s="531">
        <f>BO354*BY354</f>
        <v>0</v>
      </c>
      <c r="CE354" s="84" t="s">
        <v>185</v>
      </c>
      <c r="CF354" s="108">
        <v>2997</v>
      </c>
      <c r="CG354" s="109">
        <v>45198</v>
      </c>
      <c r="CH354" s="108">
        <v>2997</v>
      </c>
      <c r="CI354" s="415"/>
      <c r="CJ354" s="416"/>
      <c r="CK354" s="415"/>
      <c r="CL354" s="415"/>
      <c r="CM354" s="416"/>
      <c r="CN354" s="415"/>
      <c r="CO354" s="263"/>
      <c r="CP354" s="263"/>
      <c r="CQ354" s="263"/>
      <c r="CR354" s="263"/>
      <c r="CS354" s="263"/>
      <c r="CT354" s="263"/>
      <c r="CU354" s="90">
        <v>1</v>
      </c>
      <c r="CV354" s="181"/>
      <c r="CW354" s="438"/>
      <c r="CX354" s="439"/>
      <c r="CY354" s="155"/>
      <c r="CZ354" s="121"/>
      <c r="DA354" s="481" t="s">
        <v>1977</v>
      </c>
      <c r="DB354" s="115" t="str">
        <f>PROPER(N354)</f>
        <v>Stamber</v>
      </c>
      <c r="DC354" s="280" t="s">
        <v>1978</v>
      </c>
      <c r="DD354" s="116" t="str">
        <f>BP354</f>
        <v>Cristian A</v>
      </c>
      <c r="DE354" s="117">
        <f>IF(OR(D354&gt;0),IF(BJ354=0,BN354*BQ354,0))</f>
        <v>449.55</v>
      </c>
      <c r="DF354" s="117">
        <f>IF(OR(D354&gt;0),IF(BJ354=0,BN354*BY354,0))</f>
        <v>149.85</v>
      </c>
      <c r="DG354" s="118" t="str">
        <f>BX354</f>
        <v>Cristian A</v>
      </c>
      <c r="DH354" s="76"/>
      <c r="DI354" s="120" t="s">
        <v>126</v>
      </c>
      <c r="DJ354" s="120"/>
      <c r="DK354" s="74" t="s">
        <v>1366</v>
      </c>
      <c r="DL354" s="74" t="s">
        <v>1366</v>
      </c>
      <c r="DM354" s="122">
        <v>1</v>
      </c>
      <c r="DN354" s="6"/>
      <c r="DO354" s="6"/>
      <c r="DP354" s="6"/>
      <c r="DQ354" s="6"/>
      <c r="DR354" s="6"/>
      <c r="DS354" s="6"/>
      <c r="DT354" s="6"/>
      <c r="DU354" s="6"/>
      <c r="DV354" s="6"/>
      <c r="DW354" s="6"/>
      <c r="DX354" s="6"/>
      <c r="DY354" s="6"/>
      <c r="DZ354" s="6"/>
    </row>
    <row r="355" spans="1:130" ht="34.5" hidden="1" customHeight="1">
      <c r="A355" s="228"/>
      <c r="B355" s="75" t="s">
        <v>1359</v>
      </c>
      <c r="C355" s="155"/>
      <c r="D355" s="75"/>
      <c r="E355" s="75">
        <v>1</v>
      </c>
      <c r="F355" s="75"/>
      <c r="G355" s="400" t="s">
        <v>1883</v>
      </c>
      <c r="H355" s="400" t="s">
        <v>1884</v>
      </c>
      <c r="I355" s="207" t="s">
        <v>1879</v>
      </c>
      <c r="J355" s="121" t="str">
        <f>CONCATENATE(G355," ",H355)</f>
        <v>Moreno Broglioni</v>
      </c>
      <c r="K355" s="156">
        <v>3382685629</v>
      </c>
      <c r="L355" s="152" t="s">
        <v>1493</v>
      </c>
      <c r="M355" s="153"/>
      <c r="N355" s="160" t="s">
        <v>1880</v>
      </c>
      <c r="O355" s="402"/>
      <c r="P355" s="315"/>
      <c r="Q355" s="160"/>
      <c r="R355" s="403"/>
      <c r="S355" s="160"/>
      <c r="T355" s="404"/>
      <c r="U355" s="315"/>
      <c r="V355" s="315"/>
      <c r="W355" s="315"/>
      <c r="X355" s="131"/>
      <c r="Y355" s="315"/>
      <c r="Z355" s="315"/>
      <c r="AA355" s="315"/>
      <c r="AB355" s="37"/>
      <c r="AC355" s="131"/>
      <c r="AD355" s="121" t="s">
        <v>1881</v>
      </c>
      <c r="AE355" s="88"/>
      <c r="AF355" s="405"/>
      <c r="AG355" s="406"/>
      <c r="AH355" s="406"/>
      <c r="AI355" s="405"/>
      <c r="AJ355" s="155"/>
      <c r="AK355" s="155"/>
      <c r="AL355" s="155"/>
      <c r="AM355" s="407"/>
      <c r="AN355" s="155"/>
      <c r="AO355" s="155"/>
      <c r="AP355" s="155"/>
      <c r="AQ355" s="85"/>
      <c r="AR355" s="121"/>
      <c r="AS355" s="121"/>
      <c r="AT355" s="121"/>
      <c r="AU355" s="408"/>
      <c r="AV355" s="121"/>
      <c r="AW355" s="121"/>
      <c r="AX355" s="121"/>
      <c r="AY355" s="85"/>
      <c r="AZ355" s="121"/>
      <c r="BA355" s="121" t="s">
        <v>115</v>
      </c>
      <c r="BB355" s="135" t="s">
        <v>115</v>
      </c>
      <c r="BC355" s="85"/>
      <c r="BD355" s="121" t="s">
        <v>115</v>
      </c>
      <c r="BE355" s="121"/>
      <c r="BF355" s="121"/>
      <c r="BG355" s="408"/>
      <c r="BH355" s="238">
        <f>CF355+CI355+CL355+CO355+CR355</f>
        <v>2397</v>
      </c>
      <c r="BI355" s="238">
        <f>CH355+CK355+CN355+CQ355+CT355</f>
        <v>2397</v>
      </c>
      <c r="BJ355" s="238">
        <f>BH355-BI355</f>
        <v>0</v>
      </c>
      <c r="BK355" s="239"/>
      <c r="BL355" s="260"/>
      <c r="BM355" s="241"/>
      <c r="BN355" s="142">
        <v>2397</v>
      </c>
      <c r="BO355" s="182"/>
      <c r="BP355" s="2040" t="s">
        <v>1496</v>
      </c>
      <c r="BQ355" s="145">
        <v>0.15</v>
      </c>
      <c r="BR355" s="480"/>
      <c r="BS355" s="381">
        <f>BL355*BQ355</f>
        <v>0</v>
      </c>
      <c r="BT355" s="168">
        <f>BM355*BQ355</f>
        <v>0</v>
      </c>
      <c r="BU355" s="530">
        <f>BN355*BQ355</f>
        <v>359.55</v>
      </c>
      <c r="BV355" s="168">
        <f>BO355*BQ355</f>
        <v>0</v>
      </c>
      <c r="BW355" s="80"/>
      <c r="BX355" s="441" t="s">
        <v>525</v>
      </c>
      <c r="BY355" s="145">
        <v>0.05</v>
      </c>
      <c r="BZ355" s="110"/>
      <c r="CA355" s="242">
        <f>BL355*BY355</f>
        <v>0</v>
      </c>
      <c r="CB355" s="203">
        <f>BM355*BY355</f>
        <v>0</v>
      </c>
      <c r="CC355" s="530">
        <f>BN355*BY355</f>
        <v>119.85000000000001</v>
      </c>
      <c r="CD355" s="531">
        <f>BO355*BY355</f>
        <v>0</v>
      </c>
      <c r="CE355" s="411"/>
      <c r="CF355" s="108">
        <v>2397</v>
      </c>
      <c r="CG355" s="109">
        <v>45198</v>
      </c>
      <c r="CH355" s="108">
        <v>2397</v>
      </c>
      <c r="CI355" s="415"/>
      <c r="CJ355" s="416"/>
      <c r="CK355" s="415"/>
      <c r="CL355" s="415"/>
      <c r="CM355" s="416"/>
      <c r="CN355" s="415"/>
      <c r="CO355" s="263"/>
      <c r="CP355" s="263"/>
      <c r="CQ355" s="263"/>
      <c r="CR355" s="263"/>
      <c r="CS355" s="263"/>
      <c r="CT355" s="263"/>
      <c r="CU355" s="90">
        <v>1</v>
      </c>
      <c r="CV355" s="181"/>
      <c r="CW355" s="438"/>
      <c r="CX355" s="439"/>
      <c r="CY355" s="155"/>
      <c r="CZ355" s="121"/>
      <c r="DA355" s="424" t="s">
        <v>1312</v>
      </c>
      <c r="DB355" s="115" t="str">
        <f>PROPER(N355)</f>
        <v>Autofficina Meccanica Broglioni</v>
      </c>
      <c r="DC355" s="280" t="s">
        <v>1882</v>
      </c>
      <c r="DD355" s="116" t="str">
        <f>BP355</f>
        <v>Patrizia Sabatino</v>
      </c>
      <c r="DE355" s="117" t="b">
        <f>IF(OR(D355&gt;0),IF(BJ355=0,BN355*BQ355,0))</f>
        <v>0</v>
      </c>
      <c r="DF355" s="117" t="b">
        <f>IF(OR(D355&gt;0),IF(BJ355=0,BN355*BY355,0))</f>
        <v>0</v>
      </c>
      <c r="DG355" s="118" t="str">
        <f>BX355</f>
        <v>Bruno</v>
      </c>
      <c r="DH355" s="76"/>
      <c r="DI355" s="120" t="s">
        <v>126</v>
      </c>
      <c r="DJ355" s="120"/>
      <c r="DK355" s="74" t="s">
        <v>1399</v>
      </c>
      <c r="DL355" s="74" t="s">
        <v>1399</v>
      </c>
      <c r="DM355" s="122">
        <v>1</v>
      </c>
      <c r="DN355" s="6"/>
      <c r="DO355" s="6"/>
      <c r="DP355" s="6"/>
      <c r="DQ355" s="6"/>
      <c r="DR355" s="6"/>
      <c r="DS355" s="6"/>
      <c r="DT355" s="6"/>
      <c r="DU355" s="6"/>
      <c r="DV355" s="6"/>
      <c r="DW355" s="6"/>
      <c r="DX355" s="6"/>
      <c r="DY355" s="6"/>
      <c r="DZ355" s="6"/>
    </row>
    <row r="356" spans="1:130" ht="34.5" hidden="1" customHeight="1">
      <c r="A356" s="228"/>
      <c r="B356" s="75" t="s">
        <v>1359</v>
      </c>
      <c r="C356" s="155"/>
      <c r="D356" s="75">
        <v>1</v>
      </c>
      <c r="E356" s="75">
        <v>1</v>
      </c>
      <c r="F356" s="75"/>
      <c r="G356" s="400" t="s">
        <v>1756</v>
      </c>
      <c r="H356" s="400" t="s">
        <v>1757</v>
      </c>
      <c r="I356" s="207" t="s">
        <v>1758</v>
      </c>
      <c r="J356" s="121" t="str">
        <f>CONCATENATE(G356," ",H356)</f>
        <v>Nicholas Egidi</v>
      </c>
      <c r="K356" s="156">
        <v>3458009858</v>
      </c>
      <c r="L356" s="423"/>
      <c r="M356" s="153" t="s">
        <v>1759</v>
      </c>
      <c r="N356" s="160" t="s">
        <v>1191</v>
      </c>
      <c r="O356" s="402"/>
      <c r="P356" s="315"/>
      <c r="Q356" s="160"/>
      <c r="R356" s="403"/>
      <c r="S356" s="160"/>
      <c r="T356" s="404"/>
      <c r="U356" s="315"/>
      <c r="V356" s="315"/>
      <c r="W356" s="315"/>
      <c r="X356" s="131"/>
      <c r="Y356" s="315"/>
      <c r="Z356" s="315"/>
      <c r="AA356" s="315"/>
      <c r="AB356" s="37"/>
      <c r="AC356" s="131"/>
      <c r="AD356" s="121" t="s">
        <v>1755</v>
      </c>
      <c r="AE356" s="88"/>
      <c r="AF356" s="405"/>
      <c r="AG356" s="406"/>
      <c r="AH356" s="406"/>
      <c r="AI356" s="405"/>
      <c r="AJ356" s="155"/>
      <c r="AK356" s="155"/>
      <c r="AL356" s="155"/>
      <c r="AM356" s="407"/>
      <c r="AN356" s="155"/>
      <c r="AO356" s="155"/>
      <c r="AP356" s="155"/>
      <c r="AQ356" s="85"/>
      <c r="AR356" s="121"/>
      <c r="AS356" s="121"/>
      <c r="AT356" s="121"/>
      <c r="AU356" s="408"/>
      <c r="AV356" s="121"/>
      <c r="AW356" s="121"/>
      <c r="AX356" s="121"/>
      <c r="AY356" s="85"/>
      <c r="AZ356" s="121" t="s">
        <v>115</v>
      </c>
      <c r="BA356" s="121" t="s">
        <v>115</v>
      </c>
      <c r="BB356" s="135" t="s">
        <v>115</v>
      </c>
      <c r="BC356" s="85"/>
      <c r="BD356" s="121"/>
      <c r="BE356" s="121"/>
      <c r="BF356" s="121"/>
      <c r="BG356" s="408"/>
      <c r="BH356" s="238">
        <f>CF356+CI356+CL356+CO356+CR356</f>
        <v>2797</v>
      </c>
      <c r="BI356" s="238">
        <f>CH356+CK356+CN356+CQ356+CT356</f>
        <v>2797</v>
      </c>
      <c r="BJ356" s="238">
        <f>BH356-BI356</f>
        <v>0</v>
      </c>
      <c r="BK356" s="239"/>
      <c r="BL356" s="260"/>
      <c r="BM356" s="241"/>
      <c r="BN356" s="142">
        <v>2797</v>
      </c>
      <c r="BO356" s="182"/>
      <c r="BP356" s="105" t="s">
        <v>407</v>
      </c>
      <c r="BQ356" s="98">
        <v>0.15</v>
      </c>
      <c r="BR356" s="409"/>
      <c r="BS356" s="242">
        <f>BL356*BQ356</f>
        <v>0</v>
      </c>
      <c r="BT356" s="203">
        <f>BM356*BQ356</f>
        <v>0</v>
      </c>
      <c r="BU356" s="167">
        <f>BN356*BQ356</f>
        <v>419.55</v>
      </c>
      <c r="BV356" s="168">
        <f>BO356*BQ356</f>
        <v>0</v>
      </c>
      <c r="BW356" s="160" t="s">
        <v>185</v>
      </c>
      <c r="BX356" s="105" t="s">
        <v>407</v>
      </c>
      <c r="BY356" s="145">
        <v>0.05</v>
      </c>
      <c r="BZ356" s="110"/>
      <c r="CA356" s="242">
        <f>BL356*BY356</f>
        <v>0</v>
      </c>
      <c r="CB356" s="203">
        <f>BM356*BY356</f>
        <v>0</v>
      </c>
      <c r="CC356" s="530">
        <f>BN356*BY356</f>
        <v>139.85</v>
      </c>
      <c r="CD356" s="531">
        <f>BO356*BY356</f>
        <v>0</v>
      </c>
      <c r="CE356" s="84" t="s">
        <v>185</v>
      </c>
      <c r="CF356" s="108">
        <v>2797</v>
      </c>
      <c r="CG356" s="109">
        <v>45198</v>
      </c>
      <c r="CH356" s="108">
        <v>2797</v>
      </c>
      <c r="CI356" s="415"/>
      <c r="CJ356" s="416"/>
      <c r="CK356" s="415"/>
      <c r="CL356" s="415"/>
      <c r="CM356" s="416"/>
      <c r="CN356" s="415"/>
      <c r="CO356" s="263"/>
      <c r="CP356" s="263"/>
      <c r="CQ356" s="263"/>
      <c r="CR356" s="263"/>
      <c r="CS356" s="263"/>
      <c r="CT356" s="263"/>
      <c r="CU356" s="90">
        <v>1</v>
      </c>
      <c r="CV356" s="181"/>
      <c r="CW356" s="438"/>
      <c r="CX356" s="439"/>
      <c r="CY356" s="155"/>
      <c r="CZ356" s="121"/>
      <c r="DA356" s="426" t="s">
        <v>1193</v>
      </c>
      <c r="DB356" s="115" t="s">
        <v>1194</v>
      </c>
      <c r="DC356" s="280" t="s">
        <v>1195</v>
      </c>
      <c r="DD356" s="116" t="str">
        <f>BP356</f>
        <v>Stefano</v>
      </c>
      <c r="DE356" s="117">
        <f>IF(OR(D356&gt;0),IF(BJ356=0,BN356*BQ356,0))</f>
        <v>419.55</v>
      </c>
      <c r="DF356" s="117">
        <f>IF(OR(D356&gt;0),IF(BJ356=0,BN356*BY356,0))</f>
        <v>139.85</v>
      </c>
      <c r="DG356" s="118" t="str">
        <f>BX356</f>
        <v>Stefano</v>
      </c>
      <c r="DH356" s="76"/>
      <c r="DI356" s="120" t="s">
        <v>126</v>
      </c>
      <c r="DJ356" s="120"/>
      <c r="DK356" s="74" t="s">
        <v>1366</v>
      </c>
      <c r="DL356" s="74" t="s">
        <v>1366</v>
      </c>
      <c r="DM356" s="122">
        <v>1</v>
      </c>
      <c r="DN356" s="6"/>
      <c r="DO356" s="6"/>
      <c r="DP356" s="6"/>
      <c r="DQ356" s="6"/>
      <c r="DR356" s="6"/>
      <c r="DS356" s="6"/>
      <c r="DT356" s="6"/>
      <c r="DU356" s="6"/>
      <c r="DV356" s="6"/>
      <c r="DW356" s="6"/>
      <c r="DX356" s="6"/>
      <c r="DY356" s="6"/>
      <c r="DZ356" s="6"/>
    </row>
    <row r="357" spans="1:130" ht="34.5" hidden="1" customHeight="1">
      <c r="A357" s="228"/>
      <c r="B357" s="75" t="s">
        <v>1359</v>
      </c>
      <c r="C357" s="155"/>
      <c r="D357" s="75"/>
      <c r="E357" s="75">
        <v>1</v>
      </c>
      <c r="F357" s="75"/>
      <c r="G357" s="400" t="s">
        <v>127</v>
      </c>
      <c r="H357" s="400" t="s">
        <v>1983</v>
      </c>
      <c r="I357" s="207" t="s">
        <v>1984</v>
      </c>
      <c r="J357" s="121" t="str">
        <f>CONCATENATE(G357," ",H357)</f>
        <v>Nicola Carnaroli</v>
      </c>
      <c r="K357" s="156">
        <v>3404854626</v>
      </c>
      <c r="L357" s="435"/>
      <c r="M357" s="153" t="s">
        <v>1148</v>
      </c>
      <c r="N357" s="160" t="s">
        <v>1985</v>
      </c>
      <c r="O357" s="402"/>
      <c r="P357" s="315"/>
      <c r="Q357" s="160"/>
      <c r="R357" s="403"/>
      <c r="S357" s="160"/>
      <c r="T357" s="404"/>
      <c r="U357" s="315"/>
      <c r="V357" s="315"/>
      <c r="W357" s="315"/>
      <c r="X357" s="131"/>
      <c r="Y357" s="315"/>
      <c r="Z357" s="315"/>
      <c r="AA357" s="315"/>
      <c r="AB357" s="37"/>
      <c r="AC357" s="131"/>
      <c r="AD357" s="121" t="s">
        <v>1986</v>
      </c>
      <c r="AE357" s="88"/>
      <c r="AF357" s="405"/>
      <c r="AG357" s="406"/>
      <c r="AH357" s="406"/>
      <c r="AI357" s="405"/>
      <c r="AJ357" s="155"/>
      <c r="AK357" s="155"/>
      <c r="AL357" s="155"/>
      <c r="AM357" s="407"/>
      <c r="AN357" s="155"/>
      <c r="AO357" s="155"/>
      <c r="AP357" s="155"/>
      <c r="AQ357" s="85"/>
      <c r="AR357" s="121"/>
      <c r="AS357" s="121"/>
      <c r="AT357" s="121"/>
      <c r="AU357" s="408"/>
      <c r="AV357" s="121"/>
      <c r="AW357" s="121"/>
      <c r="AX357" s="121"/>
      <c r="AY357" s="85"/>
      <c r="AZ357" s="121"/>
      <c r="BA357" s="121" t="s">
        <v>115</v>
      </c>
      <c r="BB357" s="135" t="s">
        <v>115</v>
      </c>
      <c r="BC357" s="85"/>
      <c r="BD357" s="121" t="s">
        <v>115</v>
      </c>
      <c r="BE357" s="121"/>
      <c r="BF357" s="121"/>
      <c r="BG357" s="408"/>
      <c r="BH357" s="238">
        <f>CF357+CI357+CL357+CO357+CR357</f>
        <v>2997</v>
      </c>
      <c r="BI357" s="238">
        <f>CH357+CK357+CN357+CQ357+CT357</f>
        <v>2997</v>
      </c>
      <c r="BJ357" s="238">
        <f>BH357-BI357</f>
        <v>0</v>
      </c>
      <c r="BK357" s="239"/>
      <c r="BL357" s="260"/>
      <c r="BM357" s="241"/>
      <c r="BN357" s="142">
        <v>2997</v>
      </c>
      <c r="BO357" s="182"/>
      <c r="BP357" s="105" t="s">
        <v>287</v>
      </c>
      <c r="BQ357" s="98">
        <v>0.15</v>
      </c>
      <c r="BR357" s="409"/>
      <c r="BS357" s="242">
        <f>BL357*BQ357</f>
        <v>0</v>
      </c>
      <c r="BT357" s="203">
        <f>BM357*BQ357</f>
        <v>0</v>
      </c>
      <c r="BU357" s="167">
        <f>BN357*BQ357</f>
        <v>449.55</v>
      </c>
      <c r="BV357" s="168">
        <f>BO357*BQ357</f>
        <v>0</v>
      </c>
      <c r="BW357" s="131"/>
      <c r="BX357" s="105" t="s">
        <v>287</v>
      </c>
      <c r="BY357" s="145">
        <v>0.05</v>
      </c>
      <c r="BZ357" s="110"/>
      <c r="CA357" s="242">
        <f>BL357*BY357</f>
        <v>0</v>
      </c>
      <c r="CB357" s="203">
        <f>BM357*BY357</f>
        <v>0</v>
      </c>
      <c r="CC357" s="530">
        <f>BN357*BY357</f>
        <v>149.85</v>
      </c>
      <c r="CD357" s="531">
        <f>BO357*BY357</f>
        <v>0</v>
      </c>
      <c r="CE357" s="244"/>
      <c r="CF357" s="108">
        <v>2997</v>
      </c>
      <c r="CG357" s="109">
        <v>45198</v>
      </c>
      <c r="CH357" s="108">
        <v>2997</v>
      </c>
      <c r="CI357" s="415"/>
      <c r="CJ357" s="416"/>
      <c r="CK357" s="415"/>
      <c r="CL357" s="415"/>
      <c r="CM357" s="416"/>
      <c r="CN357" s="415"/>
      <c r="CO357" s="263"/>
      <c r="CP357" s="263"/>
      <c r="CQ357" s="263"/>
      <c r="CR357" s="263"/>
      <c r="CS357" s="263"/>
      <c r="CT357" s="263"/>
      <c r="CU357" s="90">
        <v>1</v>
      </c>
      <c r="CV357" s="181"/>
      <c r="CW357" s="438"/>
      <c r="CX357" s="439"/>
      <c r="CY357" s="155"/>
      <c r="CZ357" s="121"/>
      <c r="DA357" s="424"/>
      <c r="DB357" s="115" t="str">
        <f>PROPER(N357)</f>
        <v>Pharma Lab</v>
      </c>
      <c r="DC357" s="280" t="s">
        <v>1987</v>
      </c>
      <c r="DD357" s="116" t="str">
        <f>BP357</f>
        <v>Riccardo</v>
      </c>
      <c r="DE357" s="117" t="b">
        <f>IF(OR(D357&gt;0),IF(BJ357=0,BN357*BQ357,0))</f>
        <v>0</v>
      </c>
      <c r="DF357" s="117" t="b">
        <f>IF(OR(D357&gt;0),IF(BJ357=0,BN357*BY357,0))</f>
        <v>0</v>
      </c>
      <c r="DG357" s="118" t="str">
        <f>BX357</f>
        <v>Riccardo</v>
      </c>
      <c r="DH357" s="76"/>
      <c r="DI357" s="120" t="s">
        <v>126</v>
      </c>
      <c r="DJ357" s="120"/>
      <c r="DK357" s="74" t="s">
        <v>1399</v>
      </c>
      <c r="DL357" s="74" t="s">
        <v>1399</v>
      </c>
      <c r="DM357" s="122"/>
      <c r="DN357" s="6"/>
      <c r="DO357" s="6"/>
      <c r="DP357" s="6"/>
      <c r="DQ357" s="6"/>
      <c r="DR357" s="6"/>
      <c r="DS357" s="6"/>
      <c r="DT357" s="6"/>
      <c r="DU357" s="6"/>
      <c r="DV357" s="6"/>
      <c r="DW357" s="6"/>
      <c r="DX357" s="6"/>
      <c r="DY357" s="6"/>
      <c r="DZ357" s="6"/>
    </row>
    <row r="358" spans="1:130" ht="34.5" hidden="1" customHeight="1">
      <c r="A358" s="228"/>
      <c r="B358" s="75" t="s">
        <v>1359</v>
      </c>
      <c r="C358" s="155"/>
      <c r="D358" s="75"/>
      <c r="E358" s="75"/>
      <c r="F358" s="75"/>
      <c r="G358" s="400" t="s">
        <v>950</v>
      </c>
      <c r="H358" s="400" t="s">
        <v>1994</v>
      </c>
      <c r="I358" s="207" t="s">
        <v>1995</v>
      </c>
      <c r="J358" s="155" t="str">
        <f>CONCATENATE(G358," ",H358)</f>
        <v>Paola Baravalle</v>
      </c>
      <c r="K358" s="156">
        <v>3351989159</v>
      </c>
      <c r="L358" s="535" t="s">
        <v>1996</v>
      </c>
      <c r="M358" s="153"/>
      <c r="N358" s="160"/>
      <c r="O358" s="402"/>
      <c r="P358" s="315"/>
      <c r="Q358" s="160"/>
      <c r="R358" s="403"/>
      <c r="S358" s="160"/>
      <c r="T358" s="404"/>
      <c r="U358" s="315"/>
      <c r="V358" s="315"/>
      <c r="W358" s="315"/>
      <c r="X358" s="131"/>
      <c r="Y358" s="315"/>
      <c r="Z358" s="315"/>
      <c r="AA358" s="315"/>
      <c r="AB358" s="37"/>
      <c r="AC358" s="131"/>
      <c r="AD358" s="121"/>
      <c r="AE358" s="88"/>
      <c r="AF358" s="405"/>
      <c r="AG358" s="406"/>
      <c r="AH358" s="406"/>
      <c r="AI358" s="405"/>
      <c r="AJ358" s="155"/>
      <c r="AK358" s="155"/>
      <c r="AL358" s="155"/>
      <c r="AM358" s="407"/>
      <c r="AN358" s="155"/>
      <c r="AO358" s="155"/>
      <c r="AP358" s="155"/>
      <c r="AQ358" s="85"/>
      <c r="AR358" s="121"/>
      <c r="AS358" s="121"/>
      <c r="AT358" s="121"/>
      <c r="AU358" s="408"/>
      <c r="AV358" s="121"/>
      <c r="AW358" s="121"/>
      <c r="AX358" s="121"/>
      <c r="AY358" s="85"/>
      <c r="AZ358" s="121"/>
      <c r="BA358" s="121"/>
      <c r="BB358" s="121"/>
      <c r="BC358" s="85"/>
      <c r="BD358" s="121" t="s">
        <v>1997</v>
      </c>
      <c r="BE358" s="121" t="s">
        <v>1997</v>
      </c>
      <c r="BF358" s="121" t="s">
        <v>1997</v>
      </c>
      <c r="BG358" s="408"/>
      <c r="BH358" s="238">
        <f>CF358+CI358+CL358+CO358+CR358</f>
        <v>0</v>
      </c>
      <c r="BI358" s="238">
        <f>CH358+CK358+CN358+CQ358+CT358</f>
        <v>0</v>
      </c>
      <c r="BJ358" s="238">
        <f>BH358-BI358</f>
        <v>0</v>
      </c>
      <c r="BK358" s="239"/>
      <c r="BL358" s="260"/>
      <c r="BM358" s="241"/>
      <c r="BN358" s="142"/>
      <c r="BO358" s="182"/>
      <c r="BP358" s="105" t="s">
        <v>262</v>
      </c>
      <c r="BQ358" s="98">
        <v>0.15</v>
      </c>
      <c r="BR358" s="409"/>
      <c r="BS358" s="242">
        <f>BL358*BQ358</f>
        <v>0</v>
      </c>
      <c r="BT358" s="203">
        <f>BM358*BQ358</f>
        <v>0</v>
      </c>
      <c r="BU358" s="167">
        <f>BN358*BQ358</f>
        <v>0</v>
      </c>
      <c r="BV358" s="168">
        <f>BO358*BQ358</f>
        <v>0</v>
      </c>
      <c r="BW358" s="131"/>
      <c r="BX358" s="105" t="s">
        <v>262</v>
      </c>
      <c r="BY358" s="145">
        <v>0.05</v>
      </c>
      <c r="BZ358" s="110"/>
      <c r="CA358" s="242">
        <f>BL358*BY358</f>
        <v>0</v>
      </c>
      <c r="CB358" s="203">
        <f>BM358*BY358</f>
        <v>0</v>
      </c>
      <c r="CC358" s="530">
        <f>BN358*BY358</f>
        <v>0</v>
      </c>
      <c r="CD358" s="531">
        <f>BO358*BY358</f>
        <v>0</v>
      </c>
      <c r="CE358" s="411"/>
      <c r="CF358" s="108">
        <v>0</v>
      </c>
      <c r="CG358" s="130" t="s">
        <v>153</v>
      </c>
      <c r="CH358" s="414"/>
      <c r="CI358" s="415"/>
      <c r="CJ358" s="416"/>
      <c r="CK358" s="415"/>
      <c r="CL358" s="415"/>
      <c r="CM358" s="416"/>
      <c r="CN358" s="415"/>
      <c r="CO358" s="263"/>
      <c r="CP358" s="263"/>
      <c r="CQ358" s="263"/>
      <c r="CR358" s="263"/>
      <c r="CS358" s="263"/>
      <c r="CT358" s="263"/>
      <c r="CU358" s="90">
        <v>1</v>
      </c>
      <c r="CV358" s="181"/>
      <c r="CW358" s="438"/>
      <c r="CX358" s="439"/>
      <c r="CY358" s="155"/>
      <c r="CZ358" s="121"/>
      <c r="DA358" s="424"/>
      <c r="DB358" s="115" t="str">
        <f>PROPER(N358)</f>
        <v/>
      </c>
      <c r="DC358" s="280" t="s">
        <v>264</v>
      </c>
      <c r="DD358" s="116" t="str">
        <f>BP358</f>
        <v>Pacci</v>
      </c>
      <c r="DE358" s="117" t="b">
        <f>IF(OR(D358&gt;0),IF(BJ358=0,BN358*BQ358,0))</f>
        <v>0</v>
      </c>
      <c r="DF358" s="117" t="b">
        <f>IF(OR(D358&gt;0),IF(BJ358=0,BN358*BY358,0))</f>
        <v>0</v>
      </c>
      <c r="DG358" s="118" t="str">
        <f>BX358</f>
        <v>Pacci</v>
      </c>
      <c r="DH358" s="76"/>
      <c r="DI358" s="120" t="s">
        <v>154</v>
      </c>
      <c r="DJ358" s="120"/>
      <c r="DK358" s="74" t="s">
        <v>1418</v>
      </c>
      <c r="DL358" s="74" t="s">
        <v>1418</v>
      </c>
      <c r="DM358" s="122"/>
      <c r="DN358" s="6"/>
      <c r="DO358" s="6"/>
      <c r="DP358" s="6"/>
      <c r="DQ358" s="6"/>
      <c r="DR358" s="6"/>
      <c r="DS358" s="6"/>
      <c r="DT358" s="6"/>
      <c r="DU358" s="6"/>
      <c r="DV358" s="6"/>
      <c r="DW358" s="6"/>
      <c r="DX358" s="6"/>
      <c r="DY358" s="6"/>
      <c r="DZ358" s="6"/>
    </row>
    <row r="359" spans="1:130" ht="34.5" hidden="1" customHeight="1">
      <c r="A359" s="228"/>
      <c r="B359" s="371" t="s">
        <v>1359</v>
      </c>
      <c r="C359" s="155"/>
      <c r="D359" s="75"/>
      <c r="E359" s="75"/>
      <c r="F359" s="75"/>
      <c r="G359" s="400" t="s">
        <v>1998</v>
      </c>
      <c r="H359" s="400" t="s">
        <v>1999</v>
      </c>
      <c r="I359" s="207" t="s">
        <v>2000</v>
      </c>
      <c r="J359" s="155" t="str">
        <f>CONCATENATE(G359," ",H359)</f>
        <v>Elena  Tolone</v>
      </c>
      <c r="K359" s="156">
        <v>3396354258</v>
      </c>
      <c r="L359" s="430" t="s">
        <v>2001</v>
      </c>
      <c r="M359" s="153"/>
      <c r="N359" s="160"/>
      <c r="O359" s="402"/>
      <c r="P359" s="315"/>
      <c r="Q359" s="160"/>
      <c r="R359" s="403"/>
      <c r="S359" s="160"/>
      <c r="T359" s="404"/>
      <c r="U359" s="315"/>
      <c r="V359" s="315"/>
      <c r="W359" s="315"/>
      <c r="X359" s="131"/>
      <c r="Y359" s="315"/>
      <c r="Z359" s="315"/>
      <c r="AA359" s="315"/>
      <c r="AB359" s="37"/>
      <c r="AC359" s="131"/>
      <c r="AD359" s="121"/>
      <c r="AE359" s="88"/>
      <c r="AF359" s="405"/>
      <c r="AG359" s="406"/>
      <c r="AH359" s="406"/>
      <c r="AI359" s="405"/>
      <c r="AJ359" s="155"/>
      <c r="AK359" s="155"/>
      <c r="AL359" s="155"/>
      <c r="AM359" s="407"/>
      <c r="AN359" s="155"/>
      <c r="AO359" s="155"/>
      <c r="AP359" s="155"/>
      <c r="AQ359" s="85"/>
      <c r="AR359" s="121"/>
      <c r="AS359" s="121"/>
      <c r="AT359" s="121"/>
      <c r="AU359" s="408"/>
      <c r="AV359" s="121"/>
      <c r="AW359" s="121"/>
      <c r="AX359" s="121"/>
      <c r="AY359" s="85"/>
      <c r="AZ359" s="121"/>
      <c r="BA359" s="121"/>
      <c r="BB359" s="121"/>
      <c r="BC359" s="85"/>
      <c r="BD359" s="121" t="s">
        <v>151</v>
      </c>
      <c r="BE359" s="121" t="s">
        <v>151</v>
      </c>
      <c r="BF359" s="121" t="s">
        <v>151</v>
      </c>
      <c r="BG359" s="408"/>
      <c r="BH359" s="238">
        <f>CF359+CI359+CL359+CO359+CR359</f>
        <v>0</v>
      </c>
      <c r="BI359" s="238">
        <f>CH359+CK359+CN359+CQ359+CT359</f>
        <v>0</v>
      </c>
      <c r="BJ359" s="238">
        <f>BH359-BI359</f>
        <v>0</v>
      </c>
      <c r="BK359" s="239"/>
      <c r="BL359" s="260"/>
      <c r="BM359" s="241"/>
      <c r="BN359" s="142"/>
      <c r="BO359" s="182"/>
      <c r="BP359" s="105" t="s">
        <v>262</v>
      </c>
      <c r="BQ359" s="98">
        <v>0.15</v>
      </c>
      <c r="BR359" s="409"/>
      <c r="BS359" s="242">
        <f>BL359*BQ359</f>
        <v>0</v>
      </c>
      <c r="BT359" s="203">
        <f>BM359*BQ359</f>
        <v>0</v>
      </c>
      <c r="BU359" s="167">
        <f>BN359*BQ359</f>
        <v>0</v>
      </c>
      <c r="BV359" s="168">
        <f>BO359*BQ359</f>
        <v>0</v>
      </c>
      <c r="BW359" s="131"/>
      <c r="BX359" s="105" t="s">
        <v>262</v>
      </c>
      <c r="BY359" s="145">
        <v>0.05</v>
      </c>
      <c r="BZ359" s="110"/>
      <c r="CA359" s="242">
        <f>BL359*BY359</f>
        <v>0</v>
      </c>
      <c r="CB359" s="203">
        <f>BM359*BY359</f>
        <v>0</v>
      </c>
      <c r="CC359" s="530">
        <f>BN359*BY359</f>
        <v>0</v>
      </c>
      <c r="CD359" s="531">
        <f>BO359*BY359</f>
        <v>0</v>
      </c>
      <c r="CE359" s="411"/>
      <c r="CF359" s="108">
        <v>0</v>
      </c>
      <c r="CG359" s="130" t="s">
        <v>153</v>
      </c>
      <c r="CH359" s="414"/>
      <c r="CI359" s="415"/>
      <c r="CJ359" s="416"/>
      <c r="CK359" s="415"/>
      <c r="CL359" s="415"/>
      <c r="CM359" s="416"/>
      <c r="CN359" s="415"/>
      <c r="CO359" s="263"/>
      <c r="CP359" s="263"/>
      <c r="CQ359" s="263"/>
      <c r="CR359" s="263"/>
      <c r="CS359" s="263"/>
      <c r="CT359" s="263"/>
      <c r="CU359" s="90">
        <v>1</v>
      </c>
      <c r="CV359" s="181"/>
      <c r="CW359" s="438"/>
      <c r="CX359" s="439"/>
      <c r="CY359" s="155"/>
      <c r="CZ359" s="121"/>
      <c r="DA359" s="424"/>
      <c r="DB359" s="115"/>
      <c r="DC359" s="280"/>
      <c r="DD359" s="116" t="str">
        <f>BP359</f>
        <v>Pacci</v>
      </c>
      <c r="DE359" s="117" t="b">
        <f>IF(OR(D359&gt;0),IF(BJ359=0,BN359*BQ359,0))</f>
        <v>0</v>
      </c>
      <c r="DF359" s="117" t="b">
        <f>IF(OR(D359&gt;0),IF(BJ359=0,BN359*BY359,0))</f>
        <v>0</v>
      </c>
      <c r="DG359" s="118" t="str">
        <f>BX359</f>
        <v>Pacci</v>
      </c>
      <c r="DH359" s="76"/>
      <c r="DI359" s="120" t="s">
        <v>154</v>
      </c>
      <c r="DJ359" s="120"/>
      <c r="DK359" s="74"/>
      <c r="DL359" s="74"/>
      <c r="DM359" s="122"/>
      <c r="DN359" s="6"/>
      <c r="DO359" s="6"/>
      <c r="DP359" s="6"/>
      <c r="DQ359" s="6"/>
      <c r="DR359" s="6"/>
      <c r="DS359" s="6"/>
      <c r="DT359" s="6"/>
      <c r="DU359" s="6"/>
      <c r="DV359" s="6"/>
      <c r="DW359" s="6"/>
      <c r="DX359" s="6"/>
      <c r="DY359" s="6"/>
      <c r="DZ359" s="6"/>
    </row>
    <row r="360" spans="1:130" ht="34.5" hidden="1" customHeight="1">
      <c r="A360" s="228"/>
      <c r="B360" s="75" t="s">
        <v>1359</v>
      </c>
      <c r="C360" s="155"/>
      <c r="D360" s="75"/>
      <c r="E360" s="75"/>
      <c r="F360" s="75"/>
      <c r="G360" s="420" t="s">
        <v>2002</v>
      </c>
      <c r="H360" s="420"/>
      <c r="I360" s="449"/>
      <c r="J360" s="155" t="str">
        <f>CONCATENATE(G360," ",H360)</f>
        <v xml:space="preserve">2 Partecipante di Paola Baravalle </v>
      </c>
      <c r="K360" s="156"/>
      <c r="L360" s="430"/>
      <c r="M360" s="153"/>
      <c r="N360" s="160"/>
      <c r="O360" s="402"/>
      <c r="P360" s="315"/>
      <c r="Q360" s="160"/>
      <c r="R360" s="403"/>
      <c r="S360" s="160"/>
      <c r="T360" s="404"/>
      <c r="U360" s="315"/>
      <c r="V360" s="315"/>
      <c r="W360" s="315"/>
      <c r="X360" s="131"/>
      <c r="Y360" s="315"/>
      <c r="Z360" s="315"/>
      <c r="AA360" s="315"/>
      <c r="AB360" s="37"/>
      <c r="AC360" s="131"/>
      <c r="AD360" s="121"/>
      <c r="AE360" s="88"/>
      <c r="AF360" s="405"/>
      <c r="AG360" s="406"/>
      <c r="AH360" s="406"/>
      <c r="AI360" s="405"/>
      <c r="AJ360" s="155"/>
      <c r="AK360" s="155"/>
      <c r="AL360" s="155"/>
      <c r="AM360" s="407"/>
      <c r="AN360" s="155"/>
      <c r="AO360" s="155"/>
      <c r="AP360" s="155"/>
      <c r="AQ360" s="85"/>
      <c r="AR360" s="121"/>
      <c r="AS360" s="121"/>
      <c r="AT360" s="121"/>
      <c r="AU360" s="408"/>
      <c r="AV360" s="121"/>
      <c r="AW360" s="121"/>
      <c r="AX360" s="121"/>
      <c r="AY360" s="85"/>
      <c r="AZ360" s="121"/>
      <c r="BA360" s="121"/>
      <c r="BB360" s="121"/>
      <c r="BC360" s="85"/>
      <c r="BD360" s="121" t="s">
        <v>151</v>
      </c>
      <c r="BE360" s="121" t="s">
        <v>151</v>
      </c>
      <c r="BF360" s="121" t="s">
        <v>151</v>
      </c>
      <c r="BG360" s="408"/>
      <c r="BH360" s="238">
        <f>CF360+CI360+CL360+CO360+CR360</f>
        <v>0</v>
      </c>
      <c r="BI360" s="238">
        <f>CH360+CK360+CN360+CQ360+CT360</f>
        <v>0</v>
      </c>
      <c r="BJ360" s="238">
        <f>BH360-BI360</f>
        <v>0</v>
      </c>
      <c r="BK360" s="239"/>
      <c r="BL360" s="260"/>
      <c r="BM360" s="241"/>
      <c r="BN360" s="142"/>
      <c r="BO360" s="182"/>
      <c r="BP360" s="105" t="s">
        <v>262</v>
      </c>
      <c r="BQ360" s="98">
        <v>0.15</v>
      </c>
      <c r="BR360" s="409"/>
      <c r="BS360" s="242">
        <f>BL360*BQ360</f>
        <v>0</v>
      </c>
      <c r="BT360" s="203">
        <f>BM360*BQ360</f>
        <v>0</v>
      </c>
      <c r="BU360" s="167">
        <f>BN360*BQ360</f>
        <v>0</v>
      </c>
      <c r="BV360" s="168">
        <f>BO360*BQ360</f>
        <v>0</v>
      </c>
      <c r="BW360" s="131"/>
      <c r="BX360" s="105" t="s">
        <v>262</v>
      </c>
      <c r="BY360" s="145">
        <v>0.05</v>
      </c>
      <c r="BZ360" s="110"/>
      <c r="CA360" s="242">
        <f>BL360*BY360</f>
        <v>0</v>
      </c>
      <c r="CB360" s="203">
        <f>BM360*BY360</f>
        <v>0</v>
      </c>
      <c r="CC360" s="530">
        <f>BN360*BY360</f>
        <v>0</v>
      </c>
      <c r="CD360" s="531">
        <f>BO360*BY360</f>
        <v>0</v>
      </c>
      <c r="CE360" s="411"/>
      <c r="CF360" s="108">
        <v>0</v>
      </c>
      <c r="CG360" s="130" t="s">
        <v>153</v>
      </c>
      <c r="CH360" s="414"/>
      <c r="CI360" s="415"/>
      <c r="CJ360" s="416"/>
      <c r="CK360" s="415"/>
      <c r="CL360" s="415"/>
      <c r="CM360" s="416"/>
      <c r="CN360" s="415"/>
      <c r="CO360" s="263"/>
      <c r="CP360" s="263"/>
      <c r="CQ360" s="263"/>
      <c r="CR360" s="263"/>
      <c r="CS360" s="263"/>
      <c r="CT360" s="263"/>
      <c r="CU360" s="90">
        <v>1</v>
      </c>
      <c r="CV360" s="181"/>
      <c r="CW360" s="438"/>
      <c r="CX360" s="439"/>
      <c r="CY360" s="155"/>
      <c r="CZ360" s="121"/>
      <c r="DA360" s="424"/>
      <c r="DB360" s="115"/>
      <c r="DC360" s="280"/>
      <c r="DD360" s="116" t="str">
        <f>BP360</f>
        <v>Pacci</v>
      </c>
      <c r="DE360" s="117" t="b">
        <f>IF(OR(D360&gt;0),IF(BJ360=0,BN360*BQ360,0))</f>
        <v>0</v>
      </c>
      <c r="DF360" s="117" t="b">
        <f>IF(OR(D360&gt;0),IF(BJ360=0,BN360*BY360,0))</f>
        <v>0</v>
      </c>
      <c r="DG360" s="118" t="str">
        <f>BX360</f>
        <v>Pacci</v>
      </c>
      <c r="DH360" s="76"/>
      <c r="DI360" s="120" t="s">
        <v>154</v>
      </c>
      <c r="DJ360" s="120"/>
      <c r="DK360" s="74"/>
      <c r="DL360" s="74"/>
      <c r="DM360" s="122"/>
      <c r="DN360" s="6"/>
      <c r="DO360" s="6"/>
      <c r="DP360" s="6"/>
      <c r="DQ360" s="6"/>
      <c r="DR360" s="6"/>
      <c r="DS360" s="6"/>
      <c r="DT360" s="6"/>
      <c r="DU360" s="6"/>
      <c r="DV360" s="6"/>
      <c r="DW360" s="6"/>
      <c r="DX360" s="6"/>
      <c r="DY360" s="6"/>
      <c r="DZ360" s="6"/>
    </row>
    <row r="361" spans="1:130" ht="34.5" hidden="1" customHeight="1">
      <c r="A361" s="228"/>
      <c r="B361" s="75" t="s">
        <v>1359</v>
      </c>
      <c r="C361" s="155"/>
      <c r="D361" s="75"/>
      <c r="E361" s="75"/>
      <c r="F361" s="75"/>
      <c r="G361" s="420" t="s">
        <v>2003</v>
      </c>
      <c r="H361" s="420"/>
      <c r="I361" s="449"/>
      <c r="J361" s="155" t="str">
        <f>CONCATENATE(G361," ",H361)</f>
        <v xml:space="preserve">3 Partecipante di Paola Baravalle </v>
      </c>
      <c r="K361" s="156"/>
      <c r="L361" s="430"/>
      <c r="M361" s="153"/>
      <c r="N361" s="160"/>
      <c r="O361" s="402"/>
      <c r="P361" s="315"/>
      <c r="Q361" s="160"/>
      <c r="R361" s="403"/>
      <c r="S361" s="160"/>
      <c r="T361" s="404"/>
      <c r="U361" s="315"/>
      <c r="V361" s="315"/>
      <c r="W361" s="315"/>
      <c r="X361" s="131"/>
      <c r="Y361" s="315"/>
      <c r="Z361" s="315"/>
      <c r="AA361" s="315"/>
      <c r="AB361" s="37"/>
      <c r="AC361" s="131"/>
      <c r="AD361" s="121"/>
      <c r="AE361" s="88"/>
      <c r="AF361" s="405"/>
      <c r="AG361" s="406"/>
      <c r="AH361" s="406"/>
      <c r="AI361" s="405"/>
      <c r="AJ361" s="155"/>
      <c r="AK361" s="155"/>
      <c r="AL361" s="155"/>
      <c r="AM361" s="407"/>
      <c r="AN361" s="155"/>
      <c r="AO361" s="155"/>
      <c r="AP361" s="155"/>
      <c r="AQ361" s="85"/>
      <c r="AR361" s="121"/>
      <c r="AS361" s="121"/>
      <c r="AT361" s="121"/>
      <c r="AU361" s="408"/>
      <c r="AV361" s="121"/>
      <c r="AW361" s="121"/>
      <c r="AX361" s="121"/>
      <c r="AY361" s="85"/>
      <c r="AZ361" s="121"/>
      <c r="BA361" s="121"/>
      <c r="BB361" s="121"/>
      <c r="BC361" s="85"/>
      <c r="BD361" s="121" t="s">
        <v>151</v>
      </c>
      <c r="BE361" s="121" t="s">
        <v>151</v>
      </c>
      <c r="BF361" s="121" t="s">
        <v>151</v>
      </c>
      <c r="BG361" s="408"/>
      <c r="BH361" s="238">
        <f>CF361+CI361+CL361+CO361+CR361</f>
        <v>0</v>
      </c>
      <c r="BI361" s="238">
        <f>CH361+CK361+CN361+CQ361+CT361</f>
        <v>0</v>
      </c>
      <c r="BJ361" s="238">
        <f>BH361-BI361</f>
        <v>0</v>
      </c>
      <c r="BK361" s="239"/>
      <c r="BL361" s="260"/>
      <c r="BM361" s="241"/>
      <c r="BN361" s="142"/>
      <c r="BO361" s="182"/>
      <c r="BP361" s="105" t="s">
        <v>262</v>
      </c>
      <c r="BQ361" s="98">
        <v>0.15</v>
      </c>
      <c r="BR361" s="409"/>
      <c r="BS361" s="242">
        <f>BL361*BQ361</f>
        <v>0</v>
      </c>
      <c r="BT361" s="203">
        <f>BM361*BQ361</f>
        <v>0</v>
      </c>
      <c r="BU361" s="167">
        <f>BN361*BQ361</f>
        <v>0</v>
      </c>
      <c r="BV361" s="168">
        <f>BO361*BQ361</f>
        <v>0</v>
      </c>
      <c r="BW361" s="131"/>
      <c r="BX361" s="105" t="s">
        <v>262</v>
      </c>
      <c r="BY361" s="145">
        <v>0.05</v>
      </c>
      <c r="BZ361" s="110"/>
      <c r="CA361" s="242">
        <f>BL361*BY361</f>
        <v>0</v>
      </c>
      <c r="CB361" s="203">
        <f>BM361*BY361</f>
        <v>0</v>
      </c>
      <c r="CC361" s="530">
        <f>BN361*BY361</f>
        <v>0</v>
      </c>
      <c r="CD361" s="531">
        <f>BO361*BY361</f>
        <v>0</v>
      </c>
      <c r="CE361" s="411"/>
      <c r="CF361" s="108">
        <v>0</v>
      </c>
      <c r="CG361" s="130" t="s">
        <v>153</v>
      </c>
      <c r="CH361" s="414"/>
      <c r="CI361" s="415"/>
      <c r="CJ361" s="416"/>
      <c r="CK361" s="415"/>
      <c r="CL361" s="415"/>
      <c r="CM361" s="416"/>
      <c r="CN361" s="415"/>
      <c r="CO361" s="263"/>
      <c r="CP361" s="263"/>
      <c r="CQ361" s="263"/>
      <c r="CR361" s="263"/>
      <c r="CS361" s="263"/>
      <c r="CT361" s="263"/>
      <c r="CU361" s="90">
        <v>1</v>
      </c>
      <c r="CV361" s="181"/>
      <c r="CW361" s="438"/>
      <c r="CX361" s="439"/>
      <c r="CY361" s="155"/>
      <c r="CZ361" s="121"/>
      <c r="DA361" s="424"/>
      <c r="DB361" s="115"/>
      <c r="DC361" s="280"/>
      <c r="DD361" s="116" t="str">
        <f>BP361</f>
        <v>Pacci</v>
      </c>
      <c r="DE361" s="117" t="b">
        <f>IF(OR(D361&gt;0),IF(BJ361=0,BN361*BQ361,0))</f>
        <v>0</v>
      </c>
      <c r="DF361" s="117" t="b">
        <f>IF(OR(D361&gt;0),IF(BJ361=0,BN361*BY361,0))</f>
        <v>0</v>
      </c>
      <c r="DG361" s="118" t="str">
        <f>BX361</f>
        <v>Pacci</v>
      </c>
      <c r="DH361" s="76"/>
      <c r="DI361" s="120" t="s">
        <v>154</v>
      </c>
      <c r="DJ361" s="120"/>
      <c r="DK361" s="74"/>
      <c r="DL361" s="74"/>
      <c r="DM361" s="122"/>
      <c r="DN361" s="6"/>
      <c r="DO361" s="6"/>
      <c r="DP361" s="6"/>
      <c r="DQ361" s="6"/>
      <c r="DR361" s="6"/>
      <c r="DS361" s="6"/>
      <c r="DT361" s="6"/>
      <c r="DU361" s="6"/>
      <c r="DV361" s="6"/>
      <c r="DW361" s="6"/>
      <c r="DX361" s="6"/>
      <c r="DY361" s="6"/>
      <c r="DZ361" s="6"/>
    </row>
    <row r="362" spans="1:130" ht="34.5" hidden="1" customHeight="1">
      <c r="A362" s="228"/>
      <c r="B362" s="75" t="s">
        <v>1359</v>
      </c>
      <c r="C362" s="155"/>
      <c r="D362" s="75"/>
      <c r="E362" s="75">
        <v>1</v>
      </c>
      <c r="F362" s="75"/>
      <c r="G362" s="400" t="s">
        <v>127</v>
      </c>
      <c r="H362" s="400" t="s">
        <v>1601</v>
      </c>
      <c r="I362" s="207" t="s">
        <v>1606</v>
      </c>
      <c r="J362" s="121" t="str">
        <f>CONCATENATE(G362," ",H362)</f>
        <v>Nicola Grandi</v>
      </c>
      <c r="K362" s="156">
        <v>3534044587</v>
      </c>
      <c r="L362" s="435"/>
      <c r="M362" s="1893" t="s">
        <v>1177</v>
      </c>
      <c r="N362" s="160" t="s">
        <v>1603</v>
      </c>
      <c r="O362" s="402"/>
      <c r="P362" s="315"/>
      <c r="Q362" s="160"/>
      <c r="R362" s="403"/>
      <c r="S362" s="160"/>
      <c r="T362" s="404"/>
      <c r="U362" s="315"/>
      <c r="V362" s="315"/>
      <c r="W362" s="315"/>
      <c r="X362" s="131"/>
      <c r="Y362" s="315"/>
      <c r="Z362" s="315"/>
      <c r="AA362" s="315"/>
      <c r="AB362" s="37"/>
      <c r="AC362" s="131"/>
      <c r="AD362" s="121" t="s">
        <v>1607</v>
      </c>
      <c r="AE362" s="88"/>
      <c r="AF362" s="405"/>
      <c r="AG362" s="406"/>
      <c r="AH362" s="406"/>
      <c r="AI362" s="405"/>
      <c r="AJ362" s="155"/>
      <c r="AK362" s="155"/>
      <c r="AL362" s="155"/>
      <c r="AM362" s="407"/>
      <c r="AN362" s="155"/>
      <c r="AO362" s="155"/>
      <c r="AP362" s="155"/>
      <c r="AQ362" s="85"/>
      <c r="AR362" s="121"/>
      <c r="AS362" s="121"/>
      <c r="AT362" s="121"/>
      <c r="AU362" s="408"/>
      <c r="AV362" s="121"/>
      <c r="AW362" s="121"/>
      <c r="AX362" s="121"/>
      <c r="AY362" s="85"/>
      <c r="AZ362" s="121"/>
      <c r="BA362" s="121" t="s">
        <v>115</v>
      </c>
      <c r="BB362" s="135" t="s">
        <v>115</v>
      </c>
      <c r="BC362" s="85"/>
      <c r="BD362" s="121" t="s">
        <v>115</v>
      </c>
      <c r="BE362" s="121"/>
      <c r="BF362" s="121"/>
      <c r="BG362" s="408"/>
      <c r="BH362" s="238">
        <f>CF362+CI362+CL362+CO362+CR362</f>
        <v>3497.0000000000005</v>
      </c>
      <c r="BI362" s="238">
        <f>CH362+CK362+CN362+CQ362+CT362</f>
        <v>3497.0000000000005</v>
      </c>
      <c r="BJ362" s="238">
        <f>BH362-BI362</f>
        <v>0</v>
      </c>
      <c r="BK362" s="239"/>
      <c r="BL362" s="260"/>
      <c r="BM362" s="241"/>
      <c r="BN362" s="142">
        <v>3497</v>
      </c>
      <c r="BO362" s="182"/>
      <c r="BP362" s="105" t="s">
        <v>407</v>
      </c>
      <c r="BQ362" s="98">
        <v>0.15</v>
      </c>
      <c r="BR362" s="409"/>
      <c r="BS362" s="242">
        <f>BL362*BQ362</f>
        <v>0</v>
      </c>
      <c r="BT362" s="203">
        <f>BM362*BQ362</f>
        <v>0</v>
      </c>
      <c r="BU362" s="167">
        <f>BN362*BQ362</f>
        <v>524.54999999999995</v>
      </c>
      <c r="BV362" s="168">
        <f>BO362*BQ362</f>
        <v>0</v>
      </c>
      <c r="BW362" s="80"/>
      <c r="BX362" s="105" t="s">
        <v>407</v>
      </c>
      <c r="BY362" s="145">
        <v>0.05</v>
      </c>
      <c r="BZ362" s="110"/>
      <c r="CA362" s="242">
        <f>BL362*BY362</f>
        <v>0</v>
      </c>
      <c r="CB362" s="203">
        <f>BM362*BY362</f>
        <v>0</v>
      </c>
      <c r="CC362" s="530">
        <f>BN362*BY362</f>
        <v>174.85000000000002</v>
      </c>
      <c r="CD362" s="531">
        <f>BO362*BY362</f>
        <v>0</v>
      </c>
      <c r="CE362" s="411"/>
      <c r="CF362" s="108">
        <f>200/1.22</f>
        <v>163.9344262295082</v>
      </c>
      <c r="CG362" s="109">
        <v>45198</v>
      </c>
      <c r="CH362" s="108">
        <f>200/1.22</f>
        <v>163.9344262295082</v>
      </c>
      <c r="CI362" s="110">
        <f>1720/1.22</f>
        <v>1409.8360655737706</v>
      </c>
      <c r="CJ362" s="226">
        <v>45205</v>
      </c>
      <c r="CK362" s="110">
        <f>1720/1.22</f>
        <v>1409.8360655737706</v>
      </c>
      <c r="CL362" s="110">
        <f>2346.34/1.22</f>
        <v>1923.2295081967216</v>
      </c>
      <c r="CM362" s="226">
        <v>45233</v>
      </c>
      <c r="CN362" s="110">
        <f>2346.34/1.22</f>
        <v>1923.2295081967216</v>
      </c>
      <c r="CO362" s="263"/>
      <c r="CP362" s="263"/>
      <c r="CQ362" s="263"/>
      <c r="CR362" s="263"/>
      <c r="CS362" s="263"/>
      <c r="CT362" s="263"/>
      <c r="CU362" s="90">
        <v>1</v>
      </c>
      <c r="CV362" s="181"/>
      <c r="CW362" s="438"/>
      <c r="CX362" s="439"/>
      <c r="CY362" s="155"/>
      <c r="CZ362" s="121"/>
      <c r="DA362" s="424" t="s">
        <v>1605</v>
      </c>
      <c r="DB362" s="115" t="str">
        <f>PROPER(N362)</f>
        <v>Rassicura</v>
      </c>
      <c r="DC362" s="280" t="s">
        <v>1195</v>
      </c>
      <c r="DD362" s="116" t="str">
        <f>BP362</f>
        <v>Stefano</v>
      </c>
      <c r="DE362" s="117" t="b">
        <f>IF(OR(D362&gt;0),IF(BJ362=0,BN362*BQ362,0))</f>
        <v>0</v>
      </c>
      <c r="DF362" s="117" t="b">
        <f>IF(OR(D362&gt;0),IF(BJ362=0,BN362*BY362,0))</f>
        <v>0</v>
      </c>
      <c r="DG362" s="118" t="str">
        <f>BX362</f>
        <v>Stefano</v>
      </c>
      <c r="DH362" s="76"/>
      <c r="DI362" s="120" t="s">
        <v>126</v>
      </c>
      <c r="DJ362" s="120"/>
      <c r="DK362" s="74" t="s">
        <v>1399</v>
      </c>
      <c r="DL362" s="74" t="s">
        <v>1399</v>
      </c>
      <c r="DM362" s="122">
        <v>1</v>
      </c>
      <c r="DN362" s="6"/>
      <c r="DO362" s="6"/>
      <c r="DP362" s="6"/>
      <c r="DQ362" s="6"/>
      <c r="DR362" s="6"/>
      <c r="DS362" s="6"/>
      <c r="DT362" s="6"/>
      <c r="DU362" s="6"/>
      <c r="DV362" s="6"/>
      <c r="DW362" s="6"/>
      <c r="DX362" s="6"/>
      <c r="DY362" s="6"/>
      <c r="DZ362" s="6"/>
    </row>
    <row r="363" spans="1:130" ht="34.5" hidden="1" customHeight="1">
      <c r="A363" s="3"/>
      <c r="B363" s="75" t="s">
        <v>108</v>
      </c>
      <c r="C363" s="121"/>
      <c r="D363" s="75"/>
      <c r="E363" s="75"/>
      <c r="F363" s="75"/>
      <c r="G363" s="140" t="s">
        <v>127</v>
      </c>
      <c r="H363" s="79" t="s">
        <v>128</v>
      </c>
      <c r="I363" s="131" t="s">
        <v>129</v>
      </c>
      <c r="J363" s="179" t="str">
        <f>CONCATENATE(G363," ",H363)</f>
        <v>Nicola Larcher</v>
      </c>
      <c r="K363" s="156">
        <v>3400660711</v>
      </c>
      <c r="L363" s="157"/>
      <c r="M363" s="176" t="s">
        <v>130</v>
      </c>
      <c r="N363" s="160" t="s">
        <v>131</v>
      </c>
      <c r="O363" s="407"/>
      <c r="P363" s="1941"/>
      <c r="Q363" s="86"/>
      <c r="R363" s="86"/>
      <c r="S363" s="86"/>
      <c r="T363" s="1953"/>
      <c r="U363" s="1941"/>
      <c r="V363" s="1941"/>
      <c r="W363" s="1941"/>
      <c r="X363" s="86"/>
      <c r="Y363" s="1960"/>
      <c r="Z363" s="1941"/>
      <c r="AA363" s="1941"/>
      <c r="AB363" s="86"/>
      <c r="AC363" s="86"/>
      <c r="AD363" s="86" t="s">
        <v>132</v>
      </c>
      <c r="AE363" s="88">
        <f>L363</f>
        <v>0</v>
      </c>
      <c r="AF363" s="407"/>
      <c r="AG363" s="121"/>
      <c r="AH363" s="121"/>
      <c r="AI363" s="407"/>
      <c r="AJ363" s="121"/>
      <c r="AK363" s="121"/>
      <c r="AL363" s="121"/>
      <c r="AM363" s="407"/>
      <c r="AN363" s="155"/>
      <c r="AO363" s="155"/>
      <c r="AP363" s="155"/>
      <c r="AQ363" s="1982"/>
      <c r="AR363" s="121"/>
      <c r="AS363" s="121"/>
      <c r="AT363" s="121"/>
      <c r="AU363" s="408"/>
      <c r="AV363" s="121" t="s">
        <v>115</v>
      </c>
      <c r="AW363" s="121" t="s">
        <v>115</v>
      </c>
      <c r="AX363" s="124"/>
      <c r="AY363" s="1982"/>
      <c r="AZ363" s="121"/>
      <c r="BA363" s="121"/>
      <c r="BB363" s="121" t="s">
        <v>115</v>
      </c>
      <c r="BC363" s="1982"/>
      <c r="BD363" s="121"/>
      <c r="BE363" s="121"/>
      <c r="BF363" s="121"/>
      <c r="BG363" s="408"/>
      <c r="BH363" s="238">
        <f>CF363+CI363+CL363+CO363+CR363</f>
        <v>2997</v>
      </c>
      <c r="BI363" s="238">
        <f>CH363+CK363+CN363+CQ363+CT363</f>
        <v>2997</v>
      </c>
      <c r="BJ363" s="238">
        <f>BH363-BI363</f>
        <v>0</v>
      </c>
      <c r="BK363" s="199"/>
      <c r="BL363" s="200"/>
      <c r="BM363" s="241">
        <v>2997</v>
      </c>
      <c r="BN363" s="96"/>
      <c r="BO363" s="97"/>
      <c r="BP363" s="281" t="s">
        <v>133</v>
      </c>
      <c r="BQ363" s="98">
        <v>0.15</v>
      </c>
      <c r="BR363" s="2057"/>
      <c r="BS363" s="202"/>
      <c r="BT363" s="203">
        <f>BM363*BQ363</f>
        <v>449.55</v>
      </c>
      <c r="BU363" s="167">
        <f>BN363*BQ363</f>
        <v>0</v>
      </c>
      <c r="BV363" s="168">
        <f>BO363*BQ363</f>
        <v>0</v>
      </c>
      <c r="BW363" s="131" t="s">
        <v>120</v>
      </c>
      <c r="BX363" s="105" t="s">
        <v>133</v>
      </c>
      <c r="BY363" s="98">
        <v>0.05</v>
      </c>
      <c r="BZ363" s="201"/>
      <c r="CA363" s="202"/>
      <c r="CB363" s="203">
        <f>BM363*BY363</f>
        <v>149.85</v>
      </c>
      <c r="CC363" s="530">
        <f>BN363*BY363</f>
        <v>0</v>
      </c>
      <c r="CD363" s="531">
        <f>BO363*BY363</f>
        <v>0</v>
      </c>
      <c r="CE363" s="80" t="s">
        <v>120</v>
      </c>
      <c r="CF363" s="108">
        <v>2997</v>
      </c>
      <c r="CG363" s="109">
        <v>45014</v>
      </c>
      <c r="CH363" s="108">
        <v>2997</v>
      </c>
      <c r="CI363" s="110"/>
      <c r="CJ363" s="226"/>
      <c r="CK363" s="206"/>
      <c r="CL363" s="206"/>
      <c r="CM363" s="226"/>
      <c r="CN363" s="206"/>
      <c r="CO363" s="206"/>
      <c r="CP363" s="206"/>
      <c r="CQ363" s="206"/>
      <c r="CR363" s="206"/>
      <c r="CS363" s="206"/>
      <c r="CT363" s="206"/>
      <c r="CU363" s="90">
        <v>1</v>
      </c>
      <c r="CV363" s="181" t="s">
        <v>121</v>
      </c>
      <c r="CW363" s="112"/>
      <c r="CX363" s="1832"/>
      <c r="CY363" s="155" t="s">
        <v>122</v>
      </c>
      <c r="CZ363" s="155"/>
      <c r="DA363" s="204" t="s">
        <v>134</v>
      </c>
      <c r="DB363" s="115" t="str">
        <f>PROPER(N363)</f>
        <v>Opt Surgisystems</v>
      </c>
      <c r="DC363" s="191"/>
      <c r="DD363" s="116" t="str">
        <f>BP363</f>
        <v>Cristian B</v>
      </c>
      <c r="DE363" s="117" t="b">
        <f>IF(OR(D363&gt;0),IF(BJ363=0,BN363*BQ363,0))</f>
        <v>0</v>
      </c>
      <c r="DF363" s="117" t="b">
        <f>IF(OR(D363&gt;0),IF(BJ363=0,BN363*BY363,0))</f>
        <v>0</v>
      </c>
      <c r="DG363" s="118" t="str">
        <f>BX363</f>
        <v>Cristian B</v>
      </c>
      <c r="DH363" s="510"/>
      <c r="DI363" s="120" t="s">
        <v>126</v>
      </c>
      <c r="DJ363" s="120"/>
      <c r="DK363" s="121"/>
      <c r="DL363" s="121"/>
      <c r="DM363" s="122">
        <v>1</v>
      </c>
      <c r="DN363" s="6"/>
      <c r="DO363" s="6"/>
      <c r="DP363" s="6"/>
      <c r="DQ363" s="6"/>
      <c r="DR363" s="6"/>
      <c r="DS363" s="6"/>
      <c r="DT363" s="6"/>
      <c r="DU363" s="6"/>
      <c r="DV363" s="6"/>
      <c r="DW363" s="6"/>
      <c r="DX363" s="6"/>
      <c r="DY363" s="6"/>
      <c r="DZ363" s="6"/>
    </row>
    <row r="364" spans="1:130" ht="34.5" hidden="1" customHeight="1">
      <c r="A364" s="228"/>
      <c r="B364" s="75" t="s">
        <v>1359</v>
      </c>
      <c r="C364" s="155"/>
      <c r="D364" s="75"/>
      <c r="E364" s="75"/>
      <c r="F364" s="75"/>
      <c r="G364" s="400" t="s">
        <v>769</v>
      </c>
      <c r="H364" s="400" t="s">
        <v>2017</v>
      </c>
      <c r="I364" s="207"/>
      <c r="J364" s="155" t="str">
        <f>CONCATENATE(G364," ",H364)</f>
        <v>Paolo Biaggi</v>
      </c>
      <c r="K364" s="156">
        <v>3929796992</v>
      </c>
      <c r="L364" s="536" t="s">
        <v>2018</v>
      </c>
      <c r="M364" s="153"/>
      <c r="N364" s="160" t="s">
        <v>2019</v>
      </c>
      <c r="O364" s="402"/>
      <c r="P364" s="315"/>
      <c r="Q364" s="160"/>
      <c r="R364" s="403"/>
      <c r="S364" s="160"/>
      <c r="T364" s="404"/>
      <c r="U364" s="315"/>
      <c r="V364" s="315"/>
      <c r="W364" s="315"/>
      <c r="X364" s="131"/>
      <c r="Y364" s="315"/>
      <c r="Z364" s="315"/>
      <c r="AA364" s="315"/>
      <c r="AB364" s="37"/>
      <c r="AC364" s="131"/>
      <c r="AD364" s="121"/>
      <c r="AE364" s="88"/>
      <c r="AF364" s="405"/>
      <c r="AG364" s="406"/>
      <c r="AH364" s="406"/>
      <c r="AI364" s="405"/>
      <c r="AJ364" s="155"/>
      <c r="AK364" s="155"/>
      <c r="AL364" s="155"/>
      <c r="AM364" s="407"/>
      <c r="AN364" s="155"/>
      <c r="AO364" s="155"/>
      <c r="AP364" s="155"/>
      <c r="AQ364" s="85"/>
      <c r="AR364" s="121"/>
      <c r="AS364" s="121"/>
      <c r="AT364" s="121"/>
      <c r="AU364" s="408"/>
      <c r="AV364" s="121"/>
      <c r="AW364" s="121"/>
      <c r="AX364" s="121"/>
      <c r="AY364" s="85"/>
      <c r="AZ364" s="154" t="s">
        <v>165</v>
      </c>
      <c r="BA364" s="154" t="s">
        <v>165</v>
      </c>
      <c r="BB364" s="154" t="s">
        <v>165</v>
      </c>
      <c r="BC364" s="85"/>
      <c r="BD364" s="121"/>
      <c r="BE364" s="121"/>
      <c r="BF364" s="121"/>
      <c r="BG364" s="408"/>
      <c r="BH364" s="238">
        <f>CF364+CI364+CL364+CO364+CR364</f>
        <v>0</v>
      </c>
      <c r="BI364" s="238">
        <f>CH364+CK364+CN364+CQ364+CT364</f>
        <v>0</v>
      </c>
      <c r="BJ364" s="238">
        <f>BH364-BI364</f>
        <v>0</v>
      </c>
      <c r="BK364" s="239"/>
      <c r="BL364" s="260"/>
      <c r="BM364" s="241"/>
      <c r="BN364" s="142"/>
      <c r="BO364" s="182"/>
      <c r="BP364" s="105" t="s">
        <v>160</v>
      </c>
      <c r="BQ364" s="98">
        <v>0.05</v>
      </c>
      <c r="BR364" s="409"/>
      <c r="BS364" s="242">
        <f>BL364*BQ364</f>
        <v>0</v>
      </c>
      <c r="BT364" s="203">
        <f>BM364*BQ364</f>
        <v>0</v>
      </c>
      <c r="BU364" s="167">
        <f>BN364*BQ364</f>
        <v>0</v>
      </c>
      <c r="BV364" s="168">
        <f>BO364*BQ364</f>
        <v>0</v>
      </c>
      <c r="BW364" s="131"/>
      <c r="BX364" s="105" t="s">
        <v>160</v>
      </c>
      <c r="BY364" s="145">
        <v>0.05</v>
      </c>
      <c r="BZ364" s="110"/>
      <c r="CA364" s="242">
        <f>BL364*BY364</f>
        <v>0</v>
      </c>
      <c r="CB364" s="203">
        <f>BM364*BY364</f>
        <v>0</v>
      </c>
      <c r="CC364" s="530">
        <f>BN364*BY364</f>
        <v>0</v>
      </c>
      <c r="CD364" s="531">
        <f>BO364*BY364</f>
        <v>0</v>
      </c>
      <c r="CE364" s="411"/>
      <c r="CF364" s="108"/>
      <c r="CG364" s="109">
        <v>45198</v>
      </c>
      <c r="CH364" s="414"/>
      <c r="CI364" s="415"/>
      <c r="CJ364" s="416"/>
      <c r="CK364" s="415"/>
      <c r="CL364" s="415"/>
      <c r="CM364" s="416"/>
      <c r="CN364" s="415"/>
      <c r="CO364" s="263"/>
      <c r="CP364" s="263"/>
      <c r="CQ364" s="263"/>
      <c r="CR364" s="263"/>
      <c r="CS364" s="263"/>
      <c r="CT364" s="263"/>
      <c r="CU364" s="90">
        <v>1</v>
      </c>
      <c r="CV364" s="181"/>
      <c r="CW364" s="438"/>
      <c r="CX364" s="439"/>
      <c r="CY364" s="155"/>
      <c r="CZ364" s="121"/>
      <c r="DA364" s="424"/>
      <c r="DB364" s="115" t="str">
        <f>PROPER(N364)</f>
        <v>Tognela Group</v>
      </c>
      <c r="DC364" s="280"/>
      <c r="DD364" s="116" t="str">
        <f>BP364</f>
        <v>Gianluca</v>
      </c>
      <c r="DE364" s="117" t="b">
        <f>IF(OR(D364&gt;0),IF(BJ364=0,BN364*BQ364,0))</f>
        <v>0</v>
      </c>
      <c r="DF364" s="117" t="b">
        <f>IF(OR(D364&gt;0),IF(BJ364=0,BN364*BY364,0))</f>
        <v>0</v>
      </c>
      <c r="DG364" s="118" t="str">
        <f>BX364</f>
        <v>Gianluca</v>
      </c>
      <c r="DH364" s="76"/>
      <c r="DI364" s="120" t="s">
        <v>154</v>
      </c>
      <c r="DJ364" s="120"/>
      <c r="DK364" s="74" t="s">
        <v>1418</v>
      </c>
      <c r="DL364" s="74" t="s">
        <v>1418</v>
      </c>
      <c r="DM364" s="122"/>
      <c r="DN364" s="6"/>
      <c r="DO364" s="6"/>
      <c r="DP364" s="6"/>
      <c r="DQ364" s="6"/>
      <c r="DR364" s="6"/>
      <c r="DS364" s="6"/>
      <c r="DT364" s="6"/>
      <c r="DU364" s="6"/>
      <c r="DV364" s="6"/>
      <c r="DW364" s="6"/>
      <c r="DX364" s="6"/>
      <c r="DY364" s="6"/>
      <c r="DZ364" s="6"/>
    </row>
    <row r="365" spans="1:130" ht="34.5" hidden="1" customHeight="1">
      <c r="A365" s="228"/>
      <c r="B365" s="75" t="s">
        <v>1359</v>
      </c>
      <c r="C365" s="155"/>
      <c r="D365" s="75"/>
      <c r="E365" s="75"/>
      <c r="F365" s="75"/>
      <c r="G365" s="400" t="s">
        <v>769</v>
      </c>
      <c r="H365" s="400" t="s">
        <v>2020</v>
      </c>
      <c r="I365" s="294" t="s">
        <v>2021</v>
      </c>
      <c r="J365" s="155" t="str">
        <f>CONCATENATE(G365," ",H365)</f>
        <v>Paolo Fiori</v>
      </c>
      <c r="K365" s="156">
        <v>3472262054</v>
      </c>
      <c r="L365" s="436" t="s">
        <v>2022</v>
      </c>
      <c r="M365" s="153"/>
      <c r="N365" s="160" t="s">
        <v>2023</v>
      </c>
      <c r="O365" s="402"/>
      <c r="P365" s="315"/>
      <c r="Q365" s="160"/>
      <c r="R365" s="403"/>
      <c r="S365" s="160"/>
      <c r="T365" s="404"/>
      <c r="U365" s="315"/>
      <c r="V365" s="315"/>
      <c r="W365" s="315"/>
      <c r="X365" s="131"/>
      <c r="Y365" s="315"/>
      <c r="Z365" s="315"/>
      <c r="AA365" s="315"/>
      <c r="AB365" s="37"/>
      <c r="AC365" s="131"/>
      <c r="AD365" s="121" t="s">
        <v>2024</v>
      </c>
      <c r="AE365" s="88"/>
      <c r="AF365" s="405"/>
      <c r="AG365" s="406"/>
      <c r="AH365" s="406"/>
      <c r="AI365" s="405"/>
      <c r="AJ365" s="155"/>
      <c r="AK365" s="155"/>
      <c r="AL365" s="155"/>
      <c r="AM365" s="407"/>
      <c r="AN365" s="155"/>
      <c r="AO365" s="155"/>
      <c r="AP365" s="155"/>
      <c r="AQ365" s="85"/>
      <c r="AR365" s="121"/>
      <c r="AS365" s="121"/>
      <c r="AT365" s="121"/>
      <c r="AU365" s="408"/>
      <c r="AV365" s="121"/>
      <c r="AW365" s="121"/>
      <c r="AX365" s="121"/>
      <c r="AY365" s="85"/>
      <c r="AZ365" s="121"/>
      <c r="BA365" s="121"/>
      <c r="BB365" s="121"/>
      <c r="BC365" s="85"/>
      <c r="BD365" s="121" t="s">
        <v>115</v>
      </c>
      <c r="BE365" s="121" t="s">
        <v>115</v>
      </c>
      <c r="BF365" s="121" t="s">
        <v>115</v>
      </c>
      <c r="BG365" s="408"/>
      <c r="BH365" s="238">
        <f>CF365+CI365+CL365+CO365+CR365</f>
        <v>2997</v>
      </c>
      <c r="BI365" s="238">
        <f>CH365+CK365+CN365+CQ365+CT365</f>
        <v>2997</v>
      </c>
      <c r="BJ365" s="238">
        <f>BH365-BI365</f>
        <v>0</v>
      </c>
      <c r="BK365" s="239"/>
      <c r="BL365" s="260"/>
      <c r="BM365" s="241"/>
      <c r="BN365" s="142"/>
      <c r="BO365" s="182">
        <v>2997</v>
      </c>
      <c r="BP365" s="105" t="s">
        <v>117</v>
      </c>
      <c r="BQ365" s="98">
        <v>0</v>
      </c>
      <c r="BR365" s="409"/>
      <c r="BS365" s="242">
        <f>BL365*BQ365</f>
        <v>0</v>
      </c>
      <c r="BT365" s="203">
        <f>BM365*BQ365</f>
        <v>0</v>
      </c>
      <c r="BU365" s="167">
        <f>BN365*BQ365</f>
        <v>0</v>
      </c>
      <c r="BV365" s="168">
        <f>BO365*BQ365</f>
        <v>0</v>
      </c>
      <c r="BW365" s="131"/>
      <c r="BX365" s="105" t="s">
        <v>160</v>
      </c>
      <c r="BY365" s="145">
        <v>0.05</v>
      </c>
      <c r="BZ365" s="110"/>
      <c r="CA365" s="242">
        <f>BL365*BY365</f>
        <v>0</v>
      </c>
      <c r="CB365" s="203">
        <f>BM365*BY365</f>
        <v>0</v>
      </c>
      <c r="CC365" s="530">
        <f>BN365*BY365</f>
        <v>0</v>
      </c>
      <c r="CD365" s="531">
        <f>BO365*BY365</f>
        <v>149.85</v>
      </c>
      <c r="CE365" s="411"/>
      <c r="CF365" s="108">
        <v>2997</v>
      </c>
      <c r="CG365" s="109">
        <v>45198</v>
      </c>
      <c r="CH365" s="108">
        <v>2997</v>
      </c>
      <c r="CI365" s="415"/>
      <c r="CJ365" s="416"/>
      <c r="CK365" s="415"/>
      <c r="CL365" s="415"/>
      <c r="CM365" s="416"/>
      <c r="CN365" s="415"/>
      <c r="CO365" s="263"/>
      <c r="CP365" s="263"/>
      <c r="CQ365" s="263"/>
      <c r="CR365" s="263"/>
      <c r="CS365" s="263"/>
      <c r="CT365" s="263"/>
      <c r="CU365" s="90">
        <v>1</v>
      </c>
      <c r="CV365" s="181"/>
      <c r="CW365" s="438"/>
      <c r="CX365" s="439"/>
      <c r="CY365" s="155"/>
      <c r="CZ365" s="121"/>
      <c r="DA365" s="424" t="s">
        <v>2025</v>
      </c>
      <c r="DB365" s="115" t="str">
        <f>PROPER(N365)</f>
        <v>Ple Events</v>
      </c>
      <c r="DC365" s="280" t="s">
        <v>2026</v>
      </c>
      <c r="DD365" s="116" t="str">
        <f>BP365</f>
        <v>blackship</v>
      </c>
      <c r="DE365" s="117" t="b">
        <f>IF(OR(D365&gt;0),IF(BJ365=0,BN365*BQ365,0))</f>
        <v>0</v>
      </c>
      <c r="DF365" s="117" t="b">
        <f>IF(OR(D365&gt;0),IF(BJ365=0,BN365*BY365,0))</f>
        <v>0</v>
      </c>
      <c r="DG365" s="118" t="str">
        <f>BX365</f>
        <v>Gianluca</v>
      </c>
      <c r="DH365" s="76"/>
      <c r="DI365" s="120" t="s">
        <v>154</v>
      </c>
      <c r="DJ365" s="120"/>
      <c r="DK365" s="74" t="s">
        <v>1366</v>
      </c>
      <c r="DL365" s="74" t="s">
        <v>1399</v>
      </c>
      <c r="DM365" s="122"/>
      <c r="DN365" s="6"/>
      <c r="DO365" s="6"/>
      <c r="DP365" s="6"/>
      <c r="DQ365" s="6"/>
      <c r="DR365" s="6"/>
      <c r="DS365" s="6"/>
      <c r="DT365" s="6"/>
      <c r="DU365" s="6"/>
      <c r="DV365" s="6"/>
      <c r="DW365" s="6"/>
      <c r="DX365" s="6"/>
      <c r="DY365" s="6"/>
      <c r="DZ365" s="6"/>
    </row>
    <row r="366" spans="1:130" ht="34.5" hidden="1" customHeight="1">
      <c r="A366" s="228"/>
      <c r="B366" s="75" t="s">
        <v>1324</v>
      </c>
      <c r="C366" s="155"/>
      <c r="D366" s="75">
        <v>1</v>
      </c>
      <c r="E366" s="75">
        <v>1</v>
      </c>
      <c r="F366" s="75"/>
      <c r="G366" s="400" t="s">
        <v>1345</v>
      </c>
      <c r="H366" s="400" t="s">
        <v>1346</v>
      </c>
      <c r="I366" s="207" t="s">
        <v>1347</v>
      </c>
      <c r="J366" s="121" t="str">
        <f>CONCATENATE(G366," ",H366)</f>
        <v>Nicola Maria Villa</v>
      </c>
      <c r="K366" s="156">
        <v>3478068221</v>
      </c>
      <c r="L366" s="156"/>
      <c r="M366" s="153"/>
      <c r="N366" s="160" t="s">
        <v>937</v>
      </c>
      <c r="O366" s="402"/>
      <c r="P366" s="315"/>
      <c r="Q366" s="160"/>
      <c r="R366" s="403"/>
      <c r="S366" s="160"/>
      <c r="T366" s="404"/>
      <c r="U366" s="315"/>
      <c r="V366" s="315"/>
      <c r="W366" s="315"/>
      <c r="X366" s="131"/>
      <c r="Y366" s="315"/>
      <c r="Z366" s="315"/>
      <c r="AA366" s="315"/>
      <c r="AB366" s="37"/>
      <c r="AC366" s="131"/>
      <c r="AD366" s="121" t="s">
        <v>1328</v>
      </c>
      <c r="AE366" s="88"/>
      <c r="AF366" s="405"/>
      <c r="AG366" s="406"/>
      <c r="AH366" s="406"/>
      <c r="AI366" s="405"/>
      <c r="AJ366" s="155"/>
      <c r="AK366" s="155"/>
      <c r="AL366" s="155"/>
      <c r="AM366" s="407"/>
      <c r="AN366" s="155"/>
      <c r="AO366" s="155"/>
      <c r="AP366" s="155"/>
      <c r="AQ366" s="85"/>
      <c r="AR366" s="121"/>
      <c r="AS366" s="121"/>
      <c r="AT366" s="121"/>
      <c r="AU366" s="408"/>
      <c r="AV366" s="121"/>
      <c r="AW366" s="121"/>
      <c r="AX366" s="121"/>
      <c r="AY366" s="85"/>
      <c r="AZ366" s="121" t="s">
        <v>245</v>
      </c>
      <c r="BA366" s="121" t="s">
        <v>245</v>
      </c>
      <c r="BB366" s="135" t="s">
        <v>115</v>
      </c>
      <c r="BC366" s="85"/>
      <c r="BD366" s="121"/>
      <c r="BE366" s="121"/>
      <c r="BF366" s="121"/>
      <c r="BG366" s="408"/>
      <c r="BH366" s="238">
        <f>CF366+CI366+CL366+CO366+CR366</f>
        <v>2397</v>
      </c>
      <c r="BI366" s="238">
        <f>CH366+CK366+CN366+CQ366+CT366</f>
        <v>0</v>
      </c>
      <c r="BJ366" s="238">
        <f>BH366-BI366</f>
        <v>2397</v>
      </c>
      <c r="BK366" s="239"/>
      <c r="BL366" s="260"/>
      <c r="BM366" s="241"/>
      <c r="BN366" s="142">
        <v>2397</v>
      </c>
      <c r="BO366" s="182"/>
      <c r="BP366" s="275" t="s">
        <v>262</v>
      </c>
      <c r="BQ366" s="98">
        <v>0.15</v>
      </c>
      <c r="BR366" s="409"/>
      <c r="BS366" s="242"/>
      <c r="BT366" s="203"/>
      <c r="BU366" s="102">
        <f>BN366*BQ366</f>
        <v>359.55</v>
      </c>
      <c r="BV366" s="168">
        <f>BO366*BQ366</f>
        <v>0</v>
      </c>
      <c r="BW366" s="131"/>
      <c r="BX366" s="105" t="s">
        <v>262</v>
      </c>
      <c r="BY366" s="145">
        <v>0.1</v>
      </c>
      <c r="BZ366" s="110"/>
      <c r="CA366" s="242"/>
      <c r="CB366" s="203"/>
      <c r="CC366" s="167">
        <f>BV366*BY366</f>
        <v>0</v>
      </c>
      <c r="CD366" s="168">
        <f>BW366*BY366</f>
        <v>0</v>
      </c>
      <c r="CE366" s="244"/>
      <c r="CF366" s="108">
        <v>2397</v>
      </c>
      <c r="CG366" s="109"/>
      <c r="CH366" s="2104"/>
      <c r="CI366" s="415"/>
      <c r="CJ366" s="416"/>
      <c r="CK366" s="415"/>
      <c r="CL366" s="415"/>
      <c r="CM366" s="416"/>
      <c r="CN366" s="415"/>
      <c r="CO366" s="263"/>
      <c r="CP366" s="263"/>
      <c r="CQ366" s="263"/>
      <c r="CR366" s="263"/>
      <c r="CS366" s="263"/>
      <c r="CT366" s="263"/>
      <c r="CU366" s="90"/>
      <c r="CV366" s="181"/>
      <c r="CW366" s="112"/>
      <c r="CX366" s="840"/>
      <c r="CY366" s="155"/>
      <c r="CZ366" s="121"/>
      <c r="DA366" s="384" t="s">
        <v>938</v>
      </c>
      <c r="DB366" s="115" t="str">
        <f>PROPER(N366)</f>
        <v>Ey</v>
      </c>
      <c r="DC366" s="191" t="s">
        <v>264</v>
      </c>
      <c r="DD366" s="116" t="str">
        <f>BP366</f>
        <v>Pacci</v>
      </c>
      <c r="DE366" s="117">
        <f>IF(OR(D366&gt;0),IF(BJ366=0,BN366*BQ366,0))</f>
        <v>0</v>
      </c>
      <c r="DF366" s="117">
        <f>IF(OR(D366&gt;0),IF(BJ366=0,BN366*BY366,0))</f>
        <v>0</v>
      </c>
      <c r="DG366" s="118" t="str">
        <f>BX366</f>
        <v>Pacci</v>
      </c>
      <c r="DH366" s="76"/>
      <c r="DI366" s="120" t="s">
        <v>126</v>
      </c>
      <c r="DJ366" s="120"/>
      <c r="DK366" s="74"/>
      <c r="DL366" s="74"/>
      <c r="DM366" s="122"/>
      <c r="DN366" s="6"/>
      <c r="DO366" s="6"/>
      <c r="DP366" s="6"/>
      <c r="DQ366" s="6"/>
      <c r="DR366" s="6"/>
      <c r="DS366" s="6"/>
      <c r="DT366" s="6"/>
      <c r="DU366" s="6"/>
      <c r="DV366" s="6"/>
      <c r="DW366" s="6"/>
      <c r="DX366" s="6"/>
      <c r="DY366" s="6"/>
      <c r="DZ366" s="6"/>
    </row>
    <row r="367" spans="1:130" ht="34.5" hidden="1" customHeight="1">
      <c r="A367" s="228"/>
      <c r="B367" s="75" t="s">
        <v>1359</v>
      </c>
      <c r="C367" s="155"/>
      <c r="D367" s="75"/>
      <c r="E367" s="75"/>
      <c r="F367" s="75"/>
      <c r="G367" s="400" t="s">
        <v>769</v>
      </c>
      <c r="H367" s="400" t="s">
        <v>2034</v>
      </c>
      <c r="I367" s="207" t="s">
        <v>2035</v>
      </c>
      <c r="J367" s="155" t="str">
        <f>CONCATENATE(G367," ",H367)</f>
        <v>Paolo Mauri</v>
      </c>
      <c r="K367" s="156">
        <v>3452123010</v>
      </c>
      <c r="L367" s="152" t="s">
        <v>2036</v>
      </c>
      <c r="M367" s="153" t="s">
        <v>1258</v>
      </c>
      <c r="N367" s="160" t="s">
        <v>2037</v>
      </c>
      <c r="O367" s="402"/>
      <c r="P367" s="315"/>
      <c r="Q367" s="160"/>
      <c r="R367" s="403"/>
      <c r="S367" s="160"/>
      <c r="T367" s="404"/>
      <c r="U367" s="315"/>
      <c r="V367" s="315"/>
      <c r="W367" s="315"/>
      <c r="X367" s="131"/>
      <c r="Y367" s="315"/>
      <c r="Z367" s="315"/>
      <c r="AA367" s="315"/>
      <c r="AB367" s="37"/>
      <c r="AC367" s="131"/>
      <c r="AD367" s="121" t="s">
        <v>2038</v>
      </c>
      <c r="AE367" s="88"/>
      <c r="AF367" s="405"/>
      <c r="AG367" s="406"/>
      <c r="AH367" s="406"/>
      <c r="AI367" s="405"/>
      <c r="AJ367" s="155"/>
      <c r="AK367" s="155"/>
      <c r="AL367" s="155"/>
      <c r="AM367" s="407"/>
      <c r="AN367" s="155"/>
      <c r="AO367" s="155"/>
      <c r="AP367" s="155"/>
      <c r="AQ367" s="85"/>
      <c r="AR367" s="121"/>
      <c r="AS367" s="121"/>
      <c r="AT367" s="121"/>
      <c r="AU367" s="408"/>
      <c r="AV367" s="121"/>
      <c r="AW367" s="121"/>
      <c r="AX367" s="121"/>
      <c r="AY367" s="85"/>
      <c r="AZ367" s="121"/>
      <c r="BA367" s="121"/>
      <c r="BB367" s="121"/>
      <c r="BC367" s="85"/>
      <c r="BD367" s="121" t="s">
        <v>245</v>
      </c>
      <c r="BE367" s="121" t="s">
        <v>245</v>
      </c>
      <c r="BF367" s="121" t="s">
        <v>245</v>
      </c>
      <c r="BG367" s="408"/>
      <c r="BH367" s="238">
        <f>CF367+CI367+CL367+CO367+CR367</f>
        <v>3497.0000000000005</v>
      </c>
      <c r="BI367" s="238">
        <f>CH367+CK367+CN367+CQ367+CT367</f>
        <v>163.9344262295082</v>
      </c>
      <c r="BJ367" s="238">
        <f>BH367-BI367</f>
        <v>3333.0655737704924</v>
      </c>
      <c r="BK367" s="239"/>
      <c r="BL367" s="260"/>
      <c r="BM367" s="241"/>
      <c r="BN367" s="142"/>
      <c r="BO367" s="182">
        <v>3497</v>
      </c>
      <c r="BP367" s="105" t="s">
        <v>166</v>
      </c>
      <c r="BQ367" s="98">
        <v>0.15</v>
      </c>
      <c r="BR367" s="409"/>
      <c r="BS367" s="242">
        <f>BL367*BQ367</f>
        <v>0</v>
      </c>
      <c r="BT367" s="203">
        <f>BM367*BQ367</f>
        <v>0</v>
      </c>
      <c r="BU367" s="167">
        <f>BN367*BQ367</f>
        <v>0</v>
      </c>
      <c r="BV367" s="168">
        <f>BO367*BQ367</f>
        <v>524.54999999999995</v>
      </c>
      <c r="BW367" s="131"/>
      <c r="BX367" s="105" t="s">
        <v>166</v>
      </c>
      <c r="BY367" s="145">
        <v>0.05</v>
      </c>
      <c r="BZ367" s="110"/>
      <c r="CA367" s="242">
        <f>BL367*BY367</f>
        <v>0</v>
      </c>
      <c r="CB367" s="203">
        <f>BM367*BY367</f>
        <v>0</v>
      </c>
      <c r="CC367" s="530">
        <f>BN367*BY367</f>
        <v>0</v>
      </c>
      <c r="CD367" s="531">
        <f>BO367*BY367</f>
        <v>174.85000000000002</v>
      </c>
      <c r="CE367" s="411"/>
      <c r="CF367" s="108">
        <f>200/1.22</f>
        <v>163.9344262295082</v>
      </c>
      <c r="CG367" s="109">
        <v>45198</v>
      </c>
      <c r="CH367" s="108">
        <f>200/1.22</f>
        <v>163.9344262295082</v>
      </c>
      <c r="CI367" s="110">
        <f>1720/1.22</f>
        <v>1409.8360655737706</v>
      </c>
      <c r="CJ367" s="226">
        <v>6685313</v>
      </c>
      <c r="CK367" s="381"/>
      <c r="CL367" s="110">
        <f>2346.34/1.22</f>
        <v>1923.2295081967216</v>
      </c>
      <c r="CM367" s="226">
        <v>45233</v>
      </c>
      <c r="CN367" s="168"/>
      <c r="CO367" s="263"/>
      <c r="CP367" s="263"/>
      <c r="CQ367" s="263"/>
      <c r="CR367" s="263"/>
      <c r="CS367" s="263"/>
      <c r="CT367" s="263"/>
      <c r="CU367" s="90">
        <v>1</v>
      </c>
      <c r="CV367" s="181"/>
      <c r="CW367" s="438"/>
      <c r="CX367" s="439"/>
      <c r="CY367" s="155"/>
      <c r="CZ367" s="121"/>
      <c r="DA367" s="424" t="s">
        <v>2039</v>
      </c>
      <c r="DB367" s="115" t="str">
        <f>PROPER(N367)</f>
        <v>Nordgas</v>
      </c>
      <c r="DC367" s="280" t="s">
        <v>2040</v>
      </c>
      <c r="DD367" s="116" t="str">
        <f>BP367</f>
        <v>Matteo</v>
      </c>
      <c r="DE367" s="117" t="b">
        <f>IF(OR(D367&gt;0),IF(BJ367=0,BN367*BQ367,0))</f>
        <v>0</v>
      </c>
      <c r="DF367" s="117" t="b">
        <f>IF(OR(D367&gt;0),IF(BJ367=0,BN367*BY367,0))</f>
        <v>0</v>
      </c>
      <c r="DG367" s="118" t="str">
        <f>BX367</f>
        <v>Matteo</v>
      </c>
      <c r="DH367" s="76"/>
      <c r="DI367" s="120" t="s">
        <v>154</v>
      </c>
      <c r="DJ367" s="120"/>
      <c r="DK367" s="74" t="s">
        <v>1366</v>
      </c>
      <c r="DL367" s="74" t="s">
        <v>1366</v>
      </c>
      <c r="DM367" s="122"/>
      <c r="DN367" s="6"/>
      <c r="DO367" s="6"/>
      <c r="DP367" s="6"/>
      <c r="DQ367" s="6"/>
      <c r="DR367" s="6"/>
      <c r="DS367" s="6"/>
      <c r="DT367" s="6"/>
      <c r="DU367" s="6"/>
      <c r="DV367" s="6"/>
      <c r="DW367" s="6"/>
      <c r="DX367" s="6"/>
      <c r="DY367" s="6"/>
      <c r="DZ367" s="6"/>
    </row>
    <row r="368" spans="1:130" ht="34.5" hidden="1" customHeight="1">
      <c r="A368" s="228"/>
      <c r="B368" s="371" t="s">
        <v>1359</v>
      </c>
      <c r="C368" s="155"/>
      <c r="D368" s="75"/>
      <c r="E368" s="75"/>
      <c r="F368" s="75"/>
      <c r="G368" s="400" t="s">
        <v>769</v>
      </c>
      <c r="H368" s="400" t="s">
        <v>2041</v>
      </c>
      <c r="I368" s="207" t="s">
        <v>2042</v>
      </c>
      <c r="J368" s="155" t="str">
        <f>CONCATENATE(G368," ",H368)</f>
        <v>Paolo Trucco</v>
      </c>
      <c r="K368" s="156">
        <v>3384507717</v>
      </c>
      <c r="L368" s="537" t="s">
        <v>2043</v>
      </c>
      <c r="M368" s="153" t="s">
        <v>514</v>
      </c>
      <c r="N368" s="160" t="s">
        <v>2044</v>
      </c>
      <c r="O368" s="402"/>
      <c r="P368" s="315"/>
      <c r="Q368" s="160"/>
      <c r="R368" s="403"/>
      <c r="S368" s="160"/>
      <c r="T368" s="404"/>
      <c r="U368" s="315"/>
      <c r="V368" s="315"/>
      <c r="W368" s="315"/>
      <c r="X368" s="131"/>
      <c r="Y368" s="315"/>
      <c r="Z368" s="315"/>
      <c r="AA368" s="315"/>
      <c r="AB368" s="37"/>
      <c r="AC368" s="131"/>
      <c r="AD368" s="121"/>
      <c r="AE368" s="88"/>
      <c r="AF368" s="405"/>
      <c r="AG368" s="406"/>
      <c r="AH368" s="406"/>
      <c r="AI368" s="405"/>
      <c r="AJ368" s="155"/>
      <c r="AK368" s="155"/>
      <c r="AL368" s="155"/>
      <c r="AM368" s="407"/>
      <c r="AN368" s="155"/>
      <c r="AO368" s="155"/>
      <c r="AP368" s="155"/>
      <c r="AQ368" s="85"/>
      <c r="AR368" s="121"/>
      <c r="AS368" s="121"/>
      <c r="AT368" s="121"/>
      <c r="AU368" s="408"/>
      <c r="AV368" s="121"/>
      <c r="AW368" s="121"/>
      <c r="AX368" s="121"/>
      <c r="AY368" s="85"/>
      <c r="AZ368" s="121"/>
      <c r="BA368" s="121"/>
      <c r="BB368" s="121"/>
      <c r="BC368" s="85"/>
      <c r="BD368" s="121" t="s">
        <v>151</v>
      </c>
      <c r="BE368" s="121" t="s">
        <v>151</v>
      </c>
      <c r="BF368" s="121" t="s">
        <v>151</v>
      </c>
      <c r="BG368" s="408"/>
      <c r="BH368" s="238">
        <f>CF368+CI368+CL368+CO368+CR368</f>
        <v>0</v>
      </c>
      <c r="BI368" s="238">
        <f>CH368+CK368+CN368+CQ368+CT368</f>
        <v>0</v>
      </c>
      <c r="BJ368" s="238">
        <f>BH368-BI368</f>
        <v>0</v>
      </c>
      <c r="BK368" s="239"/>
      <c r="BL368" s="260"/>
      <c r="BM368" s="241"/>
      <c r="BN368" s="142"/>
      <c r="BO368" s="182"/>
      <c r="BP368" s="105" t="s">
        <v>487</v>
      </c>
      <c r="BQ368" s="98">
        <v>0.15</v>
      </c>
      <c r="BR368" s="409"/>
      <c r="BS368" s="242">
        <f>BL368*BQ368</f>
        <v>0</v>
      </c>
      <c r="BT368" s="203">
        <f>BM368*BQ368</f>
        <v>0</v>
      </c>
      <c r="BU368" s="167">
        <f>BN368*BQ368</f>
        <v>0</v>
      </c>
      <c r="BV368" s="168">
        <f>BO368*BQ368</f>
        <v>0</v>
      </c>
      <c r="BW368" s="131"/>
      <c r="BX368" s="105" t="s">
        <v>487</v>
      </c>
      <c r="BY368" s="145">
        <v>0.05</v>
      </c>
      <c r="BZ368" s="110"/>
      <c r="CA368" s="242">
        <f>BL368*BY368</f>
        <v>0</v>
      </c>
      <c r="CB368" s="203">
        <f>BM368*BY368</f>
        <v>0</v>
      </c>
      <c r="CC368" s="530">
        <f>BN368*BY368</f>
        <v>0</v>
      </c>
      <c r="CD368" s="531">
        <f>BO368*BY368</f>
        <v>0</v>
      </c>
      <c r="CE368" s="411"/>
      <c r="CF368" s="108">
        <v>0</v>
      </c>
      <c r="CG368" s="130" t="s">
        <v>153</v>
      </c>
      <c r="CH368" s="414"/>
      <c r="CI368" s="415"/>
      <c r="CJ368" s="416"/>
      <c r="CK368" s="415"/>
      <c r="CL368" s="415"/>
      <c r="CM368" s="416"/>
      <c r="CN368" s="415"/>
      <c r="CO368" s="263"/>
      <c r="CP368" s="263"/>
      <c r="CQ368" s="263"/>
      <c r="CR368" s="263"/>
      <c r="CS368" s="263"/>
      <c r="CT368" s="263"/>
      <c r="CU368" s="90">
        <v>1</v>
      </c>
      <c r="CV368" s="181"/>
      <c r="CW368" s="438"/>
      <c r="CX368" s="439"/>
      <c r="CY368" s="155"/>
      <c r="CZ368" s="121"/>
      <c r="DA368" s="424"/>
      <c r="DB368" s="115" t="str">
        <f>PROPER(N368)</f>
        <v>Blend It</v>
      </c>
      <c r="DC368" s="280"/>
      <c r="DD368" s="116" t="str">
        <f>BP368</f>
        <v>Daniela</v>
      </c>
      <c r="DE368" s="117" t="b">
        <f>IF(OR(D368&gt;0),IF(BJ368=0,BN368*BQ368,0))</f>
        <v>0</v>
      </c>
      <c r="DF368" s="117" t="b">
        <f>IF(OR(D368&gt;0),IF(BJ368=0,BN368*BY368,0))</f>
        <v>0</v>
      </c>
      <c r="DG368" s="118" t="str">
        <f>BX368</f>
        <v>Daniela</v>
      </c>
      <c r="DH368" s="76"/>
      <c r="DI368" s="120" t="s">
        <v>154</v>
      </c>
      <c r="DJ368" s="120"/>
      <c r="DK368" s="74" t="s">
        <v>1366</v>
      </c>
      <c r="DL368" s="74" t="s">
        <v>1366</v>
      </c>
      <c r="DM368" s="122"/>
      <c r="DN368" s="6"/>
      <c r="DO368" s="6"/>
      <c r="DP368" s="6"/>
      <c r="DQ368" s="6"/>
      <c r="DR368" s="6"/>
      <c r="DS368" s="6"/>
      <c r="DT368" s="6"/>
      <c r="DU368" s="6"/>
      <c r="DV368" s="6"/>
      <c r="DW368" s="6"/>
      <c r="DX368" s="6"/>
      <c r="DY368" s="6"/>
      <c r="DZ368" s="6"/>
    </row>
    <row r="369" spans="1:130" ht="34.5" hidden="1" customHeight="1">
      <c r="A369" s="228"/>
      <c r="B369" s="75" t="s">
        <v>1359</v>
      </c>
      <c r="C369" s="155"/>
      <c r="D369" s="75"/>
      <c r="E369" s="75"/>
      <c r="F369" s="75"/>
      <c r="G369" s="400" t="s">
        <v>785</v>
      </c>
      <c r="H369" s="400" t="s">
        <v>2045</v>
      </c>
      <c r="I369" s="294" t="s">
        <v>2046</v>
      </c>
      <c r="J369" s="155" t="str">
        <f>CONCATENATE(G369," ",H369)</f>
        <v>Patrizia Alberio</v>
      </c>
      <c r="K369" s="156">
        <v>3311892610</v>
      </c>
      <c r="L369" s="435"/>
      <c r="M369" s="153" t="s">
        <v>1148</v>
      </c>
      <c r="N369" s="160" t="s">
        <v>2047</v>
      </c>
      <c r="O369" s="402"/>
      <c r="P369" s="315"/>
      <c r="Q369" s="160"/>
      <c r="R369" s="403"/>
      <c r="S369" s="160"/>
      <c r="T369" s="404"/>
      <c r="U369" s="315"/>
      <c r="V369" s="315"/>
      <c r="W369" s="315"/>
      <c r="X369" s="131"/>
      <c r="Y369" s="315"/>
      <c r="Z369" s="315"/>
      <c r="AA369" s="315"/>
      <c r="AB369" s="37"/>
      <c r="AC369" s="131"/>
      <c r="AD369" s="121" t="s">
        <v>2048</v>
      </c>
      <c r="AE369" s="88"/>
      <c r="AF369" s="405"/>
      <c r="AG369" s="406"/>
      <c r="AH369" s="406"/>
      <c r="AI369" s="405"/>
      <c r="AJ369" s="155"/>
      <c r="AK369" s="155"/>
      <c r="AL369" s="155"/>
      <c r="AM369" s="407"/>
      <c r="AN369" s="155"/>
      <c r="AO369" s="155"/>
      <c r="AP369" s="155"/>
      <c r="AQ369" s="85"/>
      <c r="AR369" s="121"/>
      <c r="AS369" s="121"/>
      <c r="AT369" s="121"/>
      <c r="AU369" s="408"/>
      <c r="AV369" s="121"/>
      <c r="AW369" s="121"/>
      <c r="AX369" s="121"/>
      <c r="AY369" s="85"/>
      <c r="AZ369" s="121"/>
      <c r="BA369" s="121"/>
      <c r="BB369" s="121"/>
      <c r="BC369" s="85"/>
      <c r="BD369" s="121" t="s">
        <v>115</v>
      </c>
      <c r="BE369" s="121" t="s">
        <v>115</v>
      </c>
      <c r="BF369" s="121" t="s">
        <v>115</v>
      </c>
      <c r="BG369" s="408"/>
      <c r="BH369" s="238">
        <f>CF369+CI369+CL369+CO369+CR369</f>
        <v>2997</v>
      </c>
      <c r="BI369" s="238">
        <f>CH369+CK369+CN369+CQ369+CT369</f>
        <v>2997</v>
      </c>
      <c r="BJ369" s="238">
        <f>BH369-BI369</f>
        <v>0</v>
      </c>
      <c r="BK369" s="239"/>
      <c r="BL369" s="260"/>
      <c r="BM369" s="241"/>
      <c r="BN369" s="142"/>
      <c r="BO369" s="182">
        <f>2997</f>
        <v>2997</v>
      </c>
      <c r="BP369" s="105" t="s">
        <v>133</v>
      </c>
      <c r="BQ369" s="98">
        <v>0.15</v>
      </c>
      <c r="BR369" s="409"/>
      <c r="BS369" s="242">
        <f>BL369*BQ369</f>
        <v>0</v>
      </c>
      <c r="BT369" s="203">
        <f>BM369*BQ369</f>
        <v>0</v>
      </c>
      <c r="BU369" s="167">
        <f>BN369*BQ369</f>
        <v>0</v>
      </c>
      <c r="BV369" s="168">
        <f>BO369*BQ369</f>
        <v>449.55</v>
      </c>
      <c r="BW369" s="131"/>
      <c r="BX369" s="105" t="s">
        <v>133</v>
      </c>
      <c r="BY369" s="145">
        <v>0.05</v>
      </c>
      <c r="BZ369" s="110"/>
      <c r="CA369" s="242">
        <f>BL369*BY369</f>
        <v>0</v>
      </c>
      <c r="CB369" s="203">
        <f>BM369*BY369</f>
        <v>0</v>
      </c>
      <c r="CC369" s="530">
        <f>BN369*BY369</f>
        <v>0</v>
      </c>
      <c r="CD369" s="531">
        <f>BO369*BY369</f>
        <v>149.85</v>
      </c>
      <c r="CE369" s="411"/>
      <c r="CF369" s="108">
        <v>2997</v>
      </c>
      <c r="CG369" s="109">
        <v>45198</v>
      </c>
      <c r="CH369" s="108">
        <v>2997</v>
      </c>
      <c r="CI369" s="415"/>
      <c r="CJ369" s="416"/>
      <c r="CK369" s="415"/>
      <c r="CL369" s="415"/>
      <c r="CM369" s="416"/>
      <c r="CN369" s="415"/>
      <c r="CO369" s="263"/>
      <c r="CP369" s="263"/>
      <c r="CQ369" s="263"/>
      <c r="CR369" s="263"/>
      <c r="CS369" s="263"/>
      <c r="CT369" s="263"/>
      <c r="CU369" s="90">
        <v>1</v>
      </c>
      <c r="CV369" s="181"/>
      <c r="CW369" s="438"/>
      <c r="CX369" s="439"/>
      <c r="CY369" s="155"/>
      <c r="CZ369" s="121"/>
      <c r="DA369" s="424" t="s">
        <v>2049</v>
      </c>
      <c r="DB369" s="115" t="str">
        <f>PROPER(N369)</f>
        <v>Centro Ufficio</v>
      </c>
      <c r="DC369" s="280" t="s">
        <v>2050</v>
      </c>
      <c r="DD369" s="116" t="str">
        <f>BP369</f>
        <v>Cristian B</v>
      </c>
      <c r="DE369" s="117" t="b">
        <f>IF(OR(D369&gt;0),IF(BJ369=0,BN369*BQ369,0))</f>
        <v>0</v>
      </c>
      <c r="DF369" s="117" t="b">
        <f>IF(OR(D369&gt;0),IF(BJ369=0,BN369*BY369,0))</f>
        <v>0</v>
      </c>
      <c r="DG369" s="118" t="str">
        <f>BX369</f>
        <v>Cristian B</v>
      </c>
      <c r="DH369" s="76"/>
      <c r="DI369" s="120" t="s">
        <v>154</v>
      </c>
      <c r="DJ369" s="120"/>
      <c r="DK369" s="74" t="s">
        <v>1418</v>
      </c>
      <c r="DL369" s="74" t="s">
        <v>1418</v>
      </c>
      <c r="DM369" s="122"/>
      <c r="DN369" s="6"/>
      <c r="DO369" s="6"/>
      <c r="DP369" s="6"/>
      <c r="DQ369" s="6"/>
      <c r="DR369" s="6"/>
      <c r="DS369" s="6"/>
      <c r="DT369" s="6"/>
      <c r="DU369" s="6"/>
      <c r="DV369" s="6"/>
      <c r="DW369" s="6"/>
      <c r="DX369" s="6"/>
      <c r="DY369" s="6"/>
      <c r="DZ369" s="6"/>
    </row>
    <row r="370" spans="1:130" ht="34.5" hidden="1" customHeight="1">
      <c r="A370" s="228"/>
      <c r="B370" s="75" t="s">
        <v>1359</v>
      </c>
      <c r="C370" s="155"/>
      <c r="D370" s="75"/>
      <c r="E370" s="75"/>
      <c r="F370" s="75"/>
      <c r="G370" s="400" t="s">
        <v>785</v>
      </c>
      <c r="H370" s="400" t="s">
        <v>2051</v>
      </c>
      <c r="I370" s="207" t="s">
        <v>2052</v>
      </c>
      <c r="J370" s="155" t="str">
        <f>CONCATENATE(G370," ",H370)</f>
        <v>Patrizia Spirito</v>
      </c>
      <c r="K370" s="156">
        <v>3498429175</v>
      </c>
      <c r="L370" s="435"/>
      <c r="M370" s="153"/>
      <c r="N370" s="160"/>
      <c r="O370" s="402"/>
      <c r="P370" s="315"/>
      <c r="Q370" s="160"/>
      <c r="R370" s="403"/>
      <c r="S370" s="160"/>
      <c r="T370" s="404"/>
      <c r="U370" s="315"/>
      <c r="V370" s="315"/>
      <c r="W370" s="315"/>
      <c r="X370" s="131"/>
      <c r="Y370" s="315"/>
      <c r="Z370" s="315"/>
      <c r="AA370" s="315"/>
      <c r="AB370" s="37"/>
      <c r="AC370" s="131"/>
      <c r="AD370" s="121" t="s">
        <v>2053</v>
      </c>
      <c r="AE370" s="88"/>
      <c r="AF370" s="405"/>
      <c r="AG370" s="406"/>
      <c r="AH370" s="406"/>
      <c r="AI370" s="405"/>
      <c r="AJ370" s="155"/>
      <c r="AK370" s="155"/>
      <c r="AL370" s="155"/>
      <c r="AM370" s="407"/>
      <c r="AN370" s="155"/>
      <c r="AO370" s="155"/>
      <c r="AP370" s="155"/>
      <c r="AQ370" s="85"/>
      <c r="AR370" s="121"/>
      <c r="AS370" s="121"/>
      <c r="AT370" s="121"/>
      <c r="AU370" s="408"/>
      <c r="AV370" s="121"/>
      <c r="AW370" s="121"/>
      <c r="AX370" s="121"/>
      <c r="AY370" s="85"/>
      <c r="AZ370" s="121"/>
      <c r="BA370" s="121"/>
      <c r="BB370" s="121"/>
      <c r="BC370" s="85"/>
      <c r="BD370" s="121" t="s">
        <v>245</v>
      </c>
      <c r="BE370" s="121" t="s">
        <v>245</v>
      </c>
      <c r="BF370" s="121" t="s">
        <v>245</v>
      </c>
      <c r="BG370" s="408"/>
      <c r="BH370" s="238">
        <f>CF370+CI370+CL370+CO370+CR370</f>
        <v>3497.0000000000005</v>
      </c>
      <c r="BI370" s="238">
        <f>CH370+CK370+CN370+CQ370+CT370</f>
        <v>163.9344262295082</v>
      </c>
      <c r="BJ370" s="238">
        <f>BH370-BI370</f>
        <v>3333.0655737704924</v>
      </c>
      <c r="BK370" s="239"/>
      <c r="BL370" s="260"/>
      <c r="BM370" s="241"/>
      <c r="BN370" s="142"/>
      <c r="BO370" s="182">
        <v>3497</v>
      </c>
      <c r="BP370" s="105" t="s">
        <v>166</v>
      </c>
      <c r="BQ370" s="98">
        <v>0.15</v>
      </c>
      <c r="BR370" s="409"/>
      <c r="BS370" s="242">
        <f>BL370*BQ370</f>
        <v>0</v>
      </c>
      <c r="BT370" s="203">
        <f>BM370*BQ370</f>
        <v>0</v>
      </c>
      <c r="BU370" s="167">
        <f>BN370*BQ370</f>
        <v>0</v>
      </c>
      <c r="BV370" s="168">
        <f>BO370*BQ370</f>
        <v>524.54999999999995</v>
      </c>
      <c r="BW370" s="131"/>
      <c r="BX370" s="105" t="s">
        <v>166</v>
      </c>
      <c r="BY370" s="145">
        <v>0.05</v>
      </c>
      <c r="BZ370" s="110"/>
      <c r="CA370" s="242">
        <f>BL370*BY370</f>
        <v>0</v>
      </c>
      <c r="CB370" s="203">
        <f>BM370*BY370</f>
        <v>0</v>
      </c>
      <c r="CC370" s="530">
        <f>BN370*BY370</f>
        <v>0</v>
      </c>
      <c r="CD370" s="531">
        <f>BO370*BY370</f>
        <v>174.85000000000002</v>
      </c>
      <c r="CE370" s="411"/>
      <c r="CF370" s="108">
        <f>200/1.22</f>
        <v>163.9344262295082</v>
      </c>
      <c r="CG370" s="109">
        <v>45202</v>
      </c>
      <c r="CH370" s="108">
        <f>200/1.22</f>
        <v>163.9344262295082</v>
      </c>
      <c r="CI370" s="110">
        <f>1720/1.22</f>
        <v>1409.8360655737706</v>
      </c>
      <c r="CJ370" s="226">
        <v>6685313</v>
      </c>
      <c r="CK370" s="381"/>
      <c r="CL370" s="110">
        <f>2346.34/1.22</f>
        <v>1923.2295081967216</v>
      </c>
      <c r="CM370" s="226">
        <v>45233</v>
      </c>
      <c r="CN370" s="168"/>
      <c r="CO370" s="263"/>
      <c r="CP370" s="263"/>
      <c r="CQ370" s="263"/>
      <c r="CR370" s="263"/>
      <c r="CS370" s="263"/>
      <c r="CT370" s="263"/>
      <c r="CU370" s="90">
        <v>1</v>
      </c>
      <c r="CV370" s="181"/>
      <c r="CW370" s="491"/>
      <c r="CX370" s="492"/>
      <c r="CY370" s="155"/>
      <c r="CZ370" s="121"/>
      <c r="DA370" s="424" t="s">
        <v>2054</v>
      </c>
      <c r="DB370" s="115" t="str">
        <f>PROPER(N370)</f>
        <v/>
      </c>
      <c r="DC370" s="280" t="s">
        <v>264</v>
      </c>
      <c r="DD370" s="116" t="str">
        <f>BP370</f>
        <v>Matteo</v>
      </c>
      <c r="DE370" s="117" t="b">
        <f>IF(OR(D370&gt;0),IF(BJ370=0,BN370*BQ370,0))</f>
        <v>0</v>
      </c>
      <c r="DF370" s="117" t="b">
        <f>IF(OR(D370&gt;0),IF(BJ370=0,BN370*BY370,0))</f>
        <v>0</v>
      </c>
      <c r="DG370" s="118" t="str">
        <f>BX370</f>
        <v>Matteo</v>
      </c>
      <c r="DH370" s="76"/>
      <c r="DI370" s="120" t="s">
        <v>154</v>
      </c>
      <c r="DJ370" s="120"/>
      <c r="DK370" s="74" t="s">
        <v>1366</v>
      </c>
      <c r="DL370" s="74" t="s">
        <v>1366</v>
      </c>
      <c r="DM370" s="122"/>
      <c r="DN370" s="6"/>
      <c r="DO370" s="6"/>
      <c r="DP370" s="6"/>
      <c r="DQ370" s="6"/>
      <c r="DR370" s="6"/>
      <c r="DS370" s="6"/>
      <c r="DT370" s="6"/>
      <c r="DU370" s="6"/>
      <c r="DV370" s="6"/>
      <c r="DW370" s="6"/>
      <c r="DX370" s="6"/>
      <c r="DY370" s="6"/>
      <c r="DZ370" s="6"/>
    </row>
    <row r="371" spans="1:130" ht="34.5" hidden="1" customHeight="1">
      <c r="A371" s="228"/>
      <c r="B371" s="371" t="s">
        <v>1359</v>
      </c>
      <c r="C371" s="155"/>
      <c r="D371" s="75"/>
      <c r="E371" s="75"/>
      <c r="F371" s="75"/>
      <c r="G371" s="400" t="s">
        <v>2055</v>
      </c>
      <c r="H371" s="400" t="s">
        <v>2056</v>
      </c>
      <c r="I371" s="207" t="s">
        <v>2057</v>
      </c>
      <c r="J371" s="155" t="str">
        <f>CONCATENATE(G371," ",H371)</f>
        <v>Philip Dall'Igna</v>
      </c>
      <c r="K371" s="156">
        <v>3938556731</v>
      </c>
      <c r="L371" s="435"/>
      <c r="M371" s="153"/>
      <c r="N371" s="160" t="s">
        <v>2058</v>
      </c>
      <c r="O371" s="402"/>
      <c r="P371" s="315"/>
      <c r="Q371" s="160"/>
      <c r="R371" s="403"/>
      <c r="S371" s="160"/>
      <c r="T371" s="404"/>
      <c r="U371" s="315"/>
      <c r="V371" s="315"/>
      <c r="W371" s="315"/>
      <c r="X371" s="131"/>
      <c r="Y371" s="315"/>
      <c r="Z371" s="315"/>
      <c r="AA371" s="315"/>
      <c r="AB371" s="37"/>
      <c r="AC371" s="131"/>
      <c r="AD371" s="121" t="s">
        <v>2059</v>
      </c>
      <c r="AE371" s="88"/>
      <c r="AF371" s="405"/>
      <c r="AG371" s="406"/>
      <c r="AH371" s="406"/>
      <c r="AI371" s="405"/>
      <c r="AJ371" s="155"/>
      <c r="AK371" s="155"/>
      <c r="AL371" s="155"/>
      <c r="AM371" s="407"/>
      <c r="AN371" s="155"/>
      <c r="AO371" s="155"/>
      <c r="AP371" s="155"/>
      <c r="AQ371" s="85"/>
      <c r="AR371" s="121"/>
      <c r="AS371" s="121"/>
      <c r="AT371" s="121"/>
      <c r="AU371" s="408"/>
      <c r="AV371" s="121"/>
      <c r="AW371" s="121"/>
      <c r="AX371" s="121"/>
      <c r="AY371" s="85"/>
      <c r="AZ371" s="362"/>
      <c r="BA371" s="362"/>
      <c r="BC371" s="85"/>
      <c r="BD371" s="362" t="s">
        <v>115</v>
      </c>
      <c r="BE371" s="362" t="s">
        <v>115</v>
      </c>
      <c r="BF371" s="362" t="s">
        <v>115</v>
      </c>
      <c r="BG371" s="408"/>
      <c r="BH371" s="238">
        <f>CF371+CI371+CL371+CO371</f>
        <v>2697.3</v>
      </c>
      <c r="BI371" s="238">
        <f>CH371+CK371+CN371+CQ371</f>
        <v>2697.3</v>
      </c>
      <c r="BJ371" s="238">
        <f>BH371-BI371</f>
        <v>0</v>
      </c>
      <c r="BK371" s="239"/>
      <c r="BL371" s="260"/>
      <c r="BM371" s="241"/>
      <c r="BN371" s="142"/>
      <c r="BO371" s="182">
        <v>2697.3</v>
      </c>
      <c r="BP371" s="105" t="s">
        <v>1569</v>
      </c>
      <c r="BQ371" s="98">
        <v>0</v>
      </c>
      <c r="BR371" s="480"/>
      <c r="BS371" s="381">
        <f>BL371*BQ371</f>
        <v>0</v>
      </c>
      <c r="BT371" s="168">
        <f>BM371*BQ371</f>
        <v>0</v>
      </c>
      <c r="BU371" s="106">
        <f>BN371*BQ371</f>
        <v>0</v>
      </c>
      <c r="BV371" s="168">
        <f>BO371*BQ371</f>
        <v>0</v>
      </c>
      <c r="BW371" s="204"/>
      <c r="BX371" s="105" t="s">
        <v>133</v>
      </c>
      <c r="BY371" s="145">
        <v>0.05</v>
      </c>
      <c r="BZ371" s="110"/>
      <c r="CA371" s="242">
        <f>BL371*BY371</f>
        <v>0</v>
      </c>
      <c r="CB371" s="203">
        <f>BM371*BY371</f>
        <v>0</v>
      </c>
      <c r="CC371" s="530">
        <f>BN371*BY371</f>
        <v>0</v>
      </c>
      <c r="CD371" s="531">
        <f>BO371*BY371</f>
        <v>134.86500000000001</v>
      </c>
      <c r="CE371" s="411"/>
      <c r="CF371" s="108">
        <v>2697.3</v>
      </c>
      <c r="CG371" s="109">
        <v>45215</v>
      </c>
      <c r="CH371" s="108">
        <v>2697.3</v>
      </c>
      <c r="CI371" s="415"/>
      <c r="CJ371" s="416"/>
      <c r="CK371" s="415"/>
      <c r="CL371" s="415"/>
      <c r="CM371" s="416"/>
      <c r="CN371" s="415"/>
      <c r="CO371" s="263"/>
      <c r="CP371" s="263"/>
      <c r="CQ371" s="263"/>
      <c r="CR371" s="263"/>
      <c r="CS371" s="263"/>
      <c r="CT371" s="263"/>
      <c r="CU371" s="90">
        <v>1</v>
      </c>
      <c r="CV371" s="181"/>
      <c r="CW371" s="438"/>
      <c r="CX371" s="439"/>
      <c r="CY371" s="155"/>
      <c r="CZ371" s="121"/>
      <c r="DA371" s="428" t="s">
        <v>938</v>
      </c>
      <c r="DB371" s="115" t="str">
        <f>PROPER(N371)</f>
        <v>Prodability Academy</v>
      </c>
      <c r="DC371" s="280" t="s">
        <v>1398</v>
      </c>
      <c r="DD371" s="116" t="str">
        <f>BP371</f>
        <v>Prodability Academy</v>
      </c>
      <c r="DE371" s="117" t="b">
        <f>IF(OR(D371&gt;0),IF(BJ371=0,BN371*BQ371,0))</f>
        <v>0</v>
      </c>
      <c r="DF371" s="117" t="b">
        <f>IF(OR(D371&gt;0),IF(BJ371=0,BN371*BY371,0))</f>
        <v>0</v>
      </c>
      <c r="DG371" s="118" t="str">
        <f>BX371</f>
        <v>Cristian B</v>
      </c>
      <c r="DH371" s="76"/>
      <c r="DI371" s="120" t="s">
        <v>154</v>
      </c>
      <c r="DJ371" s="120"/>
      <c r="DK371" s="74" t="s">
        <v>1418</v>
      </c>
      <c r="DL371" s="74" t="s">
        <v>1418</v>
      </c>
      <c r="DM371" s="122"/>
      <c r="DN371" s="6"/>
      <c r="DO371" s="6"/>
      <c r="DP371" s="6"/>
      <c r="DQ371" s="6"/>
      <c r="DR371" s="6"/>
      <c r="DS371" s="6"/>
      <c r="DT371" s="6"/>
      <c r="DU371" s="6"/>
      <c r="DV371" s="6"/>
      <c r="DW371" s="6"/>
      <c r="DX371" s="6"/>
      <c r="DY371" s="6"/>
      <c r="DZ371" s="6"/>
    </row>
    <row r="372" spans="1:130" ht="34.5" hidden="1" customHeight="1">
      <c r="A372" s="228"/>
      <c r="B372" s="75" t="s">
        <v>1359</v>
      </c>
      <c r="C372" s="155"/>
      <c r="D372" s="75">
        <v>1</v>
      </c>
      <c r="E372" s="75">
        <v>1</v>
      </c>
      <c r="F372" s="75"/>
      <c r="G372" s="400" t="s">
        <v>127</v>
      </c>
      <c r="H372" s="400" t="s">
        <v>1988</v>
      </c>
      <c r="I372" s="207" t="s">
        <v>1989</v>
      </c>
      <c r="J372" s="121" t="str">
        <f>CONCATENATE(G372," ",H372)</f>
        <v>Nicola Matrangolo</v>
      </c>
      <c r="K372" s="156">
        <v>3334066296</v>
      </c>
      <c r="L372" s="435"/>
      <c r="M372" s="487" t="s">
        <v>259</v>
      </c>
      <c r="N372" s="84" t="s">
        <v>1990</v>
      </c>
      <c r="O372" s="402"/>
      <c r="P372" s="315"/>
      <c r="Q372" s="160"/>
      <c r="R372" s="403"/>
      <c r="S372" s="160"/>
      <c r="T372" s="404"/>
      <c r="U372" s="315"/>
      <c r="V372" s="315"/>
      <c r="W372" s="315"/>
      <c r="X372" s="131"/>
      <c r="Y372" s="315"/>
      <c r="Z372" s="315"/>
      <c r="AA372" s="315"/>
      <c r="AB372" s="37"/>
      <c r="AC372" s="131"/>
      <c r="AD372" s="121" t="s">
        <v>1991</v>
      </c>
      <c r="AE372" s="88"/>
      <c r="AF372" s="405"/>
      <c r="AG372" s="406"/>
      <c r="AH372" s="406"/>
      <c r="AI372" s="405"/>
      <c r="AJ372" s="155"/>
      <c r="AK372" s="155"/>
      <c r="AL372" s="155"/>
      <c r="AM372" s="407"/>
      <c r="AN372" s="155"/>
      <c r="AO372" s="155"/>
      <c r="AP372" s="155"/>
      <c r="AQ372" s="85"/>
      <c r="AR372" s="121"/>
      <c r="AS372" s="121"/>
      <c r="AT372" s="121"/>
      <c r="AU372" s="408"/>
      <c r="AV372" s="121"/>
      <c r="AW372" s="121"/>
      <c r="AX372" s="121"/>
      <c r="AY372" s="85"/>
      <c r="AZ372" s="121" t="s">
        <v>115</v>
      </c>
      <c r="BA372" s="362" t="s">
        <v>115</v>
      </c>
      <c r="BB372" s="135" t="s">
        <v>115</v>
      </c>
      <c r="BC372" s="85"/>
      <c r="BD372" s="362"/>
      <c r="BE372" s="121"/>
      <c r="BF372" s="121"/>
      <c r="BG372" s="408"/>
      <c r="BH372" s="238">
        <f>CF372+CI372+CL372+CO372+CR372</f>
        <v>2997</v>
      </c>
      <c r="BI372" s="238">
        <f>CH372+CK372+CN372+CQ372+CT372</f>
        <v>2997</v>
      </c>
      <c r="BJ372" s="238">
        <f>BH372-BI372</f>
        <v>0</v>
      </c>
      <c r="BK372" s="239"/>
      <c r="BL372" s="260"/>
      <c r="BM372" s="241"/>
      <c r="BN372" s="142">
        <v>2997</v>
      </c>
      <c r="BO372" s="182"/>
      <c r="BP372" s="105" t="s">
        <v>133</v>
      </c>
      <c r="BQ372" s="98">
        <v>0.15</v>
      </c>
      <c r="BR372" s="409"/>
      <c r="BS372" s="242">
        <f>BL372*BQ372</f>
        <v>0</v>
      </c>
      <c r="BT372" s="203">
        <f>BM372*BQ372</f>
        <v>0</v>
      </c>
      <c r="BU372" s="102">
        <f>BN372*BQ372</f>
        <v>449.55</v>
      </c>
      <c r="BV372" s="168">
        <f>BO372*BQ372</f>
        <v>0</v>
      </c>
      <c r="BW372" s="160" t="s">
        <v>185</v>
      </c>
      <c r="BX372" s="105" t="s">
        <v>133</v>
      </c>
      <c r="BY372" s="145">
        <v>0.05</v>
      </c>
      <c r="BZ372" s="110"/>
      <c r="CA372" s="242">
        <f>BL372*BY372</f>
        <v>0</v>
      </c>
      <c r="CB372" s="203">
        <f>BM372*BY372</f>
        <v>0</v>
      </c>
      <c r="CC372" s="530">
        <f>BN372*BY372</f>
        <v>149.85</v>
      </c>
      <c r="CD372" s="531">
        <f>BO372*BY372</f>
        <v>0</v>
      </c>
      <c r="CE372" s="84" t="s">
        <v>185</v>
      </c>
      <c r="CF372" s="108">
        <v>2997</v>
      </c>
      <c r="CG372" s="109">
        <v>45198</v>
      </c>
      <c r="CH372" s="108">
        <v>2997</v>
      </c>
      <c r="CI372" s="415"/>
      <c r="CJ372" s="416"/>
      <c r="CK372" s="415"/>
      <c r="CL372" s="415"/>
      <c r="CM372" s="416"/>
      <c r="CN372" s="415"/>
      <c r="CO372" s="263"/>
      <c r="CP372" s="263"/>
      <c r="CQ372" s="263"/>
      <c r="CR372" s="263"/>
      <c r="CS372" s="263"/>
      <c r="CT372" s="263"/>
      <c r="CU372" s="90">
        <v>1</v>
      </c>
      <c r="CV372" s="181"/>
      <c r="CW372" s="438"/>
      <c r="CX372" s="439"/>
      <c r="CY372" s="155"/>
      <c r="CZ372" s="121"/>
      <c r="DA372" s="428" t="s">
        <v>1992</v>
      </c>
      <c r="DB372" s="115" t="str">
        <f>PROPER(N372)</f>
        <v>Il Dipintore</v>
      </c>
      <c r="DC372" s="280" t="s">
        <v>1993</v>
      </c>
      <c r="DD372" s="116" t="str">
        <f>BP372</f>
        <v>Cristian B</v>
      </c>
      <c r="DE372" s="117">
        <f>IF(OR(D372&gt;0),IF(BJ372=0,BN372*BQ372,0))</f>
        <v>449.55</v>
      </c>
      <c r="DF372" s="117">
        <f>IF(OR(D372&gt;0),IF(BJ372=0,BN372*BY372,0))</f>
        <v>149.85</v>
      </c>
      <c r="DG372" s="118" t="str">
        <f>BX372</f>
        <v>Cristian B</v>
      </c>
      <c r="DH372" s="76"/>
      <c r="DI372" s="120" t="s">
        <v>126</v>
      </c>
      <c r="DJ372" s="120"/>
      <c r="DK372" s="74" t="s">
        <v>1418</v>
      </c>
      <c r="DL372" s="74" t="s">
        <v>1418</v>
      </c>
      <c r="DM372" s="122">
        <v>1</v>
      </c>
      <c r="DN372" s="6"/>
      <c r="DO372" s="6"/>
      <c r="DP372" s="6"/>
      <c r="DQ372" s="6"/>
      <c r="DR372" s="6"/>
      <c r="DS372" s="6"/>
      <c r="DT372" s="6"/>
      <c r="DU372" s="6"/>
      <c r="DV372" s="6"/>
      <c r="DW372" s="6"/>
      <c r="DX372" s="6"/>
      <c r="DY372" s="6"/>
      <c r="DZ372" s="6"/>
    </row>
    <row r="373" spans="1:130" ht="34.5" hidden="1" customHeight="1">
      <c r="A373" s="228"/>
      <c r="B373" s="75" t="s">
        <v>1359</v>
      </c>
      <c r="C373" s="155"/>
      <c r="D373" s="75"/>
      <c r="E373" s="75"/>
      <c r="F373" s="75"/>
      <c r="G373" s="400" t="s">
        <v>2066</v>
      </c>
      <c r="H373" s="400" t="s">
        <v>2067</v>
      </c>
      <c r="I373" s="479" t="s">
        <v>2068</v>
      </c>
      <c r="J373" s="155" t="str">
        <f>CONCATENATE(G373," ",H373)</f>
        <v>Tobia Paoletto</v>
      </c>
      <c r="K373" s="156"/>
      <c r="L373" s="435"/>
      <c r="M373" s="153"/>
      <c r="N373" s="84" t="s">
        <v>2062</v>
      </c>
      <c r="O373" s="402"/>
      <c r="P373" s="315"/>
      <c r="Q373" s="160"/>
      <c r="R373" s="403"/>
      <c r="S373" s="160"/>
      <c r="T373" s="404"/>
      <c r="U373" s="315"/>
      <c r="V373" s="315"/>
      <c r="W373" s="315"/>
      <c r="X373" s="131"/>
      <c r="Y373" s="315"/>
      <c r="Z373" s="315"/>
      <c r="AA373" s="315"/>
      <c r="AB373" s="37"/>
      <c r="AC373" s="131"/>
      <c r="AD373" s="121"/>
      <c r="AE373" s="88"/>
      <c r="AF373" s="405"/>
      <c r="AG373" s="406"/>
      <c r="AH373" s="406"/>
      <c r="AI373" s="405"/>
      <c r="AJ373" s="155"/>
      <c r="AK373" s="155"/>
      <c r="AL373" s="155"/>
      <c r="AM373" s="407"/>
      <c r="AN373" s="155"/>
      <c r="AO373" s="155"/>
      <c r="AP373" s="155"/>
      <c r="AQ373" s="85"/>
      <c r="AR373" s="121"/>
      <c r="AS373" s="121"/>
      <c r="AT373" s="121"/>
      <c r="AU373" s="408"/>
      <c r="AV373" s="121"/>
      <c r="AW373" s="121"/>
      <c r="AX373" s="121"/>
      <c r="AY373" s="85"/>
      <c r="AZ373" s="362"/>
      <c r="BA373" s="362"/>
      <c r="BB373" s="362"/>
      <c r="BC373" s="85"/>
      <c r="BD373" s="121" t="s">
        <v>335</v>
      </c>
      <c r="BE373" s="362" t="s">
        <v>245</v>
      </c>
      <c r="BF373" s="362" t="s">
        <v>245</v>
      </c>
      <c r="BG373" s="408"/>
      <c r="BH373" s="238">
        <f>CF373+CI373+CL373+CO373</f>
        <v>2697.6</v>
      </c>
      <c r="BI373" s="238">
        <f>CH373+CK373+CN373+CQ373</f>
        <v>0</v>
      </c>
      <c r="BJ373" s="238">
        <f>BH373-BI373</f>
        <v>2697.6</v>
      </c>
      <c r="BK373" s="239"/>
      <c r="BL373" s="260"/>
      <c r="BM373" s="241"/>
      <c r="BN373" s="142"/>
      <c r="BO373" s="182">
        <v>2697.3</v>
      </c>
      <c r="BP373" s="441" t="s">
        <v>166</v>
      </c>
      <c r="BQ373" s="145">
        <v>0.05</v>
      </c>
      <c r="BR373" s="480"/>
      <c r="BS373" s="381">
        <f>BL373*BQ373</f>
        <v>0</v>
      </c>
      <c r="BT373" s="168">
        <f>BM373*BQ373</f>
        <v>0</v>
      </c>
      <c r="BU373" s="106">
        <f>BN373*BQ373</f>
        <v>0</v>
      </c>
      <c r="BV373" s="168">
        <f>BO373*BQ373</f>
        <v>134.86500000000001</v>
      </c>
      <c r="BW373" s="204"/>
      <c r="BX373" s="441" t="s">
        <v>166</v>
      </c>
      <c r="BY373" s="145">
        <v>0.05</v>
      </c>
      <c r="BZ373" s="110"/>
      <c r="CA373" s="242">
        <f>BL373*BY373</f>
        <v>0</v>
      </c>
      <c r="CB373" s="203">
        <f>BM373*BY373</f>
        <v>0</v>
      </c>
      <c r="CC373" s="530">
        <f>BN373*BY373</f>
        <v>0</v>
      </c>
      <c r="CD373" s="531">
        <f>BO373*BY373</f>
        <v>134.86500000000001</v>
      </c>
      <c r="CE373" s="411"/>
      <c r="CF373" s="108">
        <v>2697.6</v>
      </c>
      <c r="CG373" s="109">
        <v>45211</v>
      </c>
      <c r="CH373" s="227">
        <v>0</v>
      </c>
      <c r="CI373" s="415"/>
      <c r="CJ373" s="416"/>
      <c r="CK373" s="415"/>
      <c r="CL373" s="415"/>
      <c r="CM373" s="416"/>
      <c r="CN373" s="415"/>
      <c r="CO373" s="263"/>
      <c r="CP373" s="263"/>
      <c r="CQ373" s="263"/>
      <c r="CR373" s="263"/>
      <c r="CS373" s="263"/>
      <c r="CT373" s="263"/>
      <c r="CU373" s="90"/>
      <c r="CV373" s="181"/>
      <c r="CW373" s="438"/>
      <c r="CX373" s="439"/>
      <c r="CY373" s="155"/>
      <c r="CZ373" s="121"/>
      <c r="DA373" s="428"/>
      <c r="DB373" s="115" t="s">
        <v>2064</v>
      </c>
      <c r="DC373" s="280" t="s">
        <v>2065</v>
      </c>
      <c r="DD373" s="116" t="str">
        <f>BP373</f>
        <v>Matteo</v>
      </c>
      <c r="DE373" s="117" t="b">
        <f>IF(OR(D373&gt;0),IF(BJ373=0,BN373*BQ373,0))</f>
        <v>0</v>
      </c>
      <c r="DF373" s="117" t="b">
        <f>IF(OR(D373&gt;0),IF(BJ373=0,BN373*BY373,0))</f>
        <v>0</v>
      </c>
      <c r="DG373" s="118" t="str">
        <f>BX373</f>
        <v>Matteo</v>
      </c>
      <c r="DH373" s="76"/>
      <c r="DI373" s="120" t="s">
        <v>154</v>
      </c>
      <c r="DJ373" s="120"/>
      <c r="DK373" s="74"/>
      <c r="DL373" s="74"/>
      <c r="DM373" s="122"/>
      <c r="DN373" s="6"/>
      <c r="DO373" s="6"/>
      <c r="DP373" s="6"/>
      <c r="DQ373" s="6"/>
      <c r="DR373" s="6"/>
      <c r="DS373" s="6"/>
      <c r="DT373" s="6"/>
      <c r="DU373" s="6"/>
      <c r="DV373" s="6"/>
      <c r="DW373" s="6"/>
      <c r="DX373" s="6"/>
      <c r="DY373" s="6"/>
      <c r="DZ373" s="6"/>
    </row>
    <row r="374" spans="1:130" ht="34.5" hidden="1" customHeight="1">
      <c r="A374" s="228"/>
      <c r="B374" s="75" t="s">
        <v>1359</v>
      </c>
      <c r="C374" s="155"/>
      <c r="D374" s="75"/>
      <c r="E374" s="75"/>
      <c r="F374" s="75"/>
      <c r="G374" s="400" t="s">
        <v>1340</v>
      </c>
      <c r="H374" s="400" t="s">
        <v>2069</v>
      </c>
      <c r="I374" s="207" t="s">
        <v>2070</v>
      </c>
      <c r="J374" s="155" t="str">
        <f>CONCATENATE(G374," ",H374)</f>
        <v>Roberta Pinna</v>
      </c>
      <c r="K374" s="156">
        <v>3663672835</v>
      </c>
      <c r="L374" s="152" t="s">
        <v>2071</v>
      </c>
      <c r="M374" s="153"/>
      <c r="N374" s="160" t="s">
        <v>2072</v>
      </c>
      <c r="O374" s="402"/>
      <c r="P374" s="315"/>
      <c r="Q374" s="160"/>
      <c r="R374" s="403"/>
      <c r="S374" s="160"/>
      <c r="T374" s="404"/>
      <c r="U374" s="315"/>
      <c r="V374" s="315"/>
      <c r="W374" s="315"/>
      <c r="X374" s="131"/>
      <c r="Y374" s="315"/>
      <c r="Z374" s="315"/>
      <c r="AA374" s="315"/>
      <c r="AB374" s="37"/>
      <c r="AC374" s="131"/>
      <c r="AD374" s="121"/>
      <c r="AE374" s="88"/>
      <c r="AF374" s="405"/>
      <c r="AG374" s="406"/>
      <c r="AH374" s="406"/>
      <c r="AI374" s="405"/>
      <c r="AJ374" s="155"/>
      <c r="AK374" s="155"/>
      <c r="AL374" s="155"/>
      <c r="AM374" s="407"/>
      <c r="AN374" s="155"/>
      <c r="AO374" s="155"/>
      <c r="AP374" s="155"/>
      <c r="AQ374" s="85"/>
      <c r="AR374" s="121"/>
      <c r="AS374" s="121"/>
      <c r="AT374" s="121"/>
      <c r="AU374" s="408"/>
      <c r="AV374" s="121"/>
      <c r="AW374" s="121"/>
      <c r="AX374" s="121"/>
      <c r="AY374" s="85"/>
      <c r="AZ374" s="154" t="s">
        <v>165</v>
      </c>
      <c r="BA374" s="154" t="s">
        <v>165</v>
      </c>
      <c r="BB374" s="154" t="s">
        <v>165</v>
      </c>
      <c r="BC374" s="85"/>
      <c r="BD374" s="121"/>
      <c r="BE374" s="121"/>
      <c r="BF374" s="121"/>
      <c r="BG374" s="408"/>
      <c r="BH374" s="238">
        <f>CF374+CI374+CL374+CO374+CR374</f>
        <v>0</v>
      </c>
      <c r="BI374" s="238">
        <f>CH374+CK374+CN374+CQ374+CT374</f>
        <v>0</v>
      </c>
      <c r="BJ374" s="238">
        <f>BH374-BI374</f>
        <v>0</v>
      </c>
      <c r="BK374" s="239"/>
      <c r="BL374" s="260"/>
      <c r="BM374" s="241"/>
      <c r="BN374" s="142"/>
      <c r="BO374" s="182"/>
      <c r="BP374" s="105" t="s">
        <v>246</v>
      </c>
      <c r="BQ374" s="98">
        <v>0.15</v>
      </c>
      <c r="BR374" s="409"/>
      <c r="BS374" s="242">
        <f>BL374*BQ374</f>
        <v>0</v>
      </c>
      <c r="BT374" s="203">
        <f>BM374*BQ374</f>
        <v>0</v>
      </c>
      <c r="BU374" s="167">
        <f>BN374*BQ374</f>
        <v>0</v>
      </c>
      <c r="BV374" s="168">
        <f>BO374*BQ374</f>
        <v>0</v>
      </c>
      <c r="BW374" s="131"/>
      <c r="BX374" s="105" t="s">
        <v>246</v>
      </c>
      <c r="BY374" s="145">
        <v>0.05</v>
      </c>
      <c r="BZ374" s="110"/>
      <c r="CA374" s="242">
        <f>BL374*BY374</f>
        <v>0</v>
      </c>
      <c r="CB374" s="203">
        <f>BM374*BY374</f>
        <v>0</v>
      </c>
      <c r="CC374" s="530">
        <f>BN374*BY374</f>
        <v>0</v>
      </c>
      <c r="CD374" s="531">
        <f>BO374*BY374</f>
        <v>0</v>
      </c>
      <c r="CE374" s="411"/>
      <c r="CF374" s="108">
        <v>0</v>
      </c>
      <c r="CG374" s="109"/>
      <c r="CH374" s="414"/>
      <c r="CI374" s="415"/>
      <c r="CJ374" s="416"/>
      <c r="CK374" s="415"/>
      <c r="CL374" s="415"/>
      <c r="CM374" s="416"/>
      <c r="CN374" s="415"/>
      <c r="CO374" s="263"/>
      <c r="CP374" s="263"/>
      <c r="CQ374" s="263"/>
      <c r="CR374" s="263"/>
      <c r="CS374" s="263"/>
      <c r="CT374" s="263"/>
      <c r="CU374" s="90">
        <v>1</v>
      </c>
      <c r="CV374" s="181"/>
      <c r="CW374" s="438"/>
      <c r="CX374" s="439"/>
      <c r="CY374" s="155"/>
      <c r="CZ374" s="121"/>
      <c r="DA374" s="424" t="s">
        <v>1876</v>
      </c>
      <c r="DB374" s="115" t="str">
        <f>PROPER(N374)</f>
        <v>Infomanager</v>
      </c>
      <c r="DC374" s="280" t="s">
        <v>360</v>
      </c>
      <c r="DD374" s="116" t="str">
        <f>BP374</f>
        <v>Marco</v>
      </c>
      <c r="DE374" s="117" t="b">
        <f>IF(OR(D374&gt;0),IF(BJ374=0,BN374*BQ374,0))</f>
        <v>0</v>
      </c>
      <c r="DF374" s="117" t="b">
        <f>IF(OR(D374&gt;0),IF(BJ374=0,BN374*BY374,0))</f>
        <v>0</v>
      </c>
      <c r="DG374" s="118" t="str">
        <f>BX374</f>
        <v>Marco</v>
      </c>
      <c r="DH374" s="76"/>
      <c r="DI374" s="120" t="s">
        <v>154</v>
      </c>
      <c r="DJ374" s="120"/>
      <c r="DK374" s="74" t="s">
        <v>1366</v>
      </c>
      <c r="DL374" s="74" t="s">
        <v>1366</v>
      </c>
      <c r="DM374" s="122"/>
      <c r="DN374" s="6"/>
      <c r="DO374" s="6"/>
      <c r="DP374" s="6"/>
      <c r="DQ374" s="6"/>
      <c r="DR374" s="6"/>
      <c r="DS374" s="6"/>
      <c r="DT374" s="6"/>
      <c r="DU374" s="6"/>
      <c r="DV374" s="6"/>
      <c r="DW374" s="6"/>
      <c r="DX374" s="6"/>
      <c r="DY374" s="6"/>
      <c r="DZ374" s="6"/>
    </row>
    <row r="375" spans="1:130" ht="34.5" hidden="1" customHeight="1">
      <c r="A375" s="228"/>
      <c r="B375" s="371" t="s">
        <v>1359</v>
      </c>
      <c r="C375" s="155"/>
      <c r="D375" s="75"/>
      <c r="E375" s="75"/>
      <c r="F375" s="75"/>
      <c r="G375" s="400" t="s">
        <v>822</v>
      </c>
      <c r="H375" s="400" t="s">
        <v>2073</v>
      </c>
      <c r="I375" s="207" t="s">
        <v>2074</v>
      </c>
      <c r="J375" s="155" t="str">
        <f>CONCATENATE(G375," ",H375)</f>
        <v>Roberto Gasparinetti</v>
      </c>
      <c r="K375" s="156"/>
      <c r="L375" s="435" t="s">
        <v>2075</v>
      </c>
      <c r="M375" s="153"/>
      <c r="N375" s="160" t="s">
        <v>2076</v>
      </c>
      <c r="O375" s="402"/>
      <c r="P375" s="315"/>
      <c r="Q375" s="160"/>
      <c r="R375" s="403"/>
      <c r="S375" s="160"/>
      <c r="T375" s="404"/>
      <c r="U375" s="315"/>
      <c r="V375" s="315"/>
      <c r="W375" s="315"/>
      <c r="X375" s="131"/>
      <c r="Y375" s="315"/>
      <c r="Z375" s="315"/>
      <c r="AA375" s="315"/>
      <c r="AB375" s="37"/>
      <c r="AC375" s="131"/>
      <c r="AD375" s="121"/>
      <c r="AE375" s="88"/>
      <c r="AF375" s="405"/>
      <c r="AG375" s="406"/>
      <c r="AH375" s="406"/>
      <c r="AI375" s="405"/>
      <c r="AJ375" s="155"/>
      <c r="AK375" s="155"/>
      <c r="AL375" s="155"/>
      <c r="AM375" s="407"/>
      <c r="AN375" s="155"/>
      <c r="AO375" s="155"/>
      <c r="AP375" s="155"/>
      <c r="AQ375" s="85"/>
      <c r="AR375" s="121"/>
      <c r="AS375" s="121"/>
      <c r="AT375" s="121"/>
      <c r="AU375" s="408"/>
      <c r="AV375" s="121"/>
      <c r="AW375" s="121"/>
      <c r="AX375" s="121"/>
      <c r="AY375" s="85"/>
      <c r="AZ375" s="121"/>
      <c r="BA375" s="121"/>
      <c r="BB375" s="121"/>
      <c r="BC375" s="85"/>
      <c r="BD375" s="121" t="s">
        <v>1364</v>
      </c>
      <c r="BE375" s="121" t="s">
        <v>1364</v>
      </c>
      <c r="BF375" s="121" t="s">
        <v>1364</v>
      </c>
      <c r="BG375" s="408"/>
      <c r="BH375" s="238">
        <f>CF375+CI375+CL375+CO375+CR375</f>
        <v>2997</v>
      </c>
      <c r="BI375" s="238">
        <f>CH375+CK375+CN375+CQ375+CT375</f>
        <v>0</v>
      </c>
      <c r="BJ375" s="238">
        <f>BH375-BI375</f>
        <v>2997</v>
      </c>
      <c r="BK375" s="239"/>
      <c r="BL375" s="260"/>
      <c r="BM375" s="241"/>
      <c r="BN375" s="142"/>
      <c r="BO375" s="182">
        <v>2997</v>
      </c>
      <c r="BP375" s="105" t="s">
        <v>262</v>
      </c>
      <c r="BQ375" s="98">
        <v>0.15</v>
      </c>
      <c r="BR375" s="409"/>
      <c r="BS375" s="242">
        <f>BL375*BQ375</f>
        <v>0</v>
      </c>
      <c r="BT375" s="203">
        <f>BM375*BQ375</f>
        <v>0</v>
      </c>
      <c r="BU375" s="167">
        <f>BN375*BQ375</f>
        <v>0</v>
      </c>
      <c r="BV375" s="168">
        <f>BO375*BQ375</f>
        <v>449.55</v>
      </c>
      <c r="BW375" s="131"/>
      <c r="BX375" s="105" t="s">
        <v>262</v>
      </c>
      <c r="BY375" s="145">
        <v>0.05</v>
      </c>
      <c r="BZ375" s="110"/>
      <c r="CA375" s="242">
        <f>BL375*BY375</f>
        <v>0</v>
      </c>
      <c r="CB375" s="203">
        <f>BM375*BY375</f>
        <v>0</v>
      </c>
      <c r="CC375" s="530">
        <f>BN375*BY375</f>
        <v>0</v>
      </c>
      <c r="CD375" s="531">
        <f>BO375*BY375</f>
        <v>149.85</v>
      </c>
      <c r="CE375" s="411"/>
      <c r="CF375" s="108">
        <v>2997</v>
      </c>
      <c r="CG375" s="109">
        <v>45198</v>
      </c>
      <c r="CH375" s="249"/>
      <c r="CI375" s="415"/>
      <c r="CJ375" s="416"/>
      <c r="CK375" s="415"/>
      <c r="CL375" s="415"/>
      <c r="CM375" s="416"/>
      <c r="CN375" s="415"/>
      <c r="CO375" s="263"/>
      <c r="CP375" s="263"/>
      <c r="CQ375" s="263"/>
      <c r="CR375" s="263"/>
      <c r="CS375" s="263"/>
      <c r="CT375" s="263"/>
      <c r="CU375" s="90">
        <v>1</v>
      </c>
      <c r="CV375" s="181"/>
      <c r="CW375" s="438"/>
      <c r="CX375" s="439"/>
      <c r="CY375" s="155"/>
      <c r="CZ375" s="121"/>
      <c r="DA375" s="131" t="s">
        <v>2077</v>
      </c>
      <c r="DB375" s="115" t="str">
        <f>PROPER(N375)</f>
        <v>Stian Group</v>
      </c>
      <c r="DC375" s="131" t="s">
        <v>2078</v>
      </c>
      <c r="DD375" s="116" t="str">
        <f>BP375</f>
        <v>Pacci</v>
      </c>
      <c r="DE375" s="117" t="b">
        <f>IF(OR(D375&gt;0),IF(BJ375=0,BN375*BQ375,0))</f>
        <v>0</v>
      </c>
      <c r="DF375" s="117" t="b">
        <f>IF(OR(D375&gt;0),IF(BJ375=0,BN375*BY375,0))</f>
        <v>0</v>
      </c>
      <c r="DG375" s="118" t="str">
        <f>BX375</f>
        <v>Pacci</v>
      </c>
      <c r="DH375" s="76"/>
      <c r="DI375" s="120" t="s">
        <v>154</v>
      </c>
      <c r="DJ375" s="120"/>
      <c r="DK375" s="74" t="s">
        <v>1366</v>
      </c>
      <c r="DL375" s="74" t="s">
        <v>1366</v>
      </c>
      <c r="DM375" s="122"/>
      <c r="DN375" s="6"/>
      <c r="DO375" s="6"/>
      <c r="DP375" s="6"/>
      <c r="DQ375" s="6"/>
      <c r="DR375" s="6"/>
      <c r="DS375" s="6"/>
      <c r="DT375" s="6"/>
      <c r="DU375" s="6"/>
      <c r="DV375" s="6"/>
      <c r="DW375" s="6"/>
      <c r="DX375" s="6"/>
      <c r="DY375" s="6"/>
      <c r="DZ375" s="6"/>
    </row>
    <row r="376" spans="1:130" ht="34.5" hidden="1" customHeight="1">
      <c r="A376" s="228"/>
      <c r="B376" s="371" t="s">
        <v>1359</v>
      </c>
      <c r="C376" s="155"/>
      <c r="D376" s="75"/>
      <c r="E376" s="75"/>
      <c r="F376" s="75"/>
      <c r="G376" s="400" t="s">
        <v>407</v>
      </c>
      <c r="H376" s="400" t="s">
        <v>2079</v>
      </c>
      <c r="I376" s="207" t="s">
        <v>2080</v>
      </c>
      <c r="J376" s="155" t="str">
        <f>CONCATENATE(G376," ",H376)</f>
        <v>Stefano Visconti</v>
      </c>
      <c r="K376" s="156">
        <v>3337690854</v>
      </c>
      <c r="L376" s="435" t="s">
        <v>2075</v>
      </c>
      <c r="M376" s="153"/>
      <c r="N376" s="160" t="s">
        <v>2076</v>
      </c>
      <c r="O376" s="402"/>
      <c r="P376" s="315"/>
      <c r="Q376" s="160"/>
      <c r="R376" s="403"/>
      <c r="S376" s="160"/>
      <c r="T376" s="404"/>
      <c r="U376" s="315"/>
      <c r="V376" s="315"/>
      <c r="W376" s="315"/>
      <c r="X376" s="131"/>
      <c r="Y376" s="315"/>
      <c r="Z376" s="315"/>
      <c r="AA376" s="315"/>
      <c r="AB376" s="37"/>
      <c r="AC376" s="131"/>
      <c r="AD376" s="121"/>
      <c r="AE376" s="88"/>
      <c r="AF376" s="405"/>
      <c r="AG376" s="406"/>
      <c r="AH376" s="406"/>
      <c r="AI376" s="405"/>
      <c r="AJ376" s="155"/>
      <c r="AK376" s="155"/>
      <c r="AL376" s="155"/>
      <c r="AM376" s="407"/>
      <c r="AN376" s="155"/>
      <c r="AO376" s="155"/>
      <c r="AP376" s="155"/>
      <c r="AQ376" s="85"/>
      <c r="AR376" s="121"/>
      <c r="AS376" s="121"/>
      <c r="AT376" s="121"/>
      <c r="AU376" s="408"/>
      <c r="AV376" s="121"/>
      <c r="AW376" s="121"/>
      <c r="AX376" s="121"/>
      <c r="AY376" s="85"/>
      <c r="AZ376" s="121"/>
      <c r="BA376" s="121"/>
      <c r="BB376" s="121"/>
      <c r="BC376" s="85"/>
      <c r="BD376" s="121" t="s">
        <v>1364</v>
      </c>
      <c r="BE376" s="121" t="s">
        <v>1364</v>
      </c>
      <c r="BF376" s="121" t="s">
        <v>1364</v>
      </c>
      <c r="BG376" s="408"/>
      <c r="BH376" s="238">
        <f>CF376+CI376+CL376+CO376+CR376</f>
        <v>2997</v>
      </c>
      <c r="BI376" s="238">
        <f>CH376+CK376+CN376+CQ376+CT376</f>
        <v>0</v>
      </c>
      <c r="BJ376" s="238">
        <f>BH376-BI376</f>
        <v>2997</v>
      </c>
      <c r="BK376" s="239"/>
      <c r="BL376" s="260"/>
      <c r="BM376" s="241"/>
      <c r="BN376" s="142"/>
      <c r="BO376" s="182">
        <v>2997</v>
      </c>
      <c r="BP376" s="105" t="s">
        <v>262</v>
      </c>
      <c r="BQ376" s="98">
        <v>0.15</v>
      </c>
      <c r="BR376" s="409"/>
      <c r="BS376" s="242">
        <f>BL376*BQ376</f>
        <v>0</v>
      </c>
      <c r="BT376" s="203">
        <f>BM376*BQ376</f>
        <v>0</v>
      </c>
      <c r="BU376" s="167">
        <f>BN376*BQ376</f>
        <v>0</v>
      </c>
      <c r="BV376" s="168">
        <f>BO376*BQ376</f>
        <v>449.55</v>
      </c>
      <c r="BW376" s="131"/>
      <c r="BX376" s="105" t="s">
        <v>262</v>
      </c>
      <c r="BY376" s="145">
        <v>0.05</v>
      </c>
      <c r="BZ376" s="110"/>
      <c r="CA376" s="242">
        <f>BL376*BY376</f>
        <v>0</v>
      </c>
      <c r="CB376" s="203">
        <f>BM376*BY376</f>
        <v>0</v>
      </c>
      <c r="CC376" s="530">
        <f>BN376*BY376</f>
        <v>0</v>
      </c>
      <c r="CD376" s="531">
        <f>BO376*BY376</f>
        <v>149.85</v>
      </c>
      <c r="CE376" s="411"/>
      <c r="CF376" s="108">
        <v>2997</v>
      </c>
      <c r="CG376" s="109">
        <v>45198</v>
      </c>
      <c r="CH376" s="249"/>
      <c r="CI376" s="415"/>
      <c r="CJ376" s="416"/>
      <c r="CK376" s="415"/>
      <c r="CL376" s="415"/>
      <c r="CM376" s="416"/>
      <c r="CN376" s="415"/>
      <c r="CO376" s="263"/>
      <c r="CP376" s="263"/>
      <c r="CQ376" s="263"/>
      <c r="CR376" s="263"/>
      <c r="CS376" s="263"/>
      <c r="CT376" s="263"/>
      <c r="CU376" s="90">
        <v>1</v>
      </c>
      <c r="CV376" s="181"/>
      <c r="CW376" s="491"/>
      <c r="CX376" s="492"/>
      <c r="CY376" s="155"/>
      <c r="CZ376" s="121"/>
      <c r="DA376" s="131" t="s">
        <v>2077</v>
      </c>
      <c r="DB376" s="115" t="str">
        <f>PROPER(N376)</f>
        <v>Stian Group</v>
      </c>
      <c r="DC376" s="131" t="s">
        <v>2078</v>
      </c>
      <c r="DD376" s="116" t="str">
        <f>BP376</f>
        <v>Pacci</v>
      </c>
      <c r="DE376" s="117" t="b">
        <f>IF(OR(D376&gt;0),IF(BJ376=0,BN376*BQ376,0))</f>
        <v>0</v>
      </c>
      <c r="DF376" s="117" t="b">
        <f>IF(OR(D376&gt;0),IF(BJ376=0,BN376*BY376,0))</f>
        <v>0</v>
      </c>
      <c r="DG376" s="118" t="str">
        <f>BX376</f>
        <v>Pacci</v>
      </c>
      <c r="DH376" s="76"/>
      <c r="DI376" s="120" t="s">
        <v>154</v>
      </c>
      <c r="DJ376" s="120"/>
      <c r="DK376" s="74" t="s">
        <v>1366</v>
      </c>
      <c r="DL376" s="74" t="s">
        <v>1366</v>
      </c>
      <c r="DM376" s="122"/>
      <c r="DN376" s="6"/>
      <c r="DO376" s="6"/>
      <c r="DP376" s="6"/>
      <c r="DQ376" s="6"/>
      <c r="DR376" s="6"/>
      <c r="DS376" s="6"/>
      <c r="DT376" s="6"/>
      <c r="DU376" s="6"/>
      <c r="DV376" s="6"/>
      <c r="DW376" s="6"/>
      <c r="DX376" s="6"/>
      <c r="DY376" s="6"/>
      <c r="DZ376" s="6"/>
    </row>
    <row r="377" spans="1:130" ht="34.5" hidden="1" customHeight="1">
      <c r="A377" s="228"/>
      <c r="B377" s="75" t="s">
        <v>1359</v>
      </c>
      <c r="C377" s="155"/>
      <c r="D377" s="75"/>
      <c r="E377" s="75"/>
      <c r="F377" s="75"/>
      <c r="G377" s="400" t="s">
        <v>407</v>
      </c>
      <c r="H377" s="400" t="s">
        <v>2081</v>
      </c>
      <c r="I377" s="207" t="s">
        <v>2082</v>
      </c>
      <c r="J377" s="155" t="str">
        <f>CONCATENATE(G377," ",H377)</f>
        <v>Stefano Cau</v>
      </c>
      <c r="K377" s="156"/>
      <c r="L377" s="442" t="s">
        <v>2083</v>
      </c>
      <c r="M377" s="153"/>
      <c r="N377" s="160" t="s">
        <v>2084</v>
      </c>
      <c r="O377" s="402"/>
      <c r="P377" s="315"/>
      <c r="Q377" s="160"/>
      <c r="R377" s="403"/>
      <c r="S377" s="160"/>
      <c r="T377" s="404"/>
      <c r="U377" s="315"/>
      <c r="V377" s="315"/>
      <c r="W377" s="315"/>
      <c r="X377" s="131"/>
      <c r="Y377" s="315"/>
      <c r="Z377" s="315"/>
      <c r="AA377" s="315"/>
      <c r="AB377" s="37"/>
      <c r="AC377" s="131"/>
      <c r="AD377" s="121" t="s">
        <v>2085</v>
      </c>
      <c r="AE377" s="88"/>
      <c r="AF377" s="405"/>
      <c r="AG377" s="406"/>
      <c r="AH377" s="406"/>
      <c r="AI377" s="405"/>
      <c r="AJ377" s="155"/>
      <c r="AK377" s="155"/>
      <c r="AL377" s="155"/>
      <c r="AM377" s="407"/>
      <c r="AN377" s="155"/>
      <c r="AO377" s="155"/>
      <c r="AP377" s="155"/>
      <c r="AQ377" s="85"/>
      <c r="AR377" s="121"/>
      <c r="AS377" s="121"/>
      <c r="AT377" s="121"/>
      <c r="AU377" s="408"/>
      <c r="AV377" s="121"/>
      <c r="AW377" s="121"/>
      <c r="AX377" s="121"/>
      <c r="AY377" s="85"/>
      <c r="AZ377" s="121"/>
      <c r="BA377" s="121"/>
      <c r="BB377" s="121"/>
      <c r="BC377" s="85"/>
      <c r="BD377" s="121" t="s">
        <v>245</v>
      </c>
      <c r="BE377" s="121" t="s">
        <v>245</v>
      </c>
      <c r="BF377" s="121" t="s">
        <v>245</v>
      </c>
      <c r="BG377" s="408"/>
      <c r="BH377" s="238">
        <f>CF377+CI377+CL377+CO377+CR377</f>
        <v>2997.0044262295082</v>
      </c>
      <c r="BI377" s="238">
        <f>CH377+CK377+CN377+CQ377+CT377</f>
        <v>163.9344262295082</v>
      </c>
      <c r="BJ377" s="238">
        <f>BH377-BI377</f>
        <v>2833.07</v>
      </c>
      <c r="BK377" s="239"/>
      <c r="BL377" s="260"/>
      <c r="BM377" s="241"/>
      <c r="BN377" s="142"/>
      <c r="BO377" s="182">
        <v>2997</v>
      </c>
      <c r="BP377" s="105" t="s">
        <v>160</v>
      </c>
      <c r="BQ377" s="98">
        <v>0.15</v>
      </c>
      <c r="BR377" s="409"/>
      <c r="BS377" s="242"/>
      <c r="BT377" s="203"/>
      <c r="BU377" s="167">
        <f>BN377*BQ377</f>
        <v>0</v>
      </c>
      <c r="BV377" s="168">
        <f>BO377*BQ377</f>
        <v>449.55</v>
      </c>
      <c r="BW377" s="131"/>
      <c r="BX377" s="105" t="s">
        <v>160</v>
      </c>
      <c r="BY377" s="145">
        <v>0.05</v>
      </c>
      <c r="BZ377" s="110"/>
      <c r="CA377" s="242"/>
      <c r="CB377" s="203"/>
      <c r="CC377" s="530">
        <f>BN377*BY377</f>
        <v>0</v>
      </c>
      <c r="CD377" s="531">
        <f>BO377*BY377</f>
        <v>149.85</v>
      </c>
      <c r="CE377" s="411"/>
      <c r="CF377" s="108">
        <f>200/1.22</f>
        <v>163.9344262295082</v>
      </c>
      <c r="CG377" s="109">
        <v>45198</v>
      </c>
      <c r="CH377" s="108">
        <f>200/1.22</f>
        <v>163.9344262295082</v>
      </c>
      <c r="CI377" s="110">
        <f>2997-163.93</f>
        <v>2833.07</v>
      </c>
      <c r="CJ377" s="226">
        <v>45291</v>
      </c>
      <c r="CK377" s="415"/>
      <c r="CL377" s="415"/>
      <c r="CM377" s="416"/>
      <c r="CN377" s="415"/>
      <c r="CO377" s="263"/>
      <c r="CP377" s="263"/>
      <c r="CQ377" s="263"/>
      <c r="CR377" s="263"/>
      <c r="CS377" s="263"/>
      <c r="CT377" s="263"/>
      <c r="CU377" s="90">
        <v>1</v>
      </c>
      <c r="CV377" s="181"/>
      <c r="CW377" s="438" t="s">
        <v>2086</v>
      </c>
      <c r="CX377" s="439" t="s">
        <v>1004</v>
      </c>
      <c r="CY377" s="155"/>
      <c r="CZ377" s="121"/>
      <c r="DA377" s="131" t="s">
        <v>1008</v>
      </c>
      <c r="DB377" s="115" t="str">
        <f>PROPER(N377)</f>
        <v>Youandtech</v>
      </c>
      <c r="DC377" s="131" t="s">
        <v>2087</v>
      </c>
      <c r="DD377" s="116" t="str">
        <f>BP377</f>
        <v>Gianluca</v>
      </c>
      <c r="DE377" s="117" t="b">
        <f>IF(OR(D377&gt;0),IF(BJ377=0,BN377*BQ377,0))</f>
        <v>0</v>
      </c>
      <c r="DF377" s="117" t="b">
        <f>IF(OR(D377&gt;0),IF(BJ377=0,BN377*BY377,0))</f>
        <v>0</v>
      </c>
      <c r="DG377" s="118" t="str">
        <f>BX377</f>
        <v>Gianluca</v>
      </c>
      <c r="DH377" s="76"/>
      <c r="DI377" s="120" t="s">
        <v>154</v>
      </c>
      <c r="DJ377" s="120"/>
      <c r="DK377" s="74"/>
      <c r="DL377" s="74"/>
      <c r="DM377" s="122"/>
      <c r="DN377" s="6"/>
      <c r="DO377" s="6"/>
      <c r="DP377" s="6"/>
      <c r="DQ377" s="6"/>
      <c r="DR377" s="6"/>
      <c r="DS377" s="6"/>
      <c r="DT377" s="6"/>
      <c r="DU377" s="6"/>
      <c r="DV377" s="6"/>
      <c r="DW377" s="6"/>
      <c r="DX377" s="6"/>
      <c r="DY377" s="6"/>
      <c r="DZ377" s="6"/>
    </row>
    <row r="378" spans="1:130" ht="34.5" hidden="1" customHeight="1">
      <c r="A378" s="228"/>
      <c r="B378" s="75" t="s">
        <v>1359</v>
      </c>
      <c r="C378" s="155"/>
      <c r="D378" s="75"/>
      <c r="E378" s="75"/>
      <c r="F378" s="75"/>
      <c r="G378" s="400" t="s">
        <v>822</v>
      </c>
      <c r="H378" s="400" t="s">
        <v>2088</v>
      </c>
      <c r="I378" s="294" t="s">
        <v>2089</v>
      </c>
      <c r="J378" s="155" t="str">
        <f>CONCATENATE(G378," ",H378)</f>
        <v>Roberto Russo</v>
      </c>
      <c r="K378" s="156">
        <v>3427687793</v>
      </c>
      <c r="L378" s="494" t="s">
        <v>2090</v>
      </c>
      <c r="M378" s="153" t="s">
        <v>1177</v>
      </c>
      <c r="N378" s="160"/>
      <c r="O378" s="402"/>
      <c r="P378" s="315"/>
      <c r="Q378" s="160"/>
      <c r="R378" s="403"/>
      <c r="S378" s="160"/>
      <c r="T378" s="404"/>
      <c r="U378" s="315"/>
      <c r="V378" s="315"/>
      <c r="W378" s="315"/>
      <c r="X378" s="131"/>
      <c r="Y378" s="315"/>
      <c r="Z378" s="315"/>
      <c r="AA378" s="315"/>
      <c r="AB378" s="37"/>
      <c r="AC378" s="131"/>
      <c r="AD378" s="121" t="s">
        <v>2091</v>
      </c>
      <c r="AE378" s="88"/>
      <c r="AF378" s="405"/>
      <c r="AG378" s="406"/>
      <c r="AH378" s="406"/>
      <c r="AI378" s="405"/>
      <c r="AJ378" s="155"/>
      <c r="AK378" s="155"/>
      <c r="AL378" s="155"/>
      <c r="AM378" s="407"/>
      <c r="AN378" s="155"/>
      <c r="AO378" s="155"/>
      <c r="AP378" s="155"/>
      <c r="AQ378" s="85"/>
      <c r="AR378" s="121"/>
      <c r="AS378" s="121"/>
      <c r="AT378" s="121"/>
      <c r="AU378" s="408"/>
      <c r="AV378" s="121"/>
      <c r="AW378" s="121"/>
      <c r="AX378" s="121"/>
      <c r="AY378" s="85"/>
      <c r="AZ378" s="121"/>
      <c r="BA378" s="121"/>
      <c r="BB378" s="121"/>
      <c r="BC378" s="85"/>
      <c r="BD378" s="121" t="s">
        <v>115</v>
      </c>
      <c r="BE378" s="121" t="s">
        <v>115</v>
      </c>
      <c r="BF378" s="121" t="s">
        <v>115</v>
      </c>
      <c r="BG378" s="408"/>
      <c r="BH378" s="238">
        <f>CF378+CI378+CL378+CO378+CR378</f>
        <v>2997</v>
      </c>
      <c r="BI378" s="238">
        <f>CH378+CK378+CN378+CQ378+CT378</f>
        <v>2997</v>
      </c>
      <c r="BJ378" s="238">
        <f>BH378-BI378</f>
        <v>0</v>
      </c>
      <c r="BK378" s="239"/>
      <c r="BL378" s="260"/>
      <c r="BM378" s="241"/>
      <c r="BN378" s="142"/>
      <c r="BO378" s="182">
        <v>2997</v>
      </c>
      <c r="BP378" s="105" t="s">
        <v>262</v>
      </c>
      <c r="BQ378" s="98">
        <v>0.15</v>
      </c>
      <c r="BR378" s="409"/>
      <c r="BS378" s="242">
        <f>BL378*BQ378</f>
        <v>0</v>
      </c>
      <c r="BT378" s="203">
        <f>BM378*BQ378</f>
        <v>0</v>
      </c>
      <c r="BU378" s="167">
        <f>BN378*BQ378</f>
        <v>0</v>
      </c>
      <c r="BV378" s="168">
        <f>BO378*BQ378</f>
        <v>449.55</v>
      </c>
      <c r="BW378" s="131"/>
      <c r="BX378" s="105" t="s">
        <v>262</v>
      </c>
      <c r="BY378" s="145">
        <v>0.05</v>
      </c>
      <c r="BZ378" s="110"/>
      <c r="CA378" s="242">
        <f>BL378*BY378</f>
        <v>0</v>
      </c>
      <c r="CB378" s="203">
        <f>BM378*BY378</f>
        <v>0</v>
      </c>
      <c r="CC378" s="530">
        <f>BN378*BY378</f>
        <v>0</v>
      </c>
      <c r="CD378" s="531">
        <f>BO378*BY378</f>
        <v>149.85</v>
      </c>
      <c r="CE378" s="411"/>
      <c r="CF378" s="108">
        <v>2997</v>
      </c>
      <c r="CG378" s="109">
        <v>45204</v>
      </c>
      <c r="CH378" s="108">
        <v>2997</v>
      </c>
      <c r="CI378" s="415"/>
      <c r="CJ378" s="416"/>
      <c r="CK378" s="415"/>
      <c r="CL378" s="415"/>
      <c r="CM378" s="416"/>
      <c r="CN378" s="415"/>
      <c r="CO378" s="263"/>
      <c r="CP378" s="263"/>
      <c r="CQ378" s="263"/>
      <c r="CR378" s="263"/>
      <c r="CS378" s="263"/>
      <c r="CT378" s="263"/>
      <c r="CU378" s="90">
        <v>1</v>
      </c>
      <c r="CV378" s="181"/>
      <c r="CW378" s="491"/>
      <c r="CX378" s="492"/>
      <c r="CY378" s="155"/>
      <c r="CZ378" s="121"/>
      <c r="DA378" s="424"/>
      <c r="DB378" s="115" t="str">
        <f>PROPER(N378)</f>
        <v/>
      </c>
      <c r="DC378" s="280"/>
      <c r="DD378" s="116" t="str">
        <f>BP378</f>
        <v>Pacci</v>
      </c>
      <c r="DE378" s="117" t="b">
        <f>IF(OR(D378&gt;0),IF(BJ378=0,BN378*BQ378,0))</f>
        <v>0</v>
      </c>
      <c r="DF378" s="117" t="b">
        <f>IF(OR(D378&gt;0),IF(BJ378=0,BN378*BY378,0))</f>
        <v>0</v>
      </c>
      <c r="DG378" s="118" t="str">
        <f>BX378</f>
        <v>Pacci</v>
      </c>
      <c r="DH378" s="76"/>
      <c r="DI378" s="120" t="s">
        <v>154</v>
      </c>
      <c r="DJ378" s="120"/>
      <c r="DK378" s="74" t="s">
        <v>1366</v>
      </c>
      <c r="DL378" s="74" t="s">
        <v>1366</v>
      </c>
      <c r="DM378" s="122"/>
      <c r="DN378" s="6"/>
      <c r="DO378" s="6"/>
      <c r="DP378" s="6"/>
      <c r="DQ378" s="6"/>
      <c r="DR378" s="6"/>
      <c r="DS378" s="6"/>
      <c r="DT378" s="6"/>
      <c r="DU378" s="6"/>
      <c r="DV378" s="6"/>
      <c r="DW378" s="6"/>
      <c r="DX378" s="6"/>
      <c r="DY378" s="6"/>
      <c r="DZ378" s="6"/>
    </row>
    <row r="379" spans="1:130" ht="34.5" hidden="1" customHeight="1">
      <c r="A379" s="3"/>
      <c r="B379" s="75" t="s">
        <v>108</v>
      </c>
      <c r="C379" s="121"/>
      <c r="D379" s="75">
        <v>1</v>
      </c>
      <c r="E379" s="75"/>
      <c r="F379" s="148"/>
      <c r="G379" s="79" t="s">
        <v>761</v>
      </c>
      <c r="H379" s="79" t="s">
        <v>762</v>
      </c>
      <c r="I379" s="131" t="s">
        <v>763</v>
      </c>
      <c r="J379" s="121" t="str">
        <f>CONCATENATE(G379," ",H379)</f>
        <v>Oscar Cordini</v>
      </c>
      <c r="K379" s="156">
        <v>3467605735</v>
      </c>
      <c r="L379" s="183" t="s">
        <v>764</v>
      </c>
      <c r="M379" s="1887" t="s">
        <v>765</v>
      </c>
      <c r="N379" s="160" t="s">
        <v>766</v>
      </c>
      <c r="O379" s="407"/>
      <c r="P379" s="1941"/>
      <c r="Q379" s="86"/>
      <c r="R379" s="86"/>
      <c r="S379" s="86"/>
      <c r="T379" s="1953"/>
      <c r="U379" s="1941"/>
      <c r="V379" s="1941"/>
      <c r="W379" s="1941"/>
      <c r="X379" s="86"/>
      <c r="Y379" s="1960"/>
      <c r="Z379" s="1941"/>
      <c r="AA379" s="1941"/>
      <c r="AB379" s="86"/>
      <c r="AC379" s="86"/>
      <c r="AD379" s="86" t="s">
        <v>767</v>
      </c>
      <c r="AE379" s="88" t="str">
        <f>L379</f>
        <v>msg 23.10</v>
      </c>
      <c r="AF379" s="407"/>
      <c r="AG379" s="121"/>
      <c r="AH379" s="121"/>
      <c r="AI379" s="407"/>
      <c r="AJ379" s="121"/>
      <c r="AK379" s="121"/>
      <c r="AL379" s="121"/>
      <c r="AM379" s="407"/>
      <c r="AN379" s="155"/>
      <c r="AO379" s="155"/>
      <c r="AP379" s="155"/>
      <c r="AQ379" s="1982"/>
      <c r="AR379" s="121"/>
      <c r="AS379" s="121"/>
      <c r="AT379" s="121"/>
      <c r="AU379" s="408"/>
      <c r="AV379" s="121" t="s">
        <v>115</v>
      </c>
      <c r="AW379" s="121" t="s">
        <v>115</v>
      </c>
      <c r="AX379" s="19" t="s">
        <v>115</v>
      </c>
      <c r="AY379" s="1982"/>
      <c r="AZ379" s="121" t="s">
        <v>116</v>
      </c>
      <c r="BA379" s="121"/>
      <c r="BB379" s="121" t="s">
        <v>116</v>
      </c>
      <c r="BC379" s="1982"/>
      <c r="BD379" s="121"/>
      <c r="BE379" s="121"/>
      <c r="BF379" s="121"/>
      <c r="BG379" s="408"/>
      <c r="BH379" s="238"/>
      <c r="BI379" s="238"/>
      <c r="BJ379" s="238"/>
      <c r="BK379" s="199"/>
      <c r="BL379" s="200"/>
      <c r="BM379" s="241">
        <v>3497</v>
      </c>
      <c r="BN379" s="96"/>
      <c r="BO379" s="97"/>
      <c r="BP379" s="281" t="s">
        <v>246</v>
      </c>
      <c r="BQ379" s="145">
        <v>0.15</v>
      </c>
      <c r="BR379" s="2057"/>
      <c r="BS379" s="202"/>
      <c r="BT379" s="203">
        <f>BM379*BQ379</f>
        <v>524.54999999999995</v>
      </c>
      <c r="BU379" s="102">
        <f>BN379*BQ379</f>
        <v>0</v>
      </c>
      <c r="BV379" s="168">
        <f>BO379*BQ379</f>
        <v>0</v>
      </c>
      <c r="BW379" s="131" t="s">
        <v>120</v>
      </c>
      <c r="BX379" s="105" t="s">
        <v>246</v>
      </c>
      <c r="BY379" s="145">
        <v>0.05</v>
      </c>
      <c r="BZ379" s="201"/>
      <c r="CA379" s="202"/>
      <c r="CB379" s="203">
        <f>BM379*BY379</f>
        <v>174.85000000000002</v>
      </c>
      <c r="CC379" s="530">
        <f>BN379*BY379</f>
        <v>0</v>
      </c>
      <c r="CD379" s="531">
        <f>BO379*BY379</f>
        <v>0</v>
      </c>
      <c r="CE379" s="90" t="s">
        <v>120</v>
      </c>
      <c r="CF379" s="108">
        <f>200/1.22</f>
        <v>163.9344262295082</v>
      </c>
      <c r="CG379" s="109">
        <v>45009</v>
      </c>
      <c r="CH379" s="108">
        <v>163.93</v>
      </c>
      <c r="CI379" s="108">
        <f>1720/1.22</f>
        <v>1409.8360655737706</v>
      </c>
      <c r="CJ379" s="226">
        <v>45051</v>
      </c>
      <c r="CK379" s="110">
        <f>1720/1.22</f>
        <v>1409.8360655737706</v>
      </c>
      <c r="CL379" s="110">
        <f>2346.34/1.22</f>
        <v>1923.2295081967216</v>
      </c>
      <c r="CM379" s="226">
        <v>45078</v>
      </c>
      <c r="CN379" s="110">
        <f>2346.34/1.22</f>
        <v>1923.2295081967216</v>
      </c>
      <c r="CO379" s="206"/>
      <c r="CP379" s="206"/>
      <c r="CQ379" s="206"/>
      <c r="CR379" s="206"/>
      <c r="CS379" s="206"/>
      <c r="CT379" s="206"/>
      <c r="CU379" s="90">
        <v>1</v>
      </c>
      <c r="CV379" s="181" t="s">
        <v>121</v>
      </c>
      <c r="CW379" s="112"/>
      <c r="CX379" s="1832"/>
      <c r="CY379" s="155" t="s">
        <v>122</v>
      </c>
      <c r="CZ379" s="155"/>
      <c r="DA379" s="384" t="s">
        <v>288</v>
      </c>
      <c r="DB379" s="115" t="str">
        <f>PROPER(N379)</f>
        <v>Apol</v>
      </c>
      <c r="DC379" s="191" t="s">
        <v>768</v>
      </c>
      <c r="DD379" s="116" t="str">
        <f>BP379</f>
        <v>Marco</v>
      </c>
      <c r="DE379" s="117">
        <f>IF(OR(D379&gt;0),IF(BJ379=0,BN379*BQ379,0))</f>
        <v>0</v>
      </c>
      <c r="DF379" s="117">
        <f>IF(OR(D379&gt;0),IF(BJ379=0,BN379*BY379,0))</f>
        <v>0</v>
      </c>
      <c r="DG379" s="118" t="str">
        <f>BX379</f>
        <v>Marco</v>
      </c>
      <c r="DH379" s="76"/>
      <c r="DI379" s="120" t="s">
        <v>126</v>
      </c>
      <c r="DJ379" s="120"/>
      <c r="DK379" s="121"/>
      <c r="DL379" s="121"/>
      <c r="DM379" s="122"/>
      <c r="DN379" s="6"/>
      <c r="DO379" s="6"/>
      <c r="DP379" s="6"/>
      <c r="DQ379" s="6"/>
      <c r="DR379" s="6"/>
      <c r="DS379" s="6"/>
      <c r="DT379" s="6"/>
      <c r="DU379" s="6"/>
      <c r="DV379" s="6"/>
      <c r="DW379" s="6"/>
      <c r="DX379" s="6"/>
      <c r="DY379" s="6"/>
      <c r="DZ379" s="6"/>
    </row>
    <row r="380" spans="1:130" ht="34.5" hidden="1" customHeight="1">
      <c r="A380" s="228"/>
      <c r="B380" s="371" t="s">
        <v>1359</v>
      </c>
      <c r="C380" s="155"/>
      <c r="D380" s="75"/>
      <c r="E380" s="75"/>
      <c r="F380" s="75"/>
      <c r="G380" s="400" t="s">
        <v>2100</v>
      </c>
      <c r="H380" s="400" t="s">
        <v>2101</v>
      </c>
      <c r="I380" s="207" t="s">
        <v>2102</v>
      </c>
      <c r="J380" s="155" t="str">
        <f>CONCATENATE(G380," ",H380)</f>
        <v>Salvatore Corvaglia</v>
      </c>
      <c r="K380" s="156">
        <v>3407448138</v>
      </c>
      <c r="L380" s="435" t="s">
        <v>2103</v>
      </c>
      <c r="M380" s="153" t="s">
        <v>1148</v>
      </c>
      <c r="N380" s="160" t="s">
        <v>2104</v>
      </c>
      <c r="O380" s="402"/>
      <c r="P380" s="315"/>
      <c r="Q380" s="160"/>
      <c r="R380" s="403"/>
      <c r="S380" s="160"/>
      <c r="T380" s="404"/>
      <c r="U380" s="315"/>
      <c r="V380" s="315"/>
      <c r="W380" s="315"/>
      <c r="X380" s="131"/>
      <c r="Y380" s="315"/>
      <c r="Z380" s="315"/>
      <c r="AA380" s="315"/>
      <c r="AB380" s="37"/>
      <c r="AC380" s="131"/>
      <c r="AD380" s="121"/>
      <c r="AE380" s="88"/>
      <c r="AF380" s="405"/>
      <c r="AG380" s="406"/>
      <c r="AH380" s="406"/>
      <c r="AI380" s="405"/>
      <c r="AJ380" s="155"/>
      <c r="AK380" s="155"/>
      <c r="AL380" s="155"/>
      <c r="AM380" s="407"/>
      <c r="AN380" s="155"/>
      <c r="AO380" s="155"/>
      <c r="AP380" s="155"/>
      <c r="AQ380" s="85"/>
      <c r="AR380" s="121"/>
      <c r="AS380" s="121"/>
      <c r="AT380" s="121"/>
      <c r="AU380" s="408"/>
      <c r="AV380" s="121"/>
      <c r="AW380" s="121"/>
      <c r="AX380" s="121"/>
      <c r="AY380" s="85"/>
      <c r="AZ380" s="121"/>
      <c r="BA380" s="121"/>
      <c r="BB380" s="121"/>
      <c r="BC380" s="85"/>
      <c r="BD380" s="121" t="s">
        <v>151</v>
      </c>
      <c r="BE380" s="121" t="s">
        <v>151</v>
      </c>
      <c r="BF380" s="121" t="s">
        <v>151</v>
      </c>
      <c r="BG380" s="408"/>
      <c r="BH380" s="238">
        <f>CF380+CI380+CL380+CO380+CR380</f>
        <v>0</v>
      </c>
      <c r="BI380" s="238">
        <f>CH380+CK380+CN380+CQ380+CT380</f>
        <v>0</v>
      </c>
      <c r="BJ380" s="238">
        <f>BH380-BI380</f>
        <v>0</v>
      </c>
      <c r="BK380" s="239"/>
      <c r="BL380" s="260"/>
      <c r="BM380" s="241"/>
      <c r="BN380" s="142"/>
      <c r="BO380" s="182"/>
      <c r="BP380" s="105" t="s">
        <v>487</v>
      </c>
      <c r="BQ380" s="98">
        <v>0.15</v>
      </c>
      <c r="BR380" s="409"/>
      <c r="BS380" s="242">
        <f>BL380*BQ380</f>
        <v>0</v>
      </c>
      <c r="BT380" s="203">
        <f>BM380*BQ380</f>
        <v>0</v>
      </c>
      <c r="BU380" s="167">
        <f>BN380*BQ380</f>
        <v>0</v>
      </c>
      <c r="BV380" s="168">
        <f>BO380*BQ380</f>
        <v>0</v>
      </c>
      <c r="BW380" s="131"/>
      <c r="BX380" s="105" t="s">
        <v>487</v>
      </c>
      <c r="BY380" s="145">
        <v>0.05</v>
      </c>
      <c r="BZ380" s="110"/>
      <c r="CA380" s="242">
        <f>BL380*BY380</f>
        <v>0</v>
      </c>
      <c r="CB380" s="203">
        <f>BM380*BY380</f>
        <v>0</v>
      </c>
      <c r="CC380" s="530">
        <f>BN380*BY380</f>
        <v>0</v>
      </c>
      <c r="CD380" s="531">
        <f>BO380*BY380</f>
        <v>0</v>
      </c>
      <c r="CE380" s="411"/>
      <c r="CF380" s="108">
        <v>0</v>
      </c>
      <c r="CG380" s="130" t="s">
        <v>153</v>
      </c>
      <c r="CH380" s="414"/>
      <c r="CI380" s="415"/>
      <c r="CJ380" s="416"/>
      <c r="CK380" s="415"/>
      <c r="CL380" s="415"/>
      <c r="CM380" s="416"/>
      <c r="CN380" s="415"/>
      <c r="CO380" s="263"/>
      <c r="CP380" s="263"/>
      <c r="CQ380" s="263"/>
      <c r="CR380" s="263"/>
      <c r="CS380" s="263"/>
      <c r="CT380" s="263"/>
      <c r="CU380" s="90">
        <v>1</v>
      </c>
      <c r="CV380" s="181"/>
      <c r="CW380" s="438"/>
      <c r="CX380" s="439"/>
      <c r="CY380" s="155"/>
      <c r="CZ380" s="121"/>
      <c r="DA380" s="424" t="s">
        <v>1008</v>
      </c>
      <c r="DB380" s="115" t="str">
        <f>PROPER(N380)</f>
        <v>Sys Up</v>
      </c>
      <c r="DC380" s="280" t="s">
        <v>264</v>
      </c>
      <c r="DD380" s="116" t="str">
        <f>BP380</f>
        <v>Daniela</v>
      </c>
      <c r="DE380" s="117" t="b">
        <f>IF(OR(D380&gt;0),IF(BJ380=0,BN380*BQ380,0))</f>
        <v>0</v>
      </c>
      <c r="DF380" s="117" t="b">
        <f>IF(OR(D380&gt;0),IF(BJ380=0,BN380*BY380,0))</f>
        <v>0</v>
      </c>
      <c r="DG380" s="118" t="str">
        <f>BX380</f>
        <v>Daniela</v>
      </c>
      <c r="DH380" s="76"/>
      <c r="DI380" s="120" t="s">
        <v>154</v>
      </c>
      <c r="DJ380" s="120"/>
      <c r="DK380" s="74" t="s">
        <v>1366</v>
      </c>
      <c r="DL380" s="74" t="s">
        <v>1366</v>
      </c>
      <c r="DM380" s="122"/>
      <c r="DN380" s="6"/>
      <c r="DO380" s="6"/>
      <c r="DP380" s="6"/>
      <c r="DQ380" s="6"/>
      <c r="DR380" s="6"/>
      <c r="DS380" s="6"/>
      <c r="DT380" s="6"/>
      <c r="DU380" s="6"/>
      <c r="DV380" s="6"/>
      <c r="DW380" s="6"/>
      <c r="DX380" s="6"/>
      <c r="DY380" s="6"/>
      <c r="DZ380" s="6"/>
    </row>
    <row r="381" spans="1:130" ht="34.5" hidden="1" customHeight="1">
      <c r="A381" s="228"/>
      <c r="B381" s="371" t="s">
        <v>1359</v>
      </c>
      <c r="C381" s="155"/>
      <c r="D381" s="75"/>
      <c r="E381" s="75"/>
      <c r="F381" s="75"/>
      <c r="G381" s="420" t="s">
        <v>2105</v>
      </c>
      <c r="H381" s="420"/>
      <c r="I381" s="449"/>
      <c r="J381" s="155" t="str">
        <f>CONCATENATE(G381," ",H381)</f>
        <v xml:space="preserve">1 Partecipante di Salvatore Corvaglia </v>
      </c>
      <c r="K381" s="156"/>
      <c r="L381" s="435"/>
      <c r="M381" s="153"/>
      <c r="N381" s="160"/>
      <c r="O381" s="402"/>
      <c r="P381" s="315"/>
      <c r="Q381" s="160"/>
      <c r="R381" s="403"/>
      <c r="S381" s="160"/>
      <c r="T381" s="404"/>
      <c r="U381" s="315"/>
      <c r="V381" s="315"/>
      <c r="W381" s="315"/>
      <c r="X381" s="131"/>
      <c r="Y381" s="315"/>
      <c r="Z381" s="315"/>
      <c r="AA381" s="315"/>
      <c r="AB381" s="37"/>
      <c r="AC381" s="131"/>
      <c r="AD381" s="121"/>
      <c r="AE381" s="88"/>
      <c r="AF381" s="405"/>
      <c r="AG381" s="406"/>
      <c r="AH381" s="406"/>
      <c r="AI381" s="405"/>
      <c r="AJ381" s="155"/>
      <c r="AK381" s="155"/>
      <c r="AL381" s="155"/>
      <c r="AM381" s="407"/>
      <c r="AN381" s="155"/>
      <c r="AO381" s="155"/>
      <c r="AP381" s="155"/>
      <c r="AQ381" s="85"/>
      <c r="AR381" s="121"/>
      <c r="AS381" s="121"/>
      <c r="AT381" s="121"/>
      <c r="AU381" s="408"/>
      <c r="AV381" s="121"/>
      <c r="AW381" s="121"/>
      <c r="AX381" s="121"/>
      <c r="AY381" s="85"/>
      <c r="AZ381" s="121"/>
      <c r="BA381" s="121"/>
      <c r="BB381" s="121"/>
      <c r="BC381" s="85"/>
      <c r="BD381" s="121" t="s">
        <v>151</v>
      </c>
      <c r="BE381" s="121" t="s">
        <v>151</v>
      </c>
      <c r="BF381" s="121" t="s">
        <v>151</v>
      </c>
      <c r="BG381" s="408"/>
      <c r="BH381" s="238">
        <f>CF381+CI381+CL381+CO381+CR381</f>
        <v>0</v>
      </c>
      <c r="BI381" s="238">
        <f>CH381+CK381+CN381+CQ381+CT381</f>
        <v>0</v>
      </c>
      <c r="BJ381" s="238">
        <f>BH381-BI381</f>
        <v>0</v>
      </c>
      <c r="BK381" s="239"/>
      <c r="BL381" s="260"/>
      <c r="BM381" s="241"/>
      <c r="BN381" s="142"/>
      <c r="BO381" s="182"/>
      <c r="BP381" s="105" t="s">
        <v>487</v>
      </c>
      <c r="BQ381" s="98">
        <v>0.15</v>
      </c>
      <c r="BR381" s="409"/>
      <c r="BS381" s="242">
        <f>BL381*BQ381</f>
        <v>0</v>
      </c>
      <c r="BT381" s="203">
        <f>BM381*BQ381</f>
        <v>0</v>
      </c>
      <c r="BU381" s="167">
        <f>BN381*BQ381</f>
        <v>0</v>
      </c>
      <c r="BV381" s="168">
        <f>BO381*BQ381</f>
        <v>0</v>
      </c>
      <c r="BW381" s="131"/>
      <c r="BX381" s="105" t="s">
        <v>487</v>
      </c>
      <c r="BY381" s="145">
        <v>0.05</v>
      </c>
      <c r="BZ381" s="110"/>
      <c r="CA381" s="242">
        <f>BL381*BY381</f>
        <v>0</v>
      </c>
      <c r="CB381" s="203">
        <f>BM381*BY381</f>
        <v>0</v>
      </c>
      <c r="CC381" s="530">
        <f>BN381*BY381</f>
        <v>0</v>
      </c>
      <c r="CD381" s="531">
        <f>BO381*BY381</f>
        <v>0</v>
      </c>
      <c r="CE381" s="411"/>
      <c r="CF381" s="108">
        <v>0</v>
      </c>
      <c r="CG381" s="130" t="s">
        <v>153</v>
      </c>
      <c r="CH381" s="414"/>
      <c r="CI381" s="415"/>
      <c r="CJ381" s="416"/>
      <c r="CK381" s="415"/>
      <c r="CL381" s="415"/>
      <c r="CM381" s="416"/>
      <c r="CN381" s="415"/>
      <c r="CO381" s="263"/>
      <c r="CP381" s="263"/>
      <c r="CQ381" s="263"/>
      <c r="CR381" s="263"/>
      <c r="CS381" s="263"/>
      <c r="CT381" s="263"/>
      <c r="CU381" s="90">
        <v>1</v>
      </c>
      <c r="CV381" s="181"/>
      <c r="CW381" s="438"/>
      <c r="CX381" s="439"/>
      <c r="CY381" s="155"/>
      <c r="CZ381" s="121"/>
      <c r="DA381" s="424"/>
      <c r="DB381" s="115"/>
      <c r="DC381" s="280"/>
      <c r="DD381" s="116" t="str">
        <f>BP381</f>
        <v>Daniela</v>
      </c>
      <c r="DE381" s="117" t="b">
        <f>IF(OR(D381&gt;0),IF(BJ381=0,BN381*BQ381,0))</f>
        <v>0</v>
      </c>
      <c r="DF381" s="117" t="b">
        <f>IF(OR(D381&gt;0),IF(BJ381=0,BN381*BY381,0))</f>
        <v>0</v>
      </c>
      <c r="DG381" s="118" t="str">
        <f>BX381</f>
        <v>Daniela</v>
      </c>
      <c r="DH381" s="76"/>
      <c r="DI381" s="120" t="s">
        <v>154</v>
      </c>
      <c r="DJ381" s="120"/>
      <c r="DK381" s="74"/>
      <c r="DL381" s="74"/>
      <c r="DM381" s="122"/>
      <c r="DN381" s="6"/>
      <c r="DO381" s="6"/>
      <c r="DP381" s="6"/>
      <c r="DQ381" s="6"/>
      <c r="DR381" s="6"/>
      <c r="DS381" s="6"/>
      <c r="DT381" s="6"/>
      <c r="DU381" s="6"/>
      <c r="DV381" s="6"/>
      <c r="DW381" s="6"/>
      <c r="DX381" s="6"/>
      <c r="DY381" s="6"/>
      <c r="DZ381" s="6"/>
    </row>
    <row r="382" spans="1:130" ht="34.5" hidden="1" customHeight="1">
      <c r="A382" s="228"/>
      <c r="B382" s="371" t="s">
        <v>1359</v>
      </c>
      <c r="C382" s="155"/>
      <c r="D382" s="75"/>
      <c r="E382" s="75"/>
      <c r="F382" s="75"/>
      <c r="G382" s="400" t="s">
        <v>1299</v>
      </c>
      <c r="H382" s="400" t="s">
        <v>2106</v>
      </c>
      <c r="I382" s="207" t="s">
        <v>2107</v>
      </c>
      <c r="J382" s="155" t="str">
        <f>CONCATENATE(G382," ",H382)</f>
        <v>Samuele Tassielli</v>
      </c>
      <c r="K382" s="156">
        <v>3409518658</v>
      </c>
      <c r="L382" s="445" t="s">
        <v>2108</v>
      </c>
      <c r="M382" s="153"/>
      <c r="N382" s="160" t="s">
        <v>2109</v>
      </c>
      <c r="O382" s="402"/>
      <c r="P382" s="315"/>
      <c r="Q382" s="160"/>
      <c r="R382" s="403"/>
      <c r="S382" s="160"/>
      <c r="T382" s="404"/>
      <c r="U382" s="315"/>
      <c r="V382" s="315"/>
      <c r="W382" s="315"/>
      <c r="X382" s="131"/>
      <c r="Y382" s="315"/>
      <c r="Z382" s="315"/>
      <c r="AA382" s="315"/>
      <c r="AB382" s="37"/>
      <c r="AC382" s="131"/>
      <c r="AD382" s="121"/>
      <c r="AE382" s="88"/>
      <c r="AF382" s="405"/>
      <c r="AG382" s="406"/>
      <c r="AH382" s="406"/>
      <c r="AI382" s="405"/>
      <c r="AJ382" s="155"/>
      <c r="AK382" s="155"/>
      <c r="AL382" s="155"/>
      <c r="AM382" s="407"/>
      <c r="AN382" s="155"/>
      <c r="AO382" s="155"/>
      <c r="AP382" s="155"/>
      <c r="AQ382" s="85"/>
      <c r="AR382" s="121"/>
      <c r="AS382" s="121"/>
      <c r="AT382" s="121"/>
      <c r="AU382" s="408"/>
      <c r="AV382" s="121"/>
      <c r="AW382" s="121"/>
      <c r="AX382" s="121"/>
      <c r="AY382" s="85"/>
      <c r="AZ382" s="121"/>
      <c r="BA382" s="121"/>
      <c r="BB382" s="121"/>
      <c r="BC382" s="85"/>
      <c r="BD382" s="121" t="s">
        <v>151</v>
      </c>
      <c r="BE382" s="121" t="s">
        <v>151</v>
      </c>
      <c r="BF382" s="121" t="s">
        <v>151</v>
      </c>
      <c r="BG382" s="408"/>
      <c r="BH382" s="238">
        <f>CF382+CI382+CL382+CO382+CR382</f>
        <v>163.9344262295082</v>
      </c>
      <c r="BI382" s="238">
        <f>CH382+CK382+CN382+CQ382+CT382</f>
        <v>0</v>
      </c>
      <c r="BJ382" s="238">
        <f>BH382-BI382</f>
        <v>163.9344262295082</v>
      </c>
      <c r="BK382" s="239"/>
      <c r="BL382" s="260"/>
      <c r="BM382" s="241"/>
      <c r="BN382" s="142"/>
      <c r="BO382" s="182"/>
      <c r="BP382" s="484" t="s">
        <v>1620</v>
      </c>
      <c r="BQ382" s="145">
        <v>0.15</v>
      </c>
      <c r="BR382" s="480"/>
      <c r="BS382" s="381">
        <f>BL382*BQ382</f>
        <v>0</v>
      </c>
      <c r="BT382" s="168">
        <f>BM382*BQ382</f>
        <v>0</v>
      </c>
      <c r="BU382" s="106">
        <f>BN382*BQ382</f>
        <v>0</v>
      </c>
      <c r="BV382" s="168">
        <f>BO382*BQ382</f>
        <v>0</v>
      </c>
      <c r="BW382" s="131"/>
      <c r="BX382" s="441" t="s">
        <v>861</v>
      </c>
      <c r="BY382" s="145">
        <v>0.05</v>
      </c>
      <c r="BZ382" s="110"/>
      <c r="CA382" s="242">
        <f>BL382*BY382</f>
        <v>0</v>
      </c>
      <c r="CB382" s="203">
        <f>BM382*BY382</f>
        <v>0</v>
      </c>
      <c r="CC382" s="530">
        <f>BN382*BY382</f>
        <v>0</v>
      </c>
      <c r="CD382" s="531">
        <f>BO382*BY382</f>
        <v>0</v>
      </c>
      <c r="CE382" s="411"/>
      <c r="CF382" s="108">
        <f>200/1.22</f>
        <v>163.9344262295082</v>
      </c>
      <c r="CG382" s="109">
        <v>45230</v>
      </c>
      <c r="CH382" s="249"/>
      <c r="CI382" s="415"/>
      <c r="CJ382" s="416"/>
      <c r="CK382" s="415"/>
      <c r="CL382" s="415"/>
      <c r="CM382" s="416"/>
      <c r="CN382" s="415"/>
      <c r="CO382" s="263"/>
      <c r="CP382" s="263"/>
      <c r="CQ382" s="263"/>
      <c r="CR382" s="263"/>
      <c r="CS382" s="263"/>
      <c r="CT382" s="263"/>
      <c r="CU382" s="90">
        <v>1</v>
      </c>
      <c r="CV382" s="181"/>
      <c r="CW382" s="438"/>
      <c r="CX382" s="439"/>
      <c r="CY382" s="155"/>
      <c r="CZ382" s="121"/>
      <c r="DA382" s="424" t="s">
        <v>2110</v>
      </c>
      <c r="DB382" s="115" t="str">
        <f>PROPER(N382)</f>
        <v>Innovative Tech Systems</v>
      </c>
      <c r="DC382" s="280" t="s">
        <v>2111</v>
      </c>
      <c r="DD382" s="116" t="str">
        <f>BP382</f>
        <v>Daniele (7,5% Dani; 7,5% Simo)</v>
      </c>
      <c r="DE382" s="117" t="b">
        <f>IF(OR(D382&gt;0),IF(BJ382=0,BN382*BQ382,0))</f>
        <v>0</v>
      </c>
      <c r="DF382" s="117" t="b">
        <f>IF(OR(D382&gt;0),IF(BJ382=0,BN382*BY382,0))</f>
        <v>0</v>
      </c>
      <c r="DG382" s="118" t="str">
        <f>BX382</f>
        <v>Simone</v>
      </c>
      <c r="DH382" s="76"/>
      <c r="DI382" s="120" t="s">
        <v>154</v>
      </c>
      <c r="DJ382" s="120"/>
      <c r="DK382" s="74" t="s">
        <v>1399</v>
      </c>
      <c r="DL382" s="74" t="s">
        <v>1399</v>
      </c>
      <c r="DM382" s="122"/>
      <c r="DN382" s="6"/>
      <c r="DO382" s="6"/>
      <c r="DP382" s="6"/>
      <c r="DQ382" s="6"/>
      <c r="DR382" s="6"/>
      <c r="DS382" s="6"/>
      <c r="DT382" s="6"/>
      <c r="DU382" s="6"/>
      <c r="DV382" s="6"/>
      <c r="DW382" s="6"/>
      <c r="DX382" s="6"/>
      <c r="DY382" s="6"/>
      <c r="DZ382" s="6"/>
    </row>
    <row r="383" spans="1:130" ht="34.5" hidden="1" customHeight="1">
      <c r="A383" s="228"/>
      <c r="B383" s="371" t="s">
        <v>1359</v>
      </c>
      <c r="C383" s="155"/>
      <c r="D383" s="75"/>
      <c r="E383" s="75"/>
      <c r="F383" s="75"/>
      <c r="G383" s="400" t="s">
        <v>208</v>
      </c>
      <c r="H383" s="400" t="s">
        <v>2112</v>
      </c>
      <c r="I383" s="207" t="s">
        <v>2113</v>
      </c>
      <c r="J383" s="155" t="str">
        <f>CONCATENATE(G383," ",H383)</f>
        <v>Sara Minchella</v>
      </c>
      <c r="K383" s="156">
        <v>3421079505</v>
      </c>
      <c r="L383" s="445" t="s">
        <v>2114</v>
      </c>
      <c r="M383" s="153"/>
      <c r="N383" s="160" t="s">
        <v>2109</v>
      </c>
      <c r="O383" s="402"/>
      <c r="P383" s="315"/>
      <c r="Q383" s="160"/>
      <c r="R383" s="403"/>
      <c r="S383" s="160"/>
      <c r="T383" s="404"/>
      <c r="U383" s="315"/>
      <c r="V383" s="315"/>
      <c r="W383" s="315"/>
      <c r="X383" s="131"/>
      <c r="Y383" s="315"/>
      <c r="Z383" s="315"/>
      <c r="AA383" s="315"/>
      <c r="AB383" s="37"/>
      <c r="AC383" s="131"/>
      <c r="AD383" s="121"/>
      <c r="AE383" s="88"/>
      <c r="AF383" s="405"/>
      <c r="AG383" s="406"/>
      <c r="AH383" s="406"/>
      <c r="AI383" s="405"/>
      <c r="AJ383" s="155"/>
      <c r="AK383" s="155"/>
      <c r="AL383" s="155"/>
      <c r="AM383" s="407"/>
      <c r="AN383" s="155"/>
      <c r="AO383" s="155"/>
      <c r="AP383" s="155"/>
      <c r="AQ383" s="85"/>
      <c r="AR383" s="121"/>
      <c r="AS383" s="121"/>
      <c r="AT383" s="121"/>
      <c r="AU383" s="408"/>
      <c r="AV383" s="121"/>
      <c r="AW383" s="121"/>
      <c r="AX383" s="121"/>
      <c r="AY383" s="85"/>
      <c r="AZ383" s="121"/>
      <c r="BA383" s="121"/>
      <c r="BB383" s="121"/>
      <c r="BC383" s="85"/>
      <c r="BD383" s="121" t="s">
        <v>151</v>
      </c>
      <c r="BE383" s="121" t="s">
        <v>151</v>
      </c>
      <c r="BF383" s="121" t="s">
        <v>151</v>
      </c>
      <c r="BG383" s="408"/>
      <c r="BH383" s="238">
        <f>CF383+CI383+CL383+CO383+CR383</f>
        <v>163.9344262295082</v>
      </c>
      <c r="BI383" s="238">
        <f>CH383+CK383+CN383+CQ383+CT383</f>
        <v>0</v>
      </c>
      <c r="BJ383" s="238">
        <f>BH383-BI383</f>
        <v>163.9344262295082</v>
      </c>
      <c r="BK383" s="239"/>
      <c r="BL383" s="260"/>
      <c r="BM383" s="241"/>
      <c r="BN383" s="142"/>
      <c r="BO383" s="182"/>
      <c r="BP383" s="484" t="s">
        <v>1620</v>
      </c>
      <c r="BQ383" s="145">
        <v>0.15</v>
      </c>
      <c r="BR383" s="480"/>
      <c r="BS383" s="381">
        <f>BL383*BQ383</f>
        <v>0</v>
      </c>
      <c r="BT383" s="168">
        <f>BM383*BQ383</f>
        <v>0</v>
      </c>
      <c r="BU383" s="106">
        <f>BN383*BQ383</f>
        <v>0</v>
      </c>
      <c r="BV383" s="168">
        <f>BO383*BQ383</f>
        <v>0</v>
      </c>
      <c r="BW383" s="131"/>
      <c r="BX383" s="441" t="s">
        <v>861</v>
      </c>
      <c r="BY383" s="145">
        <v>0.05</v>
      </c>
      <c r="BZ383" s="110"/>
      <c r="CA383" s="242">
        <f>BL383*BY383</f>
        <v>0</v>
      </c>
      <c r="CB383" s="203">
        <f>BM383*BY383</f>
        <v>0</v>
      </c>
      <c r="CC383" s="530">
        <f>BN383*BY383</f>
        <v>0</v>
      </c>
      <c r="CD383" s="531">
        <f>BO383*BY383</f>
        <v>0</v>
      </c>
      <c r="CE383" s="411"/>
      <c r="CF383" s="108">
        <f>200/1.22</f>
        <v>163.9344262295082</v>
      </c>
      <c r="CG383" s="109">
        <v>45230</v>
      </c>
      <c r="CH383" s="249"/>
      <c r="CI383" s="415"/>
      <c r="CJ383" s="416"/>
      <c r="CK383" s="415"/>
      <c r="CL383" s="415"/>
      <c r="CM383" s="416"/>
      <c r="CN383" s="415"/>
      <c r="CO383" s="263"/>
      <c r="CP383" s="263"/>
      <c r="CQ383" s="263"/>
      <c r="CR383" s="263"/>
      <c r="CS383" s="263"/>
      <c r="CT383" s="263"/>
      <c r="CU383" s="90">
        <v>1</v>
      </c>
      <c r="CV383" s="181"/>
      <c r="CW383" s="438"/>
      <c r="CX383" s="439"/>
      <c r="CY383" s="155"/>
      <c r="CZ383" s="121"/>
      <c r="DA383" s="424" t="s">
        <v>2110</v>
      </c>
      <c r="DB383" s="115" t="str">
        <f>PROPER(N383)</f>
        <v>Innovative Tech Systems</v>
      </c>
      <c r="DC383" s="280" t="s">
        <v>2111</v>
      </c>
      <c r="DD383" s="116" t="str">
        <f>BP383</f>
        <v>Daniele (7,5% Dani; 7,5% Simo)</v>
      </c>
      <c r="DE383" s="117" t="b">
        <f>IF(OR(D383&gt;0),IF(BJ383=0,BN383*BQ383,0))</f>
        <v>0</v>
      </c>
      <c r="DF383" s="117" t="b">
        <f>IF(OR(D383&gt;0),IF(BJ383=0,BN383*BY383,0))</f>
        <v>0</v>
      </c>
      <c r="DG383" s="118" t="str">
        <f>BX383</f>
        <v>Simone</v>
      </c>
      <c r="DH383" s="76"/>
      <c r="DI383" s="120" t="s">
        <v>154</v>
      </c>
      <c r="DJ383" s="120"/>
      <c r="DK383" s="74" t="s">
        <v>1418</v>
      </c>
      <c r="DL383" s="74" t="s">
        <v>1418</v>
      </c>
      <c r="DM383" s="122"/>
      <c r="DN383" s="6"/>
      <c r="DO383" s="6"/>
      <c r="DP383" s="6"/>
      <c r="DQ383" s="6"/>
      <c r="DR383" s="6"/>
      <c r="DS383" s="6"/>
      <c r="DT383" s="6"/>
      <c r="DU383" s="6"/>
      <c r="DV383" s="6"/>
      <c r="DW383" s="6"/>
      <c r="DX383" s="6"/>
      <c r="DY383" s="6"/>
      <c r="DZ383" s="6"/>
    </row>
    <row r="384" spans="1:130" ht="34.5" hidden="1" customHeight="1">
      <c r="A384" s="228"/>
      <c r="B384" s="75" t="s">
        <v>1359</v>
      </c>
      <c r="C384" s="155"/>
      <c r="D384" s="75">
        <v>1</v>
      </c>
      <c r="E384" s="75">
        <v>1</v>
      </c>
      <c r="F384" s="75"/>
      <c r="G384" s="400" t="s">
        <v>950</v>
      </c>
      <c r="H384" s="400" t="s">
        <v>2004</v>
      </c>
      <c r="I384" s="207" t="s">
        <v>2005</v>
      </c>
      <c r="J384" s="121" t="str">
        <f>CONCATENATE(G384," ",H384)</f>
        <v>Paola Mazzocchi</v>
      </c>
      <c r="K384" s="156">
        <v>3484906314</v>
      </c>
      <c r="L384" s="435"/>
      <c r="M384" s="1892" t="s">
        <v>2006</v>
      </c>
      <c r="N384" s="414" t="s">
        <v>2007</v>
      </c>
      <c r="O384" s="402"/>
      <c r="P384" s="315"/>
      <c r="Q384" s="160"/>
      <c r="R384" s="403"/>
      <c r="S384" s="160"/>
      <c r="T384" s="404"/>
      <c r="U384" s="315"/>
      <c r="V384" s="315"/>
      <c r="W384" s="315"/>
      <c r="X384" s="131"/>
      <c r="Y384" s="315"/>
      <c r="Z384" s="315"/>
      <c r="AA384" s="315"/>
      <c r="AB384" s="37"/>
      <c r="AC384" s="131"/>
      <c r="AD384" s="121" t="s">
        <v>2008</v>
      </c>
      <c r="AE384" s="88"/>
      <c r="AF384" s="405"/>
      <c r="AG384" s="406"/>
      <c r="AH384" s="406"/>
      <c r="AI384" s="405"/>
      <c r="AJ384" s="155"/>
      <c r="AK384" s="155"/>
      <c r="AL384" s="155"/>
      <c r="AM384" s="407"/>
      <c r="AN384" s="155"/>
      <c r="AO384" s="155"/>
      <c r="AP384" s="155"/>
      <c r="AQ384" s="85"/>
      <c r="AR384" s="121"/>
      <c r="AS384" s="121"/>
      <c r="AT384" s="121"/>
      <c r="AU384" s="408"/>
      <c r="AV384" s="121"/>
      <c r="AW384" s="121"/>
      <c r="AX384" s="121"/>
      <c r="AY384" s="85"/>
      <c r="AZ384" s="121" t="s">
        <v>115</v>
      </c>
      <c r="BA384" s="121" t="s">
        <v>115</v>
      </c>
      <c r="BB384" s="135" t="s">
        <v>115</v>
      </c>
      <c r="BC384" s="85"/>
      <c r="BD384" s="121"/>
      <c r="BE384" s="121"/>
      <c r="BF384" s="121"/>
      <c r="BG384" s="408"/>
      <c r="BH384" s="238">
        <f>CF384+CI384+CL384+CO384+CR384</f>
        <v>2997</v>
      </c>
      <c r="BI384" s="238">
        <f>CH384+CK384+CN384+CQ384+CT384</f>
        <v>2997</v>
      </c>
      <c r="BJ384" s="238">
        <f>BH384-BI384</f>
        <v>0</v>
      </c>
      <c r="BK384" s="239"/>
      <c r="BL384" s="260"/>
      <c r="BM384" s="241"/>
      <c r="BN384" s="142">
        <v>2997</v>
      </c>
      <c r="BO384" s="182"/>
      <c r="BP384" s="105" t="s">
        <v>262</v>
      </c>
      <c r="BQ384" s="98">
        <v>0.15</v>
      </c>
      <c r="BR384" s="409"/>
      <c r="BS384" s="242">
        <f>BL384*BQ384</f>
        <v>0</v>
      </c>
      <c r="BT384" s="203">
        <f>BM384*BQ384</f>
        <v>0</v>
      </c>
      <c r="BU384" s="167">
        <f>BN384*BQ384</f>
        <v>449.55</v>
      </c>
      <c r="BV384" s="168">
        <f>BO384*BQ384</f>
        <v>0</v>
      </c>
      <c r="BW384" s="160" t="s">
        <v>185</v>
      </c>
      <c r="BX384" s="105" t="s">
        <v>262</v>
      </c>
      <c r="BY384" s="145">
        <v>0.05</v>
      </c>
      <c r="BZ384" s="110"/>
      <c r="CA384" s="242">
        <f>BL384*BY384</f>
        <v>0</v>
      </c>
      <c r="CB384" s="203">
        <f>BM384*BY384</f>
        <v>0</v>
      </c>
      <c r="CC384" s="530">
        <f>BN384*BY384</f>
        <v>149.85</v>
      </c>
      <c r="CD384" s="531">
        <f>BO384*BY384</f>
        <v>0</v>
      </c>
      <c r="CE384" s="160" t="s">
        <v>185</v>
      </c>
      <c r="CF384" s="108">
        <v>2997</v>
      </c>
      <c r="CG384" s="109">
        <v>45205</v>
      </c>
      <c r="CH384" s="108">
        <v>2997</v>
      </c>
      <c r="CI384" s="415"/>
      <c r="CJ384" s="416"/>
      <c r="CK384" s="415"/>
      <c r="CL384" s="415"/>
      <c r="CM384" s="416"/>
      <c r="CN384" s="415"/>
      <c r="CO384" s="263"/>
      <c r="CP384" s="263"/>
      <c r="CQ384" s="263"/>
      <c r="CR384" s="263"/>
      <c r="CS384" s="263"/>
      <c r="CT384" s="263"/>
      <c r="CU384" s="90">
        <v>1</v>
      </c>
      <c r="CV384" s="181"/>
      <c r="CW384" s="438"/>
      <c r="CX384" s="439"/>
      <c r="CY384" s="155"/>
      <c r="CZ384" s="121"/>
      <c r="DA384" s="481" t="s">
        <v>2009</v>
      </c>
      <c r="DB384" s="115" t="s">
        <v>2007</v>
      </c>
      <c r="DC384" s="280" t="s">
        <v>264</v>
      </c>
      <c r="DD384" s="116" t="str">
        <f>BP384</f>
        <v>Pacci</v>
      </c>
      <c r="DE384" s="117">
        <f>IF(OR(D384&gt;0),IF(BJ384=0,BN384*BQ384,0))</f>
        <v>449.55</v>
      </c>
      <c r="DF384" s="117">
        <f>IF(OR(D384&gt;0),IF(BJ384=0,BN384*BY384,0))</f>
        <v>149.85</v>
      </c>
      <c r="DG384" s="118" t="str">
        <f>BX384</f>
        <v>Pacci</v>
      </c>
      <c r="DH384" s="76"/>
      <c r="DI384" s="120" t="s">
        <v>126</v>
      </c>
      <c r="DJ384" s="120"/>
      <c r="DK384" s="74" t="s">
        <v>1418</v>
      </c>
      <c r="DL384" s="74" t="s">
        <v>1418</v>
      </c>
      <c r="DM384" s="122">
        <v>1</v>
      </c>
      <c r="DN384" s="6"/>
      <c r="DO384" s="6"/>
      <c r="DP384" s="6"/>
      <c r="DQ384" s="6"/>
      <c r="DR384" s="6"/>
      <c r="DS384" s="6"/>
      <c r="DT384" s="6"/>
      <c r="DU384" s="6"/>
      <c r="DV384" s="6"/>
      <c r="DW384" s="6"/>
      <c r="DX384" s="6"/>
      <c r="DY384" s="6"/>
      <c r="DZ384" s="6"/>
    </row>
    <row r="385" spans="1:130" ht="34.5" hidden="1" customHeight="1">
      <c r="A385" s="228"/>
      <c r="B385" s="371" t="s">
        <v>1359</v>
      </c>
      <c r="C385" s="155"/>
      <c r="D385" s="75"/>
      <c r="E385" s="75"/>
      <c r="F385" s="75"/>
      <c r="G385" s="400" t="s">
        <v>1056</v>
      </c>
      <c r="H385" s="400" t="s">
        <v>2123</v>
      </c>
      <c r="I385" s="207" t="s">
        <v>2124</v>
      </c>
      <c r="J385" s="155" t="str">
        <f>CONCATENATE(G385," ",H385)</f>
        <v>Sergio Spiga</v>
      </c>
      <c r="K385" s="156">
        <v>3205568607</v>
      </c>
      <c r="L385" s="435" t="s">
        <v>2125</v>
      </c>
      <c r="M385" s="153" t="s">
        <v>514</v>
      </c>
      <c r="N385" s="160"/>
      <c r="O385" s="402"/>
      <c r="P385" s="315"/>
      <c r="Q385" s="160"/>
      <c r="R385" s="403"/>
      <c r="S385" s="160"/>
      <c r="T385" s="404"/>
      <c r="U385" s="315"/>
      <c r="V385" s="315"/>
      <c r="W385" s="315"/>
      <c r="X385" s="131"/>
      <c r="Y385" s="315"/>
      <c r="Z385" s="315"/>
      <c r="AA385" s="315"/>
      <c r="AB385" s="37"/>
      <c r="AC385" s="131"/>
      <c r="AD385" s="121"/>
      <c r="AE385" s="88"/>
      <c r="AF385" s="405"/>
      <c r="AG385" s="406"/>
      <c r="AH385" s="406"/>
      <c r="AI385" s="405"/>
      <c r="AJ385" s="155"/>
      <c r="AK385" s="155"/>
      <c r="AL385" s="155"/>
      <c r="AM385" s="407"/>
      <c r="AN385" s="155"/>
      <c r="AO385" s="155"/>
      <c r="AP385" s="155"/>
      <c r="AQ385" s="85"/>
      <c r="AR385" s="121"/>
      <c r="AS385" s="121"/>
      <c r="AT385" s="121"/>
      <c r="AU385" s="408"/>
      <c r="AV385" s="121"/>
      <c r="AW385" s="121"/>
      <c r="AX385" s="121"/>
      <c r="AY385" s="85"/>
      <c r="AZ385" s="154" t="s">
        <v>165</v>
      </c>
      <c r="BA385" s="154" t="s">
        <v>165</v>
      </c>
      <c r="BB385" s="154" t="s">
        <v>165</v>
      </c>
      <c r="BC385" s="85"/>
      <c r="BD385" s="121"/>
      <c r="BE385" s="121"/>
      <c r="BF385" s="121"/>
      <c r="BG385" s="408"/>
      <c r="BH385" s="238">
        <f>CF385+CI385+CL385+CO385+CR385</f>
        <v>0</v>
      </c>
      <c r="BI385" s="238">
        <f>CH385+CK385+CN385+CQ385+CT385</f>
        <v>0</v>
      </c>
      <c r="BJ385" s="238">
        <f>BH385-BI385</f>
        <v>0</v>
      </c>
      <c r="BK385" s="239"/>
      <c r="BL385" s="260"/>
      <c r="BM385" s="241"/>
      <c r="BN385" s="142"/>
      <c r="BO385" s="182"/>
      <c r="BP385" s="105" t="s">
        <v>117</v>
      </c>
      <c r="BQ385" s="98">
        <v>0</v>
      </c>
      <c r="BR385" s="409"/>
      <c r="BS385" s="242">
        <f>BL385*BQ385</f>
        <v>0</v>
      </c>
      <c r="BT385" s="203">
        <f>BM385*BQ385</f>
        <v>0</v>
      </c>
      <c r="BU385" s="167">
        <f>BN385*BQ385</f>
        <v>0</v>
      </c>
      <c r="BV385" s="168">
        <f>BO385*BQ385</f>
        <v>0</v>
      </c>
      <c r="BW385" s="131"/>
      <c r="BX385" s="105" t="s">
        <v>407</v>
      </c>
      <c r="BY385" s="145">
        <v>0.05</v>
      </c>
      <c r="BZ385" s="110"/>
      <c r="CA385" s="242">
        <f>BL385*BY385</f>
        <v>0</v>
      </c>
      <c r="CB385" s="203">
        <f>BM385*BY385</f>
        <v>0</v>
      </c>
      <c r="CC385" s="530">
        <f>BN385*BY385</f>
        <v>0</v>
      </c>
      <c r="CD385" s="531">
        <f>BO385*BY385</f>
        <v>0</v>
      </c>
      <c r="CE385" s="411"/>
      <c r="CF385" s="108"/>
      <c r="CG385" s="109"/>
      <c r="CH385" s="414"/>
      <c r="CI385" s="415"/>
      <c r="CJ385" s="416"/>
      <c r="CK385" s="415"/>
      <c r="CL385" s="415"/>
      <c r="CM385" s="416"/>
      <c r="CN385" s="415"/>
      <c r="CO385" s="263"/>
      <c r="CP385" s="263"/>
      <c r="CQ385" s="263"/>
      <c r="CR385" s="263"/>
      <c r="CS385" s="263"/>
      <c r="CT385" s="263"/>
      <c r="CU385" s="90">
        <v>1</v>
      </c>
      <c r="CV385" s="181"/>
      <c r="CW385" s="438"/>
      <c r="CX385" s="439"/>
      <c r="CY385" s="155"/>
      <c r="CZ385" s="121"/>
      <c r="DA385" s="424"/>
      <c r="DB385" s="115" t="str">
        <f>PROPER(N385)</f>
        <v/>
      </c>
      <c r="DC385" s="280"/>
      <c r="DD385" s="116" t="str">
        <f>BP385</f>
        <v>blackship</v>
      </c>
      <c r="DE385" s="117" t="b">
        <f>IF(OR(D385&gt;0),IF(BJ385=0,BN385*BQ385,0))</f>
        <v>0</v>
      </c>
      <c r="DF385" s="117" t="b">
        <f>IF(OR(D385&gt;0),IF(BJ385=0,BN385*BY385,0))</f>
        <v>0</v>
      </c>
      <c r="DG385" s="118" t="str">
        <f>BX385</f>
        <v>Stefano</v>
      </c>
      <c r="DH385" s="76"/>
      <c r="DI385" s="120" t="s">
        <v>154</v>
      </c>
      <c r="DJ385" s="120"/>
      <c r="DK385" s="74" t="s">
        <v>1366</v>
      </c>
      <c r="DL385" s="74" t="s">
        <v>1399</v>
      </c>
      <c r="DM385" s="122"/>
      <c r="DN385" s="6"/>
      <c r="DO385" s="6"/>
      <c r="DP385" s="6"/>
      <c r="DQ385" s="6"/>
      <c r="DR385" s="6"/>
      <c r="DS385" s="6"/>
      <c r="DT385" s="6"/>
      <c r="DU385" s="6"/>
      <c r="DV385" s="6"/>
      <c r="DW385" s="6"/>
      <c r="DX385" s="6"/>
      <c r="DY385" s="6"/>
      <c r="DZ385" s="6"/>
    </row>
    <row r="386" spans="1:130" ht="34.5" hidden="1" customHeight="1">
      <c r="A386" s="228"/>
      <c r="B386" s="75" t="s">
        <v>1359</v>
      </c>
      <c r="C386" s="155"/>
      <c r="D386" s="75"/>
      <c r="E386" s="75"/>
      <c r="F386" s="75"/>
      <c r="G386" s="400" t="s">
        <v>693</v>
      </c>
      <c r="H386" s="400" t="s">
        <v>2126</v>
      </c>
      <c r="I386" s="294" t="s">
        <v>2127</v>
      </c>
      <c r="J386" s="155" t="str">
        <f>CONCATENATE(G386," ",H386)</f>
        <v>Silvia Iommi</v>
      </c>
      <c r="K386" s="156">
        <v>3386737312</v>
      </c>
      <c r="L386" s="538" t="s">
        <v>2128</v>
      </c>
      <c r="M386" s="153" t="s">
        <v>745</v>
      </c>
      <c r="N386" s="160" t="s">
        <v>2129</v>
      </c>
      <c r="O386" s="402"/>
      <c r="P386" s="315"/>
      <c r="Q386" s="160"/>
      <c r="R386" s="403"/>
      <c r="S386" s="160"/>
      <c r="T386" s="404"/>
      <c r="U386" s="315"/>
      <c r="V386" s="315"/>
      <c r="W386" s="315"/>
      <c r="X386" s="131"/>
      <c r="Y386" s="315"/>
      <c r="Z386" s="315"/>
      <c r="AA386" s="315"/>
      <c r="AB386" s="37"/>
      <c r="AC386" s="131"/>
      <c r="AD386" s="121"/>
      <c r="AE386" s="88"/>
      <c r="AF386" s="405"/>
      <c r="AG386" s="406"/>
      <c r="AH386" s="406"/>
      <c r="AI386" s="405"/>
      <c r="AJ386" s="155"/>
      <c r="AK386" s="155"/>
      <c r="AL386" s="155"/>
      <c r="AM386" s="407"/>
      <c r="AN386" s="155"/>
      <c r="AO386" s="155"/>
      <c r="AP386" s="155"/>
      <c r="AQ386" s="85"/>
      <c r="AR386" s="121"/>
      <c r="AS386" s="121"/>
      <c r="AT386" s="121"/>
      <c r="AU386" s="408"/>
      <c r="AV386" s="121"/>
      <c r="AW386" s="121"/>
      <c r="AX386" s="121"/>
      <c r="AY386" s="85"/>
      <c r="AZ386" s="154" t="s">
        <v>165</v>
      </c>
      <c r="BA386" s="154" t="s">
        <v>165</v>
      </c>
      <c r="BB386" s="154" t="s">
        <v>165</v>
      </c>
      <c r="BC386" s="85"/>
      <c r="BD386" s="121"/>
      <c r="BE386" s="121"/>
      <c r="BF386" s="121"/>
      <c r="BG386" s="408"/>
      <c r="BH386" s="238">
        <f>CF386+CI386+CL386+CO386+CR386</f>
        <v>0</v>
      </c>
      <c r="BI386" s="238">
        <f>CH386+CK386+CN386+CQ386+CT386</f>
        <v>0</v>
      </c>
      <c r="BJ386" s="238">
        <f>BH386-BI386</f>
        <v>0</v>
      </c>
      <c r="BK386" s="239"/>
      <c r="BL386" s="260"/>
      <c r="BM386" s="241"/>
      <c r="BN386" s="142"/>
      <c r="BO386" s="182"/>
      <c r="BP386" s="105" t="s">
        <v>117</v>
      </c>
      <c r="BQ386" s="98">
        <v>0</v>
      </c>
      <c r="BR386" s="409"/>
      <c r="BS386" s="242">
        <f>BL386*BQ386</f>
        <v>0</v>
      </c>
      <c r="BT386" s="203">
        <f>BM386*BQ386</f>
        <v>0</v>
      </c>
      <c r="BU386" s="167">
        <f>BN386*BQ386</f>
        <v>0</v>
      </c>
      <c r="BV386" s="168">
        <f>BO386*BQ386</f>
        <v>0</v>
      </c>
      <c r="BW386" s="131"/>
      <c r="BX386" s="105" t="s">
        <v>152</v>
      </c>
      <c r="BY386" s="145">
        <v>0.05</v>
      </c>
      <c r="BZ386" s="110"/>
      <c r="CA386" s="242">
        <f>BL386*BY386</f>
        <v>0</v>
      </c>
      <c r="CB386" s="203">
        <f>BM386*BY386</f>
        <v>0</v>
      </c>
      <c r="CC386" s="530">
        <f>BN386*BY386</f>
        <v>0</v>
      </c>
      <c r="CD386" s="531">
        <f>BO386*BY386</f>
        <v>0</v>
      </c>
      <c r="CE386" s="411"/>
      <c r="CF386" s="108"/>
      <c r="CG386" s="109"/>
      <c r="CH386" s="414"/>
      <c r="CI386" s="415"/>
      <c r="CJ386" s="416"/>
      <c r="CK386" s="415"/>
      <c r="CL386" s="415"/>
      <c r="CM386" s="416"/>
      <c r="CN386" s="415"/>
      <c r="CO386" s="263"/>
      <c r="CP386" s="263"/>
      <c r="CQ386" s="263"/>
      <c r="CR386" s="263"/>
      <c r="CS386" s="263"/>
      <c r="CT386" s="263"/>
      <c r="CU386" s="90">
        <v>1</v>
      </c>
      <c r="CV386" s="181"/>
      <c r="CW386" s="539"/>
      <c r="CX386" s="540"/>
      <c r="CY386" s="155"/>
      <c r="CZ386" s="121"/>
      <c r="DA386" s="424"/>
      <c r="DB386" s="115" t="str">
        <f>PROPER(N386)</f>
        <v>Teamwork</v>
      </c>
      <c r="DC386" s="280"/>
      <c r="DD386" s="116" t="str">
        <f>BP386</f>
        <v>blackship</v>
      </c>
      <c r="DE386" s="117" t="b">
        <f>IF(OR(D386&gt;0),IF(BJ386=0,BN386*BQ386,0))</f>
        <v>0</v>
      </c>
      <c r="DF386" s="117" t="b">
        <f>IF(OR(D386&gt;0),IF(BJ386=0,BN386*BY386,0))</f>
        <v>0</v>
      </c>
      <c r="DG386" s="118" t="str">
        <f>BX386</f>
        <v>Client Angel</v>
      </c>
      <c r="DH386" s="76"/>
      <c r="DI386" s="120" t="s">
        <v>154</v>
      </c>
      <c r="DJ386" s="120"/>
      <c r="DK386" s="74" t="s">
        <v>1418</v>
      </c>
      <c r="DL386" s="74" t="s">
        <v>1418</v>
      </c>
      <c r="DM386" s="122"/>
      <c r="DN386" s="6"/>
      <c r="DO386" s="6"/>
      <c r="DP386" s="6"/>
      <c r="DQ386" s="6"/>
      <c r="DR386" s="6"/>
      <c r="DS386" s="6"/>
      <c r="DT386" s="6"/>
      <c r="DU386" s="6"/>
      <c r="DV386" s="6"/>
      <c r="DW386" s="6"/>
      <c r="DX386" s="6"/>
      <c r="DY386" s="6"/>
      <c r="DZ386" s="6"/>
    </row>
    <row r="387" spans="1:130" ht="34.5" hidden="1" customHeight="1">
      <c r="A387" s="228"/>
      <c r="B387" s="371" t="s">
        <v>1359</v>
      </c>
      <c r="C387" s="155"/>
      <c r="D387" s="75"/>
      <c r="E387" s="75"/>
      <c r="F387" s="75"/>
      <c r="G387" s="400" t="s">
        <v>850</v>
      </c>
      <c r="H387" s="400" t="s">
        <v>2130</v>
      </c>
      <c r="I387" s="207" t="s">
        <v>2131</v>
      </c>
      <c r="J387" s="155" t="str">
        <f>CONCATENATE(G387," ",H387)</f>
        <v>Silvio Stragapede</v>
      </c>
      <c r="K387" s="156">
        <v>3487532311</v>
      </c>
      <c r="L387" s="445" t="s">
        <v>2132</v>
      </c>
      <c r="M387" s="153"/>
      <c r="N387" s="160" t="s">
        <v>2133</v>
      </c>
      <c r="O387" s="402"/>
      <c r="P387" s="315"/>
      <c r="Q387" s="160"/>
      <c r="R387" s="403"/>
      <c r="S387" s="160"/>
      <c r="T387" s="404"/>
      <c r="U387" s="315"/>
      <c r="V387" s="315"/>
      <c r="W387" s="315"/>
      <c r="X387" s="131"/>
      <c r="Y387" s="315"/>
      <c r="Z387" s="315"/>
      <c r="AA387" s="315"/>
      <c r="AB387" s="37"/>
      <c r="AC387" s="131"/>
      <c r="AD387" s="121"/>
      <c r="AE387" s="88"/>
      <c r="AF387" s="405"/>
      <c r="AG387" s="406"/>
      <c r="AH387" s="406"/>
      <c r="AI387" s="405"/>
      <c r="AJ387" s="155"/>
      <c r="AK387" s="155"/>
      <c r="AL387" s="155"/>
      <c r="AM387" s="407"/>
      <c r="AN387" s="155"/>
      <c r="AO387" s="155"/>
      <c r="AP387" s="155"/>
      <c r="AQ387" s="85"/>
      <c r="AR387" s="121"/>
      <c r="AS387" s="121"/>
      <c r="AT387" s="121"/>
      <c r="AU387" s="408"/>
      <c r="AV387" s="121"/>
      <c r="AW387" s="121"/>
      <c r="AX387" s="121"/>
      <c r="AY387" s="85"/>
      <c r="AZ387" s="154" t="s">
        <v>194</v>
      </c>
      <c r="BA387" s="154" t="s">
        <v>194</v>
      </c>
      <c r="BB387" s="154" t="s">
        <v>194</v>
      </c>
      <c r="BC387" s="85"/>
      <c r="BD387" s="121"/>
      <c r="BE387" s="121"/>
      <c r="BF387" s="121"/>
      <c r="BG387" s="408"/>
      <c r="BH387" s="238">
        <f>CF387+CI387+CL387+CO387+CR387</f>
        <v>0</v>
      </c>
      <c r="BI387" s="238">
        <f>CH387+CK387+CN387+CQ387+CT387</f>
        <v>0</v>
      </c>
      <c r="BJ387" s="238">
        <f>BH387-BI387</f>
        <v>0</v>
      </c>
      <c r="BK387" s="239"/>
      <c r="BL387" s="260"/>
      <c r="BM387" s="241"/>
      <c r="BN387" s="142"/>
      <c r="BO387" s="182"/>
      <c r="BP387" s="105" t="s">
        <v>117</v>
      </c>
      <c r="BQ387" s="98">
        <v>0</v>
      </c>
      <c r="BR387" s="409"/>
      <c r="BS387" s="242">
        <f>BL387*BQ387</f>
        <v>0</v>
      </c>
      <c r="BT387" s="203">
        <f>BM387*BQ387</f>
        <v>0</v>
      </c>
      <c r="BU387" s="167">
        <f>BN387*BQ387</f>
        <v>0</v>
      </c>
      <c r="BV387" s="168">
        <f>BO387*BQ387</f>
        <v>0</v>
      </c>
      <c r="BW387" s="131"/>
      <c r="BX387" s="105" t="s">
        <v>160</v>
      </c>
      <c r="BY387" s="145">
        <v>0.05</v>
      </c>
      <c r="BZ387" s="110"/>
      <c r="CA387" s="242">
        <f>BL387*BY387</f>
        <v>0</v>
      </c>
      <c r="CB387" s="203">
        <f>BM387*BY387</f>
        <v>0</v>
      </c>
      <c r="CC387" s="530">
        <f>BN387*BY387</f>
        <v>0</v>
      </c>
      <c r="CD387" s="531">
        <f>BO387*BY387</f>
        <v>0</v>
      </c>
      <c r="CE387" s="411"/>
      <c r="CF387" s="108"/>
      <c r="CG387" s="109"/>
      <c r="CH387" s="414"/>
      <c r="CI387" s="415"/>
      <c r="CJ387" s="416"/>
      <c r="CK387" s="415"/>
      <c r="CL387" s="415"/>
      <c r="CM387" s="416"/>
      <c r="CN387" s="415"/>
      <c r="CO387" s="263"/>
      <c r="CP387" s="263"/>
      <c r="CQ387" s="263"/>
      <c r="CR387" s="263"/>
      <c r="CS387" s="263"/>
      <c r="CT387" s="263"/>
      <c r="CU387" s="90">
        <v>1</v>
      </c>
      <c r="CV387" s="181"/>
      <c r="CW387" s="491"/>
      <c r="CX387" s="439"/>
      <c r="CY387" s="155"/>
      <c r="CZ387" s="121"/>
      <c r="DA387" s="424"/>
      <c r="DB387" s="115" t="str">
        <f>PROPER(N387)</f>
        <v>Life Home Integration</v>
      </c>
      <c r="DC387" s="280"/>
      <c r="DD387" s="116" t="str">
        <f>BP387</f>
        <v>blackship</v>
      </c>
      <c r="DE387" s="117" t="b">
        <f>IF(OR(D387&gt;0),IF(BJ387=0,BN387*BQ387,0))</f>
        <v>0</v>
      </c>
      <c r="DF387" s="117" t="b">
        <f>IF(OR(D387&gt;0),IF(BJ387=0,BN387*BY387,0))</f>
        <v>0</v>
      </c>
      <c r="DG387" s="118" t="str">
        <f>BX387</f>
        <v>Gianluca</v>
      </c>
      <c r="DH387" s="76"/>
      <c r="DI387" s="120" t="s">
        <v>154</v>
      </c>
      <c r="DJ387" s="120"/>
      <c r="DK387" s="74" t="s">
        <v>1399</v>
      </c>
      <c r="DL387" s="74" t="s">
        <v>1399</v>
      </c>
      <c r="DM387" s="122"/>
      <c r="DN387" s="6"/>
      <c r="DO387" s="6"/>
      <c r="DP387" s="6"/>
      <c r="DQ387" s="6"/>
      <c r="DR387" s="6"/>
      <c r="DS387" s="6"/>
      <c r="DT387" s="6"/>
      <c r="DU387" s="6"/>
      <c r="DV387" s="6"/>
      <c r="DW387" s="6"/>
      <c r="DX387" s="6"/>
      <c r="DY387" s="6"/>
      <c r="DZ387" s="6"/>
    </row>
    <row r="388" spans="1:130" ht="34.5" hidden="1" customHeight="1">
      <c r="A388" s="228"/>
      <c r="B388" s="75" t="s">
        <v>1359</v>
      </c>
      <c r="C388" s="155"/>
      <c r="D388" s="75"/>
      <c r="E388" s="75"/>
      <c r="F388" s="75"/>
      <c r="G388" s="420" t="s">
        <v>861</v>
      </c>
      <c r="H388" s="400" t="s">
        <v>2134</v>
      </c>
      <c r="I388" s="294" t="s">
        <v>2135</v>
      </c>
      <c r="J388" s="155" t="str">
        <f>CONCATENATE(G388," ",H388)</f>
        <v>Simone Saletti</v>
      </c>
      <c r="K388" s="156">
        <v>3513049911</v>
      </c>
      <c r="L388" s="435"/>
      <c r="M388" s="153"/>
      <c r="N388" s="160" t="s">
        <v>2136</v>
      </c>
      <c r="O388" s="402"/>
      <c r="P388" s="315"/>
      <c r="Q388" s="160"/>
      <c r="R388" s="403"/>
      <c r="S388" s="160"/>
      <c r="T388" s="404"/>
      <c r="U388" s="315"/>
      <c r="V388" s="315"/>
      <c r="W388" s="315"/>
      <c r="X388" s="131"/>
      <c r="Y388" s="315"/>
      <c r="Z388" s="315"/>
      <c r="AA388" s="315"/>
      <c r="AB388" s="37"/>
      <c r="AC388" s="131"/>
      <c r="AD388" s="121" t="s">
        <v>2137</v>
      </c>
      <c r="AE388" s="88"/>
      <c r="AF388" s="405"/>
      <c r="AG388" s="406"/>
      <c r="AH388" s="406"/>
      <c r="AI388" s="405"/>
      <c r="AJ388" s="155"/>
      <c r="AK388" s="155"/>
      <c r="AL388" s="155"/>
      <c r="AM388" s="407"/>
      <c r="AN388" s="155"/>
      <c r="AO388" s="155"/>
      <c r="AP388" s="155"/>
      <c r="AQ388" s="85"/>
      <c r="AR388" s="121"/>
      <c r="AS388" s="121"/>
      <c r="AT388" s="121"/>
      <c r="AU388" s="408"/>
      <c r="AV388" s="121"/>
      <c r="AW388" s="121"/>
      <c r="AX388" s="121"/>
      <c r="AY388" s="85"/>
      <c r="AZ388" s="121"/>
      <c r="BA388" s="121"/>
      <c r="BB388" s="121"/>
      <c r="BC388" s="85"/>
      <c r="BD388" s="121" t="s">
        <v>115</v>
      </c>
      <c r="BE388" s="121" t="s">
        <v>115</v>
      </c>
      <c r="BF388" s="121" t="s">
        <v>115</v>
      </c>
      <c r="BG388" s="408"/>
      <c r="BH388" s="238">
        <f>CF388+CI388+CL388+CO388+CR388</f>
        <v>2997</v>
      </c>
      <c r="BI388" s="238">
        <f>CH388+CK388+CN388+CQ388+CT388</f>
        <v>2997</v>
      </c>
      <c r="BJ388" s="238">
        <f>BH388-BI388</f>
        <v>0</v>
      </c>
      <c r="BK388" s="239"/>
      <c r="BL388" s="260"/>
      <c r="BM388" s="241"/>
      <c r="BN388" s="142"/>
      <c r="BO388" s="182">
        <v>2997</v>
      </c>
      <c r="BP388" s="105" t="s">
        <v>690</v>
      </c>
      <c r="BQ388" s="98">
        <v>0.15</v>
      </c>
      <c r="BR388" s="409"/>
      <c r="BS388" s="242">
        <f>BL388*BQ388</f>
        <v>0</v>
      </c>
      <c r="BT388" s="203">
        <f>BM388*BQ388</f>
        <v>0</v>
      </c>
      <c r="BU388" s="167">
        <f>BN388*BQ388</f>
        <v>0</v>
      </c>
      <c r="BV388" s="168">
        <f>BO388*BQ388</f>
        <v>449.55</v>
      </c>
      <c r="BW388" s="131"/>
      <c r="BX388" s="105" t="s">
        <v>184</v>
      </c>
      <c r="BY388" s="145">
        <v>0.05</v>
      </c>
      <c r="BZ388" s="110"/>
      <c r="CA388" s="242">
        <f>BL388*BY388</f>
        <v>0</v>
      </c>
      <c r="CB388" s="203">
        <f>BM388*BY388</f>
        <v>0</v>
      </c>
      <c r="CC388" s="530">
        <f>BN388*BY388</f>
        <v>0</v>
      </c>
      <c r="CD388" s="531">
        <f>BO388*BY388</f>
        <v>149.85</v>
      </c>
      <c r="CE388" s="411"/>
      <c r="CF388" s="108">
        <v>2997</v>
      </c>
      <c r="CG388" s="109">
        <v>45198</v>
      </c>
      <c r="CH388" s="108">
        <v>2997</v>
      </c>
      <c r="CI388" s="415"/>
      <c r="CJ388" s="416"/>
      <c r="CK388" s="415"/>
      <c r="CL388" s="415"/>
      <c r="CM388" s="416"/>
      <c r="CN388" s="415"/>
      <c r="CO388" s="263"/>
      <c r="CP388" s="263"/>
      <c r="CQ388" s="263"/>
      <c r="CR388" s="263"/>
      <c r="CS388" s="263"/>
      <c r="CT388" s="263"/>
      <c r="CU388" s="90">
        <v>1</v>
      </c>
      <c r="CV388" s="181"/>
      <c r="CW388" s="438"/>
      <c r="CX388" s="439"/>
      <c r="CY388" s="155"/>
      <c r="CZ388" s="121"/>
      <c r="DA388" s="424" t="s">
        <v>2138</v>
      </c>
      <c r="DB388" s="115" t="str">
        <f>PROPER(N388)</f>
        <v>Nuova S.A.I.M.P.A.</v>
      </c>
      <c r="DC388" s="280" t="s">
        <v>2139</v>
      </c>
      <c r="DD388" s="116" t="str">
        <f>BP388</f>
        <v>MAW</v>
      </c>
      <c r="DE388" s="117" t="b">
        <f>IF(OR(D388&gt;0),IF(BJ388=0,BN388*BQ388,0))</f>
        <v>0</v>
      </c>
      <c r="DF388" s="117" t="b">
        <f>IF(OR(D388&gt;0),IF(BJ388=0,BN388*BY388,0))</f>
        <v>0</v>
      </c>
      <c r="DG388" s="118" t="str">
        <f>BX388</f>
        <v>Cristian A</v>
      </c>
      <c r="DH388" s="76"/>
      <c r="DI388" s="120" t="s">
        <v>154</v>
      </c>
      <c r="DJ388" s="120"/>
      <c r="DK388" s="74" t="s">
        <v>1418</v>
      </c>
      <c r="DL388" s="74" t="s">
        <v>1418</v>
      </c>
      <c r="DM388" s="122"/>
      <c r="DN388" s="6"/>
      <c r="DO388" s="6"/>
      <c r="DP388" s="6"/>
      <c r="DQ388" s="6"/>
      <c r="DR388" s="6"/>
      <c r="DS388" s="6"/>
      <c r="DT388" s="6"/>
      <c r="DU388" s="6"/>
      <c r="DV388" s="6"/>
      <c r="DW388" s="6"/>
      <c r="DX388" s="6"/>
      <c r="DY388" s="6"/>
      <c r="DZ388" s="6"/>
    </row>
    <row r="389" spans="1:130" ht="34.5" hidden="1" customHeight="1">
      <c r="A389" s="228"/>
      <c r="B389" s="75" t="s">
        <v>1359</v>
      </c>
      <c r="C389" s="155"/>
      <c r="D389" s="75">
        <v>1</v>
      </c>
      <c r="E389" s="75">
        <v>1</v>
      </c>
      <c r="F389" s="75"/>
      <c r="G389" s="400" t="s">
        <v>950</v>
      </c>
      <c r="H389" s="400" t="s">
        <v>2010</v>
      </c>
      <c r="I389" s="207" t="s">
        <v>2011</v>
      </c>
      <c r="J389" s="121" t="str">
        <f>CONCATENATE(G389," ",H389)</f>
        <v>Paola Mortara</v>
      </c>
      <c r="K389" s="156">
        <v>3483112569</v>
      </c>
      <c r="L389" s="437" t="s">
        <v>2012</v>
      </c>
      <c r="M389" s="153" t="s">
        <v>1148</v>
      </c>
      <c r="N389" s="160" t="s">
        <v>2013</v>
      </c>
      <c r="O389" s="402"/>
      <c r="P389" s="315"/>
      <c r="Q389" s="160"/>
      <c r="R389" s="403"/>
      <c r="S389" s="160"/>
      <c r="T389" s="404"/>
      <c r="U389" s="315"/>
      <c r="V389" s="315"/>
      <c r="W389" s="315"/>
      <c r="X389" s="131"/>
      <c r="Y389" s="315"/>
      <c r="Z389" s="315"/>
      <c r="AA389" s="315"/>
      <c r="AB389" s="37"/>
      <c r="AC389" s="131"/>
      <c r="AD389" s="121" t="s">
        <v>2014</v>
      </c>
      <c r="AE389" s="88"/>
      <c r="AF389" s="405"/>
      <c r="AG389" s="406"/>
      <c r="AH389" s="406"/>
      <c r="AI389" s="405"/>
      <c r="AJ389" s="155"/>
      <c r="AK389" s="155"/>
      <c r="AL389" s="155"/>
      <c r="AM389" s="407"/>
      <c r="AN389" s="155"/>
      <c r="AO389" s="155"/>
      <c r="AP389" s="155"/>
      <c r="AQ389" s="85"/>
      <c r="AR389" s="121"/>
      <c r="AS389" s="121"/>
      <c r="AT389" s="121"/>
      <c r="AU389" s="408"/>
      <c r="AV389" s="121"/>
      <c r="AW389" s="121"/>
      <c r="AX389" s="121"/>
      <c r="AY389" s="85"/>
      <c r="AZ389" s="121" t="s">
        <v>115</v>
      </c>
      <c r="BA389" s="121" t="s">
        <v>115</v>
      </c>
      <c r="BB389" s="135" t="s">
        <v>115</v>
      </c>
      <c r="BC389" s="85"/>
      <c r="BD389" s="121"/>
      <c r="BE389" s="121"/>
      <c r="BF389" s="121"/>
      <c r="BG389" s="408"/>
      <c r="BH389" s="238">
        <f>CF389+CI389+CL389+CO389+CR389</f>
        <v>2997</v>
      </c>
      <c r="BI389" s="238">
        <f>CH389+CK389+CN389+CQ389+CT389</f>
        <v>2997</v>
      </c>
      <c r="BJ389" s="238">
        <f>BH389-BI389</f>
        <v>0</v>
      </c>
      <c r="BK389" s="239"/>
      <c r="BL389" s="260"/>
      <c r="BM389" s="241"/>
      <c r="BN389" s="142">
        <v>2997</v>
      </c>
      <c r="BO389" s="182"/>
      <c r="BP389" s="2037" t="s">
        <v>117</v>
      </c>
      <c r="BQ389" s="98">
        <v>0</v>
      </c>
      <c r="BR389" s="409"/>
      <c r="BS389" s="242">
        <f>BL389*BQ389</f>
        <v>0</v>
      </c>
      <c r="BT389" s="203">
        <f>BM389*BQ389</f>
        <v>0</v>
      </c>
      <c r="BU389" s="167">
        <f>BN389*BQ389</f>
        <v>0</v>
      </c>
      <c r="BV389" s="168">
        <f>BO389*BQ389</f>
        <v>0</v>
      </c>
      <c r="BW389" s="131"/>
      <c r="BX389" s="105" t="s">
        <v>152</v>
      </c>
      <c r="BY389" s="145">
        <v>0.05</v>
      </c>
      <c r="BZ389" s="110"/>
      <c r="CA389" s="242">
        <f>BL389*BY389</f>
        <v>0</v>
      </c>
      <c r="CB389" s="203">
        <f>BM389*BY389</f>
        <v>0</v>
      </c>
      <c r="CC389" s="530">
        <f>BN389*BY389</f>
        <v>149.85</v>
      </c>
      <c r="CD389" s="531">
        <f>BO389*BY389</f>
        <v>0</v>
      </c>
      <c r="CE389" s="163" t="s">
        <v>185</v>
      </c>
      <c r="CF389" s="108">
        <v>2997</v>
      </c>
      <c r="CG389" s="109">
        <v>45198</v>
      </c>
      <c r="CH389" s="110">
        <v>2997</v>
      </c>
      <c r="CI389" s="415"/>
      <c r="CJ389" s="416"/>
      <c r="CK389" s="415"/>
      <c r="CL389" s="415"/>
      <c r="CM389" s="416"/>
      <c r="CN389" s="415"/>
      <c r="CO389" s="263"/>
      <c r="CP389" s="263"/>
      <c r="CQ389" s="263"/>
      <c r="CR389" s="263"/>
      <c r="CS389" s="263"/>
      <c r="CT389" s="263"/>
      <c r="CU389" s="90">
        <v>1</v>
      </c>
      <c r="CV389" s="181"/>
      <c r="CW389" s="438"/>
      <c r="CX389" s="439"/>
      <c r="CY389" s="155"/>
      <c r="CZ389" s="121"/>
      <c r="DA389" s="428" t="s">
        <v>2015</v>
      </c>
      <c r="DB389" s="115" t="str">
        <f>PROPER(N389)</f>
        <v>Fenix Digital Group</v>
      </c>
      <c r="DC389" s="280" t="s">
        <v>2016</v>
      </c>
      <c r="DD389" s="116" t="str">
        <f>BP389</f>
        <v>blackship</v>
      </c>
      <c r="DE389" s="117">
        <f>IF(OR(D389&gt;0),IF(BJ389=0,BN389*BQ389,0))</f>
        <v>0</v>
      </c>
      <c r="DF389" s="117">
        <f>IF(OR(D389&gt;0),IF(BJ389=0,BN389*BY389,0))</f>
        <v>149.85</v>
      </c>
      <c r="DG389" s="118" t="str">
        <f>BX389</f>
        <v>Client Angel</v>
      </c>
      <c r="DH389" s="76"/>
      <c r="DI389" s="120" t="s">
        <v>126</v>
      </c>
      <c r="DJ389" s="120"/>
      <c r="DK389" s="74" t="s">
        <v>1366</v>
      </c>
      <c r="DL389" s="74" t="s">
        <v>1399</v>
      </c>
      <c r="DM389" s="122">
        <v>1</v>
      </c>
      <c r="DN389" s="6"/>
      <c r="DO389" s="6"/>
      <c r="DP389" s="6"/>
      <c r="DQ389" s="6"/>
      <c r="DR389" s="6"/>
      <c r="DS389" s="6"/>
      <c r="DT389" s="6"/>
      <c r="DU389" s="6"/>
      <c r="DV389" s="6"/>
      <c r="DW389" s="6"/>
      <c r="DX389" s="6"/>
      <c r="DY389" s="6"/>
      <c r="DZ389" s="6"/>
    </row>
    <row r="390" spans="1:130" ht="34.5" hidden="1" customHeight="1">
      <c r="A390" s="228"/>
      <c r="B390" s="75" t="s">
        <v>1359</v>
      </c>
      <c r="C390" s="155"/>
      <c r="D390" s="75"/>
      <c r="E390" s="75"/>
      <c r="F390" s="75"/>
      <c r="G390" s="400" t="s">
        <v>246</v>
      </c>
      <c r="H390" s="400" t="s">
        <v>962</v>
      </c>
      <c r="I390" s="294" t="s">
        <v>2144</v>
      </c>
      <c r="J390" s="155" t="str">
        <f>CONCATENATE(G390," ",H390)</f>
        <v>Marco Bugatti</v>
      </c>
      <c r="K390" s="156" t="s">
        <v>2145</v>
      </c>
      <c r="L390" s="152" t="s">
        <v>2146</v>
      </c>
      <c r="M390" s="153"/>
      <c r="N390" s="160" t="s">
        <v>334</v>
      </c>
      <c r="O390" s="402"/>
      <c r="P390" s="315"/>
      <c r="Q390" s="160"/>
      <c r="R390" s="403"/>
      <c r="S390" s="160"/>
      <c r="T390" s="404"/>
      <c r="U390" s="315"/>
      <c r="V390" s="315"/>
      <c r="W390" s="315"/>
      <c r="X390" s="131"/>
      <c r="Y390" s="315"/>
      <c r="Z390" s="315"/>
      <c r="AA390" s="315"/>
      <c r="AB390" s="37"/>
      <c r="AC390" s="131"/>
      <c r="AD390" s="121"/>
      <c r="AE390" s="88"/>
      <c r="AF390" s="405"/>
      <c r="AG390" s="406"/>
      <c r="AH390" s="406"/>
      <c r="AI390" s="405"/>
      <c r="AJ390" s="155"/>
      <c r="AK390" s="155"/>
      <c r="AL390" s="155"/>
      <c r="AM390" s="407"/>
      <c r="AN390" s="155"/>
      <c r="AO390" s="155"/>
      <c r="AP390" s="155"/>
      <c r="AQ390" s="85"/>
      <c r="AR390" s="121"/>
      <c r="AS390" s="121"/>
      <c r="AT390" s="121"/>
      <c r="AU390" s="408"/>
      <c r="AV390" s="121"/>
      <c r="AW390" s="121"/>
      <c r="AX390" s="121"/>
      <c r="AY390" s="408"/>
      <c r="AZ390" s="362"/>
      <c r="BA390" s="362"/>
      <c r="BB390" s="362"/>
      <c r="BC390" s="85"/>
      <c r="BD390" s="121" t="s">
        <v>335</v>
      </c>
      <c r="BE390" s="121" t="s">
        <v>245</v>
      </c>
      <c r="BF390" s="121" t="s">
        <v>245</v>
      </c>
      <c r="BG390" s="408"/>
      <c r="BH390" s="238">
        <f>CF390+CI390+CL390+CO390+CR390</f>
        <v>2597</v>
      </c>
      <c r="BI390" s="238">
        <f>CH390+CK390+CN390+CQ390+CT390</f>
        <v>0</v>
      </c>
      <c r="BJ390" s="238">
        <f>BH390-BI390</f>
        <v>2597</v>
      </c>
      <c r="BK390" s="239"/>
      <c r="BL390" s="260"/>
      <c r="BM390" s="241"/>
      <c r="BN390" s="142"/>
      <c r="BO390" s="182">
        <v>2597</v>
      </c>
      <c r="BP390" s="80" t="s">
        <v>184</v>
      </c>
      <c r="BQ390" s="98">
        <v>0.15</v>
      </c>
      <c r="BR390" s="409"/>
      <c r="BS390" s="242"/>
      <c r="BT390" s="203"/>
      <c r="BU390" s="167">
        <f>BN390*BQ390</f>
        <v>0</v>
      </c>
      <c r="BV390" s="168">
        <f>BO390*BQ390</f>
        <v>389.55</v>
      </c>
      <c r="BW390" s="131"/>
      <c r="BX390" s="105" t="s">
        <v>184</v>
      </c>
      <c r="BY390" s="145">
        <v>0.05</v>
      </c>
      <c r="BZ390" s="110"/>
      <c r="CA390" s="242">
        <f>BL390*BY390</f>
        <v>0</v>
      </c>
      <c r="CB390" s="203">
        <f>BM390*BY390</f>
        <v>0</v>
      </c>
      <c r="CC390" s="530">
        <f>BN390*BY390</f>
        <v>0</v>
      </c>
      <c r="CD390" s="531">
        <f>BO390*BY390</f>
        <v>129.85</v>
      </c>
      <c r="CE390" s="411"/>
      <c r="CF390" s="108">
        <v>2597</v>
      </c>
      <c r="CG390" s="130" t="s">
        <v>2147</v>
      </c>
      <c r="CH390" s="414"/>
      <c r="CI390" s="415"/>
      <c r="CJ390" s="416"/>
      <c r="CK390" s="415"/>
      <c r="CL390" s="415"/>
      <c r="CM390" s="416"/>
      <c r="CN390" s="415"/>
      <c r="CO390" s="263"/>
      <c r="CP390" s="263"/>
      <c r="CQ390" s="263"/>
      <c r="CR390" s="263"/>
      <c r="CS390" s="263"/>
      <c r="CT390" s="263"/>
      <c r="CU390" s="90">
        <v>1</v>
      </c>
      <c r="CV390" s="181"/>
      <c r="CW390" s="491"/>
      <c r="CX390" s="492"/>
      <c r="CY390" s="155"/>
      <c r="CZ390" s="121"/>
      <c r="DA390" s="424" t="s">
        <v>2143</v>
      </c>
      <c r="DB390" s="115" t="str">
        <f>PROPER(N390)</f>
        <v>Ellepack</v>
      </c>
      <c r="DC390" s="280" t="s">
        <v>897</v>
      </c>
      <c r="DD390" s="116" t="str">
        <f>BP390</f>
        <v>Cristian A</v>
      </c>
      <c r="DE390" s="117" t="b">
        <f>IF(OR(D390&gt;0),IF(BJ390=0,BN390*BQ390,0))</f>
        <v>0</v>
      </c>
      <c r="DF390" s="117" t="b">
        <f>IF(OR(D390&gt;0),IF(BJ390=0,BN390*BY390,0))</f>
        <v>0</v>
      </c>
      <c r="DG390" s="118" t="str">
        <f>BX390</f>
        <v>Cristian A</v>
      </c>
      <c r="DH390" s="76"/>
      <c r="DI390" s="120" t="s">
        <v>154</v>
      </c>
      <c r="DJ390" s="120"/>
      <c r="DK390" s="74"/>
      <c r="DL390" s="74"/>
      <c r="DM390" s="122">
        <v>1</v>
      </c>
      <c r="DN390" s="6"/>
      <c r="DO390" s="6"/>
      <c r="DP390" s="6"/>
      <c r="DQ390" s="6"/>
      <c r="DR390" s="6"/>
      <c r="DS390" s="6"/>
      <c r="DT390" s="6"/>
      <c r="DU390" s="6"/>
      <c r="DV390" s="6"/>
      <c r="DW390" s="6"/>
      <c r="DX390" s="6"/>
      <c r="DY390" s="6"/>
      <c r="DZ390" s="6"/>
    </row>
    <row r="391" spans="1:130" ht="34.5" hidden="1" customHeight="1">
      <c r="A391" s="228"/>
      <c r="B391" s="75" t="s">
        <v>1359</v>
      </c>
      <c r="C391" s="155"/>
      <c r="D391" s="75"/>
      <c r="E391" s="75"/>
      <c r="F391" s="75"/>
      <c r="G391" s="400" t="s">
        <v>1437</v>
      </c>
      <c r="H391" s="400" t="s">
        <v>2148</v>
      </c>
      <c r="I391" s="207" t="s">
        <v>2149</v>
      </c>
      <c r="J391" s="155" t="str">
        <f>CONCATENATE(G391," ",H391)</f>
        <v>Marzia Lozza</v>
      </c>
      <c r="K391" s="156">
        <v>3334622790</v>
      </c>
      <c r="L391" s="152" t="s">
        <v>2146</v>
      </c>
      <c r="M391" s="153"/>
      <c r="N391" s="160" t="s">
        <v>334</v>
      </c>
      <c r="O391" s="402"/>
      <c r="P391" s="315"/>
      <c r="Q391" s="160"/>
      <c r="R391" s="403"/>
      <c r="S391" s="160"/>
      <c r="T391" s="404"/>
      <c r="U391" s="315"/>
      <c r="V391" s="315"/>
      <c r="W391" s="315"/>
      <c r="X391" s="131"/>
      <c r="Y391" s="315"/>
      <c r="Z391" s="315"/>
      <c r="AA391" s="315"/>
      <c r="AB391" s="37"/>
      <c r="AC391" s="131"/>
      <c r="AD391" s="121"/>
      <c r="AE391" s="88"/>
      <c r="AF391" s="405"/>
      <c r="AG391" s="406"/>
      <c r="AH391" s="406"/>
      <c r="AI391" s="405"/>
      <c r="AJ391" s="155"/>
      <c r="AK391" s="155"/>
      <c r="AL391" s="155"/>
      <c r="AM391" s="407"/>
      <c r="AN391" s="155"/>
      <c r="AO391" s="155"/>
      <c r="AP391" s="155"/>
      <c r="AQ391" s="85"/>
      <c r="AR391" s="121"/>
      <c r="AS391" s="121"/>
      <c r="AT391" s="121"/>
      <c r="AU391" s="408"/>
      <c r="AV391" s="121"/>
      <c r="AW391" s="121"/>
      <c r="AX391" s="121"/>
      <c r="AY391" s="408"/>
      <c r="AZ391" s="362"/>
      <c r="BA391" s="362"/>
      <c r="BB391" s="362"/>
      <c r="BC391" s="408"/>
      <c r="BD391" s="121" t="s">
        <v>335</v>
      </c>
      <c r="BE391" s="362" t="s">
        <v>245</v>
      </c>
      <c r="BF391" s="362" t="s">
        <v>245</v>
      </c>
      <c r="BG391" s="408"/>
      <c r="BH391" s="238">
        <f>CF391+CI391+CL391+CO391+CR391</f>
        <v>2597</v>
      </c>
      <c r="BI391" s="238">
        <f>CH391+CK391+CN391+CQ391+CT391</f>
        <v>0</v>
      </c>
      <c r="BJ391" s="238">
        <f>BH391-BI391</f>
        <v>2597</v>
      </c>
      <c r="BK391" s="239"/>
      <c r="BL391" s="260"/>
      <c r="BM391" s="241"/>
      <c r="BN391" s="142"/>
      <c r="BO391" s="182">
        <v>2597</v>
      </c>
      <c r="BP391" s="80" t="s">
        <v>184</v>
      </c>
      <c r="BQ391" s="98">
        <v>0.15</v>
      </c>
      <c r="BR391" s="409"/>
      <c r="BS391" s="242"/>
      <c r="BT391" s="203"/>
      <c r="BU391" s="167">
        <f>BN391*BQ391</f>
        <v>0</v>
      </c>
      <c r="BV391" s="168">
        <f>BO391*BQ391</f>
        <v>389.55</v>
      </c>
      <c r="BW391" s="131"/>
      <c r="BX391" s="105" t="s">
        <v>184</v>
      </c>
      <c r="BY391" s="145">
        <v>0.05</v>
      </c>
      <c r="BZ391" s="110"/>
      <c r="CA391" s="242">
        <f>BL391*BY391</f>
        <v>0</v>
      </c>
      <c r="CB391" s="203">
        <f>BM391*BY391</f>
        <v>0</v>
      </c>
      <c r="CC391" s="530">
        <f>BN391*BY391</f>
        <v>0</v>
      </c>
      <c r="CD391" s="531">
        <f>BO391*BY391</f>
        <v>129.85</v>
      </c>
      <c r="CE391" s="411"/>
      <c r="CF391" s="108">
        <v>2597</v>
      </c>
      <c r="CG391" s="130" t="s">
        <v>2147</v>
      </c>
      <c r="CH391" s="414"/>
      <c r="CI391" s="415"/>
      <c r="CJ391" s="416"/>
      <c r="CK391" s="415"/>
      <c r="CL391" s="415"/>
      <c r="CM391" s="416"/>
      <c r="CN391" s="415"/>
      <c r="CO391" s="263"/>
      <c r="CP391" s="263"/>
      <c r="CQ391" s="263"/>
      <c r="CR391" s="263"/>
      <c r="CS391" s="263"/>
      <c r="CT391" s="263"/>
      <c r="CU391" s="90">
        <v>1</v>
      </c>
      <c r="CV391" s="181"/>
      <c r="CW391" s="491"/>
      <c r="CX391" s="492"/>
      <c r="CY391" s="155"/>
      <c r="CZ391" s="121"/>
      <c r="DA391" s="424" t="s">
        <v>2143</v>
      </c>
      <c r="DB391" s="115" t="str">
        <f>PROPER(N391)</f>
        <v>Ellepack</v>
      </c>
      <c r="DC391" s="280" t="s">
        <v>897</v>
      </c>
      <c r="DD391" s="116" t="str">
        <f>BP391</f>
        <v>Cristian A</v>
      </c>
      <c r="DE391" s="117" t="b">
        <f>IF(OR(D391&gt;0),IF(BJ391=0,BN391*BQ391,0))</f>
        <v>0</v>
      </c>
      <c r="DF391" s="117" t="b">
        <f>IF(OR(D391&gt;0),IF(BJ391=0,BN391*BY391,0))</f>
        <v>0</v>
      </c>
      <c r="DG391" s="118" t="str">
        <f>BX391</f>
        <v>Cristian A</v>
      </c>
      <c r="DH391" s="76"/>
      <c r="DI391" s="120" t="s">
        <v>154</v>
      </c>
      <c r="DJ391" s="120"/>
      <c r="DK391" s="74"/>
      <c r="DL391" s="74"/>
      <c r="DM391" s="122">
        <v>1</v>
      </c>
      <c r="DN391" s="6"/>
      <c r="DO391" s="6"/>
      <c r="DP391" s="6"/>
      <c r="DQ391" s="6"/>
      <c r="DR391" s="6"/>
      <c r="DS391" s="6"/>
      <c r="DT391" s="6"/>
      <c r="DU391" s="6"/>
      <c r="DV391" s="6"/>
      <c r="DW391" s="6"/>
      <c r="DX391" s="6"/>
      <c r="DY391" s="6"/>
      <c r="DZ391" s="6"/>
    </row>
    <row r="392" spans="1:130" ht="34.5" hidden="1" customHeight="1">
      <c r="A392" s="228"/>
      <c r="B392" s="75" t="s">
        <v>1359</v>
      </c>
      <c r="C392" s="155"/>
      <c r="D392" s="75"/>
      <c r="E392" s="75"/>
      <c r="F392" s="75"/>
      <c r="G392" s="400" t="s">
        <v>488</v>
      </c>
      <c r="H392" s="400" t="s">
        <v>2150</v>
      </c>
      <c r="I392" s="294" t="s">
        <v>2151</v>
      </c>
      <c r="J392" s="155" t="str">
        <f>CONCATENATE(G392," ",H392)</f>
        <v>Francesca Grigis</v>
      </c>
      <c r="K392" s="156">
        <v>3332159636</v>
      </c>
      <c r="L392" s="152" t="s">
        <v>2146</v>
      </c>
      <c r="M392" s="153"/>
      <c r="N392" s="160" t="s">
        <v>334</v>
      </c>
      <c r="O392" s="402"/>
      <c r="P392" s="315"/>
      <c r="Q392" s="160"/>
      <c r="R392" s="403"/>
      <c r="S392" s="160"/>
      <c r="T392" s="404"/>
      <c r="U392" s="315"/>
      <c r="V392" s="315"/>
      <c r="W392" s="315"/>
      <c r="X392" s="131"/>
      <c r="Y392" s="315"/>
      <c r="Z392" s="315"/>
      <c r="AA392" s="315"/>
      <c r="AB392" s="37"/>
      <c r="AC392" s="131"/>
      <c r="AD392" s="121"/>
      <c r="AE392" s="88"/>
      <c r="AF392" s="405"/>
      <c r="AG392" s="406"/>
      <c r="AH392" s="406"/>
      <c r="AI392" s="405"/>
      <c r="AJ392" s="155"/>
      <c r="AK392" s="155"/>
      <c r="AL392" s="155"/>
      <c r="AM392" s="407"/>
      <c r="AN392" s="155"/>
      <c r="AO392" s="155"/>
      <c r="AP392" s="155"/>
      <c r="AQ392" s="85"/>
      <c r="AR392" s="121"/>
      <c r="AS392" s="121"/>
      <c r="AT392" s="121"/>
      <c r="AU392" s="408"/>
      <c r="AV392" s="121"/>
      <c r="AW392" s="121"/>
      <c r="AX392" s="121"/>
      <c r="AY392" s="408"/>
      <c r="AZ392" s="362"/>
      <c r="BA392" s="362"/>
      <c r="BB392" s="362"/>
      <c r="BC392" s="408"/>
      <c r="BD392" s="121" t="s">
        <v>335</v>
      </c>
      <c r="BE392" s="362" t="s">
        <v>245</v>
      </c>
      <c r="BF392" s="362" t="s">
        <v>245</v>
      </c>
      <c r="BG392" s="408"/>
      <c r="BH392" s="238">
        <f>CF392+CI392+CL392+CO392+CR392</f>
        <v>2597</v>
      </c>
      <c r="BI392" s="238">
        <f>CH392+CK392+CN392+CQ392+CT392</f>
        <v>0</v>
      </c>
      <c r="BJ392" s="238">
        <f>BH392-BI392</f>
        <v>2597</v>
      </c>
      <c r="BK392" s="239"/>
      <c r="BL392" s="260"/>
      <c r="BM392" s="241"/>
      <c r="BN392" s="142"/>
      <c r="BO392" s="182">
        <v>2597</v>
      </c>
      <c r="BP392" s="80" t="s">
        <v>184</v>
      </c>
      <c r="BQ392" s="98">
        <v>0.15</v>
      </c>
      <c r="BR392" s="409"/>
      <c r="BS392" s="242"/>
      <c r="BT392" s="203"/>
      <c r="BU392" s="167">
        <f>BN392*BQ392</f>
        <v>0</v>
      </c>
      <c r="BV392" s="168">
        <f>BO392*BQ392</f>
        <v>389.55</v>
      </c>
      <c r="BW392" s="131"/>
      <c r="BX392" s="105" t="s">
        <v>184</v>
      </c>
      <c r="BY392" s="145">
        <v>0.05</v>
      </c>
      <c r="BZ392" s="110"/>
      <c r="CA392" s="242">
        <f>BL392*BY392</f>
        <v>0</v>
      </c>
      <c r="CB392" s="203">
        <f>BM392*BY392</f>
        <v>0</v>
      </c>
      <c r="CC392" s="530">
        <f>BN392*BY392</f>
        <v>0</v>
      </c>
      <c r="CD392" s="531">
        <f>BO392*BY392</f>
        <v>129.85</v>
      </c>
      <c r="CE392" s="411"/>
      <c r="CF392" s="108">
        <v>2597</v>
      </c>
      <c r="CG392" s="130" t="s">
        <v>2147</v>
      </c>
      <c r="CH392" s="414"/>
      <c r="CI392" s="415"/>
      <c r="CJ392" s="416"/>
      <c r="CK392" s="415"/>
      <c r="CL392" s="415"/>
      <c r="CM392" s="416"/>
      <c r="CN392" s="415"/>
      <c r="CO392" s="263"/>
      <c r="CP392" s="263"/>
      <c r="CQ392" s="263"/>
      <c r="CR392" s="263"/>
      <c r="CS392" s="263"/>
      <c r="CT392" s="263"/>
      <c r="CU392" s="90">
        <v>1</v>
      </c>
      <c r="CV392" s="181"/>
      <c r="CW392" s="491"/>
      <c r="CX392" s="492"/>
      <c r="CY392" s="155"/>
      <c r="CZ392" s="121"/>
      <c r="DA392" s="424" t="s">
        <v>2143</v>
      </c>
      <c r="DB392" s="115" t="str">
        <f>PROPER(N392)</f>
        <v>Ellepack</v>
      </c>
      <c r="DC392" s="280" t="s">
        <v>897</v>
      </c>
      <c r="DD392" s="116" t="str">
        <f>BP392</f>
        <v>Cristian A</v>
      </c>
      <c r="DE392" s="117" t="b">
        <f>IF(OR(D392&gt;0),IF(BJ392=0,BN392*BQ392,0))</f>
        <v>0</v>
      </c>
      <c r="DF392" s="117" t="b">
        <f>IF(OR(D392&gt;0),IF(BJ392=0,BN392*BY392,0))</f>
        <v>0</v>
      </c>
      <c r="DG392" s="118" t="str">
        <f>BX392</f>
        <v>Cristian A</v>
      </c>
      <c r="DH392" s="76"/>
      <c r="DI392" s="120" t="s">
        <v>154</v>
      </c>
      <c r="DJ392" s="120"/>
      <c r="DK392" s="74"/>
      <c r="DL392" s="74"/>
      <c r="DM392" s="122">
        <v>1</v>
      </c>
      <c r="DN392" s="6"/>
      <c r="DO392" s="6"/>
      <c r="DP392" s="6"/>
      <c r="DQ392" s="6"/>
      <c r="DR392" s="6"/>
      <c r="DS392" s="6"/>
      <c r="DT392" s="6"/>
      <c r="DU392" s="6"/>
      <c r="DV392" s="6"/>
      <c r="DW392" s="6"/>
      <c r="DX392" s="6"/>
      <c r="DY392" s="6"/>
      <c r="DZ392" s="6"/>
    </row>
    <row r="393" spans="1:130" ht="34.5" hidden="1" customHeight="1">
      <c r="A393" s="228"/>
      <c r="B393" s="75" t="s">
        <v>1359</v>
      </c>
      <c r="C393" s="155"/>
      <c r="D393" s="75"/>
      <c r="E393" s="75"/>
      <c r="F393" s="75"/>
      <c r="G393" s="400" t="s">
        <v>693</v>
      </c>
      <c r="H393" s="400" t="s">
        <v>2152</v>
      </c>
      <c r="I393" s="207" t="s">
        <v>2153</v>
      </c>
      <c r="J393" s="155" t="str">
        <f>CONCATENATE(G393," ",H393)</f>
        <v>Silvia Ravasio</v>
      </c>
      <c r="K393" s="156">
        <v>3289231853</v>
      </c>
      <c r="L393" s="152" t="s">
        <v>2146</v>
      </c>
      <c r="M393" s="153"/>
      <c r="N393" s="160" t="s">
        <v>334</v>
      </c>
      <c r="O393" s="402"/>
      <c r="P393" s="315"/>
      <c r="Q393" s="160"/>
      <c r="R393" s="403"/>
      <c r="S393" s="160"/>
      <c r="T393" s="404"/>
      <c r="U393" s="315"/>
      <c r="V393" s="315"/>
      <c r="W393" s="315"/>
      <c r="X393" s="131"/>
      <c r="Y393" s="315"/>
      <c r="Z393" s="315"/>
      <c r="AA393" s="315"/>
      <c r="AB393" s="37"/>
      <c r="AC393" s="131"/>
      <c r="AD393" s="121"/>
      <c r="AE393" s="88"/>
      <c r="AF393" s="405"/>
      <c r="AG393" s="406"/>
      <c r="AH393" s="406"/>
      <c r="AI393" s="405"/>
      <c r="AJ393" s="155"/>
      <c r="AK393" s="155"/>
      <c r="AL393" s="155"/>
      <c r="AM393" s="407"/>
      <c r="AN393" s="155"/>
      <c r="AO393" s="155"/>
      <c r="AP393" s="155"/>
      <c r="AQ393" s="85"/>
      <c r="AR393" s="121"/>
      <c r="AS393" s="121"/>
      <c r="AT393" s="121"/>
      <c r="AU393" s="408"/>
      <c r="AV393" s="121"/>
      <c r="AW393" s="121"/>
      <c r="AX393" s="121"/>
      <c r="AY393" s="408"/>
      <c r="AZ393" s="362"/>
      <c r="BA393" s="362"/>
      <c r="BB393" s="362"/>
      <c r="BC393" s="408"/>
      <c r="BD393" s="121" t="s">
        <v>335</v>
      </c>
      <c r="BE393" s="362" t="s">
        <v>245</v>
      </c>
      <c r="BF393" s="362" t="s">
        <v>245</v>
      </c>
      <c r="BG393" s="408"/>
      <c r="BH393" s="238">
        <f>CF393+CI393+CL393+CO393+CR393</f>
        <v>2597</v>
      </c>
      <c r="BI393" s="238">
        <f>CH393+CK393+CN393+CQ393+CT393</f>
        <v>0</v>
      </c>
      <c r="BJ393" s="238">
        <f>BH393-BI393</f>
        <v>2597</v>
      </c>
      <c r="BK393" s="239"/>
      <c r="BL393" s="260"/>
      <c r="BM393" s="241"/>
      <c r="BN393" s="142"/>
      <c r="BO393" s="182">
        <v>2597</v>
      </c>
      <c r="BP393" s="80" t="s">
        <v>184</v>
      </c>
      <c r="BQ393" s="98">
        <v>0.15</v>
      </c>
      <c r="BR393" s="409"/>
      <c r="BS393" s="242"/>
      <c r="BT393" s="203"/>
      <c r="BU393" s="167">
        <f>BN393*BQ393</f>
        <v>0</v>
      </c>
      <c r="BV393" s="168">
        <f>BO393*BQ393</f>
        <v>389.55</v>
      </c>
      <c r="BW393" s="131"/>
      <c r="BX393" s="105" t="s">
        <v>184</v>
      </c>
      <c r="BY393" s="145">
        <v>0.05</v>
      </c>
      <c r="BZ393" s="110"/>
      <c r="CA393" s="242">
        <f>BL393*BY393</f>
        <v>0</v>
      </c>
      <c r="CB393" s="203">
        <f>BM393*BY393</f>
        <v>0</v>
      </c>
      <c r="CC393" s="530">
        <f>BN393*BY393</f>
        <v>0</v>
      </c>
      <c r="CD393" s="531">
        <f>BO393*BY393</f>
        <v>129.85</v>
      </c>
      <c r="CE393" s="411"/>
      <c r="CF393" s="108">
        <v>2597</v>
      </c>
      <c r="CG393" s="130" t="s">
        <v>2147</v>
      </c>
      <c r="CH393" s="414"/>
      <c r="CI393" s="415"/>
      <c r="CJ393" s="416"/>
      <c r="CK393" s="415"/>
      <c r="CL393" s="415"/>
      <c r="CM393" s="416"/>
      <c r="CN393" s="415"/>
      <c r="CO393" s="263"/>
      <c r="CP393" s="263"/>
      <c r="CQ393" s="263"/>
      <c r="CR393" s="263"/>
      <c r="CS393" s="263"/>
      <c r="CT393" s="263"/>
      <c r="CU393" s="90">
        <v>1</v>
      </c>
      <c r="CV393" s="181"/>
      <c r="CW393" s="491"/>
      <c r="CX393" s="492"/>
      <c r="CY393" s="155"/>
      <c r="CZ393" s="121"/>
      <c r="DA393" s="424" t="s">
        <v>2143</v>
      </c>
      <c r="DB393" s="115" t="str">
        <f>PROPER(N393)</f>
        <v>Ellepack</v>
      </c>
      <c r="DC393" s="280" t="s">
        <v>897</v>
      </c>
      <c r="DD393" s="116" t="str">
        <f>BP393</f>
        <v>Cristian A</v>
      </c>
      <c r="DE393" s="117" t="b">
        <f>IF(OR(D393&gt;0),IF(BJ393=0,BN393*BQ393,0))</f>
        <v>0</v>
      </c>
      <c r="DF393" s="117" t="b">
        <f>IF(OR(D393&gt;0),IF(BJ393=0,BN393*BY393,0))</f>
        <v>0</v>
      </c>
      <c r="DG393" s="118" t="str">
        <f>BX393</f>
        <v>Cristian A</v>
      </c>
      <c r="DH393" s="76"/>
      <c r="DI393" s="120" t="s">
        <v>154</v>
      </c>
      <c r="DJ393" s="120"/>
      <c r="DK393" s="74"/>
      <c r="DL393" s="74"/>
      <c r="DM393" s="122">
        <v>1</v>
      </c>
      <c r="DN393" s="6"/>
      <c r="DO393" s="6"/>
      <c r="DP393" s="6"/>
      <c r="DQ393" s="6"/>
      <c r="DR393" s="6"/>
      <c r="DS393" s="6"/>
      <c r="DT393" s="6"/>
      <c r="DU393" s="6"/>
      <c r="DV393" s="6"/>
      <c r="DW393" s="6"/>
      <c r="DX393" s="6"/>
      <c r="DY393" s="6"/>
      <c r="DZ393" s="6"/>
    </row>
    <row r="394" spans="1:130" ht="34.5" hidden="1" customHeight="1">
      <c r="A394" s="228"/>
      <c r="B394" s="75" t="s">
        <v>902</v>
      </c>
      <c r="C394" s="121"/>
      <c r="D394" s="75">
        <v>1</v>
      </c>
      <c r="E394" s="75">
        <v>1</v>
      </c>
      <c r="F394" s="75"/>
      <c r="G394" s="197" t="s">
        <v>950</v>
      </c>
      <c r="H394" s="197" t="s">
        <v>951</v>
      </c>
      <c r="I394" s="207" t="s">
        <v>952</v>
      </c>
      <c r="J394" s="121" t="str">
        <f>CONCATENATE(G394," ",H394)</f>
        <v>Paola Pezzuto</v>
      </c>
      <c r="K394" s="156">
        <v>3282190171</v>
      </c>
      <c r="L394" s="131"/>
      <c r="M394" s="384" t="s">
        <v>438</v>
      </c>
      <c r="N394" s="160" t="s">
        <v>854</v>
      </c>
      <c r="O394" s="556"/>
      <c r="P394" s="314"/>
      <c r="Q394" s="37"/>
      <c r="R394" s="131"/>
      <c r="S394" s="160"/>
      <c r="T394" s="404"/>
      <c r="U394" s="315"/>
      <c r="V394" s="315"/>
      <c r="W394" s="316"/>
      <c r="X394" s="234"/>
      <c r="Y394" s="316"/>
      <c r="Z394" s="316"/>
      <c r="AA394" s="316"/>
      <c r="AB394" s="37"/>
      <c r="AC394" s="37"/>
      <c r="AD394" s="121" t="s">
        <v>953</v>
      </c>
      <c r="AE394" s="138"/>
      <c r="AF394" s="407"/>
      <c r="AG394" s="121"/>
      <c r="AH394" s="121"/>
      <c r="AI394" s="407"/>
      <c r="AJ394" s="121"/>
      <c r="AK394" s="121"/>
      <c r="AL394" s="121"/>
      <c r="AM394" s="407"/>
      <c r="AN394" s="155"/>
      <c r="AO394" s="155"/>
      <c r="AP394" s="155"/>
      <c r="AQ394" s="1982"/>
      <c r="AR394" s="121"/>
      <c r="AS394" s="121"/>
      <c r="AT394" s="121"/>
      <c r="AU394" s="408"/>
      <c r="AV394" s="121"/>
      <c r="AW394" s="121"/>
      <c r="AX394" s="121"/>
      <c r="AY394" s="408"/>
      <c r="AZ394" s="362" t="s">
        <v>115</v>
      </c>
      <c r="BA394" s="362" t="s">
        <v>115</v>
      </c>
      <c r="BB394" s="2000" t="s">
        <v>115</v>
      </c>
      <c r="BC394" s="408"/>
      <c r="BD394" s="362"/>
      <c r="BE394" s="362"/>
      <c r="BF394" s="362"/>
      <c r="BG394" s="408"/>
      <c r="BH394" s="238">
        <v>2500</v>
      </c>
      <c r="BI394" s="238">
        <f>CH394+CK394+CN394+CQ394+CT394</f>
        <v>2500</v>
      </c>
      <c r="BJ394" s="238">
        <f>BH394-BI394</f>
        <v>0</v>
      </c>
      <c r="BK394" s="239"/>
      <c r="BL394" s="260"/>
      <c r="BM394" s="241"/>
      <c r="BN394" s="142">
        <v>2500</v>
      </c>
      <c r="BO394" s="182"/>
      <c r="BP394" s="275" t="s">
        <v>160</v>
      </c>
      <c r="BQ394" s="98">
        <v>0.15</v>
      </c>
      <c r="BR394" s="409"/>
      <c r="BS394" s="242"/>
      <c r="BT394" s="203"/>
      <c r="BU394" s="167">
        <f>BN394*BQ394</f>
        <v>375</v>
      </c>
      <c r="BV394" s="168">
        <f>BO394*BQ394</f>
        <v>0</v>
      </c>
      <c r="BW394" s="160" t="s">
        <v>185</v>
      </c>
      <c r="BX394" s="105" t="s">
        <v>160</v>
      </c>
      <c r="BY394" s="98">
        <v>0.05</v>
      </c>
      <c r="BZ394" s="110"/>
      <c r="CA394" s="242"/>
      <c r="CB394" s="203"/>
      <c r="CC394" s="530">
        <f>BN394*BY394</f>
        <v>125</v>
      </c>
      <c r="CD394" s="531">
        <f>BO394*BY394</f>
        <v>0</v>
      </c>
      <c r="CE394" s="84" t="s">
        <v>185</v>
      </c>
      <c r="CF394" s="108">
        <v>2500</v>
      </c>
      <c r="CG394" s="109">
        <v>45179</v>
      </c>
      <c r="CH394" s="108">
        <v>2500</v>
      </c>
      <c r="CI394" s="110"/>
      <c r="CJ394" s="226"/>
      <c r="CK394" s="206"/>
      <c r="CL394" s="206"/>
      <c r="CM394" s="226"/>
      <c r="CN394" s="206"/>
      <c r="CO394" s="206"/>
      <c r="CP394" s="206"/>
      <c r="CQ394" s="206"/>
      <c r="CR394" s="206"/>
      <c r="CS394" s="206"/>
      <c r="CT394" s="206"/>
      <c r="CU394" s="90"/>
      <c r="CV394" s="181"/>
      <c r="CW394" s="112"/>
      <c r="CX394" s="1832"/>
      <c r="CY394" s="207"/>
      <c r="CZ394" s="155"/>
      <c r="DA394" s="384" t="s">
        <v>856</v>
      </c>
      <c r="DB394" s="115" t="str">
        <f>PROPER(N394)</f>
        <v>Cloudea</v>
      </c>
      <c r="DC394" s="191" t="s">
        <v>125</v>
      </c>
      <c r="DD394" s="116" t="str">
        <f>BP394</f>
        <v>Gianluca</v>
      </c>
      <c r="DE394" s="117">
        <f>IF(OR(D394&gt;0),IF(BJ394=0,BN394*BQ394,0))</f>
        <v>375</v>
      </c>
      <c r="DF394" s="117">
        <f>IF(OR(D394&gt;0),IF(BJ394=0,BN394*BY394,0))</f>
        <v>125</v>
      </c>
      <c r="DG394" s="116" t="str">
        <f>BX394</f>
        <v>Gianluca</v>
      </c>
      <c r="DH394" s="76"/>
      <c r="DI394" s="120" t="s">
        <v>126</v>
      </c>
      <c r="DJ394" s="120"/>
      <c r="DK394" s="207"/>
      <c r="DL394" s="207"/>
      <c r="DM394" s="248">
        <v>1</v>
      </c>
    </row>
    <row r="395" spans="1:130" ht="34.5" hidden="1" customHeight="1">
      <c r="A395" s="228"/>
      <c r="B395" s="75" t="s">
        <v>1359</v>
      </c>
      <c r="C395" s="155"/>
      <c r="D395" s="75"/>
      <c r="E395" s="75"/>
      <c r="F395" s="75"/>
      <c r="G395" s="400" t="s">
        <v>895</v>
      </c>
      <c r="H395" s="400" t="s">
        <v>2161</v>
      </c>
      <c r="I395" s="294" t="s">
        <v>2162</v>
      </c>
      <c r="J395" s="155" t="str">
        <f>CONCATENATE(G395," ",H395)</f>
        <v>Valentina Millefanti</v>
      </c>
      <c r="K395" s="156">
        <v>3405552029</v>
      </c>
      <c r="L395" s="152" t="s">
        <v>2163</v>
      </c>
      <c r="M395" s="153"/>
      <c r="N395" s="160" t="s">
        <v>2164</v>
      </c>
      <c r="O395" s="402"/>
      <c r="P395" s="315"/>
      <c r="Q395" s="160"/>
      <c r="R395" s="403"/>
      <c r="S395" s="160"/>
      <c r="T395" s="404"/>
      <c r="U395" s="315"/>
      <c r="V395" s="315"/>
      <c r="W395" s="315"/>
      <c r="X395" s="131"/>
      <c r="Y395" s="315"/>
      <c r="Z395" s="315"/>
      <c r="AA395" s="315"/>
      <c r="AB395" s="37"/>
      <c r="AC395" s="131"/>
      <c r="AD395" s="121" t="s">
        <v>2165</v>
      </c>
      <c r="AE395" s="88"/>
      <c r="AF395" s="405"/>
      <c r="AG395" s="406"/>
      <c r="AH395" s="406"/>
      <c r="AI395" s="405"/>
      <c r="AJ395" s="155"/>
      <c r="AK395" s="155"/>
      <c r="AL395" s="155"/>
      <c r="AM395" s="407"/>
      <c r="AN395" s="155"/>
      <c r="AO395" s="155"/>
      <c r="AP395" s="155"/>
      <c r="AQ395" s="85"/>
      <c r="AR395" s="121"/>
      <c r="AS395" s="121"/>
      <c r="AT395" s="121"/>
      <c r="AU395" s="408"/>
      <c r="AV395" s="121"/>
      <c r="AW395" s="121"/>
      <c r="AX395" s="121"/>
      <c r="AY395" s="408"/>
      <c r="AZ395" s="362"/>
      <c r="BA395" s="362"/>
      <c r="BB395" s="362"/>
      <c r="BC395" s="408"/>
      <c r="BD395" s="362" t="s">
        <v>115</v>
      </c>
      <c r="BE395" s="362" t="s">
        <v>115</v>
      </c>
      <c r="BF395" s="362" t="s">
        <v>115</v>
      </c>
      <c r="BG395" s="408"/>
      <c r="BH395" s="238">
        <f>CF395+CI395+CL395+CO395+CR395</f>
        <v>2997</v>
      </c>
      <c r="BI395" s="238">
        <f>CH395+CK395+CN395+CQ395+CT395</f>
        <v>2997</v>
      </c>
      <c r="BJ395" s="238">
        <f>BH395-BI395</f>
        <v>0</v>
      </c>
      <c r="BK395" s="239"/>
      <c r="BL395" s="260"/>
      <c r="BM395" s="241"/>
      <c r="BN395" s="142"/>
      <c r="BO395" s="182">
        <v>2997</v>
      </c>
      <c r="BP395" s="105" t="s">
        <v>133</v>
      </c>
      <c r="BQ395" s="98">
        <v>0.15</v>
      </c>
      <c r="BR395" s="409"/>
      <c r="BS395" s="242">
        <f>BL395*BQ395</f>
        <v>0</v>
      </c>
      <c r="BT395" s="203">
        <f>BM395*BQ395</f>
        <v>0</v>
      </c>
      <c r="BU395" s="167">
        <f>BN395*BQ395</f>
        <v>0</v>
      </c>
      <c r="BV395" s="168">
        <f>BO395*BQ395</f>
        <v>449.55</v>
      </c>
      <c r="BW395" s="131"/>
      <c r="BX395" s="105" t="s">
        <v>133</v>
      </c>
      <c r="BY395" s="145">
        <v>0.05</v>
      </c>
      <c r="BZ395" s="110"/>
      <c r="CA395" s="242">
        <f>BL395*BY395</f>
        <v>0</v>
      </c>
      <c r="CB395" s="203">
        <f>BM395*BY395</f>
        <v>0</v>
      </c>
      <c r="CC395" s="530">
        <f>BN395*BY395</f>
        <v>0</v>
      </c>
      <c r="CD395" s="531">
        <f>BO395*BY395</f>
        <v>149.85</v>
      </c>
      <c r="CE395" s="411"/>
      <c r="CF395" s="108">
        <v>2997</v>
      </c>
      <c r="CG395" s="109">
        <v>45205</v>
      </c>
      <c r="CH395" s="108">
        <v>2997</v>
      </c>
      <c r="CI395" s="415"/>
      <c r="CJ395" s="416"/>
      <c r="CK395" s="415"/>
      <c r="CL395" s="415"/>
      <c r="CM395" s="416"/>
      <c r="CN395" s="415"/>
      <c r="CO395" s="263"/>
      <c r="CP395" s="263"/>
      <c r="CQ395" s="263"/>
      <c r="CR395" s="263"/>
      <c r="CS395" s="263"/>
      <c r="CT395" s="263"/>
      <c r="CU395" s="90">
        <v>1</v>
      </c>
      <c r="CV395" s="181"/>
      <c r="CW395" s="438"/>
      <c r="CX395" s="439"/>
      <c r="CY395" s="155"/>
      <c r="CZ395" s="121"/>
      <c r="DA395" s="424" t="s">
        <v>1992</v>
      </c>
      <c r="DB395" s="115" t="str">
        <f>PROPER(N395)</f>
        <v>Al.Ma.Ceramiche</v>
      </c>
      <c r="DC395" s="280" t="s">
        <v>2166</v>
      </c>
      <c r="DD395" s="116" t="str">
        <f>BP395</f>
        <v>Cristian B</v>
      </c>
      <c r="DE395" s="117" t="b">
        <f>IF(OR(D395&gt;0),IF(BJ395=0,BN395*BQ395,0))</f>
        <v>0</v>
      </c>
      <c r="DF395" s="117" t="b">
        <f>IF(OR(D395&gt;0),IF(BJ395=0,BN395*BY395,0))</f>
        <v>0</v>
      </c>
      <c r="DG395" s="118" t="str">
        <f>BX395</f>
        <v>Cristian B</v>
      </c>
      <c r="DH395" s="76"/>
      <c r="DI395" s="120" t="s">
        <v>154</v>
      </c>
      <c r="DJ395" s="120"/>
      <c r="DK395" s="74" t="s">
        <v>1399</v>
      </c>
      <c r="DL395" s="74" t="s">
        <v>1399</v>
      </c>
      <c r="DM395" s="122"/>
      <c r="DN395" s="6"/>
      <c r="DO395" s="6"/>
      <c r="DP395" s="6"/>
      <c r="DQ395" s="6"/>
      <c r="DR395" s="6"/>
      <c r="DS395" s="6"/>
      <c r="DT395" s="6"/>
      <c r="DU395" s="6"/>
      <c r="DV395" s="6"/>
      <c r="DW395" s="6"/>
      <c r="DX395" s="6"/>
      <c r="DY395" s="6"/>
      <c r="DZ395" s="6"/>
    </row>
    <row r="396" spans="1:130" ht="34.5" hidden="1" customHeight="1">
      <c r="A396" s="228"/>
      <c r="B396" s="75" t="s">
        <v>1359</v>
      </c>
      <c r="C396" s="155"/>
      <c r="D396" s="75">
        <v>1</v>
      </c>
      <c r="E396" s="75">
        <v>1</v>
      </c>
      <c r="F396" s="75"/>
      <c r="G396" s="400" t="s">
        <v>769</v>
      </c>
      <c r="H396" s="400" t="s">
        <v>2027</v>
      </c>
      <c r="I396" s="207" t="s">
        <v>2028</v>
      </c>
      <c r="J396" s="121" t="str">
        <f>CONCATENATE(G396," ",H396)</f>
        <v>Paolo Fontolan</v>
      </c>
      <c r="K396" s="156">
        <v>3384509275</v>
      </c>
      <c r="L396" s="152" t="s">
        <v>1493</v>
      </c>
      <c r="M396" s="447" t="s">
        <v>112</v>
      </c>
      <c r="N396" s="160" t="s">
        <v>2029</v>
      </c>
      <c r="O396" s="402"/>
      <c r="P396" s="315"/>
      <c r="Q396" s="160"/>
      <c r="R396" s="403"/>
      <c r="S396" s="160"/>
      <c r="T396" s="404"/>
      <c r="U396" s="315"/>
      <c r="V396" s="315"/>
      <c r="W396" s="315"/>
      <c r="X396" s="131"/>
      <c r="Y396" s="315"/>
      <c r="Z396" s="315"/>
      <c r="AA396" s="315"/>
      <c r="AB396" s="37"/>
      <c r="AC396" s="131"/>
      <c r="AD396" s="121" t="s">
        <v>2030</v>
      </c>
      <c r="AE396" s="88"/>
      <c r="AF396" s="405"/>
      <c r="AG396" s="406"/>
      <c r="AH396" s="406"/>
      <c r="AI396" s="405"/>
      <c r="AJ396" s="155"/>
      <c r="AK396" s="155"/>
      <c r="AL396" s="155"/>
      <c r="AM396" s="407"/>
      <c r="AN396" s="155"/>
      <c r="AO396" s="155"/>
      <c r="AP396" s="155"/>
      <c r="AQ396" s="85"/>
      <c r="AR396" s="121"/>
      <c r="AS396" s="121"/>
      <c r="AT396" s="121"/>
      <c r="AU396" s="408"/>
      <c r="AV396" s="121"/>
      <c r="AW396" s="121"/>
      <c r="AX396" s="121"/>
      <c r="AY396" s="408"/>
      <c r="AZ396" s="362" t="s">
        <v>115</v>
      </c>
      <c r="BA396" s="362" t="s">
        <v>115</v>
      </c>
      <c r="BB396" s="135" t="s">
        <v>115</v>
      </c>
      <c r="BC396" s="408"/>
      <c r="BD396" s="362"/>
      <c r="BE396" s="362"/>
      <c r="BF396" s="362"/>
      <c r="BG396" s="408"/>
      <c r="BH396" s="238">
        <f>CF396+CI396+CL396+CO396+CR396</f>
        <v>2397</v>
      </c>
      <c r="BI396" s="238">
        <f>CH396+CK396+CN396+CQ396+CT396</f>
        <v>2397</v>
      </c>
      <c r="BJ396" s="238">
        <f>BH396-BI396</f>
        <v>0</v>
      </c>
      <c r="BK396" s="239"/>
      <c r="BL396" s="260"/>
      <c r="BM396" s="241"/>
      <c r="BN396" s="142">
        <v>2397</v>
      </c>
      <c r="BO396" s="182"/>
      <c r="BP396" s="441" t="s">
        <v>1496</v>
      </c>
      <c r="BQ396" s="145">
        <v>0.15</v>
      </c>
      <c r="BR396" s="480"/>
      <c r="BS396" s="381">
        <f>BL396*BQ396</f>
        <v>0</v>
      </c>
      <c r="BT396" s="168">
        <f>BM396*BQ396</f>
        <v>0</v>
      </c>
      <c r="BU396" s="106">
        <f>BN396*BQ396</f>
        <v>359.55</v>
      </c>
      <c r="BV396" s="168">
        <f>BO396*BQ396</f>
        <v>0</v>
      </c>
      <c r="BW396" s="160" t="s">
        <v>185</v>
      </c>
      <c r="BX396" s="441" t="s">
        <v>525</v>
      </c>
      <c r="BY396" s="145">
        <v>0.05</v>
      </c>
      <c r="BZ396" s="110"/>
      <c r="CA396" s="242">
        <f>BL396*BY396</f>
        <v>0</v>
      </c>
      <c r="CB396" s="203">
        <f>BM396*BY396</f>
        <v>0</v>
      </c>
      <c r="CC396" s="106">
        <f>BN396*BY396</f>
        <v>119.85000000000001</v>
      </c>
      <c r="CD396" s="107">
        <f>BO396*BY396</f>
        <v>0</v>
      </c>
      <c r="CE396" s="84" t="s">
        <v>185</v>
      </c>
      <c r="CF396" s="108">
        <v>2397</v>
      </c>
      <c r="CG396" s="109">
        <v>45198</v>
      </c>
      <c r="CH396" s="108">
        <v>2397</v>
      </c>
      <c r="CI396" s="2106"/>
      <c r="CJ396" s="184"/>
      <c r="CK396" s="2106"/>
      <c r="CL396" s="2106"/>
      <c r="CM396" s="184"/>
      <c r="CN396" s="415"/>
      <c r="CO396" s="263"/>
      <c r="CP396" s="263"/>
      <c r="CQ396" s="263"/>
      <c r="CR396" s="263"/>
      <c r="CS396" s="263"/>
      <c r="CT396" s="263"/>
      <c r="CU396" s="90">
        <v>1</v>
      </c>
      <c r="CV396" s="181"/>
      <c r="CW396" s="438"/>
      <c r="CX396" s="439"/>
      <c r="CY396" s="155"/>
      <c r="CZ396" s="121"/>
      <c r="DA396" s="428" t="s">
        <v>2031</v>
      </c>
      <c r="DB396" s="115" t="s">
        <v>2032</v>
      </c>
      <c r="DC396" s="280" t="s">
        <v>2033</v>
      </c>
      <c r="DD396" s="116" t="str">
        <f>BP396</f>
        <v>Patrizia Sabatino</v>
      </c>
      <c r="DE396" s="117">
        <f>IF(OR(D396&gt;0),IF(BJ396=0,BN396*BQ396,0))</f>
        <v>359.55</v>
      </c>
      <c r="DF396" s="117">
        <f>IF(OR(D396&gt;0),IF(BJ396=0,BN396*BY396,0))</f>
        <v>119.85000000000001</v>
      </c>
      <c r="DG396" s="118" t="str">
        <f>BX396</f>
        <v>Bruno</v>
      </c>
      <c r="DH396" s="76"/>
      <c r="DI396" s="120" t="s">
        <v>126</v>
      </c>
      <c r="DJ396" s="120"/>
      <c r="DK396" s="74" t="s">
        <v>1399</v>
      </c>
      <c r="DL396" s="74" t="s">
        <v>1399</v>
      </c>
      <c r="DM396" s="122"/>
      <c r="DN396" s="6"/>
      <c r="DO396" s="6"/>
      <c r="DP396" s="6"/>
      <c r="DQ396" s="6"/>
      <c r="DR396" s="6"/>
      <c r="DS396" s="6"/>
      <c r="DT396" s="6"/>
      <c r="DU396" s="6"/>
      <c r="DV396" s="6"/>
      <c r="DW396" s="6"/>
      <c r="DX396" s="6"/>
      <c r="DY396" s="6"/>
      <c r="DZ396" s="6"/>
    </row>
    <row r="397" spans="1:130" ht="34.5" hidden="1" customHeight="1">
      <c r="A397" s="228"/>
      <c r="B397" s="75" t="s">
        <v>1359</v>
      </c>
      <c r="C397" s="155"/>
      <c r="D397" s="75"/>
      <c r="E397" s="75"/>
      <c r="F397" s="75"/>
      <c r="G397" s="400" t="s">
        <v>2175</v>
      </c>
      <c r="H397" s="400" t="s">
        <v>2176</v>
      </c>
      <c r="I397" s="294" t="s">
        <v>2177</v>
      </c>
      <c r="J397" s="155" t="str">
        <f>CONCATENATE(G397," ",H397)</f>
        <v>Vincenzo Rispoli</v>
      </c>
      <c r="K397" s="156">
        <v>3296875218</v>
      </c>
      <c r="L397" s="153"/>
      <c r="M397" s="153"/>
      <c r="N397" s="160" t="s">
        <v>2178</v>
      </c>
      <c r="O397" s="402"/>
      <c r="P397" s="315"/>
      <c r="Q397" s="160"/>
      <c r="R397" s="403"/>
      <c r="S397" s="160"/>
      <c r="T397" s="404"/>
      <c r="U397" s="315"/>
      <c r="V397" s="315"/>
      <c r="W397" s="315"/>
      <c r="X397" s="131"/>
      <c r="Y397" s="315"/>
      <c r="Z397" s="315"/>
      <c r="AA397" s="315"/>
      <c r="AB397" s="37"/>
      <c r="AC397" s="131"/>
      <c r="AD397" s="121" t="s">
        <v>2179</v>
      </c>
      <c r="AE397" s="88"/>
      <c r="AF397" s="405"/>
      <c r="AG397" s="406"/>
      <c r="AH397" s="406"/>
      <c r="AI397" s="405"/>
      <c r="AJ397" s="155"/>
      <c r="AK397" s="155"/>
      <c r="AL397" s="155"/>
      <c r="AM397" s="407"/>
      <c r="AN397" s="155"/>
      <c r="AO397" s="155"/>
      <c r="AP397" s="155"/>
      <c r="AQ397" s="85"/>
      <c r="AR397" s="121"/>
      <c r="AS397" s="121"/>
      <c r="AT397" s="121"/>
      <c r="AU397" s="408"/>
      <c r="AV397" s="121"/>
      <c r="AW397" s="121"/>
      <c r="AX397" s="121"/>
      <c r="AY397" s="408"/>
      <c r="AZ397" s="362"/>
      <c r="BA397" s="362"/>
      <c r="BB397" s="362"/>
      <c r="BC397" s="408"/>
      <c r="BD397" s="362" t="s">
        <v>245</v>
      </c>
      <c r="BE397" s="362" t="s">
        <v>245</v>
      </c>
      <c r="BF397" s="362" t="s">
        <v>245</v>
      </c>
      <c r="BG397" s="408"/>
      <c r="BH397" s="238">
        <f>CF397+CI397+CL397+CO397+CR397</f>
        <v>3497</v>
      </c>
      <c r="BI397" s="238">
        <f>CH397+CK397+CN397+CQ397+CT397</f>
        <v>163.9344262295082</v>
      </c>
      <c r="BJ397" s="238">
        <f>BH397-BI397</f>
        <v>3333.0655737704919</v>
      </c>
      <c r="BK397" s="239"/>
      <c r="BL397" s="260"/>
      <c r="BM397" s="241"/>
      <c r="BN397" s="142"/>
      <c r="BO397" s="182">
        <v>3497</v>
      </c>
      <c r="BP397" s="105" t="s">
        <v>133</v>
      </c>
      <c r="BQ397" s="98">
        <v>0.15</v>
      </c>
      <c r="BR397" s="409"/>
      <c r="BS397" s="242">
        <f>BL397*BQ397</f>
        <v>0</v>
      </c>
      <c r="BT397" s="203">
        <f>BM397*BQ397</f>
        <v>0</v>
      </c>
      <c r="BU397" s="167">
        <f>BN397*BQ397</f>
        <v>0</v>
      </c>
      <c r="BV397" s="168">
        <f>BO397*BQ397</f>
        <v>524.54999999999995</v>
      </c>
      <c r="BW397" s="131"/>
      <c r="BX397" s="105" t="s">
        <v>133</v>
      </c>
      <c r="BY397" s="145">
        <v>0.05</v>
      </c>
      <c r="BZ397" s="110"/>
      <c r="CA397" s="242">
        <f>BL397*BY397</f>
        <v>0</v>
      </c>
      <c r="CB397" s="203">
        <f>BM397*BY397</f>
        <v>0</v>
      </c>
      <c r="CC397" s="530">
        <f>BN397*BY397</f>
        <v>0</v>
      </c>
      <c r="CD397" s="531">
        <f>BO397*BY397</f>
        <v>174.85000000000002</v>
      </c>
      <c r="CE397" s="411"/>
      <c r="CF397" s="108">
        <f>200/1.22</f>
        <v>163.9344262295082</v>
      </c>
      <c r="CG397" s="109">
        <v>45202</v>
      </c>
      <c r="CH397" s="108">
        <f>200/1.22</f>
        <v>163.9344262295082</v>
      </c>
      <c r="CI397" s="110">
        <f>4066.34/1.22</f>
        <v>3333.0655737704919</v>
      </c>
      <c r="CJ397" s="226">
        <v>45366</v>
      </c>
      <c r="CK397" s="415"/>
      <c r="CL397" s="415"/>
      <c r="CM397" s="416"/>
      <c r="CN397" s="415"/>
      <c r="CO397" s="263"/>
      <c r="CP397" s="263"/>
      <c r="CQ397" s="263"/>
      <c r="CR397" s="263"/>
      <c r="CS397" s="263"/>
      <c r="CT397" s="263"/>
      <c r="CU397" s="90">
        <v>1</v>
      </c>
      <c r="CV397" s="181"/>
      <c r="CW397" s="438"/>
      <c r="CX397" s="439"/>
      <c r="CY397" s="155"/>
      <c r="CZ397" s="121"/>
      <c r="DA397" s="424" t="s">
        <v>2180</v>
      </c>
      <c r="DB397" s="115" t="str">
        <f>PROPER(N397)</f>
        <v>Studio31</v>
      </c>
      <c r="DC397" s="280" t="s">
        <v>2181</v>
      </c>
      <c r="DD397" s="116" t="str">
        <f>BP397</f>
        <v>Cristian B</v>
      </c>
      <c r="DE397" s="117" t="b">
        <f>IF(OR(D397&gt;0),IF(BJ397=0,BN397*BQ397,0))</f>
        <v>0</v>
      </c>
      <c r="DF397" s="117" t="b">
        <f>IF(OR(D397&gt;0),IF(BJ397=0,BN397*BY397,0))</f>
        <v>0</v>
      </c>
      <c r="DG397" s="118" t="str">
        <f>BX397</f>
        <v>Cristian B</v>
      </c>
      <c r="DH397" s="76"/>
      <c r="DI397" s="120" t="s">
        <v>154</v>
      </c>
      <c r="DJ397" s="120"/>
      <c r="DK397" s="74" t="s">
        <v>1418</v>
      </c>
      <c r="DL397" s="74" t="s">
        <v>1418</v>
      </c>
      <c r="DM397" s="122"/>
      <c r="DN397" s="6"/>
      <c r="DO397" s="6"/>
      <c r="DP397" s="6"/>
      <c r="DQ397" s="6"/>
      <c r="DR397" s="6"/>
      <c r="DS397" s="6"/>
      <c r="DT397" s="6"/>
      <c r="DU397" s="6"/>
      <c r="DV397" s="6"/>
      <c r="DW397" s="6"/>
      <c r="DX397" s="6"/>
      <c r="DY397" s="6"/>
      <c r="DZ397" s="6"/>
    </row>
    <row r="398" spans="1:130" ht="34.5" hidden="1" customHeight="1">
      <c r="A398" s="228"/>
      <c r="B398" s="75" t="s">
        <v>1359</v>
      </c>
      <c r="C398" s="155"/>
      <c r="D398" s="75"/>
      <c r="E398" s="75"/>
      <c r="F398" s="75"/>
      <c r="G398" s="400" t="s">
        <v>2182</v>
      </c>
      <c r="H398" s="400" t="s">
        <v>2183</v>
      </c>
      <c r="I398" s="207" t="s">
        <v>2184</v>
      </c>
      <c r="J398" s="155" t="str">
        <f>CONCATENATE(G398," ",H398)</f>
        <v>Bernadette Mercuri</v>
      </c>
      <c r="K398" s="156">
        <v>3387710739</v>
      </c>
      <c r="L398" s="153"/>
      <c r="M398" s="153"/>
      <c r="N398" s="160" t="s">
        <v>2178</v>
      </c>
      <c r="O398" s="402"/>
      <c r="P398" s="315"/>
      <c r="Q398" s="160"/>
      <c r="R398" s="403"/>
      <c r="S398" s="160"/>
      <c r="T398" s="404"/>
      <c r="U398" s="315"/>
      <c r="V398" s="315"/>
      <c r="W398" s="315"/>
      <c r="X398" s="131"/>
      <c r="Y398" s="315"/>
      <c r="Z398" s="315"/>
      <c r="AA398" s="315"/>
      <c r="AB398" s="37"/>
      <c r="AC398" s="131"/>
      <c r="AD398" s="121" t="s">
        <v>2179</v>
      </c>
      <c r="AE398" s="88"/>
      <c r="AF398" s="405"/>
      <c r="AG398" s="406"/>
      <c r="AH398" s="406"/>
      <c r="AI398" s="405"/>
      <c r="AJ398" s="155"/>
      <c r="AK398" s="155"/>
      <c r="AL398" s="155"/>
      <c r="AM398" s="407"/>
      <c r="AN398" s="155"/>
      <c r="AO398" s="155"/>
      <c r="AP398" s="155"/>
      <c r="AQ398" s="85"/>
      <c r="AR398" s="121"/>
      <c r="AS398" s="121"/>
      <c r="AT398" s="121"/>
      <c r="AU398" s="408"/>
      <c r="AV398" s="121"/>
      <c r="AW398" s="121"/>
      <c r="AX398" s="121"/>
      <c r="AY398" s="408"/>
      <c r="AZ398" s="362"/>
      <c r="BA398" s="362"/>
      <c r="BB398" s="362"/>
      <c r="BC398" s="408"/>
      <c r="BD398" s="362" t="s">
        <v>245</v>
      </c>
      <c r="BE398" s="362" t="s">
        <v>245</v>
      </c>
      <c r="BF398" s="362" t="s">
        <v>245</v>
      </c>
      <c r="BG398" s="408"/>
      <c r="BH398" s="238">
        <f>CF398+CI398+CL398+CO398+CR398</f>
        <v>3497</v>
      </c>
      <c r="BI398" s="238">
        <f>CH398+CK398+CN398+CQ398+CT398</f>
        <v>163.9344262295082</v>
      </c>
      <c r="BJ398" s="238">
        <f>BH398-BI398</f>
        <v>3333.0655737704919</v>
      </c>
      <c r="BK398" s="239"/>
      <c r="BL398" s="260"/>
      <c r="BM398" s="241"/>
      <c r="BN398" s="142"/>
      <c r="BO398" s="182">
        <v>3497</v>
      </c>
      <c r="BP398" s="105" t="s">
        <v>133</v>
      </c>
      <c r="BQ398" s="98">
        <v>0.15</v>
      </c>
      <c r="BR398" s="409"/>
      <c r="BS398" s="242">
        <f>BL398*BQ398</f>
        <v>0</v>
      </c>
      <c r="BT398" s="203">
        <f>BM398*BQ398</f>
        <v>0</v>
      </c>
      <c r="BU398" s="167">
        <f>BN398*BQ398</f>
        <v>0</v>
      </c>
      <c r="BV398" s="168">
        <f>BO398*BQ398</f>
        <v>524.54999999999995</v>
      </c>
      <c r="BW398" s="131"/>
      <c r="BX398" s="105" t="s">
        <v>133</v>
      </c>
      <c r="BY398" s="145">
        <v>0.05</v>
      </c>
      <c r="BZ398" s="110"/>
      <c r="CA398" s="242">
        <f>BL398*BY398</f>
        <v>0</v>
      </c>
      <c r="CB398" s="203">
        <f>BM398*BY398</f>
        <v>0</v>
      </c>
      <c r="CC398" s="530">
        <f>BN398*BY398</f>
        <v>0</v>
      </c>
      <c r="CD398" s="531">
        <f>BO398*BY398</f>
        <v>174.85000000000002</v>
      </c>
      <c r="CE398" s="411"/>
      <c r="CF398" s="108">
        <f>200/1.22</f>
        <v>163.9344262295082</v>
      </c>
      <c r="CG398" s="109">
        <v>45202</v>
      </c>
      <c r="CH398" s="108">
        <f>200/1.22</f>
        <v>163.9344262295082</v>
      </c>
      <c r="CI398" s="110">
        <f>4066.34/1.22</f>
        <v>3333.0655737704919</v>
      </c>
      <c r="CJ398" s="226">
        <v>45366</v>
      </c>
      <c r="CK398" s="415"/>
      <c r="CL398" s="415"/>
      <c r="CM398" s="416"/>
      <c r="CN398" s="415"/>
      <c r="CO398" s="263"/>
      <c r="CP398" s="263"/>
      <c r="CQ398" s="263"/>
      <c r="CR398" s="263"/>
      <c r="CS398" s="263"/>
      <c r="CT398" s="263"/>
      <c r="CU398" s="90">
        <v>1</v>
      </c>
      <c r="CV398" s="181"/>
      <c r="CW398" s="438"/>
      <c r="CX398" s="439"/>
      <c r="CY398" s="155"/>
      <c r="CZ398" s="121"/>
      <c r="DA398" s="424"/>
      <c r="DB398" s="115" t="str">
        <f>PROPER(N398)</f>
        <v>Studio31</v>
      </c>
      <c r="DC398" s="280"/>
      <c r="DD398" s="116" t="str">
        <f>BP398</f>
        <v>Cristian B</v>
      </c>
      <c r="DE398" s="117" t="b">
        <f>IF(OR(D398&gt;0),IF(BJ398=0,BN398*BQ398,0))</f>
        <v>0</v>
      </c>
      <c r="DF398" s="117" t="b">
        <f>IF(OR(D398&gt;0),IF(BJ398=0,BN398*BY398,0))</f>
        <v>0</v>
      </c>
      <c r="DG398" s="118" t="str">
        <f>BX398</f>
        <v>Cristian B</v>
      </c>
      <c r="DH398" s="76"/>
      <c r="DI398" s="120" t="s">
        <v>154</v>
      </c>
      <c r="DJ398" s="120"/>
      <c r="DK398" s="74" t="s">
        <v>1418</v>
      </c>
      <c r="DL398" s="74" t="s">
        <v>1418</v>
      </c>
      <c r="DM398" s="122"/>
      <c r="DN398" s="6"/>
      <c r="DO398" s="6"/>
      <c r="DP398" s="6"/>
      <c r="DQ398" s="6"/>
      <c r="DR398" s="6"/>
      <c r="DS398" s="6"/>
      <c r="DT398" s="6"/>
      <c r="DU398" s="6"/>
      <c r="DV398" s="6"/>
      <c r="DW398" s="6"/>
      <c r="DX398" s="6"/>
      <c r="DY398" s="6"/>
      <c r="DZ398" s="6"/>
    </row>
    <row r="399" spans="1:130" ht="34.5" hidden="1" customHeight="1">
      <c r="A399" s="228"/>
      <c r="B399" s="75" t="s">
        <v>1359</v>
      </c>
      <c r="C399" s="155"/>
      <c r="D399" s="75"/>
      <c r="E399" s="75"/>
      <c r="F399" s="75"/>
      <c r="G399" s="400" t="s">
        <v>2185</v>
      </c>
      <c r="H399" s="400" t="s">
        <v>2186</v>
      </c>
      <c r="I399" s="207" t="s">
        <v>2187</v>
      </c>
      <c r="J399" s="155" t="str">
        <f>CONCATENATE(G399," ",H399)</f>
        <v>Vittorio Forbici</v>
      </c>
      <c r="K399" s="156">
        <v>3288142446</v>
      </c>
      <c r="L399" s="436" t="s">
        <v>2188</v>
      </c>
      <c r="M399" s="153"/>
      <c r="N399" s="160" t="s">
        <v>2189</v>
      </c>
      <c r="O399" s="402"/>
      <c r="P399" s="315"/>
      <c r="Q399" s="160"/>
      <c r="R399" s="403"/>
      <c r="S399" s="160"/>
      <c r="T399" s="404"/>
      <c r="U399" s="315"/>
      <c r="V399" s="315"/>
      <c r="W399" s="315"/>
      <c r="X399" s="131"/>
      <c r="Y399" s="315"/>
      <c r="Z399" s="315"/>
      <c r="AA399" s="315"/>
      <c r="AB399" s="37"/>
      <c r="AC399" s="131"/>
      <c r="AD399" s="121" t="s">
        <v>2190</v>
      </c>
      <c r="AE399" s="88"/>
      <c r="AF399" s="405"/>
      <c r="AG399" s="406"/>
      <c r="AH399" s="406"/>
      <c r="AI399" s="405"/>
      <c r="AJ399" s="155"/>
      <c r="AK399" s="155"/>
      <c r="AL399" s="155"/>
      <c r="AM399" s="407"/>
      <c r="AN399" s="155"/>
      <c r="AO399" s="155"/>
      <c r="AP399" s="155"/>
      <c r="AQ399" s="85"/>
      <c r="AR399" s="121"/>
      <c r="AS399" s="121"/>
      <c r="AT399" s="121"/>
      <c r="AU399" s="408"/>
      <c r="AV399" s="121"/>
      <c r="AW399" s="121"/>
      <c r="AX399" s="121"/>
      <c r="AY399" s="408"/>
      <c r="AZ399" s="362"/>
      <c r="BA399" s="362"/>
      <c r="BB399" s="362"/>
      <c r="BC399" s="408"/>
      <c r="BD399" s="362" t="s">
        <v>245</v>
      </c>
      <c r="BE399" s="362" t="s">
        <v>245</v>
      </c>
      <c r="BF399" s="362" t="s">
        <v>245</v>
      </c>
      <c r="BG399" s="408"/>
      <c r="BH399" s="238">
        <f>CF399+CI399+CL399+CO399+CR399</f>
        <v>3497</v>
      </c>
      <c r="BI399" s="238">
        <f>CH399+CK399+CN399+CQ399+CT399</f>
        <v>163.9344262295082</v>
      </c>
      <c r="BJ399" s="238">
        <f>BH399-BI399</f>
        <v>3333.0655737704919</v>
      </c>
      <c r="BK399" s="239"/>
      <c r="BL399" s="260"/>
      <c r="BM399" s="241"/>
      <c r="BN399" s="142"/>
      <c r="BO399" s="182">
        <v>3497</v>
      </c>
      <c r="BP399" s="105" t="s">
        <v>246</v>
      </c>
      <c r="BQ399" s="98">
        <v>0.15</v>
      </c>
      <c r="BR399" s="409"/>
      <c r="BS399" s="242">
        <f>BL399*BQ399</f>
        <v>0</v>
      </c>
      <c r="BT399" s="203">
        <f>BM399*BQ399</f>
        <v>0</v>
      </c>
      <c r="BU399" s="167">
        <f>BN399*BQ399</f>
        <v>0</v>
      </c>
      <c r="BV399" s="168">
        <f>BO399*BQ399</f>
        <v>524.54999999999995</v>
      </c>
      <c r="BW399" s="131"/>
      <c r="BX399" s="105" t="s">
        <v>246</v>
      </c>
      <c r="BY399" s="145">
        <v>0.05</v>
      </c>
      <c r="BZ399" s="110"/>
      <c r="CA399" s="242">
        <f>BL399*BY399</f>
        <v>0</v>
      </c>
      <c r="CB399" s="203">
        <f>BM399*BY399</f>
        <v>0</v>
      </c>
      <c r="CC399" s="530">
        <f>BN399*BY399</f>
        <v>0</v>
      </c>
      <c r="CD399" s="531">
        <f>BO399*BY399</f>
        <v>174.85000000000002</v>
      </c>
      <c r="CE399" s="411"/>
      <c r="CF399" s="108">
        <f>200/1.22</f>
        <v>163.9344262295082</v>
      </c>
      <c r="CG399" s="109">
        <v>45198</v>
      </c>
      <c r="CH399" s="108">
        <f>200/1.22</f>
        <v>163.9344262295082</v>
      </c>
      <c r="CI399" s="110">
        <f>4066.34/1.22</f>
        <v>3333.0655737704919</v>
      </c>
      <c r="CJ399" s="226">
        <v>45408</v>
      </c>
      <c r="CK399" s="415"/>
      <c r="CL399" s="415"/>
      <c r="CM399" s="416"/>
      <c r="CN399" s="415"/>
      <c r="CO399" s="263"/>
      <c r="CP399" s="263"/>
      <c r="CQ399" s="263"/>
      <c r="CR399" s="263"/>
      <c r="CS399" s="263"/>
      <c r="CT399" s="263"/>
      <c r="CU399" s="90">
        <v>1</v>
      </c>
      <c r="CV399" s="181"/>
      <c r="CW399" s="438"/>
      <c r="CX399" s="439"/>
      <c r="CY399" s="155"/>
      <c r="CZ399" s="121"/>
      <c r="DA399" s="424"/>
      <c r="DB399" s="115" t="str">
        <f>PROPER(N399)</f>
        <v>Le Forbici</v>
      </c>
      <c r="DC399" s="280"/>
      <c r="DD399" s="116" t="str">
        <f>BP399</f>
        <v>Marco</v>
      </c>
      <c r="DE399" s="117" t="b">
        <f>IF(OR(D399&gt;0),IF(BJ399=0,BN399*BQ399,0))</f>
        <v>0</v>
      </c>
      <c r="DF399" s="117" t="b">
        <f>IF(OR(D399&gt;0),IF(BJ399=0,BN399*BY399,0))</f>
        <v>0</v>
      </c>
      <c r="DG399" s="118" t="str">
        <f>BX399</f>
        <v>Marco</v>
      </c>
      <c r="DH399" s="76"/>
      <c r="DI399" s="120" t="s">
        <v>154</v>
      </c>
      <c r="DJ399" s="120"/>
      <c r="DK399" s="74" t="s">
        <v>1366</v>
      </c>
      <c r="DL399" s="74" t="s">
        <v>1366</v>
      </c>
      <c r="DM399" s="122"/>
      <c r="DN399" s="6"/>
      <c r="DO399" s="6"/>
      <c r="DP399" s="6"/>
      <c r="DQ399" s="6"/>
      <c r="DR399" s="6"/>
      <c r="DS399" s="6"/>
      <c r="DT399" s="6"/>
      <c r="DU399" s="6"/>
      <c r="DV399" s="6"/>
      <c r="DW399" s="6"/>
      <c r="DX399" s="6"/>
      <c r="DY399" s="6"/>
      <c r="DZ399" s="6"/>
    </row>
    <row r="400" spans="1:130" ht="34.5" hidden="1" customHeight="1">
      <c r="A400" s="3"/>
      <c r="B400" s="75" t="s">
        <v>108</v>
      </c>
      <c r="C400" s="121"/>
      <c r="D400" s="75">
        <v>1</v>
      </c>
      <c r="E400" s="75">
        <v>1</v>
      </c>
      <c r="F400" s="148"/>
      <c r="G400" s="79" t="s">
        <v>769</v>
      </c>
      <c r="H400" s="79" t="s">
        <v>773</v>
      </c>
      <c r="I400" s="131" t="s">
        <v>774</v>
      </c>
      <c r="J400" s="121" t="str">
        <f>CONCATENATE(G400," ",H400)</f>
        <v>Paolo Mason</v>
      </c>
      <c r="K400" s="156">
        <v>3487380995</v>
      </c>
      <c r="L400" s="157" t="s">
        <v>775</v>
      </c>
      <c r="M400" s="176" t="s">
        <v>278</v>
      </c>
      <c r="N400" s="160" t="s">
        <v>776</v>
      </c>
      <c r="O400" s="407"/>
      <c r="P400" s="1941"/>
      <c r="Q400" s="86"/>
      <c r="R400" s="86"/>
      <c r="S400" s="86"/>
      <c r="T400" s="1953"/>
      <c r="U400" s="1941"/>
      <c r="V400" s="1941"/>
      <c r="W400" s="1941"/>
      <c r="X400" s="86"/>
      <c r="Y400" s="1960"/>
      <c r="Z400" s="1941"/>
      <c r="AA400" s="1941"/>
      <c r="AB400" s="86"/>
      <c r="AC400" s="86"/>
      <c r="AD400" s="86" t="s">
        <v>777</v>
      </c>
      <c r="AE400" s="88" t="str">
        <f>L400</f>
        <v>p/to concordato con Matteo. 2997+iva con 200 acconto subito</v>
      </c>
      <c r="AF400" s="407"/>
      <c r="AG400" s="121"/>
      <c r="AH400" s="121"/>
      <c r="AI400" s="407"/>
      <c r="AJ400" s="121"/>
      <c r="AK400" s="121"/>
      <c r="AL400" s="121"/>
      <c r="AM400" s="407"/>
      <c r="AN400" s="155"/>
      <c r="AO400" s="155"/>
      <c r="AP400" s="155"/>
      <c r="AQ400" s="1982"/>
      <c r="AR400" s="121"/>
      <c r="AS400" s="121"/>
      <c r="AT400" s="121"/>
      <c r="AU400" s="408"/>
      <c r="AV400" s="121" t="s">
        <v>115</v>
      </c>
      <c r="AW400" s="121" t="s">
        <v>245</v>
      </c>
      <c r="AX400" s="121" t="s">
        <v>115</v>
      </c>
      <c r="AY400" s="408"/>
      <c r="AZ400" s="362" t="s">
        <v>116</v>
      </c>
      <c r="BA400" s="362" t="s">
        <v>116</v>
      </c>
      <c r="BB400" s="553" t="s">
        <v>116</v>
      </c>
      <c r="BC400" s="408"/>
      <c r="BD400" s="362"/>
      <c r="BE400" s="362"/>
      <c r="BF400" s="362"/>
      <c r="BG400" s="408"/>
      <c r="BH400" s="238">
        <v>2997</v>
      </c>
      <c r="BI400" s="238">
        <f>(200+288.03+288.03+288.03+288.03+288.03+310+288.03)/1.22</f>
        <v>1834.5737704918031</v>
      </c>
      <c r="BJ400" s="238">
        <f>BH400-BI400</f>
        <v>1162.4262295081969</v>
      </c>
      <c r="BK400" s="199"/>
      <c r="BL400" s="200"/>
      <c r="BM400" s="241">
        <v>2997</v>
      </c>
      <c r="BN400" s="96"/>
      <c r="BO400" s="97"/>
      <c r="BP400" s="281" t="s">
        <v>166</v>
      </c>
      <c r="BQ400" s="98">
        <v>0.15</v>
      </c>
      <c r="BR400" s="2057"/>
      <c r="BS400" s="202"/>
      <c r="BT400" s="203">
        <f>BM400*BQ400</f>
        <v>449.55</v>
      </c>
      <c r="BU400" s="167">
        <f>BN400*BQ400</f>
        <v>0</v>
      </c>
      <c r="BV400" s="168">
        <f>BO400*BQ400</f>
        <v>0</v>
      </c>
      <c r="BW400" s="80"/>
      <c r="BX400" s="105" t="s">
        <v>166</v>
      </c>
      <c r="BY400" s="98">
        <v>0.05</v>
      </c>
      <c r="BZ400" s="201"/>
      <c r="CA400" s="202"/>
      <c r="CB400" s="203">
        <f>BM400*BY400</f>
        <v>149.85</v>
      </c>
      <c r="CC400" s="530">
        <f>BN400*BY400</f>
        <v>0</v>
      </c>
      <c r="CD400" s="531">
        <f>BO400*BY400</f>
        <v>0</v>
      </c>
      <c r="CE400" s="90"/>
      <c r="CF400" s="108">
        <f>200/1.22</f>
        <v>163.9344262295082</v>
      </c>
      <c r="CG400" s="109">
        <v>45016</v>
      </c>
      <c r="CH400" s="108">
        <v>163.93</v>
      </c>
      <c r="CI400" s="110">
        <f>(2997-163.93)/12</f>
        <v>236.08916666666667</v>
      </c>
      <c r="CJ400" s="226">
        <v>45037</v>
      </c>
      <c r="CK400" s="110">
        <f>288.03/1.22</f>
        <v>236.09016393442622</v>
      </c>
      <c r="CL400" s="110">
        <f>(2997-163.93)/12</f>
        <v>236.08916666666667</v>
      </c>
      <c r="CM400" s="226">
        <v>45092</v>
      </c>
      <c r="CN400" s="110">
        <f>(2997-163.93)/12</f>
        <v>236.08916666666667</v>
      </c>
      <c r="CO400" s="110">
        <f>(2997-163.93)/12</f>
        <v>236.08916666666667</v>
      </c>
      <c r="CP400" s="2123">
        <v>45226</v>
      </c>
      <c r="CQ400" s="110"/>
      <c r="CR400" s="110"/>
      <c r="CS400" s="416">
        <v>45204</v>
      </c>
      <c r="CT400" s="110"/>
      <c r="CU400" s="90">
        <v>1</v>
      </c>
      <c r="CV400" s="181" t="s">
        <v>121</v>
      </c>
      <c r="CW400" s="112"/>
      <c r="CX400" s="1832"/>
      <c r="CY400" s="155" t="s">
        <v>122</v>
      </c>
      <c r="CZ400" s="155"/>
      <c r="DA400" s="208" t="s">
        <v>778</v>
      </c>
      <c r="DB400" s="115" t="s">
        <v>776</v>
      </c>
      <c r="DC400" s="191" t="s">
        <v>779</v>
      </c>
      <c r="DD400" s="116" t="str">
        <f>BP400</f>
        <v>Matteo</v>
      </c>
      <c r="DE400" s="117">
        <f>IF(OR(D400&gt;0),IF(BJ400=0,BN400*BQ400,0))</f>
        <v>0</v>
      </c>
      <c r="DF400" s="117">
        <f>IF(OR(D400&gt;0),IF(BJ400=0,BN400*BY400,0))</f>
        <v>0</v>
      </c>
      <c r="DG400" s="118" t="str">
        <f>BX400</f>
        <v>Matteo</v>
      </c>
      <c r="DH400" s="76"/>
      <c r="DI400" s="120" t="s">
        <v>126</v>
      </c>
      <c r="DJ400" s="120"/>
      <c r="DK400" s="121"/>
      <c r="DL400" s="121"/>
      <c r="DM400" s="122">
        <v>1</v>
      </c>
      <c r="DN400" s="6"/>
      <c r="DO400" s="6"/>
      <c r="DP400" s="6"/>
      <c r="DQ400" s="6"/>
      <c r="DR400" s="6"/>
      <c r="DS400" s="6"/>
      <c r="DT400" s="6"/>
      <c r="DU400" s="6"/>
      <c r="DV400" s="6"/>
      <c r="DW400" s="6"/>
      <c r="DX400" s="6"/>
      <c r="DY400" s="6"/>
      <c r="DZ400" s="6"/>
    </row>
    <row r="401" spans="1:130" ht="34.5" hidden="1" customHeight="1">
      <c r="A401" s="3"/>
      <c r="B401" s="75" t="s">
        <v>108</v>
      </c>
      <c r="C401" s="121"/>
      <c r="D401" s="75"/>
      <c r="E401" s="75"/>
      <c r="F401" s="75"/>
      <c r="G401" s="79" t="s">
        <v>769</v>
      </c>
      <c r="H401" s="79" t="s">
        <v>780</v>
      </c>
      <c r="I401" s="131" t="s">
        <v>781</v>
      </c>
      <c r="J401" s="185" t="str">
        <f>CONCATENATE(G401," ",H401)</f>
        <v>Paolo Sanna</v>
      </c>
      <c r="K401" s="156">
        <v>3423788239</v>
      </c>
      <c r="L401" s="157" t="s">
        <v>782</v>
      </c>
      <c r="M401" s="176"/>
      <c r="N401" s="160"/>
      <c r="O401" s="407"/>
      <c r="P401" s="1941"/>
      <c r="Q401" s="86"/>
      <c r="R401" s="86"/>
      <c r="S401" s="86"/>
      <c r="T401" s="1953"/>
      <c r="U401" s="1941"/>
      <c r="V401" s="1941"/>
      <c r="W401" s="1941"/>
      <c r="X401" s="86"/>
      <c r="Y401" s="1960"/>
      <c r="Z401" s="1941"/>
      <c r="AA401" s="1941"/>
      <c r="AB401" s="86"/>
      <c r="AC401" s="86"/>
      <c r="AD401" s="86" t="s">
        <v>783</v>
      </c>
      <c r="AE401" s="88" t="str">
        <f>L401</f>
        <v>ha chiamato il 16/10/2023 NON viene a VT forse sposta tutto il modulo in Estate (la madre grave)</v>
      </c>
      <c r="AF401" s="407"/>
      <c r="AG401" s="121"/>
      <c r="AH401" s="121"/>
      <c r="AI401" s="407"/>
      <c r="AJ401" s="121"/>
      <c r="AK401" s="121"/>
      <c r="AL401" s="121"/>
      <c r="AM401" s="407"/>
      <c r="AN401" s="155"/>
      <c r="AO401" s="155"/>
      <c r="AP401" s="155"/>
      <c r="AQ401" s="1982"/>
      <c r="AR401" s="121"/>
      <c r="AS401" s="121"/>
      <c r="AT401" s="121"/>
      <c r="AU401" s="408"/>
      <c r="AV401" s="121"/>
      <c r="AW401" s="121"/>
      <c r="AX401" s="121"/>
      <c r="AY401" s="408"/>
      <c r="AZ401" s="1998"/>
      <c r="BA401" s="362"/>
      <c r="BB401" s="362" t="s">
        <v>115</v>
      </c>
      <c r="BC401" s="408"/>
      <c r="BD401" s="362" t="s">
        <v>115</v>
      </c>
      <c r="BE401" s="362" t="s">
        <v>115</v>
      </c>
      <c r="BF401" s="362"/>
      <c r="BG401" s="408"/>
      <c r="BH401" s="238">
        <f>CF401+CI401+CL401+CO401+CR401</f>
        <v>2997</v>
      </c>
      <c r="BI401" s="238">
        <f>CH401+CK401+CN401+CQ401+CT401</f>
        <v>2997</v>
      </c>
      <c r="BJ401" s="238">
        <f>BH401-BI401</f>
        <v>0</v>
      </c>
      <c r="BK401" s="199"/>
      <c r="BL401" s="200"/>
      <c r="BM401" s="241"/>
      <c r="BN401" s="142">
        <v>2997</v>
      </c>
      <c r="BO401" s="182"/>
      <c r="BP401" s="281" t="s">
        <v>451</v>
      </c>
      <c r="BQ401" s="98">
        <v>0.15</v>
      </c>
      <c r="BR401" s="2057"/>
      <c r="BS401" s="202"/>
      <c r="BT401" s="203">
        <f>BM401*BQ401</f>
        <v>0</v>
      </c>
      <c r="BU401" s="167">
        <f>BN401*BQ401</f>
        <v>449.55</v>
      </c>
      <c r="BV401" s="168">
        <f>BO401*BQ401</f>
        <v>0</v>
      </c>
      <c r="BW401" s="80"/>
      <c r="BX401" s="105" t="s">
        <v>451</v>
      </c>
      <c r="BY401" s="98">
        <v>0.05</v>
      </c>
      <c r="BZ401" s="201"/>
      <c r="CA401" s="202"/>
      <c r="CB401" s="203">
        <f>BM401*BY401</f>
        <v>0</v>
      </c>
      <c r="CC401" s="530">
        <f>BN401*BY401</f>
        <v>149.85</v>
      </c>
      <c r="CD401" s="531">
        <f>BO401*BY401</f>
        <v>0</v>
      </c>
      <c r="CE401" s="90"/>
      <c r="CF401" s="108">
        <v>2997</v>
      </c>
      <c r="CG401" s="109">
        <v>45013</v>
      </c>
      <c r="CH401" s="108">
        <v>2997</v>
      </c>
      <c r="CI401" s="110"/>
      <c r="CJ401" s="226"/>
      <c r="CK401" s="206"/>
      <c r="CL401" s="206"/>
      <c r="CM401" s="226"/>
      <c r="CN401" s="206"/>
      <c r="CO401" s="206"/>
      <c r="CP401" s="206"/>
      <c r="CQ401" s="206"/>
      <c r="CR401" s="206"/>
      <c r="CS401" s="206"/>
      <c r="CT401" s="206"/>
      <c r="CU401" s="90">
        <v>1</v>
      </c>
      <c r="CV401" s="181" t="s">
        <v>121</v>
      </c>
      <c r="CW401" s="112"/>
      <c r="CX401" s="1832"/>
      <c r="CY401" s="155" t="s">
        <v>122</v>
      </c>
      <c r="CZ401" s="155"/>
      <c r="DA401" s="131" t="s">
        <v>784</v>
      </c>
      <c r="DB401" s="115" t="str">
        <f>PROPER(N401)</f>
        <v/>
      </c>
      <c r="DC401" s="191" t="s">
        <v>125</v>
      </c>
      <c r="DD401" s="116" t="str">
        <f>BP401</f>
        <v>Fabio</v>
      </c>
      <c r="DE401" s="117" t="b">
        <f>IF(OR(D401&gt;0),IF(BJ401=0,BN401*BQ401,0))</f>
        <v>0</v>
      </c>
      <c r="DF401" s="117" t="b">
        <f>IF(OR(D401&gt;0),IF(BJ401=0,BN401*BY401,0))</f>
        <v>0</v>
      </c>
      <c r="DG401" s="116" t="str">
        <f>BX401</f>
        <v>Fabio</v>
      </c>
      <c r="DH401" s="76"/>
      <c r="DI401" s="120" t="s">
        <v>126</v>
      </c>
      <c r="DJ401" s="120"/>
      <c r="DK401" s="121"/>
      <c r="DL401" s="121"/>
      <c r="DM401" s="122"/>
      <c r="DN401" s="6"/>
      <c r="DO401" s="6"/>
      <c r="DP401" s="6"/>
      <c r="DQ401" s="6"/>
      <c r="DR401" s="6"/>
      <c r="DS401" s="6"/>
      <c r="DT401" s="6"/>
      <c r="DU401" s="6"/>
      <c r="DV401" s="6"/>
      <c r="DW401" s="6"/>
      <c r="DX401" s="6"/>
      <c r="DY401" s="6"/>
      <c r="DZ401" s="6"/>
    </row>
    <row r="402" spans="1:130" ht="34.5" hidden="1" customHeight="1">
      <c r="A402" s="228"/>
      <c r="B402" s="75" t="s">
        <v>1359</v>
      </c>
      <c r="C402" s="155"/>
      <c r="D402" s="75">
        <v>1</v>
      </c>
      <c r="E402" s="75">
        <v>1</v>
      </c>
      <c r="F402" s="75"/>
      <c r="G402" s="400" t="s">
        <v>570</v>
      </c>
      <c r="H402" s="400" t="s">
        <v>2202</v>
      </c>
      <c r="I402" s="207" t="s">
        <v>2203</v>
      </c>
      <c r="J402" s="155" t="str">
        <f>CONCATENATE(G402," ",H402)</f>
        <v>Giovanni Testa</v>
      </c>
      <c r="K402" s="156">
        <v>3472751447</v>
      </c>
      <c r="L402" s="156"/>
      <c r="M402" s="487" t="s">
        <v>702</v>
      </c>
      <c r="N402" s="160" t="s">
        <v>2196</v>
      </c>
      <c r="O402" s="402"/>
      <c r="P402" s="315"/>
      <c r="Q402" s="160"/>
      <c r="R402" s="403"/>
      <c r="S402" s="160"/>
      <c r="T402" s="404"/>
      <c r="U402" s="315"/>
      <c r="V402" s="315"/>
      <c r="W402" s="315"/>
      <c r="X402" s="131"/>
      <c r="Y402" s="315"/>
      <c r="Z402" s="315"/>
      <c r="AA402" s="315"/>
      <c r="AB402" s="37"/>
      <c r="AC402" s="131"/>
      <c r="AD402" s="121" t="s">
        <v>2197</v>
      </c>
      <c r="AE402" s="88"/>
      <c r="AF402" s="405"/>
      <c r="AG402" s="406"/>
      <c r="AH402" s="406"/>
      <c r="AI402" s="405"/>
      <c r="AJ402" s="155"/>
      <c r="AK402" s="155"/>
      <c r="AL402" s="155"/>
      <c r="AM402" s="407"/>
      <c r="AN402" s="155"/>
      <c r="AO402" s="155"/>
      <c r="AP402" s="155"/>
      <c r="AQ402" s="85"/>
      <c r="AR402" s="121"/>
      <c r="AS402" s="121"/>
      <c r="AT402" s="121"/>
      <c r="AU402" s="408"/>
      <c r="AV402" s="121"/>
      <c r="AW402" s="121"/>
      <c r="AX402" s="121"/>
      <c r="AY402" s="408"/>
      <c r="AZ402" s="362" t="s">
        <v>115</v>
      </c>
      <c r="BA402" s="362" t="s">
        <v>115</v>
      </c>
      <c r="BB402" s="362"/>
      <c r="BC402" s="408"/>
      <c r="BD402" s="362"/>
      <c r="BE402" s="362"/>
      <c r="BF402" s="362" t="s">
        <v>115</v>
      </c>
      <c r="BG402" s="408"/>
      <c r="BH402" s="238">
        <f>CF402+CI402+CL402+CO402+CR402</f>
        <v>2597</v>
      </c>
      <c r="BI402" s="238">
        <f>CH402+CK402+CN402+CQ402+CT402</f>
        <v>2597</v>
      </c>
      <c r="BJ402" s="238">
        <f>BH402-BI402</f>
        <v>0</v>
      </c>
      <c r="BK402" s="239"/>
      <c r="BL402" s="260"/>
      <c r="BM402" s="241"/>
      <c r="BN402" s="142">
        <v>2597</v>
      </c>
      <c r="BO402" s="182"/>
      <c r="BP402" s="105" t="s">
        <v>246</v>
      </c>
      <c r="BQ402" s="98">
        <v>0.15</v>
      </c>
      <c r="BR402" s="409"/>
      <c r="BS402" s="242">
        <f>BL402*BQ402</f>
        <v>0</v>
      </c>
      <c r="BT402" s="203">
        <f>BM402*BQ402</f>
        <v>0</v>
      </c>
      <c r="BU402" s="167">
        <f>BN402*BQ402</f>
        <v>389.55</v>
      </c>
      <c r="BV402" s="168">
        <f>BO402*BQ402</f>
        <v>0</v>
      </c>
      <c r="BW402" s="84" t="s">
        <v>185</v>
      </c>
      <c r="BX402" s="105" t="s">
        <v>246</v>
      </c>
      <c r="BY402" s="145">
        <v>0.05</v>
      </c>
      <c r="BZ402" s="110"/>
      <c r="CA402" s="242">
        <f>BL402*BY402</f>
        <v>0</v>
      </c>
      <c r="CB402" s="203">
        <f>BM402*BY402</f>
        <v>0</v>
      </c>
      <c r="CC402" s="530">
        <f>BN402*BY402</f>
        <v>129.85</v>
      </c>
      <c r="CD402" s="531">
        <f>BO402*BY402</f>
        <v>0</v>
      </c>
      <c r="CE402" s="84" t="s">
        <v>185</v>
      </c>
      <c r="CF402" s="108">
        <v>2597</v>
      </c>
      <c r="CG402" s="109">
        <v>45204</v>
      </c>
      <c r="CH402" s="108">
        <v>2597</v>
      </c>
      <c r="CI402" s="415"/>
      <c r="CJ402" s="416"/>
      <c r="CK402" s="415"/>
      <c r="CL402" s="415"/>
      <c r="CM402" s="416"/>
      <c r="CN402" s="415"/>
      <c r="CO402" s="263"/>
      <c r="CP402" s="263"/>
      <c r="CQ402" s="263"/>
      <c r="CR402" s="263"/>
      <c r="CS402" s="263"/>
      <c r="CT402" s="263"/>
      <c r="CU402" s="90">
        <v>1</v>
      </c>
      <c r="CV402" s="181"/>
      <c r="CW402" s="491"/>
      <c r="CX402" s="439"/>
      <c r="CY402" s="155"/>
      <c r="CZ402" s="121"/>
      <c r="DA402" s="542" t="s">
        <v>2198</v>
      </c>
      <c r="DB402" s="115" t="str">
        <f>PROPER(N402)</f>
        <v>Com.Pac.</v>
      </c>
      <c r="DC402" s="280" t="s">
        <v>1398</v>
      </c>
      <c r="DD402" s="116" t="str">
        <f>BP402</f>
        <v>Marco</v>
      </c>
      <c r="DE402" s="117">
        <f>IF(OR(D402&gt;0),IF(BJ402=0,BN402*BQ402,0))</f>
        <v>389.55</v>
      </c>
      <c r="DF402" s="117">
        <f>IF(OR(D402&gt;0),IF(BJ402=0,BN402*BY402,0))</f>
        <v>129.85</v>
      </c>
      <c r="DG402" s="118" t="str">
        <f>BX402</f>
        <v>Marco</v>
      </c>
      <c r="DH402" s="76"/>
      <c r="DI402" s="120" t="s">
        <v>154</v>
      </c>
      <c r="DJ402" s="120"/>
      <c r="DK402" s="74" t="s">
        <v>1366</v>
      </c>
      <c r="DL402" s="74" t="s">
        <v>1366</v>
      </c>
      <c r="DM402" s="122">
        <v>1</v>
      </c>
      <c r="DN402" s="6"/>
      <c r="DO402" s="6"/>
      <c r="DP402" s="6"/>
      <c r="DQ402" s="6"/>
      <c r="DR402" s="6"/>
      <c r="DS402" s="6"/>
      <c r="DT402" s="6"/>
      <c r="DU402" s="6"/>
      <c r="DV402" s="6"/>
      <c r="DW402" s="6"/>
      <c r="DX402" s="6"/>
      <c r="DY402" s="6"/>
      <c r="DZ402" s="6"/>
    </row>
    <row r="403" spans="1:130" ht="34.5" hidden="1" customHeight="1">
      <c r="A403" s="228"/>
      <c r="B403" s="75" t="s">
        <v>1359</v>
      </c>
      <c r="C403" s="155"/>
      <c r="D403" s="75">
        <v>1</v>
      </c>
      <c r="E403" s="75">
        <v>1</v>
      </c>
      <c r="F403" s="75"/>
      <c r="G403" s="400" t="s">
        <v>2204</v>
      </c>
      <c r="H403" s="400" t="s">
        <v>2205</v>
      </c>
      <c r="I403" s="207" t="s">
        <v>2206</v>
      </c>
      <c r="J403" s="155" t="str">
        <f>CONCATENATE(G403," ",H403)</f>
        <v>Christian Tolini</v>
      </c>
      <c r="K403" s="156">
        <v>3408768242</v>
      </c>
      <c r="L403" s="156"/>
      <c r="M403" s="487" t="s">
        <v>702</v>
      </c>
      <c r="N403" s="160" t="s">
        <v>2196</v>
      </c>
      <c r="O403" s="402"/>
      <c r="P403" s="315"/>
      <c r="Q403" s="160"/>
      <c r="R403" s="403"/>
      <c r="S403" s="160"/>
      <c r="T403" s="404"/>
      <c r="U403" s="315"/>
      <c r="V403" s="315"/>
      <c r="W403" s="315"/>
      <c r="X403" s="131"/>
      <c r="Y403" s="315"/>
      <c r="Z403" s="315"/>
      <c r="AA403" s="315"/>
      <c r="AB403" s="37"/>
      <c r="AC403" s="131"/>
      <c r="AD403" s="121" t="s">
        <v>2197</v>
      </c>
      <c r="AE403" s="88"/>
      <c r="AF403" s="405"/>
      <c r="AG403" s="406"/>
      <c r="AH403" s="406"/>
      <c r="AI403" s="405"/>
      <c r="AJ403" s="155"/>
      <c r="AK403" s="155"/>
      <c r="AL403" s="155"/>
      <c r="AM403" s="407"/>
      <c r="AN403" s="155"/>
      <c r="AO403" s="155"/>
      <c r="AP403" s="155"/>
      <c r="AQ403" s="85"/>
      <c r="AR403" s="121"/>
      <c r="AS403" s="121"/>
      <c r="AT403" s="121"/>
      <c r="AU403" s="408"/>
      <c r="AV403" s="121"/>
      <c r="AW403" s="121"/>
      <c r="AX403" s="121"/>
      <c r="AY403" s="408"/>
      <c r="AZ403" s="362" t="s">
        <v>115</v>
      </c>
      <c r="BA403" s="362" t="s">
        <v>115</v>
      </c>
      <c r="BB403" s="362"/>
      <c r="BC403" s="408"/>
      <c r="BD403" s="362"/>
      <c r="BE403" s="362"/>
      <c r="BF403" s="362" t="s">
        <v>115</v>
      </c>
      <c r="BG403" s="408"/>
      <c r="BH403" s="238">
        <f>CF403+CI403+CL403+CO403+CR403</f>
        <v>2597</v>
      </c>
      <c r="BI403" s="238">
        <f>CH403+CK403+CN403+CQ403+CT403</f>
        <v>2597</v>
      </c>
      <c r="BJ403" s="238">
        <f>BH403-BI403</f>
        <v>0</v>
      </c>
      <c r="BK403" s="239"/>
      <c r="BL403" s="260"/>
      <c r="BM403" s="241"/>
      <c r="BN403" s="142">
        <v>2597</v>
      </c>
      <c r="BO403" s="182"/>
      <c r="BP403" s="105" t="s">
        <v>246</v>
      </c>
      <c r="BQ403" s="98">
        <v>0.15</v>
      </c>
      <c r="BR403" s="409"/>
      <c r="BS403" s="242">
        <f>BL403*BQ403</f>
        <v>0</v>
      </c>
      <c r="BT403" s="203">
        <f>BM403*BQ403</f>
        <v>0</v>
      </c>
      <c r="BU403" s="167">
        <f>BN403*BQ403</f>
        <v>389.55</v>
      </c>
      <c r="BV403" s="168">
        <f>BO403*BQ403</f>
        <v>0</v>
      </c>
      <c r="BW403" s="84" t="s">
        <v>185</v>
      </c>
      <c r="BX403" s="105" t="s">
        <v>246</v>
      </c>
      <c r="BY403" s="145">
        <v>0.05</v>
      </c>
      <c r="BZ403" s="110"/>
      <c r="CA403" s="242">
        <f>BL403*BY403</f>
        <v>0</v>
      </c>
      <c r="CB403" s="203">
        <f>BM403*BY403</f>
        <v>0</v>
      </c>
      <c r="CC403" s="530">
        <f>BN403*BY403</f>
        <v>129.85</v>
      </c>
      <c r="CD403" s="531">
        <f>BO403*BY403</f>
        <v>0</v>
      </c>
      <c r="CE403" s="84" t="s">
        <v>185</v>
      </c>
      <c r="CF403" s="108">
        <v>2597</v>
      </c>
      <c r="CG403" s="109">
        <v>45204</v>
      </c>
      <c r="CH403" s="108">
        <v>2597</v>
      </c>
      <c r="CI403" s="415"/>
      <c r="CJ403" s="416"/>
      <c r="CK403" s="415"/>
      <c r="CL403" s="415"/>
      <c r="CM403" s="416"/>
      <c r="CN403" s="415"/>
      <c r="CO403" s="263"/>
      <c r="CP403" s="263"/>
      <c r="CQ403" s="263"/>
      <c r="CR403" s="263"/>
      <c r="CS403" s="263"/>
      <c r="CT403" s="263"/>
      <c r="CU403" s="90">
        <v>1</v>
      </c>
      <c r="CV403" s="181"/>
      <c r="CW403" s="491"/>
      <c r="CX403" s="439"/>
      <c r="CY403" s="155"/>
      <c r="CZ403" s="121"/>
      <c r="DA403" s="542" t="s">
        <v>2198</v>
      </c>
      <c r="DB403" s="115" t="str">
        <f>PROPER(N403)</f>
        <v>Com.Pac.</v>
      </c>
      <c r="DC403" s="280" t="s">
        <v>1398</v>
      </c>
      <c r="DD403" s="116" t="str">
        <f>BP403</f>
        <v>Marco</v>
      </c>
      <c r="DE403" s="117">
        <f>IF(OR(D403&gt;0),IF(BJ403=0,BN403*BQ403,0))</f>
        <v>389.55</v>
      </c>
      <c r="DF403" s="117">
        <f>IF(OR(D403&gt;0),IF(BJ403=0,BN403*BY403,0))</f>
        <v>129.85</v>
      </c>
      <c r="DG403" s="118" t="str">
        <f>BX403</f>
        <v>Marco</v>
      </c>
      <c r="DH403" s="76"/>
      <c r="DI403" s="120" t="s">
        <v>154</v>
      </c>
      <c r="DJ403" s="120"/>
      <c r="DK403" s="74" t="s">
        <v>1366</v>
      </c>
      <c r="DL403" s="74" t="s">
        <v>1366</v>
      </c>
      <c r="DM403" s="122">
        <v>1</v>
      </c>
      <c r="DN403" s="6"/>
      <c r="DO403" s="6"/>
      <c r="DP403" s="6"/>
      <c r="DQ403" s="6"/>
      <c r="DR403" s="6"/>
      <c r="DS403" s="6"/>
      <c r="DT403" s="6"/>
      <c r="DU403" s="6"/>
      <c r="DV403" s="6"/>
      <c r="DW403" s="6"/>
      <c r="DX403" s="6"/>
      <c r="DY403" s="6"/>
      <c r="DZ403" s="6"/>
    </row>
    <row r="404" spans="1:130" ht="34.5" hidden="1" customHeight="1">
      <c r="A404" s="228"/>
      <c r="B404" s="75" t="s">
        <v>1928</v>
      </c>
      <c r="C404" s="155"/>
      <c r="D404" s="75">
        <v>1</v>
      </c>
      <c r="E404" s="75"/>
      <c r="F404" s="75"/>
      <c r="G404" s="393" t="s">
        <v>785</v>
      </c>
      <c r="H404" s="393" t="s">
        <v>2365</v>
      </c>
      <c r="I404" s="667" t="s">
        <v>2366</v>
      </c>
      <c r="J404" s="121" t="str">
        <f>CONCATENATE(G404," ",H404)</f>
        <v>Patrizia Sabatino</v>
      </c>
      <c r="K404" s="224"/>
      <c r="L404" s="183" t="s">
        <v>764</v>
      </c>
      <c r="M404" s="183" t="s">
        <v>2367</v>
      </c>
      <c r="N404" s="160" t="s">
        <v>2368</v>
      </c>
      <c r="O404" s="975"/>
      <c r="P404" s="1939"/>
      <c r="Q404" s="623"/>
      <c r="R404" s="624"/>
      <c r="S404" s="625"/>
      <c r="T404" s="1952"/>
      <c r="U404" s="328"/>
      <c r="V404" s="251"/>
      <c r="W404" s="251"/>
      <c r="X404" s="131"/>
      <c r="Y404" s="251"/>
      <c r="Z404" s="251"/>
      <c r="AA404" s="1958"/>
      <c r="AB404" s="255"/>
      <c r="AC404" s="131"/>
      <c r="AD404" s="121"/>
      <c r="AE404" s="1963"/>
      <c r="AF404" s="1967"/>
      <c r="AG404" s="628"/>
      <c r="AH404" s="629"/>
      <c r="AI404" s="405"/>
      <c r="AJ404" s="258"/>
      <c r="AK404" s="258"/>
      <c r="AL404" s="258"/>
      <c r="AM404" s="1967"/>
      <c r="AN404" s="207"/>
      <c r="AO404" s="207"/>
      <c r="AP404" s="207"/>
      <c r="AQ404" s="1981"/>
      <c r="AR404" s="121"/>
      <c r="AS404" s="121"/>
      <c r="AT404" s="121"/>
      <c r="AU404" s="1990"/>
      <c r="AV404" s="121"/>
      <c r="AW404" s="121"/>
      <c r="AX404" s="121"/>
      <c r="AY404" s="1990"/>
      <c r="AZ404" s="362" t="s">
        <v>116</v>
      </c>
      <c r="BA404" s="666" t="s">
        <v>297</v>
      </c>
      <c r="BB404" s="362" t="s">
        <v>116</v>
      </c>
      <c r="BC404" s="1990"/>
      <c r="BD404" s="362"/>
      <c r="BE404" s="362"/>
      <c r="BF404" s="362"/>
      <c r="BG404" s="1990"/>
      <c r="BH404" s="238"/>
      <c r="BI404" s="238"/>
      <c r="BJ404" s="238"/>
      <c r="BK404" s="239"/>
      <c r="BL404" s="260"/>
      <c r="BM404" s="241"/>
      <c r="BN404" s="142"/>
      <c r="BO404" s="182"/>
      <c r="BP404" s="2038"/>
      <c r="BQ404" s="191"/>
      <c r="BR404" s="409"/>
      <c r="BS404" s="242"/>
      <c r="BT404" s="203"/>
      <c r="BU404" s="167">
        <f>BN404*BQ404</f>
        <v>0</v>
      </c>
      <c r="BV404" s="168">
        <f>BO404*BQ404</f>
        <v>0</v>
      </c>
      <c r="BW404" s="80"/>
      <c r="BX404" s="281"/>
      <c r="BY404" s="207"/>
      <c r="BZ404" s="110"/>
      <c r="CA404" s="242"/>
      <c r="CB404" s="203"/>
      <c r="CC404" s="530">
        <f>BN404*BY404</f>
        <v>0</v>
      </c>
      <c r="CD404" s="531">
        <f>BO404*BY404</f>
        <v>0</v>
      </c>
      <c r="CE404" s="2092"/>
      <c r="CF404" s="2096"/>
      <c r="CG404" s="2096"/>
      <c r="CH404" s="2096"/>
      <c r="CI404" s="338"/>
      <c r="CJ404" s="338"/>
      <c r="CK404" s="338"/>
      <c r="CL404" s="338"/>
      <c r="CM404" s="338"/>
      <c r="CN404" s="338"/>
      <c r="CO404" s="338"/>
      <c r="CP404" s="338"/>
      <c r="CQ404" s="338"/>
      <c r="CR404" s="338"/>
      <c r="CS404" s="338"/>
      <c r="CT404" s="338"/>
      <c r="CU404" s="2124">
        <v>1</v>
      </c>
      <c r="CV404" s="331"/>
      <c r="CW404" s="972"/>
      <c r="CX404" s="971"/>
      <c r="CY404" s="155" t="s">
        <v>215</v>
      </c>
      <c r="CZ404" s="331"/>
      <c r="DA404" s="668" t="s">
        <v>2370</v>
      </c>
      <c r="DB404" s="115" t="str">
        <f>PROPER(N404)</f>
        <v>H&amp;A Motivation</v>
      </c>
      <c r="DC404" s="191" t="s">
        <v>1614</v>
      </c>
      <c r="DD404" s="116">
        <f>BP404</f>
        <v>0</v>
      </c>
      <c r="DE404" s="117">
        <f>IF(OR(D404&gt;0),IF(BJ404=0,BN404*BQ404,0))</f>
        <v>0</v>
      </c>
      <c r="DF404" s="117">
        <f>IF(OR(D404&gt;0),IF(BJ404=0,BN404*BY404,0))</f>
        <v>0</v>
      </c>
      <c r="DG404" s="113">
        <f>BX404</f>
        <v>0</v>
      </c>
      <c r="DH404" s="76"/>
      <c r="DI404" s="120" t="s">
        <v>126</v>
      </c>
      <c r="DJ404" s="120"/>
      <c r="DK404" s="331"/>
      <c r="DL404" s="331"/>
      <c r="DM404" s="248">
        <v>1</v>
      </c>
    </row>
    <row r="405" spans="1:130" ht="34.5" hidden="1" customHeight="1">
      <c r="A405" s="3"/>
      <c r="B405" s="75" t="s">
        <v>108</v>
      </c>
      <c r="C405" s="121"/>
      <c r="D405" s="75">
        <v>1</v>
      </c>
      <c r="E405" s="75"/>
      <c r="F405" s="75"/>
      <c r="G405" s="79" t="s">
        <v>785</v>
      </c>
      <c r="H405" s="79" t="s">
        <v>786</v>
      </c>
      <c r="I405" s="131" t="s">
        <v>547</v>
      </c>
      <c r="J405" s="121" t="str">
        <f>CONCATENATE(G405," ",H405)</f>
        <v>Patrizia Veneziani</v>
      </c>
      <c r="K405" s="156">
        <v>3403302125</v>
      </c>
      <c r="L405" s="157" t="s">
        <v>191</v>
      </c>
      <c r="M405" s="176" t="s">
        <v>112</v>
      </c>
      <c r="N405" s="160" t="s">
        <v>192</v>
      </c>
      <c r="O405" s="407"/>
      <c r="P405" s="1941"/>
      <c r="Q405" s="86"/>
      <c r="R405" s="86"/>
      <c r="S405" s="86"/>
      <c r="T405" s="1953"/>
      <c r="U405" s="1941"/>
      <c r="V405" s="1941"/>
      <c r="W405" s="1941"/>
      <c r="X405" s="86"/>
      <c r="Y405" s="1960"/>
      <c r="Z405" s="1941"/>
      <c r="AA405" s="1941"/>
      <c r="AB405" s="86"/>
      <c r="AC405" s="86"/>
      <c r="AD405" s="86" t="s">
        <v>193</v>
      </c>
      <c r="AE405" s="88" t="str">
        <f>L405</f>
        <v>Non indicare i nomi dei partecipanti in fattura</v>
      </c>
      <c r="AF405" s="407"/>
      <c r="AG405" s="121"/>
      <c r="AH405" s="121"/>
      <c r="AI405" s="407"/>
      <c r="AJ405" s="121"/>
      <c r="AK405" s="121"/>
      <c r="AL405" s="121"/>
      <c r="AM405" s="407"/>
      <c r="AN405" s="155"/>
      <c r="AO405" s="155"/>
      <c r="AP405" s="155"/>
      <c r="AQ405" s="1982"/>
      <c r="AR405" s="121"/>
      <c r="AS405" s="121"/>
      <c r="AT405" s="121"/>
      <c r="AU405" s="408"/>
      <c r="AV405" s="121"/>
      <c r="AW405" s="121"/>
      <c r="AX405" s="121"/>
      <c r="AY405" s="408"/>
      <c r="AZ405" s="362" t="s">
        <v>115</v>
      </c>
      <c r="BA405" s="666" t="s">
        <v>194</v>
      </c>
      <c r="BB405" s="362" t="s">
        <v>115</v>
      </c>
      <c r="BC405" s="408"/>
      <c r="BD405" s="362"/>
      <c r="BE405" s="362" t="s">
        <v>115</v>
      </c>
      <c r="BF405" s="362"/>
      <c r="BG405" s="408"/>
      <c r="BH405" s="238">
        <f>CF405+CI405+CL405+CO405+CR405</f>
        <v>2997</v>
      </c>
      <c r="BI405" s="238">
        <f>CH405+CK405+CN405+CQ405+CT405</f>
        <v>2997</v>
      </c>
      <c r="BJ405" s="238">
        <f>BH405-BI405</f>
        <v>0</v>
      </c>
      <c r="BK405" s="199"/>
      <c r="BL405" s="200"/>
      <c r="BM405" s="241"/>
      <c r="BN405" s="142">
        <v>2997</v>
      </c>
      <c r="BO405" s="182"/>
      <c r="BP405" s="281" t="s">
        <v>184</v>
      </c>
      <c r="BQ405" s="98">
        <v>0.15</v>
      </c>
      <c r="BR405" s="2057"/>
      <c r="BS405" s="202"/>
      <c r="BT405" s="203">
        <f>BM405*BQ405</f>
        <v>0</v>
      </c>
      <c r="BU405" s="167">
        <f>BN405*BQ405</f>
        <v>449.55</v>
      </c>
      <c r="BV405" s="168">
        <f>BO405*BQ405</f>
        <v>0</v>
      </c>
      <c r="BW405" s="84" t="s">
        <v>185</v>
      </c>
      <c r="BX405" s="105" t="s">
        <v>184</v>
      </c>
      <c r="BY405" s="98">
        <v>0.05</v>
      </c>
      <c r="BZ405" s="201"/>
      <c r="CA405" s="202"/>
      <c r="CB405" s="203">
        <f>BM405*BY405</f>
        <v>0</v>
      </c>
      <c r="CC405" s="530">
        <f>BN405*BY405</f>
        <v>149.85</v>
      </c>
      <c r="CD405" s="531">
        <f>BO405*BY405</f>
        <v>0</v>
      </c>
      <c r="CE405" s="84" t="s">
        <v>185</v>
      </c>
      <c r="CF405" s="108">
        <v>2997</v>
      </c>
      <c r="CG405" s="109">
        <v>45012</v>
      </c>
      <c r="CH405" s="108">
        <v>2997</v>
      </c>
      <c r="CI405" s="110"/>
      <c r="CJ405" s="226"/>
      <c r="CK405" s="206"/>
      <c r="CL405" s="206"/>
      <c r="CM405" s="226"/>
      <c r="CN405" s="206"/>
      <c r="CO405" s="206"/>
      <c r="CP405" s="206"/>
      <c r="CQ405" s="206"/>
      <c r="CR405" s="206"/>
      <c r="CS405" s="206"/>
      <c r="CT405" s="206"/>
      <c r="CU405" s="90">
        <v>1</v>
      </c>
      <c r="CV405" s="181" t="s">
        <v>121</v>
      </c>
      <c r="CW405" s="112"/>
      <c r="CX405" s="1832"/>
      <c r="CY405" s="155" t="s">
        <v>122</v>
      </c>
      <c r="CZ405" s="155"/>
      <c r="DA405" s="305" t="s">
        <v>195</v>
      </c>
      <c r="DB405" s="115" t="str">
        <f>PROPER(N405)</f>
        <v>Depur-Vebo</v>
      </c>
      <c r="DC405" s="191" t="s">
        <v>196</v>
      </c>
      <c r="DD405" s="116" t="str">
        <f>BP405</f>
        <v>Cristian A</v>
      </c>
      <c r="DE405" s="117">
        <f>IF(OR(D405&gt;0),IF(BJ405=0,BN405*BQ405,0))</f>
        <v>449.55</v>
      </c>
      <c r="DF405" s="117">
        <f>IF(OR(D405&gt;0),IF(BJ405=0,BN405*BY405,0))</f>
        <v>149.85</v>
      </c>
      <c r="DG405" s="116" t="str">
        <f>BX405</f>
        <v>Cristian A</v>
      </c>
      <c r="DH405" s="76"/>
      <c r="DI405" s="120" t="s">
        <v>126</v>
      </c>
      <c r="DJ405" s="120"/>
      <c r="DK405" s="121"/>
      <c r="DL405" s="121"/>
      <c r="DM405" s="122"/>
      <c r="DN405" s="6"/>
      <c r="DO405" s="6"/>
      <c r="DP405" s="6"/>
      <c r="DQ405" s="6"/>
      <c r="DR405" s="6"/>
      <c r="DS405" s="6"/>
      <c r="DT405" s="6"/>
      <c r="DU405" s="6"/>
      <c r="DV405" s="6"/>
      <c r="DW405" s="6"/>
      <c r="DX405" s="6"/>
      <c r="DY405" s="6"/>
      <c r="DZ405" s="6"/>
    </row>
    <row r="406" spans="1:130" ht="34.5" hidden="1" customHeight="1">
      <c r="A406" s="228"/>
      <c r="B406" s="75" t="s">
        <v>1928</v>
      </c>
      <c r="C406" s="121"/>
      <c r="D406" s="75">
        <v>1</v>
      </c>
      <c r="E406" s="75">
        <v>1</v>
      </c>
      <c r="F406" s="75"/>
      <c r="G406" s="181" t="s">
        <v>2511</v>
      </c>
      <c r="H406" s="181" t="s">
        <v>2512</v>
      </c>
      <c r="I406" s="181" t="s">
        <v>2513</v>
      </c>
      <c r="J406" s="121" t="str">
        <f>CONCATENATE(G406," ",H406)</f>
        <v>Piergiorgio Ghidini</v>
      </c>
      <c r="K406" s="181"/>
      <c r="L406" s="181"/>
      <c r="M406" s="384" t="s">
        <v>2514</v>
      </c>
      <c r="N406" s="160" t="s">
        <v>2515</v>
      </c>
      <c r="O406" s="556"/>
      <c r="P406" s="314"/>
      <c r="Q406" s="37"/>
      <c r="R406" s="131"/>
      <c r="S406" s="160"/>
      <c r="T406" s="404"/>
      <c r="U406" s="315"/>
      <c r="V406" s="315"/>
      <c r="W406" s="316"/>
      <c r="X406" s="234"/>
      <c r="Y406" s="316"/>
      <c r="Z406" s="316"/>
      <c r="AA406" s="316"/>
      <c r="AB406" s="37"/>
      <c r="AC406" s="37"/>
      <c r="AD406" s="37" t="s">
        <v>118</v>
      </c>
      <c r="AE406" s="138"/>
      <c r="AF406" s="407"/>
      <c r="AG406" s="121"/>
      <c r="AH406" s="121"/>
      <c r="AI406" s="407"/>
      <c r="AJ406" s="121"/>
      <c r="AK406" s="121"/>
      <c r="AL406" s="121"/>
      <c r="AM406" s="407"/>
      <c r="AN406" s="155"/>
      <c r="AO406" s="155"/>
      <c r="AP406" s="155"/>
      <c r="AQ406" s="1982"/>
      <c r="AR406" s="121"/>
      <c r="AS406" s="121"/>
      <c r="AT406" s="121"/>
      <c r="AU406" s="408"/>
      <c r="AV406" s="121"/>
      <c r="AW406" s="121"/>
      <c r="AX406" s="121"/>
      <c r="AY406" s="408"/>
      <c r="AZ406" s="362" t="s">
        <v>116</v>
      </c>
      <c r="BA406" s="362" t="s">
        <v>116</v>
      </c>
      <c r="BB406" s="553" t="s">
        <v>116</v>
      </c>
      <c r="BC406" s="408"/>
      <c r="BD406" s="362"/>
      <c r="BE406" s="362"/>
      <c r="BF406" s="362"/>
      <c r="BG406" s="408"/>
      <c r="BH406" s="238"/>
      <c r="BI406" s="238"/>
      <c r="BJ406" s="238"/>
      <c r="BK406" s="239"/>
      <c r="BL406" s="260"/>
      <c r="BM406" s="241"/>
      <c r="BN406" s="142"/>
      <c r="BO406" s="182"/>
      <c r="BP406" s="281"/>
      <c r="BQ406" s="98"/>
      <c r="BR406" s="409"/>
      <c r="BS406" s="242"/>
      <c r="BT406" s="203"/>
      <c r="BU406" s="167">
        <f>BN406*BQ406</f>
        <v>0</v>
      </c>
      <c r="BV406" s="168">
        <f>BO406*BQ406</f>
        <v>0</v>
      </c>
      <c r="BW406" s="243"/>
      <c r="BX406" s="275"/>
      <c r="BY406" s="145"/>
      <c r="BZ406" s="110"/>
      <c r="CA406" s="242"/>
      <c r="CB406" s="203"/>
      <c r="CC406" s="530">
        <f>BN406*BY406</f>
        <v>0</v>
      </c>
      <c r="CD406" s="531">
        <f>BO406*BY406</f>
        <v>0</v>
      </c>
      <c r="CE406" s="411"/>
      <c r="CF406" s="108"/>
      <c r="CG406" s="109"/>
      <c r="CH406" s="108"/>
      <c r="CI406" s="110"/>
      <c r="CJ406" s="226"/>
      <c r="CK406" s="206"/>
      <c r="CL406" s="206"/>
      <c r="CM406" s="226"/>
      <c r="CN406" s="206"/>
      <c r="CO406" s="206"/>
      <c r="CP406" s="206"/>
      <c r="CQ406" s="206"/>
      <c r="CR406" s="206"/>
      <c r="CS406" s="206"/>
      <c r="CT406" s="206"/>
      <c r="CU406" s="90">
        <v>1</v>
      </c>
      <c r="CV406" s="181"/>
      <c r="CW406" s="112"/>
      <c r="CX406" s="1832"/>
      <c r="CY406" s="155"/>
      <c r="CZ406" s="155"/>
      <c r="DA406" s="384" t="s">
        <v>2516</v>
      </c>
      <c r="DB406" s="115" t="str">
        <f>PROPER(N406)</f>
        <v>Rcs Tecnoimpianti</v>
      </c>
      <c r="DC406" s="191" t="s">
        <v>502</v>
      </c>
      <c r="DD406" s="116">
        <f>BP406</f>
        <v>0</v>
      </c>
      <c r="DE406" s="117">
        <f>IF(OR(D406&gt;0),IF(BJ406=0,BN406*BQ406,0))</f>
        <v>0</v>
      </c>
      <c r="DF406" s="117">
        <f>IF(OR(D406&gt;0),IF(BJ406=0,BN406*BY406,0))</f>
        <v>0</v>
      </c>
      <c r="DG406" s="113">
        <f>BX406</f>
        <v>0</v>
      </c>
      <c r="DH406" s="510"/>
      <c r="DI406" s="120" t="s">
        <v>126</v>
      </c>
      <c r="DJ406" s="120"/>
      <c r="DK406" s="207"/>
      <c r="DL406" s="207"/>
      <c r="DM406" s="248">
        <v>1</v>
      </c>
    </row>
    <row r="407" spans="1:130" ht="34.5" hidden="1" customHeight="1">
      <c r="A407" s="228"/>
      <c r="B407" s="75" t="s">
        <v>1928</v>
      </c>
      <c r="C407" s="155"/>
      <c r="D407" s="75">
        <v>1</v>
      </c>
      <c r="E407" s="75">
        <v>1</v>
      </c>
      <c r="F407" s="75"/>
      <c r="G407" s="612" t="s">
        <v>2333</v>
      </c>
      <c r="H407" s="181" t="s">
        <v>2334</v>
      </c>
      <c r="I407" s="207" t="s">
        <v>2335</v>
      </c>
      <c r="J407" s="121" t="str">
        <f>CONCATENATE(G407," ",H407)</f>
        <v>Rachele Di Terlizzi</v>
      </c>
      <c r="K407" s="224">
        <v>3498636769</v>
      </c>
      <c r="L407" s="131"/>
      <c r="M407" s="131" t="s">
        <v>1258</v>
      </c>
      <c r="N407" s="160" t="s">
        <v>2336</v>
      </c>
      <c r="O407" s="975"/>
      <c r="P407" s="1939"/>
      <c r="Q407" s="623"/>
      <c r="R407" s="624"/>
      <c r="S407" s="625"/>
      <c r="T407" s="1952"/>
      <c r="U407" s="328"/>
      <c r="V407" s="251"/>
      <c r="W407" s="251"/>
      <c r="X407" s="131"/>
      <c r="Y407" s="251"/>
      <c r="Z407" s="251"/>
      <c r="AA407" s="1958"/>
      <c r="AB407" s="255"/>
      <c r="AC407" s="131"/>
      <c r="AD407" s="37" t="s">
        <v>118</v>
      </c>
      <c r="AE407" s="1963"/>
      <c r="AF407" s="1967"/>
      <c r="AG407" s="628"/>
      <c r="AH407" s="629"/>
      <c r="AI407" s="405"/>
      <c r="AJ407" s="258"/>
      <c r="AK407" s="258"/>
      <c r="AL407" s="258"/>
      <c r="AM407" s="1967"/>
      <c r="AN407" s="207"/>
      <c r="AO407" s="207"/>
      <c r="AP407" s="207"/>
      <c r="AQ407" s="1981"/>
      <c r="AR407" s="121"/>
      <c r="AS407" s="121"/>
      <c r="AT407" s="121"/>
      <c r="AU407" s="1990"/>
      <c r="AV407" s="121"/>
      <c r="AW407" s="121"/>
      <c r="AX407" s="121"/>
      <c r="AY407" s="1990"/>
      <c r="AZ407" s="362" t="s">
        <v>116</v>
      </c>
      <c r="BA407" s="362" t="s">
        <v>116</v>
      </c>
      <c r="BB407" s="553" t="s">
        <v>116</v>
      </c>
      <c r="BC407" s="1990"/>
      <c r="BD407" s="362"/>
      <c r="BE407" s="362"/>
      <c r="BF407" s="362"/>
      <c r="BG407" s="1990"/>
      <c r="BH407" s="238"/>
      <c r="BI407" s="238"/>
      <c r="BJ407" s="238"/>
      <c r="BK407" s="239"/>
      <c r="BL407" s="260"/>
      <c r="BM407" s="241"/>
      <c r="BN407" s="142"/>
      <c r="BO407" s="182"/>
      <c r="BP407" s="2038"/>
      <c r="BQ407" s="191"/>
      <c r="BR407" s="409"/>
      <c r="BS407" s="242"/>
      <c r="BT407" s="203"/>
      <c r="BU407" s="167">
        <f>BN407*BQ407</f>
        <v>0</v>
      </c>
      <c r="BV407" s="168">
        <f>BO407*BQ407</f>
        <v>0</v>
      </c>
      <c r="BW407" s="131"/>
      <c r="BX407" s="281"/>
      <c r="BY407" s="207"/>
      <c r="BZ407" s="110"/>
      <c r="CA407" s="242"/>
      <c r="CB407" s="203"/>
      <c r="CC407" s="530">
        <f>BN407*BY407</f>
        <v>0</v>
      </c>
      <c r="CD407" s="531">
        <f>BO407*BY407</f>
        <v>0</v>
      </c>
      <c r="CE407" s="2092"/>
      <c r="CF407" s="2096"/>
      <c r="CG407" s="2096"/>
      <c r="CH407" s="2096"/>
      <c r="CI407" s="338"/>
      <c r="CJ407" s="338"/>
      <c r="CK407" s="338"/>
      <c r="CL407" s="338"/>
      <c r="CM407" s="338"/>
      <c r="CN407" s="338"/>
      <c r="CO407" s="338"/>
      <c r="CP407" s="338"/>
      <c r="CQ407" s="338"/>
      <c r="CR407" s="338"/>
      <c r="CS407" s="338"/>
      <c r="CT407" s="338"/>
      <c r="CU407" s="2124">
        <v>1</v>
      </c>
      <c r="CV407" s="331"/>
      <c r="CW407" s="972"/>
      <c r="CX407" s="971"/>
      <c r="CY407" s="155" t="s">
        <v>215</v>
      </c>
      <c r="CZ407" s="331"/>
      <c r="DA407" s="331" t="s">
        <v>2337</v>
      </c>
      <c r="DB407" s="115" t="str">
        <f>PROPER(N407)</f>
        <v>Pantani Group</v>
      </c>
      <c r="DC407" s="191" t="s">
        <v>360</v>
      </c>
      <c r="DD407" s="116">
        <f>BP407</f>
        <v>0</v>
      </c>
      <c r="DE407" s="117">
        <f>IF(OR(D407&gt;0),IF(BJ407=0,BN407*BQ407,0))</f>
        <v>0</v>
      </c>
      <c r="DF407" s="117">
        <f>IF(OR(D407&gt;0),IF(BJ407=0,BN407*BY407,0))</f>
        <v>0</v>
      </c>
      <c r="DG407" s="113">
        <f>BX407</f>
        <v>0</v>
      </c>
      <c r="DH407" s="76"/>
      <c r="DI407" s="120" t="s">
        <v>126</v>
      </c>
      <c r="DJ407" s="120"/>
      <c r="DK407" s="331"/>
      <c r="DL407" s="331"/>
      <c r="DM407" s="248"/>
    </row>
    <row r="408" spans="1:130" ht="34.5" hidden="1" customHeight="1">
      <c r="A408" s="228"/>
      <c r="B408" s="371" t="s">
        <v>1359</v>
      </c>
      <c r="C408" s="155"/>
      <c r="D408" s="75"/>
      <c r="E408" s="75"/>
      <c r="F408" s="75"/>
      <c r="G408" s="400" t="s">
        <v>2214</v>
      </c>
      <c r="H408" s="400" t="s">
        <v>2215</v>
      </c>
      <c r="I408" s="207" t="s">
        <v>2216</v>
      </c>
      <c r="J408" s="155" t="str">
        <f>CONCATENATE(G408," ",H408)</f>
        <v>Yuri Venturini</v>
      </c>
      <c r="K408" s="156">
        <v>3496118284</v>
      </c>
      <c r="L408" s="435"/>
      <c r="M408" s="153"/>
      <c r="N408" s="160" t="s">
        <v>2217</v>
      </c>
      <c r="O408" s="402"/>
      <c r="P408" s="315"/>
      <c r="Q408" s="160"/>
      <c r="R408" s="403"/>
      <c r="S408" s="160"/>
      <c r="T408" s="404"/>
      <c r="U408" s="315"/>
      <c r="V408" s="315"/>
      <c r="W408" s="315"/>
      <c r="X408" s="131"/>
      <c r="Y408" s="315"/>
      <c r="Z408" s="315"/>
      <c r="AA408" s="315"/>
      <c r="AB408" s="37"/>
      <c r="AC408" s="131"/>
      <c r="AD408" s="121"/>
      <c r="AE408" s="88"/>
      <c r="AF408" s="405"/>
      <c r="AG408" s="406"/>
      <c r="AH408" s="406"/>
      <c r="AI408" s="405"/>
      <c r="AJ408" s="155"/>
      <c r="AK408" s="155"/>
      <c r="AL408" s="155"/>
      <c r="AM408" s="407"/>
      <c r="AN408" s="155"/>
      <c r="AO408" s="155"/>
      <c r="AP408" s="155"/>
      <c r="AQ408" s="85"/>
      <c r="AR408" s="121"/>
      <c r="AS408" s="121"/>
      <c r="AT408" s="121"/>
      <c r="AU408" s="408"/>
      <c r="AV408" s="121"/>
      <c r="AW408" s="121"/>
      <c r="AX408" s="121"/>
      <c r="AY408" s="408"/>
      <c r="AZ408" s="154" t="s">
        <v>194</v>
      </c>
      <c r="BA408" s="154" t="s">
        <v>194</v>
      </c>
      <c r="BB408" s="154" t="s">
        <v>194</v>
      </c>
      <c r="BC408" s="408"/>
      <c r="BD408" s="362"/>
      <c r="BE408" s="362"/>
      <c r="BF408" s="362"/>
      <c r="BG408" s="408"/>
      <c r="BH408" s="238">
        <f>CF408+CI408+CL408+CO408+CR408</f>
        <v>0</v>
      </c>
      <c r="BI408" s="238">
        <f>CH408+CK408+CN408+CQ408+CT408</f>
        <v>0</v>
      </c>
      <c r="BJ408" s="238">
        <f>BH408-BI408</f>
        <v>0</v>
      </c>
      <c r="BK408" s="239"/>
      <c r="BL408" s="260"/>
      <c r="BM408" s="241"/>
      <c r="BN408" s="142"/>
      <c r="BO408" s="182"/>
      <c r="BP408" s="105" t="s">
        <v>117</v>
      </c>
      <c r="BQ408" s="98">
        <v>0</v>
      </c>
      <c r="BR408" s="409"/>
      <c r="BS408" s="242">
        <f>BL408*BQ408</f>
        <v>0</v>
      </c>
      <c r="BT408" s="203">
        <f>BM408*BQ408</f>
        <v>0</v>
      </c>
      <c r="BU408" s="167">
        <f>BN408*BQ408</f>
        <v>0</v>
      </c>
      <c r="BV408" s="168">
        <f>BO408*BQ408</f>
        <v>0</v>
      </c>
      <c r="BW408" s="131"/>
      <c r="BX408" s="105" t="s">
        <v>152</v>
      </c>
      <c r="BY408" s="145">
        <v>0.05</v>
      </c>
      <c r="BZ408" s="110"/>
      <c r="CA408" s="242">
        <f>BL408*BY408</f>
        <v>0</v>
      </c>
      <c r="CB408" s="203">
        <f>BM408*BY408</f>
        <v>0</v>
      </c>
      <c r="CC408" s="530">
        <f>BN408*BY408</f>
        <v>0</v>
      </c>
      <c r="CD408" s="531">
        <f>BO408*BY408</f>
        <v>0</v>
      </c>
      <c r="CE408" s="411"/>
      <c r="CF408" s="108">
        <v>0</v>
      </c>
      <c r="CG408" s="109"/>
      <c r="CH408" s="414"/>
      <c r="CI408" s="415"/>
      <c r="CJ408" s="416"/>
      <c r="CK408" s="415"/>
      <c r="CL408" s="415"/>
      <c r="CM408" s="416"/>
      <c r="CN408" s="415"/>
      <c r="CO408" s="263"/>
      <c r="CP408" s="263"/>
      <c r="CQ408" s="263"/>
      <c r="CR408" s="263"/>
      <c r="CS408" s="263"/>
      <c r="CT408" s="263"/>
      <c r="CU408" s="90">
        <v>1</v>
      </c>
      <c r="CV408" s="181"/>
      <c r="CW408" s="438"/>
      <c r="CX408" s="439"/>
      <c r="CY408" s="155"/>
      <c r="CZ408" s="121"/>
      <c r="DA408" s="424"/>
      <c r="DB408" s="115" t="str">
        <f>PROPER(N408)</f>
        <v xml:space="preserve">Lean </v>
      </c>
      <c r="DC408" s="280"/>
      <c r="DD408" s="116" t="str">
        <f>BP408</f>
        <v>blackship</v>
      </c>
      <c r="DE408" s="117" t="b">
        <f>IF(OR(D408&gt;0),IF(BJ408=0,BN408*BQ408,0))</f>
        <v>0</v>
      </c>
      <c r="DF408" s="117" t="b">
        <f>IF(OR(D408&gt;0),IF(BJ408=0,BN408*BY408,0))</f>
        <v>0</v>
      </c>
      <c r="DG408" s="118" t="str">
        <f>BX408</f>
        <v>Client Angel</v>
      </c>
      <c r="DH408" s="76"/>
      <c r="DI408" s="120" t="s">
        <v>154</v>
      </c>
      <c r="DJ408" s="120"/>
      <c r="DK408" s="74" t="s">
        <v>1366</v>
      </c>
      <c r="DL408" s="74" t="s">
        <v>1399</v>
      </c>
      <c r="DM408" s="122"/>
      <c r="DN408" s="6"/>
      <c r="DO408" s="6"/>
      <c r="DP408" s="6"/>
      <c r="DQ408" s="6"/>
      <c r="DR408" s="6"/>
      <c r="DS408" s="6"/>
      <c r="DT408" s="6"/>
      <c r="DU408" s="6"/>
      <c r="DV408" s="6"/>
      <c r="DW408" s="6"/>
      <c r="DX408" s="6"/>
      <c r="DY408" s="6"/>
      <c r="DZ408" s="6"/>
    </row>
    <row r="409" spans="1:130" ht="34.5" hidden="1" customHeight="1">
      <c r="A409" s="228"/>
      <c r="B409" s="75" t="s">
        <v>1324</v>
      </c>
      <c r="C409" s="155"/>
      <c r="D409" s="75"/>
      <c r="E409" s="75"/>
      <c r="F409" s="75"/>
      <c r="G409" s="400" t="s">
        <v>135</v>
      </c>
      <c r="H409" s="400" t="s">
        <v>2218</v>
      </c>
      <c r="I409" s="294" t="s">
        <v>2219</v>
      </c>
      <c r="J409" s="155" t="str">
        <f>CONCATENATE(G409," ",H409)</f>
        <v>Alessandro Fracassi</v>
      </c>
      <c r="K409" s="401"/>
      <c r="L409" s="435"/>
      <c r="M409" s="153"/>
      <c r="N409" s="160" t="s">
        <v>2220</v>
      </c>
      <c r="O409" s="402"/>
      <c r="P409" s="315"/>
      <c r="Q409" s="160"/>
      <c r="R409" s="403"/>
      <c r="S409" s="160"/>
      <c r="T409" s="404"/>
      <c r="U409" s="315"/>
      <c r="V409" s="315"/>
      <c r="W409" s="315"/>
      <c r="X409" s="131"/>
      <c r="Y409" s="315"/>
      <c r="Z409" s="315"/>
      <c r="AA409" s="315"/>
      <c r="AB409" s="37"/>
      <c r="AC409" s="131"/>
      <c r="AD409" s="121" t="s">
        <v>2221</v>
      </c>
      <c r="AE409" s="88"/>
      <c r="AF409" s="405"/>
      <c r="AG409" s="406"/>
      <c r="AH409" s="406"/>
      <c r="AI409" s="405"/>
      <c r="AJ409" s="155"/>
      <c r="AK409" s="155"/>
      <c r="AL409" s="155"/>
      <c r="AM409" s="407"/>
      <c r="AN409" s="155"/>
      <c r="AO409" s="155"/>
      <c r="AP409" s="155"/>
      <c r="AQ409" s="85"/>
      <c r="AR409" s="121"/>
      <c r="AS409" s="121"/>
      <c r="AT409" s="121"/>
      <c r="AU409" s="408"/>
      <c r="AV409" s="121"/>
      <c r="AW409" s="121"/>
      <c r="AX409" s="121"/>
      <c r="AY409" s="408"/>
      <c r="AZ409" s="362"/>
      <c r="BA409" s="362"/>
      <c r="BB409" s="362"/>
      <c r="BC409" s="408"/>
      <c r="BD409" s="362" t="s">
        <v>245</v>
      </c>
      <c r="BE409" s="362" t="s">
        <v>245</v>
      </c>
      <c r="BF409" s="362" t="s">
        <v>245</v>
      </c>
      <c r="BG409" s="408"/>
      <c r="BH409" s="238">
        <f>CF409+CI409+CL409+CO409</f>
        <v>2697.3</v>
      </c>
      <c r="BI409" s="238">
        <f>CH409+CK409+CN409+CQ409</f>
        <v>447.3</v>
      </c>
      <c r="BJ409" s="238">
        <f>BH409-BI409</f>
        <v>2250</v>
      </c>
      <c r="BK409" s="239"/>
      <c r="BL409" s="260"/>
      <c r="BM409" s="241"/>
      <c r="BN409" s="142"/>
      <c r="BO409" s="182">
        <f>5394.6/2</f>
        <v>2697.3</v>
      </c>
      <c r="BP409" s="105" t="s">
        <v>1569</v>
      </c>
      <c r="BQ409" s="98">
        <v>0</v>
      </c>
      <c r="BR409" s="480"/>
      <c r="BS409" s="381"/>
      <c r="BT409" s="168"/>
      <c r="BU409" s="106">
        <f>BN409*BQ409</f>
        <v>0</v>
      </c>
      <c r="BV409" s="168">
        <f>BO409*BQ409</f>
        <v>0</v>
      </c>
      <c r="BW409" s="204"/>
      <c r="BX409" s="105" t="s">
        <v>133</v>
      </c>
      <c r="BY409" s="145">
        <v>0.05</v>
      </c>
      <c r="BZ409" s="110"/>
      <c r="CA409" s="242"/>
      <c r="CB409" s="203"/>
      <c r="CC409" s="530">
        <f>BN409*BY409</f>
        <v>0</v>
      </c>
      <c r="CD409" s="531">
        <f>BO409*BY409</f>
        <v>134.86500000000001</v>
      </c>
      <c r="CE409" s="411"/>
      <c r="CF409" s="412">
        <f>894.6/2</f>
        <v>447.3</v>
      </c>
      <c r="CG409" s="413">
        <v>45199</v>
      </c>
      <c r="CH409" s="412">
        <f>894.6/2</f>
        <v>447.3</v>
      </c>
      <c r="CI409" s="412">
        <f>4500/2</f>
        <v>2250</v>
      </c>
      <c r="CJ409" s="226">
        <v>45361</v>
      </c>
      <c r="CK409" s="415"/>
      <c r="CL409" s="415"/>
      <c r="CM409" s="416"/>
      <c r="CN409" s="415"/>
      <c r="CO409" s="263"/>
      <c r="CP409" s="263"/>
      <c r="CQ409" s="263"/>
      <c r="CR409" s="263"/>
      <c r="CS409" s="263"/>
      <c r="CT409" s="263"/>
      <c r="CU409" s="90">
        <v>1</v>
      </c>
      <c r="CV409" s="181"/>
      <c r="CW409" s="438"/>
      <c r="CX409" s="439"/>
      <c r="CY409" s="155"/>
      <c r="CZ409" s="121"/>
      <c r="DA409" s="424"/>
      <c r="DB409" s="115" t="str">
        <f>PROPER(N409)</f>
        <v xml:space="preserve">Studio Associato Fracassi Scaramella </v>
      </c>
      <c r="DC409" s="280"/>
      <c r="DD409" s="116" t="str">
        <f>BP409</f>
        <v>Prodability Academy</v>
      </c>
      <c r="DE409" s="117" t="b">
        <f>IF(OR(D409&gt;0),IF(BJ409=0,BN409*BQ409,0))</f>
        <v>0</v>
      </c>
      <c r="DF409" s="117" t="b">
        <f>IF(OR(D409&gt;0),IF(BJ409=0,BN409*BY409,0))</f>
        <v>0</v>
      </c>
      <c r="DG409" s="118" t="str">
        <f>BX409</f>
        <v>Cristian B</v>
      </c>
      <c r="DH409" s="76"/>
      <c r="DI409" s="120" t="s">
        <v>154</v>
      </c>
      <c r="DJ409" s="120"/>
      <c r="DK409" s="74"/>
      <c r="DL409" s="74"/>
      <c r="DM409" s="122"/>
      <c r="DN409" s="6"/>
      <c r="DO409" s="6"/>
      <c r="DP409" s="6"/>
      <c r="DQ409" s="6"/>
      <c r="DR409" s="6"/>
      <c r="DS409" s="6"/>
      <c r="DT409" s="6"/>
      <c r="DU409" s="6"/>
      <c r="DV409" s="6"/>
      <c r="DW409" s="6"/>
      <c r="DX409" s="6"/>
      <c r="DY409" s="6"/>
      <c r="DZ409" s="6"/>
    </row>
    <row r="410" spans="1:130" ht="34.5" hidden="1" customHeight="1">
      <c r="A410" s="228"/>
      <c r="B410" s="75" t="s">
        <v>1324</v>
      </c>
      <c r="C410" s="155"/>
      <c r="D410" s="75"/>
      <c r="E410" s="75"/>
      <c r="F410" s="75"/>
      <c r="G410" s="400" t="s">
        <v>2222</v>
      </c>
      <c r="H410" s="400" t="s">
        <v>2223</v>
      </c>
      <c r="I410" s="545" t="s">
        <v>2224</v>
      </c>
      <c r="J410" s="155" t="str">
        <f>CONCATENATE(G410," ",H410)</f>
        <v>Isaac Scaramella</v>
      </c>
      <c r="K410" s="400"/>
      <c r="L410" s="400"/>
      <c r="M410" s="153"/>
      <c r="N410" s="160" t="s">
        <v>2220</v>
      </c>
      <c r="O410" s="402"/>
      <c r="P410" s="315"/>
      <c r="Q410" s="160"/>
      <c r="R410" s="403"/>
      <c r="S410" s="160"/>
      <c r="T410" s="404"/>
      <c r="U410" s="315"/>
      <c r="V410" s="315"/>
      <c r="W410" s="315"/>
      <c r="X410" s="131"/>
      <c r="Y410" s="315"/>
      <c r="Z410" s="315"/>
      <c r="AA410" s="315"/>
      <c r="AB410" s="37"/>
      <c r="AC410" s="131"/>
      <c r="AD410" s="121" t="s">
        <v>2221</v>
      </c>
      <c r="AE410" s="88"/>
      <c r="AF410" s="405"/>
      <c r="AG410" s="406"/>
      <c r="AH410" s="406"/>
      <c r="AI410" s="405"/>
      <c r="AJ410" s="155"/>
      <c r="AK410" s="155"/>
      <c r="AL410" s="155"/>
      <c r="AM410" s="407"/>
      <c r="AN410" s="155"/>
      <c r="AO410" s="155"/>
      <c r="AP410" s="155"/>
      <c r="AQ410" s="85"/>
      <c r="AR410" s="121"/>
      <c r="AS410" s="121"/>
      <c r="AT410" s="121"/>
      <c r="AU410" s="408"/>
      <c r="AV410" s="121"/>
      <c r="AW410" s="121"/>
      <c r="AX410" s="121"/>
      <c r="AY410" s="408"/>
      <c r="AZ410" s="362"/>
      <c r="BA410" s="362"/>
      <c r="BB410" s="362"/>
      <c r="BC410" s="408"/>
      <c r="BD410" s="362" t="s">
        <v>245</v>
      </c>
      <c r="BE410" s="362" t="s">
        <v>245</v>
      </c>
      <c r="BF410" s="362" t="s">
        <v>245</v>
      </c>
      <c r="BG410" s="408"/>
      <c r="BH410" s="238">
        <f>CF410+CI410+CL410+CO410</f>
        <v>2697.3</v>
      </c>
      <c r="BI410" s="238">
        <f>CH410+CK410+CN410+CQ410</f>
        <v>447.3</v>
      </c>
      <c r="BJ410" s="238">
        <f>BH410-BI410</f>
        <v>2250</v>
      </c>
      <c r="BK410" s="239"/>
      <c r="BL410" s="260"/>
      <c r="BM410" s="241"/>
      <c r="BN410" s="142"/>
      <c r="BO410" s="182">
        <f>5394.6/2</f>
        <v>2697.3</v>
      </c>
      <c r="BP410" s="105" t="s">
        <v>1569</v>
      </c>
      <c r="BQ410" s="98">
        <v>0</v>
      </c>
      <c r="BR410" s="480"/>
      <c r="BS410" s="381"/>
      <c r="BT410" s="168"/>
      <c r="BU410" s="106">
        <f>BN410*BQ410</f>
        <v>0</v>
      </c>
      <c r="BV410" s="168">
        <f>BO410*BQ410</f>
        <v>0</v>
      </c>
      <c r="BW410" s="204"/>
      <c r="BX410" s="105" t="s">
        <v>133</v>
      </c>
      <c r="BY410" s="145">
        <v>0.05</v>
      </c>
      <c r="BZ410" s="110"/>
      <c r="CA410" s="242"/>
      <c r="CB410" s="203"/>
      <c r="CC410" s="530">
        <f>BN410*BY410</f>
        <v>0</v>
      </c>
      <c r="CD410" s="531">
        <f>BO410*BY410</f>
        <v>134.86500000000001</v>
      </c>
      <c r="CE410" s="411"/>
      <c r="CF410" s="412">
        <f>894.6/2</f>
        <v>447.3</v>
      </c>
      <c r="CG410" s="413">
        <v>45199</v>
      </c>
      <c r="CH410" s="412">
        <f>894.6/2</f>
        <v>447.3</v>
      </c>
      <c r="CI410" s="412">
        <f>4500/2</f>
        <v>2250</v>
      </c>
      <c r="CJ410" s="226">
        <v>45361</v>
      </c>
      <c r="CK410" s="415"/>
      <c r="CL410" s="415"/>
      <c r="CM410" s="416"/>
      <c r="CN410" s="415"/>
      <c r="CO410" s="263"/>
      <c r="CP410" s="263"/>
      <c r="CQ410" s="263"/>
      <c r="CR410" s="263"/>
      <c r="CS410" s="263"/>
      <c r="CT410" s="263"/>
      <c r="CU410" s="90">
        <v>1</v>
      </c>
      <c r="CV410" s="181"/>
      <c r="CW410" s="438"/>
      <c r="CX410" s="439"/>
      <c r="CY410" s="155"/>
      <c r="CZ410" s="121"/>
      <c r="DA410" s="424"/>
      <c r="DB410" s="115" t="str">
        <f>PROPER(N410)</f>
        <v xml:space="preserve">Studio Associato Fracassi Scaramella </v>
      </c>
      <c r="DC410" s="280"/>
      <c r="DD410" s="116" t="str">
        <f>BP410</f>
        <v>Prodability Academy</v>
      </c>
      <c r="DE410" s="117" t="b">
        <f>IF(OR(D410&gt;0),IF(BJ410=0,BN410*BQ410,0))</f>
        <v>0</v>
      </c>
      <c r="DF410" s="117" t="b">
        <f>IF(OR(D410&gt;0),IF(BJ410=0,BN410*BY410,0))</f>
        <v>0</v>
      </c>
      <c r="DG410" s="118" t="str">
        <f>BX410</f>
        <v>Cristian B</v>
      </c>
      <c r="DH410" s="76"/>
      <c r="DI410" s="120" t="s">
        <v>154</v>
      </c>
      <c r="DJ410" s="120"/>
      <c r="DK410" s="74"/>
      <c r="DL410" s="74"/>
      <c r="DM410" s="122"/>
      <c r="DN410" s="6"/>
      <c r="DO410" s="6"/>
      <c r="DP410" s="6"/>
      <c r="DQ410" s="6"/>
      <c r="DR410" s="6"/>
      <c r="DS410" s="6"/>
      <c r="DT410" s="6"/>
      <c r="DU410" s="6"/>
      <c r="DV410" s="6"/>
      <c r="DW410" s="6"/>
      <c r="DX410" s="6"/>
      <c r="DY410" s="6"/>
      <c r="DZ410" s="6"/>
    </row>
    <row r="411" spans="1:130" ht="34.5" hidden="1" customHeight="1">
      <c r="A411" s="228"/>
      <c r="B411" s="75" t="s">
        <v>1324</v>
      </c>
      <c r="C411" s="155"/>
      <c r="D411" s="75">
        <v>1</v>
      </c>
      <c r="E411" s="75"/>
      <c r="F411" s="75"/>
      <c r="G411" s="400" t="s">
        <v>204</v>
      </c>
      <c r="H411" s="400" t="s">
        <v>2225</v>
      </c>
      <c r="I411" s="545" t="s">
        <v>2226</v>
      </c>
      <c r="J411" s="155" t="str">
        <f>CONCATENATE(G411," ",H411)</f>
        <v>Luca Crescini</v>
      </c>
      <c r="K411" s="400">
        <v>3298340736</v>
      </c>
      <c r="L411" s="400"/>
      <c r="M411" s="153"/>
      <c r="N411" s="160" t="s">
        <v>2227</v>
      </c>
      <c r="O411" s="402"/>
      <c r="P411" s="315"/>
      <c r="Q411" s="160"/>
      <c r="R411" s="403"/>
      <c r="S411" s="160"/>
      <c r="T411" s="404"/>
      <c r="U411" s="315"/>
      <c r="V411" s="315"/>
      <c r="W411" s="315"/>
      <c r="X411" s="131"/>
      <c r="Y411" s="315"/>
      <c r="Z411" s="315"/>
      <c r="AA411" s="315"/>
      <c r="AB411" s="37"/>
      <c r="AC411" s="131"/>
      <c r="AD411" s="121" t="s">
        <v>2228</v>
      </c>
      <c r="AE411" s="88"/>
      <c r="AF411" s="405"/>
      <c r="AG411" s="406"/>
      <c r="AH411" s="406"/>
      <c r="AI411" s="405"/>
      <c r="AJ411" s="155"/>
      <c r="AK411" s="155"/>
      <c r="AL411" s="155"/>
      <c r="AM411" s="407"/>
      <c r="AN411" s="155"/>
      <c r="AO411" s="155"/>
      <c r="AP411" s="155"/>
      <c r="AQ411" s="85"/>
      <c r="AR411" s="121"/>
      <c r="AS411" s="121"/>
      <c r="AT411" s="121"/>
      <c r="AU411" s="408"/>
      <c r="AV411" s="362"/>
      <c r="AW411" s="362"/>
      <c r="AX411" s="362"/>
      <c r="AY411" s="408"/>
      <c r="AZ411" s="362" t="s">
        <v>115</v>
      </c>
      <c r="BA411" s="362"/>
      <c r="BB411" s="362"/>
      <c r="BC411" s="408"/>
      <c r="BD411" s="362"/>
      <c r="BE411" s="362" t="s">
        <v>115</v>
      </c>
      <c r="BF411" s="362" t="s">
        <v>115</v>
      </c>
      <c r="BG411" s="408"/>
      <c r="BH411" s="238">
        <f>CF411+CI411+CL411+CO411+CR411</f>
        <v>2997</v>
      </c>
      <c r="BI411" s="238">
        <f>CH411+CK411+CN411+CQ411+CT411</f>
        <v>2997</v>
      </c>
      <c r="BJ411" s="238">
        <f>BH411-BI411</f>
        <v>0</v>
      </c>
      <c r="BK411" s="239"/>
      <c r="BL411" s="260"/>
      <c r="BM411" s="241"/>
      <c r="BN411" s="142">
        <v>2997</v>
      </c>
      <c r="BO411" s="182"/>
      <c r="BP411" s="105" t="s">
        <v>133</v>
      </c>
      <c r="BQ411" s="98">
        <v>0.15</v>
      </c>
      <c r="BR411" s="409"/>
      <c r="BS411" s="242"/>
      <c r="BT411" s="203"/>
      <c r="BU411" s="167">
        <f>BN411*BQ411</f>
        <v>449.55</v>
      </c>
      <c r="BV411" s="168">
        <f>BO411*BQ411</f>
        <v>0</v>
      </c>
      <c r="BW411" s="160" t="s">
        <v>185</v>
      </c>
      <c r="BX411" s="105" t="s">
        <v>133</v>
      </c>
      <c r="BY411" s="145">
        <v>0.05</v>
      </c>
      <c r="BZ411" s="110"/>
      <c r="CA411" s="242"/>
      <c r="CB411" s="203"/>
      <c r="CC411" s="530">
        <f>BN411*BY411</f>
        <v>149.85</v>
      </c>
      <c r="CD411" s="531">
        <f>BO411*BY411</f>
        <v>0</v>
      </c>
      <c r="CE411" s="160" t="s">
        <v>185</v>
      </c>
      <c r="CF411" s="412">
        <v>2997</v>
      </c>
      <c r="CG411" s="413">
        <v>45204</v>
      </c>
      <c r="CH411" s="412">
        <v>2997</v>
      </c>
      <c r="CI411" s="412"/>
      <c r="CJ411" s="413"/>
      <c r="CK411" s="415"/>
      <c r="CL411" s="415"/>
      <c r="CM411" s="546"/>
      <c r="CN411" s="415"/>
      <c r="CO411" s="263"/>
      <c r="CP411" s="547"/>
      <c r="CQ411" s="263"/>
      <c r="CR411" s="263"/>
      <c r="CS411" s="547"/>
      <c r="CT411" s="263"/>
      <c r="CU411" s="90">
        <v>1</v>
      </c>
      <c r="CV411" s="181"/>
      <c r="CW411" s="439"/>
      <c r="CX411" s="439"/>
      <c r="CY411" s="155"/>
      <c r="CZ411" s="121"/>
      <c r="DA411" s="428" t="s">
        <v>2229</v>
      </c>
      <c r="DB411" s="115" t="str">
        <f>PROPER(N411)</f>
        <v>Putelli</v>
      </c>
      <c r="DC411" s="548" t="s">
        <v>2230</v>
      </c>
      <c r="DD411" s="116" t="str">
        <f>BP411</f>
        <v>Cristian B</v>
      </c>
      <c r="DE411" s="117">
        <f>IF(OR(D411&gt;0),IF(BJ411=0,BN411*BQ411,0))</f>
        <v>449.55</v>
      </c>
      <c r="DF411" s="117">
        <f>IF(OR(D411&gt;0),IF(BJ411=0,BN411*BY411,0))</f>
        <v>149.85</v>
      </c>
      <c r="DG411" s="118" t="str">
        <f>BX411</f>
        <v>Cristian B</v>
      </c>
      <c r="DH411" s="76"/>
      <c r="DI411" s="120" t="s">
        <v>154</v>
      </c>
      <c r="DJ411" s="120"/>
      <c r="DK411" s="74"/>
      <c r="DL411" s="74"/>
      <c r="DM411" s="122">
        <v>1</v>
      </c>
      <c r="DN411" s="6"/>
      <c r="DO411" s="6"/>
      <c r="DP411" s="6"/>
      <c r="DQ411" s="6"/>
      <c r="DR411" s="6"/>
      <c r="DS411" s="6"/>
      <c r="DT411" s="6"/>
      <c r="DU411" s="6"/>
      <c r="DV411" s="6"/>
      <c r="DW411" s="6"/>
      <c r="DX411" s="6"/>
      <c r="DY411" s="6"/>
      <c r="DZ411" s="6"/>
    </row>
    <row r="412" spans="1:130" ht="34.5" hidden="1" customHeight="1">
      <c r="A412" s="228"/>
      <c r="B412" s="75" t="s">
        <v>1324</v>
      </c>
      <c r="C412" s="155"/>
      <c r="D412" s="75">
        <v>1</v>
      </c>
      <c r="E412" s="75">
        <v>1</v>
      </c>
      <c r="F412" s="75"/>
      <c r="G412" s="400" t="s">
        <v>2231</v>
      </c>
      <c r="H412" s="400" t="s">
        <v>2232</v>
      </c>
      <c r="I412" s="400" t="s">
        <v>2233</v>
      </c>
      <c r="J412" s="155" t="str">
        <f>CONCATENATE(G412," ",H412)</f>
        <v>Ilaria Pedretti</v>
      </c>
      <c r="K412" s="400">
        <v>3494409632</v>
      </c>
      <c r="L412" s="400"/>
      <c r="M412" s="487" t="s">
        <v>702</v>
      </c>
      <c r="N412" s="549" t="s">
        <v>2234</v>
      </c>
      <c r="O412" s="402"/>
      <c r="P412" s="315"/>
      <c r="Q412" s="160"/>
      <c r="R412" s="403"/>
      <c r="S412" s="160"/>
      <c r="T412" s="404"/>
      <c r="U412" s="315"/>
      <c r="V412" s="315"/>
      <c r="W412" s="315"/>
      <c r="X412" s="131"/>
      <c r="Y412" s="315"/>
      <c r="Z412" s="315"/>
      <c r="AA412" s="315"/>
      <c r="AB412" s="37"/>
      <c r="AC412" s="131"/>
      <c r="AD412" s="121" t="s">
        <v>2235</v>
      </c>
      <c r="AE412" s="88"/>
      <c r="AF412" s="405"/>
      <c r="AG412" s="406"/>
      <c r="AH412" s="406"/>
      <c r="AI412" s="405"/>
      <c r="AJ412" s="155"/>
      <c r="AK412" s="155"/>
      <c r="AL412" s="155"/>
      <c r="AM412" s="407"/>
      <c r="AN412" s="155"/>
      <c r="AO412" s="155"/>
      <c r="AP412" s="155"/>
      <c r="AQ412" s="85"/>
      <c r="AR412" s="121"/>
      <c r="AS412" s="121"/>
      <c r="AT412" s="121"/>
      <c r="AU412" s="408"/>
      <c r="AV412" s="362"/>
      <c r="AW412" s="362"/>
      <c r="AX412" s="362"/>
      <c r="AY412" s="408"/>
      <c r="AZ412" s="362" t="s">
        <v>115</v>
      </c>
      <c r="BA412" s="121" t="s">
        <v>115</v>
      </c>
      <c r="BB412" s="135" t="s">
        <v>154</v>
      </c>
      <c r="BC412" s="408"/>
      <c r="BD412" s="362"/>
      <c r="BE412" s="362"/>
      <c r="BF412" s="362" t="s">
        <v>115</v>
      </c>
      <c r="BG412" s="408"/>
      <c r="BH412" s="238">
        <f>CF412+CI412+CL412+CO412+CR412</f>
        <v>2997</v>
      </c>
      <c r="BI412" s="238">
        <f>CH412+CK412+CN412+CQ412+CT412</f>
        <v>2997</v>
      </c>
      <c r="BJ412" s="238">
        <f>BH412-BI412</f>
        <v>0</v>
      </c>
      <c r="BK412" s="239"/>
      <c r="BL412" s="260"/>
      <c r="BM412" s="241"/>
      <c r="BN412" s="142">
        <v>2997</v>
      </c>
      <c r="BO412" s="182"/>
      <c r="BP412" s="105" t="s">
        <v>160</v>
      </c>
      <c r="BQ412" s="98">
        <v>0.05</v>
      </c>
      <c r="BR412" s="409"/>
      <c r="BS412" s="242"/>
      <c r="BT412" s="203"/>
      <c r="BU412" s="167">
        <f>BN412*BQ412</f>
        <v>149.85</v>
      </c>
      <c r="BV412" s="168">
        <f>BO412*BQ412</f>
        <v>0</v>
      </c>
      <c r="BW412" s="84" t="s">
        <v>185</v>
      </c>
      <c r="BX412" s="105" t="s">
        <v>160</v>
      </c>
      <c r="BY412" s="145">
        <v>0.1</v>
      </c>
      <c r="BZ412" s="110"/>
      <c r="CA412" s="242"/>
      <c r="CB412" s="203"/>
      <c r="CC412" s="530">
        <f>BN412*BY412</f>
        <v>299.7</v>
      </c>
      <c r="CD412" s="531">
        <f>BO412*BY412</f>
        <v>0</v>
      </c>
      <c r="CE412" s="84" t="s">
        <v>185</v>
      </c>
      <c r="CF412" s="412">
        <v>2997</v>
      </c>
      <c r="CG412" s="413">
        <v>45205</v>
      </c>
      <c r="CH412" s="412">
        <v>2997</v>
      </c>
      <c r="CI412" s="412"/>
      <c r="CJ412" s="413"/>
      <c r="CK412" s="415"/>
      <c r="CL412" s="415"/>
      <c r="CM412" s="546"/>
      <c r="CN412" s="415"/>
      <c r="CO412" s="263"/>
      <c r="CP412" s="547"/>
      <c r="CQ412" s="263"/>
      <c r="CR412" s="263"/>
      <c r="CS412" s="547"/>
      <c r="CT412" s="263"/>
      <c r="CU412" s="550"/>
      <c r="CV412" s="181"/>
      <c r="CW412" s="439"/>
      <c r="CX412" s="439"/>
      <c r="CY412" s="155"/>
      <c r="CZ412" s="121"/>
      <c r="DA412" s="551" t="s">
        <v>2236</v>
      </c>
      <c r="DB412" s="115" t="str">
        <f>PROPER(N412)</f>
        <v>Eagle Ghost</v>
      </c>
      <c r="DC412" s="280" t="s">
        <v>2237</v>
      </c>
      <c r="DD412" s="116" t="str">
        <f>BP412</f>
        <v>Gianluca</v>
      </c>
      <c r="DE412" s="117">
        <f>IF(OR(D412&gt;0),IF(BJ412=0,BN412*BQ412,0))</f>
        <v>149.85</v>
      </c>
      <c r="DF412" s="117">
        <f>IF(OR(D412&gt;0),IF(BJ412=0,BN412*BY412,0))</f>
        <v>299.7</v>
      </c>
      <c r="DG412" s="118" t="str">
        <f>BX412</f>
        <v>Gianluca</v>
      </c>
      <c r="DH412" s="76"/>
      <c r="DI412" s="120" t="s">
        <v>154</v>
      </c>
      <c r="DJ412" s="120"/>
      <c r="DK412" s="74"/>
      <c r="DL412" s="74"/>
      <c r="DM412" s="122">
        <v>1</v>
      </c>
      <c r="DN412" s="6"/>
      <c r="DO412" s="6"/>
      <c r="DP412" s="6"/>
      <c r="DQ412" s="6"/>
      <c r="DR412" s="6"/>
      <c r="DS412" s="6"/>
      <c r="DT412" s="6"/>
      <c r="DU412" s="6"/>
      <c r="DV412" s="6"/>
      <c r="DW412" s="6"/>
      <c r="DX412" s="6"/>
      <c r="DY412" s="6"/>
      <c r="DZ412" s="6"/>
    </row>
    <row r="413" spans="1:130" ht="34.5" hidden="1" customHeight="1">
      <c r="A413" s="228"/>
      <c r="B413" s="75" t="s">
        <v>1324</v>
      </c>
      <c r="C413" s="155"/>
      <c r="D413" s="75"/>
      <c r="E413" s="75"/>
      <c r="F413" s="75"/>
      <c r="G413" s="400" t="s">
        <v>290</v>
      </c>
      <c r="H413" s="400" t="s">
        <v>2238</v>
      </c>
      <c r="I413" s="545" t="s">
        <v>2239</v>
      </c>
      <c r="J413" s="155" t="str">
        <f>CONCATENATE(G413," ",H413)</f>
        <v>Claudio Berti</v>
      </c>
      <c r="K413" s="400"/>
      <c r="L413" s="400"/>
      <c r="M413" s="153"/>
      <c r="N413" s="160" t="s">
        <v>2240</v>
      </c>
      <c r="O413" s="402"/>
      <c r="P413" s="315"/>
      <c r="Q413" s="160"/>
      <c r="R413" s="403"/>
      <c r="S413" s="160"/>
      <c r="T413" s="404"/>
      <c r="U413" s="315"/>
      <c r="V413" s="315"/>
      <c r="W413" s="315"/>
      <c r="X413" s="131"/>
      <c r="Y413" s="315"/>
      <c r="Z413" s="315"/>
      <c r="AA413" s="315"/>
      <c r="AB413" s="37"/>
      <c r="AC413" s="131"/>
      <c r="AD413" s="121"/>
      <c r="AE413" s="88"/>
      <c r="AF413" s="405"/>
      <c r="AG413" s="406"/>
      <c r="AH413" s="406"/>
      <c r="AI413" s="405"/>
      <c r="AJ413" s="155"/>
      <c r="AK413" s="155"/>
      <c r="AL413" s="155"/>
      <c r="AM413" s="407"/>
      <c r="AN413" s="155"/>
      <c r="AO413" s="155"/>
      <c r="AP413" s="155"/>
      <c r="AQ413" s="85"/>
      <c r="AR413" s="121"/>
      <c r="AS413" s="121"/>
      <c r="AT413" s="121"/>
      <c r="AU413" s="408"/>
      <c r="AV413" s="362"/>
      <c r="AW413" s="362"/>
      <c r="AX413" s="362"/>
      <c r="AY413" s="408"/>
      <c r="AZ413" s="362"/>
      <c r="BA413" s="362"/>
      <c r="BB413" s="362"/>
      <c r="BC413" s="408"/>
      <c r="BD413" s="362" t="s">
        <v>245</v>
      </c>
      <c r="BE413" s="362" t="s">
        <v>245</v>
      </c>
      <c r="BF413" s="362" t="s">
        <v>245</v>
      </c>
      <c r="BG413" s="408"/>
      <c r="BH413" s="238">
        <f>CF413+CI413+CL413+CO413+CR413</f>
        <v>2997</v>
      </c>
      <c r="BI413" s="238">
        <f>CH413+CK413+CN413+CQ413+CT413</f>
        <v>0</v>
      </c>
      <c r="BJ413" s="238">
        <f>BH413-BI413</f>
        <v>2997</v>
      </c>
      <c r="BK413" s="239"/>
      <c r="BL413" s="260"/>
      <c r="BM413" s="241"/>
      <c r="BN413" s="142"/>
      <c r="BO413" s="182">
        <v>2997</v>
      </c>
      <c r="BP413" s="105" t="s">
        <v>160</v>
      </c>
      <c r="BQ413" s="418"/>
      <c r="BR413" s="409"/>
      <c r="BS413" s="242"/>
      <c r="BT413" s="203"/>
      <c r="BU413" s="167">
        <f>BN413*BQ413</f>
        <v>0</v>
      </c>
      <c r="BV413" s="168">
        <f>BO413*BQ413</f>
        <v>0</v>
      </c>
      <c r="BW413" s="80"/>
      <c r="BX413" s="105" t="s">
        <v>133</v>
      </c>
      <c r="BY413" s="418"/>
      <c r="BZ413" s="110"/>
      <c r="CA413" s="242"/>
      <c r="CB413" s="203"/>
      <c r="CC413" s="530">
        <f>BN413*BY413</f>
        <v>0</v>
      </c>
      <c r="CD413" s="531">
        <f>BO413*BY413</f>
        <v>0</v>
      </c>
      <c r="CE413" s="411"/>
      <c r="CF413" s="412">
        <v>2997</v>
      </c>
      <c r="CG413" s="413">
        <v>45260</v>
      </c>
      <c r="CH413" s="552"/>
      <c r="CI413" s="412"/>
      <c r="CJ413" s="413"/>
      <c r="CK413" s="415"/>
      <c r="CL413" s="415"/>
      <c r="CM413" s="546"/>
      <c r="CN413" s="415"/>
      <c r="CO413" s="263"/>
      <c r="CP413" s="547"/>
      <c r="CQ413" s="263"/>
      <c r="CR413" s="263"/>
      <c r="CS413" s="547"/>
      <c r="CT413" s="263"/>
      <c r="CU413" s="550"/>
      <c r="CV413" s="181"/>
      <c r="CW413" s="439"/>
      <c r="CX413" s="439"/>
      <c r="CY413" s="155"/>
      <c r="CZ413" s="121"/>
      <c r="DA413" s="428"/>
      <c r="DB413" s="115"/>
      <c r="DC413" s="280"/>
      <c r="DD413" s="116" t="str">
        <f>BP413</f>
        <v>Gianluca</v>
      </c>
      <c r="DE413" s="117" t="b">
        <f>IF(OR(D413&gt;0),IF(BJ413=0,BN413*BQ413,0))</f>
        <v>0</v>
      </c>
      <c r="DF413" s="117" t="b">
        <f>IF(OR(D413&gt;0),IF(BJ413=0,BN413*BY413,0))</f>
        <v>0</v>
      </c>
      <c r="DG413" s="118" t="str">
        <f>BX413</f>
        <v>Cristian B</v>
      </c>
      <c r="DH413" s="76"/>
      <c r="DI413" s="120" t="s">
        <v>154</v>
      </c>
      <c r="DJ413" s="120"/>
      <c r="DK413" s="74"/>
      <c r="DL413" s="74"/>
      <c r="DM413" s="122"/>
      <c r="DN413" s="6"/>
      <c r="DO413" s="6"/>
      <c r="DP413" s="6"/>
      <c r="DQ413" s="6"/>
      <c r="DR413" s="6"/>
      <c r="DS413" s="6"/>
      <c r="DT413" s="6"/>
      <c r="DU413" s="6"/>
      <c r="DV413" s="6"/>
      <c r="DW413" s="6"/>
      <c r="DX413" s="6"/>
      <c r="DY413" s="6"/>
      <c r="DZ413" s="6"/>
    </row>
    <row r="414" spans="1:130" ht="34.5" hidden="1" customHeight="1">
      <c r="A414" s="228"/>
      <c r="B414" s="75" t="s">
        <v>1324</v>
      </c>
      <c r="C414" s="155"/>
      <c r="D414" s="75"/>
      <c r="E414" s="75"/>
      <c r="F414" s="75"/>
      <c r="G414" s="400" t="s">
        <v>188</v>
      </c>
      <c r="H414" s="400" t="s">
        <v>2241</v>
      </c>
      <c r="I414" s="545" t="s">
        <v>2242</v>
      </c>
      <c r="J414" s="155" t="str">
        <f>CONCATENATE(G414," ",H414)</f>
        <v>Andrea Robbiani</v>
      </c>
      <c r="K414" s="400"/>
      <c r="L414" s="400"/>
      <c r="M414" s="153"/>
      <c r="N414" s="160" t="s">
        <v>2240</v>
      </c>
      <c r="O414" s="402"/>
      <c r="P414" s="315"/>
      <c r="Q414" s="160"/>
      <c r="R414" s="403"/>
      <c r="S414" s="160"/>
      <c r="T414" s="404"/>
      <c r="U414" s="315"/>
      <c r="V414" s="315"/>
      <c r="W414" s="315"/>
      <c r="X414" s="131"/>
      <c r="Y414" s="315"/>
      <c r="Z414" s="315"/>
      <c r="AA414" s="315"/>
      <c r="AB414" s="37"/>
      <c r="AC414" s="131"/>
      <c r="AD414" s="121"/>
      <c r="AE414" s="88"/>
      <c r="AF414" s="405"/>
      <c r="AG414" s="406"/>
      <c r="AH414" s="406"/>
      <c r="AI414" s="405"/>
      <c r="AJ414" s="155"/>
      <c r="AK414" s="155"/>
      <c r="AL414" s="155"/>
      <c r="AM414" s="407"/>
      <c r="AN414" s="155"/>
      <c r="AO414" s="155"/>
      <c r="AP414" s="155"/>
      <c r="AQ414" s="85"/>
      <c r="AR414" s="121"/>
      <c r="AS414" s="121"/>
      <c r="AT414" s="121"/>
      <c r="AU414" s="408"/>
      <c r="AV414" s="362"/>
      <c r="AW414" s="362"/>
      <c r="AX414" s="362"/>
      <c r="AY414" s="408"/>
      <c r="AZ414" s="362"/>
      <c r="BA414" s="362"/>
      <c r="BB414" s="362"/>
      <c r="BC414" s="408"/>
      <c r="BD414" s="362" t="s">
        <v>245</v>
      </c>
      <c r="BE414" s="362" t="s">
        <v>245</v>
      </c>
      <c r="BF414" s="362" t="s">
        <v>245</v>
      </c>
      <c r="BG414" s="408"/>
      <c r="BH414" s="238">
        <f>CF414+CI414+CL414+CO414+CR414</f>
        <v>2997</v>
      </c>
      <c r="BI414" s="238">
        <f>CH414+CK414+CN414+CQ414+CT414</f>
        <v>0</v>
      </c>
      <c r="BJ414" s="238">
        <f>BH414-BI414</f>
        <v>2997</v>
      </c>
      <c r="BK414" s="239"/>
      <c r="BL414" s="260"/>
      <c r="BM414" s="241"/>
      <c r="BN414" s="142"/>
      <c r="BO414" s="182">
        <v>2997</v>
      </c>
      <c r="BP414" s="105" t="s">
        <v>160</v>
      </c>
      <c r="BQ414" s="418"/>
      <c r="BR414" s="409"/>
      <c r="BS414" s="242"/>
      <c r="BT414" s="203"/>
      <c r="BU414" s="167">
        <f>BN414*BQ414</f>
        <v>0</v>
      </c>
      <c r="BV414" s="168">
        <f>BO414*BQ414</f>
        <v>0</v>
      </c>
      <c r="BW414" s="80"/>
      <c r="BX414" s="105" t="s">
        <v>133</v>
      </c>
      <c r="BY414" s="418"/>
      <c r="BZ414" s="110"/>
      <c r="CA414" s="242"/>
      <c r="CB414" s="203"/>
      <c r="CC414" s="530">
        <f>BN414*BY414</f>
        <v>0</v>
      </c>
      <c r="CD414" s="531">
        <f>BO414*BY414</f>
        <v>0</v>
      </c>
      <c r="CE414" s="411"/>
      <c r="CF414" s="412">
        <v>2997</v>
      </c>
      <c r="CG414" s="413">
        <v>45260</v>
      </c>
      <c r="CH414" s="552"/>
      <c r="CI414" s="412"/>
      <c r="CJ414" s="413"/>
      <c r="CK414" s="415"/>
      <c r="CL414" s="415"/>
      <c r="CM414" s="546"/>
      <c r="CN414" s="415"/>
      <c r="CO414" s="263"/>
      <c r="CP414" s="547"/>
      <c r="CQ414" s="263"/>
      <c r="CR414" s="263"/>
      <c r="CS414" s="547"/>
      <c r="CT414" s="263"/>
      <c r="CU414" s="550"/>
      <c r="CV414" s="181"/>
      <c r="CW414" s="439"/>
      <c r="CX414" s="439"/>
      <c r="CY414" s="155"/>
      <c r="CZ414" s="121"/>
      <c r="DA414" s="428"/>
      <c r="DB414" s="115"/>
      <c r="DC414" s="280"/>
      <c r="DD414" s="116" t="str">
        <f>BP414</f>
        <v>Gianluca</v>
      </c>
      <c r="DE414" s="117" t="b">
        <f>IF(OR(D414&gt;0),IF(BJ414=0,BN414*BQ414,0))</f>
        <v>0</v>
      </c>
      <c r="DF414" s="117" t="b">
        <f>IF(OR(D414&gt;0),IF(BJ414=0,BN414*BY414,0))</f>
        <v>0</v>
      </c>
      <c r="DG414" s="118" t="str">
        <f>BX414</f>
        <v>Cristian B</v>
      </c>
      <c r="DH414" s="76"/>
      <c r="DI414" s="120" t="s">
        <v>154</v>
      </c>
      <c r="DJ414" s="120"/>
      <c r="DK414" s="74"/>
      <c r="DL414" s="74"/>
      <c r="DM414" s="122"/>
      <c r="DN414" s="6"/>
      <c r="DO414" s="6"/>
      <c r="DP414" s="6"/>
      <c r="DQ414" s="6"/>
      <c r="DR414" s="6"/>
      <c r="DS414" s="6"/>
      <c r="DT414" s="6"/>
      <c r="DU414" s="6"/>
      <c r="DV414" s="6"/>
      <c r="DW414" s="6"/>
      <c r="DX414" s="6"/>
      <c r="DY414" s="6"/>
      <c r="DZ414" s="6"/>
    </row>
    <row r="415" spans="1:130" ht="34.5" hidden="1" customHeight="1">
      <c r="A415" s="3"/>
      <c r="B415" s="75" t="s">
        <v>108</v>
      </c>
      <c r="C415" s="121"/>
      <c r="D415" s="75">
        <v>1</v>
      </c>
      <c r="E415" s="75">
        <v>1</v>
      </c>
      <c r="F415" s="148"/>
      <c r="G415" s="79" t="s">
        <v>287</v>
      </c>
      <c r="H415" s="79" t="s">
        <v>803</v>
      </c>
      <c r="I415" s="131" t="s">
        <v>804</v>
      </c>
      <c r="J415" s="121" t="str">
        <f>CONCATENATE(G415," ",H415)</f>
        <v>Riccardo Costanzi</v>
      </c>
      <c r="K415" s="156" t="s">
        <v>805</v>
      </c>
      <c r="L415" s="183" t="s">
        <v>764</v>
      </c>
      <c r="M415" s="176" t="s">
        <v>719</v>
      </c>
      <c r="N415" s="160" t="s">
        <v>806</v>
      </c>
      <c r="O415" s="407"/>
      <c r="P415" s="1941"/>
      <c r="Q415" s="86"/>
      <c r="R415" s="86"/>
      <c r="S415" s="86"/>
      <c r="T415" s="1953"/>
      <c r="U415" s="1941"/>
      <c r="V415" s="1941"/>
      <c r="W415" s="1941"/>
      <c r="X415" s="86"/>
      <c r="Y415" s="1960"/>
      <c r="Z415" s="1941"/>
      <c r="AA415" s="1941"/>
      <c r="AB415" s="86"/>
      <c r="AC415" s="86"/>
      <c r="AD415" s="86" t="s">
        <v>807</v>
      </c>
      <c r="AE415" s="138" t="str">
        <f>L415</f>
        <v>msg 23.10</v>
      </c>
      <c r="AF415" s="407"/>
      <c r="AG415" s="121"/>
      <c r="AH415" s="121"/>
      <c r="AI415" s="407"/>
      <c r="AJ415" s="121"/>
      <c r="AK415" s="121"/>
      <c r="AL415" s="121"/>
      <c r="AM415" s="407"/>
      <c r="AN415" s="155"/>
      <c r="AO415" s="155"/>
      <c r="AP415" s="155"/>
      <c r="AQ415" s="1982"/>
      <c r="AR415" s="121"/>
      <c r="AS415" s="121"/>
      <c r="AT415" s="121"/>
      <c r="AU415" s="408"/>
      <c r="AV415" s="362"/>
      <c r="AW415" s="1993" t="s">
        <v>115</v>
      </c>
      <c r="AX415" s="362" t="s">
        <v>115</v>
      </c>
      <c r="AY415" s="408"/>
      <c r="AZ415" s="362" t="s">
        <v>115</v>
      </c>
      <c r="BA415" s="362" t="s">
        <v>116</v>
      </c>
      <c r="BB415" s="553" t="s">
        <v>116</v>
      </c>
      <c r="BC415" s="408"/>
      <c r="BD415" s="362"/>
      <c r="BE415" s="362"/>
      <c r="BF415" s="362"/>
      <c r="BG415" s="408"/>
      <c r="BH415" s="238">
        <f>CF415+CI415+CL415+CO415+CR415</f>
        <v>2997.25</v>
      </c>
      <c r="BI415" s="238">
        <f>CH415+CK415+CN415+CQ415+CT415</f>
        <v>2997.25</v>
      </c>
      <c r="BJ415" s="238">
        <f>BH415-BI415</f>
        <v>0</v>
      </c>
      <c r="BK415" s="199"/>
      <c r="BL415" s="200"/>
      <c r="BM415" s="241">
        <v>2997.25</v>
      </c>
      <c r="BN415" s="96"/>
      <c r="BO415" s="97"/>
      <c r="BP415" s="281" t="s">
        <v>262</v>
      </c>
      <c r="BQ415" s="98">
        <v>0.15</v>
      </c>
      <c r="BR415" s="2057"/>
      <c r="BS415" s="202"/>
      <c r="BT415" s="203">
        <f>BM415*BQ415</f>
        <v>449.58749999999998</v>
      </c>
      <c r="BU415" s="167">
        <f>BN415*BQ415</f>
        <v>0</v>
      </c>
      <c r="BV415" s="168">
        <f>BO415*BQ415</f>
        <v>0</v>
      </c>
      <c r="BW415" s="80" t="s">
        <v>174</v>
      </c>
      <c r="BX415" s="105" t="s">
        <v>262</v>
      </c>
      <c r="BY415" s="98">
        <v>0.05</v>
      </c>
      <c r="BZ415" s="201"/>
      <c r="CA415" s="202"/>
      <c r="CB415" s="203">
        <f>BM415*BY415</f>
        <v>149.86250000000001</v>
      </c>
      <c r="CC415" s="106">
        <f>BN415*BY415</f>
        <v>0</v>
      </c>
      <c r="CD415" s="107">
        <f>BO415*BY415</f>
        <v>0</v>
      </c>
      <c r="CE415" s="80" t="s">
        <v>174</v>
      </c>
      <c r="CF415" s="412">
        <v>2997.25</v>
      </c>
      <c r="CG415" s="413">
        <v>45008</v>
      </c>
      <c r="CH415" s="412">
        <v>2997.25</v>
      </c>
      <c r="CI415" s="412"/>
      <c r="CJ415" s="413"/>
      <c r="CK415" s="206"/>
      <c r="CL415" s="206"/>
      <c r="CM415" s="413"/>
      <c r="CN415" s="206"/>
      <c r="CO415" s="206"/>
      <c r="CP415" s="2112"/>
      <c r="CQ415" s="206"/>
      <c r="CR415" s="206"/>
      <c r="CS415" s="2112"/>
      <c r="CT415" s="206"/>
      <c r="CU415" s="550">
        <v>1</v>
      </c>
      <c r="CV415" s="181" t="s">
        <v>121</v>
      </c>
      <c r="CW415" s="840"/>
      <c r="CX415" s="1832"/>
      <c r="CY415" s="155" t="s">
        <v>122</v>
      </c>
      <c r="CZ415" s="155"/>
      <c r="DA415" s="131" t="s">
        <v>808</v>
      </c>
      <c r="DB415" s="115" t="str">
        <f>PROPER(N415)</f>
        <v>Obiettivo Marketing</v>
      </c>
      <c r="DC415" s="191" t="s">
        <v>809</v>
      </c>
      <c r="DD415" s="116" t="str">
        <f>BP415</f>
        <v>Pacci</v>
      </c>
      <c r="DE415" s="2168">
        <f>IF(OR(D415&gt;0),IF(BJ415=0,BN415*BQ415,0))</f>
        <v>0</v>
      </c>
      <c r="DF415" s="2168">
        <f>IF(OR(D415&gt;0),IF(BJ415=0,BN415*BY415,0))</f>
        <v>0</v>
      </c>
      <c r="DG415" s="116" t="str">
        <f>BX415</f>
        <v>Pacci</v>
      </c>
      <c r="DH415" s="76"/>
      <c r="DI415" s="120" t="s">
        <v>126</v>
      </c>
      <c r="DJ415" s="120"/>
      <c r="DK415" s="121"/>
      <c r="DL415" s="121"/>
      <c r="DM415" s="122"/>
      <c r="DN415" s="6"/>
      <c r="DO415" s="6"/>
      <c r="DP415" s="6"/>
      <c r="DQ415" s="6"/>
      <c r="DR415" s="6"/>
      <c r="DS415" s="6"/>
      <c r="DT415" s="6"/>
      <c r="DU415" s="6"/>
      <c r="DV415" s="6"/>
      <c r="DW415" s="6"/>
      <c r="DX415" s="6"/>
      <c r="DY415" s="6"/>
      <c r="DZ415" s="6"/>
    </row>
    <row r="416" spans="1:130" ht="34.5" hidden="1" customHeight="1">
      <c r="A416" s="228"/>
      <c r="B416" s="75" t="s">
        <v>1359</v>
      </c>
      <c r="C416" s="155"/>
      <c r="D416" s="75">
        <v>1</v>
      </c>
      <c r="E416" s="75">
        <v>1</v>
      </c>
      <c r="F416" s="75"/>
      <c r="G416" s="400" t="s">
        <v>287</v>
      </c>
      <c r="H416" s="400" t="s">
        <v>1467</v>
      </c>
      <c r="I416" s="207" t="s">
        <v>1468</v>
      </c>
      <c r="J416" s="121" t="str">
        <f>CONCATENATE(G416," ",H416)</f>
        <v>Riccardo Scozzai</v>
      </c>
      <c r="K416" s="156">
        <v>3496046031</v>
      </c>
      <c r="L416" s="445" t="s">
        <v>1469</v>
      </c>
      <c r="M416" s="153" t="s">
        <v>1258</v>
      </c>
      <c r="N416" s="160" t="s">
        <v>1461</v>
      </c>
      <c r="O416" s="402"/>
      <c r="P416" s="315"/>
      <c r="Q416" s="160"/>
      <c r="R416" s="403"/>
      <c r="S416" s="160"/>
      <c r="T416" s="404"/>
      <c r="U416" s="315"/>
      <c r="V416" s="315"/>
      <c r="W416" s="315"/>
      <c r="X416" s="131"/>
      <c r="Y416" s="315"/>
      <c r="Z416" s="315"/>
      <c r="AA416" s="315"/>
      <c r="AB416" s="37"/>
      <c r="AC416" s="131"/>
      <c r="AD416" s="121" t="s">
        <v>1470</v>
      </c>
      <c r="AE416" s="88"/>
      <c r="AF416" s="405"/>
      <c r="AG416" s="406"/>
      <c r="AH416" s="406"/>
      <c r="AI416" s="405"/>
      <c r="AJ416" s="155"/>
      <c r="AK416" s="155"/>
      <c r="AL416" s="155"/>
      <c r="AM416" s="407"/>
      <c r="AN416" s="155"/>
      <c r="AO416" s="155"/>
      <c r="AP416" s="155"/>
      <c r="AQ416" s="85"/>
      <c r="AR416" s="121"/>
      <c r="AS416" s="121"/>
      <c r="AT416" s="121"/>
      <c r="AU416" s="408"/>
      <c r="AV416" s="362"/>
      <c r="AW416" s="362"/>
      <c r="AX416" s="362"/>
      <c r="AY416" s="408"/>
      <c r="AZ416" s="362" t="s">
        <v>115</v>
      </c>
      <c r="BA416" s="362" t="s">
        <v>115</v>
      </c>
      <c r="BB416" s="2000" t="s">
        <v>115</v>
      </c>
      <c r="BC416" s="408"/>
      <c r="BD416" s="362"/>
      <c r="BE416" s="362"/>
      <c r="BF416" s="362"/>
      <c r="BG416" s="408"/>
      <c r="BH416" s="238">
        <v>2997</v>
      </c>
      <c r="BI416" s="238">
        <f>CH416+CK416+CN416+CQ416+CT416</f>
        <v>2997</v>
      </c>
      <c r="BJ416" s="238">
        <f>BH416-BI416</f>
        <v>0</v>
      </c>
      <c r="BK416" s="239"/>
      <c r="BL416" s="260"/>
      <c r="BM416" s="241"/>
      <c r="BN416" s="142">
        <v>2997</v>
      </c>
      <c r="BO416" s="182"/>
      <c r="BP416" s="105" t="s">
        <v>690</v>
      </c>
      <c r="BQ416" s="98">
        <v>0.15</v>
      </c>
      <c r="BR416" s="409"/>
      <c r="BS416" s="242">
        <f>BL416*BQ416</f>
        <v>0</v>
      </c>
      <c r="BT416" s="203">
        <f>BM416*BQ416</f>
        <v>0</v>
      </c>
      <c r="BU416" s="167">
        <f>BN416*BQ416</f>
        <v>449.55</v>
      </c>
      <c r="BV416" s="168">
        <f>BO416*BQ416</f>
        <v>0</v>
      </c>
      <c r="BW416" s="84" t="s">
        <v>185</v>
      </c>
      <c r="BX416" s="105" t="s">
        <v>262</v>
      </c>
      <c r="BY416" s="145">
        <v>0.05</v>
      </c>
      <c r="BZ416" s="110"/>
      <c r="CA416" s="242">
        <f>BL416*BY416</f>
        <v>0</v>
      </c>
      <c r="CB416" s="203">
        <f>BM416*BY416</f>
        <v>0</v>
      </c>
      <c r="CC416" s="106">
        <f>BN416*BY416</f>
        <v>149.85</v>
      </c>
      <c r="CD416" s="107">
        <f>BO416*BY416</f>
        <v>0</v>
      </c>
      <c r="CE416" s="84" t="s">
        <v>185</v>
      </c>
      <c r="CF416" s="412">
        <v>2997</v>
      </c>
      <c r="CG416" s="413">
        <v>45198</v>
      </c>
      <c r="CH416" s="412">
        <v>2997</v>
      </c>
      <c r="CI416" s="2108"/>
      <c r="CJ416" s="546"/>
      <c r="CK416" s="415"/>
      <c r="CL416" s="415"/>
      <c r="CM416" s="546"/>
      <c r="CN416" s="415"/>
      <c r="CO416" s="263"/>
      <c r="CP416" s="547"/>
      <c r="CQ416" s="263"/>
      <c r="CR416" s="263"/>
      <c r="CS416" s="547"/>
      <c r="CT416" s="263"/>
      <c r="CU416" s="550">
        <v>1</v>
      </c>
      <c r="CV416" s="181"/>
      <c r="CW416" s="439"/>
      <c r="CX416" s="439"/>
      <c r="CY416" s="155"/>
      <c r="CZ416" s="121"/>
      <c r="DA416" s="428" t="s">
        <v>501</v>
      </c>
      <c r="DB416" s="115" t="str">
        <f>PROPER(N416)</f>
        <v>Forgia Rapida</v>
      </c>
      <c r="DC416" s="280" t="s">
        <v>1463</v>
      </c>
      <c r="DD416" s="116" t="str">
        <f>BP416</f>
        <v>MAW</v>
      </c>
      <c r="DE416" s="117">
        <f>IF(OR(D416&gt;0),IF(BJ416=0,BN416*BQ416,0))</f>
        <v>449.55</v>
      </c>
      <c r="DF416" s="117">
        <f>IF(OR(D416&gt;0),IF(BJ416=0,BN416*BY416,0))</f>
        <v>149.85</v>
      </c>
      <c r="DG416" s="118" t="str">
        <f>BX416</f>
        <v>Pacci</v>
      </c>
      <c r="DH416" s="76"/>
      <c r="DI416" s="120" t="s">
        <v>126</v>
      </c>
      <c r="DJ416" s="120"/>
      <c r="DK416" s="74" t="s">
        <v>1366</v>
      </c>
      <c r="DL416" s="74" t="s">
        <v>1399</v>
      </c>
      <c r="DM416" s="122"/>
      <c r="DN416" s="6"/>
      <c r="DO416" s="6"/>
      <c r="DP416" s="6"/>
      <c r="DQ416" s="6"/>
      <c r="DR416" s="6"/>
      <c r="DS416" s="6"/>
      <c r="DT416" s="6"/>
      <c r="DU416" s="6"/>
      <c r="DV416" s="6"/>
      <c r="DW416" s="6"/>
      <c r="DX416" s="6"/>
      <c r="DY416" s="6"/>
      <c r="DZ416" s="6"/>
    </row>
    <row r="417" spans="1:130" ht="34.5" hidden="1" customHeight="1">
      <c r="A417" s="3"/>
      <c r="B417" s="75" t="s">
        <v>108</v>
      </c>
      <c r="C417" s="121"/>
      <c r="D417" s="75">
        <v>1</v>
      </c>
      <c r="E417" s="75">
        <v>1</v>
      </c>
      <c r="F417" s="148"/>
      <c r="G417" s="79" t="s">
        <v>287</v>
      </c>
      <c r="H417" s="79" t="s">
        <v>810</v>
      </c>
      <c r="I417" s="186" t="s">
        <v>811</v>
      </c>
      <c r="J417" s="121" t="str">
        <f>CONCATENATE(G417," ",H417)</f>
        <v>Riccardo Toffolon</v>
      </c>
      <c r="K417" s="156">
        <v>3343147349</v>
      </c>
      <c r="L417" s="160"/>
      <c r="M417" s="176"/>
      <c r="N417" s="160" t="s">
        <v>812</v>
      </c>
      <c r="O417" s="407"/>
      <c r="P417" s="1941"/>
      <c r="Q417" s="86"/>
      <c r="R417" s="86"/>
      <c r="S417" s="86"/>
      <c r="T417" s="1953"/>
      <c r="U417" s="1941"/>
      <c r="V417" s="1941"/>
      <c r="W417" s="1941"/>
      <c r="X417" s="86"/>
      <c r="Y417" s="1960"/>
      <c r="Z417" s="1941"/>
      <c r="AA417" s="1941"/>
      <c r="AB417" s="86"/>
      <c r="AC417" s="86"/>
      <c r="AD417" s="86" t="s">
        <v>813</v>
      </c>
      <c r="AE417" s="138">
        <f>L417</f>
        <v>0</v>
      </c>
      <c r="AF417" s="407"/>
      <c r="AG417" s="121"/>
      <c r="AH417" s="121"/>
      <c r="AI417" s="407"/>
      <c r="AJ417" s="121"/>
      <c r="AK417" s="121"/>
      <c r="AL417" s="121"/>
      <c r="AM417" s="407"/>
      <c r="AN417" s="155"/>
      <c r="AO417" s="155"/>
      <c r="AP417" s="155"/>
      <c r="AQ417" s="1982"/>
      <c r="AR417" s="121"/>
      <c r="AS417" s="121"/>
      <c r="AT417" s="121"/>
      <c r="AU417" s="408"/>
      <c r="AV417" s="362"/>
      <c r="AW417" s="362" t="s">
        <v>115</v>
      </c>
      <c r="AX417" s="362" t="s">
        <v>115</v>
      </c>
      <c r="AY417" s="408"/>
      <c r="AZ417" s="362" t="s">
        <v>115</v>
      </c>
      <c r="BA417" s="362" t="s">
        <v>116</v>
      </c>
      <c r="BB417" s="553" t="s">
        <v>116</v>
      </c>
      <c r="BC417" s="408"/>
      <c r="BD417" s="362"/>
      <c r="BE417" s="362"/>
      <c r="BF417" s="362"/>
      <c r="BG417" s="408"/>
      <c r="BH417" s="238">
        <f>CF417+CI417+CL417+CO417+CR417</f>
        <v>2997</v>
      </c>
      <c r="BI417" s="238">
        <f>CH417+CK417+CN417+CQ417+CT417</f>
        <v>2997</v>
      </c>
      <c r="BJ417" s="238">
        <f>BH417-BI417</f>
        <v>0</v>
      </c>
      <c r="BK417" s="199"/>
      <c r="BL417" s="200"/>
      <c r="BM417" s="241">
        <v>2997</v>
      </c>
      <c r="BN417" s="96"/>
      <c r="BO417" s="97"/>
      <c r="BP417" s="281" t="s">
        <v>160</v>
      </c>
      <c r="BQ417" s="98">
        <v>0.05</v>
      </c>
      <c r="BR417" s="2057"/>
      <c r="BS417" s="202"/>
      <c r="BT417" s="203">
        <f>BM417*BQ417</f>
        <v>149.85</v>
      </c>
      <c r="BU417" s="167">
        <f>BN417*BQ417</f>
        <v>0</v>
      </c>
      <c r="BV417" s="168">
        <f>BO417*BQ417</f>
        <v>0</v>
      </c>
      <c r="BW417" s="80" t="s">
        <v>174</v>
      </c>
      <c r="BX417" s="105" t="s">
        <v>160</v>
      </c>
      <c r="BY417" s="98">
        <v>0.05</v>
      </c>
      <c r="BZ417" s="201"/>
      <c r="CA417" s="202"/>
      <c r="CB417" s="203">
        <f>BM417*BY417</f>
        <v>149.85</v>
      </c>
      <c r="CC417" s="106">
        <f>BN417*BY417</f>
        <v>0</v>
      </c>
      <c r="CD417" s="107">
        <f>BO417*BY417</f>
        <v>0</v>
      </c>
      <c r="CE417" s="80" t="s">
        <v>174</v>
      </c>
      <c r="CF417" s="412">
        <v>2997</v>
      </c>
      <c r="CG417" s="413">
        <v>45013</v>
      </c>
      <c r="CH417" s="412">
        <v>2997</v>
      </c>
      <c r="CI417" s="412"/>
      <c r="CJ417" s="413"/>
      <c r="CK417" s="206"/>
      <c r="CL417" s="206"/>
      <c r="CM417" s="413"/>
      <c r="CN417" s="206"/>
      <c r="CO417" s="206"/>
      <c r="CP417" s="2112"/>
      <c r="CQ417" s="206"/>
      <c r="CR417" s="206"/>
      <c r="CS417" s="2112"/>
      <c r="CT417" s="206"/>
      <c r="CU417" s="550">
        <v>1</v>
      </c>
      <c r="CV417" s="181" t="s">
        <v>121</v>
      </c>
      <c r="CW417" s="840"/>
      <c r="CX417" s="1832"/>
      <c r="CY417" s="155" t="s">
        <v>122</v>
      </c>
      <c r="CZ417" s="155"/>
      <c r="DA417" s="384" t="s">
        <v>814</v>
      </c>
      <c r="DB417" s="115" t="str">
        <f>PROPER(N417)</f>
        <v>La Commerciale Colori</v>
      </c>
      <c r="DC417" s="191" t="s">
        <v>815</v>
      </c>
      <c r="DD417" s="116" t="str">
        <f>BP417</f>
        <v>Gianluca</v>
      </c>
      <c r="DE417" s="2168">
        <f>IF(OR(D417&gt;0),IF(BJ417=0,BN417*BQ417,0))</f>
        <v>0</v>
      </c>
      <c r="DF417" s="2168">
        <f>IF(OR(D417&gt;0),IF(BJ417=0,BN417*BY417,0))</f>
        <v>0</v>
      </c>
      <c r="DG417" s="116" t="str">
        <f>BX417</f>
        <v>Gianluca</v>
      </c>
      <c r="DH417" s="76"/>
      <c r="DI417" s="120" t="s">
        <v>126</v>
      </c>
      <c r="DJ417" s="120"/>
      <c r="DK417" s="121"/>
      <c r="DL417" s="121"/>
      <c r="DM417" s="122">
        <v>1</v>
      </c>
      <c r="DN417" s="6"/>
      <c r="DO417" s="6"/>
      <c r="DP417" s="6"/>
      <c r="DQ417" s="6"/>
      <c r="DR417" s="6"/>
      <c r="DS417" s="6"/>
      <c r="DT417" s="6"/>
      <c r="DU417" s="6"/>
      <c r="DV417" s="6"/>
      <c r="DW417" s="6"/>
      <c r="DX417" s="6"/>
      <c r="DY417" s="6"/>
      <c r="DZ417" s="6"/>
    </row>
    <row r="418" spans="1:130" ht="34.5" hidden="1" customHeight="1">
      <c r="A418" s="228"/>
      <c r="B418" s="154" t="s">
        <v>2256</v>
      </c>
      <c r="C418" s="155"/>
      <c r="D418" s="75"/>
      <c r="E418" s="75"/>
      <c r="F418" s="75"/>
      <c r="G418" s="400" t="s">
        <v>141</v>
      </c>
      <c r="H418" s="400" t="s">
        <v>2257</v>
      </c>
      <c r="I418" s="207" t="s">
        <v>2258</v>
      </c>
      <c r="J418" s="155" t="str">
        <f>CONCATENATE(G418," ",H418)</f>
        <v>Daniele Domeniconi</v>
      </c>
      <c r="K418" s="224">
        <v>3480910652</v>
      </c>
      <c r="L418" s="555" t="s">
        <v>2259</v>
      </c>
      <c r="M418" s="131"/>
      <c r="N418" s="160" t="s">
        <v>2260</v>
      </c>
      <c r="O418" s="556"/>
      <c r="P418" s="328" t="s">
        <v>2261</v>
      </c>
      <c r="Q418" s="255" t="s">
        <v>2261</v>
      </c>
      <c r="R418" s="131" t="s">
        <v>2262</v>
      </c>
      <c r="S418" s="131" t="s">
        <v>2263</v>
      </c>
      <c r="T418" s="318"/>
      <c r="U418" s="251"/>
      <c r="V418" s="251"/>
      <c r="W418" s="557"/>
      <c r="X418" s="131"/>
      <c r="Y418" s="329"/>
      <c r="Z418" s="329"/>
      <c r="AA418" s="329"/>
      <c r="AB418" s="258" t="s">
        <v>2264</v>
      </c>
      <c r="AC418" s="558" t="s">
        <v>2265</v>
      </c>
      <c r="AD418" s="121" t="s">
        <v>2266</v>
      </c>
      <c r="AE418" s="559" t="str">
        <f>L418</f>
        <v>nel CE Miv 22 sono imputati 2997+iva rif. alla ft. 491/ma del 31/10/19 segnato come Autunno 2020</v>
      </c>
      <c r="AF418" s="560"/>
      <c r="AG418" s="516" t="s">
        <v>115</v>
      </c>
      <c r="AH418" s="516" t="s">
        <v>115</v>
      </c>
      <c r="AI418" s="560"/>
      <c r="AJ418" s="155"/>
      <c r="AK418" s="155"/>
      <c r="AL418" s="155"/>
      <c r="AM418" s="560"/>
      <c r="AN418" s="155"/>
      <c r="AO418" s="155"/>
      <c r="AP418" s="155"/>
      <c r="AQ418" s="322"/>
      <c r="AR418" s="121"/>
      <c r="AS418" s="121"/>
      <c r="AT418" s="121"/>
      <c r="AU418" s="324"/>
      <c r="AV418" s="121"/>
      <c r="AW418" s="121"/>
      <c r="AX418" s="121"/>
      <c r="AY418" s="321"/>
      <c r="AZ418" s="259"/>
      <c r="BA418" s="259"/>
      <c r="BB418" s="259"/>
      <c r="BC418" s="321"/>
      <c r="BD418" s="121" t="s">
        <v>27</v>
      </c>
      <c r="BE418" s="259"/>
      <c r="BF418" s="362"/>
      <c r="BG418" s="321"/>
      <c r="BH418" s="238">
        <f>CF418+CI418+CL418+CO418+CR418</f>
        <v>0</v>
      </c>
      <c r="BI418" s="238"/>
      <c r="BJ418" s="238"/>
      <c r="BK418" s="239"/>
      <c r="BL418" s="260"/>
      <c r="BM418" s="241"/>
      <c r="BN418" s="142"/>
      <c r="BO418" s="182"/>
      <c r="BP418" s="105"/>
      <c r="BQ418" s="145"/>
      <c r="BR418" s="261"/>
      <c r="BS418" s="242"/>
      <c r="BT418" s="203"/>
      <c r="BU418" s="167">
        <f>BN418*BQ418</f>
        <v>0</v>
      </c>
      <c r="BV418" s="168">
        <f>BO418*BQ418</f>
        <v>0</v>
      </c>
      <c r="BW418" s="131"/>
      <c r="BX418" s="105"/>
      <c r="BY418" s="145"/>
      <c r="BZ418" s="110"/>
      <c r="CA418" s="242"/>
      <c r="CB418" s="203">
        <f>BM418*BY418</f>
        <v>0</v>
      </c>
      <c r="CC418" s="530">
        <f>BN418*BY418</f>
        <v>0</v>
      </c>
      <c r="CD418" s="531">
        <f>BO418*BY418</f>
        <v>0</v>
      </c>
      <c r="CE418" s="244"/>
      <c r="CF418" s="301"/>
      <c r="CG418" s="206"/>
      <c r="CH418" s="301"/>
      <c r="CI418" s="206"/>
      <c r="CJ418" s="206"/>
      <c r="CK418" s="206"/>
      <c r="CL418" s="110"/>
      <c r="CM418" s="226"/>
      <c r="CN418" s="110"/>
      <c r="CO418" s="110"/>
      <c r="CP418" s="226"/>
      <c r="CQ418" s="110"/>
      <c r="CR418" s="110"/>
      <c r="CS418" s="226"/>
      <c r="CT418" s="110"/>
      <c r="CU418" s="155"/>
      <c r="CV418" s="181"/>
      <c r="CW418" s="181"/>
      <c r="CX418" s="181"/>
      <c r="CY418" s="181"/>
      <c r="CZ418" s="121"/>
      <c r="DA418" s="131" t="s">
        <v>1156</v>
      </c>
      <c r="DB418" s="115" t="str">
        <f>PROPER(N418)</f>
        <v>Nextmedia</v>
      </c>
      <c r="DC418" s="191"/>
      <c r="DD418" s="116">
        <f>BP418</f>
        <v>0</v>
      </c>
      <c r="DE418" s="117" t="b">
        <f>IF(OR(D418&gt;0),IF(BJ418=0,BN418*BQ418,0))</f>
        <v>0</v>
      </c>
      <c r="DF418" s="117" t="b">
        <f>IF(OR(D418&gt;0),IF(BJ418=0,BN418*BY418,0))</f>
        <v>0</v>
      </c>
      <c r="DG418" s="116">
        <f>BX418</f>
        <v>0</v>
      </c>
      <c r="DH418" s="76"/>
      <c r="DI418" s="120" t="s">
        <v>154</v>
      </c>
      <c r="DJ418" s="120"/>
      <c r="DK418" s="181"/>
      <c r="DL418" s="181"/>
      <c r="DM418" s="248">
        <v>1</v>
      </c>
    </row>
    <row r="419" spans="1:130" ht="34.5" hidden="1" customHeight="1">
      <c r="A419" s="228"/>
      <c r="B419" s="121" t="s">
        <v>1324</v>
      </c>
      <c r="C419" s="155"/>
      <c r="D419" s="75">
        <v>1</v>
      </c>
      <c r="E419" s="75">
        <v>1</v>
      </c>
      <c r="F419" s="75"/>
      <c r="G419" s="400" t="s">
        <v>1340</v>
      </c>
      <c r="H419" s="400" t="s">
        <v>1341</v>
      </c>
      <c r="I419" s="207" t="s">
        <v>1342</v>
      </c>
      <c r="J419" s="121" t="str">
        <f>CONCATENATE(G419," ",H419)</f>
        <v>Roberta Rannisi</v>
      </c>
      <c r="K419" s="401"/>
      <c r="L419" s="156"/>
      <c r="M419" s="153"/>
      <c r="N419" s="160" t="s">
        <v>937</v>
      </c>
      <c r="O419" s="402"/>
      <c r="P419" s="315"/>
      <c r="Q419" s="160"/>
      <c r="R419" s="403"/>
      <c r="S419" s="160"/>
      <c r="T419" s="404"/>
      <c r="U419" s="315"/>
      <c r="V419" s="315"/>
      <c r="W419" s="315"/>
      <c r="X419" s="131"/>
      <c r="Y419" s="315"/>
      <c r="Z419" s="315"/>
      <c r="AA419" s="315"/>
      <c r="AB419" s="37"/>
      <c r="AC419" s="131"/>
      <c r="AD419" s="121" t="s">
        <v>1328</v>
      </c>
      <c r="AE419" s="88"/>
      <c r="AF419" s="560"/>
      <c r="AG419" s="406"/>
      <c r="AH419" s="406"/>
      <c r="AI419" s="560"/>
      <c r="AJ419" s="155"/>
      <c r="AK419" s="155"/>
      <c r="AL419" s="155"/>
      <c r="AM419" s="257"/>
      <c r="AN419" s="155"/>
      <c r="AO419" s="155"/>
      <c r="AP419" s="155"/>
      <c r="AQ419" s="214"/>
      <c r="AR419" s="121"/>
      <c r="AS419" s="121"/>
      <c r="AT419" s="121"/>
      <c r="AU419" s="216"/>
      <c r="AV419" s="121"/>
      <c r="AW419" s="121"/>
      <c r="AX419" s="121"/>
      <c r="AY419" s="211"/>
      <c r="AZ419" s="121" t="s">
        <v>245</v>
      </c>
      <c r="BA419" s="121" t="s">
        <v>245</v>
      </c>
      <c r="BB419" s="135" t="s">
        <v>115</v>
      </c>
      <c r="BC419" s="211"/>
      <c r="BD419" s="121"/>
      <c r="BE419" s="121"/>
      <c r="BF419" s="362"/>
      <c r="BG419" s="211"/>
      <c r="BH419" s="238">
        <f>CF419+CI419+CL419+CO419+CR419</f>
        <v>2397</v>
      </c>
      <c r="BI419" s="238">
        <f>CH419+CK419+CN419+CQ419+CT419</f>
        <v>0</v>
      </c>
      <c r="BJ419" s="238">
        <f>BH419-BI419</f>
        <v>2397</v>
      </c>
      <c r="BK419" s="351"/>
      <c r="BL419" s="352"/>
      <c r="BM419" s="241"/>
      <c r="BN419" s="142">
        <v>2397</v>
      </c>
      <c r="BO419" s="182"/>
      <c r="BP419" s="275" t="s">
        <v>262</v>
      </c>
      <c r="BQ419" s="98">
        <v>0.15</v>
      </c>
      <c r="BR419" s="262"/>
      <c r="BS419" s="242"/>
      <c r="BT419" s="373"/>
      <c r="BU419" s="167">
        <f>BN419*BQ419</f>
        <v>359.55</v>
      </c>
      <c r="BV419" s="168">
        <f>BO419*BQ419</f>
        <v>0</v>
      </c>
      <c r="BW419" s="131"/>
      <c r="BX419" s="105" t="s">
        <v>262</v>
      </c>
      <c r="BY419" s="145">
        <v>0.1</v>
      </c>
      <c r="BZ419" s="110"/>
      <c r="CA419" s="242"/>
      <c r="CB419" s="203"/>
      <c r="CC419" s="167">
        <f>BV419*BY419</f>
        <v>0</v>
      </c>
      <c r="CD419" s="168">
        <f>BW419*BY419</f>
        <v>0</v>
      </c>
      <c r="CE419" s="244"/>
      <c r="CF419" s="110">
        <v>2397</v>
      </c>
      <c r="CG419" s="226"/>
      <c r="CH419" s="414"/>
      <c r="CI419" s="415"/>
      <c r="CJ419" s="416"/>
      <c r="CK419" s="415"/>
      <c r="CL419" s="415"/>
      <c r="CM419" s="416"/>
      <c r="CN419" s="415"/>
      <c r="CO419" s="263"/>
      <c r="CP419" s="263"/>
      <c r="CQ419" s="263"/>
      <c r="CR419" s="263"/>
      <c r="CS419" s="263"/>
      <c r="CT419" s="263"/>
      <c r="CU419" s="90"/>
      <c r="CV419" s="181"/>
      <c r="CW419" s="181"/>
      <c r="CX419" s="181"/>
      <c r="CY419" s="155"/>
      <c r="CZ419" s="121"/>
      <c r="DA419" s="384" t="s">
        <v>938</v>
      </c>
      <c r="DB419" s="115" t="str">
        <f>PROPER(N419)</f>
        <v>Ey</v>
      </c>
      <c r="DC419" s="191" t="s">
        <v>264</v>
      </c>
      <c r="DD419" s="116" t="str">
        <f>BP419</f>
        <v>Pacci</v>
      </c>
      <c r="DE419" s="117">
        <f>IF(OR(D419&gt;0),IF(BJ419=0,BN419*BQ419,0))</f>
        <v>0</v>
      </c>
      <c r="DF419" s="117">
        <f>IF(OR(D419&gt;0),IF(BJ419=0,BN419*BY419,0))</f>
        <v>0</v>
      </c>
      <c r="DG419" s="118" t="str">
        <f>BX419</f>
        <v>Pacci</v>
      </c>
      <c r="DH419" s="76"/>
      <c r="DI419" s="120" t="s">
        <v>126</v>
      </c>
      <c r="DJ419" s="120"/>
      <c r="DK419" s="74"/>
      <c r="DL419" s="74"/>
      <c r="DM419" s="122"/>
      <c r="DN419" s="6"/>
      <c r="DO419" s="6"/>
      <c r="DP419" s="6"/>
      <c r="DQ419" s="6"/>
      <c r="DR419" s="6"/>
      <c r="DS419" s="6"/>
      <c r="DT419" s="6"/>
      <c r="DU419" s="6"/>
      <c r="DV419" s="6"/>
      <c r="DW419" s="6"/>
      <c r="DX419" s="6"/>
      <c r="DY419" s="6"/>
      <c r="DZ419" s="6"/>
    </row>
    <row r="420" spans="1:130" ht="34.5" hidden="1" customHeight="1">
      <c r="A420" s="3"/>
      <c r="B420" s="121" t="s">
        <v>108</v>
      </c>
      <c r="C420" s="121"/>
      <c r="D420" s="121"/>
      <c r="E420" s="121"/>
      <c r="F420" s="121"/>
      <c r="G420" s="79" t="s">
        <v>822</v>
      </c>
      <c r="H420" s="79" t="s">
        <v>823</v>
      </c>
      <c r="I420" s="131" t="s">
        <v>824</v>
      </c>
      <c r="J420" s="179" t="str">
        <f>CONCATENATE(G420," ",H420)</f>
        <v>Roberto Gemma</v>
      </c>
      <c r="K420" s="156">
        <v>3478225014</v>
      </c>
      <c r="L420" s="176" t="s">
        <v>825</v>
      </c>
      <c r="M420" s="176" t="s">
        <v>333</v>
      </c>
      <c r="N420" s="160" t="s">
        <v>826</v>
      </c>
      <c r="O420" s="1933"/>
      <c r="P420" s="86"/>
      <c r="Q420" s="86"/>
      <c r="R420" s="86"/>
      <c r="S420" s="86"/>
      <c r="T420" s="86"/>
      <c r="U420" s="86"/>
      <c r="V420" s="86"/>
      <c r="W420" s="86"/>
      <c r="X420" s="86"/>
      <c r="Y420" s="87"/>
      <c r="Z420" s="86"/>
      <c r="AA420" s="86"/>
      <c r="AB420" s="86"/>
      <c r="AC420" s="86"/>
      <c r="AD420" s="86" t="s">
        <v>827</v>
      </c>
      <c r="AE420" s="88" t="str">
        <f>L420</f>
        <v>corrisponderà i l'importo totale del master entro la prima settimana di maggio</v>
      </c>
      <c r="AF420" s="198"/>
      <c r="AG420" s="121"/>
      <c r="AH420" s="121"/>
      <c r="AI420" s="198"/>
      <c r="AJ420" s="121"/>
      <c r="AK420" s="121"/>
      <c r="AL420" s="121"/>
      <c r="AM420" s="198"/>
      <c r="AN420" s="155"/>
      <c r="AO420" s="155"/>
      <c r="AP420" s="155"/>
      <c r="AQ420" s="198"/>
      <c r="AR420" s="121"/>
      <c r="AS420" s="121"/>
      <c r="AT420" s="121"/>
      <c r="AU420" s="235"/>
      <c r="AV420" s="121" t="s">
        <v>115</v>
      </c>
      <c r="AW420" s="121" t="s">
        <v>115</v>
      </c>
      <c r="AX420" s="121"/>
      <c r="AY420" s="235"/>
      <c r="AZ420" s="362"/>
      <c r="BA420" s="121"/>
      <c r="BB420" s="135" t="s">
        <v>115</v>
      </c>
      <c r="BC420" s="235" t="s">
        <v>151</v>
      </c>
      <c r="BD420" s="362"/>
      <c r="BE420" s="121"/>
      <c r="BF420" s="121"/>
      <c r="BG420" s="235" t="s">
        <v>151</v>
      </c>
      <c r="BH420" s="92">
        <f>CF420+CI420+CL420+CO420+CR420</f>
        <v>2997</v>
      </c>
      <c r="BI420" s="569">
        <f>CH420+CK420+CN420+CQ420+CT420</f>
        <v>2997</v>
      </c>
      <c r="BJ420" s="569">
        <f>BH420-BI420</f>
        <v>0</v>
      </c>
      <c r="BK420" s="199"/>
      <c r="BL420" s="200"/>
      <c r="BM420" s="241">
        <v>2997</v>
      </c>
      <c r="BN420" s="96"/>
      <c r="BO420" s="97"/>
      <c r="BP420" s="281" t="s">
        <v>262</v>
      </c>
      <c r="BQ420" s="98">
        <v>0.15</v>
      </c>
      <c r="BR420" s="201"/>
      <c r="BS420" s="202"/>
      <c r="BT420" s="203">
        <f>BM420*BQ420</f>
        <v>449.55</v>
      </c>
      <c r="BU420" s="167">
        <f>BN420*BQ420</f>
        <v>0</v>
      </c>
      <c r="BV420" s="168">
        <f>BO420*BQ420</f>
        <v>0</v>
      </c>
      <c r="BW420" s="131" t="s">
        <v>120</v>
      </c>
      <c r="BX420" s="105" t="s">
        <v>262</v>
      </c>
      <c r="BY420" s="98">
        <v>0.05</v>
      </c>
      <c r="BZ420" s="201"/>
      <c r="CA420" s="202"/>
      <c r="CB420" s="203">
        <f>BM420*BY420</f>
        <v>149.85</v>
      </c>
      <c r="CC420" s="530">
        <f>BN420*BY420</f>
        <v>0</v>
      </c>
      <c r="CD420" s="531">
        <f>BO420*BY420</f>
        <v>0</v>
      </c>
      <c r="CE420" s="155" t="s">
        <v>120</v>
      </c>
      <c r="CF420" s="110">
        <v>2997</v>
      </c>
      <c r="CG420" s="226">
        <v>45056</v>
      </c>
      <c r="CH420" s="110">
        <v>2997</v>
      </c>
      <c r="CI420" s="110"/>
      <c r="CJ420" s="226"/>
      <c r="CK420" s="206"/>
      <c r="CL420" s="206"/>
      <c r="CM420" s="226"/>
      <c r="CN420" s="206"/>
      <c r="CO420" s="206"/>
      <c r="CP420" s="206"/>
      <c r="CQ420" s="206"/>
      <c r="CR420" s="206"/>
      <c r="CS420" s="206"/>
      <c r="CT420" s="206"/>
      <c r="CU420" s="155">
        <v>1</v>
      </c>
      <c r="CV420" s="181" t="s">
        <v>121</v>
      </c>
      <c r="CW420" s="369"/>
      <c r="CX420" s="207"/>
      <c r="CY420" s="155" t="s">
        <v>122</v>
      </c>
      <c r="CZ420" s="155"/>
      <c r="DA420" s="208" t="s">
        <v>828</v>
      </c>
      <c r="DB420" s="115" t="str">
        <f>PROPER(N420)</f>
        <v>Ahg Hotel &amp; Resort</v>
      </c>
      <c r="DC420" s="191"/>
      <c r="DD420" s="116" t="str">
        <f>BP420</f>
        <v>Pacci</v>
      </c>
      <c r="DE420" s="117" t="b">
        <f>IF(OR(D420&gt;0),IF(BJ420=0,BN420*BQ420,0))</f>
        <v>0</v>
      </c>
      <c r="DF420" s="117" t="b">
        <f>IF(OR(D420&gt;0),IF(BJ420=0,BN420*BY420,0))</f>
        <v>0</v>
      </c>
      <c r="DG420" s="118" t="str">
        <f>BX420</f>
        <v>Pacci</v>
      </c>
      <c r="DH420" s="76"/>
      <c r="DI420" s="120" t="s">
        <v>126</v>
      </c>
      <c r="DJ420" s="120"/>
      <c r="DK420" s="121"/>
      <c r="DL420" s="121"/>
      <c r="DM420" s="122"/>
      <c r="DN420" s="6"/>
      <c r="DO420" s="6"/>
      <c r="DP420" s="6"/>
      <c r="DQ420" s="6"/>
      <c r="DR420" s="6"/>
      <c r="DS420" s="6"/>
      <c r="DT420" s="6"/>
      <c r="DU420" s="6"/>
      <c r="DV420" s="6"/>
      <c r="DW420" s="6"/>
      <c r="DX420" s="6"/>
      <c r="DY420" s="6"/>
      <c r="DZ420" s="6"/>
    </row>
    <row r="421" spans="1:130" ht="34.5" hidden="1" customHeight="1">
      <c r="A421" s="1"/>
      <c r="B421" s="121" t="s">
        <v>2283</v>
      </c>
      <c r="C421" s="155"/>
      <c r="D421" s="124"/>
      <c r="E421" s="570"/>
      <c r="F421" s="124"/>
      <c r="G421" s="400" t="s">
        <v>1799</v>
      </c>
      <c r="H421" s="400" t="s">
        <v>2284</v>
      </c>
      <c r="I421" s="207" t="s">
        <v>2285</v>
      </c>
      <c r="J421" s="155" t="str">
        <f>CONCATENATE(G421," ",H421)</f>
        <v>Fulvio Manenti</v>
      </c>
      <c r="K421" s="571"/>
      <c r="L421" s="572" t="s">
        <v>2286</v>
      </c>
      <c r="M421" s="573"/>
      <c r="N421" s="160" t="s">
        <v>2287</v>
      </c>
      <c r="O421" s="574"/>
      <c r="P421" s="575"/>
      <c r="Q421" s="575"/>
      <c r="R421" s="254" t="s">
        <v>2288</v>
      </c>
      <c r="S421" s="576"/>
      <c r="T421" s="577"/>
      <c r="U421" s="577"/>
      <c r="V421" s="124"/>
      <c r="W421" s="577"/>
      <c r="X421" s="124"/>
      <c r="Y421" s="577"/>
      <c r="Z421" s="577"/>
      <c r="AA421" s="577"/>
      <c r="AB421" s="577"/>
      <c r="AC421" s="124"/>
      <c r="AD421" s="121" t="s">
        <v>2289</v>
      </c>
      <c r="AE421" s="88" t="str">
        <f>L421</f>
        <v>HA FATTO SOLO 1 MODULO (Risentito maggio 23 e vorrebbe ripartire con i corsi, dopo Laura della figlia ad Ottobre 23)</v>
      </c>
      <c r="AF421" s="578"/>
      <c r="AG421" s="579"/>
      <c r="AH421" s="580"/>
      <c r="AI421" s="578"/>
      <c r="AJ421" s="124"/>
      <c r="AK421" s="124"/>
      <c r="AL421" s="124"/>
      <c r="AM421" s="578"/>
      <c r="AN421" s="124"/>
      <c r="AO421" s="124"/>
      <c r="AP421" s="124"/>
      <c r="AQ421" s="578"/>
      <c r="AR421" s="121"/>
      <c r="AS421" s="121"/>
      <c r="AT421" s="121"/>
      <c r="AU421" s="581"/>
      <c r="AV421" s="121"/>
      <c r="AW421" s="121"/>
      <c r="AX421" s="121"/>
      <c r="AY421" s="581"/>
      <c r="AZ421" s="362"/>
      <c r="BA421" s="121"/>
      <c r="BB421" s="121"/>
      <c r="BC421" s="581"/>
      <c r="BD421" s="362"/>
      <c r="BE421" s="121" t="s">
        <v>115</v>
      </c>
      <c r="BF421" s="121" t="s">
        <v>115</v>
      </c>
      <c r="BG421" s="581"/>
      <c r="BH421" s="92">
        <f>CF421+CI421+CL421+CO421+CR421</f>
        <v>0</v>
      </c>
      <c r="BI421" s="582"/>
      <c r="BJ421" s="582"/>
      <c r="BK421" s="583"/>
      <c r="BL421" s="584"/>
      <c r="BM421" s="241"/>
      <c r="BN421" s="142"/>
      <c r="BO421" s="182"/>
      <c r="BP421" s="105"/>
      <c r="BQ421" s="585"/>
      <c r="BR421" s="586"/>
      <c r="BS421" s="587"/>
      <c r="BT421" s="203"/>
      <c r="BU421" s="167">
        <f>BN421*BQ421</f>
        <v>0</v>
      </c>
      <c r="BV421" s="168">
        <f>BO421*BQ421</f>
        <v>0</v>
      </c>
      <c r="BW421" s="588"/>
      <c r="BX421" s="105"/>
      <c r="BY421" s="589"/>
      <c r="BZ421" s="307"/>
      <c r="CA421" s="590"/>
      <c r="CB421" s="203">
        <f>BM421*BY421</f>
        <v>0</v>
      </c>
      <c r="CC421" s="530">
        <f>BN421*BY421</f>
        <v>0</v>
      </c>
      <c r="CD421" s="531">
        <f>BO421*BY421</f>
        <v>0</v>
      </c>
      <c r="CE421" s="591"/>
      <c r="CF421" s="592"/>
      <c r="CG421" s="592"/>
      <c r="CH421" s="592"/>
      <c r="CI421" s="592"/>
      <c r="CJ421" s="592"/>
      <c r="CK421" s="592"/>
      <c r="CL421" s="592"/>
      <c r="CM421" s="592"/>
      <c r="CN421" s="592"/>
      <c r="CO421" s="592"/>
      <c r="CP421" s="592"/>
      <c r="CQ421" s="592"/>
      <c r="CR421" s="592"/>
      <c r="CS421" s="592"/>
      <c r="CT421" s="592"/>
      <c r="CU421" s="593"/>
      <c r="CV421" s="124"/>
      <c r="CW421" s="594"/>
      <c r="CX421" s="124"/>
      <c r="CY421" s="124"/>
      <c r="CZ421" s="124"/>
      <c r="DA421" s="595" t="s">
        <v>1992</v>
      </c>
      <c r="DB421" s="115" t="str">
        <f>PROPER(N421)</f>
        <v>I.E.C. Manenti</v>
      </c>
      <c r="DC421" s="191" t="s">
        <v>2290</v>
      </c>
      <c r="DD421" s="116">
        <f>BP421</f>
        <v>0</v>
      </c>
      <c r="DE421" s="117" t="b">
        <f>IF(OR(D421&gt;0),IF(BJ421=0,BN421*BQ421,0))</f>
        <v>0</v>
      </c>
      <c r="DF421" s="117" t="b">
        <f>IF(OR(D421&gt;0),IF(BJ421=0,BN421*BY421,0))</f>
        <v>0</v>
      </c>
      <c r="DG421" s="116">
        <f>BX421</f>
        <v>0</v>
      </c>
      <c r="DH421" s="76"/>
      <c r="DI421" s="120" t="s">
        <v>154</v>
      </c>
      <c r="DJ421" s="120"/>
      <c r="DK421" s="124"/>
      <c r="DL421" s="124"/>
      <c r="DM421" s="596"/>
      <c r="DN421" s="1"/>
      <c r="DO421" s="1"/>
      <c r="DP421" s="1"/>
      <c r="DQ421" s="1"/>
      <c r="DR421" s="1"/>
      <c r="DS421" s="1"/>
      <c r="DT421" s="1"/>
      <c r="DU421" s="1"/>
      <c r="DV421" s="1"/>
      <c r="DW421" s="1"/>
      <c r="DX421" s="1"/>
      <c r="DY421" s="1"/>
      <c r="DZ421" s="1"/>
    </row>
    <row r="422" spans="1:130" ht="34.5" hidden="1" customHeight="1">
      <c r="A422" s="1"/>
      <c r="B422" s="121" t="s">
        <v>2283</v>
      </c>
      <c r="C422" s="155"/>
      <c r="D422" s="124"/>
      <c r="E422" s="570"/>
      <c r="F422" s="124"/>
      <c r="G422" s="400" t="s">
        <v>208</v>
      </c>
      <c r="H422" s="400" t="s">
        <v>2284</v>
      </c>
      <c r="I422" s="597" t="s">
        <v>2291</v>
      </c>
      <c r="J422" s="155" t="str">
        <f>CONCATENATE(G422," ",H422)</f>
        <v>Sara Manenti</v>
      </c>
      <c r="K422" s="571"/>
      <c r="L422" s="572"/>
      <c r="M422" s="573"/>
      <c r="N422" s="160" t="s">
        <v>2287</v>
      </c>
      <c r="O422" s="574"/>
      <c r="P422" s="575"/>
      <c r="Q422" s="575"/>
      <c r="R422" s="254"/>
      <c r="S422" s="576"/>
      <c r="T422" s="577"/>
      <c r="U422" s="577"/>
      <c r="V422" s="124"/>
      <c r="W422" s="577"/>
      <c r="X422" s="124"/>
      <c r="Y422" s="577"/>
      <c r="Z422" s="577"/>
      <c r="AA422" s="577"/>
      <c r="AB422" s="577"/>
      <c r="AC422" s="124"/>
      <c r="AD422" s="121" t="s">
        <v>2292</v>
      </c>
      <c r="AE422" s="88"/>
      <c r="AF422" s="578"/>
      <c r="AG422" s="579"/>
      <c r="AH422" s="580"/>
      <c r="AI422" s="578"/>
      <c r="AJ422" s="124"/>
      <c r="AK422" s="124"/>
      <c r="AL422" s="124"/>
      <c r="AM422" s="578"/>
      <c r="AN422" s="124"/>
      <c r="AO422" s="124"/>
      <c r="AP422" s="124"/>
      <c r="AQ422" s="578"/>
      <c r="AR422" s="121"/>
      <c r="AS422" s="121"/>
      <c r="AT422" s="121"/>
      <c r="AU422" s="581"/>
      <c r="AV422" s="121"/>
      <c r="AW422" s="3"/>
      <c r="AX422" s="121"/>
      <c r="AY422" s="581"/>
      <c r="AZ422" s="362"/>
      <c r="BA422" s="121"/>
      <c r="BB422" s="362"/>
      <c r="BC422" s="581"/>
      <c r="BD422" s="121" t="s">
        <v>115</v>
      </c>
      <c r="BE422" s="121" t="s">
        <v>115</v>
      </c>
      <c r="BF422" s="121" t="s">
        <v>115</v>
      </c>
      <c r="BG422" s="581"/>
      <c r="BH422" s="92">
        <f>CF422+CI422+CL422+CO422+CR422</f>
        <v>0</v>
      </c>
      <c r="BI422" s="582"/>
      <c r="BJ422" s="582"/>
      <c r="BK422" s="583"/>
      <c r="BL422" s="584"/>
      <c r="BM422" s="241"/>
      <c r="BN422" s="142"/>
      <c r="BO422" s="182"/>
      <c r="BP422" s="105"/>
      <c r="BQ422" s="585"/>
      <c r="BR422" s="586"/>
      <c r="BS422" s="587"/>
      <c r="BT422" s="203"/>
      <c r="BU422" s="167">
        <f>BN422*BQ422</f>
        <v>0</v>
      </c>
      <c r="BV422" s="168">
        <f>BO422*BQ422</f>
        <v>0</v>
      </c>
      <c r="BW422" s="588"/>
      <c r="BX422" s="105"/>
      <c r="BY422" s="589"/>
      <c r="BZ422" s="307"/>
      <c r="CA422" s="590"/>
      <c r="CB422" s="203"/>
      <c r="CC422" s="530">
        <f>BN422*BY422</f>
        <v>0</v>
      </c>
      <c r="CD422" s="531">
        <f>BO422*BY422</f>
        <v>0</v>
      </c>
      <c r="CE422" s="591"/>
      <c r="CF422" s="592"/>
      <c r="CG422" s="592"/>
      <c r="CH422" s="592"/>
      <c r="CI422" s="592"/>
      <c r="CJ422" s="592"/>
      <c r="CK422" s="592"/>
      <c r="CL422" s="592"/>
      <c r="CM422" s="592"/>
      <c r="CN422" s="592"/>
      <c r="CO422" s="592"/>
      <c r="CP422" s="592"/>
      <c r="CQ422" s="592"/>
      <c r="CR422" s="592"/>
      <c r="CS422" s="592"/>
      <c r="CT422" s="592"/>
      <c r="CU422" s="593"/>
      <c r="CV422" s="124"/>
      <c r="CW422" s="594"/>
      <c r="CX422" s="124"/>
      <c r="CY422" s="124"/>
      <c r="CZ422" s="124"/>
      <c r="DA422" s="595" t="s">
        <v>1992</v>
      </c>
      <c r="DB422" s="115" t="str">
        <f>PROPER(N422)</f>
        <v>I.E.C. Manenti</v>
      </c>
      <c r="DC422" s="191" t="s">
        <v>2290</v>
      </c>
      <c r="DD422" s="116"/>
      <c r="DE422" s="117" t="b">
        <f>IF(OR(D422&gt;0),IF(BJ422=0,BN422*BQ422,0))</f>
        <v>0</v>
      </c>
      <c r="DF422" s="117" t="b">
        <f>IF(OR(D422&gt;0),IF(BJ422=0,BN422*BY422,0))</f>
        <v>0</v>
      </c>
      <c r="DG422" s="116"/>
      <c r="DH422" s="76"/>
      <c r="DI422" s="120" t="s">
        <v>154</v>
      </c>
      <c r="DJ422" s="120"/>
      <c r="DK422" s="124"/>
      <c r="DL422" s="124"/>
      <c r="DM422" s="596"/>
      <c r="DN422" s="1"/>
      <c r="DO422" s="1"/>
      <c r="DP422" s="1"/>
      <c r="DQ422" s="1"/>
      <c r="DR422" s="1"/>
      <c r="DS422" s="1"/>
      <c r="DT422" s="1"/>
      <c r="DU422" s="1"/>
      <c r="DV422" s="1"/>
      <c r="DW422" s="1"/>
      <c r="DX422" s="1"/>
      <c r="DY422" s="1"/>
      <c r="DZ422" s="1"/>
    </row>
    <row r="423" spans="1:130" ht="34.5" hidden="1" customHeight="1">
      <c r="A423" s="228"/>
      <c r="B423" s="121" t="s">
        <v>2283</v>
      </c>
      <c r="C423" s="155"/>
      <c r="D423" s="121"/>
      <c r="E423" s="121"/>
      <c r="F423" s="121"/>
      <c r="G423" s="400" t="s">
        <v>570</v>
      </c>
      <c r="H423" s="400" t="s">
        <v>2293</v>
      </c>
      <c r="I423" s="207" t="s">
        <v>2294</v>
      </c>
      <c r="J423" s="155" t="str">
        <f>CONCATENATE(G423," ",H423)</f>
        <v xml:space="preserve">Giovanni Polo </v>
      </c>
      <c r="K423" s="224">
        <v>3356027818</v>
      </c>
      <c r="L423" s="598"/>
      <c r="M423" s="598"/>
      <c r="N423" s="160" t="s">
        <v>2295</v>
      </c>
      <c r="O423" s="599"/>
      <c r="P423" s="255" t="s">
        <v>2296</v>
      </c>
      <c r="Q423" s="255" t="s">
        <v>2296</v>
      </c>
      <c r="R423" s="598" t="s">
        <v>2297</v>
      </c>
      <c r="S423" s="598" t="s">
        <v>2298</v>
      </c>
      <c r="T423" s="598"/>
      <c r="U423" s="598"/>
      <c r="V423" s="598"/>
      <c r="W423" s="258"/>
      <c r="X423" s="131" t="s">
        <v>2299</v>
      </c>
      <c r="Y423" s="258"/>
      <c r="Z423" s="258"/>
      <c r="AA423" s="258"/>
      <c r="AB423" s="255" t="s">
        <v>2300</v>
      </c>
      <c r="AC423" s="131"/>
      <c r="AD423" s="121"/>
      <c r="AE423" s="88">
        <f>L423</f>
        <v>0</v>
      </c>
      <c r="AF423" s="515"/>
      <c r="AG423" s="516"/>
      <c r="AH423" s="516"/>
      <c r="AI423" s="515"/>
      <c r="AJ423" s="155"/>
      <c r="AK423" s="155"/>
      <c r="AL423" s="155"/>
      <c r="AM423" s="515"/>
      <c r="AN423" s="155"/>
      <c r="AO423" s="155" t="s">
        <v>27</v>
      </c>
      <c r="AP423" s="155"/>
      <c r="AQ423" s="515"/>
      <c r="AR423" s="121"/>
      <c r="AS423" s="121"/>
      <c r="AT423" s="121"/>
      <c r="AU423" s="568"/>
      <c r="AV423" s="121"/>
      <c r="AX423" s="121"/>
      <c r="AY423" s="568"/>
      <c r="AZ423" s="362"/>
      <c r="BA423" s="154" t="s">
        <v>194</v>
      </c>
      <c r="BB423" s="362"/>
      <c r="BC423" s="568"/>
      <c r="BD423" s="362"/>
      <c r="BE423" s="121"/>
      <c r="BF423" s="362"/>
      <c r="BG423" s="568"/>
      <c r="BH423" s="92">
        <f>CF423+CI423+CL423+CO423+CR423</f>
        <v>0</v>
      </c>
      <c r="BI423" s="569"/>
      <c r="BJ423" s="569"/>
      <c r="BK423" s="239"/>
      <c r="BL423" s="260"/>
      <c r="BM423" s="241"/>
      <c r="BN423" s="142"/>
      <c r="BO423" s="182"/>
      <c r="BP423" s="105"/>
      <c r="BQ423" s="145"/>
      <c r="BR423" s="110"/>
      <c r="BS423" s="242"/>
      <c r="BT423" s="203"/>
      <c r="BU423" s="167">
        <f>BN423*BQ423</f>
        <v>0</v>
      </c>
      <c r="BV423" s="168">
        <f>BO423*BQ423</f>
        <v>0</v>
      </c>
      <c r="BW423" s="600"/>
      <c r="BX423" s="105"/>
      <c r="BY423" s="145"/>
      <c r="BZ423" s="110"/>
      <c r="CA423" s="242"/>
      <c r="CB423" s="203">
        <f>BM423*BY423</f>
        <v>0</v>
      </c>
      <c r="CC423" s="530">
        <f>BN423*BY423</f>
        <v>0</v>
      </c>
      <c r="CD423" s="531">
        <f>BO423*BY423</f>
        <v>0</v>
      </c>
      <c r="CE423" s="566"/>
      <c r="CF423" s="338"/>
      <c r="CG423" s="338"/>
      <c r="CH423" s="338"/>
      <c r="CI423" s="338"/>
      <c r="CJ423" s="338"/>
      <c r="CK423" s="338"/>
      <c r="CL423" s="338"/>
      <c r="CM423" s="338"/>
      <c r="CN423" s="338"/>
      <c r="CO423" s="338"/>
      <c r="CP423" s="338"/>
      <c r="CQ423" s="338"/>
      <c r="CR423" s="338"/>
      <c r="CS423" s="338"/>
      <c r="CT423" s="338"/>
      <c r="CU423" s="245"/>
      <c r="CV423" s="181"/>
      <c r="CW423" s="369"/>
      <c r="CX423" s="207"/>
      <c r="CY423" s="207"/>
      <c r="CZ423" s="155"/>
      <c r="DA423" s="598"/>
      <c r="DB423" s="115" t="str">
        <f>PROPER(N423)</f>
        <v>Chimical</v>
      </c>
      <c r="DC423" s="191" t="s">
        <v>1398</v>
      </c>
      <c r="DD423" s="116">
        <f>BP423</f>
        <v>0</v>
      </c>
      <c r="DE423" s="117" t="b">
        <f>IF(OR(D423&gt;0),IF(BJ423=0,BN423*BQ423,0))</f>
        <v>0</v>
      </c>
      <c r="DF423" s="117" t="b">
        <f>IF(OR(D423&gt;0),IF(BJ423=0,BN423*BY423,0))</f>
        <v>0</v>
      </c>
      <c r="DG423" s="116">
        <f>BX423</f>
        <v>0</v>
      </c>
      <c r="DH423" s="76"/>
      <c r="DI423" s="120" t="s">
        <v>154</v>
      </c>
      <c r="DJ423" s="120"/>
      <c r="DK423" s="207"/>
      <c r="DL423" s="207"/>
      <c r="DM423" s="248"/>
    </row>
    <row r="424" spans="1:130" ht="34.5" hidden="1" customHeight="1">
      <c r="A424" s="228"/>
      <c r="B424" s="121" t="s">
        <v>1359</v>
      </c>
      <c r="C424" s="155"/>
      <c r="D424" s="121">
        <v>1</v>
      </c>
      <c r="E424" s="121">
        <v>1</v>
      </c>
      <c r="F424" s="121"/>
      <c r="G424" s="400" t="s">
        <v>822</v>
      </c>
      <c r="H424" s="400" t="s">
        <v>1696</v>
      </c>
      <c r="I424" s="207" t="s">
        <v>1697</v>
      </c>
      <c r="J424" s="121" t="str">
        <f>CONCATENATE(G424," ",H424)</f>
        <v>Roberto Pellicioli</v>
      </c>
      <c r="K424" s="156">
        <v>3357012147</v>
      </c>
      <c r="L424" s="435"/>
      <c r="M424" s="153" t="s">
        <v>514</v>
      </c>
      <c r="N424" s="160" t="s">
        <v>1686</v>
      </c>
      <c r="O424" s="402"/>
      <c r="P424" s="602"/>
      <c r="Q424" s="602"/>
      <c r="R424" s="403"/>
      <c r="S424" s="160"/>
      <c r="T424" s="602"/>
      <c r="U424" s="602"/>
      <c r="V424" s="602"/>
      <c r="W424" s="602"/>
      <c r="X424" s="305"/>
      <c r="Y424" s="602"/>
      <c r="Z424" s="602"/>
      <c r="AA424" s="602"/>
      <c r="AB424" s="601"/>
      <c r="AC424" s="305"/>
      <c r="AD424" s="121" t="s">
        <v>1687</v>
      </c>
      <c r="AE424" s="88"/>
      <c r="AF424" s="515"/>
      <c r="AG424" s="406"/>
      <c r="AH424" s="406"/>
      <c r="AI424" s="603"/>
      <c r="AJ424" s="353"/>
      <c r="AK424" s="353"/>
      <c r="AL424" s="353"/>
      <c r="AM424" s="236"/>
      <c r="AN424" s="353"/>
      <c r="AO424" s="353"/>
      <c r="AP424" s="353"/>
      <c r="AQ424" s="198"/>
      <c r="AR424" s="121"/>
      <c r="AS424" s="121"/>
      <c r="AT424" s="121"/>
      <c r="AU424" s="235"/>
      <c r="AV424" s="121"/>
      <c r="AW424" s="121"/>
      <c r="AX424" s="121"/>
      <c r="AY424" s="235"/>
      <c r="AZ424" s="121" t="s">
        <v>115</v>
      </c>
      <c r="BA424" s="121" t="s">
        <v>115</v>
      </c>
      <c r="BB424" s="135" t="s">
        <v>115</v>
      </c>
      <c r="BC424" s="235"/>
      <c r="BD424" s="121"/>
      <c r="BE424" s="121"/>
      <c r="BF424" s="121"/>
      <c r="BG424" s="235"/>
      <c r="BH424" s="92">
        <f>CF424+CI424+CL424+CO424+CR424</f>
        <v>2597</v>
      </c>
      <c r="BI424" s="569">
        <f>CH424+CK424+CN424+CQ424+CT424</f>
        <v>2597</v>
      </c>
      <c r="BJ424" s="569">
        <f>BH424-BI424</f>
        <v>0</v>
      </c>
      <c r="BK424" s="239"/>
      <c r="BL424" s="260"/>
      <c r="BM424" s="241"/>
      <c r="BN424" s="142">
        <v>2597</v>
      </c>
      <c r="BO424" s="182"/>
      <c r="BP424" s="105" t="s">
        <v>160</v>
      </c>
      <c r="BQ424" s="2052">
        <v>0.15</v>
      </c>
      <c r="BR424" s="349"/>
      <c r="BS424" s="242">
        <f>BL424*BQ424</f>
        <v>0</v>
      </c>
      <c r="BT424" s="203">
        <f>BM424*BQ424</f>
        <v>0</v>
      </c>
      <c r="BU424" s="167">
        <f>BN424*BQ424</f>
        <v>389.55</v>
      </c>
      <c r="BV424" s="168">
        <f>BO424*BQ424</f>
        <v>0</v>
      </c>
      <c r="BW424" s="160" t="s">
        <v>185</v>
      </c>
      <c r="BX424" s="105" t="s">
        <v>160</v>
      </c>
      <c r="BY424" s="145">
        <v>0.05</v>
      </c>
      <c r="BZ424" s="110"/>
      <c r="CA424" s="242">
        <f>BL424*BY424</f>
        <v>0</v>
      </c>
      <c r="CB424" s="203">
        <f>BM424*BY424</f>
        <v>0</v>
      </c>
      <c r="CC424" s="530">
        <f>BN424*BY424</f>
        <v>129.85</v>
      </c>
      <c r="CD424" s="531">
        <f>BO424*BY424</f>
        <v>0</v>
      </c>
      <c r="CE424" s="138" t="s">
        <v>185</v>
      </c>
      <c r="CF424" s="349">
        <v>2597</v>
      </c>
      <c r="CG424" s="226">
        <v>45198</v>
      </c>
      <c r="CH424" s="508">
        <v>2597</v>
      </c>
      <c r="CI424" s="415"/>
      <c r="CJ424" s="416"/>
      <c r="CK424" s="415"/>
      <c r="CL424" s="415"/>
      <c r="CM424" s="2115"/>
      <c r="CN424" s="2117"/>
      <c r="CO424" s="871"/>
      <c r="CP424" s="871"/>
      <c r="CQ424" s="871"/>
      <c r="CR424" s="871"/>
      <c r="CS424" s="871"/>
      <c r="CT424" s="871"/>
      <c r="CU424" s="90">
        <v>1</v>
      </c>
      <c r="CV424" s="181"/>
      <c r="CW424" s="432"/>
      <c r="CX424" s="431"/>
      <c r="CY424" s="155"/>
      <c r="CZ424" s="121"/>
      <c r="DA424" s="428" t="s">
        <v>1688</v>
      </c>
      <c r="DB424" s="115" t="str">
        <f>PROPER(N424)</f>
        <v>Simply Water</v>
      </c>
      <c r="DC424" s="280" t="s">
        <v>1689</v>
      </c>
      <c r="DD424" s="116" t="str">
        <f>BP424</f>
        <v>Gianluca</v>
      </c>
      <c r="DE424" s="117">
        <f>IF(OR(D424&gt;0),IF(BJ424=0,BN424*BQ424,0))</f>
        <v>389.55</v>
      </c>
      <c r="DF424" s="117">
        <f>IF(OR(D424&gt;0),IF(BJ424=0,BN424*BY424,0))</f>
        <v>129.85</v>
      </c>
      <c r="DG424" s="118" t="str">
        <f>BX424</f>
        <v>Gianluca</v>
      </c>
      <c r="DH424" s="76"/>
      <c r="DI424" s="120" t="s">
        <v>126</v>
      </c>
      <c r="DJ424" s="120"/>
      <c r="DK424" s="74" t="s">
        <v>1399</v>
      </c>
      <c r="DL424" s="74" t="s">
        <v>1399</v>
      </c>
      <c r="DM424" s="122">
        <v>1</v>
      </c>
      <c r="DN424" s="6"/>
      <c r="DO424" s="6"/>
      <c r="DP424" s="6"/>
      <c r="DQ424" s="6"/>
      <c r="DR424" s="6"/>
      <c r="DS424" s="6"/>
      <c r="DT424" s="6"/>
      <c r="DU424" s="6"/>
      <c r="DV424" s="6"/>
      <c r="DW424" s="6"/>
      <c r="DX424" s="6"/>
      <c r="DY424" s="6"/>
      <c r="DZ424" s="6"/>
    </row>
    <row r="425" spans="1:130" ht="34.5" hidden="1" customHeight="1">
      <c r="A425" s="228"/>
      <c r="B425" s="121" t="s">
        <v>1359</v>
      </c>
      <c r="C425" s="155"/>
      <c r="D425" s="121">
        <v>1</v>
      </c>
      <c r="E425" s="121">
        <v>1</v>
      </c>
      <c r="F425" s="121"/>
      <c r="G425" s="400" t="s">
        <v>822</v>
      </c>
      <c r="H425" s="400" t="s">
        <v>1473</v>
      </c>
      <c r="I425" s="207" t="s">
        <v>1474</v>
      </c>
      <c r="J425" s="121" t="str">
        <f>CONCATENATE(G425," ",H425)</f>
        <v>Roberto Pettinà</v>
      </c>
      <c r="K425" s="156">
        <v>3341707994</v>
      </c>
      <c r="L425" s="442" t="s">
        <v>1459</v>
      </c>
      <c r="M425" s="425" t="s">
        <v>860</v>
      </c>
      <c r="N425" s="160" t="s">
        <v>1461</v>
      </c>
      <c r="O425" s="402"/>
      <c r="P425" s="602"/>
      <c r="Q425" s="602"/>
      <c r="R425" s="403"/>
      <c r="S425" s="160"/>
      <c r="T425" s="602"/>
      <c r="U425" s="602"/>
      <c r="V425" s="602"/>
      <c r="W425" s="602"/>
      <c r="X425" s="305"/>
      <c r="Y425" s="602"/>
      <c r="Z425" s="602"/>
      <c r="AA425" s="602"/>
      <c r="AB425" s="601"/>
      <c r="AC425" s="305"/>
      <c r="AD425" s="121" t="s">
        <v>1475</v>
      </c>
      <c r="AE425" s="88"/>
      <c r="AF425" s="515"/>
      <c r="AG425" s="406"/>
      <c r="AH425" s="406"/>
      <c r="AI425" s="603"/>
      <c r="AJ425" s="353"/>
      <c r="AK425" s="353"/>
      <c r="AL425" s="353"/>
      <c r="AM425" s="236"/>
      <c r="AN425" s="353"/>
      <c r="AO425" s="353"/>
      <c r="AP425" s="353"/>
      <c r="AQ425" s="198"/>
      <c r="AR425" s="121"/>
      <c r="AS425" s="121"/>
      <c r="AT425" s="121"/>
      <c r="AU425" s="235"/>
      <c r="AV425" s="121"/>
      <c r="AW425" s="121"/>
      <c r="AX425" s="121"/>
      <c r="AY425" s="235"/>
      <c r="AZ425" s="121" t="s">
        <v>115</v>
      </c>
      <c r="BA425" s="121" t="s">
        <v>115</v>
      </c>
      <c r="BB425" s="1999" t="s">
        <v>115</v>
      </c>
      <c r="BC425" s="235"/>
      <c r="BD425" s="121"/>
      <c r="BE425" s="121"/>
      <c r="BF425" s="121"/>
      <c r="BG425" s="235"/>
      <c r="BH425" s="92">
        <f>CF425+CI425+CL425+CO425+CR425</f>
        <v>2997</v>
      </c>
      <c r="BI425" s="569">
        <f>CH425+CK425+CN425+CQ425+CT425</f>
        <v>2997</v>
      </c>
      <c r="BJ425" s="569">
        <f>BH425-BI425</f>
        <v>0</v>
      </c>
      <c r="BK425" s="239"/>
      <c r="BL425" s="260"/>
      <c r="BM425" s="241"/>
      <c r="BN425" s="142">
        <v>2997</v>
      </c>
      <c r="BO425" s="182"/>
      <c r="BP425" s="105" t="s">
        <v>690</v>
      </c>
      <c r="BQ425" s="2052">
        <v>0.15</v>
      </c>
      <c r="BR425" s="349"/>
      <c r="BS425" s="242">
        <f>BL425*BQ425</f>
        <v>0</v>
      </c>
      <c r="BT425" s="203">
        <f>BM425*BQ425</f>
        <v>0</v>
      </c>
      <c r="BU425" s="167">
        <f>BN425*BQ425</f>
        <v>449.55</v>
      </c>
      <c r="BV425" s="168">
        <f>BO425*BQ425</f>
        <v>0</v>
      </c>
      <c r="BW425" s="160" t="s">
        <v>185</v>
      </c>
      <c r="BX425" s="105" t="s">
        <v>262</v>
      </c>
      <c r="BY425" s="145">
        <v>0.05</v>
      </c>
      <c r="BZ425" s="110"/>
      <c r="CA425" s="242">
        <f>BL425*BY425</f>
        <v>0</v>
      </c>
      <c r="CB425" s="203">
        <f>BM425*BY425</f>
        <v>0</v>
      </c>
      <c r="CC425" s="530">
        <f>BN425*BY425</f>
        <v>149.85</v>
      </c>
      <c r="CD425" s="531">
        <f>BO425*BY425</f>
        <v>0</v>
      </c>
      <c r="CE425" s="138" t="s">
        <v>185</v>
      </c>
      <c r="CF425" s="349">
        <v>2997</v>
      </c>
      <c r="CG425" s="226">
        <v>45198</v>
      </c>
      <c r="CH425" s="110">
        <v>2997</v>
      </c>
      <c r="CI425" s="415"/>
      <c r="CJ425" s="416"/>
      <c r="CK425" s="415"/>
      <c r="CL425" s="415"/>
      <c r="CM425" s="2115"/>
      <c r="CN425" s="2117"/>
      <c r="CO425" s="871"/>
      <c r="CP425" s="871"/>
      <c r="CQ425" s="871"/>
      <c r="CR425" s="871"/>
      <c r="CS425" s="871"/>
      <c r="CT425" s="871"/>
      <c r="CU425" s="90">
        <v>1</v>
      </c>
      <c r="CV425" s="181"/>
      <c r="CW425" s="432"/>
      <c r="CX425" s="431"/>
      <c r="CY425" s="155"/>
      <c r="CZ425" s="121"/>
      <c r="DA425" s="428" t="s">
        <v>501</v>
      </c>
      <c r="DB425" s="115" t="str">
        <f>PROPER(N425)</f>
        <v>Forgia Rapida</v>
      </c>
      <c r="DC425" s="280" t="s">
        <v>1463</v>
      </c>
      <c r="DD425" s="116" t="str">
        <f>BP425</f>
        <v>MAW</v>
      </c>
      <c r="DE425" s="117">
        <f>IF(OR(D425&gt;0),IF(BJ425=0,BN425*BQ425,0))</f>
        <v>449.55</v>
      </c>
      <c r="DF425" s="117">
        <f>IF(OR(D425&gt;0),IF(BJ425=0,BN425*BY425,0))</f>
        <v>149.85</v>
      </c>
      <c r="DG425" s="118" t="str">
        <f>BX425</f>
        <v>Pacci</v>
      </c>
      <c r="DH425" s="76"/>
      <c r="DI425" s="120" t="s">
        <v>126</v>
      </c>
      <c r="DJ425" s="120"/>
      <c r="DK425" s="74" t="s">
        <v>1418</v>
      </c>
      <c r="DL425" s="74" t="s">
        <v>1418</v>
      </c>
      <c r="DM425" s="122"/>
      <c r="DN425" s="6"/>
      <c r="DO425" s="6"/>
      <c r="DP425" s="6"/>
      <c r="DQ425" s="6"/>
      <c r="DR425" s="6"/>
      <c r="DS425" s="6"/>
      <c r="DT425" s="6"/>
      <c r="DU425" s="6"/>
      <c r="DV425" s="6"/>
      <c r="DW425" s="6"/>
      <c r="DX425" s="6"/>
      <c r="DY425" s="6"/>
      <c r="DZ425" s="6"/>
    </row>
    <row r="426" spans="1:130" ht="34.5" hidden="1" customHeight="1">
      <c r="A426" s="3"/>
      <c r="B426" s="121" t="s">
        <v>108</v>
      </c>
      <c r="C426" s="121"/>
      <c r="D426" s="121">
        <v>1</v>
      </c>
      <c r="E426" s="121" t="s">
        <v>154</v>
      </c>
      <c r="F426" s="190"/>
      <c r="G426" s="79" t="s">
        <v>822</v>
      </c>
      <c r="H426" s="79" t="s">
        <v>829</v>
      </c>
      <c r="I426" s="131" t="s">
        <v>830</v>
      </c>
      <c r="J426" s="121" t="str">
        <f>CONCATENATE(G426," ",H426)</f>
        <v>Roberto Ponte</v>
      </c>
      <c r="K426" s="156">
        <v>335438857</v>
      </c>
      <c r="L426" s="157"/>
      <c r="M426" s="176" t="s">
        <v>831</v>
      </c>
      <c r="N426" s="160" t="s">
        <v>832</v>
      </c>
      <c r="O426" s="407"/>
      <c r="P426" s="1940"/>
      <c r="Q426" s="1940"/>
      <c r="R426" s="86"/>
      <c r="S426" s="86"/>
      <c r="T426" s="1940"/>
      <c r="U426" s="1940"/>
      <c r="V426" s="1940"/>
      <c r="W426" s="1940"/>
      <c r="X426" s="1940"/>
      <c r="Y426" s="1959"/>
      <c r="Z426" s="1940"/>
      <c r="AA426" s="1940"/>
      <c r="AB426" s="1940"/>
      <c r="AC426" s="1940"/>
      <c r="AD426" s="86" t="s">
        <v>833</v>
      </c>
      <c r="AE426" s="88">
        <f>L426</f>
        <v>0</v>
      </c>
      <c r="AF426" s="198"/>
      <c r="AG426" s="121"/>
      <c r="AH426" s="121"/>
      <c r="AI426" s="236"/>
      <c r="AJ426" s="617"/>
      <c r="AK426" s="617"/>
      <c r="AL426" s="617"/>
      <c r="AM426" s="236"/>
      <c r="AN426" s="353"/>
      <c r="AO426" s="353"/>
      <c r="AP426" s="353"/>
      <c r="AQ426" s="198"/>
      <c r="AR426" s="121"/>
      <c r="AS426" s="121"/>
      <c r="AT426" s="121"/>
      <c r="AU426" s="235"/>
      <c r="AV426" s="121"/>
      <c r="AW426" s="124"/>
      <c r="AX426" s="121"/>
      <c r="AY426" s="235"/>
      <c r="AZ426" s="121" t="s">
        <v>115</v>
      </c>
      <c r="BA426" s="154" t="s">
        <v>194</v>
      </c>
      <c r="BB426" s="75" t="s">
        <v>115</v>
      </c>
      <c r="BC426" s="235"/>
      <c r="BD426" s="121"/>
      <c r="BE426" s="121" t="s">
        <v>115</v>
      </c>
      <c r="BF426" s="121"/>
      <c r="BG426" s="235"/>
      <c r="BH426" s="92">
        <f>CF426+CI426+CL426+CO426+CR426</f>
        <v>2997</v>
      </c>
      <c r="BI426" s="569">
        <f>CH426+CK426+CN426+CQ426+CT426</f>
        <v>2997</v>
      </c>
      <c r="BJ426" s="569">
        <f>BH426-BI426</f>
        <v>0</v>
      </c>
      <c r="BK426" s="199"/>
      <c r="BL426" s="200"/>
      <c r="BM426" s="241"/>
      <c r="BN426" s="142">
        <v>2997</v>
      </c>
      <c r="BO426" s="182"/>
      <c r="BP426" s="281" t="s">
        <v>414</v>
      </c>
      <c r="BQ426" s="2052">
        <v>0.15</v>
      </c>
      <c r="BR426" s="2065"/>
      <c r="BS426" s="202"/>
      <c r="BT426" s="203">
        <f>BM426*BQ426</f>
        <v>0</v>
      </c>
      <c r="BU426" s="167">
        <f>BN426*BQ426</f>
        <v>449.55</v>
      </c>
      <c r="BV426" s="168">
        <f>BO426*BQ426</f>
        <v>0</v>
      </c>
      <c r="BW426" s="160" t="s">
        <v>185</v>
      </c>
      <c r="BX426" s="105" t="s">
        <v>414</v>
      </c>
      <c r="BY426" s="98">
        <v>0.05</v>
      </c>
      <c r="BZ426" s="201"/>
      <c r="CA426" s="202"/>
      <c r="CB426" s="203">
        <f>BM426*BY426</f>
        <v>0</v>
      </c>
      <c r="CC426" s="530">
        <f>BN426*BY426</f>
        <v>149.85</v>
      </c>
      <c r="CD426" s="531">
        <f>BO426*BY426</f>
        <v>0</v>
      </c>
      <c r="CE426" s="138" t="s">
        <v>185</v>
      </c>
      <c r="CF426" s="349">
        <v>2997</v>
      </c>
      <c r="CG426" s="226">
        <v>45009</v>
      </c>
      <c r="CH426" s="110">
        <v>2997</v>
      </c>
      <c r="CI426" s="110"/>
      <c r="CJ426" s="226"/>
      <c r="CK426" s="206"/>
      <c r="CL426" s="206"/>
      <c r="CM426" s="984"/>
      <c r="CN426" s="983"/>
      <c r="CO426" s="983"/>
      <c r="CP426" s="983"/>
      <c r="CQ426" s="983"/>
      <c r="CR426" s="983"/>
      <c r="CS426" s="983"/>
      <c r="CT426" s="983"/>
      <c r="CU426" s="90">
        <v>1</v>
      </c>
      <c r="CV426" s="181" t="s">
        <v>121</v>
      </c>
      <c r="CW426" s="369"/>
      <c r="CX426" s="207"/>
      <c r="CY426" s="155" t="s">
        <v>122</v>
      </c>
      <c r="CZ426" s="155"/>
      <c r="DA426" s="131" t="s">
        <v>834</v>
      </c>
      <c r="DB426" s="115" t="str">
        <f>PROPER(N426)</f>
        <v>Exolvo</v>
      </c>
      <c r="DC426" s="191" t="s">
        <v>264</v>
      </c>
      <c r="DD426" s="116" t="str">
        <f>BP426</f>
        <v>Barbara</v>
      </c>
      <c r="DE426" s="117">
        <f>IF(OR(D426&gt;0),IF(BJ426=0,BN426*BQ426,0))</f>
        <v>449.55</v>
      </c>
      <c r="DF426" s="117">
        <f>IF(OR(D426&gt;0),IF(BJ426=0,BN426*BY426,0))</f>
        <v>149.85</v>
      </c>
      <c r="DG426" s="116" t="str">
        <f>BX426</f>
        <v>Barbara</v>
      </c>
      <c r="DH426" s="76"/>
      <c r="DI426" s="120" t="s">
        <v>126</v>
      </c>
      <c r="DJ426" s="120"/>
      <c r="DK426" s="121"/>
      <c r="DL426" s="121"/>
      <c r="DM426" s="122"/>
      <c r="DN426" s="6"/>
      <c r="DO426" s="6"/>
      <c r="DP426" s="6"/>
      <c r="DQ426" s="6"/>
      <c r="DR426" s="6"/>
      <c r="DS426" s="6"/>
      <c r="DT426" s="6"/>
      <c r="DU426" s="6"/>
      <c r="DV426" s="6"/>
      <c r="DW426" s="6"/>
      <c r="DX426" s="6"/>
      <c r="DY426" s="6"/>
      <c r="DZ426" s="6"/>
    </row>
    <row r="427" spans="1:130" ht="34.5" hidden="1" customHeight="1">
      <c r="A427" s="228"/>
      <c r="B427" s="121" t="s">
        <v>1928</v>
      </c>
      <c r="C427" s="155"/>
      <c r="D427" s="75">
        <v>1</v>
      </c>
      <c r="E427" s="313">
        <v>1</v>
      </c>
      <c r="F427" s="196"/>
      <c r="G427" s="400" t="s">
        <v>595</v>
      </c>
      <c r="H427" s="400" t="s">
        <v>2306</v>
      </c>
      <c r="I427" s="294" t="s">
        <v>2307</v>
      </c>
      <c r="J427" s="155" t="str">
        <f>CONCATENATE(G427," ",H427)</f>
        <v>Giuseppe D'Elia</v>
      </c>
      <c r="K427" s="224">
        <v>3806408801</v>
      </c>
      <c r="L427" s="555" t="s">
        <v>2308</v>
      </c>
      <c r="M427" s="131" t="s">
        <v>112</v>
      </c>
      <c r="N427" s="160" t="s">
        <v>2309</v>
      </c>
      <c r="O427" s="599"/>
      <c r="P427" s="37"/>
      <c r="Q427" s="37"/>
      <c r="R427" s="131" t="s">
        <v>2310</v>
      </c>
      <c r="S427" s="160"/>
      <c r="T427" s="160"/>
      <c r="U427" s="160"/>
      <c r="V427" s="160"/>
      <c r="W427" s="233"/>
      <c r="X427" s="131"/>
      <c r="Y427" s="233"/>
      <c r="Z427" s="233"/>
      <c r="AA427" s="233"/>
      <c r="AB427" s="37"/>
      <c r="AC427" s="131"/>
      <c r="AD427" s="37" t="s">
        <v>118</v>
      </c>
      <c r="AE427" s="559" t="str">
        <f>L427</f>
        <v>HA CHIESTO DI POTER STARE NELLE FILE ESTERNE</v>
      </c>
      <c r="AF427" s="515"/>
      <c r="AG427" s="155"/>
      <c r="AH427" s="155"/>
      <c r="AI427" s="515"/>
      <c r="AJ427" s="155"/>
      <c r="AK427" s="155"/>
      <c r="AL427" s="155"/>
      <c r="AM427" s="198"/>
      <c r="AN427" s="155"/>
      <c r="AO427" s="155"/>
      <c r="AP427" s="155"/>
      <c r="AQ427" s="198"/>
      <c r="AR427" s="609" t="s">
        <v>116</v>
      </c>
      <c r="AS427" s="609" t="s">
        <v>116</v>
      </c>
      <c r="AT427" s="610" t="s">
        <v>297</v>
      </c>
      <c r="AU427" s="235"/>
      <c r="AV427" s="121" t="s">
        <v>116</v>
      </c>
      <c r="AW427" s="121" t="s">
        <v>116</v>
      </c>
      <c r="AX427" s="19" t="s">
        <v>116</v>
      </c>
      <c r="AY427" s="235"/>
      <c r="AZ427" s="121" t="s">
        <v>116</v>
      </c>
      <c r="BA427" s="553" t="s">
        <v>116</v>
      </c>
      <c r="BB427" s="553" t="s">
        <v>154</v>
      </c>
      <c r="BC427" s="235"/>
      <c r="BD427" s="121"/>
      <c r="BE427" s="121"/>
      <c r="BF427" s="121"/>
      <c r="BG427" s="235"/>
      <c r="BH427" s="92"/>
      <c r="BI427" s="92"/>
      <c r="BJ427" s="92"/>
      <c r="BK427" s="239"/>
      <c r="BL427" s="260"/>
      <c r="BM427" s="241"/>
      <c r="BN427" s="273"/>
      <c r="BO427" s="274"/>
      <c r="BP427" s="105" t="s">
        <v>262</v>
      </c>
      <c r="BQ427" s="145"/>
      <c r="BR427" s="110"/>
      <c r="BS427" s="242"/>
      <c r="BT427" s="203"/>
      <c r="BU427" s="167">
        <f>BN427*BQ427</f>
        <v>0</v>
      </c>
      <c r="BV427" s="168">
        <f>BO427*BQ427</f>
        <v>0</v>
      </c>
      <c r="BW427" s="611" t="s">
        <v>118</v>
      </c>
      <c r="BX427" s="105" t="s">
        <v>262</v>
      </c>
      <c r="BY427" s="145"/>
      <c r="BZ427" s="110"/>
      <c r="CA427" s="242"/>
      <c r="CB427" s="203">
        <f>BM427*BY427</f>
        <v>0</v>
      </c>
      <c r="CC427" s="106">
        <f>BN427*BY427</f>
        <v>0</v>
      </c>
      <c r="CD427" s="107">
        <f>BO427*BY427</f>
        <v>0</v>
      </c>
      <c r="CE427" s="566"/>
      <c r="CF427" s="338"/>
      <c r="CG427" s="338"/>
      <c r="CH427" s="338"/>
      <c r="CI427" s="338"/>
      <c r="CJ427" s="338"/>
      <c r="CK427" s="338"/>
      <c r="CL427" s="338"/>
      <c r="CM427" s="338"/>
      <c r="CN427" s="338"/>
      <c r="CO427" s="338"/>
      <c r="CP427" s="338"/>
      <c r="CQ427" s="338"/>
      <c r="CR427" s="338"/>
      <c r="CS427" s="338"/>
      <c r="CT427" s="338"/>
      <c r="CU427" s="90">
        <v>1</v>
      </c>
      <c r="CV427" s="612" t="s">
        <v>2311</v>
      </c>
      <c r="CW427" s="369"/>
      <c r="CX427" s="207"/>
      <c r="CY427" s="155" t="s">
        <v>122</v>
      </c>
      <c r="CZ427" s="155"/>
      <c r="DA427" s="208" t="s">
        <v>2312</v>
      </c>
      <c r="DB427" s="115" t="str">
        <f>PROPER(N427)</f>
        <v>Dg Group</v>
      </c>
      <c r="DC427" s="191" t="s">
        <v>2313</v>
      </c>
      <c r="DD427" s="116" t="str">
        <f>BP427</f>
        <v>Pacci</v>
      </c>
      <c r="DE427" s="117">
        <f>IF(OR(D427&gt;0),IF(BJ427=0,BN427*BQ427,0))</f>
        <v>0</v>
      </c>
      <c r="DF427" s="117">
        <f>IF(OR(D427&gt;0),IF(BJ427=0,BN427*BY427,0))</f>
        <v>0</v>
      </c>
      <c r="DG427" s="118" t="str">
        <f>BX427</f>
        <v>Pacci</v>
      </c>
      <c r="DH427" s="76"/>
      <c r="DI427" s="120" t="s">
        <v>154</v>
      </c>
      <c r="DJ427" s="120"/>
      <c r="DK427" s="207"/>
      <c r="DL427" s="207"/>
      <c r="DM427" s="248"/>
    </row>
    <row r="428" spans="1:130" ht="34.5" hidden="1" customHeight="1">
      <c r="A428" s="228"/>
      <c r="B428" s="121" t="s">
        <v>1928</v>
      </c>
      <c r="C428" s="121"/>
      <c r="D428" s="121">
        <v>1</v>
      </c>
      <c r="E428" s="121">
        <v>1</v>
      </c>
      <c r="F428" s="121"/>
      <c r="G428" s="181" t="s">
        <v>2522</v>
      </c>
      <c r="H428" s="181" t="s">
        <v>2523</v>
      </c>
      <c r="I428" s="181" t="s">
        <v>2524</v>
      </c>
      <c r="J428" s="121" t="str">
        <f>CONCATENATE(G428," ",H428)</f>
        <v>Romeo Carbone</v>
      </c>
      <c r="K428" s="181"/>
      <c r="L428" s="1882" t="s">
        <v>2525</v>
      </c>
      <c r="M428" s="131"/>
      <c r="N428" s="160" t="s">
        <v>2526</v>
      </c>
      <c r="O428" s="599"/>
      <c r="P428" s="37"/>
      <c r="Q428" s="37"/>
      <c r="R428" s="131"/>
      <c r="S428" s="160"/>
      <c r="T428" s="160"/>
      <c r="U428" s="160"/>
      <c r="V428" s="160"/>
      <c r="W428" s="233"/>
      <c r="X428" s="234"/>
      <c r="Y428" s="233"/>
      <c r="Z428" s="233"/>
      <c r="AA428" s="233"/>
      <c r="AB428" s="37"/>
      <c r="AC428" s="37"/>
      <c r="AD428" s="37" t="s">
        <v>118</v>
      </c>
      <c r="AE428" s="138"/>
      <c r="AF428" s="198"/>
      <c r="AG428" s="121"/>
      <c r="AH428" s="121"/>
      <c r="AI428" s="198"/>
      <c r="AJ428" s="121"/>
      <c r="AK428" s="121"/>
      <c r="AL428" s="121"/>
      <c r="AM428" s="198"/>
      <c r="AN428" s="155"/>
      <c r="AO428" s="155"/>
      <c r="AP428" s="155"/>
      <c r="AQ428" s="198"/>
      <c r="AR428" s="121"/>
      <c r="AS428" s="121"/>
      <c r="AT428" s="121"/>
      <c r="AU428" s="235"/>
      <c r="AV428" s="121"/>
      <c r="AW428" s="121"/>
      <c r="AX428" s="121"/>
      <c r="AY428" s="235"/>
      <c r="AZ428" s="121" t="s">
        <v>116</v>
      </c>
      <c r="BA428" s="121" t="s">
        <v>116</v>
      </c>
      <c r="BB428" s="91" t="s">
        <v>116</v>
      </c>
      <c r="BC428" s="235"/>
      <c r="BD428" s="121"/>
      <c r="BE428" s="121"/>
      <c r="BF428" s="121"/>
      <c r="BG428" s="235"/>
      <c r="BH428" s="92"/>
      <c r="BI428" s="569"/>
      <c r="BJ428" s="569"/>
      <c r="BK428" s="239"/>
      <c r="BL428" s="260"/>
      <c r="BM428" s="241"/>
      <c r="BN428" s="142"/>
      <c r="BO428" s="182"/>
      <c r="BP428" s="281"/>
      <c r="BQ428" s="98"/>
      <c r="BR428" s="110"/>
      <c r="BS428" s="242"/>
      <c r="BT428" s="203"/>
      <c r="BU428" s="167">
        <f>BN428*BQ428</f>
        <v>0</v>
      </c>
      <c r="BV428" s="168">
        <f>BO428*BQ428</f>
        <v>0</v>
      </c>
      <c r="BW428" s="243"/>
      <c r="BX428" s="243"/>
      <c r="BY428" s="145"/>
      <c r="BZ428" s="110"/>
      <c r="CA428" s="242"/>
      <c r="CB428" s="613"/>
      <c r="CC428" s="614">
        <f>BN428*BY428</f>
        <v>0</v>
      </c>
      <c r="CD428" s="615">
        <f>BO428*BY428</f>
        <v>0</v>
      </c>
      <c r="CE428" s="244"/>
      <c r="CF428" s="110"/>
      <c r="CG428" s="226"/>
      <c r="CH428" s="110"/>
      <c r="CI428" s="110"/>
      <c r="CJ428" s="226"/>
      <c r="CK428" s="206"/>
      <c r="CL428" s="206"/>
      <c r="CM428" s="226"/>
      <c r="CN428" s="206"/>
      <c r="CO428" s="206"/>
      <c r="CP428" s="206"/>
      <c r="CQ428" s="206"/>
      <c r="CR428" s="206"/>
      <c r="CS428" s="206"/>
      <c r="CT428" s="206"/>
      <c r="CU428" s="90">
        <v>0</v>
      </c>
      <c r="CV428" s="181"/>
      <c r="CW428" s="369"/>
      <c r="CX428" s="207"/>
      <c r="CY428" s="155"/>
      <c r="CZ428" s="155"/>
      <c r="DA428" s="131" t="s">
        <v>2527</v>
      </c>
      <c r="DB428" s="115" t="str">
        <f>PROPER(N428)</f>
        <v>Edil Chic</v>
      </c>
      <c r="DC428" s="191" t="s">
        <v>602</v>
      </c>
      <c r="DD428" s="116">
        <f>BP428</f>
        <v>0</v>
      </c>
      <c r="DE428" s="117">
        <f>IF(OR(D428&gt;0),IF(BJ428=0,BN428*BQ428,0))</f>
        <v>0</v>
      </c>
      <c r="DF428" s="117">
        <f>IF(OR(D428&gt;0),IF(BJ428=0,BN428*BY428,0))</f>
        <v>0</v>
      </c>
      <c r="DG428" s="113">
        <f>BX428</f>
        <v>0</v>
      </c>
      <c r="DH428" s="510"/>
      <c r="DI428" s="120" t="s">
        <v>126</v>
      </c>
      <c r="DJ428" s="120"/>
      <c r="DK428" s="207"/>
      <c r="DL428" s="207"/>
      <c r="DM428" s="248">
        <v>1</v>
      </c>
    </row>
    <row r="429" spans="1:130" ht="34.5" hidden="1" customHeight="1">
      <c r="A429" s="228"/>
      <c r="B429" s="121" t="s">
        <v>1928</v>
      </c>
      <c r="C429" s="155"/>
      <c r="D429" s="75">
        <v>1</v>
      </c>
      <c r="E429" s="121">
        <v>1</v>
      </c>
      <c r="F429" s="121"/>
      <c r="G429" s="400" t="s">
        <v>2317</v>
      </c>
      <c r="H429" s="400" t="s">
        <v>2318</v>
      </c>
      <c r="I429" s="294" t="s">
        <v>2319</v>
      </c>
      <c r="J429" s="155" t="str">
        <f>CONCATENATE(G429," ",H429)</f>
        <v>Gianlorenzo Caccia</v>
      </c>
      <c r="K429" s="224">
        <v>3356350235</v>
      </c>
      <c r="L429" s="131"/>
      <c r="M429" s="498" t="s">
        <v>2320</v>
      </c>
      <c r="N429" s="160" t="s">
        <v>2321</v>
      </c>
      <c r="O429" s="599"/>
      <c r="P429" s="37"/>
      <c r="Q429" s="37"/>
      <c r="R429" s="131"/>
      <c r="S429" s="160"/>
      <c r="T429" s="160"/>
      <c r="U429" s="160"/>
      <c r="V429" s="160"/>
      <c r="W429" s="233"/>
      <c r="X429" s="131"/>
      <c r="Y429" s="233"/>
      <c r="Z429" s="233"/>
      <c r="AA429" s="233"/>
      <c r="AB429" s="37"/>
      <c r="AC429" s="131"/>
      <c r="AD429" s="37" t="s">
        <v>118</v>
      </c>
      <c r="AE429" s="138">
        <f>L429</f>
        <v>0</v>
      </c>
      <c r="AF429" s="515"/>
      <c r="AG429" s="155"/>
      <c r="AH429" s="155"/>
      <c r="AI429" s="515"/>
      <c r="AJ429" s="155"/>
      <c r="AK429" s="155"/>
      <c r="AL429" s="155"/>
      <c r="AM429" s="198"/>
      <c r="AN429" s="155"/>
      <c r="AO429" s="155"/>
      <c r="AP429" s="155"/>
      <c r="AQ429" s="198"/>
      <c r="AR429" s="121"/>
      <c r="AS429" s="121"/>
      <c r="AT429" s="121"/>
      <c r="AU429" s="235"/>
      <c r="AV429" s="121"/>
      <c r="AW429" s="121"/>
      <c r="AX429" s="121"/>
      <c r="AY429" s="235"/>
      <c r="AZ429" s="121" t="s">
        <v>116</v>
      </c>
      <c r="BA429" s="121" t="s">
        <v>116</v>
      </c>
      <c r="BB429" s="121" t="s">
        <v>154</v>
      </c>
      <c r="BC429" s="235"/>
      <c r="BD429" s="121"/>
      <c r="BE429" s="121"/>
      <c r="BF429" s="121"/>
      <c r="BG429" s="235"/>
      <c r="BH429" s="92"/>
      <c r="BI429" s="569"/>
      <c r="BJ429" s="569"/>
      <c r="BK429" s="239"/>
      <c r="BL429" s="260"/>
      <c r="BM429" s="241"/>
      <c r="BN429" s="142"/>
      <c r="BO429" s="182"/>
      <c r="BP429" s="105"/>
      <c r="BQ429" s="145"/>
      <c r="BR429" s="110"/>
      <c r="BS429" s="242"/>
      <c r="BT429" s="203"/>
      <c r="BU429" s="167">
        <f>BN429*BQ429</f>
        <v>0</v>
      </c>
      <c r="BV429" s="168">
        <f>BO429*BQ429</f>
        <v>0</v>
      </c>
      <c r="BW429" s="131"/>
      <c r="BX429" s="131"/>
      <c r="BY429" s="145"/>
      <c r="BZ429" s="110"/>
      <c r="CA429" s="242"/>
      <c r="CB429" s="101">
        <f>BM429*BY429</f>
        <v>0</v>
      </c>
      <c r="CC429" s="106">
        <f>BN429*BY429</f>
        <v>0</v>
      </c>
      <c r="CD429" s="107">
        <f>BO429*BY429</f>
        <v>0</v>
      </c>
      <c r="CE429" s="566"/>
      <c r="CF429" s="338"/>
      <c r="CG429" s="338"/>
      <c r="CH429" s="338"/>
      <c r="CI429" s="338"/>
      <c r="CJ429" s="338"/>
      <c r="CK429" s="338"/>
      <c r="CL429" s="338"/>
      <c r="CM429" s="338"/>
      <c r="CN429" s="338"/>
      <c r="CO429" s="338"/>
      <c r="CP429" s="338"/>
      <c r="CQ429" s="338"/>
      <c r="CR429" s="338"/>
      <c r="CS429" s="338"/>
      <c r="CT429" s="338"/>
      <c r="CU429" s="245">
        <v>0</v>
      </c>
      <c r="CV429" s="181"/>
      <c r="CW429" s="369"/>
      <c r="CX429" s="207"/>
      <c r="CY429" s="207"/>
      <c r="CZ429" s="155"/>
      <c r="DA429" s="384" t="s">
        <v>2322</v>
      </c>
      <c r="DB429" s="193" t="s">
        <v>2323</v>
      </c>
      <c r="DC429" s="191" t="s">
        <v>289</v>
      </c>
      <c r="DD429" s="116">
        <f>BP429</f>
        <v>0</v>
      </c>
      <c r="DE429" s="117">
        <f>IF(OR(D429&gt;0),IF(BJ429=0,BN429*BQ429,0))</f>
        <v>0</v>
      </c>
      <c r="DF429" s="117">
        <f>IF(OR(D429&gt;0),IF(BJ429=0,BN429*BY429,0))</f>
        <v>0</v>
      </c>
      <c r="DG429" s="116">
        <f>BX429</f>
        <v>0</v>
      </c>
      <c r="DH429" s="76"/>
      <c r="DI429" s="120" t="s">
        <v>154</v>
      </c>
      <c r="DJ429" s="120"/>
      <c r="DK429" s="207"/>
      <c r="DL429" s="207"/>
      <c r="DM429" s="248">
        <v>1</v>
      </c>
    </row>
    <row r="430" spans="1:130" ht="34.5" hidden="1" customHeight="1">
      <c r="A430" s="228"/>
      <c r="B430" s="177" t="s">
        <v>1359</v>
      </c>
      <c r="C430" s="155"/>
      <c r="D430" s="75"/>
      <c r="E430" s="121">
        <v>1</v>
      </c>
      <c r="F430" s="121"/>
      <c r="G430" s="400" t="s">
        <v>2092</v>
      </c>
      <c r="H430" s="400" t="s">
        <v>2093</v>
      </c>
      <c r="I430" s="207" t="s">
        <v>2094</v>
      </c>
      <c r="J430" s="121" t="str">
        <f>CONCATENATE(G430," ",H430)</f>
        <v>Ruslan Barbaros</v>
      </c>
      <c r="K430" s="156">
        <v>3285925239</v>
      </c>
      <c r="L430" s="1862" t="s">
        <v>2095</v>
      </c>
      <c r="M430" s="153"/>
      <c r="N430" s="160" t="s">
        <v>2096</v>
      </c>
      <c r="O430" s="1924"/>
      <c r="P430" s="160"/>
      <c r="Q430" s="160"/>
      <c r="R430" s="403"/>
      <c r="S430" s="160"/>
      <c r="T430" s="160"/>
      <c r="U430" s="160"/>
      <c r="V430" s="160"/>
      <c r="W430" s="160"/>
      <c r="X430" s="131"/>
      <c r="Y430" s="160"/>
      <c r="Z430" s="160"/>
      <c r="AA430" s="160"/>
      <c r="AB430" s="37"/>
      <c r="AC430" s="131"/>
      <c r="AD430" s="121" t="s">
        <v>2097</v>
      </c>
      <c r="AE430" s="88"/>
      <c r="AF430" s="515"/>
      <c r="AG430" s="406"/>
      <c r="AH430" s="406"/>
      <c r="AI430" s="515"/>
      <c r="AJ430" s="155"/>
      <c r="AK430" s="155"/>
      <c r="AL430" s="155"/>
      <c r="AM430" s="198"/>
      <c r="AN430" s="155"/>
      <c r="AO430" s="155"/>
      <c r="AP430" s="155"/>
      <c r="AQ430" s="198"/>
      <c r="AR430" s="121"/>
      <c r="AS430" s="121"/>
      <c r="AT430" s="121"/>
      <c r="AU430" s="235"/>
      <c r="AV430" s="121"/>
      <c r="AW430" s="121"/>
      <c r="AX430" s="121"/>
      <c r="AY430" s="235"/>
      <c r="AZ430" s="617"/>
      <c r="BA430" s="617" t="s">
        <v>245</v>
      </c>
      <c r="BB430" s="1999" t="s">
        <v>115</v>
      </c>
      <c r="BC430" s="235"/>
      <c r="BD430" s="617" t="s">
        <v>245</v>
      </c>
      <c r="BE430" s="617"/>
      <c r="BF430" s="617"/>
      <c r="BG430" s="235"/>
      <c r="BH430" s="92">
        <f>CF430+CI430+CL430+CO430+CR430</f>
        <v>2396.9981967213116</v>
      </c>
      <c r="BI430" s="238">
        <f>CH430+CK430+CN430+CQ430+CT430</f>
        <v>1229.5081967213116</v>
      </c>
      <c r="BJ430" s="238">
        <f>BH430-BI430</f>
        <v>1167.49</v>
      </c>
      <c r="BK430" s="239"/>
      <c r="BL430" s="260"/>
      <c r="BM430" s="241"/>
      <c r="BN430" s="142">
        <v>2397</v>
      </c>
      <c r="BO430" s="182"/>
      <c r="BP430" s="1004" t="s">
        <v>1496</v>
      </c>
      <c r="BQ430" s="145">
        <v>0.15</v>
      </c>
      <c r="BR430" s="381"/>
      <c r="BS430" s="381">
        <f>BL430*BQ430</f>
        <v>0</v>
      </c>
      <c r="BT430" s="168">
        <f>BM430*BQ430</f>
        <v>0</v>
      </c>
      <c r="BU430" s="530">
        <f>BN430*BQ430</f>
        <v>359.55</v>
      </c>
      <c r="BV430" s="168">
        <f>BO430*BQ430</f>
        <v>0</v>
      </c>
      <c r="BW430" s="131"/>
      <c r="BX430" s="1004" t="s">
        <v>246</v>
      </c>
      <c r="BY430" s="145">
        <v>0.05</v>
      </c>
      <c r="BZ430" s="110"/>
      <c r="CA430" s="242">
        <f>BL430*BY430</f>
        <v>0</v>
      </c>
      <c r="CB430" s="101">
        <f>BM430*BY430</f>
        <v>0</v>
      </c>
      <c r="CC430" s="106">
        <f>BN430*BY430</f>
        <v>119.85000000000001</v>
      </c>
      <c r="CD430" s="107">
        <f>BO430*BY430</f>
        <v>0</v>
      </c>
      <c r="CE430" s="244"/>
      <c r="CF430" s="110">
        <f>1500/1.22</f>
        <v>1229.5081967213116</v>
      </c>
      <c r="CG430" s="2099">
        <v>45218</v>
      </c>
      <c r="CH430" s="110">
        <f>1500/1.22</f>
        <v>1229.5081967213116</v>
      </c>
      <c r="CI430" s="110">
        <f>2397-1229.51</f>
        <v>1167.49</v>
      </c>
      <c r="CJ430" s="226">
        <v>45248</v>
      </c>
      <c r="CK430" s="415"/>
      <c r="CL430" s="415"/>
      <c r="CM430" s="416"/>
      <c r="CN430" s="415"/>
      <c r="CO430" s="263"/>
      <c r="CP430" s="263"/>
      <c r="CQ430" s="263"/>
      <c r="CR430" s="263"/>
      <c r="CS430" s="263"/>
      <c r="CT430" s="263"/>
      <c r="CU430" s="155">
        <v>1</v>
      </c>
      <c r="CV430" s="181"/>
      <c r="CW430" s="431"/>
      <c r="CX430" s="431"/>
      <c r="CY430" s="155"/>
      <c r="CZ430" s="121"/>
      <c r="DA430" s="424" t="s">
        <v>2098</v>
      </c>
      <c r="DB430" s="115" t="str">
        <f>PROPER(N430)</f>
        <v>Mds Gomme</v>
      </c>
      <c r="DC430" s="280" t="s">
        <v>2099</v>
      </c>
      <c r="DD430" s="116" t="str">
        <f>BP430</f>
        <v>Patrizia Sabatino</v>
      </c>
      <c r="DE430" s="117" t="b">
        <f>IF(OR(D430&gt;0),IF(BJ430=0,BN430*BQ430,0))</f>
        <v>0</v>
      </c>
      <c r="DF430" s="117" t="b">
        <f>IF(OR(D430&gt;0),IF(BJ430=0,BN430*BY430,0))</f>
        <v>0</v>
      </c>
      <c r="DG430" s="118" t="str">
        <f>BX430</f>
        <v>Marco</v>
      </c>
      <c r="DH430" s="76"/>
      <c r="DI430" s="120" t="s">
        <v>126</v>
      </c>
      <c r="DJ430" s="120"/>
      <c r="DK430" s="74" t="s">
        <v>1418</v>
      </c>
      <c r="DL430" s="74" t="s">
        <v>1418</v>
      </c>
      <c r="DM430" s="122">
        <v>1</v>
      </c>
      <c r="DN430" s="6"/>
      <c r="DO430" s="6"/>
      <c r="DP430" s="6"/>
      <c r="DQ430" s="6"/>
      <c r="DR430" s="6"/>
      <c r="DS430" s="6"/>
      <c r="DT430" s="6"/>
      <c r="DU430" s="6"/>
      <c r="DV430" s="6"/>
      <c r="DW430" s="6"/>
      <c r="DX430" s="6"/>
      <c r="DY430" s="6"/>
      <c r="DZ430" s="6"/>
    </row>
    <row r="431" spans="1:130" ht="34.5" hidden="1" customHeight="1">
      <c r="A431" s="228"/>
      <c r="B431" s="121" t="s">
        <v>1928</v>
      </c>
      <c r="C431" s="155"/>
      <c r="D431" s="75"/>
      <c r="E431" s="313"/>
      <c r="F431" s="121"/>
      <c r="G431" s="181" t="s">
        <v>127</v>
      </c>
      <c r="H431" s="181" t="s">
        <v>2330</v>
      </c>
      <c r="I431" s="207" t="s">
        <v>2331</v>
      </c>
      <c r="J431" s="155" t="str">
        <f>CONCATENATE(G431," ",H431)</f>
        <v>Nicola Venturuzzo</v>
      </c>
      <c r="K431" s="224">
        <v>3922664795</v>
      </c>
      <c r="L431" s="160"/>
      <c r="M431" s="160"/>
      <c r="N431" s="160" t="s">
        <v>2332</v>
      </c>
      <c r="O431" s="599"/>
      <c r="P431" s="37"/>
      <c r="Q431" s="37"/>
      <c r="R431" s="131"/>
      <c r="S431" s="160"/>
      <c r="T431" s="160"/>
      <c r="U431" s="160"/>
      <c r="V431" s="160"/>
      <c r="W431" s="233"/>
      <c r="X431" s="131"/>
      <c r="Y431" s="233"/>
      <c r="Z431" s="233"/>
      <c r="AA431" s="233"/>
      <c r="AB431" s="37"/>
      <c r="AC431" s="131"/>
      <c r="AD431" s="121"/>
      <c r="AE431" s="131"/>
      <c r="AF431" s="515"/>
      <c r="AG431" s="155"/>
      <c r="AH431" s="155"/>
      <c r="AI431" s="515"/>
      <c r="AJ431" s="155"/>
      <c r="AK431" s="155"/>
      <c r="AL431" s="155"/>
      <c r="AM431" s="198"/>
      <c r="AN431" s="155"/>
      <c r="AO431" s="155"/>
      <c r="AP431" s="155"/>
      <c r="AQ431" s="198"/>
      <c r="AR431" s="121"/>
      <c r="AS431" s="121"/>
      <c r="AT431" s="121"/>
      <c r="AU431" s="235"/>
      <c r="AV431" s="121" t="s">
        <v>116</v>
      </c>
      <c r="AW431" s="121" t="s">
        <v>116</v>
      </c>
      <c r="AX431" s="154" t="s">
        <v>297</v>
      </c>
      <c r="AY431" s="235"/>
      <c r="AZ431" s="362"/>
      <c r="BA431" s="362"/>
      <c r="BB431" s="618" t="s">
        <v>297</v>
      </c>
      <c r="BC431" s="235"/>
      <c r="BD431" s="362"/>
      <c r="BE431" s="362"/>
      <c r="BF431" s="617"/>
      <c r="BG431" s="235"/>
      <c r="BH431" s="92">
        <f>CF431+CI431+CL431+CO431+CR431</f>
        <v>0</v>
      </c>
      <c r="BI431" s="569"/>
      <c r="BJ431" s="569"/>
      <c r="BK431" s="239"/>
      <c r="BL431" s="260"/>
      <c r="BM431" s="241"/>
      <c r="BN431" s="273"/>
      <c r="BO431" s="274"/>
      <c r="BP431" s="131"/>
      <c r="BQ431" s="145"/>
      <c r="BR431" s="110"/>
      <c r="BS431" s="242"/>
      <c r="BT431" s="203"/>
      <c r="BU431" s="167">
        <f>BN431*BQ431</f>
        <v>0</v>
      </c>
      <c r="BV431" s="168">
        <f>BO431*BQ431</f>
        <v>0</v>
      </c>
      <c r="BW431" s="131"/>
      <c r="BX431" s="131"/>
      <c r="BY431" s="145"/>
      <c r="BZ431" s="110"/>
      <c r="CA431" s="242"/>
      <c r="CB431" s="101">
        <f>BM431*BY431</f>
        <v>0</v>
      </c>
      <c r="CC431" s="106">
        <f>BN431*BY431</f>
        <v>0</v>
      </c>
      <c r="CD431" s="107">
        <f>BO431*BY431</f>
        <v>0</v>
      </c>
      <c r="CE431" s="566"/>
      <c r="CF431" s="338"/>
      <c r="CG431" s="338"/>
      <c r="CH431" s="338"/>
      <c r="CI431" s="338"/>
      <c r="CJ431" s="338"/>
      <c r="CK431" s="338"/>
      <c r="CL431" s="338"/>
      <c r="CM431" s="338"/>
      <c r="CN431" s="338"/>
      <c r="CO431" s="338"/>
      <c r="CP431" s="338"/>
      <c r="CQ431" s="338"/>
      <c r="CR431" s="338"/>
      <c r="CS431" s="338"/>
      <c r="CT431" s="338"/>
      <c r="CU431" s="245">
        <v>1</v>
      </c>
      <c r="CV431" s="181"/>
      <c r="CW431" s="369"/>
      <c r="CX431" s="207"/>
      <c r="CY431" s="155" t="s">
        <v>215</v>
      </c>
      <c r="CZ431" s="155"/>
      <c r="DA431" s="619"/>
      <c r="DB431" s="115" t="str">
        <f>PROPER(N431)</f>
        <v>Go Capital</v>
      </c>
      <c r="DC431" s="191"/>
      <c r="DD431" s="116">
        <f>BP431</f>
        <v>0</v>
      </c>
      <c r="DE431" s="117" t="b">
        <f>IF(OR(D431&gt;0),IF(BJ431=0,BN431*BQ431,0))</f>
        <v>0</v>
      </c>
      <c r="DF431" s="117" t="b">
        <f>IF(OR(D431&gt;0),IF(BJ431=0,BN431*BY431,0))</f>
        <v>0</v>
      </c>
      <c r="DG431" s="113">
        <f>BX431</f>
        <v>0</v>
      </c>
      <c r="DH431" s="76"/>
      <c r="DI431" s="120" t="s">
        <v>154</v>
      </c>
      <c r="DJ431" s="120"/>
      <c r="DK431" s="207"/>
      <c r="DL431" s="207"/>
      <c r="DM431" s="248">
        <v>1</v>
      </c>
    </row>
    <row r="432" spans="1:130" ht="34.5" hidden="1" customHeight="1">
      <c r="A432" s="3"/>
      <c r="B432" s="121" t="s">
        <v>108</v>
      </c>
      <c r="C432" s="121"/>
      <c r="D432" s="75">
        <v>1</v>
      </c>
      <c r="E432" s="121">
        <v>1</v>
      </c>
      <c r="F432" s="121"/>
      <c r="G432" s="78" t="s">
        <v>220</v>
      </c>
      <c r="H432" s="1828" t="s">
        <v>221</v>
      </c>
      <c r="I432" s="131" t="s">
        <v>222</v>
      </c>
      <c r="J432" s="121" t="str">
        <f>CONCATENATE(G432," ",H432)</f>
        <v>Sabrina Rudino</v>
      </c>
      <c r="K432" s="156">
        <v>3479516836</v>
      </c>
      <c r="L432" s="157" t="s">
        <v>223</v>
      </c>
      <c r="M432" s="1887" t="s">
        <v>171</v>
      </c>
      <c r="N432" s="160" t="s">
        <v>139</v>
      </c>
      <c r="O432" s="1933"/>
      <c r="P432" s="86"/>
      <c r="Q432" s="86"/>
      <c r="R432" s="86"/>
      <c r="S432" s="86"/>
      <c r="T432" s="86"/>
      <c r="U432" s="86"/>
      <c r="V432" s="86"/>
      <c r="W432" s="86"/>
      <c r="X432" s="86"/>
      <c r="Y432" s="87"/>
      <c r="Z432" s="86"/>
      <c r="AA432" s="86"/>
      <c r="AB432" s="86"/>
      <c r="AC432" s="86"/>
      <c r="AD432" s="86" t="s">
        <v>224</v>
      </c>
      <c r="AE432" s="234" t="str">
        <f>L432</f>
        <v>Andrea Carlo Carena, sostituito in data 06/10/2023 con Sabrina Rudino</v>
      </c>
      <c r="AF432" s="198"/>
      <c r="AG432" s="121"/>
      <c r="AH432" s="121"/>
      <c r="AI432" s="198"/>
      <c r="AJ432" s="121"/>
      <c r="AK432" s="121"/>
      <c r="AL432" s="121"/>
      <c r="AM432" s="198"/>
      <c r="AN432" s="155"/>
      <c r="AO432" s="155"/>
      <c r="AP432" s="155"/>
      <c r="AQ432" s="198"/>
      <c r="AR432" s="121"/>
      <c r="AS432" s="121"/>
      <c r="AT432" s="121"/>
      <c r="AU432" s="235"/>
      <c r="AV432" s="121"/>
      <c r="AW432" s="121"/>
      <c r="AX432" s="121"/>
      <c r="AY432" s="235"/>
      <c r="AZ432" s="121" t="s">
        <v>115</v>
      </c>
      <c r="BA432" s="121" t="s">
        <v>115</v>
      </c>
      <c r="BB432" s="1999" t="s">
        <v>115</v>
      </c>
      <c r="BC432" s="235"/>
      <c r="BD432" s="121"/>
      <c r="BE432" s="121"/>
      <c r="BF432" s="121"/>
      <c r="BG432" s="235"/>
      <c r="BH432" s="92">
        <f>CF432+CI432+CL432+CO432+CR432</f>
        <v>2797</v>
      </c>
      <c r="BI432" s="569">
        <f>CH432+CK432+CN432+CQ432+CT432</f>
        <v>2797</v>
      </c>
      <c r="BJ432" s="569">
        <f>BH432-BI432</f>
        <v>0</v>
      </c>
      <c r="BK432" s="199"/>
      <c r="BL432" s="200"/>
      <c r="BM432" s="241"/>
      <c r="BN432" s="142">
        <v>2797</v>
      </c>
      <c r="BO432" s="182"/>
      <c r="BP432" s="131" t="s">
        <v>141</v>
      </c>
      <c r="BQ432" s="98">
        <v>0.15</v>
      </c>
      <c r="BR432" s="201"/>
      <c r="BS432" s="202"/>
      <c r="BT432" s="203">
        <f>BM432*BQ432</f>
        <v>0</v>
      </c>
      <c r="BU432" s="167"/>
      <c r="BV432" s="168">
        <f>BO432*BQ432</f>
        <v>0</v>
      </c>
      <c r="BW432" s="131" t="s">
        <v>142</v>
      </c>
      <c r="BX432" s="825" t="s">
        <v>141</v>
      </c>
      <c r="BY432" s="98">
        <v>0.05</v>
      </c>
      <c r="BZ432" s="201"/>
      <c r="CA432" s="202"/>
      <c r="CB432" s="101">
        <f>BM432*BY432</f>
        <v>0</v>
      </c>
      <c r="CC432" s="106"/>
      <c r="CD432" s="107">
        <f>BO432*BY432</f>
        <v>0</v>
      </c>
      <c r="CE432" s="131" t="s">
        <v>142</v>
      </c>
      <c r="CF432" s="110">
        <v>2797</v>
      </c>
      <c r="CG432" s="226">
        <v>45008</v>
      </c>
      <c r="CH432" s="110">
        <v>2797</v>
      </c>
      <c r="CI432" s="110"/>
      <c r="CJ432" s="226"/>
      <c r="CK432" s="206"/>
      <c r="CL432" s="206"/>
      <c r="CM432" s="226"/>
      <c r="CN432" s="206"/>
      <c r="CO432" s="206"/>
      <c r="CP432" s="206"/>
      <c r="CQ432" s="206"/>
      <c r="CR432" s="206"/>
      <c r="CS432" s="206"/>
      <c r="CT432" s="206"/>
      <c r="CU432" s="550">
        <v>1</v>
      </c>
      <c r="CV432" s="181" t="s">
        <v>121</v>
      </c>
      <c r="CW432" s="369"/>
      <c r="CX432" s="207"/>
      <c r="CY432" s="155" t="s">
        <v>122</v>
      </c>
      <c r="CZ432" s="155"/>
      <c r="DA432" s="131" t="s">
        <v>143</v>
      </c>
      <c r="DB432" s="115" t="str">
        <f>PROPER(N432)</f>
        <v>Ribes Solutions</v>
      </c>
      <c r="DC432" s="191" t="s">
        <v>144</v>
      </c>
      <c r="DD432" s="116" t="str">
        <f>BP432</f>
        <v>Daniele</v>
      </c>
      <c r="DE432" s="117">
        <f>IF(OR(D432&gt;0),IF(BJ432=0,BN432*BQ432,0))</f>
        <v>419.55</v>
      </c>
      <c r="DF432" s="117">
        <f>IF(OR(D432&gt;0),IF(BJ432=0,BN432*BY432,0))</f>
        <v>139.85</v>
      </c>
      <c r="DG432" s="116" t="str">
        <f>BX432</f>
        <v>Daniele</v>
      </c>
      <c r="DH432" s="76"/>
      <c r="DI432" s="120" t="s">
        <v>126</v>
      </c>
      <c r="DJ432" s="120"/>
      <c r="DK432" s="121"/>
      <c r="DL432" s="121"/>
      <c r="DM432" s="122">
        <v>1</v>
      </c>
      <c r="DN432" s="6"/>
      <c r="DO432" s="6"/>
      <c r="DP432" s="6"/>
      <c r="DQ432" s="6"/>
      <c r="DR432" s="6"/>
      <c r="DS432" s="6"/>
      <c r="DT432" s="6"/>
      <c r="DU432" s="6"/>
      <c r="DV432" s="6"/>
      <c r="DW432" s="6"/>
      <c r="DX432" s="6"/>
      <c r="DY432" s="6"/>
      <c r="DZ432" s="6"/>
    </row>
    <row r="433" spans="1:130" ht="34.5" hidden="1" customHeight="1">
      <c r="A433" s="632"/>
      <c r="B433" s="121" t="s">
        <v>1928</v>
      </c>
      <c r="C433" s="594"/>
      <c r="D433" s="75">
        <v>1</v>
      </c>
      <c r="E433" s="313"/>
      <c r="F433" s="633"/>
      <c r="G433" s="634" t="s">
        <v>1307</v>
      </c>
      <c r="H433" s="634" t="s">
        <v>2338</v>
      </c>
      <c r="I433" s="294" t="s">
        <v>2339</v>
      </c>
      <c r="J433" s="155" t="str">
        <f>CONCATENATE(G433," ",H433)</f>
        <v>Alberto Stillo</v>
      </c>
      <c r="K433" s="635">
        <v>3472736991</v>
      </c>
      <c r="L433" s="636" t="s">
        <v>2340</v>
      </c>
      <c r="M433" s="637" t="s">
        <v>702</v>
      </c>
      <c r="N433" s="369" t="s">
        <v>2341</v>
      </c>
      <c r="O433" s="638"/>
      <c r="P433" s="639"/>
      <c r="Q433" s="639"/>
      <c r="R433" s="594"/>
      <c r="S433" s="639"/>
      <c r="T433" s="640"/>
      <c r="U433" s="640"/>
      <c r="V433" s="594"/>
      <c r="W433" s="594"/>
      <c r="X433" s="594"/>
      <c r="Y433" s="594"/>
      <c r="Z433" s="594"/>
      <c r="AA433" s="640"/>
      <c r="AB433" s="640"/>
      <c r="AC433" s="594"/>
      <c r="AD433" s="37" t="s">
        <v>118</v>
      </c>
      <c r="AE433" s="640"/>
      <c r="AF433" s="641"/>
      <c r="AG433" s="642"/>
      <c r="AH433" s="643"/>
      <c r="AI433" s="641"/>
      <c r="AJ433" s="594"/>
      <c r="AK433" s="594"/>
      <c r="AL433" s="594"/>
      <c r="AM433" s="641"/>
      <c r="AN433" s="594"/>
      <c r="AO433" s="594"/>
      <c r="AP433" s="594"/>
      <c r="AQ433" s="641"/>
      <c r="AR433" s="594"/>
      <c r="AS433" s="594"/>
      <c r="AT433" s="594"/>
      <c r="AU433" s="641"/>
      <c r="AV433" s="121" t="s">
        <v>116</v>
      </c>
      <c r="AW433" s="121" t="s">
        <v>116</v>
      </c>
      <c r="AX433" s="154" t="s">
        <v>116</v>
      </c>
      <c r="AY433" s="644"/>
      <c r="AZ433" s="121" t="s">
        <v>116</v>
      </c>
      <c r="BA433" s="594"/>
      <c r="BB433" s="594"/>
      <c r="BC433" s="644"/>
      <c r="BD433" s="594"/>
      <c r="BE433" s="594"/>
      <c r="BF433" s="594"/>
      <c r="BG433" s="644"/>
      <c r="BH433" s="92"/>
      <c r="BI433" s="645"/>
      <c r="BJ433" s="645"/>
      <c r="BK433" s="646"/>
      <c r="BL433" s="647"/>
      <c r="BM433" s="648"/>
      <c r="BN433" s="649"/>
      <c r="BO433" s="650"/>
      <c r="BP433" s="651"/>
      <c r="BQ433" s="651"/>
      <c r="BR433" s="652"/>
      <c r="BS433" s="653"/>
      <c r="BT433" s="654"/>
      <c r="BU433" s="167">
        <f>BN433*BQ433</f>
        <v>0</v>
      </c>
      <c r="BV433" s="168">
        <f>BO433*BQ433</f>
        <v>0</v>
      </c>
      <c r="BW433" s="655"/>
      <c r="BX433" s="594"/>
      <c r="BY433" s="594"/>
      <c r="BZ433" s="652"/>
      <c r="CA433" s="653"/>
      <c r="CB433" s="656">
        <f>BM433*BY433</f>
        <v>0</v>
      </c>
      <c r="CC433" s="106">
        <f>BN433*BY433</f>
        <v>0</v>
      </c>
      <c r="CD433" s="107">
        <f>BO433*BY433</f>
        <v>0</v>
      </c>
      <c r="CE433" s="657"/>
      <c r="CF433" s="658"/>
      <c r="CG433" s="658"/>
      <c r="CH433" s="658"/>
      <c r="CI433" s="658"/>
      <c r="CJ433" s="658"/>
      <c r="CK433" s="658"/>
      <c r="CL433" s="658"/>
      <c r="CM433" s="658"/>
      <c r="CN433" s="658"/>
      <c r="CO433" s="658"/>
      <c r="CP433" s="658"/>
      <c r="CQ433" s="658"/>
      <c r="CR433" s="658"/>
      <c r="CS433" s="658"/>
      <c r="CT433" s="658"/>
      <c r="CU433" s="657">
        <v>1</v>
      </c>
      <c r="CV433" s="594"/>
      <c r="CW433" s="594"/>
      <c r="CX433" s="594"/>
      <c r="CY433" s="155" t="s">
        <v>215</v>
      </c>
      <c r="CZ433" s="594"/>
      <c r="DA433" s="543" t="s">
        <v>2342</v>
      </c>
      <c r="DB433" s="115" t="str">
        <f>PROPER(N433)</f>
        <v>Switch Up</v>
      </c>
      <c r="DC433" s="191" t="s">
        <v>2343</v>
      </c>
      <c r="DD433" s="116">
        <f>BP433</f>
        <v>0</v>
      </c>
      <c r="DE433" s="117">
        <f>IF(OR(D433&gt;0),IF(BJ433=0,BN433*BQ433,0))</f>
        <v>0</v>
      </c>
      <c r="DF433" s="117">
        <f>IF(OR(D433&gt;0),IF(BJ433=0,BN433*BY433,0))</f>
        <v>0</v>
      </c>
      <c r="DG433" s="113">
        <f>BX433</f>
        <v>0</v>
      </c>
      <c r="DH433" s="76"/>
      <c r="DI433" s="120" t="s">
        <v>154</v>
      </c>
      <c r="DJ433" s="120"/>
      <c r="DK433" s="124"/>
      <c r="DL433" s="124"/>
      <c r="DM433" s="596">
        <v>1</v>
      </c>
      <c r="DN433" s="1"/>
      <c r="DO433" s="1"/>
      <c r="DP433" s="1"/>
      <c r="DQ433" s="1"/>
      <c r="DR433" s="1"/>
      <c r="DS433" s="1"/>
      <c r="DT433" s="1"/>
      <c r="DU433" s="1"/>
      <c r="DV433" s="1"/>
      <c r="DW433" s="1"/>
      <c r="DX433" s="1"/>
      <c r="DY433" s="1"/>
      <c r="DZ433" s="1"/>
    </row>
    <row r="434" spans="1:130" ht="34.5" hidden="1" customHeight="1">
      <c r="A434" s="1801"/>
      <c r="B434" s="121" t="s">
        <v>2405</v>
      </c>
      <c r="C434" s="155"/>
      <c r="D434" s="75"/>
      <c r="E434" s="121"/>
      <c r="F434" s="121"/>
      <c r="G434" s="840" t="s">
        <v>2430</v>
      </c>
      <c r="H434" s="222" t="s">
        <v>2431</v>
      </c>
      <c r="I434" s="207" t="s">
        <v>2432</v>
      </c>
      <c r="J434" s="179" t="str">
        <f>CONCATENATE(G434," ",H434)</f>
        <v>Samantha Cicchelero</v>
      </c>
      <c r="K434" s="224"/>
      <c r="L434" s="131"/>
      <c r="M434" s="131"/>
      <c r="N434" s="160"/>
      <c r="O434" s="567"/>
      <c r="P434" s="131"/>
      <c r="Q434" s="131"/>
      <c r="R434" s="131" t="s">
        <v>2434</v>
      </c>
      <c r="S434" s="131"/>
      <c r="T434" s="131"/>
      <c r="U434" s="131"/>
      <c r="V434" s="131"/>
      <c r="W434" s="131"/>
      <c r="X434" s="131"/>
      <c r="Y434" s="131"/>
      <c r="Z434" s="131"/>
      <c r="AA434" s="131"/>
      <c r="AB434" s="207"/>
      <c r="AC434" s="131"/>
      <c r="AD434" s="155"/>
      <c r="AE434" s="561"/>
      <c r="AF434" s="515"/>
      <c r="AG434" s="406"/>
      <c r="AH434" s="406"/>
      <c r="AI434" s="515"/>
      <c r="AJ434" s="155" t="s">
        <v>115</v>
      </c>
      <c r="AK434" s="155" t="s">
        <v>115</v>
      </c>
      <c r="AL434" s="155"/>
      <c r="AM434" s="198"/>
      <c r="AN434" s="155" t="s">
        <v>116</v>
      </c>
      <c r="AO434" s="155" t="s">
        <v>116</v>
      </c>
      <c r="AP434" s="155"/>
      <c r="AQ434" s="515"/>
      <c r="AR434" s="121"/>
      <c r="AS434" s="121"/>
      <c r="AT434" s="331"/>
      <c r="AU434" s="568"/>
      <c r="AV434" s="121"/>
      <c r="AW434" s="121"/>
      <c r="AX434" s="1987"/>
      <c r="AY434" s="568"/>
      <c r="AZ434" s="362"/>
      <c r="BA434" s="362"/>
      <c r="BB434" s="362" t="s">
        <v>115</v>
      </c>
      <c r="BC434" s="568"/>
      <c r="BD434" s="362"/>
      <c r="BE434" s="362"/>
      <c r="BF434" s="362"/>
      <c r="BG434" s="568"/>
      <c r="BH434" s="92">
        <f>CF434+CI434+CL434+CO434+CR434</f>
        <v>0</v>
      </c>
      <c r="BI434" s="569"/>
      <c r="BJ434" s="569"/>
      <c r="BK434" s="239"/>
      <c r="BL434" s="260"/>
      <c r="BM434" s="241"/>
      <c r="BN434" s="142"/>
      <c r="BO434" s="182"/>
      <c r="BP434" s="529"/>
      <c r="BQ434" s="145"/>
      <c r="BR434" s="110"/>
      <c r="BS434" s="242"/>
      <c r="BT434" s="203"/>
      <c r="BU434" s="167">
        <f>BN434*BQ434</f>
        <v>0</v>
      </c>
      <c r="BV434" s="168">
        <f>BO434*BQ434</f>
        <v>0</v>
      </c>
      <c r="BW434" s="529"/>
      <c r="BX434" s="131"/>
      <c r="BY434" s="145"/>
      <c r="BZ434" s="110"/>
      <c r="CA434" s="242"/>
      <c r="CB434" s="101">
        <f>BM434*BY434</f>
        <v>0</v>
      </c>
      <c r="CC434" s="106">
        <f>BN434*BY434</f>
        <v>0</v>
      </c>
      <c r="CD434" s="107">
        <f>BO434*BY434</f>
        <v>0</v>
      </c>
      <c r="CE434" s="155"/>
      <c r="CF434" s="301"/>
      <c r="CG434" s="206"/>
      <c r="CH434" s="301"/>
      <c r="CI434" s="110"/>
      <c r="CJ434" s="226"/>
      <c r="CK434" s="110"/>
      <c r="CL434" s="110"/>
      <c r="CM434" s="226"/>
      <c r="CN434" s="110"/>
      <c r="CO434" s="110"/>
      <c r="CP434" s="226"/>
      <c r="CQ434" s="110"/>
      <c r="CR434" s="110"/>
      <c r="CS434" s="226"/>
      <c r="CT434" s="110"/>
      <c r="CU434" s="245">
        <v>1</v>
      </c>
      <c r="CV434" s="181"/>
      <c r="CW434" s="369"/>
      <c r="CX434" s="181"/>
      <c r="CY434" s="181"/>
      <c r="CZ434" s="121"/>
      <c r="DA434" s="131"/>
      <c r="DB434" s="115" t="str">
        <f>PROPER(N434)</f>
        <v/>
      </c>
      <c r="DC434" s="191"/>
      <c r="DD434" s="116">
        <f>BP434</f>
        <v>0</v>
      </c>
      <c r="DE434" s="117" t="b">
        <f>IF(OR(D434&gt;0),IF(BJ434=0,BN434*BQ434,0))</f>
        <v>0</v>
      </c>
      <c r="DF434" s="117" t="b">
        <f>IF(OR(D434&gt;0),IF(BJ434=0,BN434*BY434,0))</f>
        <v>0</v>
      </c>
      <c r="DG434" s="116">
        <f>BX434</f>
        <v>0</v>
      </c>
      <c r="DH434" s="510"/>
      <c r="DI434" s="120" t="s">
        <v>126</v>
      </c>
      <c r="DJ434" s="120"/>
      <c r="DK434" s="181"/>
      <c r="DL434" s="207"/>
      <c r="DM434" s="248"/>
    </row>
    <row r="435" spans="1:130" ht="34.5" hidden="1" customHeight="1">
      <c r="A435" s="228"/>
      <c r="B435" s="121" t="s">
        <v>1928</v>
      </c>
      <c r="C435" s="155"/>
      <c r="D435" s="75">
        <v>1</v>
      </c>
      <c r="E435" s="121"/>
      <c r="F435" s="121"/>
      <c r="G435" s="659" t="s">
        <v>1185</v>
      </c>
      <c r="H435" s="659" t="s">
        <v>2349</v>
      </c>
      <c r="I435" s="294" t="s">
        <v>2350</v>
      </c>
      <c r="J435" s="155" t="str">
        <f>CONCATENATE(G435," ",H435)</f>
        <v>Angelo Dottore</v>
      </c>
      <c r="K435" s="224"/>
      <c r="L435" s="183"/>
      <c r="M435" s="183"/>
      <c r="N435" s="160" t="s">
        <v>2351</v>
      </c>
      <c r="O435" s="622"/>
      <c r="P435" s="623"/>
      <c r="Q435" s="623"/>
      <c r="R435" s="624"/>
      <c r="S435" s="625"/>
      <c r="T435" s="255"/>
      <c r="U435" s="255"/>
      <c r="V435" s="131"/>
      <c r="W435" s="131"/>
      <c r="X435" s="131"/>
      <c r="Y435" s="131"/>
      <c r="Z435" s="131"/>
      <c r="AA435" s="514"/>
      <c r="AB435" s="255"/>
      <c r="AC435" s="131"/>
      <c r="AD435" s="37" t="s">
        <v>118</v>
      </c>
      <c r="AE435" s="626"/>
      <c r="AF435" s="627"/>
      <c r="AG435" s="628"/>
      <c r="AH435" s="629"/>
      <c r="AI435" s="515"/>
      <c r="AJ435" s="258"/>
      <c r="AK435" s="258"/>
      <c r="AL435" s="258"/>
      <c r="AM435" s="627"/>
      <c r="AN435" s="207"/>
      <c r="AO435" s="207"/>
      <c r="AP435" s="207"/>
      <c r="AQ435" s="515"/>
      <c r="AR435" s="121"/>
      <c r="AS435" s="121"/>
      <c r="AT435" s="121"/>
      <c r="AU435" s="568"/>
      <c r="AV435" s="121" t="s">
        <v>116</v>
      </c>
      <c r="AW435" s="121"/>
      <c r="AX435" s="121"/>
      <c r="AY435" s="568"/>
      <c r="AZ435" s="121" t="s">
        <v>116</v>
      </c>
      <c r="BA435" s="162" t="s">
        <v>154</v>
      </c>
      <c r="BB435" s="121"/>
      <c r="BC435" s="568"/>
      <c r="BD435" s="121"/>
      <c r="BE435" s="362"/>
      <c r="BF435" s="362"/>
      <c r="BG435" s="568"/>
      <c r="BH435" s="92"/>
      <c r="BI435" s="569"/>
      <c r="BJ435" s="569"/>
      <c r="BK435" s="239"/>
      <c r="BL435" s="260"/>
      <c r="BM435" s="241"/>
      <c r="BN435" s="273"/>
      <c r="BO435" s="274"/>
      <c r="BP435" s="630"/>
      <c r="BQ435" s="191"/>
      <c r="BR435" s="110"/>
      <c r="BS435" s="242"/>
      <c r="BT435" s="203"/>
      <c r="BU435" s="167">
        <f>BN435*BQ435</f>
        <v>0</v>
      </c>
      <c r="BV435" s="168">
        <f>BO435*BQ435</f>
        <v>0</v>
      </c>
      <c r="BW435" s="131"/>
      <c r="BX435" s="131"/>
      <c r="BY435" s="207"/>
      <c r="BZ435" s="110"/>
      <c r="CA435" s="242"/>
      <c r="CB435" s="101"/>
      <c r="CC435" s="106">
        <f>BN435*BY435</f>
        <v>0</v>
      </c>
      <c r="CD435" s="107">
        <f>BO435*BY435</f>
        <v>0</v>
      </c>
      <c r="CE435" s="566"/>
      <c r="CF435" s="338"/>
      <c r="CG435" s="338"/>
      <c r="CH435" s="338"/>
      <c r="CI435" s="338"/>
      <c r="CJ435" s="338"/>
      <c r="CK435" s="338"/>
      <c r="CL435" s="338"/>
      <c r="CM435" s="338"/>
      <c r="CN435" s="338"/>
      <c r="CO435" s="338"/>
      <c r="CP435" s="338"/>
      <c r="CQ435" s="338"/>
      <c r="CR435" s="338"/>
      <c r="CS435" s="338"/>
      <c r="CT435" s="338"/>
      <c r="CU435" s="245">
        <v>1</v>
      </c>
      <c r="CV435" s="181"/>
      <c r="CW435" s="631"/>
      <c r="CX435" s="331"/>
      <c r="CY435" s="155" t="s">
        <v>215</v>
      </c>
      <c r="CZ435" s="331"/>
      <c r="DA435" s="662" t="s">
        <v>2352</v>
      </c>
      <c r="DB435" s="115" t="s">
        <v>2351</v>
      </c>
      <c r="DC435" s="191" t="s">
        <v>2353</v>
      </c>
      <c r="DD435" s="116">
        <f>BP435</f>
        <v>0</v>
      </c>
      <c r="DE435" s="117">
        <f>IF(OR(D435&gt;0),IF(BJ435=0,BN435*BQ435,0))</f>
        <v>0</v>
      </c>
      <c r="DF435" s="117">
        <f>IF(OR(D435&gt;0),IF(BJ435=0,BN435*BY435,0))</f>
        <v>0</v>
      </c>
      <c r="DG435" s="113">
        <f>BX435</f>
        <v>0</v>
      </c>
      <c r="DH435" s="76"/>
      <c r="DI435" s="120" t="s">
        <v>154</v>
      </c>
      <c r="DJ435" s="120"/>
      <c r="DK435" s="331"/>
      <c r="DL435" s="331"/>
      <c r="DM435" s="248">
        <v>1</v>
      </c>
    </row>
    <row r="436" spans="1:130" ht="34.5" hidden="1" customHeight="1">
      <c r="A436" s="228"/>
      <c r="B436" s="121" t="s">
        <v>1928</v>
      </c>
      <c r="C436" s="155"/>
      <c r="D436" s="75">
        <v>1</v>
      </c>
      <c r="E436" s="313"/>
      <c r="F436" s="196"/>
      <c r="G436" s="659" t="s">
        <v>2354</v>
      </c>
      <c r="H436" s="659" t="s">
        <v>2355</v>
      </c>
      <c r="I436" s="382" t="s">
        <v>2356</v>
      </c>
      <c r="J436" s="155" t="str">
        <f>CONCATENATE(G436," ",H436)</f>
        <v>Daniela  Merlini</v>
      </c>
      <c r="K436" s="224">
        <v>3355601592</v>
      </c>
      <c r="L436" s="183"/>
      <c r="M436" s="183"/>
      <c r="N436" s="160" t="s">
        <v>2357</v>
      </c>
      <c r="O436" s="622"/>
      <c r="P436" s="623"/>
      <c r="Q436" s="623"/>
      <c r="R436" s="624"/>
      <c r="S436" s="625"/>
      <c r="T436" s="255"/>
      <c r="U436" s="255"/>
      <c r="V436" s="131"/>
      <c r="W436" s="131"/>
      <c r="X436" s="131"/>
      <c r="Y436" s="131"/>
      <c r="Z436" s="131"/>
      <c r="AA436" s="514"/>
      <c r="AB436" s="255"/>
      <c r="AC436" s="131"/>
      <c r="AD436" s="37" t="s">
        <v>118</v>
      </c>
      <c r="AE436" s="626"/>
      <c r="AF436" s="627"/>
      <c r="AG436" s="628"/>
      <c r="AH436" s="629"/>
      <c r="AI436" s="515"/>
      <c r="AJ436" s="258"/>
      <c r="AK436" s="258"/>
      <c r="AL436" s="258"/>
      <c r="AM436" s="627"/>
      <c r="AN436" s="207"/>
      <c r="AO436" s="207"/>
      <c r="AP436" s="207"/>
      <c r="AQ436" s="515"/>
      <c r="AR436" s="121"/>
      <c r="AS436" s="121"/>
      <c r="AT436" s="121"/>
      <c r="AU436" s="568"/>
      <c r="AV436" s="121"/>
      <c r="AW436" s="121" t="s">
        <v>116</v>
      </c>
      <c r="AX436" s="121" t="s">
        <v>115</v>
      </c>
      <c r="AY436" s="568"/>
      <c r="AZ436" s="362" t="s">
        <v>116</v>
      </c>
      <c r="BA436" s="162" t="s">
        <v>116</v>
      </c>
      <c r="BB436" s="618" t="s">
        <v>297</v>
      </c>
      <c r="BC436" s="568"/>
      <c r="BD436" s="362"/>
      <c r="BE436" s="362"/>
      <c r="BF436" s="362"/>
      <c r="BG436" s="568"/>
      <c r="BH436" s="92"/>
      <c r="BI436" s="569"/>
      <c r="BJ436" s="569"/>
      <c r="BK436" s="239"/>
      <c r="BL436" s="260"/>
      <c r="BM436" s="241"/>
      <c r="BN436" s="273"/>
      <c r="BO436" s="274"/>
      <c r="BP436" s="630"/>
      <c r="BQ436" s="191"/>
      <c r="BR436" s="110"/>
      <c r="BS436" s="242"/>
      <c r="BT436" s="203"/>
      <c r="BU436" s="167">
        <f>BN436*BQ436</f>
        <v>0</v>
      </c>
      <c r="BV436" s="168">
        <f>BO436*BQ436</f>
        <v>0</v>
      </c>
      <c r="BW436" s="131"/>
      <c r="BX436" s="131"/>
      <c r="BY436" s="207"/>
      <c r="BZ436" s="110"/>
      <c r="CA436" s="242"/>
      <c r="CB436" s="101"/>
      <c r="CC436" s="106">
        <f>BN436*BY436</f>
        <v>0</v>
      </c>
      <c r="CD436" s="107">
        <f>BO436*BY436</f>
        <v>0</v>
      </c>
      <c r="CE436" s="566"/>
      <c r="CF436" s="338"/>
      <c r="CG436" s="338"/>
      <c r="CH436" s="338"/>
      <c r="CI436" s="338"/>
      <c r="CJ436" s="338"/>
      <c r="CK436" s="338"/>
      <c r="CL436" s="338"/>
      <c r="CM436" s="338"/>
      <c r="CN436" s="338"/>
      <c r="CO436" s="338"/>
      <c r="CP436" s="338"/>
      <c r="CQ436" s="338"/>
      <c r="CR436" s="338"/>
      <c r="CS436" s="338"/>
      <c r="CT436" s="338"/>
      <c r="CU436" s="663">
        <v>1</v>
      </c>
      <c r="CV436" s="331"/>
      <c r="CW436" s="631"/>
      <c r="CX436" s="331"/>
      <c r="CY436" s="155" t="s">
        <v>215</v>
      </c>
      <c r="CZ436" s="331"/>
      <c r="DA436" s="662" t="s">
        <v>2358</v>
      </c>
      <c r="DB436" s="115" t="str">
        <f>PROPER(N436)</f>
        <v>Primadonna</v>
      </c>
      <c r="DC436" s="191" t="s">
        <v>2359</v>
      </c>
      <c r="DD436" s="116">
        <f>BP436</f>
        <v>0</v>
      </c>
      <c r="DE436" s="117">
        <f>IF(OR(D436&gt;0),IF(BJ436=0,BN436*BQ436,0))</f>
        <v>0</v>
      </c>
      <c r="DF436" s="117">
        <f>IF(OR(D436&gt;0),IF(BJ436=0,BN436*BY436,0))</f>
        <v>0</v>
      </c>
      <c r="DG436" s="113">
        <f>BX436</f>
        <v>0</v>
      </c>
      <c r="DH436" s="76"/>
      <c r="DI436" s="120" t="s">
        <v>154</v>
      </c>
      <c r="DJ436" s="120"/>
      <c r="DK436" s="331"/>
      <c r="DL436" s="331"/>
      <c r="DM436" s="248"/>
    </row>
    <row r="437" spans="1:130" ht="34.5" hidden="1" customHeight="1">
      <c r="A437" s="228"/>
      <c r="B437" s="121" t="s">
        <v>1928</v>
      </c>
      <c r="C437" s="155"/>
      <c r="D437" s="75"/>
      <c r="E437" s="121"/>
      <c r="F437" s="121"/>
      <c r="G437" s="393" t="s">
        <v>290</v>
      </c>
      <c r="H437" s="393" t="s">
        <v>2360</v>
      </c>
      <c r="I437" s="664" t="s">
        <v>2361</v>
      </c>
      <c r="J437" s="155" t="str">
        <f>CONCATENATE(G437," ",H437)</f>
        <v>Claudio Brizzi</v>
      </c>
      <c r="K437" s="224">
        <v>3357491326</v>
      </c>
      <c r="L437" s="183"/>
      <c r="M437" s="183"/>
      <c r="N437" s="160"/>
      <c r="O437" s="622"/>
      <c r="P437" s="623"/>
      <c r="Q437" s="623"/>
      <c r="R437" s="624"/>
      <c r="S437" s="625"/>
      <c r="T437" s="255"/>
      <c r="U437" s="255"/>
      <c r="V437" s="131"/>
      <c r="W437" s="131"/>
      <c r="X437" s="131"/>
      <c r="Y437" s="131"/>
      <c r="Z437" s="131"/>
      <c r="AA437" s="514"/>
      <c r="AB437" s="255"/>
      <c r="AC437" s="131"/>
      <c r="AD437" s="121"/>
      <c r="AE437" s="626"/>
      <c r="AF437" s="627"/>
      <c r="AG437" s="628"/>
      <c r="AH437" s="629"/>
      <c r="AI437" s="515"/>
      <c r="AJ437" s="258"/>
      <c r="AK437" s="258"/>
      <c r="AL437" s="258"/>
      <c r="AM437" s="627"/>
      <c r="AN437" s="207"/>
      <c r="AO437" s="207"/>
      <c r="AP437" s="207"/>
      <c r="AQ437" s="515"/>
      <c r="AR437" s="121"/>
      <c r="AS437" s="121"/>
      <c r="AT437" s="121"/>
      <c r="AU437" s="568"/>
      <c r="AV437" s="121" t="s">
        <v>116</v>
      </c>
      <c r="AW437" s="121"/>
      <c r="AX437" s="121"/>
      <c r="AY437" s="568"/>
      <c r="AZ437" s="362"/>
      <c r="BA437" s="153"/>
      <c r="BB437" s="153"/>
      <c r="BC437" s="568"/>
      <c r="BD437" s="362" t="s">
        <v>116</v>
      </c>
      <c r="BE437" s="362" t="s">
        <v>116</v>
      </c>
      <c r="BF437" s="362" t="s">
        <v>116</v>
      </c>
      <c r="BG437" s="568"/>
      <c r="BH437" s="92">
        <f>CF437+CI437+CL437+CO437+CR437</f>
        <v>0</v>
      </c>
      <c r="BI437" s="569"/>
      <c r="BJ437" s="569"/>
      <c r="BK437" s="239"/>
      <c r="BL437" s="260"/>
      <c r="BM437" s="241"/>
      <c r="BN437" s="273"/>
      <c r="BO437" s="274"/>
      <c r="BP437" s="630"/>
      <c r="BQ437" s="191"/>
      <c r="BR437" s="110"/>
      <c r="BS437" s="242"/>
      <c r="BT437" s="203"/>
      <c r="BU437" s="167"/>
      <c r="BV437" s="168">
        <f>BO437*BQ437</f>
        <v>0</v>
      </c>
      <c r="BW437" s="131"/>
      <c r="BX437" s="131"/>
      <c r="BY437" s="207"/>
      <c r="BZ437" s="110"/>
      <c r="CA437" s="242"/>
      <c r="CB437" s="101"/>
      <c r="CC437" s="106"/>
      <c r="CD437" s="107">
        <f>BO437*BY437</f>
        <v>0</v>
      </c>
      <c r="CE437" s="566"/>
      <c r="CF437" s="338"/>
      <c r="CG437" s="338"/>
      <c r="CH437" s="338"/>
      <c r="CI437" s="338"/>
      <c r="CJ437" s="338"/>
      <c r="CK437" s="338"/>
      <c r="CL437" s="338"/>
      <c r="CM437" s="338"/>
      <c r="CN437" s="338"/>
      <c r="CO437" s="338"/>
      <c r="CP437" s="338"/>
      <c r="CQ437" s="338"/>
      <c r="CR437" s="338"/>
      <c r="CS437" s="338"/>
      <c r="CT437" s="338"/>
      <c r="CU437" s="663">
        <v>1</v>
      </c>
      <c r="CV437" s="331"/>
      <c r="CW437" s="631"/>
      <c r="CX437" s="331"/>
      <c r="CY437" s="155" t="s">
        <v>215</v>
      </c>
      <c r="CZ437" s="331"/>
      <c r="DA437" s="665"/>
      <c r="DB437" s="115" t="str">
        <f>PROPER(N437)</f>
        <v/>
      </c>
      <c r="DC437" s="191" t="s">
        <v>2362</v>
      </c>
      <c r="DD437" s="116">
        <f>BP437</f>
        <v>0</v>
      </c>
      <c r="DE437" s="117" t="b">
        <f>IF(OR(D437&gt;0),IF(BJ437=0,BN437*BQ437,0))</f>
        <v>0</v>
      </c>
      <c r="DF437" s="117" t="b">
        <f>IF(OR(D437&gt;0),IF(BJ437=0,BN437*BY437,0))</f>
        <v>0</v>
      </c>
      <c r="DG437" s="113">
        <f>BX437</f>
        <v>0</v>
      </c>
      <c r="DH437" s="76"/>
      <c r="DI437" s="120" t="s">
        <v>154</v>
      </c>
      <c r="DJ437" s="120"/>
      <c r="DK437" s="331"/>
      <c r="DL437" s="331"/>
      <c r="DM437" s="248"/>
    </row>
    <row r="438" spans="1:130" ht="34.5" hidden="1" customHeight="1">
      <c r="A438" s="228"/>
      <c r="B438" s="121" t="s">
        <v>1139</v>
      </c>
      <c r="C438" s="155"/>
      <c r="D438" s="75"/>
      <c r="E438" s="121">
        <v>1</v>
      </c>
      <c r="F438" s="121"/>
      <c r="G438" s="840" t="s">
        <v>1299</v>
      </c>
      <c r="H438" s="840" t="s">
        <v>1300</v>
      </c>
      <c r="I438" s="1832" t="s">
        <v>1301</v>
      </c>
      <c r="J438" s="121" t="str">
        <f>CONCATENATE(G438," ",H438)</f>
        <v>Samuele Miserocchi</v>
      </c>
      <c r="K438" s="156" t="s">
        <v>1302</v>
      </c>
      <c r="L438" s="160" t="s">
        <v>1303</v>
      </c>
      <c r="M438" s="131" t="s">
        <v>355</v>
      </c>
      <c r="N438" s="160" t="s">
        <v>1191</v>
      </c>
      <c r="O438" s="841"/>
      <c r="P438" s="131"/>
      <c r="Q438" s="131"/>
      <c r="R438" s="252"/>
      <c r="S438" s="254"/>
      <c r="T438" s="254"/>
      <c r="U438" s="254"/>
      <c r="V438" s="254"/>
      <c r="W438" s="131"/>
      <c r="X438" s="131"/>
      <c r="Y438" s="131"/>
      <c r="Z438" s="131"/>
      <c r="AA438" s="131"/>
      <c r="AB438" s="255"/>
      <c r="AC438" s="256"/>
      <c r="AD438" s="121" t="s">
        <v>1192</v>
      </c>
      <c r="AE438" s="160" t="str">
        <f>L438</f>
        <v>CONERMATO PRESEZA MIV AL 24/9 ORE 15,15</v>
      </c>
      <c r="AF438" s="198"/>
      <c r="AG438" s="155"/>
      <c r="AH438" s="155"/>
      <c r="AI438" s="198"/>
      <c r="AJ438" s="155"/>
      <c r="AK438" s="155"/>
      <c r="AL438" s="155"/>
      <c r="AM438" s="198"/>
      <c r="AN438" s="258"/>
      <c r="AO438" s="258"/>
      <c r="AP438" s="258"/>
      <c r="AQ438" s="198"/>
      <c r="AR438" s="121" t="s">
        <v>115</v>
      </c>
      <c r="AS438" s="121"/>
      <c r="AT438" s="121" t="s">
        <v>115</v>
      </c>
      <c r="AU438" s="235"/>
      <c r="AV438" s="121"/>
      <c r="AW438" s="121"/>
      <c r="AX438" s="121"/>
      <c r="AY438" s="235"/>
      <c r="AZ438" s="362"/>
      <c r="BA438" s="362" t="s">
        <v>115</v>
      </c>
      <c r="BB438" s="553" t="s">
        <v>116</v>
      </c>
      <c r="BC438" s="235"/>
      <c r="BD438" s="362"/>
      <c r="BE438" s="362"/>
      <c r="BF438" s="362"/>
      <c r="BG438" s="235"/>
      <c r="BH438" s="92">
        <f>CF438+CI438+CL438+CO438+CR438</f>
        <v>0</v>
      </c>
      <c r="BI438" s="569">
        <f>CH438+CK438+CN438+CQ438+CT438</f>
        <v>0</v>
      </c>
      <c r="BJ438" s="569">
        <f>BH438-BI438</f>
        <v>0</v>
      </c>
      <c r="BK438" s="239"/>
      <c r="BL438" s="260">
        <f>BH438</f>
        <v>0</v>
      </c>
      <c r="BM438" s="241"/>
      <c r="BN438" s="142"/>
      <c r="BO438" s="182"/>
      <c r="BP438" s="825" t="s">
        <v>407</v>
      </c>
      <c r="BQ438" s="145">
        <v>0.15</v>
      </c>
      <c r="BR438" s="110"/>
      <c r="BS438" s="242">
        <f>BL438*BQ438</f>
        <v>0</v>
      </c>
      <c r="BT438" s="203">
        <f>BM438*BQ438</f>
        <v>0</v>
      </c>
      <c r="BU438" s="167">
        <f>BN438*BQ438</f>
        <v>0</v>
      </c>
      <c r="BV438" s="168">
        <f>BO438*BQ438</f>
        <v>0</v>
      </c>
      <c r="BW438" s="387" t="s">
        <v>1076</v>
      </c>
      <c r="BX438" s="825" t="s">
        <v>407</v>
      </c>
      <c r="BY438" s="145">
        <v>0.05</v>
      </c>
      <c r="BZ438" s="110"/>
      <c r="CA438" s="242">
        <f>BL438*BY438</f>
        <v>0</v>
      </c>
      <c r="CB438" s="101">
        <f>BM438*BY438</f>
        <v>0</v>
      </c>
      <c r="CC438" s="106">
        <f>BN438*BY438</f>
        <v>0</v>
      </c>
      <c r="CD438" s="107">
        <f>BO438*BY438</f>
        <v>0</v>
      </c>
      <c r="CE438" s="319" t="s">
        <v>1076</v>
      </c>
      <c r="CF438" s="110"/>
      <c r="CG438" s="226"/>
      <c r="CH438" s="110"/>
      <c r="CI438" s="110"/>
      <c r="CJ438" s="348"/>
      <c r="CK438" s="110"/>
      <c r="CL438" s="110"/>
      <c r="CM438" s="263"/>
      <c r="CN438" s="110"/>
      <c r="CO438" s="110"/>
      <c r="CP438" s="226"/>
      <c r="CQ438" s="110"/>
      <c r="CR438" s="110"/>
      <c r="CS438" s="226"/>
      <c r="CT438" s="110"/>
      <c r="CU438" s="245"/>
      <c r="CV438" s="181"/>
      <c r="CW438" s="369"/>
      <c r="CX438" s="207"/>
      <c r="CY438" s="155" t="s">
        <v>122</v>
      </c>
      <c r="CZ438" s="155"/>
      <c r="DA438" s="204" t="s">
        <v>1193</v>
      </c>
      <c r="DB438" s="115" t="s">
        <v>1194</v>
      </c>
      <c r="DC438" s="116" t="s">
        <v>1195</v>
      </c>
      <c r="DD438" s="116" t="str">
        <f>BP438</f>
        <v>Stefano</v>
      </c>
      <c r="DE438" s="117" t="b">
        <f>IF(OR(D438&gt;0),IF(BJ438=0,BN438*BQ438,0))</f>
        <v>0</v>
      </c>
      <c r="DF438" s="117" t="b">
        <f>IF(OR(D438&gt;0),IF(BJ438=0,BN438*BY438,0))</f>
        <v>0</v>
      </c>
      <c r="DG438" s="116" t="str">
        <f>BX438</f>
        <v>Stefano</v>
      </c>
      <c r="DH438" s="76"/>
      <c r="DI438" s="120" t="s">
        <v>126</v>
      </c>
      <c r="DJ438" s="120"/>
      <c r="DK438" s="207"/>
      <c r="DL438" s="207"/>
      <c r="DM438" s="264">
        <v>1</v>
      </c>
      <c r="DN438" s="265"/>
      <c r="DO438" s="265"/>
      <c r="DP438" s="265"/>
      <c r="DQ438" s="265"/>
      <c r="DR438" s="265"/>
      <c r="DS438" s="265"/>
      <c r="DT438" s="265"/>
      <c r="DU438" s="265"/>
      <c r="DV438" s="265"/>
      <c r="DW438" s="265"/>
      <c r="DX438" s="265"/>
      <c r="DY438" s="265"/>
      <c r="DZ438" s="265"/>
    </row>
    <row r="439" spans="1:130" ht="34.5" hidden="1" customHeight="1">
      <c r="A439" s="3"/>
      <c r="B439" s="121" t="s">
        <v>108</v>
      </c>
      <c r="C439" s="121"/>
      <c r="D439" s="75">
        <v>1</v>
      </c>
      <c r="E439" s="121">
        <v>1</v>
      </c>
      <c r="F439" s="121"/>
      <c r="G439" s="1822" t="s">
        <v>208</v>
      </c>
      <c r="H439" s="1827" t="s">
        <v>205</v>
      </c>
      <c r="I439" s="131" t="s">
        <v>209</v>
      </c>
      <c r="J439" s="121" t="str">
        <f>CONCATENATE(G439," ",H439)</f>
        <v>Sara Guerretta</v>
      </c>
      <c r="K439" s="156">
        <v>3420462496</v>
      </c>
      <c r="L439" s="157"/>
      <c r="M439" s="176" t="s">
        <v>199</v>
      </c>
      <c r="N439" s="160" t="s">
        <v>200</v>
      </c>
      <c r="O439" s="1933"/>
      <c r="P439" s="86"/>
      <c r="Q439" s="86"/>
      <c r="R439" s="86"/>
      <c r="S439" s="86"/>
      <c r="T439" s="86"/>
      <c r="U439" s="86"/>
      <c r="V439" s="86"/>
      <c r="W439" s="86"/>
      <c r="X439" s="86"/>
      <c r="Y439" s="87"/>
      <c r="Z439" s="86"/>
      <c r="AA439" s="86"/>
      <c r="AB439" s="86"/>
      <c r="AC439" s="86"/>
      <c r="AD439" s="86" t="s">
        <v>207</v>
      </c>
      <c r="AE439" s="234">
        <f>L439</f>
        <v>0</v>
      </c>
      <c r="AF439" s="198"/>
      <c r="AG439" s="121"/>
      <c r="AH439" s="121"/>
      <c r="AI439" s="198"/>
      <c r="AJ439" s="121"/>
      <c r="AK439" s="121"/>
      <c r="AL439" s="121"/>
      <c r="AM439" s="198"/>
      <c r="AN439" s="155"/>
      <c r="AO439" s="155"/>
      <c r="AP439" s="155"/>
      <c r="AQ439" s="198"/>
      <c r="AR439" s="121"/>
      <c r="AS439" s="121"/>
      <c r="AT439" s="121"/>
      <c r="AU439" s="235"/>
      <c r="AV439" s="121"/>
      <c r="AW439" s="121"/>
      <c r="AX439" s="121"/>
      <c r="AY439" s="235"/>
      <c r="AZ439" s="362" t="s">
        <v>115</v>
      </c>
      <c r="BA439" s="362" t="s">
        <v>115</v>
      </c>
      <c r="BB439" s="1999" t="s">
        <v>115</v>
      </c>
      <c r="BC439" s="235"/>
      <c r="BD439" s="362"/>
      <c r="BE439" s="362"/>
      <c r="BF439" s="362"/>
      <c r="BG439" s="235"/>
      <c r="BH439" s="92">
        <f>CF439+CI439+CL439+CO439+CR439</f>
        <v>2996.9986885245903</v>
      </c>
      <c r="BI439" s="569">
        <f>CH439+CK439+CN439+CQ439+CT439</f>
        <v>2996.9986885245903</v>
      </c>
      <c r="BJ439" s="569">
        <f>BH439-BI439</f>
        <v>0</v>
      </c>
      <c r="BK439" s="199"/>
      <c r="BL439" s="200"/>
      <c r="BM439" s="241"/>
      <c r="BN439" s="142">
        <v>2997</v>
      </c>
      <c r="BO439" s="182"/>
      <c r="BP439" s="131" t="s">
        <v>184</v>
      </c>
      <c r="BQ439" s="98">
        <v>0.15</v>
      </c>
      <c r="BR439" s="201"/>
      <c r="BS439" s="202"/>
      <c r="BT439" s="203">
        <f>BM439*BQ439</f>
        <v>0</v>
      </c>
      <c r="BU439" s="167">
        <f>BN439*BQ439</f>
        <v>449.55</v>
      </c>
      <c r="BV439" s="168">
        <f>BO439*BQ439</f>
        <v>0</v>
      </c>
      <c r="BW439" s="160" t="s">
        <v>185</v>
      </c>
      <c r="BX439" s="825" t="s">
        <v>184</v>
      </c>
      <c r="BY439" s="98">
        <v>0.05</v>
      </c>
      <c r="BZ439" s="201"/>
      <c r="CA439" s="202"/>
      <c r="CB439" s="101">
        <f>BM439*BY439</f>
        <v>0</v>
      </c>
      <c r="CC439" s="106">
        <f>BN439*BY439</f>
        <v>149.85</v>
      </c>
      <c r="CD439" s="107">
        <f>BO439*BY439</f>
        <v>0</v>
      </c>
      <c r="CE439" s="160" t="s">
        <v>185</v>
      </c>
      <c r="CF439" s="110">
        <f>2997/2/1.22</f>
        <v>1228.2786885245903</v>
      </c>
      <c r="CG439" s="226">
        <v>45040</v>
      </c>
      <c r="CH439" s="110">
        <f>2997/2/1.22</f>
        <v>1228.2786885245903</v>
      </c>
      <c r="CI439" s="110">
        <v>1768.72</v>
      </c>
      <c r="CJ439" s="226">
        <v>45169</v>
      </c>
      <c r="CK439" s="110">
        <v>1768.72</v>
      </c>
      <c r="CL439" s="206"/>
      <c r="CM439" s="226"/>
      <c r="CN439" s="206"/>
      <c r="CO439" s="206"/>
      <c r="CP439" s="206"/>
      <c r="CQ439" s="206"/>
      <c r="CR439" s="206"/>
      <c r="CS439" s="206"/>
      <c r="CT439" s="206"/>
      <c r="CU439" s="245">
        <v>1</v>
      </c>
      <c r="CV439" s="181" t="s">
        <v>121</v>
      </c>
      <c r="CW439" s="369"/>
      <c r="CX439" s="207"/>
      <c r="CY439" s="155" t="s">
        <v>122</v>
      </c>
      <c r="CZ439" s="155"/>
      <c r="DA439" s="301" t="s">
        <v>202</v>
      </c>
      <c r="DB439" s="115" t="str">
        <f>PROPER(N439)</f>
        <v>Veicoli Blindati Nom</v>
      </c>
      <c r="DC439" s="191" t="s">
        <v>203</v>
      </c>
      <c r="DD439" s="116" t="str">
        <f>BP439</f>
        <v>Cristian A</v>
      </c>
      <c r="DE439" s="117">
        <f>IF(OR(D439&gt;0),IF(BJ439=0,BN439*BQ439,0))</f>
        <v>449.55</v>
      </c>
      <c r="DF439" s="117">
        <f>IF(OR(D439&gt;0),IF(BJ439=0,BN439*BY439,0))</f>
        <v>149.85</v>
      </c>
      <c r="DG439" s="116" t="str">
        <f>BX439</f>
        <v>Cristian A</v>
      </c>
      <c r="DH439" s="76"/>
      <c r="DI439" s="120" t="s">
        <v>126</v>
      </c>
      <c r="DJ439" s="120"/>
      <c r="DK439" s="121"/>
      <c r="DL439" s="121"/>
      <c r="DM439" s="122">
        <v>1</v>
      </c>
      <c r="DN439" s="6"/>
      <c r="DO439" s="6"/>
      <c r="DP439" s="6"/>
      <c r="DQ439" s="6"/>
      <c r="DR439" s="6"/>
      <c r="DS439" s="6"/>
      <c r="DT439" s="6"/>
      <c r="DU439" s="6"/>
      <c r="DV439" s="6"/>
      <c r="DW439" s="6"/>
      <c r="DX439" s="6"/>
      <c r="DY439" s="6"/>
      <c r="DZ439" s="6"/>
    </row>
    <row r="440" spans="1:130" ht="34.5" hidden="1" customHeight="1">
      <c r="A440" s="228"/>
      <c r="B440" s="121" t="s">
        <v>1928</v>
      </c>
      <c r="C440" s="155"/>
      <c r="D440" s="75"/>
      <c r="E440" s="121"/>
      <c r="F440" s="121"/>
      <c r="G440" s="659" t="s">
        <v>2371</v>
      </c>
      <c r="H440" s="659" t="s">
        <v>2372</v>
      </c>
      <c r="I440" s="669" t="s">
        <v>2373</v>
      </c>
      <c r="J440" s="155" t="str">
        <f>CONCATENATE(G440," ",H440)</f>
        <v>Denis Porcinai</v>
      </c>
      <c r="K440" s="224"/>
      <c r="L440" s="183" t="s">
        <v>764</v>
      </c>
      <c r="M440" s="183"/>
      <c r="N440" s="160" t="s">
        <v>2374</v>
      </c>
      <c r="O440" s="622"/>
      <c r="P440" s="623"/>
      <c r="Q440" s="623"/>
      <c r="R440" s="624"/>
      <c r="S440" s="625"/>
      <c r="T440" s="255"/>
      <c r="U440" s="255"/>
      <c r="V440" s="131"/>
      <c r="W440" s="131"/>
      <c r="X440" s="131"/>
      <c r="Y440" s="131"/>
      <c r="Z440" s="131"/>
      <c r="AA440" s="514"/>
      <c r="AB440" s="255"/>
      <c r="AC440" s="131"/>
      <c r="AD440" s="37" t="s">
        <v>118</v>
      </c>
      <c r="AE440" s="626"/>
      <c r="AF440" s="627"/>
      <c r="AG440" s="628"/>
      <c r="AH440" s="629"/>
      <c r="AI440" s="515"/>
      <c r="AJ440" s="258"/>
      <c r="AK440" s="258"/>
      <c r="AL440" s="258"/>
      <c r="AM440" s="627"/>
      <c r="AN440" s="207"/>
      <c r="AO440" s="207"/>
      <c r="AP440" s="207"/>
      <c r="AQ440" s="515"/>
      <c r="AR440" s="121"/>
      <c r="AS440" s="121"/>
      <c r="AT440" s="121"/>
      <c r="AU440" s="568"/>
      <c r="AV440" s="121"/>
      <c r="AW440" s="362"/>
      <c r="AX440" s="362"/>
      <c r="AY440" s="568"/>
      <c r="AZ440" s="154" t="s">
        <v>297</v>
      </c>
      <c r="BA440" s="362"/>
      <c r="BB440" s="362"/>
      <c r="BC440" s="568"/>
      <c r="BD440" s="121" t="s">
        <v>116</v>
      </c>
      <c r="BE440" s="362" t="s">
        <v>116</v>
      </c>
      <c r="BF440" s="362" t="s">
        <v>116</v>
      </c>
      <c r="BG440" s="568"/>
      <c r="BH440" s="92"/>
      <c r="BI440" s="569"/>
      <c r="BJ440" s="569"/>
      <c r="BK440" s="239"/>
      <c r="BL440" s="260"/>
      <c r="BM440" s="241"/>
      <c r="BN440" s="142"/>
      <c r="BO440" s="182"/>
      <c r="BP440" s="630"/>
      <c r="BQ440" s="191"/>
      <c r="BR440" s="110"/>
      <c r="BS440" s="242"/>
      <c r="BT440" s="203"/>
      <c r="BU440" s="167">
        <f>BN440*BQ440</f>
        <v>0</v>
      </c>
      <c r="BV440" s="168">
        <f>BO440*BQ440</f>
        <v>0</v>
      </c>
      <c r="BW440" s="131"/>
      <c r="BX440" s="131"/>
      <c r="BY440" s="207"/>
      <c r="BZ440" s="110"/>
      <c r="CA440" s="242"/>
      <c r="CB440" s="101"/>
      <c r="CC440" s="106">
        <f>BN440*BY440</f>
        <v>0</v>
      </c>
      <c r="CD440" s="107">
        <f>BO440*BY440</f>
        <v>0</v>
      </c>
      <c r="CE440" s="566"/>
      <c r="CF440" s="338"/>
      <c r="CG440" s="338"/>
      <c r="CH440" s="338"/>
      <c r="CI440" s="338"/>
      <c r="CJ440" s="338"/>
      <c r="CK440" s="338"/>
      <c r="CL440" s="338"/>
      <c r="CM440" s="338"/>
      <c r="CN440" s="338"/>
      <c r="CO440" s="338"/>
      <c r="CP440" s="338"/>
      <c r="CQ440" s="338"/>
      <c r="CR440" s="338"/>
      <c r="CS440" s="338"/>
      <c r="CT440" s="338"/>
      <c r="CU440" s="663">
        <v>1</v>
      </c>
      <c r="CV440" s="331"/>
      <c r="CW440" s="631"/>
      <c r="CX440" s="331"/>
      <c r="CY440" s="331"/>
      <c r="CZ440" s="331"/>
      <c r="DA440" s="668" t="s">
        <v>2375</v>
      </c>
      <c r="DB440" s="115" t="str">
        <f>PROPER(N440)</f>
        <v>Cgm - Compagnia Generale Macchine</v>
      </c>
      <c r="DC440" s="191" t="s">
        <v>2376</v>
      </c>
      <c r="DD440" s="116">
        <f>BP440</f>
        <v>0</v>
      </c>
      <c r="DE440" s="117" t="b">
        <f>IF(OR(D440&gt;0),IF(BJ440=0,BN440*BQ440,0))</f>
        <v>0</v>
      </c>
      <c r="DF440" s="117" t="b">
        <f>IF(OR(D440&gt;0),IF(BJ440=0,BN440*BY440,0))</f>
        <v>0</v>
      </c>
      <c r="DG440" s="116">
        <f>BX440</f>
        <v>0</v>
      </c>
      <c r="DH440" s="313"/>
      <c r="DI440" s="120" t="s">
        <v>154</v>
      </c>
      <c r="DJ440" s="120"/>
      <c r="DK440" s="331"/>
      <c r="DL440" s="331"/>
      <c r="DM440" s="248"/>
    </row>
    <row r="441" spans="1:130" ht="34.5" hidden="1" customHeight="1">
      <c r="A441" s="228"/>
      <c r="B441" s="121" t="s">
        <v>1359</v>
      </c>
      <c r="C441" s="155"/>
      <c r="D441" s="75"/>
      <c r="E441" s="121"/>
      <c r="F441" s="121"/>
      <c r="G441" s="1823" t="s">
        <v>208</v>
      </c>
      <c r="H441" s="1816" t="s">
        <v>2192</v>
      </c>
      <c r="I441" s="113" t="s">
        <v>2213</v>
      </c>
      <c r="J441" s="544" t="str">
        <f>CONCATENATE(G441," ",H441)</f>
        <v>Sara Polonioli</v>
      </c>
      <c r="K441" s="156"/>
      <c r="L441" s="156"/>
      <c r="M441" s="153"/>
      <c r="N441" s="160" t="s">
        <v>2196</v>
      </c>
      <c r="O441" s="1924"/>
      <c r="P441" s="160"/>
      <c r="Q441" s="160"/>
      <c r="R441" s="403"/>
      <c r="S441" s="160"/>
      <c r="T441" s="160"/>
      <c r="U441" s="160"/>
      <c r="V441" s="160"/>
      <c r="W441" s="160"/>
      <c r="X441" s="131"/>
      <c r="Y441" s="160"/>
      <c r="Z441" s="160"/>
      <c r="AA441" s="160"/>
      <c r="AB441" s="37"/>
      <c r="AC441" s="131"/>
      <c r="AD441" s="121" t="s">
        <v>2197</v>
      </c>
      <c r="AE441" s="234"/>
      <c r="AF441" s="515"/>
      <c r="AG441" s="406"/>
      <c r="AH441" s="406"/>
      <c r="AI441" s="515"/>
      <c r="AJ441" s="155"/>
      <c r="AK441" s="155"/>
      <c r="AL441" s="155"/>
      <c r="AM441" s="198"/>
      <c r="AN441" s="155"/>
      <c r="AO441" s="155"/>
      <c r="AP441" s="155"/>
      <c r="AQ441" s="198"/>
      <c r="AR441" s="121"/>
      <c r="AS441" s="121"/>
      <c r="AT441" s="121"/>
      <c r="AU441" s="235"/>
      <c r="AV441" s="121"/>
      <c r="AW441" s="121"/>
      <c r="AX441" s="121"/>
      <c r="AY441" s="235"/>
      <c r="AZ441" s="362"/>
      <c r="BA441" s="362"/>
      <c r="BB441" s="2001" t="s">
        <v>115</v>
      </c>
      <c r="BC441" s="235"/>
      <c r="BD441" s="362"/>
      <c r="BE441" s="362"/>
      <c r="BF441" s="362"/>
      <c r="BG441" s="235"/>
      <c r="BH441" s="92">
        <f>CF441+CI441+CL441+CO441+CR441</f>
        <v>997</v>
      </c>
      <c r="BI441" s="569">
        <f>CH441+CK441+CN441+CQ441+CT441</f>
        <v>997</v>
      </c>
      <c r="BJ441" s="569">
        <f>BH441-BI441</f>
        <v>0</v>
      </c>
      <c r="BK441" s="239"/>
      <c r="BL441" s="260"/>
      <c r="BM441" s="241"/>
      <c r="BN441" s="421">
        <v>997</v>
      </c>
      <c r="BO441" s="182"/>
      <c r="BP441" s="825" t="s">
        <v>246</v>
      </c>
      <c r="BQ441" s="98">
        <v>0.15</v>
      </c>
      <c r="BR441" s="110"/>
      <c r="BS441" s="242">
        <f>BL441*BQ441</f>
        <v>0</v>
      </c>
      <c r="BT441" s="203">
        <f>BM441*BQ441</f>
        <v>0</v>
      </c>
      <c r="BU441" s="167">
        <f>BN441*BQ441</f>
        <v>149.54999999999998</v>
      </c>
      <c r="BV441" s="168">
        <f>BO441*BQ441</f>
        <v>0</v>
      </c>
      <c r="BW441" s="131"/>
      <c r="BX441" s="825" t="s">
        <v>246</v>
      </c>
      <c r="BY441" s="145">
        <v>0.05</v>
      </c>
      <c r="BZ441" s="110"/>
      <c r="CA441" s="242">
        <f>BL441*BY441</f>
        <v>0</v>
      </c>
      <c r="CB441" s="101">
        <f>BM441*BY441</f>
        <v>0</v>
      </c>
      <c r="CC441" s="106">
        <f>BN441*BY441</f>
        <v>49.85</v>
      </c>
      <c r="CD441" s="107">
        <f>BO441*BY441</f>
        <v>0</v>
      </c>
      <c r="CE441" s="244"/>
      <c r="CF441" s="110">
        <v>997</v>
      </c>
      <c r="CG441" s="226">
        <v>45204</v>
      </c>
      <c r="CH441" s="110">
        <v>997</v>
      </c>
      <c r="CI441" s="415"/>
      <c r="CJ441" s="416"/>
      <c r="CK441" s="415"/>
      <c r="CL441" s="415"/>
      <c r="CM441" s="416"/>
      <c r="CN441" s="415"/>
      <c r="CO441" s="263"/>
      <c r="CP441" s="263"/>
      <c r="CQ441" s="263"/>
      <c r="CR441" s="263"/>
      <c r="CS441" s="263"/>
      <c r="CT441" s="263"/>
      <c r="CU441" s="245">
        <v>1</v>
      </c>
      <c r="CV441" s="181"/>
      <c r="CW441" s="507"/>
      <c r="CX441" s="431"/>
      <c r="CY441" s="155"/>
      <c r="CZ441" s="121"/>
      <c r="DA441" s="2151" t="s">
        <v>2198</v>
      </c>
      <c r="DB441" s="115" t="str">
        <f>PROPER(N441)</f>
        <v>Com.Pac.</v>
      </c>
      <c r="DC441" s="280" t="s">
        <v>1398</v>
      </c>
      <c r="DD441" s="116" t="str">
        <f>BP441</f>
        <v>Marco</v>
      </c>
      <c r="DE441" s="117" t="b">
        <f>IF(OR(D441&gt;0),IF(BJ441=0,BN441*BQ441,0))</f>
        <v>0</v>
      </c>
      <c r="DF441" s="117" t="b">
        <f>IF(OR(D441&gt;0),IF(BJ441=0,BN441*BY441,0))</f>
        <v>0</v>
      </c>
      <c r="DG441" s="118" t="str">
        <f>BX441</f>
        <v>Marco</v>
      </c>
      <c r="DH441" s="121"/>
      <c r="DI441" s="120" t="s">
        <v>126</v>
      </c>
      <c r="DJ441" s="120"/>
      <c r="DK441" s="74" t="s">
        <v>1366</v>
      </c>
      <c r="DL441" s="74" t="s">
        <v>1366</v>
      </c>
      <c r="DM441" s="122">
        <v>1</v>
      </c>
      <c r="DN441" s="6"/>
      <c r="DO441" s="6"/>
      <c r="DP441" s="6"/>
      <c r="DQ441" s="6"/>
      <c r="DR441" s="6"/>
      <c r="DS441" s="6"/>
      <c r="DT441" s="6"/>
      <c r="DU441" s="6"/>
      <c r="DV441" s="6"/>
      <c r="DW441" s="6"/>
      <c r="DX441" s="6"/>
      <c r="DY441" s="6"/>
      <c r="DZ441" s="6"/>
    </row>
    <row r="442" spans="1:130" ht="34.5" hidden="1" customHeight="1">
      <c r="A442" s="228"/>
      <c r="B442" s="121" t="s">
        <v>1928</v>
      </c>
      <c r="C442" s="155"/>
      <c r="D442" s="75"/>
      <c r="E442" s="313"/>
      <c r="F442" s="196"/>
      <c r="G442" s="659" t="s">
        <v>188</v>
      </c>
      <c r="H442" s="659" t="s">
        <v>2381</v>
      </c>
      <c r="I442" s="670" t="s">
        <v>2382</v>
      </c>
      <c r="J442" s="155" t="str">
        <f>CONCATENATE(G442," ",H442)</f>
        <v>Andrea Impiombato Andreani</v>
      </c>
      <c r="K442" s="224">
        <v>3316402258</v>
      </c>
      <c r="L442" s="183"/>
      <c r="M442" s="183"/>
      <c r="N442" s="160" t="s">
        <v>1289</v>
      </c>
      <c r="O442" s="622"/>
      <c r="P442" s="623"/>
      <c r="Q442" s="623"/>
      <c r="R442" s="624"/>
      <c r="S442" s="625"/>
      <c r="T442" s="255"/>
      <c r="U442" s="255"/>
      <c r="V442" s="131"/>
      <c r="W442" s="131"/>
      <c r="X442" s="131"/>
      <c r="Y442" s="131"/>
      <c r="Z442" s="131"/>
      <c r="AA442" s="514"/>
      <c r="AB442" s="255"/>
      <c r="AC442" s="131"/>
      <c r="AD442" s="121"/>
      <c r="AE442" s="626"/>
      <c r="AF442" s="627"/>
      <c r="AG442" s="628"/>
      <c r="AH442" s="629"/>
      <c r="AI442" s="515"/>
      <c r="AJ442" s="258"/>
      <c r="AK442" s="258"/>
      <c r="AL442" s="258"/>
      <c r="AM442" s="627"/>
      <c r="AN442" s="207"/>
      <c r="AO442" s="207"/>
      <c r="AP442" s="207"/>
      <c r="AQ442" s="515"/>
      <c r="AR442" s="121"/>
      <c r="AS442" s="121"/>
      <c r="AT442" s="121"/>
      <c r="AU442" s="568"/>
      <c r="AV442" s="19"/>
      <c r="AW442" s="19"/>
      <c r="AX442" s="154"/>
      <c r="AY442" s="568"/>
      <c r="AZ442" s="362"/>
      <c r="BA442" s="362"/>
      <c r="BB442" s="362"/>
      <c r="BC442" s="568"/>
      <c r="BD442" s="121" t="s">
        <v>116</v>
      </c>
      <c r="BE442" s="362" t="s">
        <v>116</v>
      </c>
      <c r="BF442" s="362" t="s">
        <v>116</v>
      </c>
      <c r="BG442" s="568"/>
      <c r="BH442" s="92"/>
      <c r="BI442" s="569"/>
      <c r="BJ442" s="569"/>
      <c r="BK442" s="239"/>
      <c r="BL442" s="260"/>
      <c r="BM442" s="241"/>
      <c r="BN442" s="273"/>
      <c r="BO442" s="274"/>
      <c r="BP442" s="630"/>
      <c r="BQ442" s="191"/>
      <c r="BR442" s="110"/>
      <c r="BS442" s="242"/>
      <c r="BT442" s="203"/>
      <c r="BU442" s="167"/>
      <c r="BV442" s="168"/>
      <c r="BW442" s="131"/>
      <c r="BX442" s="131"/>
      <c r="BY442" s="207"/>
      <c r="BZ442" s="110"/>
      <c r="CA442" s="242"/>
      <c r="CB442" s="101"/>
      <c r="CC442" s="106"/>
      <c r="CD442" s="107"/>
      <c r="CE442" s="566"/>
      <c r="CF442" s="338"/>
      <c r="CG442" s="338"/>
      <c r="CH442" s="338"/>
      <c r="CI442" s="338"/>
      <c r="CJ442" s="338"/>
      <c r="CK442" s="338"/>
      <c r="CL442" s="338"/>
      <c r="CM442" s="338"/>
      <c r="CN442" s="338"/>
      <c r="CO442" s="338"/>
      <c r="CP442" s="338"/>
      <c r="CQ442" s="338"/>
      <c r="CR442" s="338"/>
      <c r="CS442" s="338"/>
      <c r="CT442" s="338"/>
      <c r="CU442" s="663"/>
      <c r="CV442" s="331"/>
      <c r="CW442" s="631"/>
      <c r="CX442" s="331"/>
      <c r="CY442" s="155"/>
      <c r="CZ442" s="331"/>
      <c r="DA442" s="331"/>
      <c r="DB442" s="115" t="str">
        <f>PROPER(N442)</f>
        <v>Studio Andreani - Spazi Di Valore</v>
      </c>
      <c r="DC442" s="191" t="s">
        <v>1292</v>
      </c>
      <c r="DD442" s="116"/>
      <c r="DE442" s="117"/>
      <c r="DF442" s="117"/>
      <c r="DG442" s="116"/>
      <c r="DH442" s="313"/>
      <c r="DI442" s="120" t="s">
        <v>154</v>
      </c>
      <c r="DJ442" s="120"/>
      <c r="DK442" s="331"/>
      <c r="DL442" s="331"/>
      <c r="DM442" s="248"/>
    </row>
    <row r="443" spans="1:130" ht="34.5" hidden="1" customHeight="1">
      <c r="A443" s="228"/>
      <c r="B443" s="121" t="s">
        <v>1359</v>
      </c>
      <c r="C443" s="155"/>
      <c r="D443" s="75">
        <v>1</v>
      </c>
      <c r="E443" s="121">
        <v>1</v>
      </c>
      <c r="F443" s="121"/>
      <c r="G443" s="1816" t="s">
        <v>2115</v>
      </c>
      <c r="H443" s="1816" t="s">
        <v>2116</v>
      </c>
      <c r="I443" s="113" t="s">
        <v>2117</v>
      </c>
      <c r="J443" s="121" t="str">
        <f>CONCATENATE(G443," ",H443)</f>
        <v>Serena Moro</v>
      </c>
      <c r="K443" s="429">
        <v>3498496497</v>
      </c>
      <c r="L443" s="445" t="s">
        <v>2118</v>
      </c>
      <c r="M443" s="487" t="s">
        <v>2119</v>
      </c>
      <c r="N443" s="160" t="s">
        <v>2120</v>
      </c>
      <c r="O443" s="1924"/>
      <c r="P443" s="160"/>
      <c r="Q443" s="160"/>
      <c r="R443" s="403"/>
      <c r="S443" s="160"/>
      <c r="T443" s="160"/>
      <c r="U443" s="160"/>
      <c r="V443" s="160"/>
      <c r="W443" s="160"/>
      <c r="X443" s="131"/>
      <c r="Y443" s="160"/>
      <c r="Z443" s="160"/>
      <c r="AA443" s="160"/>
      <c r="AB443" s="37"/>
      <c r="AC443" s="131"/>
      <c r="AD443" s="121" t="s">
        <v>2121</v>
      </c>
      <c r="AE443" s="234"/>
      <c r="AF443" s="515"/>
      <c r="AG443" s="406"/>
      <c r="AH443" s="406"/>
      <c r="AI443" s="515"/>
      <c r="AJ443" s="155"/>
      <c r="AK443" s="155"/>
      <c r="AL443" s="155"/>
      <c r="AM443" s="198"/>
      <c r="AN443" s="155"/>
      <c r="AO443" s="155"/>
      <c r="AP443" s="155"/>
      <c r="AQ443" s="198"/>
      <c r="AR443" s="121"/>
      <c r="AS443" s="121"/>
      <c r="AT443" s="121"/>
      <c r="AU443" s="235"/>
      <c r="AV443" s="121"/>
      <c r="AW443" s="121"/>
      <c r="AX443" s="121"/>
      <c r="AY443" s="235"/>
      <c r="AZ443" s="362" t="s">
        <v>115</v>
      </c>
      <c r="BA443" s="362" t="s">
        <v>115</v>
      </c>
      <c r="BB443" s="121" t="s">
        <v>115</v>
      </c>
      <c r="BC443" s="235"/>
      <c r="BD443" s="362"/>
      <c r="BE443" s="362"/>
      <c r="BF443" s="362"/>
      <c r="BG443" s="235"/>
      <c r="BH443" s="92">
        <f>CF443+CI443+CL443+CO443+CR443</f>
        <v>2997</v>
      </c>
      <c r="BI443" s="569">
        <f>CH443+CK443+CN443+CQ443+CT443</f>
        <v>2997</v>
      </c>
      <c r="BJ443" s="569">
        <f>BH443-BI443</f>
        <v>0</v>
      </c>
      <c r="BK443" s="239"/>
      <c r="BL443" s="260"/>
      <c r="BM443" s="241"/>
      <c r="BN443" s="142">
        <v>2997</v>
      </c>
      <c r="BO443" s="182"/>
      <c r="BP443" s="825" t="s">
        <v>166</v>
      </c>
      <c r="BQ443" s="98">
        <v>0.15</v>
      </c>
      <c r="BR443" s="110"/>
      <c r="BS443" s="242">
        <f>BL443*BQ443</f>
        <v>0</v>
      </c>
      <c r="BT443" s="203">
        <f>BM443*BQ443</f>
        <v>0</v>
      </c>
      <c r="BU443" s="167">
        <f>BN443*BQ443</f>
        <v>449.55</v>
      </c>
      <c r="BV443" s="168">
        <f>BO443*BQ443</f>
        <v>0</v>
      </c>
      <c r="BW443" s="160" t="s">
        <v>185</v>
      </c>
      <c r="BX443" s="825" t="s">
        <v>166</v>
      </c>
      <c r="BY443" s="145">
        <v>0.05</v>
      </c>
      <c r="BZ443" s="110"/>
      <c r="CA443" s="242"/>
      <c r="CB443" s="101"/>
      <c r="CC443" s="106">
        <f>BN443*BY443</f>
        <v>149.85</v>
      </c>
      <c r="CD443" s="107">
        <f>BO443*BY443</f>
        <v>0</v>
      </c>
      <c r="CE443" s="160" t="s">
        <v>185</v>
      </c>
      <c r="CF443" s="110">
        <v>2997</v>
      </c>
      <c r="CG443" s="226">
        <v>45230</v>
      </c>
      <c r="CH443" s="110">
        <v>2997</v>
      </c>
      <c r="CI443" s="415"/>
      <c r="CJ443" s="416"/>
      <c r="CK443" s="415"/>
      <c r="CL443" s="415"/>
      <c r="CM443" s="416"/>
      <c r="CN443" s="415"/>
      <c r="CO443" s="263"/>
      <c r="CP443" s="263"/>
      <c r="CQ443" s="263"/>
      <c r="CR443" s="263"/>
      <c r="CS443" s="263"/>
      <c r="CT443" s="263"/>
      <c r="CU443" s="245">
        <v>1</v>
      </c>
      <c r="CV443" s="181"/>
      <c r="CW443" s="432"/>
      <c r="CX443" s="431"/>
      <c r="CY443" s="155"/>
      <c r="CZ443" s="121"/>
      <c r="DA443" s="2136" t="s">
        <v>2122</v>
      </c>
      <c r="DB443" s="115" t="str">
        <f>PROPER(N443)</f>
        <v>Cikis Studio</v>
      </c>
      <c r="DC443" s="280" t="s">
        <v>264</v>
      </c>
      <c r="DD443" s="116" t="str">
        <f>BP443</f>
        <v>Matteo</v>
      </c>
      <c r="DE443" s="117">
        <f>IF(OR(D443&gt;0),IF(BJ443=0,BN443*BQ443,0))</f>
        <v>449.55</v>
      </c>
      <c r="DF443" s="117">
        <f>IF(OR(D443&gt;0),IF(BJ443=0,BN443*BY443,0))</f>
        <v>149.85</v>
      </c>
      <c r="DG443" s="118" t="str">
        <f>BX443</f>
        <v>Matteo</v>
      </c>
      <c r="DH443" s="121"/>
      <c r="DI443" s="120" t="s">
        <v>126</v>
      </c>
      <c r="DJ443" s="120"/>
      <c r="DK443" s="74"/>
      <c r="DL443" s="74"/>
      <c r="DM443" s="122">
        <v>1</v>
      </c>
      <c r="DN443" s="6"/>
      <c r="DO443" s="6"/>
      <c r="DP443" s="6"/>
      <c r="DQ443" s="6"/>
      <c r="DR443" s="6"/>
      <c r="DS443" s="6"/>
      <c r="DT443" s="6"/>
      <c r="DU443" s="6"/>
      <c r="DV443" s="6"/>
      <c r="DW443" s="6"/>
      <c r="DX443" s="6"/>
      <c r="DY443" s="6"/>
      <c r="DZ443" s="6"/>
    </row>
    <row r="444" spans="1:130" ht="34.5" hidden="1" customHeight="1">
      <c r="A444" s="228"/>
      <c r="B444" s="121" t="s">
        <v>1928</v>
      </c>
      <c r="C444" s="155"/>
      <c r="D444" s="75"/>
      <c r="E444" s="313"/>
      <c r="F444" s="196"/>
      <c r="G444" s="659" t="s">
        <v>246</v>
      </c>
      <c r="H444" s="659" t="s">
        <v>2385</v>
      </c>
      <c r="I444" s="289" t="s">
        <v>2386</v>
      </c>
      <c r="J444" s="155" t="str">
        <f>CONCATENATE(G444," ",H444)</f>
        <v>Marco Antignano</v>
      </c>
      <c r="K444" s="224"/>
      <c r="L444" s="183"/>
      <c r="M444" s="183"/>
      <c r="N444" s="160" t="s">
        <v>2380</v>
      </c>
      <c r="O444" s="622"/>
      <c r="P444" s="623"/>
      <c r="Q444" s="623"/>
      <c r="R444" s="624"/>
      <c r="S444" s="625"/>
      <c r="T444" s="255"/>
      <c r="U444" s="255"/>
      <c r="V444" s="131"/>
      <c r="W444" s="131"/>
      <c r="X444" s="131"/>
      <c r="Y444" s="131"/>
      <c r="Z444" s="131"/>
      <c r="AA444" s="514"/>
      <c r="AB444" s="255"/>
      <c r="AC444" s="131"/>
      <c r="AD444" s="121"/>
      <c r="AE444" s="626"/>
      <c r="AF444" s="627"/>
      <c r="AG444" s="628"/>
      <c r="AH444" s="629"/>
      <c r="AI444" s="515"/>
      <c r="AJ444" s="258"/>
      <c r="AK444" s="258"/>
      <c r="AL444" s="258"/>
      <c r="AM444" s="627"/>
      <c r="AN444" s="207"/>
      <c r="AO444" s="207"/>
      <c r="AP444" s="207"/>
      <c r="AQ444" s="515"/>
      <c r="AR444" s="121"/>
      <c r="AS444" s="121"/>
      <c r="AT444" s="121"/>
      <c r="AU444" s="568"/>
      <c r="AV444" s="19" t="s">
        <v>116</v>
      </c>
      <c r="AW444" s="19" t="s">
        <v>116</v>
      </c>
      <c r="AX444" s="154" t="s">
        <v>116</v>
      </c>
      <c r="AY444" s="568"/>
      <c r="AZ444" s="362"/>
      <c r="BA444" s="362"/>
      <c r="BB444" s="362"/>
      <c r="BC444" s="568"/>
      <c r="BD444" s="362"/>
      <c r="BE444" s="362"/>
      <c r="BF444" s="362"/>
      <c r="BG444" s="568"/>
      <c r="BH444" s="92">
        <f>CF444+CI444+CL444+CO444+CR444</f>
        <v>0</v>
      </c>
      <c r="BI444" s="569"/>
      <c r="BJ444" s="569"/>
      <c r="BK444" s="239"/>
      <c r="BL444" s="260"/>
      <c r="BM444" s="241"/>
      <c r="BN444" s="273"/>
      <c r="BO444" s="274"/>
      <c r="BP444" s="630"/>
      <c r="BQ444" s="191"/>
      <c r="BR444" s="110"/>
      <c r="BS444" s="242"/>
      <c r="BT444" s="203"/>
      <c r="BU444" s="167"/>
      <c r="BV444" s="168">
        <f>BO444*BQ444</f>
        <v>0</v>
      </c>
      <c r="BW444" s="131"/>
      <c r="BX444" s="131"/>
      <c r="BY444" s="207"/>
      <c r="BZ444" s="110"/>
      <c r="CA444" s="242"/>
      <c r="CB444" s="101"/>
      <c r="CC444" s="106"/>
      <c r="CD444" s="107">
        <f>BO444*BY444</f>
        <v>0</v>
      </c>
      <c r="CE444" s="566"/>
      <c r="CF444" s="338"/>
      <c r="CG444" s="338"/>
      <c r="CH444" s="338"/>
      <c r="CI444" s="338"/>
      <c r="CJ444" s="338"/>
      <c r="CK444" s="338"/>
      <c r="CL444" s="338"/>
      <c r="CM444" s="338"/>
      <c r="CN444" s="338"/>
      <c r="CO444" s="338"/>
      <c r="CP444" s="338"/>
      <c r="CQ444" s="338"/>
      <c r="CR444" s="338"/>
      <c r="CS444" s="338"/>
      <c r="CT444" s="338"/>
      <c r="CU444" s="663">
        <v>1</v>
      </c>
      <c r="CV444" s="331"/>
      <c r="CW444" s="631"/>
      <c r="CX444" s="331"/>
      <c r="CY444" s="155"/>
      <c r="CZ444" s="331"/>
      <c r="DA444" s="543" t="s">
        <v>2342</v>
      </c>
      <c r="DB444" s="115" t="str">
        <f>PROPER(N444)</f>
        <v>Switch Up</v>
      </c>
      <c r="DC444" s="191" t="s">
        <v>2343</v>
      </c>
      <c r="DD444" s="116">
        <f>BP444</f>
        <v>0</v>
      </c>
      <c r="DE444" s="117" t="b">
        <f>IF(OR(D444&gt;0),IF(BJ444=0,BN444*BQ444,0))</f>
        <v>0</v>
      </c>
      <c r="DF444" s="117" t="b">
        <f>IF(OR(D444&gt;0),IF(BJ444=0,BN444*BY444,0))</f>
        <v>0</v>
      </c>
      <c r="DG444" s="116">
        <f>BX444</f>
        <v>0</v>
      </c>
      <c r="DH444" s="313"/>
      <c r="DI444" s="120" t="s">
        <v>154</v>
      </c>
      <c r="DJ444" s="120"/>
      <c r="DK444" s="331"/>
      <c r="DL444" s="331"/>
      <c r="DM444" s="248">
        <v>1</v>
      </c>
    </row>
    <row r="445" spans="1:130" ht="34.5" hidden="1" customHeight="1">
      <c r="A445" s="228"/>
      <c r="B445" s="121" t="s">
        <v>961</v>
      </c>
      <c r="C445" s="155"/>
      <c r="D445" s="75"/>
      <c r="E445" s="313"/>
      <c r="F445" s="121"/>
      <c r="G445" s="1824" t="s">
        <v>1056</v>
      </c>
      <c r="H445" s="1824" t="s">
        <v>1057</v>
      </c>
      <c r="I445" s="1832" t="s">
        <v>1058</v>
      </c>
      <c r="J445" s="179" t="str">
        <f>CONCATENATE(G445," ",H445)</f>
        <v>Sergio Prati</v>
      </c>
      <c r="K445" s="224">
        <v>3383581592</v>
      </c>
      <c r="L445" s="160" t="s">
        <v>1051</v>
      </c>
      <c r="M445" s="131"/>
      <c r="N445" s="160" t="s">
        <v>1059</v>
      </c>
      <c r="O445" s="599"/>
      <c r="P445" s="37"/>
      <c r="Q445" s="37"/>
      <c r="R445" s="131" t="s">
        <v>1060</v>
      </c>
      <c r="S445" s="160"/>
      <c r="T445" s="160"/>
      <c r="U445" s="160"/>
      <c r="V445" s="160"/>
      <c r="W445" s="233"/>
      <c r="X445" s="234"/>
      <c r="Y445" s="233"/>
      <c r="Z445" s="233"/>
      <c r="AA445" s="233"/>
      <c r="AB445" s="37"/>
      <c r="AC445" s="37"/>
      <c r="AD445" s="121" t="s">
        <v>1061</v>
      </c>
      <c r="AE445" s="160" t="str">
        <f>L445</f>
        <v>PORTATI DA MATTE</v>
      </c>
      <c r="AF445" s="198"/>
      <c r="AG445" s="121"/>
      <c r="AH445" s="121"/>
      <c r="AI445" s="198"/>
      <c r="AJ445" s="121"/>
      <c r="AK445" s="121"/>
      <c r="AL445" s="121"/>
      <c r="AM445" s="198"/>
      <c r="AN445" s="155" t="s">
        <v>115</v>
      </c>
      <c r="AO445" s="155"/>
      <c r="AP445" s="155"/>
      <c r="AQ445" s="198"/>
      <c r="AR445" s="121"/>
      <c r="AS445" s="154" t="s">
        <v>194</v>
      </c>
      <c r="AT445" s="154" t="s">
        <v>194</v>
      </c>
      <c r="AU445" s="235"/>
      <c r="AV445" s="121"/>
      <c r="AW445" s="121" t="s">
        <v>115</v>
      </c>
      <c r="AX445" s="121" t="s">
        <v>194</v>
      </c>
      <c r="AY445" s="235"/>
      <c r="AZ445" s="362"/>
      <c r="BA445" s="362"/>
      <c r="BB445" s="121" t="s">
        <v>115</v>
      </c>
      <c r="BC445" s="235"/>
      <c r="BD445" s="362"/>
      <c r="BE445" s="362"/>
      <c r="BF445" s="362"/>
      <c r="BG445" s="235"/>
      <c r="BH445" s="92">
        <f>CF445+CI445+CL445+CO445+CR445</f>
        <v>0</v>
      </c>
      <c r="BI445" s="569">
        <f>CH445+CK445+CN445+CQ445+CT445</f>
        <v>0</v>
      </c>
      <c r="BJ445" s="569">
        <f>BH445-BI445</f>
        <v>0</v>
      </c>
      <c r="BK445" s="239">
        <f>BI445</f>
        <v>0</v>
      </c>
      <c r="BL445" s="260">
        <f>BH445-BK445</f>
        <v>0</v>
      </c>
      <c r="BM445" s="241"/>
      <c r="BN445" s="273"/>
      <c r="BO445" s="274"/>
      <c r="BP445" s="243" t="s">
        <v>262</v>
      </c>
      <c r="BQ445" s="98">
        <v>0.15</v>
      </c>
      <c r="BR445" s="110">
        <f>BH445*BQ445</f>
        <v>0</v>
      </c>
      <c r="BS445" s="242"/>
      <c r="BT445" s="203"/>
      <c r="BU445" s="167">
        <f>BN445*BQ445</f>
        <v>0</v>
      </c>
      <c r="BV445" s="168">
        <f>BO445*BQ445</f>
        <v>0</v>
      </c>
      <c r="BW445" s="243" t="s">
        <v>968</v>
      </c>
      <c r="BX445" s="825" t="s">
        <v>262</v>
      </c>
      <c r="BY445" s="98">
        <v>0.05</v>
      </c>
      <c r="BZ445" s="110">
        <f>BH445*BY445</f>
        <v>0</v>
      </c>
      <c r="CA445" s="242"/>
      <c r="CB445" s="101">
        <f>BM445*BY445</f>
        <v>0</v>
      </c>
      <c r="CC445" s="106">
        <f>BN445*BY445</f>
        <v>0</v>
      </c>
      <c r="CD445" s="107">
        <f>BO445*BY445</f>
        <v>0</v>
      </c>
      <c r="CE445" s="244" t="s">
        <v>968</v>
      </c>
      <c r="CF445" s="110"/>
      <c r="CG445" s="286"/>
      <c r="CH445" s="110"/>
      <c r="CI445" s="110"/>
      <c r="CJ445" s="206"/>
      <c r="CK445" s="206"/>
      <c r="CL445" s="206"/>
      <c r="CM445" s="206"/>
      <c r="CN445" s="206"/>
      <c r="CO445" s="206"/>
      <c r="CP445" s="206"/>
      <c r="CQ445" s="206"/>
      <c r="CR445" s="206"/>
      <c r="CS445" s="206"/>
      <c r="CT445" s="206"/>
      <c r="CU445" s="245"/>
      <c r="CV445" s="181" t="s">
        <v>1047</v>
      </c>
      <c r="CW445" s="369"/>
      <c r="CX445" s="207"/>
      <c r="CY445" s="293" t="s">
        <v>122</v>
      </c>
      <c r="CZ445" s="155"/>
      <c r="DA445" s="131"/>
      <c r="DB445" s="115" t="str">
        <f>PROPER(N445)</f>
        <v>Etica Finanziaria</v>
      </c>
      <c r="DC445" s="191"/>
      <c r="DD445" s="116" t="str">
        <f>BP445</f>
        <v>Pacci</v>
      </c>
      <c r="DE445" s="117" t="b">
        <f>IF(OR(D445&gt;0),IF(BJ445=0,BN445*BQ445,0))</f>
        <v>0</v>
      </c>
      <c r="DF445" s="117" t="b">
        <f>IF(OR(D445&gt;0),IF(BJ445=0,BN445*BY445,0))</f>
        <v>0</v>
      </c>
      <c r="DG445" s="116" t="str">
        <f>BX445</f>
        <v>Pacci</v>
      </c>
      <c r="DH445" s="121"/>
      <c r="DI445" s="120" t="s">
        <v>126</v>
      </c>
      <c r="DJ445" s="120"/>
      <c r="DK445" s="207"/>
      <c r="DL445" s="207"/>
      <c r="DM445" s="248">
        <v>1</v>
      </c>
    </row>
    <row r="446" spans="1:130" ht="34.5" hidden="1" customHeight="1">
      <c r="A446" s="228"/>
      <c r="B446" s="154" t="s">
        <v>2283</v>
      </c>
      <c r="C446" s="155"/>
      <c r="D446" s="121"/>
      <c r="E446" s="121"/>
      <c r="F446" s="121"/>
      <c r="G446" s="659" t="s">
        <v>2392</v>
      </c>
      <c r="H446" s="659"/>
      <c r="I446" s="659" t="s">
        <v>2285</v>
      </c>
      <c r="J446" s="155" t="str">
        <f>CONCATENATE(G446," ",H446)</f>
        <v xml:space="preserve">Ketty Quabba -&gt; potrebbe diventare la nipote di Fulvio Manenti (sentito il 30.9.23) </v>
      </c>
      <c r="K446" s="671"/>
      <c r="L446" s="555" t="s">
        <v>2393</v>
      </c>
      <c r="M446" s="183"/>
      <c r="N446" s="160"/>
      <c r="O446" s="622"/>
      <c r="P446" s="623"/>
      <c r="Q446" s="623"/>
      <c r="R446" s="624" t="s">
        <v>2288</v>
      </c>
      <c r="S446" s="625"/>
      <c r="T446" s="255"/>
      <c r="U446" s="255"/>
      <c r="V446" s="131"/>
      <c r="W446" s="131"/>
      <c r="X446" s="131"/>
      <c r="Y446" s="131"/>
      <c r="Z446" s="131"/>
      <c r="AA446" s="514"/>
      <c r="AB446" s="255"/>
      <c r="AC446" s="131"/>
      <c r="AD446" s="121" t="s">
        <v>2292</v>
      </c>
      <c r="AE446" s="626"/>
      <c r="AF446" s="627"/>
      <c r="AG446" s="628"/>
      <c r="AH446" s="629"/>
      <c r="AI446" s="515"/>
      <c r="AJ446" s="258"/>
      <c r="AK446" s="258"/>
      <c r="AL446" s="258"/>
      <c r="AM446" s="627"/>
      <c r="AN446" s="207"/>
      <c r="AO446" s="207"/>
      <c r="AP446" s="207"/>
      <c r="AQ446" s="515"/>
      <c r="AR446" s="121"/>
      <c r="AS446" s="121"/>
      <c r="AT446" s="121"/>
      <c r="AU446" s="517"/>
      <c r="AV446" s="121"/>
      <c r="AW446" s="121"/>
      <c r="AX446" s="121"/>
      <c r="AY446" s="568"/>
      <c r="AZ446" s="259"/>
      <c r="BA446" s="259"/>
      <c r="BB446" s="259"/>
      <c r="BC446" s="568"/>
      <c r="BD446" s="154" t="s">
        <v>27</v>
      </c>
      <c r="BE446" s="154" t="s">
        <v>27</v>
      </c>
      <c r="BF446" s="154" t="s">
        <v>27</v>
      </c>
      <c r="BG446" s="568"/>
      <c r="BH446" s="92">
        <f>CF446+CI446+CL446+CO446+CR446</f>
        <v>0</v>
      </c>
      <c r="BI446" s="569"/>
      <c r="BJ446" s="569"/>
      <c r="BK446" s="239"/>
      <c r="BL446" s="260"/>
      <c r="BM446" s="241"/>
      <c r="BN446" s="142"/>
      <c r="BO446" s="182"/>
      <c r="BP446" s="630"/>
      <c r="BQ446" s="191"/>
      <c r="BR446" s="110"/>
      <c r="BS446" s="242"/>
      <c r="BT446" s="203"/>
      <c r="BU446" s="167">
        <f>BN446*BQ446</f>
        <v>0</v>
      </c>
      <c r="BV446" s="168">
        <f>BO446*BQ446</f>
        <v>0</v>
      </c>
      <c r="BW446" s="131"/>
      <c r="BX446" s="131"/>
      <c r="BY446" s="207"/>
      <c r="BZ446" s="110"/>
      <c r="CA446" s="242"/>
      <c r="CB446" s="101">
        <f>BM446*BY446</f>
        <v>0</v>
      </c>
      <c r="CC446" s="106">
        <f>BN446*BY446</f>
        <v>0</v>
      </c>
      <c r="CD446" s="107">
        <f>BO446*BY446</f>
        <v>0</v>
      </c>
      <c r="CE446" s="566"/>
      <c r="CF446" s="338"/>
      <c r="CG446" s="338"/>
      <c r="CH446" s="338"/>
      <c r="CI446" s="338"/>
      <c r="CJ446" s="338"/>
      <c r="CK446" s="338"/>
      <c r="CL446" s="338"/>
      <c r="CM446" s="338"/>
      <c r="CN446" s="338"/>
      <c r="CO446" s="338"/>
      <c r="CP446" s="338"/>
      <c r="CQ446" s="338"/>
      <c r="CR446" s="338"/>
      <c r="CS446" s="338"/>
      <c r="CT446" s="338"/>
      <c r="CU446" s="557"/>
      <c r="CV446" s="331"/>
      <c r="CW446" s="631"/>
      <c r="CX446" s="331"/>
      <c r="CY446" s="331"/>
      <c r="CZ446" s="331"/>
      <c r="DA446" s="665"/>
      <c r="DB446" s="115" t="str">
        <f>PROPER(N446)</f>
        <v/>
      </c>
      <c r="DC446" s="191"/>
      <c r="DD446" s="116">
        <f>BP446</f>
        <v>0</v>
      </c>
      <c r="DE446" s="117" t="b">
        <f>IF(OR(D446&gt;0),IF(BJ446=0,BN446*BQ446,0))</f>
        <v>0</v>
      </c>
      <c r="DF446" s="117" t="b">
        <f>IF(OR(D446&gt;0),IF(BJ446=0,BN446*BY446,0))</f>
        <v>0</v>
      </c>
      <c r="DG446" s="113">
        <f>BX446</f>
        <v>0</v>
      </c>
      <c r="DH446" s="313"/>
      <c r="DI446" s="120" t="s">
        <v>154</v>
      </c>
      <c r="DJ446" s="120"/>
      <c r="DK446" s="331"/>
      <c r="DL446" s="331"/>
      <c r="DM446" s="248"/>
    </row>
    <row r="447" spans="1:130" ht="34.5" hidden="1" customHeight="1">
      <c r="A447" s="228"/>
      <c r="B447" s="121" t="s">
        <v>2267</v>
      </c>
      <c r="C447" s="155"/>
      <c r="D447" s="121"/>
      <c r="E447" s="121"/>
      <c r="F447" s="121"/>
      <c r="G447" s="659" t="s">
        <v>1828</v>
      </c>
      <c r="H447" s="659" t="s">
        <v>2394</v>
      </c>
      <c r="I447" s="659" t="s">
        <v>2395</v>
      </c>
      <c r="J447" s="155" t="str">
        <f>CONCATENATE(G447," ",H447)</f>
        <v>Lara Esposito</v>
      </c>
      <c r="K447" s="224" t="s">
        <v>2396</v>
      </c>
      <c r="L447" s="131" t="s">
        <v>2397</v>
      </c>
      <c r="M447" s="131"/>
      <c r="N447" s="160"/>
      <c r="O447" s="599"/>
      <c r="P447" s="155" t="s">
        <v>2398</v>
      </c>
      <c r="Q447" s="155" t="s">
        <v>2398</v>
      </c>
      <c r="R447" s="131" t="s">
        <v>2399</v>
      </c>
      <c r="S447" s="131" t="s">
        <v>2400</v>
      </c>
      <c r="T447" s="131"/>
      <c r="U447" s="131"/>
      <c r="V447" s="131"/>
      <c r="W447" s="258"/>
      <c r="X447" s="558" t="s">
        <v>2401</v>
      </c>
      <c r="Y447" s="258"/>
      <c r="Z447" s="258"/>
      <c r="AA447" s="258"/>
      <c r="AB447" s="255" t="s">
        <v>2402</v>
      </c>
      <c r="AC447" s="558" t="s">
        <v>2403</v>
      </c>
      <c r="AD447" s="255"/>
      <c r="AE447" s="131" t="s">
        <v>2397</v>
      </c>
      <c r="AF447" s="515"/>
      <c r="AG447" s="516"/>
      <c r="AH447" s="516" t="s">
        <v>115</v>
      </c>
      <c r="AI447" s="515"/>
      <c r="AJ447" s="155"/>
      <c r="AK447" s="155"/>
      <c r="AL447" s="155"/>
      <c r="AM447" s="515"/>
      <c r="AN447" s="155"/>
      <c r="AO447" s="155" t="s">
        <v>154</v>
      </c>
      <c r="AP447" s="155" t="s">
        <v>2404</v>
      </c>
      <c r="AQ447" s="515"/>
      <c r="AR447" s="121"/>
      <c r="AS447" s="121"/>
      <c r="AT447" s="121"/>
      <c r="AU447" s="517"/>
      <c r="AV447" s="121"/>
      <c r="AW447" s="153"/>
      <c r="AX447" s="121"/>
      <c r="AY447" s="568"/>
      <c r="AZ447" s="362"/>
      <c r="BA447" s="553" t="s">
        <v>154</v>
      </c>
      <c r="BB447" s="362"/>
      <c r="BC447" s="568"/>
      <c r="BD447" s="362"/>
      <c r="BE447" s="121" t="s">
        <v>1266</v>
      </c>
      <c r="BF447" s="362"/>
      <c r="BG447" s="568"/>
      <c r="BH447" s="92">
        <f>CF447+CI447+CL447+CO447+CR447</f>
        <v>0</v>
      </c>
      <c r="BI447" s="569"/>
      <c r="BJ447" s="569"/>
      <c r="BK447" s="239"/>
      <c r="BL447" s="260"/>
      <c r="BM447" s="241"/>
      <c r="BN447" s="142"/>
      <c r="BO447" s="182"/>
      <c r="BP447" s="529"/>
      <c r="BQ447" s="145"/>
      <c r="BR447" s="110"/>
      <c r="BS447" s="242"/>
      <c r="BT447" s="203"/>
      <c r="BU447" s="167">
        <f>BN447*BQ447</f>
        <v>0</v>
      </c>
      <c r="BV447" s="168">
        <f>BO447*BQ447</f>
        <v>0</v>
      </c>
      <c r="BW447" s="529"/>
      <c r="BX447" s="529"/>
      <c r="BY447" s="145"/>
      <c r="BZ447" s="110"/>
      <c r="CA447" s="242"/>
      <c r="CB447" s="101">
        <f>BM447*BY447</f>
        <v>0</v>
      </c>
      <c r="CC447" s="106">
        <f>BN447*BY447</f>
        <v>0</v>
      </c>
      <c r="CD447" s="107">
        <f>BO447*BY447</f>
        <v>0</v>
      </c>
      <c r="CE447" s="566"/>
      <c r="CF447" s="338"/>
      <c r="CG447" s="338"/>
      <c r="CH447" s="338"/>
      <c r="CI447" s="338"/>
      <c r="CJ447" s="338"/>
      <c r="CK447" s="338"/>
      <c r="CL447" s="338"/>
      <c r="CM447" s="338"/>
      <c r="CN447" s="338"/>
      <c r="CO447" s="338"/>
      <c r="CP447" s="338"/>
      <c r="CQ447" s="338"/>
      <c r="CR447" s="338"/>
      <c r="CS447" s="338"/>
      <c r="CT447" s="338"/>
      <c r="CU447" s="90">
        <v>1</v>
      </c>
      <c r="CV447" s="181"/>
      <c r="CW447" s="369"/>
      <c r="CX447" s="181"/>
      <c r="CY447" s="181"/>
      <c r="CZ447" s="121"/>
      <c r="DA447" s="131"/>
      <c r="DB447" s="115" t="str">
        <f>PROPER(N447)</f>
        <v/>
      </c>
      <c r="DC447" s="191" t="s">
        <v>125</v>
      </c>
      <c r="DD447" s="116">
        <f>BP447</f>
        <v>0</v>
      </c>
      <c r="DE447" s="117" t="b">
        <f>IF(OR(D447&gt;0),IF(BJ447=0,BN447*BQ447,0))</f>
        <v>0</v>
      </c>
      <c r="DF447" s="117" t="b">
        <f>IF(OR(D447&gt;0),IF(BJ447=0,BN447*BY447,0))</f>
        <v>0</v>
      </c>
      <c r="DG447" s="116">
        <f>BX447</f>
        <v>0</v>
      </c>
      <c r="DH447" s="313"/>
      <c r="DI447" s="120" t="s">
        <v>154</v>
      </c>
      <c r="DJ447" s="120"/>
      <c r="DK447" s="181"/>
      <c r="DL447" s="181"/>
      <c r="DM447" s="248"/>
    </row>
    <row r="448" spans="1:130" ht="34.5" hidden="1" customHeight="1">
      <c r="A448" s="228"/>
      <c r="B448" s="121" t="s">
        <v>1359</v>
      </c>
      <c r="C448" s="155"/>
      <c r="D448" s="121"/>
      <c r="E448" s="121"/>
      <c r="F448" s="121"/>
      <c r="G448" s="1815" t="s">
        <v>1056</v>
      </c>
      <c r="H448" s="1825" t="s">
        <v>1760</v>
      </c>
      <c r="I448" s="207" t="s">
        <v>1761</v>
      </c>
      <c r="J448" s="185" t="str">
        <f>CONCATENATE(G448," ",H448)</f>
        <v>Sergio Sprocati</v>
      </c>
      <c r="K448" s="156">
        <v>3510323039</v>
      </c>
      <c r="L448" s="423"/>
      <c r="M448" s="153" t="s">
        <v>1762</v>
      </c>
      <c r="N448" s="160" t="s">
        <v>1191</v>
      </c>
      <c r="O448" s="1924"/>
      <c r="P448" s="160"/>
      <c r="Q448" s="160"/>
      <c r="R448" s="403"/>
      <c r="S448" s="160"/>
      <c r="T448" s="160"/>
      <c r="U448" s="160"/>
      <c r="V448" s="160"/>
      <c r="W448" s="160"/>
      <c r="X448" s="131"/>
      <c r="Y448" s="160"/>
      <c r="Z448" s="160"/>
      <c r="AA448" s="160"/>
      <c r="AB448" s="37"/>
      <c r="AC448" s="131"/>
      <c r="AD448" s="121" t="s">
        <v>1755</v>
      </c>
      <c r="AE448" s="234"/>
      <c r="AF448" s="515"/>
      <c r="AG448" s="406"/>
      <c r="AH448" s="406"/>
      <c r="AI448" s="515"/>
      <c r="AJ448" s="155"/>
      <c r="AK448" s="155"/>
      <c r="AL448" s="155"/>
      <c r="AM448" s="198"/>
      <c r="AN448" s="155"/>
      <c r="AO448" s="155"/>
      <c r="AP448" s="155"/>
      <c r="AQ448" s="198"/>
      <c r="AR448" s="121"/>
      <c r="AS448" s="121"/>
      <c r="AT448" s="121"/>
      <c r="AU448" s="675"/>
      <c r="AV448" s="121"/>
      <c r="AW448" s="121"/>
      <c r="AX448" s="121"/>
      <c r="AY448" s="235"/>
      <c r="AZ448" s="362"/>
      <c r="BA448" s="121"/>
      <c r="BB448" s="121" t="s">
        <v>115</v>
      </c>
      <c r="BC448" s="235"/>
      <c r="BD448" s="362" t="s">
        <v>115</v>
      </c>
      <c r="BE448" s="121" t="s">
        <v>115</v>
      </c>
      <c r="BF448" s="362"/>
      <c r="BG448" s="235"/>
      <c r="BH448" s="92">
        <f>CF448+CI448+CL448+CO448+CR448</f>
        <v>2797</v>
      </c>
      <c r="BI448" s="569">
        <f>CH448+CK448+CN448+CQ448+CT448</f>
        <v>2797</v>
      </c>
      <c r="BJ448" s="569">
        <f>BH448-BI448</f>
        <v>0</v>
      </c>
      <c r="BK448" s="239"/>
      <c r="BL448" s="260"/>
      <c r="BM448" s="241"/>
      <c r="BN448" s="142">
        <v>2797</v>
      </c>
      <c r="BO448" s="182"/>
      <c r="BP448" s="825" t="s">
        <v>407</v>
      </c>
      <c r="BQ448" s="98">
        <v>0.15</v>
      </c>
      <c r="BR448" s="110"/>
      <c r="BS448" s="242">
        <f>BL448*BQ448</f>
        <v>0</v>
      </c>
      <c r="BT448" s="203">
        <f>BM448*BQ448</f>
        <v>0</v>
      </c>
      <c r="BU448" s="167">
        <f>BN448*BQ448</f>
        <v>419.55</v>
      </c>
      <c r="BV448" s="168">
        <f>BO448*BQ448</f>
        <v>0</v>
      </c>
      <c r="BW448" s="131"/>
      <c r="BX448" s="825" t="s">
        <v>407</v>
      </c>
      <c r="BY448" s="145">
        <v>0.05</v>
      </c>
      <c r="BZ448" s="110"/>
      <c r="CA448" s="242">
        <f>BL448*BY448</f>
        <v>0</v>
      </c>
      <c r="CB448" s="101">
        <f>BM448*BY448</f>
        <v>0</v>
      </c>
      <c r="CC448" s="106">
        <f>BN448*BY448</f>
        <v>139.85</v>
      </c>
      <c r="CD448" s="107">
        <f>BO448*BY448</f>
        <v>0</v>
      </c>
      <c r="CE448" s="244"/>
      <c r="CF448" s="110">
        <v>2797</v>
      </c>
      <c r="CG448" s="226">
        <v>45198</v>
      </c>
      <c r="CH448" s="110">
        <v>2797</v>
      </c>
      <c r="CI448" s="415"/>
      <c r="CJ448" s="416"/>
      <c r="CK448" s="415"/>
      <c r="CL448" s="415"/>
      <c r="CM448" s="416"/>
      <c r="CN448" s="415"/>
      <c r="CO448" s="263"/>
      <c r="CP448" s="263"/>
      <c r="CQ448" s="263"/>
      <c r="CR448" s="263"/>
      <c r="CS448" s="263"/>
      <c r="CT448" s="263"/>
      <c r="CU448" s="245">
        <v>1</v>
      </c>
      <c r="CV448" s="181"/>
      <c r="CW448" s="507"/>
      <c r="CX448" s="506"/>
      <c r="CY448" s="155"/>
      <c r="CZ448" s="121"/>
      <c r="DA448" s="424" t="s">
        <v>1193</v>
      </c>
      <c r="DB448" s="115" t="s">
        <v>1194</v>
      </c>
      <c r="DC448" s="280" t="s">
        <v>1195</v>
      </c>
      <c r="DD448" s="116" t="str">
        <f>BP448</f>
        <v>Stefano</v>
      </c>
      <c r="DE448" s="117" t="b">
        <f>IF(OR(D448&gt;0),IF(BJ448=0,BN448*BQ448,0))</f>
        <v>0</v>
      </c>
      <c r="DF448" s="117" t="b">
        <f>IF(OR(D448&gt;0),IF(BJ448=0,BN448*BY448,0))</f>
        <v>0</v>
      </c>
      <c r="DG448" s="118" t="str">
        <f>BX448</f>
        <v>Stefano</v>
      </c>
      <c r="DH448" s="121"/>
      <c r="DI448" s="120" t="s">
        <v>126</v>
      </c>
      <c r="DJ448" s="120"/>
      <c r="DK448" s="74" t="s">
        <v>1366</v>
      </c>
      <c r="DL448" s="74" t="s">
        <v>1366</v>
      </c>
      <c r="DM448" s="122">
        <v>1</v>
      </c>
      <c r="DN448" s="6"/>
      <c r="DO448" s="6"/>
      <c r="DP448" s="6"/>
      <c r="DQ448" s="6"/>
      <c r="DR448" s="6"/>
      <c r="DS448" s="6"/>
      <c r="DT448" s="6"/>
      <c r="DU448" s="6"/>
      <c r="DV448" s="6"/>
      <c r="DW448" s="6"/>
      <c r="DX448" s="6"/>
      <c r="DY448" s="6"/>
      <c r="DZ448" s="6"/>
    </row>
    <row r="449" spans="1:130" ht="34.5" hidden="1" customHeight="1">
      <c r="A449" s="228"/>
      <c r="B449" s="121" t="s">
        <v>1928</v>
      </c>
      <c r="C449" s="155"/>
      <c r="D449" s="75"/>
      <c r="E449" s="121"/>
      <c r="F449" s="121"/>
      <c r="G449" s="369" t="s">
        <v>246</v>
      </c>
      <c r="H449" s="181" t="s">
        <v>2413</v>
      </c>
      <c r="I449" s="294" t="s">
        <v>2414</v>
      </c>
      <c r="J449" s="155" t="str">
        <f>CONCATENATE(G449," ",H449)</f>
        <v>Marco Parmesani</v>
      </c>
      <c r="K449" s="224">
        <v>3757966220</v>
      </c>
      <c r="L449" s="160"/>
      <c r="M449" s="160"/>
      <c r="N449" s="160" t="s">
        <v>2415</v>
      </c>
      <c r="O449" s="599"/>
      <c r="P449" s="37"/>
      <c r="Q449" s="37"/>
      <c r="R449" s="673"/>
      <c r="S449" s="160"/>
      <c r="T449" s="160"/>
      <c r="U449" s="160"/>
      <c r="V449" s="160"/>
      <c r="W449" s="233"/>
      <c r="X449" s="131"/>
      <c r="Y449" s="233"/>
      <c r="Z449" s="233"/>
      <c r="AA449" s="233"/>
      <c r="AB449" s="37"/>
      <c r="AC449" s="131"/>
      <c r="AD449" s="37" t="s">
        <v>118</v>
      </c>
      <c r="AE449" s="131"/>
      <c r="AF449" s="515"/>
      <c r="AG449" s="155"/>
      <c r="AH449" s="155"/>
      <c r="AI449" s="515"/>
      <c r="AJ449" s="155"/>
      <c r="AK449" s="155"/>
      <c r="AL449" s="155"/>
      <c r="AM449" s="198"/>
      <c r="AN449" s="155"/>
      <c r="AO449" s="155"/>
      <c r="AP449" s="155"/>
      <c r="AQ449" s="198"/>
      <c r="AR449" s="609" t="s">
        <v>116</v>
      </c>
      <c r="AS449" s="609" t="s">
        <v>116</v>
      </c>
      <c r="AT449" s="674" t="s">
        <v>297</v>
      </c>
      <c r="AU449" s="675"/>
      <c r="AV449" s="121"/>
      <c r="AW449" s="121"/>
      <c r="AX449" s="121"/>
      <c r="AY449" s="235"/>
      <c r="AZ449" s="666" t="s">
        <v>297</v>
      </c>
      <c r="BA449" s="553" t="s">
        <v>154</v>
      </c>
      <c r="BB449" s="553" t="s">
        <v>154</v>
      </c>
      <c r="BC449" s="235"/>
      <c r="BD449" s="362"/>
      <c r="BE449" s="362"/>
      <c r="BF449" s="362"/>
      <c r="BG449" s="235"/>
      <c r="BH449" s="92"/>
      <c r="BI449" s="569"/>
      <c r="BJ449" s="569"/>
      <c r="BK449" s="239"/>
      <c r="BL449" s="260"/>
      <c r="BM449" s="241"/>
      <c r="BN449" s="142"/>
      <c r="BO449" s="182"/>
      <c r="BP449" s="243" t="s">
        <v>262</v>
      </c>
      <c r="BQ449" s="145"/>
      <c r="BR449" s="110"/>
      <c r="BS449" s="242"/>
      <c r="BT449" s="203"/>
      <c r="BU449" s="167">
        <f>BN449*BQ449</f>
        <v>0</v>
      </c>
      <c r="BV449" s="168">
        <f>BO449*BQ449</f>
        <v>0</v>
      </c>
      <c r="BW449" s="611" t="s">
        <v>118</v>
      </c>
      <c r="BX449" s="131" t="s">
        <v>262</v>
      </c>
      <c r="BY449" s="145"/>
      <c r="BZ449" s="110"/>
      <c r="CA449" s="242"/>
      <c r="CB449" s="101">
        <f>BM449*BY449</f>
        <v>0</v>
      </c>
      <c r="CC449" s="106">
        <f>BN449*BY449</f>
        <v>0</v>
      </c>
      <c r="CD449" s="107">
        <f>BO449*BY449</f>
        <v>0</v>
      </c>
      <c r="CE449" s="566"/>
      <c r="CF449" s="338"/>
      <c r="CG449" s="338"/>
      <c r="CH449" s="338"/>
      <c r="CI449" s="338"/>
      <c r="CJ449" s="338"/>
      <c r="CK449" s="338"/>
      <c r="CL449" s="338"/>
      <c r="CM449" s="338"/>
      <c r="CN449" s="338"/>
      <c r="CO449" s="338"/>
      <c r="CP449" s="338"/>
      <c r="CQ449" s="338"/>
      <c r="CR449" s="338"/>
      <c r="CS449" s="338"/>
      <c r="CT449" s="338"/>
      <c r="CU449" s="90">
        <v>0</v>
      </c>
      <c r="CV449" s="612" t="s">
        <v>2311</v>
      </c>
      <c r="CW449" s="369"/>
      <c r="CX449" s="207"/>
      <c r="CY449" s="155" t="s">
        <v>122</v>
      </c>
      <c r="CZ449" s="155"/>
      <c r="DA449" s="160" t="s">
        <v>2416</v>
      </c>
      <c r="DB449" s="115" t="str">
        <f>PROPER(N449)</f>
        <v>Opsi</v>
      </c>
      <c r="DC449" s="191" t="s">
        <v>2417</v>
      </c>
      <c r="DD449" s="116" t="str">
        <f>BP449</f>
        <v>Pacci</v>
      </c>
      <c r="DE449" s="117" t="b">
        <f>IF(OR(D449&gt;0),IF(BJ449=0,BN449*BQ449,0))</f>
        <v>0</v>
      </c>
      <c r="DF449" s="117" t="b">
        <f>IF(OR(D449&gt;0),IF(BJ449=0,BN449*BY449,0))</f>
        <v>0</v>
      </c>
      <c r="DG449" s="116" t="str">
        <f>BX449</f>
        <v>Pacci</v>
      </c>
      <c r="DH449" s="313"/>
      <c r="DI449" s="120" t="s">
        <v>154</v>
      </c>
      <c r="DJ449" s="120"/>
      <c r="DK449" s="207"/>
      <c r="DL449" s="207"/>
      <c r="DM449" s="248"/>
    </row>
    <row r="450" spans="1:130" ht="34.5" hidden="1" customHeight="1">
      <c r="A450" s="3"/>
      <c r="B450" s="121" t="s">
        <v>108</v>
      </c>
      <c r="C450" s="121"/>
      <c r="D450" s="121">
        <v>1</v>
      </c>
      <c r="E450" s="121">
        <v>1</v>
      </c>
      <c r="F450" s="121"/>
      <c r="G450" s="1814" t="s">
        <v>693</v>
      </c>
      <c r="H450" s="79" t="s">
        <v>848</v>
      </c>
      <c r="I450" s="131" t="s">
        <v>849</v>
      </c>
      <c r="J450" s="121" t="str">
        <f>CONCATENATE(G450," ",H450)</f>
        <v>Silvia Cordero</v>
      </c>
      <c r="K450" s="156">
        <v>3451592944</v>
      </c>
      <c r="L450" s="157"/>
      <c r="M450" s="176"/>
      <c r="N450" s="160" t="s">
        <v>139</v>
      </c>
      <c r="O450" s="1933"/>
      <c r="P450" s="86"/>
      <c r="Q450" s="86"/>
      <c r="R450" s="86"/>
      <c r="S450" s="86"/>
      <c r="T450" s="86"/>
      <c r="U450" s="86"/>
      <c r="V450" s="86"/>
      <c r="W450" s="86"/>
      <c r="X450" s="86"/>
      <c r="Y450" s="87"/>
      <c r="Z450" s="86"/>
      <c r="AA450" s="86"/>
      <c r="AB450" s="86"/>
      <c r="AC450" s="86"/>
      <c r="AD450" s="86" t="s">
        <v>140</v>
      </c>
      <c r="AE450" s="234">
        <f>L450</f>
        <v>0</v>
      </c>
      <c r="AF450" s="198"/>
      <c r="AG450" s="121"/>
      <c r="AH450" s="121"/>
      <c r="AI450" s="198"/>
      <c r="AJ450" s="121"/>
      <c r="AK450" s="121"/>
      <c r="AL450" s="121"/>
      <c r="AM450" s="198"/>
      <c r="AN450" s="155"/>
      <c r="AO450" s="155"/>
      <c r="AP450" s="155"/>
      <c r="AQ450" s="198"/>
      <c r="AR450" s="121"/>
      <c r="AS450" s="121"/>
      <c r="AT450" s="121"/>
      <c r="AU450" s="675"/>
      <c r="AV450" s="121"/>
      <c r="AW450" s="121"/>
      <c r="AX450" s="121"/>
      <c r="AY450" s="235"/>
      <c r="AZ450" s="617" t="s">
        <v>115</v>
      </c>
      <c r="BA450" s="617" t="s">
        <v>115</v>
      </c>
      <c r="BB450" s="2000" t="s">
        <v>115</v>
      </c>
      <c r="BC450" s="235"/>
      <c r="BD450" s="617"/>
      <c r="BE450" s="617"/>
      <c r="BF450" s="121"/>
      <c r="BG450" s="235"/>
      <c r="BH450" s="92">
        <f>CF450+CI450+CL450+CO450+CR450</f>
        <v>2797</v>
      </c>
      <c r="BI450" s="238">
        <f>CH450+CK450+CN450+CQ450+CT450</f>
        <v>2797</v>
      </c>
      <c r="BJ450" s="238">
        <f>BH450-BI450</f>
        <v>0</v>
      </c>
      <c r="BK450" s="199"/>
      <c r="BL450" s="200"/>
      <c r="BM450" s="241"/>
      <c r="BN450" s="142">
        <v>2797</v>
      </c>
      <c r="BO450" s="182"/>
      <c r="BP450" s="131" t="s">
        <v>141</v>
      </c>
      <c r="BQ450" s="98">
        <v>0.15</v>
      </c>
      <c r="BR450" s="201"/>
      <c r="BS450" s="202"/>
      <c r="BT450" s="203">
        <f>BM450*BQ450</f>
        <v>0</v>
      </c>
      <c r="BU450" s="167"/>
      <c r="BV450" s="168">
        <f>BO450*BQ450</f>
        <v>0</v>
      </c>
      <c r="BW450" s="131" t="s">
        <v>142</v>
      </c>
      <c r="BX450" s="825" t="s">
        <v>141</v>
      </c>
      <c r="BY450" s="98">
        <v>0.05</v>
      </c>
      <c r="BZ450" s="201"/>
      <c r="CA450" s="202"/>
      <c r="CB450" s="101">
        <f>BM450*BY450</f>
        <v>0</v>
      </c>
      <c r="CC450" s="106"/>
      <c r="CD450" s="107">
        <f>BO450*BY450</f>
        <v>0</v>
      </c>
      <c r="CE450" s="80" t="s">
        <v>142</v>
      </c>
      <c r="CF450" s="110">
        <v>2797</v>
      </c>
      <c r="CG450" s="226">
        <v>45008</v>
      </c>
      <c r="CH450" s="110">
        <v>2797</v>
      </c>
      <c r="CI450" s="110"/>
      <c r="CJ450" s="226"/>
      <c r="CK450" s="206"/>
      <c r="CL450" s="206"/>
      <c r="CM450" s="226"/>
      <c r="CN450" s="778"/>
      <c r="CO450" s="206"/>
      <c r="CP450" s="206"/>
      <c r="CQ450" s="206"/>
      <c r="CR450" s="206"/>
      <c r="CS450" s="206"/>
      <c r="CT450" s="206"/>
      <c r="CU450" s="90">
        <v>1</v>
      </c>
      <c r="CV450" s="181" t="s">
        <v>121</v>
      </c>
      <c r="CW450" s="369"/>
      <c r="CX450" s="207"/>
      <c r="CY450" s="155" t="s">
        <v>122</v>
      </c>
      <c r="CZ450" s="155"/>
      <c r="DA450" s="131" t="s">
        <v>143</v>
      </c>
      <c r="DB450" s="115" t="str">
        <f>PROPER(N450)</f>
        <v>Ribes Solutions</v>
      </c>
      <c r="DC450" s="191" t="s">
        <v>144</v>
      </c>
      <c r="DD450" s="191" t="str">
        <f>BP450</f>
        <v>Daniele</v>
      </c>
      <c r="DE450" s="117">
        <f>IF(OR(D450&gt;0),IF(BJ450=0,BN450*BQ450,0))</f>
        <v>419.55</v>
      </c>
      <c r="DF450" s="117">
        <f>IF(OR(D450&gt;0),IF(BJ450=0,BN450*BY450,0))</f>
        <v>139.85</v>
      </c>
      <c r="DG450" s="191" t="str">
        <f>BX450</f>
        <v>Daniele</v>
      </c>
      <c r="DH450" s="121"/>
      <c r="DI450" s="120" t="s">
        <v>126</v>
      </c>
      <c r="DJ450" s="120"/>
      <c r="DK450" s="121"/>
      <c r="DL450" s="121"/>
      <c r="DM450" s="122">
        <v>1</v>
      </c>
      <c r="DN450" s="6"/>
      <c r="DO450" s="6"/>
      <c r="DP450" s="6"/>
      <c r="DQ450" s="6"/>
      <c r="DR450" s="6"/>
      <c r="DS450" s="6"/>
      <c r="DT450" s="6"/>
      <c r="DU450" s="6"/>
      <c r="DV450" s="6"/>
      <c r="DW450" s="6"/>
      <c r="DX450" s="6"/>
      <c r="DY450" s="6"/>
      <c r="DZ450" s="6"/>
    </row>
    <row r="451" spans="1:130" ht="34.5" hidden="1" customHeight="1">
      <c r="A451" s="3"/>
      <c r="B451" s="121" t="s">
        <v>108</v>
      </c>
      <c r="C451" s="121"/>
      <c r="D451" s="121"/>
      <c r="E451" s="121">
        <v>1</v>
      </c>
      <c r="F451" s="121"/>
      <c r="G451" s="1818" t="s">
        <v>693</v>
      </c>
      <c r="H451" s="79" t="s">
        <v>694</v>
      </c>
      <c r="I451" s="131" t="s">
        <v>695</v>
      </c>
      <c r="J451" s="121" t="str">
        <f>CONCATENATE(G451," ",H451)</f>
        <v>Silvia Gusso</v>
      </c>
      <c r="K451" s="156"/>
      <c r="L451" s="157"/>
      <c r="M451" s="176"/>
      <c r="N451" s="160" t="s">
        <v>688</v>
      </c>
      <c r="O451" s="1933"/>
      <c r="P451" s="86"/>
      <c r="Q451" s="86"/>
      <c r="R451" s="86"/>
      <c r="S451" s="86"/>
      <c r="T451" s="86"/>
      <c r="U451" s="86"/>
      <c r="V451" s="86"/>
      <c r="W451" s="86"/>
      <c r="X451" s="86"/>
      <c r="Y451" s="87"/>
      <c r="Z451" s="86"/>
      <c r="AA451" s="86"/>
      <c r="AB451" s="86"/>
      <c r="AC451" s="86"/>
      <c r="AD451" s="86" t="s">
        <v>689</v>
      </c>
      <c r="AE451" s="234">
        <f>L451</f>
        <v>0</v>
      </c>
      <c r="AF451" s="198"/>
      <c r="AG451" s="121"/>
      <c r="AH451" s="121"/>
      <c r="AI451" s="198"/>
      <c r="AJ451" s="121"/>
      <c r="AK451" s="121"/>
      <c r="AL451" s="121"/>
      <c r="AM451" s="198"/>
      <c r="AN451" s="155"/>
      <c r="AO451" s="155"/>
      <c r="AP451" s="155"/>
      <c r="AQ451" s="198"/>
      <c r="AR451" s="121"/>
      <c r="AS451" s="121"/>
      <c r="AT451" s="121"/>
      <c r="AU451" s="675"/>
      <c r="AV451" s="121" t="s">
        <v>115</v>
      </c>
      <c r="AW451" s="124"/>
      <c r="AX451" s="121"/>
      <c r="AY451" s="235"/>
      <c r="AZ451" s="362"/>
      <c r="BA451" s="362" t="s">
        <v>115</v>
      </c>
      <c r="BB451" s="135" t="s">
        <v>115</v>
      </c>
      <c r="BC451" s="235"/>
      <c r="BD451" s="362"/>
      <c r="BE451" s="362"/>
      <c r="BF451" s="362"/>
      <c r="BG451" s="235"/>
      <c r="BH451" s="92">
        <v>3297</v>
      </c>
      <c r="BI451" s="569">
        <f>CH451+CK451+CN451+CQ451+CT451</f>
        <v>3297.0004918032791</v>
      </c>
      <c r="BJ451" s="569">
        <f>BH451-BI451</f>
        <v>-4.9180327914655209E-4</v>
      </c>
      <c r="BK451" s="199"/>
      <c r="BL451" s="200"/>
      <c r="BM451" s="241">
        <v>3497</v>
      </c>
      <c r="BN451" s="96"/>
      <c r="BO451" s="97"/>
      <c r="BP451" s="131" t="s">
        <v>690</v>
      </c>
      <c r="BQ451" s="98">
        <v>0.15</v>
      </c>
      <c r="BR451" s="201"/>
      <c r="BS451" s="202"/>
      <c r="BT451" s="203">
        <f>BM451*BQ451</f>
        <v>524.54999999999995</v>
      </c>
      <c r="BU451" s="167">
        <f>BN451*BQ451</f>
        <v>0</v>
      </c>
      <c r="BV451" s="168">
        <f>BO451*BQ451</f>
        <v>0</v>
      </c>
      <c r="BW451" s="251"/>
      <c r="BX451" s="825" t="s">
        <v>184</v>
      </c>
      <c r="BY451" s="98">
        <v>0.05</v>
      </c>
      <c r="BZ451" s="201"/>
      <c r="CA451" s="202"/>
      <c r="CB451" s="101">
        <f>BM451*BY451</f>
        <v>174.85000000000002</v>
      </c>
      <c r="CC451" s="106">
        <f>BN451*BY451</f>
        <v>0</v>
      </c>
      <c r="CD451" s="107">
        <f>BO451*BY451</f>
        <v>0</v>
      </c>
      <c r="CE451" s="155"/>
      <c r="CF451" s="110">
        <f>200/1.22</f>
        <v>163.9344262295082</v>
      </c>
      <c r="CG451" s="226">
        <v>45012</v>
      </c>
      <c r="CH451" s="110">
        <f>200/1.22</f>
        <v>163.9344262295082</v>
      </c>
      <c r="CI451" s="110">
        <f>1720/1.22</f>
        <v>1409.8360655737706</v>
      </c>
      <c r="CJ451" s="226">
        <v>45057</v>
      </c>
      <c r="CK451" s="110">
        <f>1720/1.22</f>
        <v>1409.8360655737706</v>
      </c>
      <c r="CL451" s="110">
        <v>1723.22</v>
      </c>
      <c r="CM451" s="226">
        <v>45236</v>
      </c>
      <c r="CN451" s="110">
        <v>1723.23</v>
      </c>
      <c r="CO451" s="206"/>
      <c r="CP451" s="206"/>
      <c r="CQ451" s="206"/>
      <c r="CR451" s="206"/>
      <c r="CS451" s="206"/>
      <c r="CT451" s="206"/>
      <c r="CU451" s="90">
        <v>1</v>
      </c>
      <c r="CV451" s="181" t="s">
        <v>121</v>
      </c>
      <c r="CW451" s="369"/>
      <c r="CX451" s="207"/>
      <c r="CY451" s="155" t="s">
        <v>122</v>
      </c>
      <c r="CZ451" s="155"/>
      <c r="DA451" s="384" t="s">
        <v>691</v>
      </c>
      <c r="DB451" s="115" t="str">
        <f>PROPER(N451)</f>
        <v>Puli.Gest</v>
      </c>
      <c r="DC451" s="191" t="s">
        <v>692</v>
      </c>
      <c r="DD451" s="191" t="str">
        <f>BP451</f>
        <v>MAW</v>
      </c>
      <c r="DE451" s="117" t="b">
        <f>IF(OR(D451&gt;0),IF(BJ451=0,BN451*BQ451,0))</f>
        <v>0</v>
      </c>
      <c r="DF451" s="117" t="b">
        <f>IF(OR(D451&gt;0),IF(BJ451=0,BN451*BY451,0))</f>
        <v>0</v>
      </c>
      <c r="DG451" s="1429" t="str">
        <f>BX451</f>
        <v>Cristian A</v>
      </c>
      <c r="DH451" s="121"/>
      <c r="DI451" s="120" t="s">
        <v>126</v>
      </c>
      <c r="DJ451" s="120"/>
      <c r="DK451" s="121"/>
      <c r="DL451" s="121"/>
      <c r="DM451" s="122">
        <v>1</v>
      </c>
      <c r="DN451" s="6"/>
      <c r="DO451" s="6"/>
      <c r="DP451" s="6"/>
      <c r="DQ451" s="6"/>
      <c r="DR451" s="6"/>
      <c r="DS451" s="6"/>
      <c r="DT451" s="6"/>
      <c r="DU451" s="6"/>
      <c r="DV451" s="6"/>
      <c r="DW451" s="6"/>
      <c r="DX451" s="6"/>
      <c r="DY451" s="6"/>
      <c r="DZ451" s="6"/>
    </row>
    <row r="452" spans="1:130" ht="34.5" hidden="1" customHeight="1">
      <c r="A452" s="1802"/>
      <c r="B452" s="121" t="s">
        <v>108</v>
      </c>
      <c r="C452" s="121"/>
      <c r="D452" s="617">
        <v>1</v>
      </c>
      <c r="E452" s="617">
        <v>1</v>
      </c>
      <c r="F452" s="1811"/>
      <c r="G452" s="1814" t="s">
        <v>850</v>
      </c>
      <c r="H452" s="79" t="s">
        <v>851</v>
      </c>
      <c r="I452" s="131" t="s">
        <v>852</v>
      </c>
      <c r="J452" s="121" t="str">
        <f>CONCATENATE(G452," ",H452)</f>
        <v>Silvio Filippi</v>
      </c>
      <c r="K452" s="156">
        <v>3925730603</v>
      </c>
      <c r="L452" s="192" t="s">
        <v>853</v>
      </c>
      <c r="M452" s="176" t="s">
        <v>138</v>
      </c>
      <c r="N452" s="160" t="s">
        <v>854</v>
      </c>
      <c r="O452" s="237"/>
      <c r="P452" s="1940"/>
      <c r="Q452" s="1940"/>
      <c r="R452" s="1940"/>
      <c r="S452" s="1940"/>
      <c r="T452" s="1940"/>
      <c r="U452" s="1940"/>
      <c r="V452" s="1940"/>
      <c r="W452" s="1940"/>
      <c r="X452" s="1940"/>
      <c r="Y452" s="1959"/>
      <c r="Z452" s="1940"/>
      <c r="AA452" s="1940"/>
      <c r="AB452" s="1940"/>
      <c r="AC452" s="1940"/>
      <c r="AD452" s="1940" t="s">
        <v>855</v>
      </c>
      <c r="AE452" s="1262" t="str">
        <f>L452</f>
        <v>A VS deve attivare SB, che terrà 6 mesi, per rifare Negoziazione</v>
      </c>
      <c r="AF452" s="236"/>
      <c r="AG452" s="1971"/>
      <c r="AH452" s="1971"/>
      <c r="AI452" s="236"/>
      <c r="AJ452" s="617"/>
      <c r="AK452" s="617"/>
      <c r="AL452" s="617"/>
      <c r="AM452" s="236"/>
      <c r="AN452" s="353"/>
      <c r="AO452" s="353"/>
      <c r="AP452" s="353"/>
      <c r="AQ452" s="236"/>
      <c r="AR452" s="617"/>
      <c r="AS452" s="617"/>
      <c r="AT452" s="617"/>
      <c r="AU452" s="1991"/>
      <c r="AV452" s="121"/>
      <c r="AW452" s="617"/>
      <c r="AX452" s="617" t="s">
        <v>115</v>
      </c>
      <c r="AY452" s="1991"/>
      <c r="AZ452" s="362" t="s">
        <v>115</v>
      </c>
      <c r="BA452" s="362" t="s">
        <v>115</v>
      </c>
      <c r="BB452" s="162" t="s">
        <v>116</v>
      </c>
      <c r="BC452" s="1991"/>
      <c r="BD452" s="362"/>
      <c r="BE452" s="362"/>
      <c r="BF452" s="121"/>
      <c r="BG452" s="1991"/>
      <c r="BH452" s="92">
        <f>CF452+CI452+CL452+CO452+CR452</f>
        <v>2997</v>
      </c>
      <c r="BI452" s="681">
        <f>CH452+CK452+CN452+CQ452+CT452</f>
        <v>2997</v>
      </c>
      <c r="BJ452" s="681">
        <f>BH452-BI452</f>
        <v>0</v>
      </c>
      <c r="BK452" s="199"/>
      <c r="BL452" s="200"/>
      <c r="BM452" s="241">
        <v>2997</v>
      </c>
      <c r="BN452" s="96"/>
      <c r="BO452" s="97"/>
      <c r="BP452" s="305" t="s">
        <v>160</v>
      </c>
      <c r="BQ452" s="2053">
        <v>0.15</v>
      </c>
      <c r="BR452" s="2056"/>
      <c r="BS452" s="2066"/>
      <c r="BT452" s="203">
        <f>BM452*BQ452</f>
        <v>449.55</v>
      </c>
      <c r="BU452" s="167">
        <f>BN452*BQ452</f>
        <v>0</v>
      </c>
      <c r="BV452" s="168">
        <f>BO452*BQ452</f>
        <v>0</v>
      </c>
      <c r="BW452" s="305" t="s">
        <v>174</v>
      </c>
      <c r="BX452" s="2049" t="s">
        <v>160</v>
      </c>
      <c r="BY452" s="2053">
        <v>0.05</v>
      </c>
      <c r="BZ452" s="2056"/>
      <c r="CA452" s="2066"/>
      <c r="CB452" s="101">
        <f>BM452*BY452</f>
        <v>149.85</v>
      </c>
      <c r="CC452" s="106">
        <f>BN452*BY452</f>
        <v>0</v>
      </c>
      <c r="CD452" s="107">
        <f>BO452*BY452</f>
        <v>0</v>
      </c>
      <c r="CE452" s="305" t="s">
        <v>174</v>
      </c>
      <c r="CF452" s="366">
        <v>2997</v>
      </c>
      <c r="CG452" s="365">
        <v>45013</v>
      </c>
      <c r="CH452" s="366">
        <v>2997</v>
      </c>
      <c r="CI452" s="366"/>
      <c r="CJ452" s="365"/>
      <c r="CK452" s="683"/>
      <c r="CL452" s="683"/>
      <c r="CM452" s="365"/>
      <c r="CN452" s="683"/>
      <c r="CO452" s="683"/>
      <c r="CP452" s="683"/>
      <c r="CQ452" s="683"/>
      <c r="CR452" s="683"/>
      <c r="CS452" s="683"/>
      <c r="CT452" s="683"/>
      <c r="CU452" s="90">
        <v>1</v>
      </c>
      <c r="CV452" s="369" t="s">
        <v>121</v>
      </c>
      <c r="CW452" s="369"/>
      <c r="CX452" s="354"/>
      <c r="CY452" s="353" t="s">
        <v>122</v>
      </c>
      <c r="CZ452" s="353"/>
      <c r="DA452" s="305" t="s">
        <v>856</v>
      </c>
      <c r="DB452" s="115" t="str">
        <f>PROPER(N452)</f>
        <v>Cloudea</v>
      </c>
      <c r="DC452" s="191" t="s">
        <v>125</v>
      </c>
      <c r="DD452" s="191" t="str">
        <f>BP452</f>
        <v>Gianluca</v>
      </c>
      <c r="DE452" s="117">
        <f>IF(OR(D452&gt;0),IF(BJ452=0,BN452*BQ452,0))</f>
        <v>0</v>
      </c>
      <c r="DF452" s="117">
        <f>IF(OR(D452&gt;0),IF(BJ452=0,BN452*BY452,0))</f>
        <v>0</v>
      </c>
      <c r="DG452" s="191" t="str">
        <f>BX452</f>
        <v>Gianluca</v>
      </c>
      <c r="DH452" s="121"/>
      <c r="DI452" s="120" t="s">
        <v>126</v>
      </c>
      <c r="DJ452" s="120"/>
      <c r="DK452" s="121"/>
      <c r="DL452" s="121"/>
      <c r="DM452" s="122">
        <v>1</v>
      </c>
      <c r="DN452" s="6"/>
      <c r="DO452" s="6"/>
      <c r="DP452" s="6"/>
      <c r="DQ452" s="6"/>
      <c r="DR452" s="6"/>
      <c r="DS452" s="6"/>
      <c r="DT452" s="6"/>
      <c r="DU452" s="6"/>
      <c r="DV452" s="6"/>
      <c r="DW452" s="6"/>
      <c r="DX452" s="6"/>
      <c r="DY452" s="6"/>
      <c r="DZ452" s="6"/>
    </row>
    <row r="453" spans="1:130" ht="34.5" hidden="1" customHeight="1">
      <c r="A453" s="155"/>
      <c r="B453" s="121" t="s">
        <v>1928</v>
      </c>
      <c r="C453" s="155"/>
      <c r="D453" s="75">
        <v>1</v>
      </c>
      <c r="E453" s="313">
        <v>1</v>
      </c>
      <c r="F453" s="196"/>
      <c r="G453" s="369" t="s">
        <v>188</v>
      </c>
      <c r="H453" s="181" t="s">
        <v>2435</v>
      </c>
      <c r="I453" s="181" t="s">
        <v>2436</v>
      </c>
      <c r="J453" s="155" t="str">
        <f>CONCATENATE(G453," ",H453)</f>
        <v>Andrea Berrone</v>
      </c>
      <c r="K453" s="684"/>
      <c r="L453" s="131"/>
      <c r="M453" s="301" t="s">
        <v>112</v>
      </c>
      <c r="N453" s="131"/>
      <c r="O453" s="284"/>
      <c r="P453" s="255"/>
      <c r="Q453" s="255"/>
      <c r="R453" s="131"/>
      <c r="S453" s="131"/>
      <c r="T453" s="131"/>
      <c r="U453" s="131"/>
      <c r="V453" s="131"/>
      <c r="W453" s="514"/>
      <c r="X453" s="131"/>
      <c r="Y453" s="514"/>
      <c r="Z453" s="514"/>
      <c r="AA453" s="514"/>
      <c r="AB453" s="255"/>
      <c r="AC453" s="131"/>
      <c r="AD453" s="37" t="s">
        <v>118</v>
      </c>
      <c r="AE453" s="131"/>
      <c r="AF453" s="515"/>
      <c r="AG453" s="516"/>
      <c r="AH453" s="516"/>
      <c r="AI453" s="515"/>
      <c r="AJ453" s="155"/>
      <c r="AK453" s="155"/>
      <c r="AL453" s="155"/>
      <c r="AM453" s="515"/>
      <c r="AN453" s="258"/>
      <c r="AO453" s="258"/>
      <c r="AP453" s="258"/>
      <c r="AQ453" s="515"/>
      <c r="AR453" s="121"/>
      <c r="AS453" s="121"/>
      <c r="AT453" s="121"/>
      <c r="AU453" s="515"/>
      <c r="AV453" s="121"/>
      <c r="AW453" s="617"/>
      <c r="AX453" s="19" t="s">
        <v>116</v>
      </c>
      <c r="AY453" s="515"/>
      <c r="AZ453" s="121" t="s">
        <v>116</v>
      </c>
      <c r="BA453" s="121" t="s">
        <v>116</v>
      </c>
      <c r="BB453" s="135" t="s">
        <v>154</v>
      </c>
      <c r="BC453" s="515"/>
      <c r="BD453" s="121"/>
      <c r="BE453" s="121"/>
      <c r="BF453" s="121"/>
      <c r="BG453" s="515"/>
      <c r="BH453" s="92"/>
      <c r="BI453" s="238"/>
      <c r="BJ453" s="238"/>
      <c r="BK453" s="239"/>
      <c r="BL453" s="260"/>
      <c r="BM453" s="241"/>
      <c r="BN453" s="273"/>
      <c r="BO453" s="274"/>
      <c r="BP453" s="529"/>
      <c r="BQ453" s="145"/>
      <c r="BR453" s="110"/>
      <c r="BS453" s="242"/>
      <c r="BT453" s="203"/>
      <c r="BU453" s="167">
        <f>BN453*BQ453</f>
        <v>0</v>
      </c>
      <c r="BV453" s="168">
        <f>BO453*BQ453</f>
        <v>0</v>
      </c>
      <c r="BW453" s="131"/>
      <c r="BX453" s="529"/>
      <c r="BY453" s="145"/>
      <c r="BZ453" s="110"/>
      <c r="CA453" s="242"/>
      <c r="CB453" s="203"/>
      <c r="CC453" s="106">
        <f>BN453*BY453</f>
        <v>0</v>
      </c>
      <c r="CD453" s="107">
        <f>BO453*BY453</f>
        <v>0</v>
      </c>
      <c r="CE453" s="532"/>
      <c r="CF453" s="110"/>
      <c r="CG453" s="226"/>
      <c r="CH453" s="110"/>
      <c r="CI453" s="110"/>
      <c r="CJ453" s="226"/>
      <c r="CK453" s="110"/>
      <c r="CL453" s="110"/>
      <c r="CM453" s="226"/>
      <c r="CN453" s="110"/>
      <c r="CO453" s="206"/>
      <c r="CP453" s="206"/>
      <c r="CQ453" s="206"/>
      <c r="CR453" s="206"/>
      <c r="CS453" s="206"/>
      <c r="CT453" s="206"/>
      <c r="CU453" s="155">
        <v>1</v>
      </c>
      <c r="CV453" s="181"/>
      <c r="CW453" s="181"/>
      <c r="CX453" s="207"/>
      <c r="CY453" s="207"/>
      <c r="CZ453" s="155"/>
      <c r="DA453" s="384" t="s">
        <v>2437</v>
      </c>
      <c r="DB453" s="115" t="str">
        <f>PROPER(N453)</f>
        <v/>
      </c>
      <c r="DC453" s="191" t="s">
        <v>2438</v>
      </c>
      <c r="DD453" s="116">
        <f>BP453</f>
        <v>0</v>
      </c>
      <c r="DE453" s="117">
        <f>IF(OR(D453&gt;0),IF(BJ453=0,BN453*BQ453,0))</f>
        <v>0</v>
      </c>
      <c r="DF453" s="117">
        <f>IF(OR(D453&gt;0),IF(BJ453=0,BN453*BY453,0))</f>
        <v>0</v>
      </c>
      <c r="DG453" s="533">
        <f>BX453</f>
        <v>0</v>
      </c>
      <c r="DH453" s="313"/>
      <c r="DI453" s="120" t="s">
        <v>154</v>
      </c>
      <c r="DJ453" s="120"/>
      <c r="DK453" s="207"/>
      <c r="DL453" s="207"/>
      <c r="DM453" s="248"/>
    </row>
    <row r="454" spans="1:130" ht="34.5" hidden="1" customHeight="1">
      <c r="A454" s="155"/>
      <c r="B454" s="121" t="s">
        <v>1359</v>
      </c>
      <c r="C454" s="155"/>
      <c r="D454" s="75">
        <v>1</v>
      </c>
      <c r="E454" s="121">
        <v>1</v>
      </c>
      <c r="F454" s="121"/>
      <c r="G454" s="1815" t="s">
        <v>861</v>
      </c>
      <c r="H454" s="400" t="s">
        <v>1698</v>
      </c>
      <c r="I454" s="207" t="s">
        <v>1699</v>
      </c>
      <c r="J454" s="121" t="str">
        <f>CONCATENATE(G454," ",H454)</f>
        <v>Simone Guerra</v>
      </c>
      <c r="K454" s="156">
        <v>3472878276</v>
      </c>
      <c r="L454" s="493"/>
      <c r="M454" s="153" t="s">
        <v>514</v>
      </c>
      <c r="N454" s="160" t="s">
        <v>1686</v>
      </c>
      <c r="O454" s="1926"/>
      <c r="P454" s="160"/>
      <c r="Q454" s="160"/>
      <c r="R454" s="403"/>
      <c r="S454" s="160"/>
      <c r="T454" s="160"/>
      <c r="U454" s="160"/>
      <c r="V454" s="160"/>
      <c r="W454" s="160"/>
      <c r="X454" s="131"/>
      <c r="Y454" s="160"/>
      <c r="Z454" s="160"/>
      <c r="AA454" s="160"/>
      <c r="AB454" s="37"/>
      <c r="AC454" s="131"/>
      <c r="AD454" s="121" t="s">
        <v>1687</v>
      </c>
      <c r="AE454" s="234"/>
      <c r="AF454" s="515"/>
      <c r="AG454" s="406"/>
      <c r="AH454" s="406"/>
      <c r="AI454" s="515"/>
      <c r="AJ454" s="155"/>
      <c r="AK454" s="155"/>
      <c r="AL454" s="155"/>
      <c r="AM454" s="198"/>
      <c r="AN454" s="155"/>
      <c r="AO454" s="155"/>
      <c r="AP454" s="155"/>
      <c r="AQ454" s="198"/>
      <c r="AR454" s="121"/>
      <c r="AS454" s="121"/>
      <c r="AT454" s="121"/>
      <c r="AU454" s="198"/>
      <c r="AV454" s="121"/>
      <c r="AW454" s="121"/>
      <c r="AX454" s="121"/>
      <c r="AY454" s="198"/>
      <c r="AZ454" s="121" t="s">
        <v>115</v>
      </c>
      <c r="BA454" s="121" t="s">
        <v>115</v>
      </c>
      <c r="BB454" s="1999" t="s">
        <v>115</v>
      </c>
      <c r="BC454" s="198"/>
      <c r="BD454" s="121"/>
      <c r="BE454" s="121"/>
      <c r="BF454" s="121"/>
      <c r="BG454" s="198"/>
      <c r="BH454" s="92">
        <f>CF454+CI454+CL454+CO454+CR454</f>
        <v>2597</v>
      </c>
      <c r="BI454" s="238">
        <f>CH454+CK454+CN454+CQ454+CT454</f>
        <v>2597</v>
      </c>
      <c r="BJ454" s="238">
        <f>BH454-BI454</f>
        <v>0</v>
      </c>
      <c r="BK454" s="239"/>
      <c r="BL454" s="260"/>
      <c r="BM454" s="241"/>
      <c r="BN454" s="142">
        <v>2597</v>
      </c>
      <c r="BO454" s="182"/>
      <c r="BP454" s="825" t="s">
        <v>160</v>
      </c>
      <c r="BQ454" s="98">
        <v>0.15</v>
      </c>
      <c r="BR454" s="110"/>
      <c r="BS454" s="242">
        <f>BL454*BQ454</f>
        <v>0</v>
      </c>
      <c r="BT454" s="203">
        <f>BM454*BQ454</f>
        <v>0</v>
      </c>
      <c r="BU454" s="167">
        <f>BN454*BQ454</f>
        <v>389.55</v>
      </c>
      <c r="BV454" s="168">
        <f>BO454*BQ454</f>
        <v>0</v>
      </c>
      <c r="BW454" s="160" t="s">
        <v>185</v>
      </c>
      <c r="BX454" s="825" t="s">
        <v>160</v>
      </c>
      <c r="BY454" s="145">
        <v>0.05</v>
      </c>
      <c r="BZ454" s="110"/>
      <c r="CA454" s="242">
        <f>BL454*BY454</f>
        <v>0</v>
      </c>
      <c r="CB454" s="203">
        <f>BM454*BY454</f>
        <v>0</v>
      </c>
      <c r="CC454" s="106">
        <f>BN454*BY454</f>
        <v>129.85</v>
      </c>
      <c r="CD454" s="107">
        <f>BO454*BY454</f>
        <v>0</v>
      </c>
      <c r="CE454" s="160" t="s">
        <v>185</v>
      </c>
      <c r="CF454" s="110">
        <v>2597</v>
      </c>
      <c r="CG454" s="226">
        <v>45198</v>
      </c>
      <c r="CH454" s="508">
        <v>2597</v>
      </c>
      <c r="CI454" s="415"/>
      <c r="CJ454" s="416"/>
      <c r="CK454" s="415"/>
      <c r="CL454" s="415"/>
      <c r="CM454" s="416"/>
      <c r="CN454" s="415"/>
      <c r="CO454" s="263"/>
      <c r="CP454" s="263"/>
      <c r="CQ454" s="263"/>
      <c r="CR454" s="263"/>
      <c r="CS454" s="263"/>
      <c r="CT454" s="263"/>
      <c r="CU454" s="155">
        <v>1</v>
      </c>
      <c r="CV454" s="181"/>
      <c r="CW454" s="506"/>
      <c r="CX454" s="506"/>
      <c r="CY454" s="155"/>
      <c r="CZ454" s="121"/>
      <c r="DA454" s="428" t="s">
        <v>1688</v>
      </c>
      <c r="DB454" s="115" t="str">
        <f>PROPER(N454)</f>
        <v>Simply Water</v>
      </c>
      <c r="DC454" s="280" t="s">
        <v>1689</v>
      </c>
      <c r="DD454" s="116" t="str">
        <f>BP454</f>
        <v>Gianluca</v>
      </c>
      <c r="DE454" s="117">
        <f>IF(OR(D454&gt;0),IF(BJ454=0,BN454*BQ454,0))</f>
        <v>389.55</v>
      </c>
      <c r="DF454" s="117">
        <f>IF(OR(D454&gt;0),IF(BJ454=0,BN454*BY454,0))</f>
        <v>129.85</v>
      </c>
      <c r="DG454" s="118" t="str">
        <f>BX454</f>
        <v>Gianluca</v>
      </c>
      <c r="DH454" s="121"/>
      <c r="DI454" s="120" t="s">
        <v>126</v>
      </c>
      <c r="DJ454" s="120"/>
      <c r="DK454" s="74" t="s">
        <v>1418</v>
      </c>
      <c r="DL454" s="74" t="s">
        <v>1418</v>
      </c>
      <c r="DM454" s="122">
        <v>1</v>
      </c>
      <c r="DN454" s="6"/>
      <c r="DO454" s="6"/>
      <c r="DP454" s="6"/>
      <c r="DQ454" s="6"/>
      <c r="DR454" s="6"/>
      <c r="DS454" s="6"/>
      <c r="DT454" s="6"/>
      <c r="DU454" s="6"/>
      <c r="DV454" s="6"/>
      <c r="DW454" s="6"/>
      <c r="DX454" s="6"/>
      <c r="DY454" s="6"/>
      <c r="DZ454" s="6"/>
    </row>
    <row r="455" spans="1:130" ht="34.5" hidden="1" customHeight="1">
      <c r="A455" s="155"/>
      <c r="B455" s="121" t="s">
        <v>1928</v>
      </c>
      <c r="C455" s="155"/>
      <c r="D455" s="75">
        <v>1</v>
      </c>
      <c r="E455" s="313" t="s">
        <v>154</v>
      </c>
      <c r="F455" s="196"/>
      <c r="G455" s="369" t="s">
        <v>861</v>
      </c>
      <c r="H455" s="181" t="s">
        <v>2560</v>
      </c>
      <c r="I455" s="695" t="s">
        <v>2561</v>
      </c>
      <c r="J455" s="121" t="str">
        <f>CONCATENATE(G455," ",H455)</f>
        <v>Simone Nicolini</v>
      </c>
      <c r="K455" s="181"/>
      <c r="L455" s="160" t="s">
        <v>2562</v>
      </c>
      <c r="M455" s="131"/>
      <c r="N455" s="160"/>
      <c r="O455" s="284"/>
      <c r="P455" s="255"/>
      <c r="Q455" s="255"/>
      <c r="R455" s="131"/>
      <c r="S455" s="131"/>
      <c r="T455" s="131"/>
      <c r="U455" s="131"/>
      <c r="V455" s="131"/>
      <c r="W455" s="514"/>
      <c r="X455" s="131"/>
      <c r="Y455" s="514"/>
      <c r="Z455" s="514"/>
      <c r="AA455" s="514"/>
      <c r="AB455" s="255"/>
      <c r="AC455" s="131"/>
      <c r="AD455" s="37" t="s">
        <v>118</v>
      </c>
      <c r="AE455" s="131"/>
      <c r="AF455" s="515"/>
      <c r="AG455" s="516"/>
      <c r="AH455" s="516"/>
      <c r="AI455" s="515"/>
      <c r="AJ455" s="155"/>
      <c r="AK455" s="155"/>
      <c r="AL455" s="155"/>
      <c r="AM455" s="515"/>
      <c r="AN455" s="258"/>
      <c r="AO455" s="258"/>
      <c r="AP455" s="258"/>
      <c r="AQ455" s="515"/>
      <c r="AR455" s="121"/>
      <c r="AS455" s="121"/>
      <c r="AT455" s="121"/>
      <c r="AU455" s="515"/>
      <c r="AV455" s="121"/>
      <c r="AW455" s="19"/>
      <c r="AX455" s="19"/>
      <c r="AY455" s="515"/>
      <c r="AZ455" s="121" t="s">
        <v>116</v>
      </c>
      <c r="BA455" s="154" t="s">
        <v>297</v>
      </c>
      <c r="BB455" s="121" t="s">
        <v>116</v>
      </c>
      <c r="BC455" s="515"/>
      <c r="BD455" s="121"/>
      <c r="BE455" s="121"/>
      <c r="BF455" s="121"/>
      <c r="BG455" s="515"/>
      <c r="BH455" s="92"/>
      <c r="BI455" s="238"/>
      <c r="BJ455" s="238"/>
      <c r="BK455" s="239"/>
      <c r="BL455" s="260"/>
      <c r="BM455" s="241"/>
      <c r="BN455" s="273"/>
      <c r="BO455" s="274"/>
      <c r="BP455" s="529"/>
      <c r="BQ455" s="145"/>
      <c r="BR455" s="110"/>
      <c r="BS455" s="242"/>
      <c r="BT455" s="203"/>
      <c r="BU455" s="167">
        <f>BN455*BQ455</f>
        <v>0</v>
      </c>
      <c r="BV455" s="168">
        <f>BO455*BQ455</f>
        <v>0</v>
      </c>
      <c r="BW455" s="131"/>
      <c r="BX455" s="529"/>
      <c r="BY455" s="145"/>
      <c r="BZ455" s="110"/>
      <c r="CA455" s="242"/>
      <c r="CB455" s="203"/>
      <c r="CC455" s="106">
        <f>BN455*BY455</f>
        <v>0</v>
      </c>
      <c r="CD455" s="107">
        <f>BO455*BY455</f>
        <v>0</v>
      </c>
      <c r="CE455" s="532"/>
      <c r="CF455" s="110"/>
      <c r="CG455" s="226"/>
      <c r="CH455" s="110"/>
      <c r="CI455" s="110"/>
      <c r="CJ455" s="226"/>
      <c r="CK455" s="110"/>
      <c r="CL455" s="110"/>
      <c r="CM455" s="226"/>
      <c r="CN455" s="110"/>
      <c r="CO455" s="206"/>
      <c r="CP455" s="206"/>
      <c r="CQ455" s="206"/>
      <c r="CR455" s="206"/>
      <c r="CS455" s="206"/>
      <c r="CT455" s="206"/>
      <c r="CU455" s="155">
        <v>0</v>
      </c>
      <c r="CV455" s="181"/>
      <c r="CW455" s="181"/>
      <c r="CX455" s="207"/>
      <c r="CY455" s="207"/>
      <c r="CZ455" s="155"/>
      <c r="DA455" s="131"/>
      <c r="DB455" s="115" t="str">
        <f>PROPER(N455)</f>
        <v/>
      </c>
      <c r="DC455" s="191" t="s">
        <v>237</v>
      </c>
      <c r="DD455" s="116">
        <f>BP455</f>
        <v>0</v>
      </c>
      <c r="DE455" s="117">
        <f>IF(OR(D455&gt;0),IF(BJ455=0,BN455*BQ455,0))</f>
        <v>0</v>
      </c>
      <c r="DF455" s="117">
        <f>IF(OR(D455&gt;0),IF(BJ455=0,BN455*BY455,0))</f>
        <v>0</v>
      </c>
      <c r="DG455" s="533">
        <f>BX455</f>
        <v>0</v>
      </c>
      <c r="DH455" s="313"/>
      <c r="DI455" s="120" t="s">
        <v>126</v>
      </c>
      <c r="DJ455" s="120"/>
      <c r="DK455" s="207"/>
      <c r="DL455" s="207"/>
      <c r="DM455" s="248"/>
    </row>
    <row r="456" spans="1:130" ht="34.5" hidden="1" customHeight="1">
      <c r="A456" s="155"/>
      <c r="B456" s="121" t="s">
        <v>1359</v>
      </c>
      <c r="C456" s="155"/>
      <c r="D456" s="75">
        <v>1</v>
      </c>
      <c r="E456" s="121">
        <v>1</v>
      </c>
      <c r="F456" s="121"/>
      <c r="G456" s="1815" t="s">
        <v>861</v>
      </c>
      <c r="H456" s="1815" t="s">
        <v>2209</v>
      </c>
      <c r="I456" s="354" t="s">
        <v>2210</v>
      </c>
      <c r="J456" s="617" t="str">
        <f>CONCATENATE(G456," ",H456)</f>
        <v>Simone Senici</v>
      </c>
      <c r="K456" s="1853">
        <v>3453616030</v>
      </c>
      <c r="L456" s="156"/>
      <c r="M456" s="487" t="s">
        <v>702</v>
      </c>
      <c r="N456" s="160" t="s">
        <v>2196</v>
      </c>
      <c r="O456" s="1926"/>
      <c r="P456" s="160"/>
      <c r="Q456" s="160"/>
      <c r="R456" s="403"/>
      <c r="S456" s="160"/>
      <c r="T456" s="160"/>
      <c r="U456" s="160"/>
      <c r="V456" s="160"/>
      <c r="W456" s="160"/>
      <c r="X456" s="131"/>
      <c r="Y456" s="160"/>
      <c r="Z456" s="160"/>
      <c r="AA456" s="160"/>
      <c r="AB456" s="37"/>
      <c r="AC456" s="131"/>
      <c r="AD456" s="121" t="s">
        <v>2197</v>
      </c>
      <c r="AE456" s="234"/>
      <c r="AF456" s="515"/>
      <c r="AG456" s="406"/>
      <c r="AH456" s="406"/>
      <c r="AI456" s="515"/>
      <c r="AJ456" s="155"/>
      <c r="AK456" s="155"/>
      <c r="AL456" s="155"/>
      <c r="AM456" s="198"/>
      <c r="AN456" s="155"/>
      <c r="AO456" s="155"/>
      <c r="AP456" s="155"/>
      <c r="AQ456" s="198"/>
      <c r="AR456" s="121"/>
      <c r="AS456" s="121"/>
      <c r="AT456" s="121"/>
      <c r="AU456" s="198"/>
      <c r="AV456" s="121"/>
      <c r="AW456" s="121"/>
      <c r="AX456" s="121"/>
      <c r="AY456" s="198"/>
      <c r="AZ456" s="121" t="s">
        <v>115</v>
      </c>
      <c r="BA456" s="121" t="s">
        <v>115</v>
      </c>
      <c r="BB456" s="2001" t="s">
        <v>115</v>
      </c>
      <c r="BC456" s="198"/>
      <c r="BD456" s="121"/>
      <c r="BE456" s="121"/>
      <c r="BF456" s="121"/>
      <c r="BG456" s="198"/>
      <c r="BH456" s="92">
        <f>CF456+CI456+CL456+CO456+CR456</f>
        <v>2597</v>
      </c>
      <c r="BI456" s="238">
        <f>CH456+CK456+CN456+CQ456+CT456</f>
        <v>2597</v>
      </c>
      <c r="BJ456" s="238">
        <f>BH456-BI456</f>
        <v>0</v>
      </c>
      <c r="BK456" s="239"/>
      <c r="BL456" s="260"/>
      <c r="BM456" s="241"/>
      <c r="BN456" s="142">
        <v>2597</v>
      </c>
      <c r="BO456" s="182"/>
      <c r="BP456" s="825" t="s">
        <v>246</v>
      </c>
      <c r="BQ456" s="98">
        <v>0.15</v>
      </c>
      <c r="BR456" s="110"/>
      <c r="BS456" s="242">
        <f>BL456*BQ456</f>
        <v>0</v>
      </c>
      <c r="BT456" s="203">
        <f>BM456*BQ456</f>
        <v>0</v>
      </c>
      <c r="BU456" s="167">
        <f>BN456*BQ456</f>
        <v>389.55</v>
      </c>
      <c r="BV456" s="168">
        <f>BO456*BQ456</f>
        <v>0</v>
      </c>
      <c r="BW456" s="160" t="s">
        <v>185</v>
      </c>
      <c r="BX456" s="825" t="s">
        <v>246</v>
      </c>
      <c r="BY456" s="145">
        <v>0.05</v>
      </c>
      <c r="BZ456" s="110"/>
      <c r="CA456" s="242">
        <f>BL456*BY456</f>
        <v>0</v>
      </c>
      <c r="CB456" s="203">
        <f>BM456*BY456</f>
        <v>0</v>
      </c>
      <c r="CC456" s="106">
        <f>BN456*BY456</f>
        <v>129.85</v>
      </c>
      <c r="CD456" s="107">
        <f>BO456*BY456</f>
        <v>0</v>
      </c>
      <c r="CE456" s="160" t="s">
        <v>185</v>
      </c>
      <c r="CF456" s="110">
        <v>2597</v>
      </c>
      <c r="CG456" s="226">
        <v>45204</v>
      </c>
      <c r="CH456" s="110">
        <v>2597</v>
      </c>
      <c r="CI456" s="415"/>
      <c r="CJ456" s="416"/>
      <c r="CK456" s="415"/>
      <c r="CL456" s="415"/>
      <c r="CM456" s="416"/>
      <c r="CN456" s="415"/>
      <c r="CO456" s="263"/>
      <c r="CP456" s="263"/>
      <c r="CQ456" s="263"/>
      <c r="CR456" s="263"/>
      <c r="CS456" s="263"/>
      <c r="CT456" s="263"/>
      <c r="CU456" s="155">
        <v>1</v>
      </c>
      <c r="CV456" s="181"/>
      <c r="CW456" s="506"/>
      <c r="CX456" s="431"/>
      <c r="CY456" s="155"/>
      <c r="CZ456" s="121"/>
      <c r="DA456" s="1752" t="s">
        <v>2198</v>
      </c>
      <c r="DB456" s="115" t="str">
        <f>PROPER(N456)</f>
        <v>Com.Pac.</v>
      </c>
      <c r="DC456" s="280" t="s">
        <v>1398</v>
      </c>
      <c r="DD456" s="116" t="str">
        <f>BP456</f>
        <v>Marco</v>
      </c>
      <c r="DE456" s="117">
        <f>IF(OR(D456&gt;0),IF(BJ456=0,BN456*BQ456,0))</f>
        <v>389.55</v>
      </c>
      <c r="DF456" s="117">
        <f>IF(OR(D456&gt;0),IF(BJ456=0,BN456*BY456,0))</f>
        <v>129.85</v>
      </c>
      <c r="DG456" s="118" t="str">
        <f>BX456</f>
        <v>Marco</v>
      </c>
      <c r="DH456" s="121"/>
      <c r="DI456" s="120" t="s">
        <v>126</v>
      </c>
      <c r="DJ456" s="120"/>
      <c r="DK456" s="74" t="s">
        <v>1366</v>
      </c>
      <c r="DL456" s="74" t="s">
        <v>1366</v>
      </c>
      <c r="DM456" s="122">
        <v>1</v>
      </c>
      <c r="DN456" s="6"/>
      <c r="DO456" s="6"/>
      <c r="DP456" s="6"/>
      <c r="DQ456" s="6"/>
      <c r="DR456" s="6"/>
      <c r="DS456" s="6"/>
      <c r="DT456" s="6"/>
      <c r="DU456" s="6"/>
      <c r="DV456" s="6"/>
      <c r="DW456" s="6"/>
      <c r="DX456" s="6"/>
      <c r="DY456" s="6"/>
      <c r="DZ456" s="6"/>
    </row>
    <row r="457" spans="1:130" ht="34.5" hidden="1" customHeight="1">
      <c r="A457" s="155"/>
      <c r="B457" s="121" t="s">
        <v>1928</v>
      </c>
      <c r="C457" s="155"/>
      <c r="D457" s="75">
        <v>1</v>
      </c>
      <c r="E457" s="313">
        <v>1</v>
      </c>
      <c r="F457" s="196"/>
      <c r="G457" s="369" t="s">
        <v>2459</v>
      </c>
      <c r="H457" s="369" t="s">
        <v>2460</v>
      </c>
      <c r="I457" s="687" t="s">
        <v>2461</v>
      </c>
      <c r="J457" s="353" t="str">
        <f>CONCATENATE(G457," ",H457)</f>
        <v>Loriana Blando</v>
      </c>
      <c r="K457" s="369"/>
      <c r="L457" s="131"/>
      <c r="M457" s="384" t="s">
        <v>2462</v>
      </c>
      <c r="N457" s="160" t="s">
        <v>2463</v>
      </c>
      <c r="O457" s="284"/>
      <c r="P457" s="255"/>
      <c r="Q457" s="255"/>
      <c r="R457" s="131"/>
      <c r="S457" s="131"/>
      <c r="T457" s="131"/>
      <c r="U457" s="131"/>
      <c r="V457" s="131"/>
      <c r="W457" s="514"/>
      <c r="X457" s="131"/>
      <c r="Y457" s="514"/>
      <c r="Z457" s="514"/>
      <c r="AA457" s="514"/>
      <c r="AB457" s="255"/>
      <c r="AC457" s="131"/>
      <c r="AD457" s="37" t="s">
        <v>118</v>
      </c>
      <c r="AE457" s="131"/>
      <c r="AF457" s="515"/>
      <c r="AG457" s="516"/>
      <c r="AH457" s="516"/>
      <c r="AI457" s="515"/>
      <c r="AJ457" s="155"/>
      <c r="AK457" s="155"/>
      <c r="AL457" s="155"/>
      <c r="AM457" s="515"/>
      <c r="AN457" s="258"/>
      <c r="AO457" s="258"/>
      <c r="AP457" s="258"/>
      <c r="AQ457" s="515"/>
      <c r="AR457" s="121"/>
      <c r="AS457" s="121"/>
      <c r="AT457" s="121"/>
      <c r="AU457" s="515"/>
      <c r="AV457" s="121"/>
      <c r="AW457" s="121"/>
      <c r="AX457" s="121"/>
      <c r="AY457" s="515"/>
      <c r="AZ457" s="121" t="s">
        <v>116</v>
      </c>
      <c r="BA457" s="553" t="s">
        <v>116</v>
      </c>
      <c r="BB457" s="135" t="s">
        <v>154</v>
      </c>
      <c r="BC457" s="515"/>
      <c r="BD457" s="121"/>
      <c r="BE457" s="121"/>
      <c r="BF457" s="121"/>
      <c r="BG457" s="515"/>
      <c r="BH457" s="92"/>
      <c r="BI457" s="238"/>
      <c r="BJ457" s="238"/>
      <c r="BK457" s="239"/>
      <c r="BL457" s="260"/>
      <c r="BM457" s="241"/>
      <c r="BN457" s="273"/>
      <c r="BO457" s="274"/>
      <c r="BP457" s="529"/>
      <c r="BQ457" s="145"/>
      <c r="BR457" s="110"/>
      <c r="BS457" s="242"/>
      <c r="BT457" s="203"/>
      <c r="BU457" s="167">
        <f>BN457*BQ457</f>
        <v>0</v>
      </c>
      <c r="BV457" s="168">
        <f>BO457*BQ457</f>
        <v>0</v>
      </c>
      <c r="BW457" s="131"/>
      <c r="BX457" s="529"/>
      <c r="BY457" s="145"/>
      <c r="BZ457" s="110"/>
      <c r="CA457" s="242"/>
      <c r="CB457" s="203"/>
      <c r="CC457" s="106">
        <f>BN457*BY457</f>
        <v>0</v>
      </c>
      <c r="CD457" s="107">
        <f>BO457*BY457</f>
        <v>0</v>
      </c>
      <c r="CE457" s="532"/>
      <c r="CF457" s="110"/>
      <c r="CG457" s="226"/>
      <c r="CH457" s="110"/>
      <c r="CI457" s="110"/>
      <c r="CJ457" s="226"/>
      <c r="CK457" s="110"/>
      <c r="CL457" s="110"/>
      <c r="CM457" s="226"/>
      <c r="CN457" s="110"/>
      <c r="CO457" s="206"/>
      <c r="CP457" s="206"/>
      <c r="CQ457" s="206"/>
      <c r="CR457" s="206"/>
      <c r="CS457" s="206"/>
      <c r="CT457" s="206"/>
      <c r="CU457" s="155">
        <v>1</v>
      </c>
      <c r="CV457" s="181"/>
      <c r="CW457" s="181"/>
      <c r="CX457" s="207"/>
      <c r="CY457" s="207"/>
      <c r="CZ457" s="155"/>
      <c r="DA457" s="384" t="s">
        <v>1156</v>
      </c>
      <c r="DB457" s="115" t="str">
        <f>PROPER(N457)</f>
        <v>Global Utilities</v>
      </c>
      <c r="DC457" s="191" t="s">
        <v>809</v>
      </c>
      <c r="DD457" s="116">
        <f>BP457</f>
        <v>0</v>
      </c>
      <c r="DE457" s="117">
        <f>IF(OR(D457&gt;0),IF(BJ457=0,BN457*BQ457,0))</f>
        <v>0</v>
      </c>
      <c r="DF457" s="117">
        <f>IF(OR(D457&gt;0),IF(BJ457=0,BN457*BY457,0))</f>
        <v>0</v>
      </c>
      <c r="DG457" s="533">
        <f>BX457</f>
        <v>0</v>
      </c>
      <c r="DH457" s="313"/>
      <c r="DI457" s="120" t="s">
        <v>154</v>
      </c>
      <c r="DJ457" s="120"/>
      <c r="DK457" s="207"/>
      <c r="DL457" s="207"/>
      <c r="DM457" s="248">
        <v>1</v>
      </c>
    </row>
    <row r="458" spans="1:130" ht="34.5" hidden="1" customHeight="1">
      <c r="A458" s="155"/>
      <c r="B458" s="121" t="s">
        <v>1359</v>
      </c>
      <c r="C458" s="155"/>
      <c r="D458" s="121"/>
      <c r="E458" s="121">
        <v>1</v>
      </c>
      <c r="F458" s="121"/>
      <c r="G458" s="1815" t="s">
        <v>2140</v>
      </c>
      <c r="H458" s="1815" t="s">
        <v>2141</v>
      </c>
      <c r="I458" s="354" t="s">
        <v>2142</v>
      </c>
      <c r="J458" s="617" t="str">
        <f>CONCATENATE(G458," ",H458)</f>
        <v>Simonetta Isella</v>
      </c>
      <c r="K458" s="1853">
        <v>3483890706</v>
      </c>
      <c r="L458" s="152" t="s">
        <v>332</v>
      </c>
      <c r="M458" s="153"/>
      <c r="N458" s="160" t="s">
        <v>334</v>
      </c>
      <c r="O458" s="1926"/>
      <c r="P458" s="160"/>
      <c r="Q458" s="160"/>
      <c r="R458" s="403"/>
      <c r="S458" s="160"/>
      <c r="T458" s="160"/>
      <c r="U458" s="160"/>
      <c r="V458" s="160"/>
      <c r="W458" s="160"/>
      <c r="X458" s="131"/>
      <c r="Y458" s="160"/>
      <c r="Z458" s="160"/>
      <c r="AA458" s="160"/>
      <c r="AB458" s="37"/>
      <c r="AC458" s="131"/>
      <c r="AD458" s="86" t="s">
        <v>896</v>
      </c>
      <c r="AE458" s="234"/>
      <c r="AF458" s="515"/>
      <c r="AG458" s="406"/>
      <c r="AH458" s="406"/>
      <c r="AI458" s="515"/>
      <c r="AJ458" s="155"/>
      <c r="AK458" s="155"/>
      <c r="AL458" s="155"/>
      <c r="AM458" s="198"/>
      <c r="AN458" s="155"/>
      <c r="AO458" s="155"/>
      <c r="AP458" s="155"/>
      <c r="AQ458" s="198"/>
      <c r="AR458" s="121"/>
      <c r="AS458" s="121"/>
      <c r="AT458" s="121"/>
      <c r="AU458" s="198"/>
      <c r="AV458" s="121"/>
      <c r="AW458" s="121"/>
      <c r="AX458" s="121"/>
      <c r="AY458" s="198"/>
      <c r="AZ458" s="121"/>
      <c r="BA458" s="362" t="s">
        <v>115</v>
      </c>
      <c r="BB458" s="75" t="s">
        <v>115</v>
      </c>
      <c r="BC458" s="198"/>
      <c r="BD458" s="121" t="s">
        <v>115</v>
      </c>
      <c r="BE458" s="121"/>
      <c r="BF458" s="121"/>
      <c r="BG458" s="198"/>
      <c r="BH458" s="92">
        <v>2997</v>
      </c>
      <c r="BI458" s="238">
        <f>CH458+CK458+CN458+CQ458+CT458</f>
        <v>2997</v>
      </c>
      <c r="BJ458" s="238">
        <f>BH458-BI458</f>
        <v>0</v>
      </c>
      <c r="BK458" s="239"/>
      <c r="BL458" s="260"/>
      <c r="BM458" s="241"/>
      <c r="BN458" s="142">
        <v>2997</v>
      </c>
      <c r="BO458" s="182"/>
      <c r="BP458" s="131" t="s">
        <v>184</v>
      </c>
      <c r="BQ458" s="98">
        <v>0.15</v>
      </c>
      <c r="BR458" s="110"/>
      <c r="BS458" s="242">
        <f>BL458*BQ458</f>
        <v>0</v>
      </c>
      <c r="BT458" s="203">
        <f>BM458*BQ458</f>
        <v>0</v>
      </c>
      <c r="BU458" s="167">
        <f>BN458*BQ458</f>
        <v>449.55</v>
      </c>
      <c r="BV458" s="168">
        <f>BO458*BQ458</f>
        <v>0</v>
      </c>
      <c r="BW458" s="131"/>
      <c r="BX458" s="825" t="s">
        <v>184</v>
      </c>
      <c r="BY458" s="145">
        <v>0.05</v>
      </c>
      <c r="BZ458" s="110"/>
      <c r="CA458" s="242">
        <f>BL458*BY458</f>
        <v>0</v>
      </c>
      <c r="CB458" s="203">
        <f>BM458*BY458</f>
        <v>0</v>
      </c>
      <c r="CC458" s="530">
        <f>BN458*BY458</f>
        <v>149.85</v>
      </c>
      <c r="CD458" s="107">
        <f>BO458*BY458</f>
        <v>0</v>
      </c>
      <c r="CE458" s="244"/>
      <c r="CF458" s="110">
        <v>2997</v>
      </c>
      <c r="CG458" s="226">
        <v>45013</v>
      </c>
      <c r="CH458" s="110">
        <v>2997</v>
      </c>
      <c r="CI458" s="415"/>
      <c r="CJ458" s="416"/>
      <c r="CK458" s="415"/>
      <c r="CL458" s="415"/>
      <c r="CM458" s="416"/>
      <c r="CN458" s="415"/>
      <c r="CO458" s="263"/>
      <c r="CP458" s="263"/>
      <c r="CQ458" s="263"/>
      <c r="CR458" s="263"/>
      <c r="CS458" s="263"/>
      <c r="CT458" s="263"/>
      <c r="CU458" s="155">
        <v>1</v>
      </c>
      <c r="CV458" s="181"/>
      <c r="CW458" s="506"/>
      <c r="CX458" s="506"/>
      <c r="CY458" s="155"/>
      <c r="CZ458" s="121"/>
      <c r="DA458" s="424" t="s">
        <v>2143</v>
      </c>
      <c r="DB458" s="115" t="str">
        <f>PROPER(N458)</f>
        <v>Ellepack</v>
      </c>
      <c r="DC458" s="280" t="s">
        <v>897</v>
      </c>
      <c r="DD458" s="116" t="str">
        <f>BP458</f>
        <v>Cristian A</v>
      </c>
      <c r="DE458" s="117" t="b">
        <f>IF(OR(D458&gt;0),IF(BJ458=0,BN458*BQ458,0))</f>
        <v>0</v>
      </c>
      <c r="DF458" s="117" t="b">
        <f>IF(OR(D458&gt;0),IF(BJ458=0,BN458*BY458,0))</f>
        <v>0</v>
      </c>
      <c r="DG458" s="118" t="str">
        <f>BX458</f>
        <v>Cristian A</v>
      </c>
      <c r="DH458" s="121"/>
      <c r="DI458" s="120" t="s">
        <v>126</v>
      </c>
      <c r="DJ458" s="120"/>
      <c r="DK458" s="74" t="s">
        <v>1418</v>
      </c>
      <c r="DL458" s="74" t="s">
        <v>1418</v>
      </c>
      <c r="DM458" s="122">
        <v>1</v>
      </c>
      <c r="DN458" s="6"/>
      <c r="DO458" s="6"/>
      <c r="DP458" s="6"/>
      <c r="DQ458" s="6"/>
      <c r="DR458" s="6"/>
      <c r="DS458" s="6"/>
      <c r="DT458" s="6"/>
      <c r="DU458" s="6"/>
      <c r="DV458" s="6"/>
      <c r="DW458" s="6"/>
      <c r="DX458" s="6"/>
      <c r="DY458" s="6"/>
      <c r="DZ458" s="6"/>
    </row>
    <row r="459" spans="1:130" ht="34.5" hidden="1" customHeight="1">
      <c r="A459" s="121"/>
      <c r="B459" s="121" t="s">
        <v>108</v>
      </c>
      <c r="C459" s="121"/>
      <c r="D459" s="75"/>
      <c r="E459" s="121">
        <v>1</v>
      </c>
      <c r="F459" s="121"/>
      <c r="G459" s="1814" t="s">
        <v>407</v>
      </c>
      <c r="H459" s="1814" t="s">
        <v>865</v>
      </c>
      <c r="I459" s="305" t="s">
        <v>866</v>
      </c>
      <c r="J459" s="617" t="str">
        <f>CONCATENATE(G459," ",H459)</f>
        <v>Stefano Beccaria</v>
      </c>
      <c r="K459" s="1853">
        <v>3938589489</v>
      </c>
      <c r="L459" s="160" t="s">
        <v>867</v>
      </c>
      <c r="M459" s="176" t="s">
        <v>868</v>
      </c>
      <c r="N459" s="160" t="s">
        <v>869</v>
      </c>
      <c r="O459" s="198"/>
      <c r="P459" s="86"/>
      <c r="Q459" s="86"/>
      <c r="R459" s="86"/>
      <c r="S459" s="86"/>
      <c r="T459" s="86"/>
      <c r="U459" s="86"/>
      <c r="V459" s="86"/>
      <c r="W459" s="86"/>
      <c r="X459" s="86"/>
      <c r="Y459" s="87"/>
      <c r="Z459" s="86"/>
      <c r="AA459" s="86"/>
      <c r="AB459" s="86"/>
      <c r="AC459" s="86"/>
      <c r="AD459" s="86" t="s">
        <v>870</v>
      </c>
      <c r="AE459" s="160" t="str">
        <f>L459</f>
        <v>SCRIVERE AD AMMINISTRAZIONE@FORSIC.IT</v>
      </c>
      <c r="AF459" s="198"/>
      <c r="AG459" s="121"/>
      <c r="AH459" s="121"/>
      <c r="AI459" s="198"/>
      <c r="AJ459" s="121"/>
      <c r="AK459" s="121"/>
      <c r="AL459" s="121"/>
      <c r="AM459" s="198"/>
      <c r="AN459" s="155"/>
      <c r="AO459" s="155"/>
      <c r="AP459" s="155"/>
      <c r="AQ459" s="198"/>
      <c r="AR459" s="121"/>
      <c r="AS459" s="121"/>
      <c r="AT459" s="121"/>
      <c r="AU459" s="198"/>
      <c r="AV459" s="121" t="s">
        <v>115</v>
      </c>
      <c r="AW459" s="121"/>
      <c r="AX459" s="121"/>
      <c r="AY459" s="198"/>
      <c r="AZ459" s="121"/>
      <c r="BA459" s="121" t="s">
        <v>115</v>
      </c>
      <c r="BB459" s="1999" t="s">
        <v>115</v>
      </c>
      <c r="BC459" s="198"/>
      <c r="BD459" s="121"/>
      <c r="BE459" s="121"/>
      <c r="BF459" s="121"/>
      <c r="BG459" s="198"/>
      <c r="BH459" s="92">
        <f>CF459+CI459+CL459+CO459+CR459</f>
        <v>2997</v>
      </c>
      <c r="BI459" s="238">
        <f>CH459+CK459+CN459+CQ459+CT459</f>
        <v>2997</v>
      </c>
      <c r="BJ459" s="238">
        <f>BH459-BI459</f>
        <v>0</v>
      </c>
      <c r="BK459" s="199"/>
      <c r="BL459" s="200"/>
      <c r="BM459" s="241">
        <v>2997</v>
      </c>
      <c r="BN459" s="96"/>
      <c r="BO459" s="97"/>
      <c r="BP459" s="131" t="s">
        <v>160</v>
      </c>
      <c r="BQ459" s="98">
        <v>0.15</v>
      </c>
      <c r="BR459" s="201"/>
      <c r="BS459" s="202"/>
      <c r="BT459" s="203">
        <f>BM459*BQ459</f>
        <v>449.55</v>
      </c>
      <c r="BU459" s="167">
        <f>BN459*BQ459</f>
        <v>0</v>
      </c>
      <c r="BV459" s="168">
        <f>BO459*BQ459</f>
        <v>0</v>
      </c>
      <c r="BW459" s="131" t="s">
        <v>120</v>
      </c>
      <c r="BX459" s="825" t="s">
        <v>160</v>
      </c>
      <c r="BY459" s="98">
        <v>0.05</v>
      </c>
      <c r="BZ459" s="201"/>
      <c r="CA459" s="202"/>
      <c r="CB459" s="203">
        <f>BM459*BY459</f>
        <v>149.85</v>
      </c>
      <c r="CC459" s="106">
        <f>BN459*BY459</f>
        <v>0</v>
      </c>
      <c r="CD459" s="107">
        <f>BO459*BY459</f>
        <v>0</v>
      </c>
      <c r="CE459" s="155" t="s">
        <v>120</v>
      </c>
      <c r="CF459" s="110">
        <v>2997</v>
      </c>
      <c r="CG459" s="226">
        <v>45044</v>
      </c>
      <c r="CH459" s="110">
        <v>2997</v>
      </c>
      <c r="CI459" s="110"/>
      <c r="CJ459" s="226"/>
      <c r="CK459" s="206"/>
      <c r="CL459" s="206"/>
      <c r="CM459" s="226"/>
      <c r="CN459" s="206"/>
      <c r="CO459" s="206"/>
      <c r="CP459" s="206"/>
      <c r="CQ459" s="206"/>
      <c r="CR459" s="206"/>
      <c r="CS459" s="206"/>
      <c r="CT459" s="206"/>
      <c r="CU459" s="155">
        <v>1</v>
      </c>
      <c r="CV459" s="181" t="s">
        <v>121</v>
      </c>
      <c r="CW459" s="181"/>
      <c r="CX459" s="207"/>
      <c r="CY459" s="155" t="s">
        <v>122</v>
      </c>
      <c r="CZ459" s="155"/>
      <c r="DA459" s="208" t="s">
        <v>871</v>
      </c>
      <c r="DB459" s="115" t="str">
        <f>PROPER(N459)</f>
        <v>Forsic</v>
      </c>
      <c r="DC459" s="191" t="s">
        <v>519</v>
      </c>
      <c r="DD459" s="116" t="str">
        <f>BP459</f>
        <v>Gianluca</v>
      </c>
      <c r="DE459" s="117" t="b">
        <f>IF(OR(D459&gt;0),IF(BJ459=0,BN459*BQ459,0))</f>
        <v>0</v>
      </c>
      <c r="DF459" s="117" t="b">
        <f>IF(OR(D459&gt;0),IF(BJ459=0,BN459*BY459,0))</f>
        <v>0</v>
      </c>
      <c r="DG459" s="118" t="str">
        <f>BX459</f>
        <v>Gianluca</v>
      </c>
      <c r="DH459" s="121"/>
      <c r="DI459" s="120" t="s">
        <v>126</v>
      </c>
      <c r="DJ459" s="120"/>
      <c r="DK459" s="121"/>
      <c r="DL459" s="121"/>
      <c r="DM459" s="122"/>
      <c r="DN459" s="6"/>
      <c r="DO459" s="6"/>
      <c r="DP459" s="6"/>
      <c r="DQ459" s="6"/>
      <c r="DR459" s="6"/>
      <c r="DS459" s="6"/>
      <c r="DT459" s="6"/>
      <c r="DU459" s="6"/>
      <c r="DV459" s="6"/>
      <c r="DW459" s="6"/>
      <c r="DX459" s="6"/>
      <c r="DY459" s="6"/>
      <c r="DZ459" s="6"/>
    </row>
    <row r="460" spans="1:130" ht="34.5" hidden="1" customHeight="1">
      <c r="A460" s="155"/>
      <c r="B460" s="121" t="s">
        <v>1928</v>
      </c>
      <c r="C460" s="155"/>
      <c r="D460" s="75">
        <v>1</v>
      </c>
      <c r="E460" s="313"/>
      <c r="F460" s="196"/>
      <c r="G460" s="369" t="s">
        <v>950</v>
      </c>
      <c r="H460" s="369" t="s">
        <v>2474</v>
      </c>
      <c r="I460" s="688" t="s">
        <v>2475</v>
      </c>
      <c r="J460" s="353" t="str">
        <f>CONCATENATE(G460," ",H460)</f>
        <v>Paola Mariani</v>
      </c>
      <c r="K460" s="369"/>
      <c r="L460" s="131"/>
      <c r="M460" s="131"/>
      <c r="N460" s="160" t="s">
        <v>2476</v>
      </c>
      <c r="O460" s="284"/>
      <c r="P460" s="255"/>
      <c r="Q460" s="255"/>
      <c r="R460" s="131"/>
      <c r="S460" s="131"/>
      <c r="T460" s="131"/>
      <c r="U460" s="131"/>
      <c r="V460" s="131"/>
      <c r="W460" s="514"/>
      <c r="X460" s="131"/>
      <c r="Y460" s="514"/>
      <c r="Z460" s="514"/>
      <c r="AA460" s="514"/>
      <c r="AB460" s="255"/>
      <c r="AC460" s="131"/>
      <c r="AD460" s="37" t="s">
        <v>118</v>
      </c>
      <c r="AE460" s="131"/>
      <c r="AF460" s="515"/>
      <c r="AG460" s="516"/>
      <c r="AH460" s="516"/>
      <c r="AI460" s="515"/>
      <c r="AJ460" s="155"/>
      <c r="AK460" s="155"/>
      <c r="AL460" s="155"/>
      <c r="AM460" s="515"/>
      <c r="AN460" s="258"/>
      <c r="AO460" s="258"/>
      <c r="AP460" s="258"/>
      <c r="AQ460" s="515"/>
      <c r="AR460" s="121"/>
      <c r="AS460" s="121"/>
      <c r="AT460" s="121"/>
      <c r="AU460" s="515"/>
      <c r="AV460" s="121"/>
      <c r="AW460" s="121"/>
      <c r="AX460" s="121"/>
      <c r="AY460" s="515"/>
      <c r="AZ460" s="121" t="s">
        <v>116</v>
      </c>
      <c r="BA460" s="553" t="s">
        <v>154</v>
      </c>
      <c r="BB460" s="121" t="s">
        <v>154</v>
      </c>
      <c r="BC460" s="515"/>
      <c r="BD460" s="121"/>
      <c r="BE460" s="121"/>
      <c r="BF460" s="121"/>
      <c r="BG460" s="515"/>
      <c r="BH460" s="92"/>
      <c r="BI460" s="238"/>
      <c r="BJ460" s="238"/>
      <c r="BK460" s="239"/>
      <c r="BL460" s="260"/>
      <c r="BM460" s="241"/>
      <c r="BN460" s="273"/>
      <c r="BO460" s="274"/>
      <c r="BP460" s="529"/>
      <c r="BQ460" s="145"/>
      <c r="BR460" s="110"/>
      <c r="BS460" s="242"/>
      <c r="BT460" s="203"/>
      <c r="BU460" s="167">
        <f>BN460*BQ460</f>
        <v>0</v>
      </c>
      <c r="BV460" s="168">
        <f>BO460*BQ460</f>
        <v>0</v>
      </c>
      <c r="BW460" s="131"/>
      <c r="BX460" s="529"/>
      <c r="BY460" s="145"/>
      <c r="BZ460" s="110"/>
      <c r="CA460" s="242"/>
      <c r="CB460" s="203"/>
      <c r="CC460" s="106">
        <f>BN460*BY460</f>
        <v>0</v>
      </c>
      <c r="CD460" s="107">
        <f>BO460*BY460</f>
        <v>0</v>
      </c>
      <c r="CE460" s="532"/>
      <c r="CF460" s="110"/>
      <c r="CG460" s="226"/>
      <c r="CH460" s="110"/>
      <c r="CI460" s="110"/>
      <c r="CJ460" s="226"/>
      <c r="CK460" s="110"/>
      <c r="CL460" s="110"/>
      <c r="CM460" s="226"/>
      <c r="CN460" s="110"/>
      <c r="CO460" s="206"/>
      <c r="CP460" s="206"/>
      <c r="CQ460" s="206"/>
      <c r="CR460" s="206"/>
      <c r="CS460" s="206"/>
      <c r="CT460" s="206"/>
      <c r="CU460" s="155">
        <v>1</v>
      </c>
      <c r="CV460" s="181"/>
      <c r="CW460" s="181"/>
      <c r="CX460" s="207"/>
      <c r="CY460" s="207"/>
      <c r="CZ460" s="155"/>
      <c r="DA460" s="131"/>
      <c r="DB460" s="115" t="str">
        <f>PROPER(N460)</f>
        <v>Compasso</v>
      </c>
      <c r="DC460" s="191" t="s">
        <v>2477</v>
      </c>
      <c r="DD460" s="116">
        <f>BP460</f>
        <v>0</v>
      </c>
      <c r="DE460" s="117">
        <f>IF(OR(D460&gt;0),IF(BJ460=0,BN460*BQ460,0))</f>
        <v>0</v>
      </c>
      <c r="DF460" s="117">
        <f>IF(OR(D460&gt;0),IF(BJ460=0,BN460*BY460,0))</f>
        <v>0</v>
      </c>
      <c r="DG460" s="533">
        <f>BX460</f>
        <v>0</v>
      </c>
      <c r="DH460" s="313"/>
      <c r="DI460" s="120" t="s">
        <v>154</v>
      </c>
      <c r="DJ460" s="120"/>
      <c r="DK460" s="207"/>
      <c r="DL460" s="207"/>
      <c r="DM460" s="248"/>
    </row>
    <row r="461" spans="1:130" ht="34.5" hidden="1" customHeight="1">
      <c r="A461" s="155"/>
      <c r="B461" s="121" t="s">
        <v>1928</v>
      </c>
      <c r="C461" s="155"/>
      <c r="D461" s="75"/>
      <c r="E461" s="313"/>
      <c r="F461" s="196"/>
      <c r="G461" s="181" t="s">
        <v>693</v>
      </c>
      <c r="H461" s="369" t="s">
        <v>2478</v>
      </c>
      <c r="I461" s="687" t="s">
        <v>2479</v>
      </c>
      <c r="J461" s="617" t="str">
        <f>CONCATENATE(G461," ",H461)</f>
        <v>Silvia Sardena</v>
      </c>
      <c r="K461" s="369"/>
      <c r="L461" s="131"/>
      <c r="M461" s="131"/>
      <c r="N461" s="160"/>
      <c r="O461" s="284"/>
      <c r="P461" s="255"/>
      <c r="Q461" s="255"/>
      <c r="R461" s="131"/>
      <c r="S461" s="131"/>
      <c r="T461" s="131"/>
      <c r="U461" s="131"/>
      <c r="V461" s="131"/>
      <c r="W461" s="514"/>
      <c r="X461" s="131"/>
      <c r="Y461" s="514"/>
      <c r="Z461" s="514"/>
      <c r="AA461" s="514"/>
      <c r="AB461" s="255"/>
      <c r="AC461" s="131"/>
      <c r="AD461" s="37" t="s">
        <v>118</v>
      </c>
      <c r="AE461" s="131"/>
      <c r="AF461" s="515"/>
      <c r="AG461" s="516"/>
      <c r="AH461" s="516"/>
      <c r="AI461" s="515"/>
      <c r="AJ461" s="155"/>
      <c r="AK461" s="155"/>
      <c r="AL461" s="155"/>
      <c r="AM461" s="515"/>
      <c r="AN461" s="258"/>
      <c r="AO461" s="258"/>
      <c r="AP461" s="258"/>
      <c r="AQ461" s="515"/>
      <c r="AR461" s="121"/>
      <c r="AS461" s="121"/>
      <c r="AT461" s="121"/>
      <c r="AU461" s="515"/>
      <c r="AV461" s="121"/>
      <c r="AW461" s="121"/>
      <c r="AX461" s="121"/>
      <c r="AY461" s="515"/>
      <c r="AZ461" s="154" t="s">
        <v>297</v>
      </c>
      <c r="BA461" s="154" t="s">
        <v>297</v>
      </c>
      <c r="BB461" s="121" t="s">
        <v>2480</v>
      </c>
      <c r="BC461" s="515"/>
      <c r="BD461" s="121"/>
      <c r="BE461" s="121"/>
      <c r="BF461" s="121"/>
      <c r="BG461" s="515"/>
      <c r="BH461" s="92"/>
      <c r="BI461" s="238"/>
      <c r="BJ461" s="238"/>
      <c r="BK461" s="239"/>
      <c r="BL461" s="260"/>
      <c r="BM461" s="241"/>
      <c r="BN461" s="273"/>
      <c r="BO461" s="274"/>
      <c r="BP461" s="529"/>
      <c r="BQ461" s="145"/>
      <c r="BR461" s="110"/>
      <c r="BS461" s="242"/>
      <c r="BT461" s="203"/>
      <c r="BU461" s="167">
        <f>BN461*BQ461</f>
        <v>0</v>
      </c>
      <c r="BV461" s="168">
        <f>BO461*BQ461</f>
        <v>0</v>
      </c>
      <c r="BW461" s="131"/>
      <c r="BX461" s="529"/>
      <c r="BY461" s="145"/>
      <c r="BZ461" s="110"/>
      <c r="CA461" s="242"/>
      <c r="CB461" s="203"/>
      <c r="CC461" s="106">
        <f>BN461*BY461</f>
        <v>0</v>
      </c>
      <c r="CD461" s="107">
        <f>BO461*BY461</f>
        <v>0</v>
      </c>
      <c r="CE461" s="532"/>
      <c r="CF461" s="110"/>
      <c r="CG461" s="226"/>
      <c r="CH461" s="110"/>
      <c r="CI461" s="110"/>
      <c r="CJ461" s="226"/>
      <c r="CK461" s="110"/>
      <c r="CL461" s="110"/>
      <c r="CM461" s="226"/>
      <c r="CN461" s="110"/>
      <c r="CO461" s="206"/>
      <c r="CP461" s="206"/>
      <c r="CQ461" s="206"/>
      <c r="CR461" s="206"/>
      <c r="CS461" s="206"/>
      <c r="CT461" s="206"/>
      <c r="CU461" s="155">
        <v>0</v>
      </c>
      <c r="CV461" s="181"/>
      <c r="CW461" s="181"/>
      <c r="CX461" s="207"/>
      <c r="CY461" s="207"/>
      <c r="CZ461" s="155"/>
      <c r="DA461" s="131"/>
      <c r="DB461" s="115" t="str">
        <f>PROPER(N461)</f>
        <v/>
      </c>
      <c r="DC461" s="116" t="s">
        <v>237</v>
      </c>
      <c r="DD461" s="116">
        <f>BP461</f>
        <v>0</v>
      </c>
      <c r="DE461" s="117" t="b">
        <f>IF(OR(D461&gt;0),IF(BJ461=0,BN461*BQ461,0))</f>
        <v>0</v>
      </c>
      <c r="DF461" s="117" t="b">
        <f>IF(OR(D461&gt;0),IF(BJ461=0,BN461*BY461,0))</f>
        <v>0</v>
      </c>
      <c r="DG461" s="533">
        <f>BX461</f>
        <v>0</v>
      </c>
      <c r="DH461" s="313"/>
      <c r="DI461" s="120" t="s">
        <v>154</v>
      </c>
      <c r="DJ461" s="120"/>
      <c r="DK461" s="207"/>
      <c r="DL461" s="207"/>
      <c r="DM461" s="248"/>
    </row>
    <row r="462" spans="1:130" ht="34.5" hidden="1" customHeight="1">
      <c r="A462" s="155"/>
      <c r="B462" s="121" t="s">
        <v>1359</v>
      </c>
      <c r="C462" s="155"/>
      <c r="D462" s="75">
        <v>1</v>
      </c>
      <c r="E462" s="121">
        <v>1</v>
      </c>
      <c r="F462" s="121"/>
      <c r="G462" s="400" t="s">
        <v>1979</v>
      </c>
      <c r="H462" s="1815" t="s">
        <v>1980</v>
      </c>
      <c r="I462" s="354" t="s">
        <v>1981</v>
      </c>
      <c r="J462" s="617" t="str">
        <f>CONCATENATE(G462," ",H462)</f>
        <v>Stefano Domenico Bertoli</v>
      </c>
      <c r="K462" s="156">
        <v>3356161223</v>
      </c>
      <c r="L462" s="435"/>
      <c r="M462" s="447" t="s">
        <v>1982</v>
      </c>
      <c r="N462" s="160" t="s">
        <v>1975</v>
      </c>
      <c r="O462" s="1926"/>
      <c r="P462" s="160"/>
      <c r="Q462" s="160"/>
      <c r="R462" s="403"/>
      <c r="S462" s="160"/>
      <c r="T462" s="160"/>
      <c r="U462" s="160"/>
      <c r="V462" s="160"/>
      <c r="W462" s="160"/>
      <c r="X462" s="131"/>
      <c r="Y462" s="160"/>
      <c r="Z462" s="160"/>
      <c r="AA462" s="160"/>
      <c r="AB462" s="37"/>
      <c r="AC462" s="131"/>
      <c r="AD462" s="121" t="s">
        <v>1976</v>
      </c>
      <c r="AE462" s="234"/>
      <c r="AF462" s="515"/>
      <c r="AG462" s="406"/>
      <c r="AH462" s="406"/>
      <c r="AI462" s="515"/>
      <c r="AJ462" s="155"/>
      <c r="AK462" s="155"/>
      <c r="AL462" s="155"/>
      <c r="AM462" s="198"/>
      <c r="AN462" s="155"/>
      <c r="AO462" s="155"/>
      <c r="AP462" s="155"/>
      <c r="AQ462" s="198"/>
      <c r="AR462" s="121"/>
      <c r="AS462" s="121"/>
      <c r="AT462" s="121"/>
      <c r="AU462" s="198"/>
      <c r="AV462" s="121"/>
      <c r="AW462" s="121"/>
      <c r="AX462" s="121"/>
      <c r="AY462" s="198"/>
      <c r="AZ462" s="121" t="s">
        <v>115</v>
      </c>
      <c r="BA462" s="121" t="s">
        <v>115</v>
      </c>
      <c r="BB462" s="1999" t="s">
        <v>115</v>
      </c>
      <c r="BC462" s="198"/>
      <c r="BD462" s="121"/>
      <c r="BE462" s="121"/>
      <c r="BF462" s="121"/>
      <c r="BG462" s="198"/>
      <c r="BH462" s="92">
        <f>CF462+CI462+CL462+CO462+CR462</f>
        <v>2997</v>
      </c>
      <c r="BI462" s="238">
        <f>CH462+CK462+CN462+CQ462+CT462</f>
        <v>2997</v>
      </c>
      <c r="BJ462" s="238">
        <f>BH462-BI462</f>
        <v>0</v>
      </c>
      <c r="BK462" s="239"/>
      <c r="BL462" s="260"/>
      <c r="BM462" s="241"/>
      <c r="BN462" s="142">
        <v>2997</v>
      </c>
      <c r="BO462" s="182"/>
      <c r="BP462" s="131" t="s">
        <v>184</v>
      </c>
      <c r="BQ462" s="98">
        <v>0.15</v>
      </c>
      <c r="BR462" s="110"/>
      <c r="BS462" s="242">
        <f>BL462*BQ462</f>
        <v>0</v>
      </c>
      <c r="BT462" s="203">
        <f>BM462*BQ462</f>
        <v>0</v>
      </c>
      <c r="BU462" s="167">
        <f>BN462*BQ462</f>
        <v>449.55</v>
      </c>
      <c r="BV462" s="168">
        <f>BO462*BQ462</f>
        <v>0</v>
      </c>
      <c r="BW462" s="160" t="s">
        <v>185</v>
      </c>
      <c r="BX462" s="825" t="s">
        <v>184</v>
      </c>
      <c r="BY462" s="145">
        <v>0.05</v>
      </c>
      <c r="BZ462" s="110"/>
      <c r="CA462" s="242">
        <f>BL462*BY462</f>
        <v>0</v>
      </c>
      <c r="CB462" s="203">
        <f>BM462*BY462</f>
        <v>0</v>
      </c>
      <c r="CC462" s="106">
        <f>BN462*BY462</f>
        <v>149.85</v>
      </c>
      <c r="CD462" s="107">
        <f>BO462*BY462</f>
        <v>0</v>
      </c>
      <c r="CE462" s="160" t="s">
        <v>185</v>
      </c>
      <c r="CF462" s="110">
        <v>2997</v>
      </c>
      <c r="CG462" s="226">
        <v>45198</v>
      </c>
      <c r="CH462" s="110">
        <v>2997</v>
      </c>
      <c r="CI462" s="415"/>
      <c r="CJ462" s="416"/>
      <c r="CK462" s="415"/>
      <c r="CL462" s="415"/>
      <c r="CM462" s="416"/>
      <c r="CN462" s="415"/>
      <c r="CO462" s="263"/>
      <c r="CP462" s="263"/>
      <c r="CQ462" s="263"/>
      <c r="CR462" s="263"/>
      <c r="CS462" s="263"/>
      <c r="CT462" s="263"/>
      <c r="CU462" s="155">
        <v>1</v>
      </c>
      <c r="CV462" s="181"/>
      <c r="CW462" s="431"/>
      <c r="CX462" s="431"/>
      <c r="CY462" s="155"/>
      <c r="CZ462" s="121"/>
      <c r="DA462" s="481" t="s">
        <v>1977</v>
      </c>
      <c r="DB462" s="115" t="str">
        <f>PROPER(N462)</f>
        <v>Stamber</v>
      </c>
      <c r="DC462" s="280" t="s">
        <v>1978</v>
      </c>
      <c r="DD462" s="116" t="str">
        <f>BP462</f>
        <v>Cristian A</v>
      </c>
      <c r="DE462" s="117">
        <f>IF(OR(D462&gt;0),IF(BJ462=0,BN462*BQ462,0))</f>
        <v>449.55</v>
      </c>
      <c r="DF462" s="117">
        <f>IF(OR(D462&gt;0),IF(BJ462=0,BN462*BY462,0))</f>
        <v>149.85</v>
      </c>
      <c r="DG462" s="118" t="str">
        <f>BX462</f>
        <v>Cristian A</v>
      </c>
      <c r="DH462" s="121"/>
      <c r="DI462" s="120" t="s">
        <v>126</v>
      </c>
      <c r="DJ462" s="120"/>
      <c r="DK462" s="74" t="s">
        <v>1399</v>
      </c>
      <c r="DL462" s="74" t="s">
        <v>1399</v>
      </c>
      <c r="DM462" s="122">
        <v>1</v>
      </c>
      <c r="DN462" s="6"/>
      <c r="DO462" s="6"/>
      <c r="DP462" s="6"/>
      <c r="DQ462" s="6"/>
      <c r="DR462" s="6"/>
      <c r="DS462" s="6"/>
      <c r="DT462" s="6"/>
      <c r="DU462" s="6"/>
      <c r="DV462" s="6"/>
      <c r="DW462" s="6"/>
      <c r="DX462" s="6"/>
      <c r="DY462" s="6"/>
      <c r="DZ462" s="6"/>
    </row>
    <row r="463" spans="1:130" ht="34.5" customHeight="1">
      <c r="A463" s="228"/>
      <c r="B463" s="121" t="s">
        <v>1928</v>
      </c>
      <c r="C463" s="121"/>
      <c r="D463" s="121"/>
      <c r="E463" s="121">
        <v>1</v>
      </c>
      <c r="F463" s="121"/>
      <c r="G463" s="181" t="s">
        <v>2484</v>
      </c>
      <c r="H463" s="369" t="s">
        <v>2485</v>
      </c>
      <c r="I463" s="687" t="s">
        <v>2486</v>
      </c>
      <c r="J463" s="617" t="str">
        <f>CONCATENATE(G463," ",H463)</f>
        <v>Stefano Paul  Zanenga</v>
      </c>
      <c r="K463" s="181"/>
      <c r="L463" s="131"/>
      <c r="M463" s="131"/>
      <c r="N463" s="160"/>
      <c r="O463" s="230"/>
      <c r="P463" s="231"/>
      <c r="Q463" s="231"/>
      <c r="R463" s="80"/>
      <c r="S463" s="232"/>
      <c r="T463" s="160"/>
      <c r="U463" s="160"/>
      <c r="V463" s="160"/>
      <c r="W463" s="233"/>
      <c r="X463" s="234"/>
      <c r="Y463" s="233"/>
      <c r="Z463" s="233"/>
      <c r="AA463" s="233"/>
      <c r="AB463" s="37"/>
      <c r="AC463" s="37"/>
      <c r="AD463" s="37"/>
      <c r="AE463" s="138"/>
      <c r="AF463" s="198"/>
      <c r="AG463" s="121"/>
      <c r="AH463" s="121"/>
      <c r="AI463" s="198"/>
      <c r="AJ463" s="121"/>
      <c r="AK463" s="121"/>
      <c r="AL463" s="121"/>
      <c r="AM463" s="198"/>
      <c r="AN463" s="155"/>
      <c r="AO463" s="155"/>
      <c r="AP463" s="155"/>
      <c r="AQ463" s="235"/>
      <c r="AR463" s="121"/>
      <c r="AS463" s="121"/>
      <c r="AT463" s="121"/>
      <c r="AU463" s="236"/>
      <c r="AV463" s="121"/>
      <c r="AW463" s="121"/>
      <c r="AX463" s="121"/>
      <c r="AY463" s="236"/>
      <c r="AZ463" s="259"/>
      <c r="BA463" s="553" t="s">
        <v>116</v>
      </c>
      <c r="BB463" s="91" t="s">
        <v>116</v>
      </c>
      <c r="BC463" s="236"/>
      <c r="BD463" s="259"/>
      <c r="BE463" s="121"/>
      <c r="BF463" s="121"/>
      <c r="BG463" s="236"/>
      <c r="BH463" s="92">
        <f>CF463+CI463+CL463+CO463+CR463</f>
        <v>0</v>
      </c>
      <c r="BI463" s="238"/>
      <c r="BJ463" s="238"/>
      <c r="BK463" s="239"/>
      <c r="BL463" s="240"/>
      <c r="BM463" s="241"/>
      <c r="BN463" s="142"/>
      <c r="BO463" s="182"/>
      <c r="BP463" s="80" t="s">
        <v>690</v>
      </c>
      <c r="BQ463" s="98"/>
      <c r="BR463" s="110"/>
      <c r="BS463" s="242"/>
      <c r="BT463" s="203"/>
      <c r="BU463" s="167">
        <f>BN463*BQ463</f>
        <v>0</v>
      </c>
      <c r="BV463" s="168">
        <f>BO463*BQ463</f>
        <v>0</v>
      </c>
      <c r="BW463" s="243"/>
      <c r="BX463" s="243" t="s">
        <v>152</v>
      </c>
      <c r="BY463" s="145"/>
      <c r="BZ463" s="110"/>
      <c r="CA463" s="242"/>
      <c r="CB463" s="101"/>
      <c r="CC463" s="106">
        <f>BN463*BY463</f>
        <v>0</v>
      </c>
      <c r="CD463" s="107">
        <f>BO463*BY463</f>
        <v>0</v>
      </c>
      <c r="CE463" s="244"/>
      <c r="CF463" s="110"/>
      <c r="CG463" s="226"/>
      <c r="CH463" s="110"/>
      <c r="CI463" s="108"/>
      <c r="CJ463" s="109"/>
      <c r="CK463" s="206"/>
      <c r="CL463" s="206"/>
      <c r="CM463" s="109"/>
      <c r="CN463" s="206"/>
      <c r="CO463" s="206"/>
      <c r="CP463" s="206"/>
      <c r="CQ463" s="206"/>
      <c r="CR463" s="206"/>
      <c r="CS463" s="206"/>
      <c r="CT463" s="206"/>
      <c r="CU463" s="245">
        <v>1</v>
      </c>
      <c r="CV463" s="181"/>
      <c r="CW463" s="246"/>
      <c r="CX463" s="247"/>
      <c r="CY463" s="155"/>
      <c r="CZ463" s="155"/>
      <c r="DA463" s="131" t="s">
        <v>2487</v>
      </c>
      <c r="DB463" s="115" t="str">
        <f>PROPER(N463)</f>
        <v/>
      </c>
      <c r="DC463" s="191" t="s">
        <v>2488</v>
      </c>
      <c r="DD463" s="116" t="str">
        <f>BP463</f>
        <v>MAW</v>
      </c>
      <c r="DE463" s="117" t="b">
        <f>IF(OR(D463&gt;0),IF(BJ463=0,BN463*BQ463,0))</f>
        <v>0</v>
      </c>
      <c r="DF463" s="117" t="b">
        <f>IF(OR(D463&gt;0),IF(BJ463=0,BN463*BY463,0))</f>
        <v>0</v>
      </c>
      <c r="DG463" s="113" t="str">
        <f>BX463</f>
        <v>Client Angel</v>
      </c>
      <c r="DH463" s="313"/>
      <c r="DI463" s="120" t="s">
        <v>126</v>
      </c>
      <c r="DJ463" s="120"/>
      <c r="DK463" s="207"/>
      <c r="DL463" s="207"/>
      <c r="DM463" s="248"/>
    </row>
    <row r="464" spans="1:130" ht="34.5" hidden="1" customHeight="1">
      <c r="A464" s="3"/>
      <c r="B464" s="121" t="s">
        <v>108</v>
      </c>
      <c r="C464" s="121"/>
      <c r="D464" s="75">
        <v>1</v>
      </c>
      <c r="E464" s="121">
        <v>1</v>
      </c>
      <c r="F464" s="121"/>
      <c r="G464" s="79" t="s">
        <v>880</v>
      </c>
      <c r="H464" s="1814" t="s">
        <v>571</v>
      </c>
      <c r="I464" s="305" t="s">
        <v>881</v>
      </c>
      <c r="J464" s="617" t="str">
        <f>CONCATENATE(G464," ",H464)</f>
        <v>Stefano Pietro Aiello</v>
      </c>
      <c r="K464" s="156" t="s">
        <v>882</v>
      </c>
      <c r="L464" s="160"/>
      <c r="M464" s="1887" t="s">
        <v>574</v>
      </c>
      <c r="N464" s="160" t="s">
        <v>575</v>
      </c>
      <c r="O464" s="1930"/>
      <c r="P464" s="1942"/>
      <c r="Q464" s="1942"/>
      <c r="R464" s="1942"/>
      <c r="S464" s="1950"/>
      <c r="T464" s="86"/>
      <c r="U464" s="86"/>
      <c r="V464" s="86"/>
      <c r="W464" s="86"/>
      <c r="X464" s="86"/>
      <c r="Y464" s="87"/>
      <c r="Z464" s="86"/>
      <c r="AA464" s="86"/>
      <c r="AB464" s="86"/>
      <c r="AC464" s="86"/>
      <c r="AD464" s="86" t="s">
        <v>576</v>
      </c>
      <c r="AE464" s="138">
        <f>L464</f>
        <v>0</v>
      </c>
      <c r="AF464" s="198"/>
      <c r="AG464" s="121"/>
      <c r="AH464" s="121"/>
      <c r="AI464" s="198"/>
      <c r="AJ464" s="121"/>
      <c r="AK464" s="121"/>
      <c r="AL464" s="121"/>
      <c r="AM464" s="198"/>
      <c r="AN464" s="155"/>
      <c r="AO464" s="155"/>
      <c r="AP464" s="155"/>
      <c r="AQ464" s="235"/>
      <c r="AR464" s="121"/>
      <c r="AS464" s="121"/>
      <c r="AT464" s="121"/>
      <c r="AU464" s="236"/>
      <c r="AV464" s="121"/>
      <c r="AW464" s="121"/>
      <c r="AX464" s="121"/>
      <c r="AY464" s="236"/>
      <c r="AZ464" s="121" t="s">
        <v>115</v>
      </c>
      <c r="BA464" s="121" t="s">
        <v>115</v>
      </c>
      <c r="BB464" s="135" t="s">
        <v>115</v>
      </c>
      <c r="BC464" s="236"/>
      <c r="BD464" s="121"/>
      <c r="BE464" s="121"/>
      <c r="BF464" s="121"/>
      <c r="BG464" s="236"/>
      <c r="BH464" s="92">
        <f>CF464+CI464+CL464+CO464+CR464</f>
        <v>2997</v>
      </c>
      <c r="BI464" s="238">
        <f>CH464+CK464+CN464+CQ464+CT464</f>
        <v>2997</v>
      </c>
      <c r="BJ464" s="238">
        <f>BH464-BI464</f>
        <v>0</v>
      </c>
      <c r="BK464" s="199"/>
      <c r="BL464" s="2017"/>
      <c r="BM464" s="241"/>
      <c r="BN464" s="142">
        <v>2997</v>
      </c>
      <c r="BO464" s="182"/>
      <c r="BP464" s="80" t="s">
        <v>117</v>
      </c>
      <c r="BQ464" s="98">
        <v>0</v>
      </c>
      <c r="BR464" s="201"/>
      <c r="BS464" s="202"/>
      <c r="BT464" s="203">
        <f>BM464*BQ464</f>
        <v>0</v>
      </c>
      <c r="BU464" s="167">
        <f>BN464*BQ464</f>
        <v>0</v>
      </c>
      <c r="BV464" s="168">
        <f>BO464*BQ464</f>
        <v>0</v>
      </c>
      <c r="BW464" s="131" t="s">
        <v>118</v>
      </c>
      <c r="BX464" s="825" t="s">
        <v>152</v>
      </c>
      <c r="BY464" s="98">
        <v>0.05</v>
      </c>
      <c r="BZ464" s="201"/>
      <c r="CA464" s="202"/>
      <c r="CB464" s="101">
        <f>BM464*BY464</f>
        <v>0</v>
      </c>
      <c r="CC464" s="106">
        <f>BN464*BY464</f>
        <v>149.85</v>
      </c>
      <c r="CD464" s="107">
        <f>BO464*BY464</f>
        <v>0</v>
      </c>
      <c r="CE464" s="765" t="s">
        <v>185</v>
      </c>
      <c r="CF464" s="110">
        <v>2997</v>
      </c>
      <c r="CG464" s="226">
        <v>45012</v>
      </c>
      <c r="CH464" s="110">
        <v>2997</v>
      </c>
      <c r="CI464" s="108"/>
      <c r="CJ464" s="109"/>
      <c r="CK464" s="206"/>
      <c r="CL464" s="206"/>
      <c r="CM464" s="109"/>
      <c r="CN464" s="206"/>
      <c r="CO464" s="206"/>
      <c r="CP464" s="206"/>
      <c r="CQ464" s="206"/>
      <c r="CR464" s="206"/>
      <c r="CS464" s="206"/>
      <c r="CT464" s="206"/>
      <c r="CU464" s="245">
        <v>1</v>
      </c>
      <c r="CV464" s="181" t="s">
        <v>121</v>
      </c>
      <c r="CW464" s="246"/>
      <c r="CX464" s="247"/>
      <c r="CY464" s="155" t="s">
        <v>122</v>
      </c>
      <c r="CZ464" s="155"/>
      <c r="DA464" s="384" t="s">
        <v>577</v>
      </c>
      <c r="DB464" s="115" t="str">
        <f>PROPER(N464)</f>
        <v xml:space="preserve">Studio Medico Odontoiatrico Aiello </v>
      </c>
      <c r="DC464" s="191" t="s">
        <v>578</v>
      </c>
      <c r="DD464" s="116" t="str">
        <f>BP464</f>
        <v>blackship</v>
      </c>
      <c r="DE464" s="117">
        <f>IF(OR(D464&gt;0),IF(BJ464=0,BN464*BQ464,0))</f>
        <v>0</v>
      </c>
      <c r="DF464" s="117">
        <f>IF(OR(D464&gt;0),IF(BJ464=0,BN464*BY464,0))</f>
        <v>149.85</v>
      </c>
      <c r="DG464" s="116" t="str">
        <f>BX464</f>
        <v>Client Angel</v>
      </c>
      <c r="DH464" s="121"/>
      <c r="DI464" s="120" t="s">
        <v>126</v>
      </c>
      <c r="DJ464" s="120"/>
      <c r="DK464" s="121"/>
      <c r="DL464" s="121"/>
      <c r="DM464" s="122">
        <v>1</v>
      </c>
      <c r="DN464" s="6"/>
      <c r="DO464" s="6"/>
      <c r="DP464" s="6"/>
      <c r="DQ464" s="6"/>
      <c r="DR464" s="6"/>
      <c r="DS464" s="6"/>
      <c r="DT464" s="6"/>
      <c r="DU464" s="6"/>
      <c r="DV464" s="6"/>
      <c r="DW464" s="6"/>
      <c r="DX464" s="6"/>
      <c r="DY464" s="6"/>
      <c r="DZ464" s="6"/>
    </row>
    <row r="465" spans="1:130" ht="34.5" hidden="1" customHeight="1">
      <c r="A465" s="228"/>
      <c r="B465" s="121" t="s">
        <v>1928</v>
      </c>
      <c r="C465" s="121"/>
      <c r="D465" s="75">
        <v>1</v>
      </c>
      <c r="E465" s="121">
        <v>1</v>
      </c>
      <c r="F465" s="121"/>
      <c r="G465" s="181" t="s">
        <v>407</v>
      </c>
      <c r="H465" s="369" t="s">
        <v>2493</v>
      </c>
      <c r="I465" s="687" t="s">
        <v>2494</v>
      </c>
      <c r="J465" s="353" t="str">
        <f>CONCATENATE(G465," ",H465)</f>
        <v>Stefano Inverardi</v>
      </c>
      <c r="K465" s="181"/>
      <c r="L465" s="131"/>
      <c r="M465" s="384" t="s">
        <v>112</v>
      </c>
      <c r="N465" s="160" t="s">
        <v>2495</v>
      </c>
      <c r="O465" s="230"/>
      <c r="P465" s="231"/>
      <c r="Q465" s="231"/>
      <c r="R465" s="80"/>
      <c r="S465" s="232"/>
      <c r="T465" s="160"/>
      <c r="U465" s="160"/>
      <c r="V465" s="160"/>
      <c r="W465" s="233"/>
      <c r="X465" s="234"/>
      <c r="Y465" s="233"/>
      <c r="Z465" s="233"/>
      <c r="AA465" s="233"/>
      <c r="AB465" s="37"/>
      <c r="AC465" s="37"/>
      <c r="AD465" s="37" t="s">
        <v>118</v>
      </c>
      <c r="AE465" s="138"/>
      <c r="AF465" s="198"/>
      <c r="AG465" s="121"/>
      <c r="AH465" s="121"/>
      <c r="AI465" s="198"/>
      <c r="AJ465" s="121"/>
      <c r="AK465" s="121"/>
      <c r="AL465" s="121"/>
      <c r="AM465" s="198"/>
      <c r="AN465" s="155"/>
      <c r="AO465" s="155"/>
      <c r="AP465" s="155"/>
      <c r="AQ465" s="235"/>
      <c r="AR465" s="121"/>
      <c r="AS465" s="121"/>
      <c r="AT465" s="121"/>
      <c r="AU465" s="236"/>
      <c r="AV465" s="121"/>
      <c r="AW465" s="121"/>
      <c r="AX465" s="121"/>
      <c r="AY465" s="236"/>
      <c r="AZ465" s="121" t="s">
        <v>116</v>
      </c>
      <c r="BA465" s="121" t="s">
        <v>116</v>
      </c>
      <c r="BB465" s="135" t="s">
        <v>154</v>
      </c>
      <c r="BC465" s="236"/>
      <c r="BD465" s="121"/>
      <c r="BE465" s="121"/>
      <c r="BF465" s="121" t="s">
        <v>116</v>
      </c>
      <c r="BG465" s="236"/>
      <c r="BH465" s="92"/>
      <c r="BI465" s="238"/>
      <c r="BJ465" s="238"/>
      <c r="BK465" s="239"/>
      <c r="BL465" s="240"/>
      <c r="BM465" s="241"/>
      <c r="BN465" s="142"/>
      <c r="BO465" s="182"/>
      <c r="BP465" s="80"/>
      <c r="BQ465" s="98"/>
      <c r="BR465" s="110"/>
      <c r="BS465" s="242"/>
      <c r="BT465" s="203"/>
      <c r="BU465" s="167">
        <f>BN465*BQ465</f>
        <v>0</v>
      </c>
      <c r="BV465" s="168">
        <f>BO465*BQ465</f>
        <v>0</v>
      </c>
      <c r="BW465" s="243"/>
      <c r="BX465" s="243"/>
      <c r="BY465" s="145"/>
      <c r="BZ465" s="110"/>
      <c r="CA465" s="242"/>
      <c r="CB465" s="101"/>
      <c r="CC465" s="106">
        <f>BN465*BY465</f>
        <v>0</v>
      </c>
      <c r="CD465" s="107">
        <f>BO465*BY465</f>
        <v>0</v>
      </c>
      <c r="CE465" s="244"/>
      <c r="CF465" s="110"/>
      <c r="CG465" s="226"/>
      <c r="CH465" s="110"/>
      <c r="CI465" s="108"/>
      <c r="CJ465" s="109"/>
      <c r="CK465" s="206"/>
      <c r="CL465" s="206"/>
      <c r="CM465" s="109"/>
      <c r="CN465" s="206"/>
      <c r="CO465" s="206"/>
      <c r="CP465" s="206"/>
      <c r="CQ465" s="206"/>
      <c r="CR465" s="206"/>
      <c r="CS465" s="206"/>
      <c r="CT465" s="206"/>
      <c r="CU465" s="245">
        <v>1</v>
      </c>
      <c r="CV465" s="181"/>
      <c r="CW465" s="246"/>
      <c r="CX465" s="247"/>
      <c r="CY465" s="155"/>
      <c r="CZ465" s="155"/>
      <c r="DA465" s="551" t="s">
        <v>2236</v>
      </c>
      <c r="DB465" s="115" t="str">
        <f>PROPER(N465)</f>
        <v>Eagle Ghost</v>
      </c>
      <c r="DC465" s="191" t="s">
        <v>2237</v>
      </c>
      <c r="DD465" s="116">
        <f>BP465</f>
        <v>0</v>
      </c>
      <c r="DE465" s="117">
        <f>IF(OR(D465&gt;0),IF(BJ465=0,BN465*BQ465,0))</f>
        <v>0</v>
      </c>
      <c r="DF465" s="117">
        <f>IF(OR(D465&gt;0),IF(BJ465=0,BN465*BY465,0))</f>
        <v>0</v>
      </c>
      <c r="DG465" s="113">
        <f>BX465</f>
        <v>0</v>
      </c>
      <c r="DH465" s="313"/>
      <c r="DI465" s="120" t="s">
        <v>154</v>
      </c>
      <c r="DJ465" s="120"/>
      <c r="DK465" s="207"/>
      <c r="DL465" s="207"/>
      <c r="DM465" s="248">
        <v>1</v>
      </c>
    </row>
    <row r="466" spans="1:130" ht="34.5" hidden="1" customHeight="1">
      <c r="A466" s="3"/>
      <c r="B466" s="121" t="s">
        <v>108</v>
      </c>
      <c r="C466" s="121"/>
      <c r="D466" s="121">
        <v>1</v>
      </c>
      <c r="E466" s="121">
        <v>1</v>
      </c>
      <c r="F466" s="121"/>
      <c r="G466" s="79" t="s">
        <v>407</v>
      </c>
      <c r="H466" s="79" t="s">
        <v>872</v>
      </c>
      <c r="I466" s="131" t="s">
        <v>873</v>
      </c>
      <c r="J466" s="121" t="str">
        <f>CONCATENATE(G466," ",H466)</f>
        <v>Stefano Storaci</v>
      </c>
      <c r="K466" s="156" t="s">
        <v>874</v>
      </c>
      <c r="L466" s="160"/>
      <c r="M466" s="176" t="s">
        <v>875</v>
      </c>
      <c r="N466" s="1919" t="s">
        <v>876</v>
      </c>
      <c r="O466" s="1930"/>
      <c r="P466" s="1942"/>
      <c r="Q466" s="1942"/>
      <c r="R466" s="1942"/>
      <c r="S466" s="1950"/>
      <c r="T466" s="86"/>
      <c r="U466" s="86"/>
      <c r="V466" s="86"/>
      <c r="W466" s="86"/>
      <c r="X466" s="86"/>
      <c r="Y466" s="87"/>
      <c r="Z466" s="86"/>
      <c r="AA466" s="86"/>
      <c r="AB466" s="86"/>
      <c r="AC466" s="86"/>
      <c r="AD466" s="86" t="s">
        <v>877</v>
      </c>
      <c r="AE466" s="138">
        <f>L466</f>
        <v>0</v>
      </c>
      <c r="AF466" s="198"/>
      <c r="AG466" s="121"/>
      <c r="AH466" s="121"/>
      <c r="AI466" s="198"/>
      <c r="AJ466" s="121"/>
      <c r="AK466" s="121"/>
      <c r="AL466" s="121"/>
      <c r="AM466" s="198"/>
      <c r="AN466" s="155"/>
      <c r="AO466" s="155"/>
      <c r="AP466" s="155"/>
      <c r="AQ466" s="235"/>
      <c r="AR466" s="121"/>
      <c r="AS466" s="121"/>
      <c r="AT466" s="121"/>
      <c r="AU466" s="236"/>
      <c r="AV466" s="121"/>
      <c r="AW466" s="121"/>
      <c r="AX466" s="121"/>
      <c r="AY466" s="236"/>
      <c r="AZ466" s="121" t="s">
        <v>115</v>
      </c>
      <c r="BA466" s="121" t="s">
        <v>115</v>
      </c>
      <c r="BB466" s="1999" t="s">
        <v>115</v>
      </c>
      <c r="BC466" s="236"/>
      <c r="BD466" s="259"/>
      <c r="BE466" s="259"/>
      <c r="BF466" s="259"/>
      <c r="BG466" s="236"/>
      <c r="BH466" s="92">
        <f>CF466+CI466+CL466+CO466+CR466</f>
        <v>2997</v>
      </c>
      <c r="BI466" s="238">
        <f>CH466+CK466+CN466+CQ466+CT466</f>
        <v>2997</v>
      </c>
      <c r="BJ466" s="238">
        <f>BH466-BI466</f>
        <v>0</v>
      </c>
      <c r="BK466" s="199"/>
      <c r="BL466" s="2017"/>
      <c r="BM466" s="241"/>
      <c r="BN466" s="142">
        <v>2997</v>
      </c>
      <c r="BO466" s="182"/>
      <c r="BP466" s="80" t="s">
        <v>117</v>
      </c>
      <c r="BQ466" s="98">
        <v>0</v>
      </c>
      <c r="BR466" s="201"/>
      <c r="BS466" s="202"/>
      <c r="BT466" s="203">
        <f>BM466*BQ466</f>
        <v>0</v>
      </c>
      <c r="BU466" s="102">
        <f>BN466*BQ466</f>
        <v>0</v>
      </c>
      <c r="BV466" s="168">
        <f>BO466*BQ466</f>
        <v>0</v>
      </c>
      <c r="BW466" s="131" t="s">
        <v>118</v>
      </c>
      <c r="BX466" s="825" t="s">
        <v>152</v>
      </c>
      <c r="BY466" s="98">
        <v>0.05</v>
      </c>
      <c r="BZ466" s="201"/>
      <c r="CA466" s="202"/>
      <c r="CB466" s="101">
        <f>BM466*BY466</f>
        <v>0</v>
      </c>
      <c r="CC466" s="106">
        <f>BN466*BY466</f>
        <v>149.85</v>
      </c>
      <c r="CD466" s="107">
        <f>BO466*BY466</f>
        <v>0</v>
      </c>
      <c r="CE466" s="765" t="s">
        <v>185</v>
      </c>
      <c r="CF466" s="110">
        <v>2997</v>
      </c>
      <c r="CG466" s="226">
        <v>45013</v>
      </c>
      <c r="CH466" s="110">
        <v>2997</v>
      </c>
      <c r="CI466" s="108"/>
      <c r="CJ466" s="109"/>
      <c r="CK466" s="206"/>
      <c r="CL466" s="206"/>
      <c r="CM466" s="109"/>
      <c r="CN466" s="206"/>
      <c r="CO466" s="206"/>
      <c r="CP466" s="206"/>
      <c r="CQ466" s="206"/>
      <c r="CR466" s="206"/>
      <c r="CS466" s="206"/>
      <c r="CT466" s="206"/>
      <c r="CU466" s="245">
        <v>1</v>
      </c>
      <c r="CV466" s="181" t="s">
        <v>121</v>
      </c>
      <c r="CW466" s="246"/>
      <c r="CX466" s="247"/>
      <c r="CY466" s="155" t="s">
        <v>122</v>
      </c>
      <c r="CZ466" s="155"/>
      <c r="DA466" s="384" t="s">
        <v>878</v>
      </c>
      <c r="DB466" s="193" t="str">
        <f>PROPER(N466)</f>
        <v>Kcom.It</v>
      </c>
      <c r="DC466" s="191" t="s">
        <v>879</v>
      </c>
      <c r="DD466" s="116" t="str">
        <f>BP466</f>
        <v>blackship</v>
      </c>
      <c r="DE466" s="117">
        <f>IF(OR(D466&gt;0),IF(BJ466=0,BN466*BQ466,0))</f>
        <v>0</v>
      </c>
      <c r="DF466" s="117">
        <f>IF(OR(D466&gt;0),IF(BJ466=0,BN466*BY466,0))</f>
        <v>149.85</v>
      </c>
      <c r="DG466" s="116" t="str">
        <f>BX466</f>
        <v>Client Angel</v>
      </c>
      <c r="DH466" s="121"/>
      <c r="DI466" s="120" t="s">
        <v>126</v>
      </c>
      <c r="DJ466" s="120"/>
      <c r="DK466" s="121"/>
      <c r="DL466" s="121"/>
      <c r="DM466" s="122">
        <v>1</v>
      </c>
      <c r="DN466" s="6"/>
      <c r="DO466" s="6"/>
      <c r="DP466" s="6"/>
      <c r="DQ466" s="6"/>
      <c r="DR466" s="6"/>
      <c r="DS466" s="6"/>
      <c r="DT466" s="6"/>
      <c r="DU466" s="6"/>
      <c r="DV466" s="6"/>
      <c r="DW466" s="6"/>
      <c r="DX466" s="6"/>
      <c r="DY466" s="6"/>
      <c r="DZ466" s="6"/>
    </row>
    <row r="467" spans="1:130" ht="34.5" hidden="1" customHeight="1">
      <c r="A467" s="228"/>
      <c r="B467" s="121" t="s">
        <v>1928</v>
      </c>
      <c r="C467" s="121"/>
      <c r="D467" s="75"/>
      <c r="E467" s="121" t="s">
        <v>154</v>
      </c>
      <c r="F467" s="121"/>
      <c r="G467" s="181" t="s">
        <v>2502</v>
      </c>
      <c r="H467" s="181" t="s">
        <v>2503</v>
      </c>
      <c r="I467" s="689" t="s">
        <v>2504</v>
      </c>
      <c r="J467" s="155" t="str">
        <f>CONCATENATE(G467," ",H467)</f>
        <v>Claudia  Pelizzari</v>
      </c>
      <c r="K467" s="181"/>
      <c r="L467" s="131"/>
      <c r="M467" s="131"/>
      <c r="N467" s="160" t="s">
        <v>2505</v>
      </c>
      <c r="O467" s="230"/>
      <c r="P467" s="231"/>
      <c r="Q467" s="231"/>
      <c r="R467" s="80"/>
      <c r="S467" s="232"/>
      <c r="T467" s="160"/>
      <c r="U467" s="160"/>
      <c r="V467" s="160"/>
      <c r="W467" s="233"/>
      <c r="X467" s="234"/>
      <c r="Y467" s="233"/>
      <c r="Z467" s="233"/>
      <c r="AA467" s="233"/>
      <c r="AB467" s="37"/>
      <c r="AC467" s="37"/>
      <c r="AD467" s="37" t="s">
        <v>118</v>
      </c>
      <c r="AE467" s="138"/>
      <c r="AF467" s="198"/>
      <c r="AG467" s="121"/>
      <c r="AH467" s="121"/>
      <c r="AI467" s="198"/>
      <c r="AJ467" s="121"/>
      <c r="AK467" s="121"/>
      <c r="AL467" s="121"/>
      <c r="AM467" s="198"/>
      <c r="AN467" s="155"/>
      <c r="AO467" s="155"/>
      <c r="AP467" s="155"/>
      <c r="AQ467" s="235"/>
      <c r="AR467" s="121"/>
      <c r="AS467" s="121"/>
      <c r="AT467" s="121"/>
      <c r="AU467" s="236"/>
      <c r="AV467" s="121"/>
      <c r="AW467" s="121"/>
      <c r="AX467" s="121"/>
      <c r="AY467" s="236"/>
      <c r="AZ467" s="154" t="s">
        <v>297</v>
      </c>
      <c r="BA467" s="154" t="s">
        <v>297</v>
      </c>
      <c r="BB467" s="154" t="s">
        <v>297</v>
      </c>
      <c r="BC467" s="236"/>
      <c r="BD467" s="121"/>
      <c r="BE467" s="121"/>
      <c r="BF467" s="121"/>
      <c r="BG467" s="236"/>
      <c r="BH467" s="92"/>
      <c r="BI467" s="238"/>
      <c r="BJ467" s="238"/>
      <c r="BK467" s="239"/>
      <c r="BL467" s="240"/>
      <c r="BM467" s="241"/>
      <c r="BN467" s="142"/>
      <c r="BO467" s="182"/>
      <c r="BP467" s="80"/>
      <c r="BQ467" s="98"/>
      <c r="BR467" s="110"/>
      <c r="BS467" s="242"/>
      <c r="BT467" s="203"/>
      <c r="BU467" s="167">
        <f>BN467*BQ467</f>
        <v>0</v>
      </c>
      <c r="BV467" s="168">
        <f>BO467*BQ467</f>
        <v>0</v>
      </c>
      <c r="BW467" s="243"/>
      <c r="BX467" s="243"/>
      <c r="BY467" s="145"/>
      <c r="BZ467" s="110"/>
      <c r="CA467" s="242"/>
      <c r="CB467" s="101"/>
      <c r="CC467" s="106">
        <f>BN467*BY467</f>
        <v>0</v>
      </c>
      <c r="CD467" s="107">
        <f>BO467*BY467</f>
        <v>0</v>
      </c>
      <c r="CE467" s="244"/>
      <c r="CF467" s="110"/>
      <c r="CG467" s="226"/>
      <c r="CH467" s="110"/>
      <c r="CI467" s="108"/>
      <c r="CJ467" s="109"/>
      <c r="CK467" s="206"/>
      <c r="CL467" s="206"/>
      <c r="CM467" s="109"/>
      <c r="CN467" s="206"/>
      <c r="CO467" s="206"/>
      <c r="CP467" s="206"/>
      <c r="CQ467" s="206"/>
      <c r="CR467" s="206"/>
      <c r="CS467" s="206"/>
      <c r="CT467" s="206"/>
      <c r="CU467" s="245">
        <v>0</v>
      </c>
      <c r="CV467" s="181"/>
      <c r="CW467" s="246"/>
      <c r="CX467" s="247"/>
      <c r="CY467" s="155"/>
      <c r="CZ467" s="155"/>
      <c r="DA467" s="131" t="s">
        <v>2506</v>
      </c>
      <c r="DB467" s="115" t="str">
        <f>PROPER(N467)</f>
        <v>In4Tek</v>
      </c>
      <c r="DC467" s="116" t="s">
        <v>2507</v>
      </c>
      <c r="DD467" s="116">
        <f>BP467</f>
        <v>0</v>
      </c>
      <c r="DE467" s="117" t="b">
        <f>IF(OR(D467&gt;0),IF(BJ467=0,BN467*BQ467,0))</f>
        <v>0</v>
      </c>
      <c r="DF467" s="117" t="b">
        <f>IF(OR(D467&gt;0),IF(BJ467=0,BN467*BY467,0))</f>
        <v>0</v>
      </c>
      <c r="DG467" s="113">
        <f>BX467</f>
        <v>0</v>
      </c>
      <c r="DH467" s="313"/>
      <c r="DI467" s="120" t="s">
        <v>154</v>
      </c>
      <c r="DJ467" s="120"/>
      <c r="DK467" s="207"/>
      <c r="DL467" s="207"/>
      <c r="DM467" s="248">
        <v>1</v>
      </c>
    </row>
    <row r="468" spans="1:130" ht="34.5" hidden="1" customHeight="1">
      <c r="A468" s="228"/>
      <c r="B468" s="121" t="s">
        <v>1359</v>
      </c>
      <c r="C468" s="155"/>
      <c r="D468" s="121"/>
      <c r="E468" s="76"/>
      <c r="F468" s="229"/>
      <c r="G468" s="400" t="s">
        <v>407</v>
      </c>
      <c r="H468" s="400" t="s">
        <v>2154</v>
      </c>
      <c r="I468" s="207" t="s">
        <v>2155</v>
      </c>
      <c r="J468" s="185" t="str">
        <f>CONCATENATE(G468," ",H468)</f>
        <v>Stefano Tamponi</v>
      </c>
      <c r="K468" s="156">
        <v>3923397843</v>
      </c>
      <c r="L468" s="430" t="s">
        <v>2156</v>
      </c>
      <c r="M468" s="153" t="s">
        <v>1148</v>
      </c>
      <c r="N468" s="1916" t="s">
        <v>2157</v>
      </c>
      <c r="O468" s="1927"/>
      <c r="P468" s="84"/>
      <c r="Q468" s="84"/>
      <c r="R468" s="1945"/>
      <c r="S468" s="232"/>
      <c r="T468" s="160"/>
      <c r="U468" s="160"/>
      <c r="V468" s="160"/>
      <c r="W468" s="160"/>
      <c r="X468" s="131"/>
      <c r="Y468" s="160"/>
      <c r="Z468" s="160"/>
      <c r="AA468" s="160"/>
      <c r="AB468" s="37"/>
      <c r="AC468" s="131"/>
      <c r="AD468" s="121" t="s">
        <v>2158</v>
      </c>
      <c r="AE468" s="88"/>
      <c r="AF468" s="515"/>
      <c r="AG468" s="406"/>
      <c r="AH468" s="406"/>
      <c r="AI468" s="515"/>
      <c r="AJ468" s="155"/>
      <c r="AK468" s="155"/>
      <c r="AL468" s="155"/>
      <c r="AM468" s="198"/>
      <c r="AN468" s="155"/>
      <c r="AO468" s="155"/>
      <c r="AP468" s="155"/>
      <c r="AQ468" s="235"/>
      <c r="AR468" s="121"/>
      <c r="AS468" s="121"/>
      <c r="AT468" s="121"/>
      <c r="AU468" s="236"/>
      <c r="AV468" s="121"/>
      <c r="AW468" s="121"/>
      <c r="AX468" s="121"/>
      <c r="AY468" s="236"/>
      <c r="AZ468" s="121"/>
      <c r="BA468" s="121"/>
      <c r="BB468" s="362" t="s">
        <v>115</v>
      </c>
      <c r="BC468" s="236"/>
      <c r="BD468" s="121" t="s">
        <v>115</v>
      </c>
      <c r="BE468" s="121" t="s">
        <v>115</v>
      </c>
      <c r="BF468" s="121"/>
      <c r="BG468" s="236"/>
      <c r="BH468" s="92">
        <f>CF468+CI468+CL468+CO468+CR468</f>
        <v>2997</v>
      </c>
      <c r="BI468" s="238">
        <f>CH468+CK468+CN468+CQ468+CT468</f>
        <v>2997</v>
      </c>
      <c r="BJ468" s="238">
        <f>BH468-BI468</f>
        <v>0</v>
      </c>
      <c r="BK468" s="239"/>
      <c r="BL468" s="240"/>
      <c r="BM468" s="241"/>
      <c r="BN468" s="142">
        <v>2997</v>
      </c>
      <c r="BO468" s="182"/>
      <c r="BP468" s="2037" t="s">
        <v>117</v>
      </c>
      <c r="BQ468" s="98">
        <v>0</v>
      </c>
      <c r="BR468" s="110"/>
      <c r="BS468" s="242">
        <f>BL468*BQ468</f>
        <v>0</v>
      </c>
      <c r="BT468" s="203">
        <f>BM468*BQ468</f>
        <v>0</v>
      </c>
      <c r="BU468" s="102">
        <f>BN468*BQ468</f>
        <v>0</v>
      </c>
      <c r="BV468" s="168">
        <f>BO468*BQ468</f>
        <v>0</v>
      </c>
      <c r="BW468" s="131"/>
      <c r="BX468" s="825" t="s">
        <v>152</v>
      </c>
      <c r="BY468" s="145">
        <v>0.05</v>
      </c>
      <c r="BZ468" s="110"/>
      <c r="CA468" s="242">
        <f>BL468*BY468</f>
        <v>0</v>
      </c>
      <c r="CB468" s="101">
        <f>BM468*BY468</f>
        <v>0</v>
      </c>
      <c r="CC468" s="106">
        <f>BN468*BY468</f>
        <v>149.85</v>
      </c>
      <c r="CD468" s="107">
        <f>BO468*BY468</f>
        <v>0</v>
      </c>
      <c r="CE468" s="244"/>
      <c r="CF468" s="110">
        <v>2997</v>
      </c>
      <c r="CG468" s="226">
        <v>45198</v>
      </c>
      <c r="CH468" s="110">
        <v>2997</v>
      </c>
      <c r="CI468" s="2106"/>
      <c r="CJ468" s="184"/>
      <c r="CK468" s="415"/>
      <c r="CL468" s="415"/>
      <c r="CM468" s="184"/>
      <c r="CN468" s="415"/>
      <c r="CO468" s="263"/>
      <c r="CP468" s="263"/>
      <c r="CQ468" s="263"/>
      <c r="CR468" s="263"/>
      <c r="CS468" s="263"/>
      <c r="CT468" s="263"/>
      <c r="CU468" s="245">
        <v>1</v>
      </c>
      <c r="CV468" s="181"/>
      <c r="CW468" s="2125"/>
      <c r="CX468" s="2127"/>
      <c r="CY468" s="155"/>
      <c r="CZ468" s="121"/>
      <c r="DA468" s="424" t="s">
        <v>2159</v>
      </c>
      <c r="DB468" s="115" t="str">
        <f>PROPER(N468)</f>
        <v>Stilo Optical Technology</v>
      </c>
      <c r="DC468" s="280" t="s">
        <v>2160</v>
      </c>
      <c r="DD468" s="116" t="str">
        <f>BP468</f>
        <v>blackship</v>
      </c>
      <c r="DE468" s="117" t="b">
        <f>IF(OR(D468&gt;0),IF(BJ468=0,BN468*BQ468,0))</f>
        <v>0</v>
      </c>
      <c r="DF468" s="117" t="b">
        <f>IF(OR(D468&gt;0),IF(BJ468=0,BN468*BY468,0))</f>
        <v>0</v>
      </c>
      <c r="DG468" s="118" t="str">
        <f>BX468</f>
        <v>Client Angel</v>
      </c>
      <c r="DH468" s="121"/>
      <c r="DI468" s="120" t="s">
        <v>126</v>
      </c>
      <c r="DJ468" s="120"/>
      <c r="DK468" s="74" t="s">
        <v>1366</v>
      </c>
      <c r="DL468" s="74" t="s">
        <v>1399</v>
      </c>
      <c r="DM468" s="122"/>
      <c r="DN468" s="6"/>
      <c r="DO468" s="6"/>
      <c r="DP468" s="6"/>
      <c r="DQ468" s="6"/>
      <c r="DR468" s="6"/>
      <c r="DS468" s="6"/>
      <c r="DT468" s="6"/>
      <c r="DU468" s="6"/>
      <c r="DV468" s="6"/>
      <c r="DW468" s="6"/>
      <c r="DX468" s="6"/>
      <c r="DY468" s="6"/>
      <c r="DZ468" s="6"/>
    </row>
    <row r="469" spans="1:130" ht="34.5" hidden="1" customHeight="1">
      <c r="A469" s="228"/>
      <c r="B469" s="121" t="s">
        <v>961</v>
      </c>
      <c r="C469" s="155"/>
      <c r="D469" s="90"/>
      <c r="E469" s="76"/>
      <c r="F469" s="245"/>
      <c r="G469" s="283" t="s">
        <v>1070</v>
      </c>
      <c r="H469" s="283" t="s">
        <v>1071</v>
      </c>
      <c r="I469" s="207" t="s">
        <v>1072</v>
      </c>
      <c r="J469" s="179" t="str">
        <f>CONCATENATE(G469," ",H469)</f>
        <v>Tania Marchina</v>
      </c>
      <c r="K469" s="224">
        <v>3663529659</v>
      </c>
      <c r="L469" s="131"/>
      <c r="M469" s="131"/>
      <c r="N469" s="160" t="s">
        <v>1073</v>
      </c>
      <c r="O469" s="230"/>
      <c r="P469" s="231"/>
      <c r="Q469" s="231"/>
      <c r="R469" s="80" t="s">
        <v>1074</v>
      </c>
      <c r="S469" s="232"/>
      <c r="T469" s="160"/>
      <c r="U469" s="160"/>
      <c r="V469" s="160"/>
      <c r="W469" s="233"/>
      <c r="X469" s="234"/>
      <c r="Y469" s="233"/>
      <c r="Z469" s="233"/>
      <c r="AA469" s="233"/>
      <c r="AB469" s="37"/>
      <c r="AC469" s="37"/>
      <c r="AD469" s="37" t="s">
        <v>1075</v>
      </c>
      <c r="AE469" s="138">
        <f>L469</f>
        <v>0</v>
      </c>
      <c r="AF469" s="198"/>
      <c r="AG469" s="121"/>
      <c r="AH469" s="121"/>
      <c r="AI469" s="198"/>
      <c r="AJ469" s="121"/>
      <c r="AK469" s="121"/>
      <c r="AL469" s="121"/>
      <c r="AM469" s="198"/>
      <c r="AN469" s="155"/>
      <c r="AO469" s="155"/>
      <c r="AP469" s="155"/>
      <c r="AQ469" s="235"/>
      <c r="AR469" s="121" t="s">
        <v>115</v>
      </c>
      <c r="AS469" s="121" t="s">
        <v>115</v>
      </c>
      <c r="AT469" s="154" t="s">
        <v>194</v>
      </c>
      <c r="AU469" s="236"/>
      <c r="AV469" s="121"/>
      <c r="AW469" s="121"/>
      <c r="AX469" s="1997"/>
      <c r="AY469" s="236"/>
      <c r="AZ469" s="121"/>
      <c r="BA469" s="121"/>
      <c r="BB469" s="75" t="s">
        <v>115</v>
      </c>
      <c r="BC469" s="236"/>
      <c r="BD469" s="121"/>
      <c r="BE469" s="121"/>
      <c r="BF469" s="121"/>
      <c r="BG469" s="236"/>
      <c r="BH469" s="92">
        <f>CF469+CI469+CL469+CO469+CR469</f>
        <v>0</v>
      </c>
      <c r="BI469" s="238">
        <f>CH469+CK469+CN469+CQ469+CT469</f>
        <v>0</v>
      </c>
      <c r="BJ469" s="238">
        <f>BH469-BI469</f>
        <v>0</v>
      </c>
      <c r="BK469" s="239"/>
      <c r="BL469" s="240"/>
      <c r="BM469" s="241"/>
      <c r="BN469" s="142"/>
      <c r="BO469" s="182"/>
      <c r="BP469" s="2042" t="s">
        <v>184</v>
      </c>
      <c r="BQ469" s="98">
        <v>0.15</v>
      </c>
      <c r="BR469" s="110"/>
      <c r="BS469" s="242">
        <f>BH469*BQ469</f>
        <v>0</v>
      </c>
      <c r="BT469" s="203">
        <f>BM469*BQ469</f>
        <v>0</v>
      </c>
      <c r="BU469" s="167">
        <f>BN469*BQ469</f>
        <v>0</v>
      </c>
      <c r="BV469" s="168">
        <f>BO469*BQ469</f>
        <v>0</v>
      </c>
      <c r="BW469" s="243" t="s">
        <v>1076</v>
      </c>
      <c r="BX469" s="825" t="s">
        <v>184</v>
      </c>
      <c r="BY469" s="98">
        <v>0.1</v>
      </c>
      <c r="BZ469" s="110"/>
      <c r="CA469" s="242">
        <f>BH469*BY469</f>
        <v>0</v>
      </c>
      <c r="CB469" s="101">
        <f>BM469*BY469</f>
        <v>0</v>
      </c>
      <c r="CC469" s="106">
        <f>BN469*BY469</f>
        <v>0</v>
      </c>
      <c r="CD469" s="107">
        <f>BO469*BY469</f>
        <v>0</v>
      </c>
      <c r="CE469" s="319" t="s">
        <v>1076</v>
      </c>
      <c r="CF469" s="110"/>
      <c r="CG469" s="286"/>
      <c r="CH469" s="110"/>
      <c r="CI469" s="108"/>
      <c r="CJ469" s="111"/>
      <c r="CK469" s="206"/>
      <c r="CL469" s="206"/>
      <c r="CM469" s="111"/>
      <c r="CN469" s="206"/>
      <c r="CO469" s="206"/>
      <c r="CP469" s="206"/>
      <c r="CQ469" s="206"/>
      <c r="CR469" s="206"/>
      <c r="CS469" s="206"/>
      <c r="CT469" s="206"/>
      <c r="CU469" s="245">
        <v>1</v>
      </c>
      <c r="CV469" s="181"/>
      <c r="CW469" s="246"/>
      <c r="CX469" s="247" t="s">
        <v>1077</v>
      </c>
      <c r="CY469" s="293" t="s">
        <v>122</v>
      </c>
      <c r="CZ469" s="155"/>
      <c r="DA469" s="131"/>
      <c r="DB469" s="115" t="str">
        <f>PROPER(N469)</f>
        <v>Credit Team</v>
      </c>
      <c r="DC469" s="191"/>
      <c r="DD469" s="116" t="str">
        <f>BP469</f>
        <v>Cristian A</v>
      </c>
      <c r="DE469" s="117" t="b">
        <f>IF(OR(D469&gt;0),IF(BJ469=0,BN469*BQ469,0))</f>
        <v>0</v>
      </c>
      <c r="DF469" s="117" t="b">
        <f>IF(OR(D469&gt;0),IF(BJ469=0,BN469*BY469,0))</f>
        <v>0</v>
      </c>
      <c r="DG469" s="116" t="str">
        <f>BX469</f>
        <v>Cristian A</v>
      </c>
      <c r="DH469" s="121"/>
      <c r="DI469" s="120" t="s">
        <v>126</v>
      </c>
      <c r="DJ469" s="120"/>
      <c r="DK469" s="207"/>
      <c r="DL469" s="207"/>
      <c r="DM469" s="248">
        <v>1</v>
      </c>
    </row>
    <row r="470" spans="1:130" ht="34.5" hidden="1" customHeight="1">
      <c r="A470" s="228"/>
      <c r="B470" s="121" t="s">
        <v>902</v>
      </c>
      <c r="C470" s="121"/>
      <c r="D470" s="75">
        <v>1</v>
      </c>
      <c r="E470" s="121">
        <v>1</v>
      </c>
      <c r="F470" s="229"/>
      <c r="G470" s="197" t="s">
        <v>942</v>
      </c>
      <c r="H470" s="197" t="s">
        <v>943</v>
      </c>
      <c r="I470" s="207" t="s">
        <v>944</v>
      </c>
      <c r="J470" s="121" t="str">
        <f>CONCATENATE(G470," ",H470)</f>
        <v>Thierry Stroppa</v>
      </c>
      <c r="K470" s="224">
        <v>3458061902</v>
      </c>
      <c r="L470" s="131"/>
      <c r="M470" s="384" t="s">
        <v>945</v>
      </c>
      <c r="N470" s="160" t="s">
        <v>946</v>
      </c>
      <c r="O470" s="230"/>
      <c r="P470" s="231"/>
      <c r="Q470" s="231"/>
      <c r="R470" s="80"/>
      <c r="S470" s="232"/>
      <c r="T470" s="160"/>
      <c r="U470" s="160"/>
      <c r="V470" s="160"/>
      <c r="W470" s="233"/>
      <c r="X470" s="234"/>
      <c r="Y470" s="233"/>
      <c r="Z470" s="233"/>
      <c r="AA470" s="233"/>
      <c r="AB470" s="37"/>
      <c r="AC470" s="37"/>
      <c r="AD470" s="121" t="s">
        <v>947</v>
      </c>
      <c r="AE470" s="138"/>
      <c r="AF470" s="198"/>
      <c r="AG470" s="121"/>
      <c r="AH470" s="121"/>
      <c r="AI470" s="198"/>
      <c r="AJ470" s="121"/>
      <c r="AK470" s="121"/>
      <c r="AL470" s="121"/>
      <c r="AM470" s="198"/>
      <c r="AN470" s="155"/>
      <c r="AO470" s="155"/>
      <c r="AP470" s="155"/>
      <c r="AQ470" s="235"/>
      <c r="AR470" s="121"/>
      <c r="AS470" s="121"/>
      <c r="AT470" s="121"/>
      <c r="AU470" s="236"/>
      <c r="AV470" s="121"/>
      <c r="AW470" s="121"/>
      <c r="AX470" s="121"/>
      <c r="AY470" s="236"/>
      <c r="AZ470" s="121" t="s">
        <v>115</v>
      </c>
      <c r="BA470" s="121" t="s">
        <v>115</v>
      </c>
      <c r="BB470" s="135" t="s">
        <v>115</v>
      </c>
      <c r="BC470" s="236"/>
      <c r="BD470" s="121"/>
      <c r="BE470" s="121"/>
      <c r="BF470" s="121"/>
      <c r="BG470" s="236"/>
      <c r="BH470" s="92">
        <f>CF470+CI470+CL470+CO470+CR470</f>
        <v>2597</v>
      </c>
      <c r="BI470" s="238">
        <f>CH470+CK470+CN470+CQ470+CT470</f>
        <v>2597</v>
      </c>
      <c r="BJ470" s="238">
        <f>BH470-BI470</f>
        <v>0</v>
      </c>
      <c r="BK470" s="239"/>
      <c r="BL470" s="240"/>
      <c r="BM470" s="241"/>
      <c r="BN470" s="142">
        <v>2597</v>
      </c>
      <c r="BO470" s="182"/>
      <c r="BP470" s="2042" t="s">
        <v>262</v>
      </c>
      <c r="BQ470" s="98">
        <v>0.15</v>
      </c>
      <c r="BR470" s="110"/>
      <c r="BS470" s="242"/>
      <c r="BT470" s="203"/>
      <c r="BU470" s="167">
        <f>BN470*BQ470</f>
        <v>389.55</v>
      </c>
      <c r="BV470" s="168">
        <f>BO470*BQ470</f>
        <v>0</v>
      </c>
      <c r="BW470" s="160" t="s">
        <v>185</v>
      </c>
      <c r="BX470" s="825" t="s">
        <v>262</v>
      </c>
      <c r="BY470" s="98">
        <v>0.1</v>
      </c>
      <c r="BZ470" s="110"/>
      <c r="CA470" s="242"/>
      <c r="CB470" s="101"/>
      <c r="CC470" s="106">
        <f>BN470*BY470</f>
        <v>259.7</v>
      </c>
      <c r="CD470" s="107">
        <f>BO470*BY470</f>
        <v>0</v>
      </c>
      <c r="CE470" s="160" t="s">
        <v>185</v>
      </c>
      <c r="CF470" s="110">
        <v>2597</v>
      </c>
      <c r="CG470" s="226">
        <v>45188</v>
      </c>
      <c r="CH470" s="110">
        <v>2597</v>
      </c>
      <c r="CI470" s="108"/>
      <c r="CJ470" s="109"/>
      <c r="CK470" s="206"/>
      <c r="CL470" s="206"/>
      <c r="CM470" s="109"/>
      <c r="CN470" s="206"/>
      <c r="CO470" s="206"/>
      <c r="CP470" s="206"/>
      <c r="CQ470" s="206"/>
      <c r="CR470" s="206"/>
      <c r="CS470" s="206"/>
      <c r="CT470" s="206"/>
      <c r="CU470" s="245"/>
      <c r="CV470" s="181"/>
      <c r="CW470" s="246"/>
      <c r="CX470" s="247"/>
      <c r="CY470" s="207"/>
      <c r="CZ470" s="155"/>
      <c r="DA470" s="384" t="s">
        <v>948</v>
      </c>
      <c r="DB470" s="115" t="str">
        <f>PROPER(N470)</f>
        <v xml:space="preserve">Cooperjob </v>
      </c>
      <c r="DC470" s="280" t="s">
        <v>949</v>
      </c>
      <c r="DD470" s="116" t="str">
        <f>BP470</f>
        <v>Pacci</v>
      </c>
      <c r="DE470" s="117">
        <f>IF(OR(D470&gt;0),IF(BJ470=0,BN470*BQ470,0))</f>
        <v>389.55</v>
      </c>
      <c r="DF470" s="117">
        <f>IF(OR(D470&gt;0),IF(BJ470=0,BN470*BY470,0))</f>
        <v>259.7</v>
      </c>
      <c r="DG470" s="116" t="str">
        <f>BX470</f>
        <v>Pacci</v>
      </c>
      <c r="DH470" s="121"/>
      <c r="DI470" s="120" t="s">
        <v>126</v>
      </c>
      <c r="DJ470" s="120"/>
      <c r="DK470" s="207"/>
      <c r="DL470" s="207"/>
      <c r="DM470" s="248"/>
    </row>
    <row r="471" spans="1:130" ht="34.5" hidden="1" customHeight="1">
      <c r="A471" s="3"/>
      <c r="B471" s="121" t="s">
        <v>108</v>
      </c>
      <c r="C471" s="121"/>
      <c r="D471" s="75">
        <v>1</v>
      </c>
      <c r="E471" s="76">
        <v>1</v>
      </c>
      <c r="F471" s="229"/>
      <c r="G471" s="79" t="s">
        <v>883</v>
      </c>
      <c r="H471" s="79" t="s">
        <v>884</v>
      </c>
      <c r="I471" s="131" t="s">
        <v>885</v>
      </c>
      <c r="J471" s="121" t="str">
        <f>CONCATENATE(G471," ",H471)</f>
        <v>Tommaso Braghini</v>
      </c>
      <c r="K471" s="156">
        <v>3272958486</v>
      </c>
      <c r="L471" s="1883" t="s">
        <v>886</v>
      </c>
      <c r="M471" s="176"/>
      <c r="N471" s="160"/>
      <c r="O471" s="1930"/>
      <c r="P471" s="1942"/>
      <c r="Q471" s="1942"/>
      <c r="R471" s="1942"/>
      <c r="S471" s="1950"/>
      <c r="T471" s="86"/>
      <c r="U471" s="86"/>
      <c r="V471" s="86"/>
      <c r="W471" s="86"/>
      <c r="X471" s="86"/>
      <c r="Y471" s="87"/>
      <c r="Z471" s="86"/>
      <c r="AA471" s="86"/>
      <c r="AB471" s="86"/>
      <c r="AC471" s="86"/>
      <c r="AD471" s="86" t="s">
        <v>887</v>
      </c>
      <c r="AE471" s="138" t="str">
        <f>L471</f>
        <v>In fattura indicare"Corso Formazione blackship"</v>
      </c>
      <c r="AF471" s="198"/>
      <c r="AG471" s="121"/>
      <c r="AH471" s="121"/>
      <c r="AI471" s="198"/>
      <c r="AJ471" s="121"/>
      <c r="AK471" s="121"/>
      <c r="AL471" s="121"/>
      <c r="AM471" s="198"/>
      <c r="AN471" s="155"/>
      <c r="AO471" s="155"/>
      <c r="AP471" s="155"/>
      <c r="AQ471" s="235"/>
      <c r="AR471" s="121"/>
      <c r="AS471" s="121"/>
      <c r="AT471" s="121"/>
      <c r="AU471" s="236"/>
      <c r="AV471" s="121"/>
      <c r="AW471" s="121"/>
      <c r="AX471" s="121"/>
      <c r="AY471" s="236"/>
      <c r="AZ471" s="121" t="s">
        <v>115</v>
      </c>
      <c r="BA471" s="121" t="s">
        <v>115</v>
      </c>
      <c r="BB471" s="1999" t="s">
        <v>115</v>
      </c>
      <c r="BC471" s="236"/>
      <c r="BD471" s="121"/>
      <c r="BE471" s="121"/>
      <c r="BF471" s="121"/>
      <c r="BG471" s="236"/>
      <c r="BH471" s="92">
        <f>CF471+CI471+CL471+CO471+CR471</f>
        <v>2997</v>
      </c>
      <c r="BI471" s="238">
        <f>CH471+CK471+CN471+CQ471+CT471</f>
        <v>2997</v>
      </c>
      <c r="BJ471" s="238">
        <f>BH471-BI471</f>
        <v>0</v>
      </c>
      <c r="BK471" s="199"/>
      <c r="BL471" s="2017"/>
      <c r="BM471" s="241"/>
      <c r="BN471" s="142">
        <v>2997</v>
      </c>
      <c r="BO471" s="182"/>
      <c r="BP471" s="80" t="s">
        <v>160</v>
      </c>
      <c r="BQ471" s="98">
        <v>0.05</v>
      </c>
      <c r="BR471" s="201"/>
      <c r="BS471" s="202"/>
      <c r="BT471" s="203">
        <f>BM471*BQ471</f>
        <v>0</v>
      </c>
      <c r="BU471" s="167">
        <f>BN471*BQ471</f>
        <v>149.85</v>
      </c>
      <c r="BV471" s="168">
        <f>BO471*BQ471</f>
        <v>0</v>
      </c>
      <c r="BW471" s="160" t="s">
        <v>185</v>
      </c>
      <c r="BX471" s="825" t="s">
        <v>160</v>
      </c>
      <c r="BY471" s="98">
        <v>0.05</v>
      </c>
      <c r="BZ471" s="201"/>
      <c r="CA471" s="202"/>
      <c r="CB471" s="101">
        <f>BM471*BY471</f>
        <v>0</v>
      </c>
      <c r="CC471" s="106">
        <f>BN471*BY471</f>
        <v>149.85</v>
      </c>
      <c r="CD471" s="107">
        <f>BO471*BY471</f>
        <v>0</v>
      </c>
      <c r="CE471" s="160" t="s">
        <v>185</v>
      </c>
      <c r="CF471" s="110">
        <v>2997</v>
      </c>
      <c r="CG471" s="226">
        <v>45022</v>
      </c>
      <c r="CH471" s="110">
        <v>2997</v>
      </c>
      <c r="CI471" s="108"/>
      <c r="CJ471" s="109"/>
      <c r="CK471" s="206"/>
      <c r="CL471" s="206"/>
      <c r="CM471" s="109"/>
      <c r="CN471" s="206"/>
      <c r="CO471" s="206"/>
      <c r="CP471" s="206"/>
      <c r="CQ471" s="206"/>
      <c r="CR471" s="206"/>
      <c r="CS471" s="206"/>
      <c r="CT471" s="206"/>
      <c r="CU471" s="245">
        <v>1</v>
      </c>
      <c r="CV471" s="181" t="s">
        <v>121</v>
      </c>
      <c r="CW471" s="246"/>
      <c r="CX471" s="247"/>
      <c r="CY471" s="155" t="s">
        <v>122</v>
      </c>
      <c r="CZ471" s="155"/>
      <c r="DA471" s="131" t="s">
        <v>888</v>
      </c>
      <c r="DB471" s="115" t="str">
        <f>PROPER(N471)</f>
        <v/>
      </c>
      <c r="DC471" s="191" t="s">
        <v>519</v>
      </c>
      <c r="DD471" s="116" t="str">
        <f>BP471</f>
        <v>Gianluca</v>
      </c>
      <c r="DE471" s="117">
        <f>IF(OR(D471&gt;0),IF(BJ471=0,BN471*BQ471,0))</f>
        <v>149.85</v>
      </c>
      <c r="DF471" s="117">
        <f>IF(OR(D471&gt;0),IF(BJ471=0,BN471*BY471,0))</f>
        <v>149.85</v>
      </c>
      <c r="DG471" s="116" t="str">
        <f>BX471</f>
        <v>Gianluca</v>
      </c>
      <c r="DH471" s="121"/>
      <c r="DI471" s="120" t="s">
        <v>126</v>
      </c>
      <c r="DJ471" s="120"/>
      <c r="DK471" s="121"/>
      <c r="DL471" s="121"/>
      <c r="DM471" s="122">
        <v>1</v>
      </c>
      <c r="DN471" s="6"/>
      <c r="DO471" s="6"/>
      <c r="DP471" s="6"/>
      <c r="DQ471" s="6"/>
      <c r="DR471" s="6"/>
      <c r="DS471" s="6"/>
      <c r="DT471" s="6"/>
      <c r="DU471" s="6"/>
      <c r="DV471" s="6"/>
      <c r="DW471" s="6"/>
      <c r="DX471" s="6"/>
      <c r="DY471" s="6"/>
      <c r="DZ471" s="6"/>
    </row>
    <row r="472" spans="1:130" ht="34.5" hidden="1" customHeight="1">
      <c r="A472" s="3"/>
      <c r="B472" s="121" t="s">
        <v>108</v>
      </c>
      <c r="C472" s="121"/>
      <c r="D472" s="75">
        <v>1</v>
      </c>
      <c r="E472" s="76">
        <v>1</v>
      </c>
      <c r="F472" s="229"/>
      <c r="G472" s="79" t="s">
        <v>883</v>
      </c>
      <c r="H472" s="79" t="s">
        <v>889</v>
      </c>
      <c r="I472" s="131" t="s">
        <v>890</v>
      </c>
      <c r="J472" s="121" t="str">
        <f>CONCATENATE(G472," ",H472)</f>
        <v>Tommaso Magaletti</v>
      </c>
      <c r="K472" s="156">
        <v>3293556984</v>
      </c>
      <c r="L472" s="194" t="s">
        <v>891</v>
      </c>
      <c r="M472" s="176"/>
      <c r="N472" s="160" t="s">
        <v>892</v>
      </c>
      <c r="O472" s="1930"/>
      <c r="P472" s="1942"/>
      <c r="Q472" s="1942"/>
      <c r="R472" s="1942"/>
      <c r="S472" s="1950"/>
      <c r="T472" s="86"/>
      <c r="U472" s="86"/>
      <c r="V472" s="86"/>
      <c r="W472" s="86"/>
      <c r="X472" s="86"/>
      <c r="Y472" s="87"/>
      <c r="Z472" s="86"/>
      <c r="AA472" s="86"/>
      <c r="AB472" s="86"/>
      <c r="AC472" s="86"/>
      <c r="AD472" s="86" t="s">
        <v>893</v>
      </c>
      <c r="AE472" s="138" t="str">
        <f>L472</f>
        <v>Mail con Dilazione Pagamento. Gestisce DANI e confermato</v>
      </c>
      <c r="AF472" s="198"/>
      <c r="AG472" s="121"/>
      <c r="AH472" s="121"/>
      <c r="AI472" s="198"/>
      <c r="AJ472" s="121"/>
      <c r="AK472" s="121"/>
      <c r="AL472" s="121"/>
      <c r="AM472" s="198"/>
      <c r="AN472" s="155"/>
      <c r="AO472" s="155"/>
      <c r="AP472" s="155"/>
      <c r="AQ472" s="235"/>
      <c r="AR472" s="121"/>
      <c r="AS472" s="121"/>
      <c r="AT472" s="121"/>
      <c r="AU472" s="236"/>
      <c r="AV472" s="121"/>
      <c r="AW472" s="121"/>
      <c r="AX472" s="121"/>
      <c r="AY472" s="236"/>
      <c r="AZ472" s="259" t="s">
        <v>115</v>
      </c>
      <c r="BA472" s="259" t="s">
        <v>115</v>
      </c>
      <c r="BB472" s="135" t="s">
        <v>115</v>
      </c>
      <c r="BC472" s="236"/>
      <c r="BD472" s="259"/>
      <c r="BE472" s="259"/>
      <c r="BF472" s="259"/>
      <c r="BG472" s="236"/>
      <c r="BH472" s="238">
        <f>CF472+CI472+CL472+CO472+CR472</f>
        <v>3497</v>
      </c>
      <c r="BI472" s="238">
        <f>CH472+CK472+CN472+CQ472+CT472</f>
        <v>3497</v>
      </c>
      <c r="BJ472" s="238">
        <f>BH472-BI472</f>
        <v>0</v>
      </c>
      <c r="BK472" s="199"/>
      <c r="BL472" s="2017"/>
      <c r="BM472" s="241"/>
      <c r="BN472" s="142">
        <v>3497</v>
      </c>
      <c r="BO472" s="182"/>
      <c r="BP472" s="80" t="s">
        <v>487</v>
      </c>
      <c r="BQ472" s="98">
        <v>0.15</v>
      </c>
      <c r="BR472" s="201"/>
      <c r="BS472" s="202"/>
      <c r="BT472" s="203">
        <f>BM472*BQ472</f>
        <v>0</v>
      </c>
      <c r="BU472" s="167">
        <f>BN472*BQ472</f>
        <v>524.54999999999995</v>
      </c>
      <c r="BV472" s="168">
        <f>BO472*BQ472</f>
        <v>0</v>
      </c>
      <c r="BW472" s="131"/>
      <c r="BX472" s="825" t="s">
        <v>487</v>
      </c>
      <c r="BY472" s="98">
        <v>0.05</v>
      </c>
      <c r="BZ472" s="201"/>
      <c r="CA472" s="202"/>
      <c r="CB472" s="101">
        <f>BM472*BY472</f>
        <v>0</v>
      </c>
      <c r="CC472" s="106">
        <f>BN472*BY472</f>
        <v>174.85000000000002</v>
      </c>
      <c r="CD472" s="107">
        <f>BO472*BY472</f>
        <v>0</v>
      </c>
      <c r="CE472" s="155"/>
      <c r="CF472" s="110">
        <f>200/1.22</f>
        <v>163.9344262295082</v>
      </c>
      <c r="CG472" s="226">
        <v>45013</v>
      </c>
      <c r="CH472" s="110">
        <f>200/1.22</f>
        <v>163.9344262295082</v>
      </c>
      <c r="CI472" s="108">
        <f>2033.17/1.22</f>
        <v>1666.532786885246</v>
      </c>
      <c r="CJ472" s="109">
        <v>45214</v>
      </c>
      <c r="CK472" s="110">
        <f>2033.17/1.22</f>
        <v>1666.532786885246</v>
      </c>
      <c r="CL472" s="110">
        <f>2033.17/1.22</f>
        <v>1666.532786885246</v>
      </c>
      <c r="CM472" s="109">
        <v>45245</v>
      </c>
      <c r="CN472" s="110">
        <f>2033.17/1.22</f>
        <v>1666.532786885246</v>
      </c>
      <c r="CO472" s="206"/>
      <c r="CP472" s="206"/>
      <c r="CQ472" s="206"/>
      <c r="CR472" s="206"/>
      <c r="CS472" s="206"/>
      <c r="CT472" s="206"/>
      <c r="CU472" s="245">
        <v>1</v>
      </c>
      <c r="CV472" s="181" t="s">
        <v>121</v>
      </c>
      <c r="CW472" s="246"/>
      <c r="CX472" s="247"/>
      <c r="CY472" s="155" t="s">
        <v>122</v>
      </c>
      <c r="CZ472" s="155"/>
      <c r="DA472" s="2142" t="s">
        <v>894</v>
      </c>
      <c r="DB472" s="115" t="str">
        <f>PROPER(N472)</f>
        <v>Top Mark</v>
      </c>
      <c r="DC472" s="191" t="s">
        <v>264</v>
      </c>
      <c r="DD472" s="116" t="str">
        <f>BP472</f>
        <v>Daniela</v>
      </c>
      <c r="DE472" s="117">
        <f>IF(OR(D472&gt;0),IF(BJ472=0,BN472*BQ472,0))</f>
        <v>524.54999999999995</v>
      </c>
      <c r="DF472" s="117">
        <f>IF(OR(D472&gt;0),IF(BJ472=0,BN472*BY472,0))</f>
        <v>174.85000000000002</v>
      </c>
      <c r="DG472" s="116" t="str">
        <f>BX472</f>
        <v>Daniela</v>
      </c>
      <c r="DH472" s="121"/>
      <c r="DI472" s="120" t="s">
        <v>126</v>
      </c>
      <c r="DJ472" s="120"/>
      <c r="DK472" s="121"/>
      <c r="DL472" s="121"/>
      <c r="DM472" s="122">
        <v>1</v>
      </c>
      <c r="DN472" s="6"/>
      <c r="DO472" s="6"/>
      <c r="DP472" s="6"/>
      <c r="DQ472" s="6"/>
      <c r="DR472" s="6"/>
      <c r="DS472" s="6"/>
      <c r="DT472" s="6"/>
      <c r="DU472" s="6"/>
      <c r="DV472" s="6"/>
      <c r="DW472" s="6"/>
      <c r="DX472" s="6"/>
      <c r="DY472" s="6"/>
      <c r="DZ472" s="6"/>
    </row>
    <row r="473" spans="1:130" ht="34.5" hidden="1" customHeight="1">
      <c r="A473" s="228"/>
      <c r="B473" s="121" t="s">
        <v>1928</v>
      </c>
      <c r="C473" s="121"/>
      <c r="D473" s="75"/>
      <c r="E473" s="76"/>
      <c r="F473" s="229"/>
      <c r="G473" s="181" t="s">
        <v>321</v>
      </c>
      <c r="H473" s="181" t="s">
        <v>2534</v>
      </c>
      <c r="I473" s="181" t="s">
        <v>2535</v>
      </c>
      <c r="J473" s="155" t="str">
        <f>CONCATENATE(G473," ",H473)</f>
        <v>Davide Mondaini</v>
      </c>
      <c r="K473" s="181"/>
      <c r="L473" s="131"/>
      <c r="M473" s="131"/>
      <c r="N473" s="160"/>
      <c r="O473" s="230"/>
      <c r="P473" s="231"/>
      <c r="Q473" s="231"/>
      <c r="R473" s="80"/>
      <c r="S473" s="232"/>
      <c r="T473" s="160"/>
      <c r="U473" s="160"/>
      <c r="V473" s="160"/>
      <c r="W473" s="233"/>
      <c r="X473" s="234"/>
      <c r="Y473" s="233"/>
      <c r="Z473" s="233"/>
      <c r="AA473" s="233"/>
      <c r="AB473" s="37"/>
      <c r="AC473" s="37"/>
      <c r="AD473" s="37" t="s">
        <v>118</v>
      </c>
      <c r="AE473" s="138">
        <f>L473</f>
        <v>0</v>
      </c>
      <c r="AF473" s="198"/>
      <c r="AG473" s="121"/>
      <c r="AH473" s="121"/>
      <c r="AI473" s="198"/>
      <c r="AJ473" s="121"/>
      <c r="AK473" s="121"/>
      <c r="AL473" s="121"/>
      <c r="AM473" s="198"/>
      <c r="AN473" s="155"/>
      <c r="AO473" s="155"/>
      <c r="AP473" s="155"/>
      <c r="AQ473" s="235"/>
      <c r="AR473" s="121"/>
      <c r="AS473" s="121"/>
      <c r="AT473" s="121"/>
      <c r="AU473" s="236"/>
      <c r="AV473" s="121"/>
      <c r="AW473" s="121"/>
      <c r="AX473" s="121"/>
      <c r="AY473" s="236"/>
      <c r="AZ473" s="154" t="s">
        <v>297</v>
      </c>
      <c r="BA473" s="154" t="s">
        <v>297</v>
      </c>
      <c r="BB473" s="553" t="s">
        <v>154</v>
      </c>
      <c r="BC473" s="236"/>
      <c r="BD473" s="259"/>
      <c r="BE473" s="259"/>
      <c r="BF473" s="259"/>
      <c r="BG473" s="236"/>
      <c r="BH473" s="238"/>
      <c r="BI473" s="238"/>
      <c r="BJ473" s="238"/>
      <c r="BK473" s="239"/>
      <c r="BL473" s="240"/>
      <c r="BM473" s="241">
        <v>2997</v>
      </c>
      <c r="BN473" s="142"/>
      <c r="BO473" s="182"/>
      <c r="BP473" s="80"/>
      <c r="BQ473" s="98"/>
      <c r="BR473" s="110">
        <f>BH473*BQ473</f>
        <v>0</v>
      </c>
      <c r="BS473" s="242"/>
      <c r="BT473" s="203">
        <v>0</v>
      </c>
      <c r="BU473" s="167">
        <f>BN473*BQ473</f>
        <v>0</v>
      </c>
      <c r="BV473" s="168">
        <f>BO473*BQ473</f>
        <v>0</v>
      </c>
      <c r="BW473" s="243"/>
      <c r="BX473" s="243"/>
      <c r="BY473" s="145"/>
      <c r="BZ473" s="110"/>
      <c r="CA473" s="242"/>
      <c r="CB473" s="101">
        <v>0</v>
      </c>
      <c r="CC473" s="106">
        <f>BN473*BY473</f>
        <v>0</v>
      </c>
      <c r="CD473" s="107">
        <f>BO473*BY473</f>
        <v>0</v>
      </c>
      <c r="CE473" s="244"/>
      <c r="CF473" s="110"/>
      <c r="CG473" s="226"/>
      <c r="CH473" s="110"/>
      <c r="CI473" s="108"/>
      <c r="CJ473" s="109"/>
      <c r="CK473" s="206"/>
      <c r="CL473" s="206"/>
      <c r="CM473" s="109"/>
      <c r="CN473" s="206"/>
      <c r="CO473" s="206"/>
      <c r="CP473" s="206"/>
      <c r="CQ473" s="206"/>
      <c r="CR473" s="206"/>
      <c r="CS473" s="206"/>
      <c r="CT473" s="206"/>
      <c r="CU473" s="245">
        <v>1</v>
      </c>
      <c r="CV473" s="181"/>
      <c r="CW473" s="246"/>
      <c r="CX473" s="247"/>
      <c r="CY473" s="155"/>
      <c r="CZ473" s="155"/>
      <c r="DA473" s="131" t="s">
        <v>2536</v>
      </c>
      <c r="DB473" s="115" t="str">
        <f>PROPER(N473)</f>
        <v/>
      </c>
      <c r="DC473" s="116" t="s">
        <v>483</v>
      </c>
      <c r="DD473" s="116">
        <f>BP473</f>
        <v>0</v>
      </c>
      <c r="DE473" s="117" t="b">
        <f>IF(OR(D473&gt;0),IF(BJ473=0,BN473*BQ473,0))</f>
        <v>0</v>
      </c>
      <c r="DF473" s="117" t="b">
        <f>IF(OR(D473&gt;0),IF(BJ473=0,BN473*BY473,0))</f>
        <v>0</v>
      </c>
      <c r="DG473" s="113">
        <f>BX473</f>
        <v>0</v>
      </c>
      <c r="DH473" s="313"/>
      <c r="DI473" s="120" t="s">
        <v>154</v>
      </c>
      <c r="DJ473" s="120"/>
      <c r="DK473" s="207"/>
      <c r="DL473" s="207"/>
      <c r="DM473" s="248"/>
    </row>
    <row r="474" spans="1:130" ht="34.5" hidden="1" customHeight="1">
      <c r="A474" s="228"/>
      <c r="B474" s="121" t="s">
        <v>1928</v>
      </c>
      <c r="C474" s="121"/>
      <c r="D474" s="121"/>
      <c r="E474" s="76"/>
      <c r="F474" s="229"/>
      <c r="G474" s="181" t="s">
        <v>166</v>
      </c>
      <c r="H474" s="181" t="s">
        <v>2537</v>
      </c>
      <c r="I474" s="181" t="s">
        <v>2538</v>
      </c>
      <c r="J474" s="155" t="str">
        <f>CONCATENATE(G474," ",H474)</f>
        <v>Matteo Almici</v>
      </c>
      <c r="K474" s="181"/>
      <c r="L474" s="131"/>
      <c r="M474" s="131"/>
      <c r="N474" s="160"/>
      <c r="O474" s="230"/>
      <c r="P474" s="231"/>
      <c r="Q474" s="231"/>
      <c r="R474" s="80"/>
      <c r="S474" s="232"/>
      <c r="T474" s="160"/>
      <c r="U474" s="160"/>
      <c r="V474" s="160"/>
      <c r="W474" s="233"/>
      <c r="X474" s="234"/>
      <c r="Y474" s="233"/>
      <c r="Z474" s="233"/>
      <c r="AA474" s="233"/>
      <c r="AB474" s="37"/>
      <c r="AC474" s="37"/>
      <c r="AD474" s="37"/>
      <c r="AE474" s="138"/>
      <c r="AF474" s="198"/>
      <c r="AG474" s="121"/>
      <c r="AH474" s="121"/>
      <c r="AI474" s="198"/>
      <c r="AJ474" s="121"/>
      <c r="AK474" s="121"/>
      <c r="AL474" s="121"/>
      <c r="AM474" s="198"/>
      <c r="AN474" s="155"/>
      <c r="AO474" s="155"/>
      <c r="AP474" s="155"/>
      <c r="AQ474" s="675"/>
      <c r="AR474" s="121"/>
      <c r="AS474" s="121"/>
      <c r="AT474" s="121"/>
      <c r="AU474" s="237"/>
      <c r="AV474" s="121"/>
      <c r="AW474" s="121"/>
      <c r="AX474" s="121"/>
      <c r="AY474" s="237"/>
      <c r="AZ474" s="259"/>
      <c r="BA474" s="259"/>
      <c r="BB474" s="259"/>
      <c r="BC474" s="237"/>
      <c r="BD474" s="259" t="s">
        <v>116</v>
      </c>
      <c r="BE474" s="259" t="s">
        <v>116</v>
      </c>
      <c r="BF474" s="259" t="s">
        <v>116</v>
      </c>
      <c r="BG474" s="237"/>
      <c r="BH474" s="92">
        <f>CF474+CI474+CL474+CO474+CR474</f>
        <v>0</v>
      </c>
      <c r="BI474" s="238"/>
      <c r="BJ474" s="92"/>
      <c r="BK474" s="520"/>
      <c r="BL474" s="521"/>
      <c r="BM474" s="522"/>
      <c r="BN474" s="690"/>
      <c r="BO474" s="691"/>
      <c r="BP474" s="80"/>
      <c r="BQ474" s="98"/>
      <c r="BR474" s="509"/>
      <c r="BS474" s="526"/>
      <c r="BT474" s="527"/>
      <c r="BU474" s="528"/>
      <c r="BV474" s="168"/>
      <c r="BW474" s="243"/>
      <c r="BX474" s="243"/>
      <c r="BY474" s="145"/>
      <c r="BZ474" s="509"/>
      <c r="CA474" s="526"/>
      <c r="CB474" s="692"/>
      <c r="CC474" s="693"/>
      <c r="CD474" s="694"/>
      <c r="CE474" s="244"/>
      <c r="CF474" s="110"/>
      <c r="CG474" s="226"/>
      <c r="CH474" s="110"/>
      <c r="CI474" s="412"/>
      <c r="CJ474" s="413"/>
      <c r="CK474" s="206"/>
      <c r="CL474" s="206"/>
      <c r="CM474" s="413"/>
      <c r="CN474" s="206"/>
      <c r="CO474" s="206"/>
      <c r="CP474" s="206"/>
      <c r="CQ474" s="206"/>
      <c r="CR474" s="206"/>
      <c r="CS474" s="206"/>
      <c r="CT474" s="206"/>
      <c r="CU474" s="245">
        <v>1</v>
      </c>
      <c r="CV474" s="181"/>
      <c r="CW474" s="246"/>
      <c r="CX474" s="247"/>
      <c r="CY474" s="155"/>
      <c r="CZ474" s="155"/>
      <c r="DA474" s="131"/>
      <c r="DB474" s="126" t="str">
        <f>PROPER(N474)</f>
        <v/>
      </c>
      <c r="DC474" s="191"/>
      <c r="DD474" s="116">
        <f>BP474</f>
        <v>0</v>
      </c>
      <c r="DE474" s="117" t="b">
        <f>IF(OR(D474&gt;0),IF(BJ474=0,BN474*BQ474,0))</f>
        <v>0</v>
      </c>
      <c r="DF474" s="117" t="b">
        <f>IF(OR(D474&gt;0),IF(BJ474=0,BN474*BY474,0))</f>
        <v>0</v>
      </c>
      <c r="DG474" s="113">
        <f>BX474</f>
        <v>0</v>
      </c>
      <c r="DH474" s="313"/>
      <c r="DI474" s="120" t="s">
        <v>154</v>
      </c>
      <c r="DJ474" s="120"/>
      <c r="DK474" s="207"/>
      <c r="DL474" s="207"/>
      <c r="DM474" s="248"/>
    </row>
    <row r="475" spans="1:130" ht="34.5" hidden="1" customHeight="1">
      <c r="A475" s="228"/>
      <c r="B475" s="177" t="s">
        <v>1359</v>
      </c>
      <c r="C475" s="155"/>
      <c r="D475" s="75">
        <v>1</v>
      </c>
      <c r="E475" s="76">
        <v>1</v>
      </c>
      <c r="F475" s="229"/>
      <c r="G475" s="400" t="s">
        <v>1719</v>
      </c>
      <c r="H475" s="400" t="s">
        <v>1720</v>
      </c>
      <c r="I475" s="207" t="s">
        <v>1721</v>
      </c>
      <c r="J475" s="121" t="str">
        <f>CONCATENATE(G475," ",H475)</f>
        <v>Ugo Berno</v>
      </c>
      <c r="K475" s="156">
        <v>3398819318</v>
      </c>
      <c r="L475" s="494" t="s">
        <v>1716</v>
      </c>
      <c r="M475" s="153" t="s">
        <v>1258</v>
      </c>
      <c r="N475" s="160" t="s">
        <v>1717</v>
      </c>
      <c r="O475" s="1927"/>
      <c r="P475" s="84"/>
      <c r="Q475" s="84"/>
      <c r="R475" s="1945"/>
      <c r="S475" s="232"/>
      <c r="T475" s="160"/>
      <c r="U475" s="160"/>
      <c r="V475" s="160"/>
      <c r="W475" s="160"/>
      <c r="X475" s="131"/>
      <c r="Y475" s="160"/>
      <c r="Z475" s="160"/>
      <c r="AA475" s="160"/>
      <c r="AB475" s="37"/>
      <c r="AC475" s="131"/>
      <c r="AD475" s="121" t="s">
        <v>1722</v>
      </c>
      <c r="AE475" s="88"/>
      <c r="AF475" s="515"/>
      <c r="AG475" s="406"/>
      <c r="AH475" s="406"/>
      <c r="AI475" s="515"/>
      <c r="AJ475" s="155"/>
      <c r="AK475" s="155"/>
      <c r="AL475" s="155"/>
      <c r="AM475" s="198"/>
      <c r="AN475" s="155"/>
      <c r="AO475" s="155"/>
      <c r="AP475" s="155"/>
      <c r="AQ475" s="675"/>
      <c r="AR475" s="121"/>
      <c r="AS475" s="121"/>
      <c r="AT475" s="121"/>
      <c r="AU475" s="237"/>
      <c r="AV475" s="121"/>
      <c r="AW475" s="121"/>
      <c r="AX475" s="121"/>
      <c r="AY475" s="237"/>
      <c r="AZ475" s="121" t="s">
        <v>115</v>
      </c>
      <c r="BA475" s="495" t="s">
        <v>115</v>
      </c>
      <c r="BB475" s="1999" t="s">
        <v>115</v>
      </c>
      <c r="BC475" s="237"/>
      <c r="BD475" s="259"/>
      <c r="BE475" s="259"/>
      <c r="BF475" s="259"/>
      <c r="BG475" s="237"/>
      <c r="BH475" s="92">
        <f>CF475+CI475+CL475+CO475+CR475</f>
        <v>2997</v>
      </c>
      <c r="BI475" s="519">
        <f>CH475+CK475+CN475+CQ475+CT475</f>
        <v>2997</v>
      </c>
      <c r="BJ475" s="519">
        <f>BH475-BI475</f>
        <v>0</v>
      </c>
      <c r="BK475" s="520"/>
      <c r="BL475" s="521"/>
      <c r="BM475" s="522"/>
      <c r="BN475" s="690">
        <v>2997</v>
      </c>
      <c r="BO475" s="691"/>
      <c r="BP475" s="825" t="s">
        <v>690</v>
      </c>
      <c r="BQ475" s="98">
        <v>0.15</v>
      </c>
      <c r="BR475" s="110"/>
      <c r="BS475" s="242">
        <f>BL475*BQ475</f>
        <v>0</v>
      </c>
      <c r="BT475" s="203">
        <f>BM475*BQ475</f>
        <v>0</v>
      </c>
      <c r="BU475" s="167">
        <f>BN475*BQ475</f>
        <v>449.55</v>
      </c>
      <c r="BV475" s="168">
        <f>BO475*BQ475</f>
        <v>0</v>
      </c>
      <c r="BW475" s="160" t="s">
        <v>185</v>
      </c>
      <c r="BX475" s="825" t="s">
        <v>525</v>
      </c>
      <c r="BY475" s="145">
        <v>0.05</v>
      </c>
      <c r="BZ475" s="110"/>
      <c r="CA475" s="242">
        <f>BL475*BY475</f>
        <v>0</v>
      </c>
      <c r="CB475" s="203">
        <f>BM475*BY475</f>
        <v>0</v>
      </c>
      <c r="CC475" s="106">
        <f>BN475*BY475</f>
        <v>149.85</v>
      </c>
      <c r="CD475" s="107">
        <f>BO475*BY475</f>
        <v>0</v>
      </c>
      <c r="CE475" s="160" t="s">
        <v>185</v>
      </c>
      <c r="CF475" s="110">
        <v>2997</v>
      </c>
      <c r="CG475" s="226">
        <v>45209</v>
      </c>
      <c r="CH475" s="110">
        <v>2997</v>
      </c>
      <c r="CI475" s="2108"/>
      <c r="CJ475" s="546"/>
      <c r="CK475" s="415"/>
      <c r="CL475" s="415"/>
      <c r="CM475" s="546"/>
      <c r="CN475" s="415"/>
      <c r="CO475" s="263"/>
      <c r="CP475" s="263"/>
      <c r="CQ475" s="263"/>
      <c r="CR475" s="263"/>
      <c r="CS475" s="263"/>
      <c r="CT475" s="263"/>
      <c r="CU475" s="245">
        <v>1</v>
      </c>
      <c r="CV475" s="181"/>
      <c r="CW475" s="2125"/>
      <c r="CX475" s="2127"/>
      <c r="CY475" s="155"/>
      <c r="CZ475" s="121"/>
      <c r="DA475" s="428" t="s">
        <v>501</v>
      </c>
      <c r="DB475" s="126" t="str">
        <f>PROPER(N475)</f>
        <v>Nicro</v>
      </c>
      <c r="DC475" s="280" t="s">
        <v>1718</v>
      </c>
      <c r="DD475" s="116" t="str">
        <f>BP475</f>
        <v>MAW</v>
      </c>
      <c r="DE475" s="117">
        <f>IF(OR(D475&gt;0),IF(BJ475=0,BN475*BQ475,0))</f>
        <v>449.55</v>
      </c>
      <c r="DF475" s="117">
        <f>IF(OR(D475&gt;0),IF(BJ475=0,BN475*BY475,0))</f>
        <v>149.85</v>
      </c>
      <c r="DG475" s="118" t="str">
        <f>BX475</f>
        <v>Bruno</v>
      </c>
      <c r="DH475" s="121"/>
      <c r="DI475" s="120" t="s">
        <v>126</v>
      </c>
      <c r="DJ475" s="120"/>
      <c r="DK475" s="74" t="s">
        <v>1366</v>
      </c>
      <c r="DL475" s="74" t="s">
        <v>1399</v>
      </c>
      <c r="DM475" s="122">
        <v>1</v>
      </c>
      <c r="DN475" s="6"/>
      <c r="DO475" s="6"/>
      <c r="DP475" s="6"/>
      <c r="DQ475" s="6"/>
      <c r="DR475" s="6"/>
      <c r="DS475" s="6"/>
      <c r="DT475" s="6"/>
      <c r="DU475" s="6"/>
      <c r="DV475" s="6"/>
      <c r="DW475" s="6"/>
      <c r="DX475" s="6"/>
      <c r="DY475" s="6"/>
      <c r="DZ475" s="6"/>
    </row>
    <row r="476" spans="1:130" ht="34.5" hidden="1" customHeight="1">
      <c r="A476" s="3"/>
      <c r="B476" s="121" t="s">
        <v>108</v>
      </c>
      <c r="C476" s="121"/>
      <c r="D476" s="75"/>
      <c r="E476" s="76">
        <v>1</v>
      </c>
      <c r="F476" s="229"/>
      <c r="G476" s="79" t="s">
        <v>895</v>
      </c>
      <c r="H476" s="79" t="s">
        <v>330</v>
      </c>
      <c r="I476" s="131" t="s">
        <v>331</v>
      </c>
      <c r="J476" s="121" t="str">
        <f>CONCATENATE(G476," ",H476)</f>
        <v>Valentina Brunelli</v>
      </c>
      <c r="K476" s="156">
        <v>3407058715</v>
      </c>
      <c r="L476" s="160"/>
      <c r="M476" s="176"/>
      <c r="N476" s="160" t="s">
        <v>334</v>
      </c>
      <c r="O476" s="1930"/>
      <c r="P476" s="1942"/>
      <c r="Q476" s="1942"/>
      <c r="R476" s="1942"/>
      <c r="S476" s="1950"/>
      <c r="T476" s="86"/>
      <c r="U476" s="86"/>
      <c r="V476" s="86"/>
      <c r="W476" s="86"/>
      <c r="X476" s="86"/>
      <c r="Y476" s="87"/>
      <c r="Z476" s="86"/>
      <c r="AA476" s="86"/>
      <c r="AB476" s="86"/>
      <c r="AC476" s="86"/>
      <c r="AD476" s="86" t="s">
        <v>896</v>
      </c>
      <c r="AE476" s="138">
        <f>L476</f>
        <v>0</v>
      </c>
      <c r="AF476" s="198"/>
      <c r="AG476" s="121"/>
      <c r="AH476" s="121"/>
      <c r="AI476" s="198"/>
      <c r="AJ476" s="121"/>
      <c r="AK476" s="121"/>
      <c r="AL476" s="121"/>
      <c r="AM476" s="198"/>
      <c r="AN476" s="155"/>
      <c r="AO476" s="155"/>
      <c r="AP476" s="155"/>
      <c r="AQ476" s="675"/>
      <c r="AR476" s="121"/>
      <c r="AS476" s="121"/>
      <c r="AT476" s="121"/>
      <c r="AU476" s="237"/>
      <c r="AV476" s="121"/>
      <c r="AW476" s="121"/>
      <c r="AX476" s="121"/>
      <c r="AY476" s="237"/>
      <c r="AZ476" s="121"/>
      <c r="BA476" s="121" t="s">
        <v>115</v>
      </c>
      <c r="BB476" s="1999" t="s">
        <v>115</v>
      </c>
      <c r="BC476" s="237"/>
      <c r="BD476" s="259" t="s">
        <v>115</v>
      </c>
      <c r="BE476" s="259"/>
      <c r="BF476" s="259"/>
      <c r="BG476" s="237"/>
      <c r="BH476" s="92">
        <f>CF476+CI476+CL476+CO476+CR476</f>
        <v>2997</v>
      </c>
      <c r="BI476" s="519">
        <f>CH476+CK476+CN476+CQ476+CT476</f>
        <v>2997</v>
      </c>
      <c r="BJ476" s="519">
        <f>BH476-BI476</f>
        <v>0</v>
      </c>
      <c r="BK476" s="2010"/>
      <c r="BL476" s="2020"/>
      <c r="BM476" s="522"/>
      <c r="BN476" s="690">
        <v>2997</v>
      </c>
      <c r="BO476" s="691"/>
      <c r="BP476" s="131" t="s">
        <v>184</v>
      </c>
      <c r="BQ476" s="98">
        <v>0.15</v>
      </c>
      <c r="BR476" s="201"/>
      <c r="BS476" s="202"/>
      <c r="BT476" s="203">
        <f>BM476*BQ476</f>
        <v>0</v>
      </c>
      <c r="BU476" s="167">
        <f>BN476*BQ476</f>
        <v>449.55</v>
      </c>
      <c r="BV476" s="168">
        <f>BO476*BQ476</f>
        <v>0</v>
      </c>
      <c r="BW476" s="131"/>
      <c r="BX476" s="825" t="s">
        <v>184</v>
      </c>
      <c r="BY476" s="98">
        <v>0.05</v>
      </c>
      <c r="BZ476" s="201"/>
      <c r="CA476" s="202"/>
      <c r="CB476" s="203">
        <f>BM476*BY476</f>
        <v>0</v>
      </c>
      <c r="CC476" s="106">
        <f>BN476*BY476</f>
        <v>149.85</v>
      </c>
      <c r="CD476" s="107">
        <f>BO476*BY476</f>
        <v>0</v>
      </c>
      <c r="CE476" s="155"/>
      <c r="CF476" s="110">
        <v>2997</v>
      </c>
      <c r="CG476" s="226">
        <v>45013</v>
      </c>
      <c r="CH476" s="110">
        <v>2997</v>
      </c>
      <c r="CI476" s="412"/>
      <c r="CJ476" s="413"/>
      <c r="CK476" s="206"/>
      <c r="CL476" s="206"/>
      <c r="CM476" s="413"/>
      <c r="CN476" s="206"/>
      <c r="CO476" s="206"/>
      <c r="CP476" s="206"/>
      <c r="CQ476" s="206"/>
      <c r="CR476" s="206"/>
      <c r="CS476" s="206"/>
      <c r="CT476" s="206"/>
      <c r="CU476" s="245">
        <v>1</v>
      </c>
      <c r="CV476" s="181" t="s">
        <v>121</v>
      </c>
      <c r="CW476" s="246"/>
      <c r="CX476" s="247"/>
      <c r="CY476" s="155" t="s">
        <v>122</v>
      </c>
      <c r="CZ476" s="155"/>
      <c r="DA476" s="131" t="s">
        <v>336</v>
      </c>
      <c r="DB476" s="115" t="str">
        <f>PROPER(N476)</f>
        <v>Ellepack</v>
      </c>
      <c r="DC476" s="191" t="s">
        <v>897</v>
      </c>
      <c r="DD476" s="116" t="str">
        <f>BP476</f>
        <v>Cristian A</v>
      </c>
      <c r="DE476" s="117" t="b">
        <f>IF(OR(D476&gt;0),IF(BJ476=0,BN476*BQ476,0))</f>
        <v>0</v>
      </c>
      <c r="DF476" s="117" t="b">
        <f>IF(OR(D476&gt;0),IF(BJ476=0,BN476*BY476,0))</f>
        <v>0</v>
      </c>
      <c r="DG476" s="116" t="str">
        <f>BX476</f>
        <v>Cristian A</v>
      </c>
      <c r="DH476" s="121"/>
      <c r="DI476" s="120" t="s">
        <v>126</v>
      </c>
      <c r="DJ476" s="120"/>
      <c r="DK476" s="121"/>
      <c r="DL476" s="121"/>
      <c r="DM476" s="122">
        <v>1</v>
      </c>
      <c r="DN476" s="6"/>
      <c r="DO476" s="6"/>
      <c r="DP476" s="6"/>
      <c r="DQ476" s="6"/>
      <c r="DR476" s="6"/>
      <c r="DS476" s="6"/>
      <c r="DT476" s="6"/>
      <c r="DU476" s="6"/>
      <c r="DV476" s="6"/>
      <c r="DW476" s="6"/>
      <c r="DX476" s="6"/>
      <c r="DY476" s="6"/>
      <c r="DZ476" s="6"/>
    </row>
    <row r="477" spans="1:130" ht="34.5" hidden="1" customHeight="1">
      <c r="A477" s="228"/>
      <c r="B477" s="121" t="s">
        <v>1928</v>
      </c>
      <c r="C477" s="155"/>
      <c r="D477" s="75">
        <v>1</v>
      </c>
      <c r="E477" s="510"/>
      <c r="F477" s="511"/>
      <c r="G477" s="181" t="s">
        <v>570</v>
      </c>
      <c r="H477" s="181" t="s">
        <v>2543</v>
      </c>
      <c r="I477" s="181" t="s">
        <v>2544</v>
      </c>
      <c r="J477" s="155" t="str">
        <f>CONCATENATE(G477," ",H477)</f>
        <v>Giovanni Avarino</v>
      </c>
      <c r="K477" s="224"/>
      <c r="L477" s="160" t="s">
        <v>2545</v>
      </c>
      <c r="M477" s="384" t="s">
        <v>259</v>
      </c>
      <c r="N477" s="160" t="s">
        <v>2546</v>
      </c>
      <c r="O477" s="230"/>
      <c r="P477" s="512"/>
      <c r="Q477" s="512"/>
      <c r="R477" s="80"/>
      <c r="S477" s="513"/>
      <c r="T477" s="131"/>
      <c r="U477" s="131"/>
      <c r="V477" s="131"/>
      <c r="W477" s="514"/>
      <c r="X477" s="131"/>
      <c r="Y477" s="514"/>
      <c r="Z477" s="514"/>
      <c r="AA477" s="514"/>
      <c r="AB477" s="255"/>
      <c r="AC477" s="131"/>
      <c r="AD477" s="37" t="s">
        <v>118</v>
      </c>
      <c r="AE477" s="161"/>
      <c r="AF477" s="515"/>
      <c r="AG477" s="516"/>
      <c r="AH477" s="516"/>
      <c r="AI477" s="515"/>
      <c r="AJ477" s="155"/>
      <c r="AK477" s="155"/>
      <c r="AL477" s="155"/>
      <c r="AM477" s="515"/>
      <c r="AN477" s="258"/>
      <c r="AO477" s="258"/>
      <c r="AP477" s="258"/>
      <c r="AQ477" s="517"/>
      <c r="AR477" s="121"/>
      <c r="AS477" s="121"/>
      <c r="AT477" s="121"/>
      <c r="AU477" s="518"/>
      <c r="AV477" s="121"/>
      <c r="AW477" s="19"/>
      <c r="AX477" s="19"/>
      <c r="AY477" s="518"/>
      <c r="AZ477" s="121" t="s">
        <v>116</v>
      </c>
      <c r="BA477" s="121"/>
      <c r="BB477" s="154" t="s">
        <v>297</v>
      </c>
      <c r="BC477" s="518"/>
      <c r="BD477" s="259"/>
      <c r="BE477" s="495" t="s">
        <v>116</v>
      </c>
      <c r="BF477" s="259" t="s">
        <v>116</v>
      </c>
      <c r="BG477" s="518"/>
      <c r="BH477" s="92"/>
      <c r="BI477" s="519"/>
      <c r="BJ477" s="519"/>
      <c r="BK477" s="520"/>
      <c r="BL477" s="521"/>
      <c r="BM477" s="522"/>
      <c r="BN477" s="523"/>
      <c r="BO477" s="524"/>
      <c r="BP477" s="529"/>
      <c r="BQ477" s="145"/>
      <c r="BR477" s="110"/>
      <c r="BS477" s="242"/>
      <c r="BT477" s="203"/>
      <c r="BU477" s="167">
        <f>BN477*BQ477</f>
        <v>0</v>
      </c>
      <c r="BV477" s="168">
        <f>BO477*BQ477</f>
        <v>0</v>
      </c>
      <c r="BW477" s="131"/>
      <c r="BX477" s="529"/>
      <c r="BY477" s="145"/>
      <c r="BZ477" s="110"/>
      <c r="CA477" s="242"/>
      <c r="CB477" s="203"/>
      <c r="CC477" s="106">
        <f>BN477*BY477</f>
        <v>0</v>
      </c>
      <c r="CD477" s="107">
        <f>BO477*BY477</f>
        <v>0</v>
      </c>
      <c r="CE477" s="532"/>
      <c r="CF477" s="110"/>
      <c r="CG477" s="226"/>
      <c r="CH477" s="110"/>
      <c r="CI477" s="412"/>
      <c r="CJ477" s="413"/>
      <c r="CK477" s="110"/>
      <c r="CL477" s="110"/>
      <c r="CM477" s="413"/>
      <c r="CN477" s="110"/>
      <c r="CO477" s="206"/>
      <c r="CP477" s="206"/>
      <c r="CQ477" s="206"/>
      <c r="CR477" s="206"/>
      <c r="CS477" s="206"/>
      <c r="CT477" s="206"/>
      <c r="CU477" s="245">
        <v>1</v>
      </c>
      <c r="CV477" s="181"/>
      <c r="CW477" s="246"/>
      <c r="CX477" s="247"/>
      <c r="CY477" s="207"/>
      <c r="CZ477" s="155"/>
      <c r="DA477" s="384" t="s">
        <v>2547</v>
      </c>
      <c r="DB477" s="115" t="str">
        <f>PROPER(N477)</f>
        <v>Sieg Renew</v>
      </c>
      <c r="DC477" s="191" t="s">
        <v>2548</v>
      </c>
      <c r="DD477" s="116">
        <f>BP477</f>
        <v>0</v>
      </c>
      <c r="DE477" s="117">
        <f>IF(OR(D477&gt;0),IF(BJ477=0,BN477*BQ477,0))</f>
        <v>0</v>
      </c>
      <c r="DF477" s="117">
        <f>IF(OR(D477&gt;0),IF(BJ477=0,BN477*BY477,0))</f>
        <v>0</v>
      </c>
      <c r="DG477" s="533">
        <f>BX477</f>
        <v>0</v>
      </c>
      <c r="DH477" s="313"/>
      <c r="DI477" s="120" t="s">
        <v>154</v>
      </c>
      <c r="DJ477" s="120"/>
      <c r="DK477" s="207"/>
      <c r="DL477" s="207"/>
      <c r="DM477" s="248">
        <v>1</v>
      </c>
    </row>
    <row r="478" spans="1:130" ht="34.5" hidden="1" customHeight="1">
      <c r="A478" s="228"/>
      <c r="B478" s="121" t="s">
        <v>1928</v>
      </c>
      <c r="C478" s="155"/>
      <c r="D478" s="75">
        <v>1</v>
      </c>
      <c r="E478" s="313"/>
      <c r="F478" s="196"/>
      <c r="G478" s="181" t="s">
        <v>220</v>
      </c>
      <c r="H478" s="181" t="s">
        <v>2549</v>
      </c>
      <c r="I478" s="181" t="s">
        <v>2550</v>
      </c>
      <c r="J478" s="155" t="str">
        <f>CONCATENATE(G478," ",H478)</f>
        <v>Sabrina Bonfanti</v>
      </c>
      <c r="K478" s="224"/>
      <c r="L478" s="160" t="s">
        <v>2551</v>
      </c>
      <c r="M478" s="131"/>
      <c r="N478" s="160" t="s">
        <v>2552</v>
      </c>
      <c r="O478" s="230"/>
      <c r="P478" s="512"/>
      <c r="Q478" s="512"/>
      <c r="R478" s="80"/>
      <c r="S478" s="513"/>
      <c r="T478" s="131"/>
      <c r="U478" s="131"/>
      <c r="V478" s="131"/>
      <c r="W478" s="514"/>
      <c r="X478" s="131"/>
      <c r="Y478" s="514"/>
      <c r="Z478" s="514"/>
      <c r="AA478" s="514"/>
      <c r="AB478" s="255"/>
      <c r="AC478" s="131"/>
      <c r="AD478" s="37" t="s">
        <v>118</v>
      </c>
      <c r="AE478" s="161"/>
      <c r="AF478" s="515"/>
      <c r="AG478" s="516"/>
      <c r="AH478" s="516"/>
      <c r="AI478" s="515"/>
      <c r="AJ478" s="155"/>
      <c r="AK478" s="155"/>
      <c r="AL478" s="155"/>
      <c r="AM478" s="515"/>
      <c r="AN478" s="258"/>
      <c r="AO478" s="258"/>
      <c r="AP478" s="258"/>
      <c r="AQ478" s="517"/>
      <c r="AR478" s="121"/>
      <c r="AS478" s="121"/>
      <c r="AT478" s="121"/>
      <c r="AU478" s="518"/>
      <c r="AV478" s="121"/>
      <c r="AW478" s="19"/>
      <c r="AX478" s="19"/>
      <c r="AY478" s="518"/>
      <c r="AZ478" s="121" t="s">
        <v>116</v>
      </c>
      <c r="BA478" s="553" t="s">
        <v>154</v>
      </c>
      <c r="BB478" s="121" t="s">
        <v>154</v>
      </c>
      <c r="BC478" s="518"/>
      <c r="BD478" s="259"/>
      <c r="BE478" s="259"/>
      <c r="BF478" s="259"/>
      <c r="BG478" s="518"/>
      <c r="BH478" s="92"/>
      <c r="BI478" s="519"/>
      <c r="BJ478" s="519"/>
      <c r="BK478" s="520"/>
      <c r="BL478" s="521"/>
      <c r="BM478" s="522"/>
      <c r="BN478" s="523"/>
      <c r="BO478" s="524"/>
      <c r="BP478" s="529"/>
      <c r="BQ478" s="145"/>
      <c r="BR478" s="110"/>
      <c r="BS478" s="242"/>
      <c r="BT478" s="203"/>
      <c r="BU478" s="167">
        <f>BN478*BQ478</f>
        <v>0</v>
      </c>
      <c r="BV478" s="168">
        <f>BO478*BQ478</f>
        <v>0</v>
      </c>
      <c r="BW478" s="131"/>
      <c r="BX478" s="529"/>
      <c r="BY478" s="145"/>
      <c r="BZ478" s="110"/>
      <c r="CA478" s="242"/>
      <c r="CB478" s="203"/>
      <c r="CC478" s="106">
        <f>BN478*BY478</f>
        <v>0</v>
      </c>
      <c r="CD478" s="107">
        <f>BO478*BY478</f>
        <v>0</v>
      </c>
      <c r="CE478" s="532"/>
      <c r="CF478" s="110"/>
      <c r="CG478" s="226"/>
      <c r="CH478" s="110"/>
      <c r="CI478" s="412"/>
      <c r="CJ478" s="413"/>
      <c r="CK478" s="110"/>
      <c r="CL478" s="110"/>
      <c r="CM478" s="413"/>
      <c r="CN478" s="110"/>
      <c r="CO478" s="206"/>
      <c r="CP478" s="206"/>
      <c r="CQ478" s="206"/>
      <c r="CR478" s="206"/>
      <c r="CS478" s="206"/>
      <c r="CT478" s="206"/>
      <c r="CU478" s="245">
        <v>1</v>
      </c>
      <c r="CV478" s="181"/>
      <c r="CW478" s="246"/>
      <c r="CX478" s="247"/>
      <c r="CY478" s="207"/>
      <c r="CZ478" s="155"/>
      <c r="DA478" s="131" t="s">
        <v>2553</v>
      </c>
      <c r="DB478" s="115" t="str">
        <f>PROPER(N478)</f>
        <v>Gar Edilizia</v>
      </c>
      <c r="DC478" s="191" t="s">
        <v>2554</v>
      </c>
      <c r="DD478" s="116">
        <f>BP478</f>
        <v>0</v>
      </c>
      <c r="DE478" s="117">
        <f>IF(OR(D478&gt;0),IF(BJ478=0,BN478*BQ478,0))</f>
        <v>0</v>
      </c>
      <c r="DF478" s="117">
        <f>IF(OR(D478&gt;0),IF(BJ478=0,BN478*BY478,0))</f>
        <v>0</v>
      </c>
      <c r="DG478" s="533">
        <f>BX478</f>
        <v>0</v>
      </c>
      <c r="DH478" s="313"/>
      <c r="DI478" s="120" t="s">
        <v>154</v>
      </c>
      <c r="DJ478" s="120"/>
      <c r="DK478" s="207"/>
      <c r="DL478" s="207"/>
      <c r="DM478" s="248">
        <v>1</v>
      </c>
    </row>
    <row r="479" spans="1:130" ht="34.5" hidden="1" customHeight="1">
      <c r="A479" s="228"/>
      <c r="B479" s="121" t="s">
        <v>1139</v>
      </c>
      <c r="C479" s="155"/>
      <c r="D479" s="75">
        <v>1</v>
      </c>
      <c r="E479" s="510">
        <v>1</v>
      </c>
      <c r="F479" s="196"/>
      <c r="G479" s="181" t="s">
        <v>895</v>
      </c>
      <c r="H479" s="181" t="s">
        <v>1319</v>
      </c>
      <c r="I479" s="207" t="s">
        <v>1320</v>
      </c>
      <c r="J479" s="121" t="str">
        <f>CONCATENATE(G479," ",H479)</f>
        <v>Valentina Delfino</v>
      </c>
      <c r="K479" s="156">
        <v>3457995266</v>
      </c>
      <c r="L479" s="131"/>
      <c r="M479" s="131" t="s">
        <v>1321</v>
      </c>
      <c r="N479" s="160" t="s">
        <v>1322</v>
      </c>
      <c r="O479" s="1936"/>
      <c r="P479" s="80"/>
      <c r="Q479" s="80"/>
      <c r="R479" s="1948"/>
      <c r="S479" s="1951"/>
      <c r="T479" s="254"/>
      <c r="U479" s="254"/>
      <c r="V479" s="254"/>
      <c r="W479" s="131"/>
      <c r="X479" s="131"/>
      <c r="Y479" s="131"/>
      <c r="Z479" s="131"/>
      <c r="AA479" s="131"/>
      <c r="AB479" s="255"/>
      <c r="AC479" s="256"/>
      <c r="AD479" s="121" t="s">
        <v>1323</v>
      </c>
      <c r="AE479" s="138">
        <f>L479</f>
        <v>0</v>
      </c>
      <c r="AF479" s="198"/>
      <c r="AG479" s="155"/>
      <c r="AH479" s="155"/>
      <c r="AI479" s="198"/>
      <c r="AJ479" s="155"/>
      <c r="AK479" s="155"/>
      <c r="AL479" s="155"/>
      <c r="AM479" s="198"/>
      <c r="AN479" s="258"/>
      <c r="AO479" s="258"/>
      <c r="AP479" s="258"/>
      <c r="AQ479" s="675"/>
      <c r="AR479" s="121"/>
      <c r="AS479" s="121"/>
      <c r="AT479" s="121"/>
      <c r="AU479" s="237"/>
      <c r="AV479" s="121" t="s">
        <v>115</v>
      </c>
      <c r="AW479" s="121" t="s">
        <v>115</v>
      </c>
      <c r="AX479" s="121" t="s">
        <v>115</v>
      </c>
      <c r="AY479" s="237"/>
      <c r="AZ479" s="121" t="s">
        <v>116</v>
      </c>
      <c r="BA479" s="135" t="s">
        <v>116</v>
      </c>
      <c r="BB479" s="91" t="s">
        <v>116</v>
      </c>
      <c r="BC479" s="237"/>
      <c r="BD479" s="259"/>
      <c r="BE479" s="259"/>
      <c r="BF479" s="259"/>
      <c r="BG479" s="237"/>
      <c r="BH479" s="92"/>
      <c r="BI479" s="519"/>
      <c r="BJ479" s="519"/>
      <c r="BK479" s="520"/>
      <c r="BL479" s="521"/>
      <c r="BM479" s="522">
        <v>2997</v>
      </c>
      <c r="BN479" s="523"/>
      <c r="BO479" s="524"/>
      <c r="BP479" s="825" t="s">
        <v>117</v>
      </c>
      <c r="BQ479" s="98">
        <v>0</v>
      </c>
      <c r="BR479" s="110"/>
      <c r="BS479" s="242">
        <f>BL479*BQ479</f>
        <v>0</v>
      </c>
      <c r="BT479" s="203">
        <f>BM479*BQ479</f>
        <v>0</v>
      </c>
      <c r="BU479" s="167">
        <f>BN479*BQ479</f>
        <v>0</v>
      </c>
      <c r="BV479" s="168">
        <f>BO479*BQ479</f>
        <v>0</v>
      </c>
      <c r="BW479" s="309" t="s">
        <v>118</v>
      </c>
      <c r="BX479" s="825" t="s">
        <v>152</v>
      </c>
      <c r="BY479" s="145">
        <v>0.05</v>
      </c>
      <c r="BZ479" s="110"/>
      <c r="CA479" s="242">
        <f>BL479*BY479</f>
        <v>0</v>
      </c>
      <c r="CB479" s="203">
        <f>BM479*BY479</f>
        <v>149.85</v>
      </c>
      <c r="CC479" s="106">
        <f>BN479*BY479</f>
        <v>0</v>
      </c>
      <c r="CD479" s="107">
        <f>BO479*BY479</f>
        <v>0</v>
      </c>
      <c r="CE479" s="155" t="s">
        <v>120</v>
      </c>
      <c r="CF479" s="110">
        <v>2997</v>
      </c>
      <c r="CG479" s="226">
        <v>44833</v>
      </c>
      <c r="CH479" s="110">
        <v>2997</v>
      </c>
      <c r="CI479" s="412"/>
      <c r="CJ479" s="2114"/>
      <c r="CK479" s="110"/>
      <c r="CL479" s="110"/>
      <c r="CM479" s="547"/>
      <c r="CN479" s="110"/>
      <c r="CO479" s="110"/>
      <c r="CP479" s="226"/>
      <c r="CQ479" s="110"/>
      <c r="CR479" s="110"/>
      <c r="CS479" s="226"/>
      <c r="CT479" s="110"/>
      <c r="CU479" s="245">
        <v>1</v>
      </c>
      <c r="CV479" s="181" t="s">
        <v>1123</v>
      </c>
      <c r="CW479" s="246"/>
      <c r="CX479" s="247"/>
      <c r="CY479" s="155" t="s">
        <v>215</v>
      </c>
      <c r="CZ479" s="155"/>
      <c r="DA479" s="131" t="s">
        <v>1321</v>
      </c>
      <c r="DB479" s="115" t="str">
        <f>PROPER(N479)</f>
        <v>Open Architecture Studio</v>
      </c>
      <c r="DC479" s="191" t="s">
        <v>125</v>
      </c>
      <c r="DD479" s="116" t="str">
        <f>BP479</f>
        <v>blackship</v>
      </c>
      <c r="DE479" s="117">
        <f>IF(OR(D479&gt;0),IF(BJ479=0,BN479*BQ479,0))</f>
        <v>0</v>
      </c>
      <c r="DF479" s="117">
        <f>IF(OR(D479&gt;0),IF(BJ479=0,BN479*BY479,0))</f>
        <v>0</v>
      </c>
      <c r="DG479" s="118" t="str">
        <f>BX479</f>
        <v>Client Angel</v>
      </c>
      <c r="DH479" s="121"/>
      <c r="DI479" s="120" t="s">
        <v>126</v>
      </c>
      <c r="DJ479" s="120"/>
      <c r="DK479" s="207"/>
      <c r="DL479" s="207"/>
      <c r="DM479" s="264">
        <v>1</v>
      </c>
      <c r="DN479" s="265"/>
      <c r="DO479" s="265"/>
      <c r="DP479" s="265"/>
      <c r="DQ479" s="265"/>
      <c r="DR479" s="265"/>
      <c r="DS479" s="265"/>
      <c r="DT479" s="265"/>
      <c r="DU479" s="265"/>
      <c r="DV479" s="265"/>
      <c r="DW479" s="265"/>
      <c r="DX479" s="265"/>
      <c r="DY479" s="265"/>
      <c r="DZ479" s="265"/>
    </row>
    <row r="480" spans="1:130" ht="34.5" hidden="1" customHeight="1">
      <c r="A480" s="228"/>
      <c r="B480" s="121" t="s">
        <v>1324</v>
      </c>
      <c r="C480" s="155"/>
      <c r="D480" s="75">
        <v>1</v>
      </c>
      <c r="E480" s="121">
        <v>1</v>
      </c>
      <c r="F480" s="121"/>
      <c r="G480" s="400" t="s">
        <v>895</v>
      </c>
      <c r="H480" s="400" t="s">
        <v>1333</v>
      </c>
      <c r="I480" s="207" t="s">
        <v>1334</v>
      </c>
      <c r="J480" s="121" t="str">
        <f>CONCATENATE(G480," ",H480)</f>
        <v>Valentina Fantini</v>
      </c>
      <c r="K480" s="156">
        <v>3482624372</v>
      </c>
      <c r="L480" s="1334" t="s">
        <v>1335</v>
      </c>
      <c r="M480" s="153"/>
      <c r="N480" s="160" t="s">
        <v>937</v>
      </c>
      <c r="O480" s="1927"/>
      <c r="P480" s="84"/>
      <c r="Q480" s="84"/>
      <c r="R480" s="1945"/>
      <c r="S480" s="232"/>
      <c r="T480" s="160"/>
      <c r="U480" s="160"/>
      <c r="V480" s="160"/>
      <c r="W480" s="160"/>
      <c r="X480" s="131"/>
      <c r="Y480" s="160"/>
      <c r="Z480" s="160"/>
      <c r="AA480" s="160"/>
      <c r="AB480" s="37"/>
      <c r="AC480" s="131"/>
      <c r="AD480" s="121" t="s">
        <v>1328</v>
      </c>
      <c r="AE480" s="88"/>
      <c r="AF480" s="515"/>
      <c r="AG480" s="406"/>
      <c r="AH480" s="406"/>
      <c r="AI480" s="515"/>
      <c r="AJ480" s="155"/>
      <c r="AK480" s="155"/>
      <c r="AL480" s="155"/>
      <c r="AM480" s="198"/>
      <c r="AN480" s="155"/>
      <c r="AO480" s="155"/>
      <c r="AP480" s="155"/>
      <c r="AQ480" s="675"/>
      <c r="AR480" s="121"/>
      <c r="AS480" s="121"/>
      <c r="AT480" s="121"/>
      <c r="AU480" s="237"/>
      <c r="AV480" s="121"/>
      <c r="AW480" s="121"/>
      <c r="AX480" s="121"/>
      <c r="AY480" s="237"/>
      <c r="AZ480" s="121" t="s">
        <v>245</v>
      </c>
      <c r="BA480" s="121" t="s">
        <v>245</v>
      </c>
      <c r="BB480" s="135" t="s">
        <v>115</v>
      </c>
      <c r="BC480" s="237"/>
      <c r="BD480" s="259"/>
      <c r="BE480" s="259"/>
      <c r="BF480" s="259"/>
      <c r="BG480" s="237"/>
      <c r="BH480" s="92">
        <f>CF480+CI480+CL480+CO480+CR480</f>
        <v>2397</v>
      </c>
      <c r="BI480" s="519">
        <f>CH480+CK480+CN480+CQ480+CT480</f>
        <v>0</v>
      </c>
      <c r="BJ480" s="519">
        <f>BH480-BI480</f>
        <v>2397</v>
      </c>
      <c r="BK480" s="520"/>
      <c r="BL480" s="521"/>
      <c r="BM480" s="522"/>
      <c r="BN480" s="690">
        <v>2397</v>
      </c>
      <c r="BO480" s="691"/>
      <c r="BP480" s="243" t="s">
        <v>262</v>
      </c>
      <c r="BQ480" s="98">
        <v>0.15</v>
      </c>
      <c r="BR480" s="110"/>
      <c r="BS480" s="242"/>
      <c r="BT480" s="203"/>
      <c r="BU480" s="167">
        <f>BN480*BQ480</f>
        <v>359.55</v>
      </c>
      <c r="BV480" s="168">
        <f>BO480*BQ480</f>
        <v>0</v>
      </c>
      <c r="BW480" s="131"/>
      <c r="BX480" s="825" t="s">
        <v>262</v>
      </c>
      <c r="BY480" s="145">
        <v>0.1</v>
      </c>
      <c r="BZ480" s="110"/>
      <c r="CA480" s="242"/>
      <c r="CB480" s="203"/>
      <c r="CC480" s="102">
        <f>BV480*BY480</f>
        <v>0</v>
      </c>
      <c r="CD480" s="103">
        <f>BW480*BY480</f>
        <v>0</v>
      </c>
      <c r="CE480" s="244"/>
      <c r="CF480" s="110">
        <v>2397</v>
      </c>
      <c r="CG480" s="226"/>
      <c r="CH480" s="414"/>
      <c r="CI480" s="2108"/>
      <c r="CJ480" s="546"/>
      <c r="CK480" s="415"/>
      <c r="CL480" s="415"/>
      <c r="CM480" s="546"/>
      <c r="CN480" s="415"/>
      <c r="CO480" s="263"/>
      <c r="CP480" s="263"/>
      <c r="CQ480" s="263"/>
      <c r="CR480" s="263"/>
      <c r="CS480" s="263"/>
      <c r="CT480" s="263"/>
      <c r="CU480" s="245"/>
      <c r="CV480" s="181"/>
      <c r="CW480" s="246"/>
      <c r="CX480" s="672"/>
      <c r="CY480" s="155"/>
      <c r="CZ480" s="121"/>
      <c r="DA480" s="384" t="s">
        <v>938</v>
      </c>
      <c r="DB480" s="115" t="str">
        <f>PROPER(N480)</f>
        <v>Ey</v>
      </c>
      <c r="DC480" s="116" t="s">
        <v>264</v>
      </c>
      <c r="DD480" s="116" t="str">
        <f>BP480</f>
        <v>Pacci</v>
      </c>
      <c r="DE480" s="117">
        <f>IF(OR(D480&gt;0),IF(BJ480=0,BN480*BQ480,0))</f>
        <v>0</v>
      </c>
      <c r="DF480" s="117">
        <f>IF(OR(D480&gt;0),IF(BJ480=0,BN480*BY480,0))</f>
        <v>0</v>
      </c>
      <c r="DG480" s="118" t="str">
        <f>BX480</f>
        <v>Pacci</v>
      </c>
      <c r="DH480" s="121"/>
      <c r="DI480" s="120" t="s">
        <v>126</v>
      </c>
      <c r="DJ480" s="120"/>
      <c r="DK480" s="74"/>
      <c r="DL480" s="74"/>
      <c r="DM480" s="122"/>
      <c r="DN480" s="6"/>
      <c r="DO480" s="6"/>
      <c r="DP480" s="6"/>
      <c r="DQ480" s="6"/>
      <c r="DR480" s="6"/>
      <c r="DS480" s="6"/>
      <c r="DT480" s="6"/>
      <c r="DU480" s="6"/>
      <c r="DV480" s="6"/>
      <c r="DW480" s="6"/>
      <c r="DX480" s="6"/>
      <c r="DY480" s="6"/>
      <c r="DZ480" s="6"/>
    </row>
    <row r="481" spans="1:130" ht="34.5" hidden="1" customHeight="1">
      <c r="A481" s="228"/>
      <c r="B481" s="121" t="s">
        <v>1359</v>
      </c>
      <c r="C481" s="155"/>
      <c r="D481" s="75">
        <v>1</v>
      </c>
      <c r="E481" s="76">
        <v>1</v>
      </c>
      <c r="F481" s="121"/>
      <c r="G481" s="400" t="s">
        <v>895</v>
      </c>
      <c r="H481" s="400" t="s">
        <v>1483</v>
      </c>
      <c r="I481" s="207" t="s">
        <v>1484</v>
      </c>
      <c r="J481" s="121" t="str">
        <f>CONCATENATE(G481," ",H481)</f>
        <v>Valentina Paganelli</v>
      </c>
      <c r="K481" s="156">
        <v>3381950692</v>
      </c>
      <c r="L481" s="445" t="s">
        <v>1478</v>
      </c>
      <c r="M481" s="447" t="s">
        <v>112</v>
      </c>
      <c r="N481" s="448" t="s">
        <v>1480</v>
      </c>
      <c r="O481" s="1927"/>
      <c r="P481" s="84"/>
      <c r="Q481" s="84"/>
      <c r="R481" s="1945"/>
      <c r="S481" s="232"/>
      <c r="T481" s="160"/>
      <c r="U481" s="160"/>
      <c r="V481" s="160"/>
      <c r="W481" s="160"/>
      <c r="X481" s="131"/>
      <c r="Y481" s="160"/>
      <c r="Z481" s="160"/>
      <c r="AA481" s="160"/>
      <c r="AB481" s="37"/>
      <c r="AC481" s="131"/>
      <c r="AD481" s="121" t="s">
        <v>1481</v>
      </c>
      <c r="AE481" s="88"/>
      <c r="AF481" s="515"/>
      <c r="AG481" s="406"/>
      <c r="AH481" s="406"/>
      <c r="AI481" s="515"/>
      <c r="AJ481" s="155"/>
      <c r="AK481" s="155"/>
      <c r="AL481" s="155"/>
      <c r="AM481" s="198"/>
      <c r="AN481" s="155"/>
      <c r="AO481" s="155"/>
      <c r="AP481" s="155"/>
      <c r="AQ481" s="675"/>
      <c r="AR481" s="121"/>
      <c r="AS481" s="121"/>
      <c r="AT481" s="121"/>
      <c r="AU481" s="237"/>
      <c r="AV481" s="121"/>
      <c r="AW481" s="121"/>
      <c r="AX481" s="121"/>
      <c r="AY481" s="237"/>
      <c r="AZ481" s="121" t="s">
        <v>115</v>
      </c>
      <c r="BA481" s="121" t="s">
        <v>115</v>
      </c>
      <c r="BB481" s="1999" t="s">
        <v>115</v>
      </c>
      <c r="BC481" s="237"/>
      <c r="BD481" s="259"/>
      <c r="BE481" s="259"/>
      <c r="BF481" s="259"/>
      <c r="BG481" s="237"/>
      <c r="BH481" s="92">
        <f>CF481+CI481+CL481+CO481+CR481</f>
        <v>2997</v>
      </c>
      <c r="BI481" s="519">
        <f>CH481+CK481+CN481+CQ481+CT481</f>
        <v>2997</v>
      </c>
      <c r="BJ481" s="519">
        <f>BH481-BI481</f>
        <v>0</v>
      </c>
      <c r="BK481" s="520"/>
      <c r="BL481" s="521"/>
      <c r="BM481" s="522"/>
      <c r="BN481" s="690">
        <v>2997</v>
      </c>
      <c r="BO481" s="691"/>
      <c r="BP481" s="825" t="s">
        <v>690</v>
      </c>
      <c r="BQ481" s="98">
        <v>0.15</v>
      </c>
      <c r="BR481" s="110"/>
      <c r="BS481" s="242">
        <f>BL481*BQ481</f>
        <v>0</v>
      </c>
      <c r="BT481" s="203">
        <f>BM481*BQ481</f>
        <v>0</v>
      </c>
      <c r="BU481" s="167">
        <f>BN481*BQ481</f>
        <v>449.55</v>
      </c>
      <c r="BV481" s="168">
        <f>BO481*BQ481</f>
        <v>0</v>
      </c>
      <c r="BW481" s="160" t="s">
        <v>185</v>
      </c>
      <c r="BX481" s="825" t="s">
        <v>184</v>
      </c>
      <c r="BY481" s="145">
        <v>0.05</v>
      </c>
      <c r="BZ481" s="110"/>
      <c r="CA481" s="242">
        <f>BL481*BY481</f>
        <v>0</v>
      </c>
      <c r="CB481" s="203">
        <f>BM481*BY481</f>
        <v>0</v>
      </c>
      <c r="CC481" s="106">
        <f>BN481*BY481</f>
        <v>149.85</v>
      </c>
      <c r="CD481" s="107">
        <f>BO481*BY481</f>
        <v>0</v>
      </c>
      <c r="CE481" s="160" t="s">
        <v>185</v>
      </c>
      <c r="CF481" s="110">
        <v>2997</v>
      </c>
      <c r="CG481" s="2103">
        <v>45198</v>
      </c>
      <c r="CH481" s="110">
        <v>2997</v>
      </c>
      <c r="CI481" s="2108"/>
      <c r="CJ481" s="546"/>
      <c r="CK481" s="415"/>
      <c r="CL481" s="415"/>
      <c r="CM481" s="546"/>
      <c r="CN481" s="415"/>
      <c r="CO481" s="263"/>
      <c r="CP481" s="263"/>
      <c r="CQ481" s="263"/>
      <c r="CR481" s="263"/>
      <c r="CS481" s="263"/>
      <c r="CT481" s="263"/>
      <c r="CU481" s="245">
        <v>1</v>
      </c>
      <c r="CV481" s="181"/>
      <c r="CW481" s="246"/>
      <c r="CX481" s="672"/>
      <c r="CY481" s="155"/>
      <c r="CZ481" s="121"/>
      <c r="DA481" s="426" t="s">
        <v>1482</v>
      </c>
      <c r="DB481" s="115" t="str">
        <f>PROPER(N481)</f>
        <v>Sall</v>
      </c>
      <c r="DC481" s="2162" t="s">
        <v>470</v>
      </c>
      <c r="DD481" s="116" t="str">
        <f>BP481</f>
        <v>MAW</v>
      </c>
      <c r="DE481" s="117">
        <f>IF(OR(D481&gt;0),IF(BJ481=0,BN481*BQ481,0))</f>
        <v>449.55</v>
      </c>
      <c r="DF481" s="117">
        <f>IF(OR(D481&gt;0),IF(BJ481=0,BN481*BY481,0))</f>
        <v>149.85</v>
      </c>
      <c r="DG481" s="118" t="str">
        <f>BX481</f>
        <v>Cristian A</v>
      </c>
      <c r="DH481" s="121"/>
      <c r="DI481" s="120" t="s">
        <v>126</v>
      </c>
      <c r="DJ481" s="120"/>
      <c r="DK481" s="74" t="s">
        <v>1366</v>
      </c>
      <c r="DL481" s="74" t="s">
        <v>1399</v>
      </c>
      <c r="DM481" s="122"/>
      <c r="DN481" s="6"/>
      <c r="DO481" s="6"/>
      <c r="DP481" s="6"/>
      <c r="DQ481" s="6"/>
      <c r="DR481" s="6"/>
      <c r="DS481" s="6"/>
      <c r="DT481" s="6"/>
      <c r="DU481" s="6"/>
      <c r="DV481" s="6"/>
      <c r="DW481" s="6"/>
      <c r="DX481" s="6"/>
      <c r="DY481" s="6"/>
      <c r="DZ481" s="6"/>
    </row>
    <row r="482" spans="1:130" ht="34.5" hidden="1" customHeight="1">
      <c r="A482" s="228"/>
      <c r="B482" s="121" t="s">
        <v>1928</v>
      </c>
      <c r="C482" s="155"/>
      <c r="D482" s="121"/>
      <c r="E482" s="313"/>
      <c r="F482" s="196"/>
      <c r="G482" s="181" t="s">
        <v>857</v>
      </c>
      <c r="H482" s="181" t="s">
        <v>2568</v>
      </c>
      <c r="I482" s="181" t="s">
        <v>2569</v>
      </c>
      <c r="J482" s="155" t="str">
        <f>CONCATENATE(G482," ",H482)</f>
        <v>Simona Martini</v>
      </c>
      <c r="K482" s="224"/>
      <c r="L482" s="131"/>
      <c r="M482" s="131"/>
      <c r="N482" s="160"/>
      <c r="O482" s="230"/>
      <c r="P482" s="512"/>
      <c r="Q482" s="512"/>
      <c r="R482" s="80"/>
      <c r="S482" s="513"/>
      <c r="T482" s="131"/>
      <c r="U482" s="131"/>
      <c r="V482" s="131"/>
      <c r="W482" s="514"/>
      <c r="X482" s="131"/>
      <c r="Y482" s="514"/>
      <c r="Z482" s="514"/>
      <c r="AA482" s="514"/>
      <c r="AB482" s="255"/>
      <c r="AC482" s="131"/>
      <c r="AD482" s="255"/>
      <c r="AE482" s="161"/>
      <c r="AF482" s="515"/>
      <c r="AG482" s="516"/>
      <c r="AH482" s="516"/>
      <c r="AI482" s="515"/>
      <c r="AJ482" s="155"/>
      <c r="AK482" s="155"/>
      <c r="AL482" s="155"/>
      <c r="AM482" s="515"/>
      <c r="AN482" s="258"/>
      <c r="AO482" s="258"/>
      <c r="AP482" s="258"/>
      <c r="AQ482" s="517"/>
      <c r="AR482" s="121"/>
      <c r="AS482" s="121"/>
      <c r="AT482" s="121"/>
      <c r="AU482" s="518"/>
      <c r="AV482" s="121"/>
      <c r="AW482" s="19"/>
      <c r="AX482" s="19"/>
      <c r="AY482" s="518"/>
      <c r="AZ482" s="121"/>
      <c r="BA482" s="121"/>
      <c r="BB482" s="121"/>
      <c r="BC482" s="518"/>
      <c r="BD482" s="259" t="s">
        <v>116</v>
      </c>
      <c r="BE482" s="259" t="s">
        <v>116</v>
      </c>
      <c r="BF482" s="259" t="s">
        <v>116</v>
      </c>
      <c r="BG482" s="518"/>
      <c r="BH482" s="92"/>
      <c r="BI482" s="519"/>
      <c r="BJ482" s="519"/>
      <c r="BK482" s="520"/>
      <c r="BL482" s="521"/>
      <c r="BM482" s="522"/>
      <c r="BN482" s="523"/>
      <c r="BO482" s="524"/>
      <c r="BP482" s="529"/>
      <c r="BQ482" s="145"/>
      <c r="BR482" s="110"/>
      <c r="BS482" s="242"/>
      <c r="BT482" s="203"/>
      <c r="BU482" s="167">
        <f>BN482*BQ482</f>
        <v>0</v>
      </c>
      <c r="BV482" s="168">
        <f>BO482*BQ482</f>
        <v>0</v>
      </c>
      <c r="BW482" s="131"/>
      <c r="BX482" s="529"/>
      <c r="BY482" s="145"/>
      <c r="BZ482" s="110"/>
      <c r="CA482" s="242"/>
      <c r="CB482" s="203"/>
      <c r="CC482" s="530">
        <f>BN482*BY482</f>
        <v>0</v>
      </c>
      <c r="CD482" s="531">
        <f>BO482*BY482</f>
        <v>0</v>
      </c>
      <c r="CE482" s="532"/>
      <c r="CF482" s="110"/>
      <c r="CG482" s="226"/>
      <c r="CH482" s="110"/>
      <c r="CI482" s="412"/>
      <c r="CJ482" s="413"/>
      <c r="CK482" s="110"/>
      <c r="CL482" s="110"/>
      <c r="CM482" s="413"/>
      <c r="CN482" s="110"/>
      <c r="CO482" s="206"/>
      <c r="CP482" s="206"/>
      <c r="CQ482" s="206"/>
      <c r="CR482" s="206"/>
      <c r="CS482" s="206"/>
      <c r="CT482" s="206"/>
      <c r="CU482" s="245">
        <v>1</v>
      </c>
      <c r="CV482" s="181"/>
      <c r="CW482" s="246"/>
      <c r="CX482" s="247"/>
      <c r="CY482" s="207"/>
      <c r="CZ482" s="155"/>
      <c r="DA482" s="131"/>
      <c r="DB482" s="126" t="str">
        <f>PROPER(N482)</f>
        <v/>
      </c>
      <c r="DC482" s="116"/>
      <c r="DD482" s="116">
        <f>BP482</f>
        <v>0</v>
      </c>
      <c r="DE482" s="117" t="b">
        <f>IF(OR(D482&gt;0),IF(BJ482=0,BN482*BQ482,0))</f>
        <v>0</v>
      </c>
      <c r="DF482" s="117" t="b">
        <f>IF(OR(D482&gt;0),IF(BJ482=0,BN482*BY482,0))</f>
        <v>0</v>
      </c>
      <c r="DG482" s="533">
        <f>BX482</f>
        <v>0</v>
      </c>
      <c r="DH482" s="313"/>
      <c r="DI482" s="120" t="s">
        <v>154</v>
      </c>
      <c r="DJ482" s="120"/>
      <c r="DK482" s="207"/>
      <c r="DL482" s="207"/>
      <c r="DM482" s="248"/>
    </row>
    <row r="483" spans="1:130" ht="34.5" hidden="1" customHeight="1">
      <c r="A483" s="228"/>
      <c r="B483" s="121" t="s">
        <v>1928</v>
      </c>
      <c r="C483" s="155"/>
      <c r="D483" s="75">
        <v>1</v>
      </c>
      <c r="E483" s="121">
        <v>1</v>
      </c>
      <c r="F483" s="196"/>
      <c r="G483" s="181" t="s">
        <v>895</v>
      </c>
      <c r="H483" s="181" t="s">
        <v>2555</v>
      </c>
      <c r="I483" s="181" t="s">
        <v>2556</v>
      </c>
      <c r="J483" s="121" t="str">
        <f>CONCATENATE(G483," ",H483)</f>
        <v>Valentina Vavassori</v>
      </c>
      <c r="K483" s="224"/>
      <c r="L483" s="160" t="s">
        <v>2551</v>
      </c>
      <c r="M483" s="131"/>
      <c r="N483" s="84" t="s">
        <v>2557</v>
      </c>
      <c r="O483" s="284"/>
      <c r="P483" s="255"/>
      <c r="Q483" s="255"/>
      <c r="R483" s="131"/>
      <c r="S483" s="131"/>
      <c r="T483" s="131"/>
      <c r="U483" s="131"/>
      <c r="V483" s="131"/>
      <c r="W483" s="514"/>
      <c r="X483" s="131"/>
      <c r="Y483" s="514"/>
      <c r="Z483" s="514"/>
      <c r="AA483" s="514"/>
      <c r="AB483" s="255"/>
      <c r="AC483" s="131"/>
      <c r="AD483" s="37" t="s">
        <v>118</v>
      </c>
      <c r="AE483" s="131"/>
      <c r="AF483" s="515"/>
      <c r="AG483" s="516"/>
      <c r="AH483" s="516"/>
      <c r="AI483" s="515"/>
      <c r="AJ483" s="155"/>
      <c r="AK483" s="155"/>
      <c r="AL483" s="155"/>
      <c r="AM483" s="515"/>
      <c r="AN483" s="258"/>
      <c r="AO483" s="258"/>
      <c r="AP483" s="258"/>
      <c r="AQ483" s="515"/>
      <c r="AR483" s="121"/>
      <c r="AS483" s="121"/>
      <c r="AT483" s="121"/>
      <c r="AU483" s="515"/>
      <c r="AV483" s="121"/>
      <c r="AW483" s="19"/>
      <c r="AX483" s="19"/>
      <c r="AY483" s="515"/>
      <c r="AZ483" s="121" t="s">
        <v>116</v>
      </c>
      <c r="BA483" s="121" t="s">
        <v>116</v>
      </c>
      <c r="BB483" s="91" t="s">
        <v>116</v>
      </c>
      <c r="BC483" s="517"/>
      <c r="BD483" s="121"/>
      <c r="BE483" s="121"/>
      <c r="BF483" s="121"/>
      <c r="BG483" s="517"/>
      <c r="BH483" s="92"/>
      <c r="BI483" s="519"/>
      <c r="BJ483" s="519"/>
      <c r="BK483" s="520"/>
      <c r="BL483" s="521"/>
      <c r="BM483" s="522"/>
      <c r="BN483" s="523"/>
      <c r="BO483" s="524"/>
      <c r="BP483" s="529"/>
      <c r="BQ483" s="145"/>
      <c r="BR483" s="110"/>
      <c r="BS483" s="242"/>
      <c r="BT483" s="203"/>
      <c r="BU483" s="167">
        <f>BN483*BQ483</f>
        <v>0</v>
      </c>
      <c r="BV483" s="168">
        <f>BO483*BQ483</f>
        <v>0</v>
      </c>
      <c r="BW483" s="131"/>
      <c r="BX483" s="529"/>
      <c r="BY483" s="145"/>
      <c r="BZ483" s="110"/>
      <c r="CA483" s="242"/>
      <c r="CB483" s="203"/>
      <c r="CC483" s="106">
        <f>BN483*BY483</f>
        <v>0</v>
      </c>
      <c r="CD483" s="107">
        <f>BO483*BY483</f>
        <v>0</v>
      </c>
      <c r="CE483" s="532"/>
      <c r="CF483" s="110"/>
      <c r="CG483" s="226"/>
      <c r="CH483" s="110"/>
      <c r="CI483" s="412"/>
      <c r="CJ483" s="413"/>
      <c r="CK483" s="110"/>
      <c r="CL483" s="110"/>
      <c r="CM483" s="413"/>
      <c r="CN483" s="110"/>
      <c r="CO483" s="206"/>
      <c r="CP483" s="206"/>
      <c r="CQ483" s="206"/>
      <c r="CR483" s="206"/>
      <c r="CS483" s="206"/>
      <c r="CT483" s="206"/>
      <c r="CU483" s="155">
        <v>1</v>
      </c>
      <c r="CV483" s="181"/>
      <c r="CW483" s="181"/>
      <c r="CX483" s="207"/>
      <c r="CY483" s="207"/>
      <c r="CZ483" s="155"/>
      <c r="DA483" s="131" t="s">
        <v>2558</v>
      </c>
      <c r="DB483" s="126" t="str">
        <f>PROPER(N483)</f>
        <v>Sicurezza Informa</v>
      </c>
      <c r="DC483" s="191" t="s">
        <v>2559</v>
      </c>
      <c r="DD483" s="191">
        <f>BP483</f>
        <v>0</v>
      </c>
      <c r="DE483" s="117">
        <f>IF(OR(D483&gt;0),IF(BJ483=0,BN483*BQ483,0))</f>
        <v>0</v>
      </c>
      <c r="DF483" s="117">
        <f>IF(OR(D483&gt;0),IF(BJ483=0,BN483*BY483,0))</f>
        <v>0</v>
      </c>
      <c r="DG483" s="145">
        <f>BX483</f>
        <v>0</v>
      </c>
      <c r="DH483" s="313"/>
      <c r="DI483" s="120" t="s">
        <v>126</v>
      </c>
      <c r="DJ483" s="120"/>
      <c r="DK483" s="207"/>
      <c r="DL483" s="207"/>
      <c r="DM483" s="248">
        <v>1</v>
      </c>
    </row>
    <row r="484" spans="1:130" ht="34.5" hidden="1" customHeight="1">
      <c r="A484" s="228"/>
      <c r="B484" s="325" t="s">
        <v>1082</v>
      </c>
      <c r="C484" s="155"/>
      <c r="D484" s="121">
        <v>1</v>
      </c>
      <c r="E484" s="313"/>
      <c r="F484" s="196"/>
      <c r="G484" s="283" t="s">
        <v>1083</v>
      </c>
      <c r="H484" s="283" t="s">
        <v>1084</v>
      </c>
      <c r="I484" s="207" t="s">
        <v>1085</v>
      </c>
      <c r="J484" s="121" t="str">
        <f>CONCATENATE(G484," ",H484)</f>
        <v>Valeria Cazzulani</v>
      </c>
      <c r="K484" s="224">
        <v>3385342544</v>
      </c>
      <c r="L484" s="160" t="s">
        <v>1086</v>
      </c>
      <c r="M484" s="1898" t="s">
        <v>1087</v>
      </c>
      <c r="N484" s="160"/>
      <c r="O484" s="284"/>
      <c r="P484" s="37"/>
      <c r="Q484" s="37"/>
      <c r="R484" s="131"/>
      <c r="S484" s="160"/>
      <c r="T484" s="160"/>
      <c r="U484" s="160"/>
      <c r="V484" s="160"/>
      <c r="W484" s="233"/>
      <c r="X484" s="234"/>
      <c r="Y484" s="233"/>
      <c r="Z484" s="233"/>
      <c r="AA484" s="233"/>
      <c r="AB484" s="37"/>
      <c r="AC484" s="37"/>
      <c r="AD484" s="37" t="s">
        <v>118</v>
      </c>
      <c r="AE484" s="160" t="str">
        <f>L484</f>
        <v>VINCITRICE QUIZZONE</v>
      </c>
      <c r="AF484" s="198"/>
      <c r="AG484" s="121"/>
      <c r="AH484" s="121"/>
      <c r="AI484" s="198"/>
      <c r="AJ484" s="121"/>
      <c r="AK484" s="121"/>
      <c r="AL484" s="121"/>
      <c r="AM484" s="198"/>
      <c r="AN484" s="124"/>
      <c r="AO484" s="124"/>
      <c r="AP484" s="124"/>
      <c r="AQ484" s="198"/>
      <c r="AR484" s="121" t="s">
        <v>115</v>
      </c>
      <c r="AS484" s="154" t="s">
        <v>194</v>
      </c>
      <c r="AT484" s="154" t="s">
        <v>194</v>
      </c>
      <c r="AU484" s="198"/>
      <c r="AV484" s="121"/>
      <c r="AW484" s="19" t="s">
        <v>115</v>
      </c>
      <c r="AX484" s="121" t="s">
        <v>115</v>
      </c>
      <c r="AY484" s="198"/>
      <c r="AZ484" s="121" t="s">
        <v>116</v>
      </c>
      <c r="BA484" s="121" t="s">
        <v>297</v>
      </c>
      <c r="BB484" s="75" t="s">
        <v>116</v>
      </c>
      <c r="BC484" s="675"/>
      <c r="BD484" s="121"/>
      <c r="BE484" s="121"/>
      <c r="BF484" s="121"/>
      <c r="BG484" s="675"/>
      <c r="BH484" s="92"/>
      <c r="BI484" s="519"/>
      <c r="BJ484" s="519"/>
      <c r="BK484" s="520">
        <v>0</v>
      </c>
      <c r="BL484" s="521">
        <v>0</v>
      </c>
      <c r="BM484" s="522"/>
      <c r="BN484" s="523"/>
      <c r="BO484" s="524"/>
      <c r="BP484" s="243" t="s">
        <v>117</v>
      </c>
      <c r="BQ484" s="98">
        <v>0</v>
      </c>
      <c r="BR484" s="110">
        <f>BH484*BQ484</f>
        <v>0</v>
      </c>
      <c r="BS484" s="242">
        <f>BL484*BQ484</f>
        <v>0</v>
      </c>
      <c r="BT484" s="203">
        <f>BM484*BQ484</f>
        <v>0</v>
      </c>
      <c r="BU484" s="167">
        <f>BN484*BQ484</f>
        <v>0</v>
      </c>
      <c r="BV484" s="168">
        <f>BO484*BQ484</f>
        <v>0</v>
      </c>
      <c r="BW484" s="243" t="s">
        <v>118</v>
      </c>
      <c r="BX484" s="825" t="s">
        <v>152</v>
      </c>
      <c r="BY484" s="98">
        <v>0.05</v>
      </c>
      <c r="BZ484" s="110">
        <f>BH484*BY484</f>
        <v>0</v>
      </c>
      <c r="CA484" s="242">
        <f>BL484*BY484</f>
        <v>0</v>
      </c>
      <c r="CB484" s="203">
        <f>BM484*BY484</f>
        <v>0</v>
      </c>
      <c r="CC484" s="530">
        <f>BN484*BY484</f>
        <v>0</v>
      </c>
      <c r="CD484" s="531">
        <f>BO484*BY484</f>
        <v>0</v>
      </c>
      <c r="CE484" s="244"/>
      <c r="CF484" s="301"/>
      <c r="CG484" s="206"/>
      <c r="CH484" s="301"/>
      <c r="CI484" s="412"/>
      <c r="CJ484" s="2112"/>
      <c r="CK484" s="206"/>
      <c r="CL484" s="206"/>
      <c r="CM484" s="2112"/>
      <c r="CN484" s="206"/>
      <c r="CO484" s="206"/>
      <c r="CP484" s="206"/>
      <c r="CQ484" s="206"/>
      <c r="CR484" s="206"/>
      <c r="CS484" s="206"/>
      <c r="CT484" s="206"/>
      <c r="CU484" s="155">
        <v>1</v>
      </c>
      <c r="CV484" s="181" t="s">
        <v>1088</v>
      </c>
      <c r="CW484" s="181"/>
      <c r="CX484" s="207"/>
      <c r="CY484" s="293" t="s">
        <v>122</v>
      </c>
      <c r="CZ484" s="155"/>
      <c r="DA484" s="301" t="s">
        <v>1089</v>
      </c>
      <c r="DB484" s="115" t="str">
        <f>PROPER(N484)</f>
        <v/>
      </c>
      <c r="DC484" s="191" t="s">
        <v>1090</v>
      </c>
      <c r="DD484" s="191" t="str">
        <f>BP484</f>
        <v>blackship</v>
      </c>
      <c r="DE484" s="117">
        <f>IF(OR(D484&gt;0),IF(BJ484=0,BN484*BQ484,0))</f>
        <v>0</v>
      </c>
      <c r="DF484" s="117">
        <f>IF(OR(D484&gt;0),IF(BJ484=0,BN484*BY484,0))</f>
        <v>0</v>
      </c>
      <c r="DG484" s="191" t="str">
        <f>BX484</f>
        <v>Client Angel</v>
      </c>
      <c r="DH484" s="121"/>
      <c r="DI484" s="120" t="s">
        <v>126</v>
      </c>
      <c r="DJ484" s="120"/>
      <c r="DK484" s="207"/>
      <c r="DL484" s="207"/>
      <c r="DM484" s="248">
        <v>1</v>
      </c>
    </row>
    <row r="485" spans="1:130" ht="34.5" hidden="1" customHeight="1">
      <c r="A485" s="228"/>
      <c r="B485" s="121" t="s">
        <v>1359</v>
      </c>
      <c r="C485" s="155"/>
      <c r="D485" s="121">
        <v>1</v>
      </c>
      <c r="E485" s="121">
        <v>1</v>
      </c>
      <c r="F485" s="121"/>
      <c r="G485" s="400" t="s">
        <v>2167</v>
      </c>
      <c r="H485" s="400" t="s">
        <v>2168</v>
      </c>
      <c r="I485" s="207" t="s">
        <v>2169</v>
      </c>
      <c r="J485" s="121" t="str">
        <f>CONCATENATE(G485," ",H485)</f>
        <v>Vasile Curagau</v>
      </c>
      <c r="K485" s="156">
        <v>3899983006</v>
      </c>
      <c r="L485" s="541" t="s">
        <v>2170</v>
      </c>
      <c r="M485" s="478"/>
      <c r="N485" s="602" t="s">
        <v>2171</v>
      </c>
      <c r="O485" s="1926"/>
      <c r="P485" s="160"/>
      <c r="Q485" s="160"/>
      <c r="R485" s="403"/>
      <c r="S485" s="160"/>
      <c r="T485" s="160"/>
      <c r="U485" s="160"/>
      <c r="V485" s="160"/>
      <c r="W485" s="160"/>
      <c r="X485" s="131"/>
      <c r="Y485" s="160"/>
      <c r="Z485" s="160"/>
      <c r="AA485" s="160"/>
      <c r="AB485" s="37"/>
      <c r="AC485" s="131"/>
      <c r="AD485" s="121" t="s">
        <v>2172</v>
      </c>
      <c r="AE485" s="234"/>
      <c r="AF485" s="515"/>
      <c r="AG485" s="406"/>
      <c r="AH485" s="406"/>
      <c r="AI485" s="515"/>
      <c r="AJ485" s="155"/>
      <c r="AK485" s="155"/>
      <c r="AL485" s="155"/>
      <c r="AM485" s="198"/>
      <c r="AN485" s="155"/>
      <c r="AO485" s="155"/>
      <c r="AP485" s="155"/>
      <c r="AQ485" s="198"/>
      <c r="AR485" s="121"/>
      <c r="AS485" s="121"/>
      <c r="AT485" s="121"/>
      <c r="AU485" s="198"/>
      <c r="AV485" s="121"/>
      <c r="AW485" s="121"/>
      <c r="AX485" s="121"/>
      <c r="AY485" s="198"/>
      <c r="AZ485" s="121" t="s">
        <v>245</v>
      </c>
      <c r="BA485" s="121" t="s">
        <v>245</v>
      </c>
      <c r="BB485" s="75" t="s">
        <v>115</v>
      </c>
      <c r="BC485" s="675"/>
      <c r="BD485" s="121"/>
      <c r="BE485" s="121"/>
      <c r="BF485" s="121"/>
      <c r="BG485" s="675"/>
      <c r="BH485" s="92">
        <f>CF485+CI485+CL485+CO485+CR485</f>
        <v>2397</v>
      </c>
      <c r="BI485" s="519">
        <f>CH485+CK485+CN485+CQ485+CT485</f>
        <v>1598</v>
      </c>
      <c r="BJ485" s="519">
        <f>BH485-BI485</f>
        <v>799</v>
      </c>
      <c r="BK485" s="520"/>
      <c r="BL485" s="521"/>
      <c r="BM485" s="522"/>
      <c r="BN485" s="690">
        <v>2397</v>
      </c>
      <c r="BO485" s="691"/>
      <c r="BP485" s="1004" t="s">
        <v>1496</v>
      </c>
      <c r="BQ485" s="145">
        <v>0.15</v>
      </c>
      <c r="BR485" s="381"/>
      <c r="BS485" s="381">
        <f>BL485*BQ485</f>
        <v>0</v>
      </c>
      <c r="BT485" s="168">
        <f>BM485*BQ485</f>
        <v>0</v>
      </c>
      <c r="BU485" s="530">
        <f>BN485*BQ485</f>
        <v>359.55</v>
      </c>
      <c r="BV485" s="168">
        <f>BO485*BQ485</f>
        <v>0</v>
      </c>
      <c r="BW485" s="131"/>
      <c r="BX485" s="1004" t="s">
        <v>246</v>
      </c>
      <c r="BY485" s="145">
        <v>0.05</v>
      </c>
      <c r="BZ485" s="110"/>
      <c r="CA485" s="242">
        <f>BL485*BY485</f>
        <v>0</v>
      </c>
      <c r="CB485" s="203">
        <f>BM485*BY485</f>
        <v>0</v>
      </c>
      <c r="CC485" s="530">
        <f>BN485*BY485</f>
        <v>119.85000000000001</v>
      </c>
      <c r="CD485" s="531">
        <f>BO485*BY485</f>
        <v>0</v>
      </c>
      <c r="CE485" s="244"/>
      <c r="CF485" s="110">
        <v>799</v>
      </c>
      <c r="CG485" s="226">
        <v>45208</v>
      </c>
      <c r="CH485" s="110">
        <v>799</v>
      </c>
      <c r="CI485" s="412">
        <v>799</v>
      </c>
      <c r="CJ485" s="413">
        <v>45244</v>
      </c>
      <c r="CK485" s="110">
        <v>799</v>
      </c>
      <c r="CL485" s="110">
        <v>799</v>
      </c>
      <c r="CM485" s="413">
        <v>45264</v>
      </c>
      <c r="CN485" s="168"/>
      <c r="CO485" s="263"/>
      <c r="CP485" s="263"/>
      <c r="CQ485" s="263"/>
      <c r="CR485" s="263"/>
      <c r="CS485" s="263"/>
      <c r="CT485" s="263"/>
      <c r="CU485" s="155">
        <v>1</v>
      </c>
      <c r="CV485" s="181"/>
      <c r="CW485" s="431"/>
      <c r="CX485" s="431"/>
      <c r="CY485" s="155"/>
      <c r="CZ485" s="121"/>
      <c r="DA485" s="428" t="s">
        <v>2173</v>
      </c>
      <c r="DB485" s="115" t="str">
        <f>PROPER(N485)</f>
        <v>Novotech Grafiche</v>
      </c>
      <c r="DC485" s="280" t="s">
        <v>2174</v>
      </c>
      <c r="DD485" s="191" t="str">
        <f>BP485</f>
        <v>Patrizia Sabatino</v>
      </c>
      <c r="DE485" s="117">
        <f>IF(OR(D485&gt;0),IF(BJ485=0,BN485*BQ485,0))</f>
        <v>0</v>
      </c>
      <c r="DF485" s="117">
        <f>IF(OR(D485&gt;0),IF(BJ485=0,BN485*BY485,0))</f>
        <v>0</v>
      </c>
      <c r="DG485" s="1429" t="str">
        <f>BX485</f>
        <v>Marco</v>
      </c>
      <c r="DH485" s="121"/>
      <c r="DI485" s="120" t="s">
        <v>126</v>
      </c>
      <c r="DJ485" s="120"/>
      <c r="DK485" s="74" t="s">
        <v>1399</v>
      </c>
      <c r="DL485" s="74" t="s">
        <v>1399</v>
      </c>
      <c r="DM485" s="122">
        <v>1</v>
      </c>
      <c r="DN485" s="6"/>
      <c r="DO485" s="6"/>
      <c r="DP485" s="6"/>
      <c r="DQ485" s="6"/>
      <c r="DR485" s="6"/>
      <c r="DS485" s="6"/>
      <c r="DT485" s="6"/>
      <c r="DU485" s="6"/>
      <c r="DV485" s="6"/>
      <c r="DW485" s="6"/>
      <c r="DX485" s="6"/>
      <c r="DY485" s="6"/>
      <c r="DZ485" s="6"/>
    </row>
    <row r="486" spans="1:130" ht="34.5" hidden="1" customHeight="1">
      <c r="A486" s="679"/>
      <c r="B486" s="617" t="s">
        <v>1359</v>
      </c>
      <c r="C486" s="353"/>
      <c r="D486" s="617">
        <v>1</v>
      </c>
      <c r="E486" s="121">
        <v>1</v>
      </c>
      <c r="F486" s="121"/>
      <c r="G486" s="1815" t="s">
        <v>1661</v>
      </c>
      <c r="H486" s="1815" t="s">
        <v>1662</v>
      </c>
      <c r="I486" s="1844" t="s">
        <v>1663</v>
      </c>
      <c r="J486" s="1849" t="str">
        <f>CONCATENATE(G486," ",H486)</f>
        <v>Veronica Zannoni</v>
      </c>
      <c r="K486" s="1815"/>
      <c r="L486" s="1815"/>
      <c r="M486" s="153"/>
      <c r="N486" s="483" t="s">
        <v>1664</v>
      </c>
      <c r="O486" s="1935"/>
      <c r="P486" s="602"/>
      <c r="Q486" s="602"/>
      <c r="R486" s="1947"/>
      <c r="S486" s="602"/>
      <c r="T486" s="602"/>
      <c r="U486" s="602"/>
      <c r="V486" s="602"/>
      <c r="W486" s="602"/>
      <c r="X486" s="305"/>
      <c r="Y486" s="602"/>
      <c r="Z486" s="602"/>
      <c r="AA486" s="602"/>
      <c r="AB486" s="601"/>
      <c r="AC486" s="305"/>
      <c r="AD486" s="617" t="s">
        <v>1665</v>
      </c>
      <c r="AE486" s="1262"/>
      <c r="AF486" s="518"/>
      <c r="AG486" s="1978"/>
      <c r="AH486" s="1978"/>
      <c r="AI486" s="518"/>
      <c r="AJ486" s="353"/>
      <c r="AK486" s="353"/>
      <c r="AL486" s="353"/>
      <c r="AM486" s="237"/>
      <c r="AN486" s="353"/>
      <c r="AO486" s="353"/>
      <c r="AP486" s="353"/>
      <c r="AQ486" s="237"/>
      <c r="AR486" s="617"/>
      <c r="AS486" s="617"/>
      <c r="AT486" s="617"/>
      <c r="AU486" s="237"/>
      <c r="AV486" s="617"/>
      <c r="AW486" s="617"/>
      <c r="AX486" s="617"/>
      <c r="AY486" s="237"/>
      <c r="AZ486" s="617" t="s">
        <v>115</v>
      </c>
      <c r="BA486" s="617" t="s">
        <v>115</v>
      </c>
      <c r="BB486" s="135" t="s">
        <v>115</v>
      </c>
      <c r="BC486" s="237"/>
      <c r="BD486" s="617"/>
      <c r="BE486" s="617"/>
      <c r="BF486" s="617"/>
      <c r="BG486" s="237"/>
      <c r="BH486" s="2004">
        <f>CF486+CI486+CL486+CO486+CR486</f>
        <v>2997</v>
      </c>
      <c r="BI486" s="2004">
        <f>CH486+CK486+CN486+CQ486+CT486</f>
        <v>2997</v>
      </c>
      <c r="BJ486" s="2004">
        <f>BH486-BI486</f>
        <v>0</v>
      </c>
      <c r="BK486" s="2012"/>
      <c r="BL486" s="2022"/>
      <c r="BM486" s="2026"/>
      <c r="BN486" s="690">
        <v>2997</v>
      </c>
      <c r="BO486" s="691"/>
      <c r="BP486" s="2049" t="s">
        <v>133</v>
      </c>
      <c r="BQ486" s="2053">
        <v>0.15</v>
      </c>
      <c r="BR486" s="2061"/>
      <c r="BS486" s="2068">
        <f>BL486*BQ486</f>
        <v>0</v>
      </c>
      <c r="BT486" s="2072">
        <f>BM486*BQ486</f>
        <v>0</v>
      </c>
      <c r="BU486" s="2077">
        <f>BN486*BQ486</f>
        <v>449.55</v>
      </c>
      <c r="BV486" s="2080">
        <f>BO486*BQ486</f>
        <v>0</v>
      </c>
      <c r="BW486" s="602" t="s">
        <v>185</v>
      </c>
      <c r="BX486" s="2049" t="s">
        <v>133</v>
      </c>
      <c r="BY486" s="347">
        <v>0.1</v>
      </c>
      <c r="BZ486" s="2061"/>
      <c r="CA486" s="2068">
        <f>BL486*BY486</f>
        <v>0</v>
      </c>
      <c r="CB486" s="2072">
        <f>BM486*BY486</f>
        <v>0</v>
      </c>
      <c r="CC486" s="2087">
        <f>BN486*BY486</f>
        <v>299.7</v>
      </c>
      <c r="CD486" s="2090">
        <f>BO486*BY486</f>
        <v>0</v>
      </c>
      <c r="CE486" s="602" t="s">
        <v>185</v>
      </c>
      <c r="CF486" s="2061">
        <v>2997</v>
      </c>
      <c r="CG486" s="2101">
        <v>45198</v>
      </c>
      <c r="CH486" s="2061">
        <v>2997</v>
      </c>
      <c r="CI486" s="2109"/>
      <c r="CJ486" s="2113"/>
      <c r="CK486" s="2109"/>
      <c r="CL486" s="2109"/>
      <c r="CM486" s="2113"/>
      <c r="CN486" s="2109"/>
      <c r="CO486" s="2121"/>
      <c r="CP486" s="2121"/>
      <c r="CQ486" s="2121"/>
      <c r="CR486" s="2121"/>
      <c r="CS486" s="2121"/>
      <c r="CT486" s="2121"/>
      <c r="CU486" s="353">
        <v>1</v>
      </c>
      <c r="CV486" s="369"/>
      <c r="CW486" s="369"/>
      <c r="CX486" s="369"/>
      <c r="CY486" s="353"/>
      <c r="CZ486" s="617"/>
      <c r="DA486" s="473" t="s">
        <v>1659</v>
      </c>
      <c r="DB486" s="2157" t="str">
        <f>PROPER(N486)</f>
        <v>Axure / Cmo - Cassa Malati On-Line</v>
      </c>
      <c r="DC486" s="2164" t="s">
        <v>1660</v>
      </c>
      <c r="DD486" s="2166" t="str">
        <f>BP486</f>
        <v>Cristian B</v>
      </c>
      <c r="DE486" s="2170">
        <f>IF(OR(D486&gt;0),IF(BJ486=0,BN486*BQ486,0))</f>
        <v>449.55</v>
      </c>
      <c r="DF486" s="2170">
        <f>IF(OR(D486&gt;0),IF(BJ486=0,BN486*BY486,0))</f>
        <v>299.7</v>
      </c>
      <c r="DG486" s="2174" t="str">
        <f>BX486</f>
        <v>Cristian B</v>
      </c>
      <c r="DH486" s="617"/>
      <c r="DI486" s="120" t="s">
        <v>126</v>
      </c>
      <c r="DJ486" s="120"/>
      <c r="DK486" s="2176"/>
      <c r="DL486" s="2176"/>
      <c r="DM486" s="122"/>
      <c r="DN486" s="6"/>
      <c r="DO486" s="6"/>
      <c r="DP486" s="6"/>
      <c r="DQ486" s="6"/>
      <c r="DR486" s="6"/>
      <c r="DS486" s="6"/>
      <c r="DT486" s="6"/>
      <c r="DU486" s="6"/>
      <c r="DV486" s="6"/>
      <c r="DW486" s="6"/>
      <c r="DX486" s="6"/>
      <c r="DY486" s="6"/>
      <c r="DZ486" s="6"/>
    </row>
    <row r="487" spans="1:130" ht="34.5" hidden="1" customHeight="1">
      <c r="A487" s="451"/>
      <c r="B487" s="452" t="s">
        <v>1928</v>
      </c>
      <c r="C487" s="453"/>
      <c r="D487" s="452"/>
      <c r="E487" s="121"/>
      <c r="F487" s="461"/>
      <c r="G487" s="455" t="s">
        <v>188</v>
      </c>
      <c r="H487" s="455" t="s">
        <v>2585</v>
      </c>
      <c r="I487" s="455" t="s">
        <v>2586</v>
      </c>
      <c r="J487" s="710" t="str">
        <f>CONCATENATE(G487," ",H487)</f>
        <v>Andrea Cabiati</v>
      </c>
      <c r="K487" s="696"/>
      <c r="L487" s="697"/>
      <c r="M487" s="131"/>
      <c r="N487" s="160" t="s">
        <v>2587</v>
      </c>
      <c r="O487" s="456"/>
      <c r="P487" s="454"/>
      <c r="Q487" s="454"/>
      <c r="R487" s="453"/>
      <c r="S487" s="453"/>
      <c r="T487" s="453"/>
      <c r="U487" s="453"/>
      <c r="V487" s="453"/>
      <c r="W487" s="454"/>
      <c r="X487" s="453"/>
      <c r="Y487" s="454"/>
      <c r="Z487" s="454"/>
      <c r="AA487" s="454"/>
      <c r="AB487" s="454"/>
      <c r="AC487" s="453"/>
      <c r="AD487" s="698" t="s">
        <v>118</v>
      </c>
      <c r="AE487" s="453"/>
      <c r="AF487" s="456"/>
      <c r="AG487" s="457"/>
      <c r="AH487" s="457"/>
      <c r="AI487" s="456"/>
      <c r="AJ487" s="453"/>
      <c r="AK487" s="453"/>
      <c r="AL487" s="453"/>
      <c r="AM487" s="456"/>
      <c r="AN487" s="453"/>
      <c r="AO487" s="453"/>
      <c r="AP487" s="453"/>
      <c r="AQ487" s="456"/>
      <c r="AR487" s="453"/>
      <c r="AS487" s="453"/>
      <c r="AT487" s="453"/>
      <c r="AU487" s="456"/>
      <c r="AV487" s="453"/>
      <c r="AW487" s="699"/>
      <c r="AX487" s="699"/>
      <c r="AY487" s="456"/>
      <c r="AZ487" s="452"/>
      <c r="BA487" s="452" t="s">
        <v>116</v>
      </c>
      <c r="BB487" s="162" t="s">
        <v>154</v>
      </c>
      <c r="BC487" s="456"/>
      <c r="BD487" s="453"/>
      <c r="BE487" s="453"/>
      <c r="BF487" s="453"/>
      <c r="BG487" s="456"/>
      <c r="BH487" s="700"/>
      <c r="BI487" s="700"/>
      <c r="BJ487" s="700"/>
      <c r="BK487" s="701"/>
      <c r="BL487" s="702"/>
      <c r="BM487" s="703"/>
      <c r="BN487" s="523"/>
      <c r="BO487" s="524"/>
      <c r="BP487" s="467"/>
      <c r="BQ487" s="467"/>
      <c r="BR487" s="464"/>
      <c r="BS487" s="704"/>
      <c r="BT487" s="705"/>
      <c r="BU487" s="465">
        <f>BN487*BQ487</f>
        <v>0</v>
      </c>
      <c r="BV487" s="466">
        <f>BO487*BQ487</f>
        <v>0</v>
      </c>
      <c r="BW487" s="453"/>
      <c r="BX487" s="467"/>
      <c r="BY487" s="467"/>
      <c r="BZ487" s="464"/>
      <c r="CA487" s="704"/>
      <c r="CB487" s="705"/>
      <c r="CC487" s="468">
        <f>BN487*BY487</f>
        <v>0</v>
      </c>
      <c r="CD487" s="469">
        <f>BO487*BY487</f>
        <v>0</v>
      </c>
      <c r="CE487" s="706"/>
      <c r="CF487" s="464"/>
      <c r="CG487" s="472"/>
      <c r="CH487" s="464"/>
      <c r="CI487" s="464"/>
      <c r="CJ487" s="472"/>
      <c r="CK487" s="464"/>
      <c r="CL487" s="464"/>
      <c r="CM487" s="472"/>
      <c r="CN487" s="464"/>
      <c r="CO487" s="707"/>
      <c r="CP487" s="707"/>
      <c r="CQ487" s="707"/>
      <c r="CR487" s="707"/>
      <c r="CS487" s="707"/>
      <c r="CT487" s="707"/>
      <c r="CU487" s="453"/>
      <c r="CV487" s="453"/>
      <c r="CW487" s="453"/>
      <c r="CX487" s="453"/>
      <c r="CY487" s="453"/>
      <c r="CZ487" s="453"/>
      <c r="DA487" s="708" t="s">
        <v>2584</v>
      </c>
      <c r="DB487" s="709" t="str">
        <f>PROPER(N487)</f>
        <v>Tech Style</v>
      </c>
      <c r="DC487" s="474" t="s">
        <v>495</v>
      </c>
      <c r="DD487" s="706">
        <f>BP487</f>
        <v>0</v>
      </c>
      <c r="DE487" s="475" t="b">
        <f>IF(OR(D487&gt;0),IF(BJ487=0,BN487*BQ487,0))</f>
        <v>0</v>
      </c>
      <c r="DF487" s="475" t="b">
        <f>IF(OR(D487&gt;0),IF(BJ487=0,BN487*BY487,0))</f>
        <v>0</v>
      </c>
      <c r="DG487" s="467">
        <f>BX487</f>
        <v>0</v>
      </c>
      <c r="DH487" s="453"/>
      <c r="DI487" s="120" t="s">
        <v>154</v>
      </c>
      <c r="DJ487" s="120"/>
      <c r="DK487" s="453"/>
      <c r="DL487" s="453"/>
      <c r="DM487" s="248">
        <v>1</v>
      </c>
      <c r="DN487" s="458"/>
      <c r="DO487" s="458"/>
      <c r="DP487" s="458"/>
      <c r="DQ487" s="458"/>
      <c r="DR487" s="458"/>
      <c r="DS487" s="458"/>
      <c r="DT487" s="458"/>
      <c r="DU487" s="458"/>
      <c r="DV487" s="458"/>
      <c r="DW487" s="458"/>
      <c r="DX487" s="458"/>
      <c r="DY487" s="458"/>
      <c r="DZ487" s="458"/>
    </row>
    <row r="488" spans="1:130" ht="34.5" hidden="1" customHeight="1">
      <c r="A488" s="679"/>
      <c r="B488" s="617" t="s">
        <v>1359</v>
      </c>
      <c r="C488" s="353"/>
      <c r="D488" s="617">
        <v>1</v>
      </c>
      <c r="E488" s="121">
        <v>1</v>
      </c>
      <c r="F488" s="121"/>
      <c r="G488" s="1815" t="s">
        <v>2191</v>
      </c>
      <c r="H488" s="1815" t="s">
        <v>2192</v>
      </c>
      <c r="I488" s="354" t="s">
        <v>2193</v>
      </c>
      <c r="J488" s="617" t="str">
        <f>CONCATENATE(G488," ",H488)</f>
        <v>Walter Polonioli</v>
      </c>
      <c r="K488" s="1853">
        <v>3483042478</v>
      </c>
      <c r="L488" s="1874" t="s">
        <v>2194</v>
      </c>
      <c r="M488" s="487" t="s">
        <v>2195</v>
      </c>
      <c r="N488" s="160" t="s">
        <v>2196</v>
      </c>
      <c r="O488" s="1935"/>
      <c r="P488" s="602"/>
      <c r="Q488" s="602"/>
      <c r="R488" s="1947"/>
      <c r="S488" s="602"/>
      <c r="T488" s="602"/>
      <c r="U488" s="602"/>
      <c r="V488" s="602"/>
      <c r="W488" s="602"/>
      <c r="X488" s="305"/>
      <c r="Y488" s="602"/>
      <c r="Z488" s="602"/>
      <c r="AA488" s="602"/>
      <c r="AB488" s="601"/>
      <c r="AC488" s="305"/>
      <c r="AD488" s="617" t="s">
        <v>2197</v>
      </c>
      <c r="AE488" s="1262"/>
      <c r="AF488" s="518"/>
      <c r="AG488" s="1978"/>
      <c r="AH488" s="1978"/>
      <c r="AI488" s="518"/>
      <c r="AJ488" s="353"/>
      <c r="AK488" s="353"/>
      <c r="AL488" s="353"/>
      <c r="AM488" s="237"/>
      <c r="AN488" s="353"/>
      <c r="AO488" s="353"/>
      <c r="AP488" s="353"/>
      <c r="AQ488" s="237"/>
      <c r="AR488" s="617"/>
      <c r="AS488" s="617"/>
      <c r="AT488" s="617"/>
      <c r="AU488" s="237"/>
      <c r="AV488" s="617"/>
      <c r="AW488" s="617"/>
      <c r="AX488" s="617"/>
      <c r="AY488" s="237"/>
      <c r="AZ488" s="617" t="s">
        <v>115</v>
      </c>
      <c r="BA488" s="1987" t="s">
        <v>115</v>
      </c>
      <c r="BB488" s="2002" t="s">
        <v>115</v>
      </c>
      <c r="BC488" s="237"/>
      <c r="BD488" s="617"/>
      <c r="BE488" s="617"/>
      <c r="BF488" s="617"/>
      <c r="BG488" s="237"/>
      <c r="BH488" s="2004">
        <f>CF488+CI488+CL488+CO488+CR488</f>
        <v>2597</v>
      </c>
      <c r="BI488" s="2004">
        <f>CH488+CK488+CN488+CQ488+CT488</f>
        <v>2597</v>
      </c>
      <c r="BJ488" s="2004">
        <f>BH488-BI488</f>
        <v>0</v>
      </c>
      <c r="BK488" s="2012"/>
      <c r="BL488" s="2022"/>
      <c r="BM488" s="2026"/>
      <c r="BN488" s="690">
        <v>2597</v>
      </c>
      <c r="BO488" s="691"/>
      <c r="BP488" s="2049" t="s">
        <v>246</v>
      </c>
      <c r="BQ488" s="2053">
        <v>0.15</v>
      </c>
      <c r="BR488" s="2061"/>
      <c r="BS488" s="2068">
        <f>BL488*BQ488</f>
        <v>0</v>
      </c>
      <c r="BT488" s="2072">
        <f>BM488*BQ488</f>
        <v>0</v>
      </c>
      <c r="BU488" s="2077">
        <f>BN488*BQ488</f>
        <v>389.55</v>
      </c>
      <c r="BV488" s="2080">
        <f>BO488*BQ488</f>
        <v>0</v>
      </c>
      <c r="BW488" s="602" t="s">
        <v>185</v>
      </c>
      <c r="BX488" s="2049" t="s">
        <v>246</v>
      </c>
      <c r="BY488" s="347">
        <v>0.05</v>
      </c>
      <c r="BZ488" s="2061"/>
      <c r="CA488" s="2068">
        <f>BL488*BY488</f>
        <v>0</v>
      </c>
      <c r="CB488" s="2072">
        <f>BM488*BY488</f>
        <v>0</v>
      </c>
      <c r="CC488" s="2087">
        <f>BN488*BY488</f>
        <v>129.85</v>
      </c>
      <c r="CD488" s="2090">
        <f>BO488*BY488</f>
        <v>0</v>
      </c>
      <c r="CE488" s="602" t="s">
        <v>185</v>
      </c>
      <c r="CF488" s="2061">
        <v>2597</v>
      </c>
      <c r="CG488" s="2101">
        <v>45204</v>
      </c>
      <c r="CH488" s="2061">
        <v>2597</v>
      </c>
      <c r="CI488" s="2109"/>
      <c r="CJ488" s="2113"/>
      <c r="CK488" s="2109"/>
      <c r="CL488" s="2109"/>
      <c r="CM488" s="2113"/>
      <c r="CN488" s="2109"/>
      <c r="CO488" s="2121"/>
      <c r="CP488" s="2121"/>
      <c r="CQ488" s="2121"/>
      <c r="CR488" s="2121"/>
      <c r="CS488" s="2121"/>
      <c r="CT488" s="2121"/>
      <c r="CU488" s="353">
        <v>1</v>
      </c>
      <c r="CV488" s="369"/>
      <c r="CW488" s="507"/>
      <c r="CX488" s="432"/>
      <c r="CY488" s="353"/>
      <c r="CZ488" s="617"/>
      <c r="DA488" s="542" t="s">
        <v>2198</v>
      </c>
      <c r="DB488" s="2157" t="str">
        <f>PROPER(N488)</f>
        <v>Com.Pac.</v>
      </c>
      <c r="DC488" s="280" t="s">
        <v>1398</v>
      </c>
      <c r="DD488" s="116" t="str">
        <f>BP488</f>
        <v>Marco</v>
      </c>
      <c r="DE488" s="2170">
        <f>IF(OR(D488&gt;0),IF(BJ488=0,BN488*BQ488,0))</f>
        <v>389.55</v>
      </c>
      <c r="DF488" s="2170">
        <f>IF(OR(D488&gt;0),IF(BJ488=0,BN488*BY488,0))</f>
        <v>129.85</v>
      </c>
      <c r="DG488" s="2174" t="str">
        <f>BX488</f>
        <v>Marco</v>
      </c>
      <c r="DH488" s="617"/>
      <c r="DI488" s="120" t="s">
        <v>126</v>
      </c>
      <c r="DJ488" s="120"/>
      <c r="DK488" s="2176" t="s">
        <v>1366</v>
      </c>
      <c r="DL488" s="2176" t="s">
        <v>1366</v>
      </c>
      <c r="DM488" s="122">
        <v>1</v>
      </c>
      <c r="DN488" s="6"/>
      <c r="DO488" s="6"/>
      <c r="DP488" s="6"/>
      <c r="DQ488" s="6"/>
      <c r="DR488" s="6"/>
      <c r="DS488" s="6"/>
      <c r="DT488" s="6"/>
      <c r="DU488" s="6"/>
      <c r="DV488" s="6"/>
      <c r="DW488" s="6"/>
      <c r="DX488" s="6"/>
      <c r="DY488" s="6"/>
      <c r="DZ488" s="6"/>
    </row>
    <row r="489" spans="1:130" ht="34.5" hidden="1" customHeight="1">
      <c r="A489" s="3"/>
      <c r="B489" s="121" t="s">
        <v>108</v>
      </c>
      <c r="C489" s="121"/>
      <c r="D489" s="75"/>
      <c r="E489" s="121">
        <v>1</v>
      </c>
      <c r="F489" s="121"/>
      <c r="G489" s="140" t="s">
        <v>696</v>
      </c>
      <c r="H489" s="79" t="s">
        <v>697</v>
      </c>
      <c r="I489" s="131" t="s">
        <v>698</v>
      </c>
      <c r="J489" s="121" t="str">
        <f>CONCATENATE(G489," ",H489)</f>
        <v>Ylenia Bonaventura</v>
      </c>
      <c r="K489" s="156"/>
      <c r="L489" s="1870"/>
      <c r="M489" s="176" t="s">
        <v>699</v>
      </c>
      <c r="N489" s="160" t="s">
        <v>688</v>
      </c>
      <c r="O489" s="198"/>
      <c r="P489" s="86"/>
      <c r="Q489" s="86"/>
      <c r="R489" s="86"/>
      <c r="S489" s="86"/>
      <c r="T489" s="86"/>
      <c r="U489" s="86"/>
      <c r="V489" s="86"/>
      <c r="W489" s="86"/>
      <c r="X489" s="86"/>
      <c r="Y489" s="87"/>
      <c r="Z489" s="86"/>
      <c r="AA489" s="86"/>
      <c r="AB489" s="86"/>
      <c r="AC489" s="86"/>
      <c r="AD489" s="86" t="s">
        <v>689</v>
      </c>
      <c r="AE489" s="234">
        <f>L489</f>
        <v>0</v>
      </c>
      <c r="AF489" s="198"/>
      <c r="AG489" s="121"/>
      <c r="AH489" s="121"/>
      <c r="AI489" s="198"/>
      <c r="AJ489" s="121"/>
      <c r="AK489" s="121"/>
      <c r="AL489" s="121"/>
      <c r="AM489" s="198"/>
      <c r="AN489" s="155"/>
      <c r="AO489" s="155"/>
      <c r="AP489" s="155"/>
      <c r="AQ489" s="198"/>
      <c r="AR489" s="121"/>
      <c r="AS489" s="121"/>
      <c r="AT489" s="121"/>
      <c r="AU489" s="198"/>
      <c r="AV489" s="121" t="s">
        <v>115</v>
      </c>
      <c r="AW489" s="124"/>
      <c r="AX489" s="121"/>
      <c r="AY489" s="198"/>
      <c r="AZ489" s="121"/>
      <c r="BA489" s="121" t="s">
        <v>115</v>
      </c>
      <c r="BB489" s="1999" t="s">
        <v>115</v>
      </c>
      <c r="BC489" s="675"/>
      <c r="BD489" s="121"/>
      <c r="BE489" s="121"/>
      <c r="BF489" s="121"/>
      <c r="BG489" s="675"/>
      <c r="BH489" s="92">
        <v>3297</v>
      </c>
      <c r="BI489" s="519">
        <f>CH489+CK489+CN489+CQ489+CT489</f>
        <v>3297.0004918032791</v>
      </c>
      <c r="BJ489" s="519">
        <f>BH489-BI489</f>
        <v>-4.9180327914655209E-4</v>
      </c>
      <c r="BK489" s="2010"/>
      <c r="BL489" s="2020"/>
      <c r="BM489" s="522">
        <v>3497</v>
      </c>
      <c r="BN489" s="2030"/>
      <c r="BO489" s="2035"/>
      <c r="BP489" s="131" t="s">
        <v>690</v>
      </c>
      <c r="BQ489" s="98">
        <v>0.15</v>
      </c>
      <c r="BR489" s="201"/>
      <c r="BS489" s="202"/>
      <c r="BT489" s="203">
        <f>BM489*BQ489</f>
        <v>524.54999999999995</v>
      </c>
      <c r="BU489" s="167">
        <f>BN489*BQ489</f>
        <v>0</v>
      </c>
      <c r="BV489" s="168">
        <f>BO489*BQ489</f>
        <v>0</v>
      </c>
      <c r="BW489" s="131"/>
      <c r="BX489" s="825" t="s">
        <v>184</v>
      </c>
      <c r="BY489" s="98">
        <v>0.05</v>
      </c>
      <c r="BZ489" s="201"/>
      <c r="CA489" s="202"/>
      <c r="CB489" s="203">
        <f>BM489*BY489</f>
        <v>174.85000000000002</v>
      </c>
      <c r="CC489" s="106">
        <f>BN489*BY489</f>
        <v>0</v>
      </c>
      <c r="CD489" s="107">
        <f>BO489*BY489</f>
        <v>0</v>
      </c>
      <c r="CE489" s="155"/>
      <c r="CF489" s="110">
        <f>200/1.22</f>
        <v>163.9344262295082</v>
      </c>
      <c r="CG489" s="226">
        <v>45012</v>
      </c>
      <c r="CH489" s="110">
        <f>200/1.22</f>
        <v>163.9344262295082</v>
      </c>
      <c r="CI489" s="412">
        <f>1720/1.22</f>
        <v>1409.8360655737706</v>
      </c>
      <c r="CJ489" s="413">
        <v>45057</v>
      </c>
      <c r="CK489" s="110">
        <f>1720/1.22</f>
        <v>1409.8360655737706</v>
      </c>
      <c r="CL489" s="110">
        <v>1723.22</v>
      </c>
      <c r="CM489" s="413">
        <v>45236</v>
      </c>
      <c r="CN489" s="110">
        <v>1723.23</v>
      </c>
      <c r="CO489" s="206"/>
      <c r="CP489" s="206"/>
      <c r="CQ489" s="206"/>
      <c r="CR489" s="206"/>
      <c r="CS489" s="206"/>
      <c r="CT489" s="206"/>
      <c r="CU489" s="155">
        <v>1</v>
      </c>
      <c r="CV489" s="181" t="s">
        <v>121</v>
      </c>
      <c r="CW489" s="181"/>
      <c r="CX489" s="207"/>
      <c r="CY489" s="155" t="s">
        <v>122</v>
      </c>
      <c r="CZ489" s="155"/>
      <c r="DA489" s="384" t="s">
        <v>691</v>
      </c>
      <c r="DB489" s="115" t="str">
        <f>PROPER(N489)</f>
        <v>Puli.Gest</v>
      </c>
      <c r="DC489" s="191" t="s">
        <v>692</v>
      </c>
      <c r="DD489" s="191" t="str">
        <f>BP489</f>
        <v>MAW</v>
      </c>
      <c r="DE489" s="117" t="b">
        <f>IF(OR(D489&gt;0),IF(BJ489=0,BN489*BQ489,0))</f>
        <v>0</v>
      </c>
      <c r="DF489" s="117" t="b">
        <f>IF(OR(D489&gt;0),IF(BJ489=0,BN489*BY489,0))</f>
        <v>0</v>
      </c>
      <c r="DG489" s="1429" t="str">
        <f>BX489</f>
        <v>Cristian A</v>
      </c>
      <c r="DH489" s="121"/>
      <c r="DI489" s="120" t="s">
        <v>126</v>
      </c>
      <c r="DJ489" s="120"/>
      <c r="DK489" s="121"/>
      <c r="DL489" s="121"/>
      <c r="DM489" s="122">
        <v>1</v>
      </c>
      <c r="DN489" s="6"/>
      <c r="DO489" s="6"/>
      <c r="DP489" s="6"/>
      <c r="DQ489" s="6"/>
      <c r="DR489" s="6"/>
      <c r="DS489" s="6"/>
      <c r="DT489" s="6"/>
      <c r="DU489" s="6"/>
      <c r="DV489" s="6"/>
      <c r="DW489" s="6"/>
      <c r="DX489" s="6"/>
      <c r="DY489" s="6"/>
      <c r="DZ489" s="6"/>
    </row>
    <row r="490" spans="1:130" ht="24.75" hidden="1" customHeight="1">
      <c r="A490" s="228"/>
      <c r="B490" s="711"/>
      <c r="C490" s="712"/>
      <c r="D490" s="712"/>
      <c r="E490" s="712"/>
      <c r="F490" s="713"/>
      <c r="G490" s="713"/>
      <c r="H490" s="713"/>
      <c r="I490" s="713"/>
      <c r="J490" s="714"/>
      <c r="K490" s="715"/>
      <c r="L490" s="716"/>
      <c r="M490" s="716"/>
      <c r="N490" s="716"/>
      <c r="O490" s="515"/>
      <c r="P490" s="713"/>
      <c r="Q490" s="713"/>
      <c r="R490" s="717"/>
      <c r="S490" s="713"/>
      <c r="T490" s="713"/>
      <c r="U490" s="713"/>
      <c r="V490" s="713"/>
      <c r="W490" s="713"/>
      <c r="X490" s="713"/>
      <c r="Y490" s="713"/>
      <c r="Z490" s="713"/>
      <c r="AA490" s="713"/>
      <c r="AB490" s="713"/>
      <c r="AC490" s="713"/>
      <c r="AD490" s="713"/>
      <c r="AE490" s="713"/>
      <c r="AF490" s="515"/>
      <c r="AG490" s="713"/>
      <c r="AH490" s="713"/>
      <c r="AI490" s="713"/>
      <c r="AJ490" s="713"/>
      <c r="AK490" s="713"/>
      <c r="AL490" s="713"/>
      <c r="AM490" s="713"/>
      <c r="AN490" s="714"/>
      <c r="AO490" s="714"/>
      <c r="AP490" s="714"/>
      <c r="AQ490" s="515"/>
      <c r="AR490" s="714"/>
      <c r="AS490" s="714"/>
      <c r="AT490" s="714"/>
      <c r="AU490" s="515"/>
      <c r="AV490" s="714"/>
      <c r="AW490" s="714"/>
      <c r="AX490" s="714"/>
      <c r="AY490" s="515"/>
      <c r="AZ490" s="714"/>
      <c r="BA490" s="714"/>
      <c r="BB490" s="714"/>
      <c r="BC490" s="568"/>
      <c r="BD490" s="714"/>
      <c r="BE490" s="714"/>
      <c r="BF490" s="714"/>
      <c r="BG490" s="568"/>
      <c r="BH490" s="718">
        <f t="shared" ref="BH490:BJ490" si="1">SUM(BH13:BH489)</f>
        <v>766838.13622950844</v>
      </c>
      <c r="BI490" s="718">
        <f t="shared" si="1"/>
        <v>582774.90147540974</v>
      </c>
      <c r="BJ490" s="718">
        <f t="shared" si="1"/>
        <v>184063.2347540984</v>
      </c>
      <c r="BK490" s="719">
        <f t="shared" ref="BK490:BL490" si="2">SUM(BK151:BK452)</f>
        <v>0</v>
      </c>
      <c r="BL490" s="720">
        <f t="shared" si="2"/>
        <v>0</v>
      </c>
      <c r="BM490" s="58">
        <f>SUM(BM13:BM482)</f>
        <v>158923.85</v>
      </c>
      <c r="BN490" s="721">
        <f t="shared" ref="BN490:BO490" si="3">SUM(BN13:BN489)</f>
        <v>412815.14</v>
      </c>
      <c r="BO490" s="722">
        <f t="shared" si="3"/>
        <v>222679.49999999994</v>
      </c>
      <c r="BP490" s="723"/>
      <c r="BQ490" s="724"/>
      <c r="BR490" s="725">
        <f t="shared" ref="BR490:BS490" si="4">SUM(BR151:BR452)</f>
        <v>0</v>
      </c>
      <c r="BS490" s="726">
        <f t="shared" si="4"/>
        <v>0</v>
      </c>
      <c r="BT490" s="727">
        <f>SUM(BT13:BT482)</f>
        <v>14370.937499999995</v>
      </c>
      <c r="BU490" s="721">
        <f t="shared" ref="BU490:BV490" si="5">SUM(BU13:BU489)</f>
        <v>49778.57700000007</v>
      </c>
      <c r="BV490" s="722">
        <f t="shared" si="5"/>
        <v>26793.314999999977</v>
      </c>
      <c r="BW490" s="12"/>
      <c r="BX490" s="2"/>
      <c r="BY490" s="3"/>
      <c r="BZ490" s="725">
        <f t="shared" ref="BZ490:CA490" si="6">SUM(BZ151:BZ452)</f>
        <v>0</v>
      </c>
      <c r="CA490" s="726">
        <f t="shared" si="6"/>
        <v>0</v>
      </c>
      <c r="CB490" s="727">
        <f>SUM(CB13:CB482)</f>
        <v>7467.6625000000058</v>
      </c>
      <c r="CC490" s="721">
        <f t="shared" ref="CC490:CD490" si="7">SUM(CC13:CC489)</f>
        <v>19555.077000000001</v>
      </c>
      <c r="CD490" s="722">
        <f t="shared" si="7"/>
        <v>10634.425000000012</v>
      </c>
      <c r="CE490" s="228"/>
      <c r="CF490" s="3"/>
      <c r="CG490" s="3"/>
      <c r="CH490" s="3"/>
      <c r="CI490" s="3"/>
      <c r="CJ490" s="3"/>
      <c r="CK490" s="3"/>
      <c r="CL490" s="3"/>
      <c r="CM490" s="3"/>
      <c r="CN490" s="3"/>
      <c r="CO490" s="3"/>
      <c r="CP490" s="3"/>
      <c r="CQ490" s="3"/>
      <c r="CR490" s="3"/>
      <c r="CS490" s="3"/>
      <c r="CT490" s="3"/>
      <c r="CU490" s="228"/>
      <c r="CV490" s="3"/>
      <c r="CW490" s="3"/>
      <c r="CX490" s="3"/>
      <c r="CY490" s="3"/>
      <c r="CZ490" s="3"/>
      <c r="DA490" s="3"/>
      <c r="DB490" s="164"/>
      <c r="DC490" s="2"/>
      <c r="DD490" s="2">
        <f t="shared" ref="DD443:DD495" si="8">BP490</f>
        <v>0</v>
      </c>
      <c r="DE490" s="728">
        <f t="shared" ref="DE490:DF490" si="9">SUM(DE13:DE489)</f>
        <v>37626.749999999993</v>
      </c>
      <c r="DF490" s="728">
        <f t="shared" si="9"/>
        <v>15818.950000000024</v>
      </c>
      <c r="DG490" s="729">
        <f t="shared" ref="DG443:DG500" si="10">BX490</f>
        <v>0</v>
      </c>
      <c r="DH490" s="730"/>
      <c r="DI490" s="729"/>
      <c r="DJ490" s="729"/>
      <c r="DK490" s="729"/>
      <c r="DL490" s="729"/>
      <c r="DM490" s="17"/>
      <c r="DN490" s="265"/>
      <c r="DO490" s="265"/>
      <c r="DP490" s="265"/>
      <c r="DQ490" s="265"/>
      <c r="DR490" s="265"/>
      <c r="DS490" s="265"/>
      <c r="DT490" s="265"/>
      <c r="DU490" s="265"/>
      <c r="DV490" s="265"/>
      <c r="DW490" s="265"/>
      <c r="DX490" s="265"/>
      <c r="DY490" s="265"/>
      <c r="DZ490" s="265"/>
    </row>
    <row r="491" spans="1:130" ht="36.75" hidden="1" customHeight="1">
      <c r="A491" s="228"/>
      <c r="B491" s="3"/>
      <c r="C491" s="3"/>
      <c r="D491" s="121">
        <f>SUM(D13:D489)</f>
        <v>175</v>
      </c>
      <c r="E491" s="121">
        <f t="shared" ref="E491:F491" si="11">SUM(E13:E482)</f>
        <v>183</v>
      </c>
      <c r="F491" s="121">
        <f t="shared" si="11"/>
        <v>0</v>
      </c>
      <c r="G491" s="3"/>
      <c r="H491" s="3"/>
      <c r="I491" s="3"/>
      <c r="J491" s="228"/>
      <c r="K491" s="731"/>
      <c r="L491" s="3"/>
      <c r="M491" s="2"/>
      <c r="N491" s="3"/>
      <c r="O491" s="3"/>
      <c r="P491" s="3"/>
      <c r="Q491" s="3"/>
      <c r="R491" s="265"/>
      <c r="S491" s="3"/>
      <c r="T491" s="3"/>
      <c r="U491" s="3"/>
      <c r="V491" s="3"/>
      <c r="W491" s="3"/>
      <c r="X491" s="3"/>
      <c r="Y491" s="3"/>
      <c r="Z491" s="3"/>
      <c r="AA491" s="3"/>
      <c r="AB491" s="3"/>
      <c r="AC491" s="3"/>
      <c r="AD491" s="3"/>
      <c r="AE491" s="2"/>
      <c r="AF491" s="515"/>
      <c r="AG491" s="3"/>
      <c r="AH491" s="3"/>
      <c r="AI491" s="3"/>
      <c r="AJ491" s="3"/>
      <c r="AK491" s="3"/>
      <c r="AL491" s="3"/>
      <c r="AM491" s="3"/>
      <c r="AN491" s="3"/>
      <c r="AO491" s="3"/>
      <c r="AP491" s="3"/>
      <c r="AQ491" s="568"/>
      <c r="AR491" s="732" t="e">
        <f t="shared" ref="AR491:AT491" si="12">AR492+#REF!+AR493</f>
        <v>#REF!</v>
      </c>
      <c r="AS491" s="733" t="e">
        <f t="shared" si="12"/>
        <v>#REF!</v>
      </c>
      <c r="AT491" s="734" t="e">
        <f t="shared" si="12"/>
        <v>#REF!</v>
      </c>
      <c r="AU491" s="568"/>
      <c r="AV491" s="735">
        <f t="shared" ref="AV491:AW491" si="13">AV492+AV493+AV494+AV496+AV497</f>
        <v>48</v>
      </c>
      <c r="AW491" s="735">
        <f t="shared" si="13"/>
        <v>44</v>
      </c>
      <c r="AX491" s="735">
        <f>AX492+AX493+AX494</f>
        <v>42</v>
      </c>
      <c r="AY491" s="568"/>
      <c r="AZ491" s="735">
        <f t="shared" ref="AZ491:BB491" si="14">AZ492+AZ493+AZ494</f>
        <v>176</v>
      </c>
      <c r="BA491" s="735">
        <f t="shared" si="14"/>
        <v>192</v>
      </c>
      <c r="BB491" s="735">
        <f t="shared" si="14"/>
        <v>221</v>
      </c>
      <c r="BC491" s="568"/>
      <c r="BD491" s="735">
        <f t="shared" ref="BD491:BF491" si="15">BD492+BD493+BD494</f>
        <v>96</v>
      </c>
      <c r="BE491" s="735">
        <f t="shared" si="15"/>
        <v>94</v>
      </c>
      <c r="BF491" s="735">
        <f t="shared" si="15"/>
        <v>89</v>
      </c>
      <c r="BG491" s="568"/>
      <c r="BH491" s="3"/>
      <c r="BI491" s="3"/>
      <c r="BJ491" s="3"/>
      <c r="BK491" s="3"/>
      <c r="BL491" s="3"/>
      <c r="BM491" s="3"/>
      <c r="BN491" s="3"/>
      <c r="BO491" s="3"/>
      <c r="BP491" s="3"/>
      <c r="BQ491" s="3"/>
      <c r="BR491" s="3"/>
      <c r="BS491" s="3"/>
      <c r="BT491" s="3"/>
      <c r="BU491" s="3"/>
      <c r="BV491" s="3"/>
      <c r="BW491" s="12"/>
      <c r="BX491" s="2"/>
      <c r="BY491" s="3"/>
      <c r="BZ491" s="3"/>
      <c r="CA491" s="3"/>
      <c r="CB491" s="3"/>
      <c r="CC491" s="3"/>
      <c r="CD491" s="3"/>
      <c r="CE491" s="228"/>
      <c r="CF491" s="3"/>
      <c r="CG491" s="3"/>
      <c r="CH491" s="3"/>
      <c r="CI491" s="3"/>
      <c r="CJ491" s="3"/>
      <c r="CK491" s="3"/>
      <c r="CL491" s="3"/>
      <c r="CM491" s="3"/>
      <c r="CN491" s="3"/>
      <c r="CO491" s="3"/>
      <c r="CP491" s="3"/>
      <c r="CQ491" s="3"/>
      <c r="CR491" s="3"/>
      <c r="CS491" s="3"/>
      <c r="CT491" s="3"/>
      <c r="CU491" s="228"/>
      <c r="CV491" s="3"/>
      <c r="CW491" s="3"/>
      <c r="CX491" s="3"/>
      <c r="CY491" s="3"/>
      <c r="CZ491" s="3"/>
      <c r="DA491" s="3"/>
      <c r="DB491" s="164"/>
      <c r="DC491" s="2"/>
      <c r="DD491" s="2">
        <f t="shared" si="8"/>
        <v>0</v>
      </c>
      <c r="DE491" s="2"/>
      <c r="DF491" s="2"/>
      <c r="DG491" s="729">
        <f t="shared" si="10"/>
        <v>0</v>
      </c>
      <c r="DH491" s="730"/>
      <c r="DI491" s="729"/>
      <c r="DJ491" s="729"/>
      <c r="DK491" s="729"/>
      <c r="DL491" s="729"/>
      <c r="DM491" s="17"/>
      <c r="DN491" s="265"/>
      <c r="DO491" s="265"/>
      <c r="DP491" s="265"/>
      <c r="DQ491" s="265"/>
      <c r="DR491" s="265"/>
      <c r="DS491" s="265"/>
      <c r="DT491" s="265"/>
      <c r="DU491" s="265"/>
      <c r="DV491" s="265"/>
      <c r="DW491" s="265"/>
      <c r="DX491" s="265"/>
      <c r="DY491" s="265"/>
      <c r="DZ491" s="265"/>
    </row>
    <row r="492" spans="1:130" ht="36.75" hidden="1" customHeight="1">
      <c r="A492" s="228"/>
      <c r="B492" s="3"/>
      <c r="C492" s="3"/>
      <c r="D492" s="3"/>
      <c r="E492" s="3"/>
      <c r="F492" s="3"/>
      <c r="G492" s="3"/>
      <c r="H492" s="3"/>
      <c r="I492" s="3"/>
      <c r="J492" s="228"/>
      <c r="K492" s="731"/>
      <c r="L492" s="3"/>
      <c r="M492" s="2"/>
      <c r="N492" s="3"/>
      <c r="O492" s="3"/>
      <c r="P492" s="3"/>
      <c r="Q492" s="3"/>
      <c r="R492" s="265"/>
      <c r="S492" s="3"/>
      <c r="T492" s="3"/>
      <c r="U492" s="3"/>
      <c r="V492" s="3"/>
      <c r="W492" s="3"/>
      <c r="X492" s="3"/>
      <c r="Y492" s="3"/>
      <c r="Z492" s="3"/>
      <c r="AA492" s="3"/>
      <c r="AB492" s="3"/>
      <c r="AC492" s="3"/>
      <c r="AD492" s="3" t="s">
        <v>2596</v>
      </c>
      <c r="AE492" s="2"/>
      <c r="AF492" s="3"/>
      <c r="AG492" s="3"/>
      <c r="AH492" s="3"/>
      <c r="AI492" s="3"/>
      <c r="AK492" s="3"/>
      <c r="AL492" s="3"/>
      <c r="AM492" s="3"/>
      <c r="AN492" s="228"/>
      <c r="AO492" s="228"/>
      <c r="AP492" s="736"/>
      <c r="AQ492" s="737" t="s">
        <v>115</v>
      </c>
      <c r="AR492" s="738">
        <f t="shared" ref="AR492:AT492" si="16">COUNTIF(AR151:AR452,"F")</f>
        <v>4</v>
      </c>
      <c r="AS492" s="738">
        <f t="shared" si="16"/>
        <v>5</v>
      </c>
      <c r="AT492" s="738">
        <f t="shared" si="16"/>
        <v>4</v>
      </c>
      <c r="AU492" s="739" t="s">
        <v>115</v>
      </c>
      <c r="AV492" s="740">
        <f t="shared" ref="AV492:AX492" si="17">COUNTIF(AV13:AV482,"F")</f>
        <v>39</v>
      </c>
      <c r="AW492" s="740">
        <f t="shared" si="17"/>
        <v>36</v>
      </c>
      <c r="AX492" s="740">
        <f t="shared" si="17"/>
        <v>37</v>
      </c>
      <c r="AY492" s="741" t="s">
        <v>115</v>
      </c>
      <c r="AZ492" s="740">
        <f t="shared" ref="AZ492:BB492" si="18">COUNTIF(AZ13:AZ489,"F")</f>
        <v>115</v>
      </c>
      <c r="BA492" s="740">
        <f t="shared" si="18"/>
        <v>130</v>
      </c>
      <c r="BB492" s="740">
        <f t="shared" si="18"/>
        <v>164</v>
      </c>
      <c r="BC492" s="3"/>
      <c r="BD492" s="740">
        <f t="shared" ref="BD492:BF492" si="19">COUNTIF(BD13:BD489,"F")</f>
        <v>58</v>
      </c>
      <c r="BE492" s="740">
        <f t="shared" si="19"/>
        <v>48</v>
      </c>
      <c r="BF492" s="740">
        <f t="shared" si="19"/>
        <v>42</v>
      </c>
      <c r="BG492" s="3"/>
      <c r="BH492" s="3"/>
      <c r="BI492" s="3"/>
      <c r="BJ492" s="3"/>
      <c r="BK492" s="3"/>
      <c r="BL492" s="3"/>
      <c r="BM492" s="6"/>
      <c r="BN492" s="7"/>
      <c r="BO492" s="7"/>
      <c r="BP492" s="3"/>
      <c r="BQ492" s="3"/>
      <c r="BR492" s="3"/>
      <c r="BS492" s="3"/>
      <c r="BT492" s="3"/>
      <c r="BU492" s="3"/>
      <c r="BV492" s="3"/>
      <c r="BW492" s="12"/>
      <c r="BX492" s="2"/>
      <c r="BY492" s="3"/>
      <c r="BZ492" s="3"/>
      <c r="CA492" s="3"/>
      <c r="CB492" s="3"/>
      <c r="CC492" s="3"/>
      <c r="CD492" s="3"/>
      <c r="CE492" s="228"/>
      <c r="CF492" s="3"/>
      <c r="CG492" s="3"/>
      <c r="CH492" s="3"/>
      <c r="CI492" s="3"/>
      <c r="CJ492" s="3"/>
      <c r="CK492" s="3"/>
      <c r="CL492" s="3"/>
      <c r="CM492" s="3"/>
      <c r="CN492" s="3"/>
      <c r="CO492" s="3"/>
      <c r="CP492" s="3"/>
      <c r="CQ492" s="3"/>
      <c r="CR492" s="3"/>
      <c r="CS492" s="3"/>
      <c r="CT492" s="3"/>
      <c r="CU492" s="228"/>
      <c r="CV492" s="3"/>
      <c r="CW492" s="3"/>
      <c r="CX492" s="3"/>
      <c r="CY492" s="3"/>
      <c r="CZ492" s="3"/>
      <c r="DA492" s="3"/>
      <c r="DB492" s="164"/>
      <c r="DC492" s="2"/>
      <c r="DD492" s="2">
        <f t="shared" si="8"/>
        <v>0</v>
      </c>
      <c r="DE492" s="2"/>
      <c r="DF492" s="2"/>
      <c r="DG492" s="729">
        <f t="shared" si="10"/>
        <v>0</v>
      </c>
      <c r="DH492" s="730"/>
      <c r="DI492" s="729"/>
      <c r="DJ492" s="729"/>
      <c r="DK492" s="729"/>
      <c r="DL492" s="729"/>
      <c r="DM492" s="17"/>
      <c r="DN492" s="265"/>
      <c r="DO492" s="265"/>
      <c r="DP492" s="265"/>
      <c r="DQ492" s="265"/>
      <c r="DR492" s="265"/>
      <c r="DS492" s="265"/>
      <c r="DT492" s="265"/>
      <c r="DU492" s="265"/>
      <c r="DV492" s="265"/>
      <c r="DW492" s="265"/>
      <c r="DX492" s="265"/>
      <c r="DY492" s="265"/>
      <c r="DZ492" s="265"/>
    </row>
    <row r="493" spans="1:130" ht="36.75" hidden="1" customHeight="1">
      <c r="A493" s="228"/>
      <c r="B493" s="3"/>
      <c r="C493" s="3"/>
      <c r="D493" s="3"/>
      <c r="E493" s="3"/>
      <c r="F493" s="3"/>
      <c r="G493" s="3"/>
      <c r="H493" s="3"/>
      <c r="I493" s="3"/>
      <c r="J493" s="228"/>
      <c r="K493" s="731"/>
      <c r="L493" s="3"/>
      <c r="M493" s="2"/>
      <c r="N493" s="3"/>
      <c r="O493" s="3"/>
      <c r="P493" s="3"/>
      <c r="Q493" s="3"/>
      <c r="R493" s="265"/>
      <c r="S493" s="3"/>
      <c r="T493" s="3"/>
      <c r="U493" s="3"/>
      <c r="V493" s="3"/>
      <c r="W493" s="3"/>
      <c r="X493" s="3"/>
      <c r="Y493" s="3"/>
      <c r="Z493" s="3"/>
      <c r="AA493" s="3"/>
      <c r="AB493" s="3"/>
      <c r="AC493" s="3"/>
      <c r="AD493" s="3" t="s">
        <v>2597</v>
      </c>
      <c r="AE493" s="2"/>
      <c r="AF493" s="3"/>
      <c r="AG493" s="3"/>
      <c r="AH493" s="3"/>
      <c r="AI493" s="3"/>
      <c r="AK493" s="3"/>
      <c r="AL493" s="3"/>
      <c r="AM493" s="3"/>
      <c r="AN493" s="228"/>
      <c r="AO493" s="228"/>
      <c r="AP493" s="736"/>
      <c r="AQ493" s="737" t="s">
        <v>116</v>
      </c>
      <c r="AR493" s="740">
        <f t="shared" ref="AR493:AT493" si="20">COUNTIF(AR151:AR452,"R")</f>
        <v>2</v>
      </c>
      <c r="AS493" s="740">
        <f t="shared" si="20"/>
        <v>2</v>
      </c>
      <c r="AT493" s="740">
        <f t="shared" si="20"/>
        <v>0</v>
      </c>
      <c r="AU493" s="742" t="s">
        <v>116</v>
      </c>
      <c r="AV493" s="740">
        <f t="shared" ref="AV493:AX493" si="21">COUNTIF(AV13:AV482,"R")</f>
        <v>9</v>
      </c>
      <c r="AW493" s="740">
        <f t="shared" si="21"/>
        <v>7</v>
      </c>
      <c r="AX493" s="740">
        <f t="shared" si="21"/>
        <v>5</v>
      </c>
      <c r="AY493" s="737" t="s">
        <v>116</v>
      </c>
      <c r="AZ493" s="740">
        <f t="shared" ref="AZ493:BB493" si="22">COUNTIF(AZ13:AZ489,"R")</f>
        <v>48</v>
      </c>
      <c r="BA493" s="740">
        <f t="shared" si="22"/>
        <v>48</v>
      </c>
      <c r="BB493" s="740">
        <f t="shared" si="22"/>
        <v>57</v>
      </c>
      <c r="BC493" s="3"/>
      <c r="BD493" s="740">
        <f t="shared" ref="BD493:BF493" si="23">COUNTIF(BD13:BD489,"R")</f>
        <v>11</v>
      </c>
      <c r="BE493" s="740">
        <f t="shared" si="23"/>
        <v>8</v>
      </c>
      <c r="BF493" s="740">
        <f t="shared" si="23"/>
        <v>9</v>
      </c>
      <c r="BG493" s="3"/>
      <c r="BH493" s="3"/>
      <c r="BI493" s="3"/>
      <c r="BJ493" s="3"/>
      <c r="BK493" s="3"/>
      <c r="BL493" s="3"/>
      <c r="BM493" s="3"/>
      <c r="BN493" s="3"/>
      <c r="BO493" s="3"/>
      <c r="BP493" s="3"/>
      <c r="BQ493" s="3"/>
      <c r="BR493" s="3"/>
      <c r="BS493" s="3"/>
      <c r="BT493" s="3"/>
      <c r="BU493" s="3"/>
      <c r="BV493" s="3"/>
      <c r="BW493" s="12"/>
      <c r="BX493" s="2"/>
      <c r="BY493" s="3"/>
      <c r="BZ493" s="3"/>
      <c r="CA493" s="3"/>
      <c r="CB493" s="3"/>
      <c r="CC493" s="3"/>
      <c r="CD493" s="3"/>
      <c r="CE493" s="228"/>
      <c r="CF493" s="3"/>
      <c r="CG493" s="3"/>
      <c r="CH493" s="3"/>
      <c r="CI493" s="3"/>
      <c r="CJ493" s="3"/>
      <c r="CK493" s="3"/>
      <c r="CL493" s="3"/>
      <c r="CM493" s="3"/>
      <c r="CN493" s="3"/>
      <c r="CO493" s="3"/>
      <c r="CP493" s="3"/>
      <c r="CQ493" s="3"/>
      <c r="CR493" s="3"/>
      <c r="CS493" s="3"/>
      <c r="CT493" s="3"/>
      <c r="CU493" s="228"/>
      <c r="CV493" s="3"/>
      <c r="CW493" s="3"/>
      <c r="CX493" s="3"/>
      <c r="CY493" s="3"/>
      <c r="CZ493" s="3"/>
      <c r="DA493" s="3"/>
      <c r="DB493" s="164"/>
      <c r="DC493" s="2"/>
      <c r="DD493" s="2">
        <f t="shared" si="8"/>
        <v>0</v>
      </c>
      <c r="DE493" s="2"/>
      <c r="DF493" s="2"/>
      <c r="DG493" s="729">
        <f t="shared" si="10"/>
        <v>0</v>
      </c>
      <c r="DH493" s="730"/>
      <c r="DI493" s="729"/>
      <c r="DJ493" s="729"/>
      <c r="DK493" s="729"/>
      <c r="DL493" s="729"/>
      <c r="DM493" s="17"/>
      <c r="DN493" s="265"/>
      <c r="DO493" s="265"/>
      <c r="DP493" s="265"/>
      <c r="DQ493" s="265"/>
      <c r="DR493" s="265"/>
      <c r="DS493" s="265"/>
      <c r="DT493" s="265"/>
      <c r="DU493" s="265"/>
      <c r="DV493" s="265"/>
      <c r="DW493" s="265"/>
      <c r="DX493" s="265"/>
      <c r="DY493" s="265"/>
      <c r="DZ493" s="265"/>
    </row>
    <row r="494" spans="1:130" ht="36.75" hidden="1" customHeight="1">
      <c r="A494" s="228"/>
      <c r="B494" s="3"/>
      <c r="C494" s="3"/>
      <c r="D494" s="3"/>
      <c r="E494" s="3"/>
      <c r="F494" s="3"/>
      <c r="G494" s="3"/>
      <c r="H494" s="3"/>
      <c r="I494" s="3"/>
      <c r="J494" s="228"/>
      <c r="K494" s="731"/>
      <c r="L494" s="3"/>
      <c r="M494" s="2"/>
      <c r="N494" s="3"/>
      <c r="O494" s="3"/>
      <c r="P494" s="3"/>
      <c r="Q494" s="3"/>
      <c r="R494" s="265"/>
      <c r="S494" s="3"/>
      <c r="T494" s="3"/>
      <c r="U494" s="3"/>
      <c r="V494" s="3"/>
      <c r="W494" s="3"/>
      <c r="X494" s="3"/>
      <c r="Y494" s="3"/>
      <c r="Z494" s="3"/>
      <c r="AA494" s="3"/>
      <c r="AB494" s="3"/>
      <c r="AC494" s="3"/>
      <c r="AD494" s="3" t="s">
        <v>2598</v>
      </c>
      <c r="AE494" s="2"/>
      <c r="AF494" s="3"/>
      <c r="AG494" s="3"/>
      <c r="AH494" s="3"/>
      <c r="AI494" s="3"/>
      <c r="AK494" s="3"/>
      <c r="AL494" s="3"/>
      <c r="AM494" s="3"/>
      <c r="AN494" s="228"/>
      <c r="AO494" s="228"/>
      <c r="AP494" s="736"/>
      <c r="AQ494" s="737" t="s">
        <v>245</v>
      </c>
      <c r="AR494" s="740">
        <f t="shared" ref="AR494:AT494" si="24">COUNTIF(AR151:AR452,"P")</f>
        <v>0</v>
      </c>
      <c r="AS494" s="740">
        <f t="shared" si="24"/>
        <v>0</v>
      </c>
      <c r="AT494" s="740">
        <f t="shared" si="24"/>
        <v>0</v>
      </c>
      <c r="AU494" s="742" t="s">
        <v>245</v>
      </c>
      <c r="AV494" s="740">
        <f t="shared" ref="AV494:AX494" si="25">COUNTIF(AV13:AV482,"P")</f>
        <v>0</v>
      </c>
      <c r="AW494" s="740">
        <f t="shared" si="25"/>
        <v>1</v>
      </c>
      <c r="AX494" s="740">
        <f t="shared" si="25"/>
        <v>0</v>
      </c>
      <c r="AY494" s="737" t="s">
        <v>245</v>
      </c>
      <c r="AZ494" s="740">
        <f t="shared" ref="AZ494:BB494" si="26">COUNTIF(AZ13:AZ489,"P")</f>
        <v>13</v>
      </c>
      <c r="BA494" s="740">
        <f t="shared" si="26"/>
        <v>14</v>
      </c>
      <c r="BB494" s="740">
        <f t="shared" si="26"/>
        <v>0</v>
      </c>
      <c r="BC494" s="3"/>
      <c r="BD494" s="740">
        <f t="shared" ref="BD494:BF494" si="27">COUNTIF(BD13:BD489,"P")</f>
        <v>27</v>
      </c>
      <c r="BE494" s="740">
        <f t="shared" si="27"/>
        <v>38</v>
      </c>
      <c r="BF494" s="740">
        <f t="shared" si="27"/>
        <v>38</v>
      </c>
      <c r="BG494" s="3"/>
      <c r="BH494" s="3"/>
      <c r="BI494" s="3"/>
      <c r="BJ494" s="3"/>
      <c r="BK494" s="3"/>
      <c r="BL494" s="3"/>
      <c r="BM494" s="3"/>
      <c r="BN494" s="3"/>
      <c r="BO494" s="3"/>
      <c r="BP494" s="3"/>
      <c r="BQ494" s="3"/>
      <c r="BR494" s="3"/>
      <c r="BS494" s="3"/>
      <c r="BT494" s="3"/>
      <c r="BU494" s="3"/>
      <c r="BV494" s="3"/>
      <c r="BW494" s="12"/>
      <c r="BX494" s="2"/>
      <c r="BY494" s="3"/>
      <c r="BZ494" s="3"/>
      <c r="CA494" s="3"/>
      <c r="CB494" s="3"/>
      <c r="CC494" s="3"/>
      <c r="CD494" s="3"/>
      <c r="CE494" s="228"/>
      <c r="CF494" s="3"/>
      <c r="CG494" s="3"/>
      <c r="CH494" s="3"/>
      <c r="CI494" s="3"/>
      <c r="CJ494" s="3"/>
      <c r="CK494" s="3"/>
      <c r="CL494" s="3"/>
      <c r="CM494" s="3"/>
      <c r="CN494" s="3"/>
      <c r="CO494" s="3"/>
      <c r="CP494" s="3"/>
      <c r="CQ494" s="3"/>
      <c r="CR494" s="3"/>
      <c r="CS494" s="3"/>
      <c r="CT494" s="3"/>
      <c r="CU494" s="228"/>
      <c r="CV494" s="3"/>
      <c r="CW494" s="3"/>
      <c r="CX494" s="3"/>
      <c r="CY494" s="3"/>
      <c r="CZ494" s="3"/>
      <c r="DA494" s="3"/>
      <c r="DB494" s="164"/>
      <c r="DC494" s="2"/>
      <c r="DD494" s="2">
        <f t="shared" si="8"/>
        <v>0</v>
      </c>
      <c r="DE494" s="2"/>
      <c r="DF494" s="2"/>
      <c r="DG494" s="729">
        <f t="shared" si="10"/>
        <v>0</v>
      </c>
      <c r="DH494" s="730"/>
      <c r="DI494" s="729"/>
      <c r="DJ494" s="729"/>
      <c r="DK494" s="729"/>
      <c r="DL494" s="729"/>
      <c r="DM494" s="17"/>
      <c r="DN494" s="265"/>
      <c r="DO494" s="265"/>
      <c r="DP494" s="265"/>
      <c r="DQ494" s="265"/>
      <c r="DR494" s="265"/>
      <c r="DS494" s="265"/>
      <c r="DT494" s="265"/>
      <c r="DU494" s="265"/>
      <c r="DV494" s="265"/>
      <c r="DW494" s="265"/>
      <c r="DX494" s="265"/>
      <c r="DY494" s="265"/>
      <c r="DZ494" s="265"/>
    </row>
    <row r="495" spans="1:130" ht="36.75" hidden="1" customHeight="1">
      <c r="A495" s="228"/>
      <c r="B495" s="3"/>
      <c r="C495" s="3"/>
      <c r="D495" s="3"/>
      <c r="E495" s="3"/>
      <c r="F495" s="3"/>
      <c r="G495" s="3"/>
      <c r="H495" s="3"/>
      <c r="I495" s="3"/>
      <c r="J495" s="228"/>
      <c r="K495" s="731"/>
      <c r="L495" s="3"/>
      <c r="M495" s="2"/>
      <c r="N495" s="3"/>
      <c r="O495" s="3"/>
      <c r="P495" s="3"/>
      <c r="Q495" s="3"/>
      <c r="R495" s="265"/>
      <c r="S495" s="3"/>
      <c r="T495" s="3"/>
      <c r="U495" s="3"/>
      <c r="V495" s="3"/>
      <c r="W495" s="3"/>
      <c r="X495" s="3"/>
      <c r="Y495" s="3"/>
      <c r="Z495" s="3"/>
      <c r="AA495" s="3"/>
      <c r="AB495" s="3"/>
      <c r="AC495" s="3"/>
      <c r="AD495" s="3" t="s">
        <v>2599</v>
      </c>
      <c r="AE495" s="2"/>
      <c r="AF495" s="3"/>
      <c r="AG495" s="3"/>
      <c r="AH495" s="3"/>
      <c r="AI495" s="3"/>
      <c r="AK495" s="3"/>
      <c r="AL495" s="3"/>
      <c r="AM495" s="3"/>
      <c r="AN495" s="228"/>
      <c r="AO495" s="228"/>
      <c r="AP495" s="736"/>
      <c r="AQ495" s="737" t="s">
        <v>151</v>
      </c>
      <c r="AR495" s="740">
        <f t="shared" ref="AR495:AT495" si="28">COUNTIF(AR151:AR452,"C")</f>
        <v>0</v>
      </c>
      <c r="AS495" s="740">
        <f t="shared" si="28"/>
        <v>0</v>
      </c>
      <c r="AT495" s="740">
        <f t="shared" si="28"/>
        <v>0</v>
      </c>
      <c r="AU495" s="742" t="s">
        <v>151</v>
      </c>
      <c r="AV495" s="740">
        <f t="shared" ref="AV495:AX495" si="29">COUNTIF(AV13:AV482,"C")</f>
        <v>4</v>
      </c>
      <c r="AW495" s="740">
        <f t="shared" si="29"/>
        <v>4</v>
      </c>
      <c r="AX495" s="740">
        <f t="shared" si="29"/>
        <v>4</v>
      </c>
      <c r="AY495" s="737" t="s">
        <v>151</v>
      </c>
      <c r="AZ495" s="740">
        <f t="shared" ref="AZ495:BB495" si="30">COUNTIF(AZ13:AZ489,"C")</f>
        <v>0</v>
      </c>
      <c r="BA495" s="740">
        <f t="shared" si="30"/>
        <v>0</v>
      </c>
      <c r="BB495" s="740">
        <f t="shared" si="30"/>
        <v>0</v>
      </c>
      <c r="BC495" s="3"/>
      <c r="BD495" s="740">
        <f t="shared" ref="BD495:BF495" si="31">COUNTIF(BD13:BD489,"C")</f>
        <v>42</v>
      </c>
      <c r="BE495" s="740">
        <f t="shared" si="31"/>
        <v>42</v>
      </c>
      <c r="BF495" s="740">
        <f t="shared" si="31"/>
        <v>42</v>
      </c>
      <c r="BG495" s="3"/>
      <c r="BH495" s="3"/>
      <c r="BI495" s="3"/>
      <c r="BJ495" s="3"/>
      <c r="BK495" s="3"/>
      <c r="BL495" s="3"/>
      <c r="BM495" s="3"/>
      <c r="BN495" s="3"/>
      <c r="BO495" s="3"/>
      <c r="BP495" s="3"/>
      <c r="BQ495" s="3"/>
      <c r="BR495" s="3"/>
      <c r="BS495" s="3"/>
      <c r="BT495" s="3"/>
      <c r="BU495" s="3"/>
      <c r="BV495" s="3"/>
      <c r="BW495" s="12"/>
      <c r="BX495" s="2"/>
      <c r="BY495" s="3"/>
      <c r="BZ495" s="3"/>
      <c r="CA495" s="3"/>
      <c r="CB495" s="3"/>
      <c r="CC495" s="3"/>
      <c r="CD495" s="3"/>
      <c r="CE495" s="228"/>
      <c r="CF495" s="3"/>
      <c r="CG495" s="3"/>
      <c r="CH495" s="3"/>
      <c r="CI495" s="3"/>
      <c r="CJ495" s="3"/>
      <c r="CK495" s="3"/>
      <c r="CL495" s="3"/>
      <c r="CM495" s="3"/>
      <c r="CN495" s="3"/>
      <c r="CO495" s="3"/>
      <c r="CP495" s="3"/>
      <c r="CQ495" s="3"/>
      <c r="CR495" s="3"/>
      <c r="CS495" s="3"/>
      <c r="CT495" s="3"/>
      <c r="CU495" s="228"/>
      <c r="CV495" s="3"/>
      <c r="CW495" s="3"/>
      <c r="CX495" s="3"/>
      <c r="CY495" s="3"/>
      <c r="CZ495" s="3"/>
      <c r="DA495" s="3"/>
      <c r="DB495" s="164"/>
      <c r="DC495" s="2"/>
      <c r="DD495" s="2">
        <f t="shared" si="8"/>
        <v>0</v>
      </c>
      <c r="DE495" s="2"/>
      <c r="DF495" s="2"/>
      <c r="DG495" s="729">
        <f t="shared" si="10"/>
        <v>0</v>
      </c>
      <c r="DH495" s="730"/>
      <c r="DI495" s="729"/>
      <c r="DJ495" s="729"/>
      <c r="DK495" s="729"/>
      <c r="DL495" s="729"/>
      <c r="DM495" s="17"/>
      <c r="DN495" s="265"/>
      <c r="DO495" s="265"/>
      <c r="DP495" s="265"/>
      <c r="DQ495" s="265"/>
      <c r="DR495" s="265"/>
      <c r="DS495" s="265"/>
      <c r="DT495" s="265"/>
      <c r="DU495" s="265"/>
      <c r="DV495" s="265"/>
      <c r="DW495" s="265"/>
      <c r="DX495" s="265"/>
      <c r="DY495" s="265"/>
      <c r="DZ495" s="265"/>
    </row>
    <row r="496" spans="1:130" ht="36.75" hidden="1" customHeight="1">
      <c r="A496" s="228"/>
      <c r="B496" s="3"/>
      <c r="C496" s="3"/>
      <c r="D496" s="3"/>
      <c r="E496" s="3"/>
      <c r="F496" s="3"/>
      <c r="G496" s="3"/>
      <c r="H496" s="3"/>
      <c r="I496" s="3"/>
      <c r="J496" s="228"/>
      <c r="K496" s="731"/>
      <c r="L496" s="3"/>
      <c r="M496" s="2"/>
      <c r="N496" s="3"/>
      <c r="O496" s="3"/>
      <c r="P496" s="3"/>
      <c r="Q496" s="3"/>
      <c r="R496" s="265"/>
      <c r="S496" s="3"/>
      <c r="T496" s="3"/>
      <c r="U496" s="3"/>
      <c r="V496" s="3"/>
      <c r="W496" s="3"/>
      <c r="X496" s="3"/>
      <c r="Y496" s="3"/>
      <c r="Z496" s="3"/>
      <c r="AA496" s="3"/>
      <c r="AB496" s="3"/>
      <c r="AC496" s="3"/>
      <c r="AD496" s="3" t="s">
        <v>2600</v>
      </c>
      <c r="AE496" s="2"/>
      <c r="AF496" s="3"/>
      <c r="AG496" s="3"/>
      <c r="AH496" s="3"/>
      <c r="AI496" s="3"/>
      <c r="AK496" s="3"/>
      <c r="AL496" s="3"/>
      <c r="AM496" s="3"/>
      <c r="AN496" s="228"/>
      <c r="AO496" s="228"/>
      <c r="AP496" s="729"/>
      <c r="AQ496" s="743" t="s">
        <v>2404</v>
      </c>
      <c r="AR496" s="740">
        <f t="shared" ref="AR496:AS496" si="32">COUNTIF(AR151:AR452,"CL")</f>
        <v>0</v>
      </c>
      <c r="AS496" s="740">
        <f t="shared" si="32"/>
        <v>0</v>
      </c>
      <c r="AT496" s="740">
        <f>COUNTIF(AT151:AT450,"CL")</f>
        <v>0</v>
      </c>
      <c r="AU496" s="744" t="s">
        <v>1266</v>
      </c>
      <c r="AV496" s="740">
        <f t="shared" ref="AV496:AW496" si="33">COUNTIF(AV14:AV482,"F?")</f>
        <v>0</v>
      </c>
      <c r="AW496" s="740">
        <f t="shared" si="33"/>
        <v>0</v>
      </c>
      <c r="AX496" s="740">
        <f>COUNTIF(AX13:AX482,"F?")</f>
        <v>4</v>
      </c>
      <c r="AY496" s="743" t="s">
        <v>1266</v>
      </c>
      <c r="AZ496" s="740">
        <f t="shared" ref="AZ496:BB496" si="34">COUNTIF(AZ13:AZ489,"CF")</f>
        <v>1</v>
      </c>
      <c r="BA496" s="740">
        <f t="shared" si="34"/>
        <v>0</v>
      </c>
      <c r="BB496" s="740">
        <f t="shared" si="34"/>
        <v>0</v>
      </c>
      <c r="BC496" s="3"/>
      <c r="BD496" s="740">
        <f t="shared" ref="BD496:BF496" si="35">COUNTIF(BD13:BD489,"CF")</f>
        <v>8</v>
      </c>
      <c r="BE496" s="740">
        <f t="shared" si="35"/>
        <v>6</v>
      </c>
      <c r="BF496" s="740">
        <f t="shared" si="35"/>
        <v>7</v>
      </c>
      <c r="BG496" s="3"/>
      <c r="BH496" s="3"/>
      <c r="BI496" s="3"/>
      <c r="BJ496" s="3"/>
      <c r="BK496" s="3"/>
      <c r="BL496" s="3"/>
      <c r="BM496" s="3"/>
      <c r="BN496" s="3"/>
      <c r="BO496" s="3"/>
      <c r="BP496" s="3"/>
      <c r="BQ496" s="3"/>
      <c r="BR496" s="3"/>
      <c r="BS496" s="3"/>
      <c r="BT496" s="3"/>
      <c r="BU496" s="3"/>
      <c r="BV496" s="3"/>
      <c r="BW496" s="12"/>
      <c r="BX496" s="2"/>
      <c r="BY496" s="3"/>
      <c r="BZ496" s="3"/>
      <c r="CA496" s="3"/>
      <c r="CB496" s="3"/>
      <c r="CC496" s="3"/>
      <c r="CD496" s="3"/>
      <c r="CE496" s="228"/>
      <c r="CF496" s="3"/>
      <c r="CG496" s="3"/>
      <c r="CH496" s="3"/>
      <c r="CI496" s="3"/>
      <c r="CJ496" s="3"/>
      <c r="CK496" s="3"/>
      <c r="CL496" s="3"/>
      <c r="CM496" s="3"/>
      <c r="CN496" s="3"/>
      <c r="CO496" s="3"/>
      <c r="CP496" s="3"/>
      <c r="CQ496" s="3"/>
      <c r="CR496" s="3"/>
      <c r="CS496" s="3"/>
      <c r="CT496" s="3"/>
      <c r="CU496" s="228"/>
      <c r="CV496" s="3"/>
      <c r="CW496" s="3"/>
      <c r="CX496" s="3"/>
      <c r="CY496" s="3"/>
      <c r="CZ496" s="3"/>
      <c r="DA496" s="3"/>
      <c r="DB496" s="164"/>
      <c r="DC496" s="2"/>
      <c r="DD496" s="2"/>
      <c r="DE496" s="2"/>
      <c r="DF496" s="2"/>
      <c r="DG496" s="729">
        <f t="shared" si="10"/>
        <v>0</v>
      </c>
      <c r="DH496" s="730"/>
      <c r="DI496" s="729"/>
      <c r="DJ496" s="729"/>
      <c r="DK496" s="729"/>
      <c r="DL496" s="729"/>
      <c r="DM496" s="17"/>
      <c r="DN496" s="265"/>
      <c r="DO496" s="265"/>
      <c r="DP496" s="265"/>
      <c r="DQ496" s="265"/>
      <c r="DR496" s="265"/>
      <c r="DS496" s="265"/>
      <c r="DT496" s="265"/>
      <c r="DU496" s="265"/>
      <c r="DV496" s="265"/>
      <c r="DW496" s="265"/>
      <c r="DX496" s="265"/>
      <c r="DY496" s="265"/>
      <c r="DZ496" s="265"/>
    </row>
    <row r="497" spans="1:130" ht="36.75" hidden="1" customHeight="1">
      <c r="A497" s="228"/>
      <c r="B497" s="3"/>
      <c r="C497" s="3"/>
      <c r="D497" s="3"/>
      <c r="E497" s="3"/>
      <c r="F497" s="3"/>
      <c r="G497" s="3"/>
      <c r="H497" s="3"/>
      <c r="I497" s="3"/>
      <c r="J497" s="228"/>
      <c r="K497" s="731"/>
      <c r="L497" s="3"/>
      <c r="M497" s="2"/>
      <c r="N497" s="3"/>
      <c r="O497" s="3"/>
      <c r="P497" s="3"/>
      <c r="Q497" s="3"/>
      <c r="R497" s="265"/>
      <c r="S497" s="3"/>
      <c r="T497" s="3"/>
      <c r="U497" s="3"/>
      <c r="V497" s="3"/>
      <c r="W497" s="3"/>
      <c r="X497" s="3"/>
      <c r="Y497" s="3"/>
      <c r="Z497" s="3"/>
      <c r="AA497" s="3"/>
      <c r="AB497" s="3"/>
      <c r="AC497" s="3"/>
      <c r="AD497" s="3" t="s">
        <v>2601</v>
      </c>
      <c r="AE497" s="2"/>
      <c r="AF497" s="3"/>
      <c r="AG497" s="3"/>
      <c r="AH497" s="3"/>
      <c r="AI497" s="3"/>
      <c r="AK497" s="3"/>
      <c r="AL497" s="3"/>
      <c r="AM497" s="3"/>
      <c r="AN497" s="228"/>
      <c r="AO497" s="228"/>
      <c r="AP497" s="729"/>
      <c r="AQ497" s="743" t="s">
        <v>2369</v>
      </c>
      <c r="AR497" s="740">
        <f t="shared" ref="AR497:AT497" si="36">COUNTIF(AR151:AR452,"CR")</f>
        <v>0</v>
      </c>
      <c r="AS497" s="740">
        <f t="shared" si="36"/>
        <v>0</v>
      </c>
      <c r="AT497" s="740">
        <f t="shared" si="36"/>
        <v>0</v>
      </c>
      <c r="AU497" s="744" t="s">
        <v>2602</v>
      </c>
      <c r="AV497" s="740">
        <f t="shared" ref="AV497:AX497" si="37">COUNTIF(AV14:AV482,"R?")</f>
        <v>0</v>
      </c>
      <c r="AW497" s="740">
        <f t="shared" si="37"/>
        <v>0</v>
      </c>
      <c r="AX497" s="740">
        <f t="shared" si="37"/>
        <v>2</v>
      </c>
      <c r="AY497" s="743" t="s">
        <v>2602</v>
      </c>
      <c r="AZ497" s="740">
        <f t="shared" ref="AZ497:BB497" si="38">COUNTIF(AZ13:AZ489,"CR")</f>
        <v>0</v>
      </c>
      <c r="BA497" s="740">
        <f t="shared" si="38"/>
        <v>0</v>
      </c>
      <c r="BB497" s="740">
        <f t="shared" si="38"/>
        <v>0</v>
      </c>
      <c r="BC497" s="3"/>
      <c r="BD497" s="740">
        <f t="shared" ref="BD497:BF497" si="39">COUNTIF(BD13:BD489,"CR")</f>
        <v>0</v>
      </c>
      <c r="BE497" s="740">
        <f t="shared" si="39"/>
        <v>0</v>
      </c>
      <c r="BF497" s="740">
        <f t="shared" si="39"/>
        <v>0</v>
      </c>
      <c r="BG497" s="3"/>
      <c r="BH497" s="3"/>
      <c r="BI497" s="3"/>
      <c r="BJ497" s="3"/>
      <c r="BK497" s="3"/>
      <c r="BL497" s="3"/>
      <c r="BM497" s="3"/>
      <c r="BN497" s="3"/>
      <c r="BO497" s="3"/>
      <c r="BP497" s="3"/>
      <c r="BQ497" s="3"/>
      <c r="BR497" s="3"/>
      <c r="BS497" s="3"/>
      <c r="BT497" s="3"/>
      <c r="BU497" s="3"/>
      <c r="BV497" s="3"/>
      <c r="BW497" s="12"/>
      <c r="BX497" s="2"/>
      <c r="BY497" s="3"/>
      <c r="BZ497" s="3"/>
      <c r="CA497" s="3"/>
      <c r="CB497" s="3"/>
      <c r="CC497" s="3"/>
      <c r="CD497" s="3"/>
      <c r="CE497" s="228"/>
      <c r="CF497" s="3"/>
      <c r="CG497" s="3"/>
      <c r="CH497" s="3"/>
      <c r="CI497" s="3"/>
      <c r="CJ497" s="3"/>
      <c r="CK497" s="3"/>
      <c r="CL497" s="3"/>
      <c r="CM497" s="3"/>
      <c r="CN497" s="3"/>
      <c r="CO497" s="3"/>
      <c r="CP497" s="3"/>
      <c r="CQ497" s="3"/>
      <c r="CR497" s="3"/>
      <c r="CS497" s="3"/>
      <c r="CT497" s="3"/>
      <c r="CU497" s="228"/>
      <c r="CV497" s="3"/>
      <c r="CW497" s="3"/>
      <c r="CX497" s="3"/>
      <c r="CY497" s="3"/>
      <c r="CZ497" s="3"/>
      <c r="DA497" s="3"/>
      <c r="DB497" s="164"/>
      <c r="DC497" s="2"/>
      <c r="DD497" s="2"/>
      <c r="DE497" s="2"/>
      <c r="DF497" s="2"/>
      <c r="DG497" s="729">
        <f t="shared" si="10"/>
        <v>0</v>
      </c>
      <c r="DH497" s="730"/>
      <c r="DI497" s="729"/>
      <c r="DJ497" s="729"/>
      <c r="DK497" s="729"/>
      <c r="DL497" s="729"/>
      <c r="DM497" s="17"/>
      <c r="DN497" s="265"/>
      <c r="DO497" s="265"/>
      <c r="DP497" s="265"/>
      <c r="DQ497" s="265"/>
      <c r="DR497" s="265"/>
      <c r="DS497" s="265"/>
      <c r="DT497" s="265"/>
      <c r="DU497" s="265"/>
      <c r="DV497" s="265"/>
      <c r="DW497" s="265"/>
      <c r="DX497" s="265"/>
      <c r="DY497" s="265"/>
      <c r="DZ497" s="265"/>
    </row>
    <row r="498" spans="1:130" ht="36.75" hidden="1" customHeight="1">
      <c r="A498" s="228"/>
      <c r="B498" s="3"/>
      <c r="C498" s="3"/>
      <c r="D498" s="3"/>
      <c r="E498" s="3"/>
      <c r="F498" s="3"/>
      <c r="G498" s="3"/>
      <c r="H498" s="3"/>
      <c r="I498" s="3"/>
      <c r="J498" s="228"/>
      <c r="K498" s="731"/>
      <c r="L498" s="3"/>
      <c r="M498" s="2"/>
      <c r="N498" s="3"/>
      <c r="O498" s="3"/>
      <c r="P498" s="3"/>
      <c r="Q498" s="3"/>
      <c r="R498" s="265"/>
      <c r="S498" s="3"/>
      <c r="T498" s="3"/>
      <c r="U498" s="3"/>
      <c r="V498" s="3"/>
      <c r="W498" s="3"/>
      <c r="X498" s="3"/>
      <c r="Y498" s="3"/>
      <c r="Z498" s="3"/>
      <c r="AA498" s="3"/>
      <c r="AB498" s="3"/>
      <c r="AC498" s="3"/>
      <c r="AD498" s="3" t="s">
        <v>2603</v>
      </c>
      <c r="AE498" s="2"/>
      <c r="AF498" s="3"/>
      <c r="AG498" s="3"/>
      <c r="AH498" s="3"/>
      <c r="AI498" s="3"/>
      <c r="AK498" s="3"/>
      <c r="AL498" s="3"/>
      <c r="AM498" s="3"/>
      <c r="AN498" s="228"/>
      <c r="AO498" s="228"/>
      <c r="AP498" s="729"/>
      <c r="AQ498" s="743" t="s">
        <v>194</v>
      </c>
      <c r="AR498" s="740">
        <f t="shared" ref="AR498:AT498" si="40">COUNTIF(AR151:AR452,"FD")</f>
        <v>1</v>
      </c>
      <c r="AS498" s="740">
        <f t="shared" si="40"/>
        <v>3</v>
      </c>
      <c r="AT498" s="740">
        <f t="shared" si="40"/>
        <v>5</v>
      </c>
      <c r="AU498" s="744" t="s">
        <v>194</v>
      </c>
      <c r="AV498" s="740">
        <f t="shared" ref="AV498:AW498" si="41">COUNTIF(AV13:AV452,"FD")</f>
        <v>0</v>
      </c>
      <c r="AW498" s="740">
        <f t="shared" si="41"/>
        <v>0</v>
      </c>
      <c r="AX498" s="740">
        <f>COUNTIF(AX13:AX482,"FD")</f>
        <v>2</v>
      </c>
      <c r="AY498" s="743" t="s">
        <v>194</v>
      </c>
      <c r="AZ498" s="740">
        <f t="shared" ref="AZ498:BB498" si="42">COUNTIF(AZ13:AZ489,"FD")</f>
        <v>11</v>
      </c>
      <c r="BA498" s="740">
        <f t="shared" si="42"/>
        <v>20</v>
      </c>
      <c r="BB498" s="740">
        <f t="shared" si="42"/>
        <v>9</v>
      </c>
      <c r="BC498" s="3"/>
      <c r="BD498" s="740">
        <f t="shared" ref="BD498:BF498" si="43">COUNTIF(BD13:BD489,"FD")</f>
        <v>0</v>
      </c>
      <c r="BE498" s="740">
        <f t="shared" si="43"/>
        <v>0</v>
      </c>
      <c r="BF498" s="740">
        <f t="shared" si="43"/>
        <v>0</v>
      </c>
      <c r="BG498" s="3"/>
      <c r="BH498" s="3"/>
      <c r="BI498" s="3"/>
      <c r="BJ498" s="3"/>
      <c r="BK498" s="3"/>
      <c r="BL498" s="3"/>
      <c r="BM498" s="3"/>
      <c r="BN498" s="3"/>
      <c r="BO498" s="3"/>
      <c r="BP498" s="3"/>
      <c r="BQ498" s="3"/>
      <c r="BR498" s="3"/>
      <c r="BS498" s="3"/>
      <c r="BT498" s="3"/>
      <c r="BU498" s="3"/>
      <c r="BV498" s="3"/>
      <c r="BW498" s="12"/>
      <c r="BX498" s="2"/>
      <c r="BY498" s="3"/>
      <c r="BZ498" s="3"/>
      <c r="CA498" s="3"/>
      <c r="CB498" s="3"/>
      <c r="CC498" s="3"/>
      <c r="CD498" s="3"/>
      <c r="CE498" s="228"/>
      <c r="CF498" s="3"/>
      <c r="CG498" s="3"/>
      <c r="CH498" s="3"/>
      <c r="CI498" s="3"/>
      <c r="CJ498" s="3"/>
      <c r="CK498" s="3"/>
      <c r="CL498" s="3"/>
      <c r="CM498" s="3"/>
      <c r="CN498" s="3"/>
      <c r="CO498" s="3"/>
      <c r="CP498" s="3"/>
      <c r="CQ498" s="3"/>
      <c r="CR498" s="3"/>
      <c r="CS498" s="3"/>
      <c r="CT498" s="3"/>
      <c r="CU498" s="228"/>
      <c r="CV498" s="3"/>
      <c r="CW498" s="3"/>
      <c r="CX498" s="3"/>
      <c r="CY498" s="3"/>
      <c r="CZ498" s="3"/>
      <c r="DA498" s="3"/>
      <c r="DB498" s="164"/>
      <c r="DC498" s="2"/>
      <c r="DD498" s="2"/>
      <c r="DE498" s="2"/>
      <c r="DF498" s="2"/>
      <c r="DG498" s="729">
        <f t="shared" si="10"/>
        <v>0</v>
      </c>
      <c r="DH498" s="730"/>
      <c r="DI498" s="729"/>
      <c r="DJ498" s="729"/>
      <c r="DK498" s="729"/>
      <c r="DL498" s="729"/>
      <c r="DM498" s="17"/>
      <c r="DN498" s="265"/>
      <c r="DO498" s="265"/>
      <c r="DP498" s="265"/>
      <c r="DQ498" s="265"/>
      <c r="DR498" s="265"/>
      <c r="DS498" s="265"/>
      <c r="DT498" s="265"/>
      <c r="DU498" s="265"/>
      <c r="DV498" s="265"/>
      <c r="DW498" s="265"/>
      <c r="DX498" s="265"/>
      <c r="DY498" s="265"/>
      <c r="DZ498" s="265"/>
    </row>
    <row r="499" spans="1:130" ht="36.75" hidden="1" customHeight="1">
      <c r="A499" s="228"/>
      <c r="B499" s="3"/>
      <c r="C499" s="3"/>
      <c r="D499" s="3"/>
      <c r="E499" s="3"/>
      <c r="F499" s="3"/>
      <c r="G499" s="3"/>
      <c r="H499" s="3"/>
      <c r="I499" s="3"/>
      <c r="J499" s="228"/>
      <c r="K499" s="731"/>
      <c r="L499" s="3"/>
      <c r="M499" s="2"/>
      <c r="N499" s="3"/>
      <c r="O499" s="3"/>
      <c r="P499" s="3"/>
      <c r="Q499" s="3"/>
      <c r="R499" s="265"/>
      <c r="S499" s="3"/>
      <c r="T499" s="3"/>
      <c r="U499" s="3"/>
      <c r="V499" s="3"/>
      <c r="W499" s="3"/>
      <c r="X499" s="3"/>
      <c r="Y499" s="3"/>
      <c r="Z499" s="3"/>
      <c r="AA499" s="3"/>
      <c r="AB499" s="3"/>
      <c r="AC499" s="3"/>
      <c r="AD499" s="3" t="s">
        <v>2604</v>
      </c>
      <c r="AE499" s="2"/>
      <c r="AF499" s="3"/>
      <c r="AG499" s="3"/>
      <c r="AH499" s="3"/>
      <c r="AI499" s="3"/>
      <c r="AK499" s="3"/>
      <c r="AL499" s="3"/>
      <c r="AM499" s="3"/>
      <c r="AN499" s="228"/>
      <c r="AO499" s="228"/>
      <c r="AP499" s="729"/>
      <c r="AQ499" s="743" t="s">
        <v>165</v>
      </c>
      <c r="AR499" s="740">
        <f t="shared" ref="AR499:AT499" si="44">COUNTIF(AR151:AR452,"D")</f>
        <v>0</v>
      </c>
      <c r="AS499" s="740">
        <f t="shared" si="44"/>
        <v>0</v>
      </c>
      <c r="AT499" s="740">
        <f t="shared" si="44"/>
        <v>0</v>
      </c>
      <c r="AU499" s="744" t="s">
        <v>165</v>
      </c>
      <c r="AV499" s="740">
        <f t="shared" ref="AV499:AX499" si="45">COUNTIF(AV13:AV482,"D")</f>
        <v>22</v>
      </c>
      <c r="AW499" s="740">
        <f t="shared" si="45"/>
        <v>22</v>
      </c>
      <c r="AX499" s="740">
        <f t="shared" si="45"/>
        <v>23</v>
      </c>
      <c r="AY499" s="743" t="s">
        <v>165</v>
      </c>
      <c r="AZ499" s="740">
        <f t="shared" ref="AZ499:BB499" si="46">COUNTIF(AZ13:AZ489,"D")</f>
        <v>41</v>
      </c>
      <c r="BA499" s="740">
        <f t="shared" si="46"/>
        <v>41</v>
      </c>
      <c r="BB499" s="740">
        <f t="shared" si="46"/>
        <v>41</v>
      </c>
      <c r="BC499" s="3"/>
      <c r="BD499" s="740">
        <f t="shared" ref="BD499:BF499" si="47">COUNTIF(BD13:BD489,"D")</f>
        <v>2</v>
      </c>
      <c r="BE499" s="740">
        <f t="shared" si="47"/>
        <v>2</v>
      </c>
      <c r="BF499" s="740">
        <f t="shared" si="47"/>
        <v>2</v>
      </c>
      <c r="BG499" s="3"/>
      <c r="BH499" s="3"/>
      <c r="BI499" s="3"/>
      <c r="BJ499" s="3"/>
      <c r="BK499" s="3"/>
      <c r="BL499" s="3"/>
      <c r="BM499" s="3"/>
      <c r="BN499" s="3"/>
      <c r="BO499" s="3"/>
      <c r="BP499" s="3"/>
      <c r="BQ499" s="3"/>
      <c r="BR499" s="3"/>
      <c r="BS499" s="3"/>
      <c r="BT499" s="3"/>
      <c r="BU499" s="3"/>
      <c r="BV499" s="3"/>
      <c r="BW499" s="12"/>
      <c r="BX499" s="2"/>
      <c r="BY499" s="3"/>
      <c r="BZ499" s="3"/>
      <c r="CA499" s="3"/>
      <c r="CB499" s="3"/>
      <c r="CC499" s="3"/>
      <c r="CD499" s="3"/>
      <c r="CE499" s="228"/>
      <c r="CF499" s="3"/>
      <c r="CG499" s="3"/>
      <c r="CH499" s="3"/>
      <c r="CI499" s="3"/>
      <c r="CJ499" s="3"/>
      <c r="CK499" s="3"/>
      <c r="CL499" s="3"/>
      <c r="CM499" s="3"/>
      <c r="CN499" s="3"/>
      <c r="CO499" s="3"/>
      <c r="CP499" s="3"/>
      <c r="CQ499" s="3"/>
      <c r="CR499" s="3"/>
      <c r="CS499" s="3"/>
      <c r="CT499" s="3"/>
      <c r="CU499" s="228"/>
      <c r="CV499" s="3"/>
      <c r="CW499" s="3"/>
      <c r="CX499" s="3"/>
      <c r="CY499" s="3"/>
      <c r="CZ499" s="3"/>
      <c r="DA499" s="3"/>
      <c r="DB499" s="164"/>
      <c r="DC499" s="2"/>
      <c r="DD499" s="2"/>
      <c r="DE499" s="2"/>
      <c r="DF499" s="2"/>
      <c r="DG499" s="729">
        <f t="shared" si="10"/>
        <v>0</v>
      </c>
      <c r="DH499" s="730"/>
      <c r="DI499" s="729"/>
      <c r="DJ499" s="729"/>
      <c r="DK499" s="729"/>
      <c r="DL499" s="729"/>
      <c r="DM499" s="17"/>
      <c r="DN499" s="265"/>
      <c r="DO499" s="265"/>
      <c r="DP499" s="265"/>
      <c r="DQ499" s="265"/>
      <c r="DR499" s="265"/>
      <c r="DS499" s="265"/>
      <c r="DT499" s="265"/>
      <c r="DU499" s="265"/>
      <c r="DV499" s="265"/>
      <c r="DW499" s="265"/>
      <c r="DX499" s="265"/>
      <c r="DY499" s="265"/>
      <c r="DZ499" s="265"/>
    </row>
    <row r="500" spans="1:130" ht="36.75" hidden="1" customHeight="1">
      <c r="A500" s="228"/>
      <c r="B500" s="3"/>
      <c r="C500" s="3"/>
      <c r="D500" s="3"/>
      <c r="E500" s="3"/>
      <c r="F500" s="3"/>
      <c r="G500" s="3"/>
      <c r="H500" s="3"/>
      <c r="I500" s="3"/>
      <c r="J500" s="228"/>
      <c r="K500" s="731"/>
      <c r="L500" s="3"/>
      <c r="M500" s="2"/>
      <c r="N500" s="3"/>
      <c r="O500" s="3"/>
      <c r="P500" s="3"/>
      <c r="Q500" s="3"/>
      <c r="R500" s="265"/>
      <c r="S500" s="3"/>
      <c r="T500" s="3"/>
      <c r="U500" s="3"/>
      <c r="V500" s="3"/>
      <c r="W500" s="3"/>
      <c r="X500" s="3"/>
      <c r="Y500" s="3"/>
      <c r="Z500" s="3"/>
      <c r="AA500" s="3"/>
      <c r="AB500" s="3"/>
      <c r="AC500" s="3"/>
      <c r="AD500" s="3" t="s">
        <v>2605</v>
      </c>
      <c r="AE500" s="2"/>
      <c r="AF500" s="3"/>
      <c r="AG500" s="3"/>
      <c r="AH500" s="3"/>
      <c r="AI500" s="3"/>
      <c r="AK500" s="3"/>
      <c r="AL500" s="3"/>
      <c r="AM500" s="3"/>
      <c r="AN500" s="228"/>
      <c r="AO500" s="228"/>
      <c r="AP500" s="729"/>
      <c r="AQ500" s="3"/>
      <c r="AR500" s="745"/>
      <c r="AS500" s="745"/>
      <c r="AT500" s="745"/>
      <c r="AU500" s="3"/>
      <c r="AV500" s="740"/>
      <c r="AW500" s="740"/>
      <c r="AX500" s="740"/>
      <c r="AY500" s="3"/>
      <c r="AZ500" s="740">
        <f t="shared" ref="AZ500:BB500" si="48">COUNTIF(AZ13:AZ489,"C?")</f>
        <v>1</v>
      </c>
      <c r="BA500" s="740">
        <f t="shared" si="48"/>
        <v>0</v>
      </c>
      <c r="BB500" s="740">
        <f t="shared" si="48"/>
        <v>0</v>
      </c>
      <c r="BC500" s="3"/>
      <c r="BD500" s="740">
        <f t="shared" ref="BD500:BF500" si="49">COUNTIF(BD13:BD489,"C?")</f>
        <v>12</v>
      </c>
      <c r="BE500" s="740">
        <f t="shared" si="49"/>
        <v>8</v>
      </c>
      <c r="BF500" s="740">
        <f t="shared" si="49"/>
        <v>9</v>
      </c>
      <c r="BG500" s="3"/>
      <c r="BH500" s="3"/>
      <c r="BI500" s="3"/>
      <c r="BJ500" s="3"/>
      <c r="BK500" s="3"/>
      <c r="BL500" s="3"/>
      <c r="BM500" s="3"/>
      <c r="BN500" s="3"/>
      <c r="BO500" s="3"/>
      <c r="BP500" s="3"/>
      <c r="BQ500" s="3"/>
      <c r="BR500" s="3"/>
      <c r="BS500" s="3"/>
      <c r="BT500" s="3"/>
      <c r="BU500" s="3"/>
      <c r="BV500" s="3"/>
      <c r="BW500" s="12"/>
      <c r="BX500" s="2"/>
      <c r="BY500" s="3"/>
      <c r="BZ500" s="3"/>
      <c r="CA500" s="3"/>
      <c r="CB500" s="3"/>
      <c r="CC500" s="3"/>
      <c r="CD500" s="3"/>
      <c r="CE500" s="228"/>
      <c r="CF500" s="3"/>
      <c r="CG500" s="3"/>
      <c r="CH500" s="3"/>
      <c r="CI500" s="3"/>
      <c r="CJ500" s="3"/>
      <c r="CK500" s="3"/>
      <c r="CL500" s="3"/>
      <c r="CM500" s="3"/>
      <c r="CN500" s="3"/>
      <c r="CO500" s="3"/>
      <c r="CP500" s="3"/>
      <c r="CQ500" s="3"/>
      <c r="CR500" s="3"/>
      <c r="CS500" s="3"/>
      <c r="CT500" s="3"/>
      <c r="CU500" s="228"/>
      <c r="CV500" s="3"/>
      <c r="CW500" s="3"/>
      <c r="CX500" s="3"/>
      <c r="CY500" s="3"/>
      <c r="CZ500" s="3"/>
      <c r="DA500" s="3"/>
      <c r="DB500" s="164"/>
      <c r="DC500" s="2"/>
      <c r="DD500" s="2"/>
      <c r="DE500" s="2"/>
      <c r="DF500" s="2"/>
      <c r="DG500" s="729">
        <f t="shared" si="10"/>
        <v>0</v>
      </c>
      <c r="DH500" s="730"/>
      <c r="DI500" s="729"/>
      <c r="DJ500" s="729"/>
      <c r="DK500" s="729"/>
      <c r="DL500" s="729"/>
      <c r="DM500" s="17"/>
      <c r="DN500" s="265"/>
      <c r="DO500" s="265"/>
      <c r="DP500" s="265"/>
      <c r="DQ500" s="265"/>
      <c r="DR500" s="265"/>
      <c r="DS500" s="265"/>
      <c r="DT500" s="265"/>
      <c r="DU500" s="265"/>
      <c r="DV500" s="265"/>
      <c r="DW500" s="265"/>
      <c r="DX500" s="265"/>
      <c r="DY500" s="265"/>
      <c r="DZ500" s="265"/>
    </row>
    <row r="501" spans="1:130" ht="36.75" hidden="1" customHeight="1">
      <c r="A501" s="228"/>
      <c r="B501" s="3"/>
      <c r="C501" s="3"/>
      <c r="D501" s="3"/>
      <c r="E501" s="3"/>
      <c r="F501" s="3"/>
      <c r="G501" s="3"/>
      <c r="H501" s="3"/>
      <c r="I501" s="3"/>
      <c r="J501" s="228"/>
      <c r="K501" s="731"/>
      <c r="L501" s="3"/>
      <c r="M501" s="2"/>
      <c r="N501" s="3"/>
      <c r="O501" s="3"/>
      <c r="P501" s="3"/>
      <c r="Q501" s="3"/>
      <c r="R501" s="3"/>
      <c r="S501" s="3"/>
      <c r="T501" s="3"/>
      <c r="U501" s="3"/>
      <c r="V501" s="3"/>
      <c r="W501" s="3"/>
      <c r="X501" s="3"/>
      <c r="Y501" s="3"/>
      <c r="Z501" s="3"/>
      <c r="AA501" s="3"/>
      <c r="AB501" s="3"/>
      <c r="AC501" s="3"/>
      <c r="AD501" s="3" t="s">
        <v>2606</v>
      </c>
      <c r="AE501" s="2"/>
      <c r="AF501" s="3"/>
      <c r="AG501" s="3"/>
      <c r="AH501" s="3"/>
      <c r="AI501" s="3"/>
      <c r="AK501" s="3"/>
      <c r="AL501" s="3"/>
      <c r="AM501" s="3"/>
      <c r="AN501" s="228"/>
      <c r="AO501" s="228"/>
      <c r="AP501" s="729"/>
      <c r="AQ501" s="3"/>
      <c r="AR501" s="745"/>
      <c r="AS501" s="745"/>
      <c r="AT501" s="745"/>
      <c r="AU501" s="3"/>
      <c r="AV501" s="740"/>
      <c r="AW501" s="740"/>
      <c r="AX501" s="740"/>
      <c r="AY501" s="3"/>
      <c r="AZ501" s="740">
        <f t="shared" ref="AZ501:BB501" si="50">COUNTIF(AZ14:AZ489,"RFT")</f>
        <v>0</v>
      </c>
      <c r="BA501" s="740">
        <f t="shared" si="50"/>
        <v>0</v>
      </c>
      <c r="BB501" s="740">
        <f t="shared" si="50"/>
        <v>0</v>
      </c>
      <c r="BC501" s="3"/>
      <c r="BD501" s="740">
        <f t="shared" ref="BD501:BF501" si="51">COUNTIF(BD14:BD489,"RFT")</f>
        <v>0</v>
      </c>
      <c r="BE501" s="740">
        <f t="shared" si="51"/>
        <v>0</v>
      </c>
      <c r="BF501" s="740">
        <f t="shared" si="51"/>
        <v>0</v>
      </c>
      <c r="BG501" s="3"/>
      <c r="BH501" s="3"/>
      <c r="BI501" s="3"/>
      <c r="BJ501" s="3"/>
      <c r="BK501" s="3"/>
      <c r="BL501" s="3"/>
      <c r="BM501" s="3"/>
      <c r="BN501" s="3"/>
      <c r="BO501" s="3"/>
      <c r="BP501" s="3"/>
      <c r="BQ501" s="3"/>
      <c r="BR501" s="746"/>
      <c r="BS501" s="747"/>
      <c r="BT501" s="747"/>
      <c r="BU501" s="747"/>
      <c r="BV501" s="747"/>
      <c r="BW501" s="12"/>
      <c r="BX501" s="2"/>
      <c r="BY501" s="3"/>
      <c r="BZ501" s="746"/>
      <c r="CA501" s="747"/>
      <c r="CB501" s="747"/>
      <c r="CC501" s="747"/>
      <c r="CD501" s="747"/>
      <c r="CE501" s="228"/>
      <c r="CF501" s="3"/>
      <c r="CG501" s="3"/>
      <c r="CH501" s="3"/>
      <c r="CI501" s="3"/>
      <c r="CJ501" s="3"/>
      <c r="CK501" s="3"/>
      <c r="CL501" s="3"/>
      <c r="CM501" s="3"/>
      <c r="CN501" s="3"/>
      <c r="CO501" s="3"/>
      <c r="CP501" s="3"/>
      <c r="CQ501" s="3"/>
      <c r="CR501" s="3"/>
      <c r="CS501" s="3"/>
      <c r="CT501" s="3"/>
      <c r="CU501" s="228"/>
      <c r="CV501" s="3"/>
      <c r="CW501" s="3"/>
      <c r="CX501" s="3"/>
      <c r="CY501" s="3"/>
      <c r="CZ501" s="3"/>
      <c r="DA501" s="3"/>
      <c r="DB501" s="164"/>
      <c r="DC501" s="747"/>
      <c r="DD501" s="747"/>
      <c r="DE501" s="747"/>
      <c r="DF501" s="747"/>
      <c r="DG501" s="729"/>
      <c r="DH501" s="730"/>
      <c r="DI501" s="729"/>
      <c r="DJ501" s="729"/>
      <c r="DK501" s="729"/>
      <c r="DL501" s="729"/>
      <c r="DM501" s="17"/>
      <c r="DN501" s="265"/>
      <c r="DO501" s="265"/>
      <c r="DP501" s="265"/>
      <c r="DQ501" s="265"/>
      <c r="DR501" s="265"/>
      <c r="DS501" s="265"/>
      <c r="DT501" s="265"/>
      <c r="DU501" s="265"/>
      <c r="DV501" s="265"/>
      <c r="DW501" s="265"/>
      <c r="DX501" s="265"/>
      <c r="DY501" s="265"/>
      <c r="DZ501" s="265"/>
    </row>
    <row r="502" spans="1:130" ht="18.75" hidden="1" customHeight="1">
      <c r="A502" s="228"/>
      <c r="B502" s="748"/>
      <c r="C502" s="748"/>
      <c r="D502" s="748"/>
      <c r="E502" s="748"/>
      <c r="F502" s="748"/>
      <c r="G502" s="748" t="s">
        <v>2607</v>
      </c>
      <c r="H502" s="748" t="s">
        <v>2607</v>
      </c>
      <c r="I502" s="748"/>
      <c r="J502" s="749"/>
      <c r="K502" s="750"/>
      <c r="L502" s="748"/>
      <c r="M502" s="751"/>
      <c r="N502" s="748"/>
      <c r="O502" s="748"/>
      <c r="P502" s="748"/>
      <c r="Q502" s="748"/>
      <c r="R502" s="748" t="s">
        <v>2607</v>
      </c>
      <c r="S502" s="748"/>
      <c r="T502" s="748"/>
      <c r="U502" s="748"/>
      <c r="V502" s="748"/>
      <c r="W502" s="748"/>
      <c r="X502" s="748"/>
      <c r="Y502" s="748"/>
      <c r="Z502" s="748"/>
      <c r="AA502" s="748"/>
      <c r="AB502" s="748"/>
      <c r="AC502" s="748"/>
      <c r="AD502" s="748"/>
      <c r="AE502" s="751"/>
      <c r="AF502" s="748"/>
      <c r="AG502" s="748"/>
      <c r="AH502" s="748"/>
      <c r="AI502" s="748"/>
      <c r="AJ502" s="748"/>
      <c r="AK502" s="748"/>
      <c r="AL502" s="748"/>
      <c r="AM502" s="748"/>
      <c r="AN502" s="749"/>
      <c r="AO502" s="749"/>
      <c r="AP502" s="749"/>
      <c r="AQ502" s="748"/>
      <c r="AR502" s="748"/>
      <c r="AS502" s="748"/>
      <c r="AT502" s="748"/>
      <c r="AU502" s="748"/>
      <c r="AV502" s="748"/>
      <c r="AW502" s="748"/>
      <c r="AX502" s="748"/>
      <c r="AY502" s="748"/>
      <c r="AZ502" s="748"/>
      <c r="BA502" s="748"/>
      <c r="BB502" s="748"/>
      <c r="BC502" s="748"/>
      <c r="BD502" s="748"/>
      <c r="BE502" s="748"/>
      <c r="BF502" s="748"/>
      <c r="BG502" s="748"/>
      <c r="BH502" s="748"/>
      <c r="BI502" s="748"/>
      <c r="BJ502" s="748"/>
      <c r="BK502" s="748"/>
      <c r="BL502" s="748"/>
      <c r="BM502" s="748"/>
      <c r="BN502" s="748"/>
      <c r="BO502" s="748"/>
      <c r="BP502" s="748"/>
      <c r="BQ502" s="748"/>
      <c r="BR502" s="752"/>
      <c r="BS502" s="753"/>
      <c r="BT502" s="753"/>
      <c r="BU502" s="753"/>
      <c r="BV502" s="753"/>
      <c r="BW502" s="754"/>
      <c r="BX502" s="751"/>
      <c r="BY502" s="748"/>
      <c r="BZ502" s="752"/>
      <c r="CA502" s="753"/>
      <c r="CB502" s="753"/>
      <c r="CC502" s="753"/>
      <c r="CD502" s="753"/>
      <c r="CE502" s="749"/>
      <c r="CF502" s="748"/>
      <c r="CG502" s="748"/>
      <c r="CH502" s="748"/>
      <c r="CI502" s="748"/>
      <c r="CJ502" s="748"/>
      <c r="CK502" s="748"/>
      <c r="CL502" s="748"/>
      <c r="CM502" s="748"/>
      <c r="CN502" s="748"/>
      <c r="CO502" s="748"/>
      <c r="CP502" s="748"/>
      <c r="CQ502" s="748"/>
      <c r="CR502" s="748"/>
      <c r="CS502" s="748"/>
      <c r="CT502" s="748"/>
      <c r="CU502" s="749"/>
      <c r="CV502" s="748"/>
      <c r="CW502" s="748"/>
      <c r="CX502" s="748"/>
      <c r="CY502" s="748"/>
      <c r="CZ502" s="748"/>
      <c r="DA502" s="748"/>
      <c r="DB502" s="755"/>
      <c r="DC502" s="753"/>
      <c r="DD502" s="753"/>
      <c r="DE502" s="753"/>
      <c r="DF502" s="753"/>
      <c r="DG502" s="729"/>
      <c r="DH502" s="730"/>
      <c r="DI502" s="729"/>
      <c r="DJ502" s="729"/>
      <c r="DK502" s="729"/>
      <c r="DL502" s="729"/>
      <c r="DM502" s="17"/>
      <c r="DN502" s="265"/>
      <c r="DO502" s="265"/>
      <c r="DP502" s="265"/>
      <c r="DQ502" s="265"/>
      <c r="DR502" s="265"/>
      <c r="DS502" s="265"/>
      <c r="DT502" s="265"/>
      <c r="DU502" s="265"/>
      <c r="DV502" s="265"/>
      <c r="DW502" s="265"/>
      <c r="DX502" s="265"/>
      <c r="DY502" s="265"/>
      <c r="DZ502" s="265"/>
    </row>
    <row r="503" spans="1:130" ht="30" hidden="1" customHeight="1" outlineLevel="1">
      <c r="A503" s="228"/>
      <c r="B503" s="121"/>
      <c r="C503" s="756">
        <v>1</v>
      </c>
      <c r="D503" s="244"/>
      <c r="E503" s="757"/>
      <c r="F503" s="757"/>
      <c r="G503" s="758" t="s">
        <v>1307</v>
      </c>
      <c r="H503" s="758" t="s">
        <v>2608</v>
      </c>
      <c r="I503" s="207" t="s">
        <v>2609</v>
      </c>
      <c r="J503" s="75" t="str">
        <f t="shared" ref="J503:J648" si="52">CONCATENATE(G503," ",H503)</f>
        <v>Alberto Novelli</v>
      </c>
      <c r="K503" s="224">
        <v>3939205590</v>
      </c>
      <c r="L503" s="131"/>
      <c r="M503" s="131"/>
      <c r="N503" s="131"/>
      <c r="O503" s="284"/>
      <c r="P503" s="37"/>
      <c r="Q503" s="37"/>
      <c r="R503" s="131" t="s">
        <v>2610</v>
      </c>
      <c r="S503" s="160"/>
      <c r="T503" s="160"/>
      <c r="U503" s="160"/>
      <c r="V503" s="160"/>
      <c r="W503" s="233"/>
      <c r="X503" s="234"/>
      <c r="Y503" s="233"/>
      <c r="Z503" s="233"/>
      <c r="AA503" s="233"/>
      <c r="AB503" s="37"/>
      <c r="AC503" s="37"/>
      <c r="AD503" s="37"/>
      <c r="AE503" s="160" t="s">
        <v>2611</v>
      </c>
      <c r="AF503" s="198"/>
      <c r="AG503" s="121"/>
      <c r="AH503" s="121"/>
      <c r="AI503" s="198"/>
      <c r="AJ503" s="121"/>
      <c r="AK503" s="121"/>
      <c r="AL503" s="121"/>
      <c r="AM503" s="198"/>
      <c r="AN503" s="155"/>
      <c r="AO503" s="155"/>
      <c r="AP503" s="155"/>
      <c r="AQ503" s="198"/>
      <c r="AR503" s="304"/>
      <c r="AS503" s="304"/>
      <c r="AT503" s="304"/>
      <c r="AU503" s="235"/>
      <c r="AV503" s="75" t="s">
        <v>165</v>
      </c>
      <c r="AW503" s="75" t="s">
        <v>165</v>
      </c>
      <c r="AX503" s="75" t="s">
        <v>165</v>
      </c>
      <c r="AY503" s="235"/>
      <c r="AZ503" s="759"/>
      <c r="BA503" s="759"/>
      <c r="BB503" s="135"/>
      <c r="BC503" s="235"/>
      <c r="BD503" s="759"/>
      <c r="BE503" s="759"/>
      <c r="BF503" s="759"/>
      <c r="BG503" s="235"/>
      <c r="BH503" s="760">
        <f t="shared" ref="BH503:BH567" si="53">CF503+CI503+CL503+CO503+CR503</f>
        <v>0</v>
      </c>
      <c r="BI503" s="761">
        <f t="shared" ref="BI503:BI567" si="54">CH503+CK503+CN503+CQ503+CT503</f>
        <v>0</v>
      </c>
      <c r="BJ503" s="761">
        <f t="shared" ref="BJ503:BJ648" si="55">BH503-BI503</f>
        <v>0</v>
      </c>
      <c r="BK503" s="110">
        <f t="shared" ref="BK503:BK523" si="56">BI503</f>
        <v>0</v>
      </c>
      <c r="BL503" s="762"/>
      <c r="BM503" s="763"/>
      <c r="BN503" s="763"/>
      <c r="BO503" s="763"/>
      <c r="BP503" s="243" t="s">
        <v>407</v>
      </c>
      <c r="BQ503" s="98">
        <v>0.15</v>
      </c>
      <c r="BR503" s="110"/>
      <c r="BS503" s="242">
        <f t="shared" ref="BS503:BS507" si="57">BL503*BQ503</f>
        <v>0</v>
      </c>
      <c r="BT503" s="764"/>
      <c r="BU503" s="764"/>
      <c r="BV503" s="764"/>
      <c r="BW503" s="765"/>
      <c r="BX503" s="243" t="s">
        <v>407</v>
      </c>
      <c r="BY503" s="98">
        <v>0.05</v>
      </c>
      <c r="BZ503" s="110"/>
      <c r="CA503" s="242">
        <f t="shared" ref="CA503:CA507" si="58">BL503*BY503</f>
        <v>0</v>
      </c>
      <c r="CB503" s="764"/>
      <c r="CC503" s="764"/>
      <c r="CD503" s="764"/>
      <c r="CE503" s="765"/>
      <c r="CF503" s="110"/>
      <c r="CG503" s="226"/>
      <c r="CH503" s="301"/>
      <c r="CI503" s="110"/>
      <c r="CJ503" s="226"/>
      <c r="CK503" s="206"/>
      <c r="CL503" s="110"/>
      <c r="CM503" s="263"/>
      <c r="CN503" s="206"/>
      <c r="CO503" s="206"/>
      <c r="CP503" s="206"/>
      <c r="CQ503" s="206"/>
      <c r="CR503" s="206"/>
      <c r="CS503" s="206"/>
      <c r="CT503" s="206"/>
      <c r="CU503" s="245" t="s">
        <v>2612</v>
      </c>
      <c r="CV503" s="181"/>
      <c r="CW503" s="438" t="s">
        <v>1387</v>
      </c>
      <c r="CX503" s="439" t="s">
        <v>2613</v>
      </c>
      <c r="CY503" s="155"/>
      <c r="CZ503" s="155"/>
      <c r="DA503" s="131" t="s">
        <v>2614</v>
      </c>
      <c r="DB503" s="115" t="s">
        <v>2615</v>
      </c>
      <c r="DC503" s="766"/>
      <c r="DD503" s="242"/>
      <c r="DE503" s="242"/>
      <c r="DF503" s="242"/>
      <c r="DG503" s="729"/>
      <c r="DH503" s="730"/>
      <c r="DI503" s="729"/>
      <c r="DJ503" s="729"/>
      <c r="DK503" s="729"/>
      <c r="DL503" s="729"/>
      <c r="DM503" s="4"/>
    </row>
    <row r="504" spans="1:130" ht="30" hidden="1" customHeight="1" outlineLevel="1">
      <c r="A504" s="228"/>
      <c r="B504" s="121"/>
      <c r="C504" s="756">
        <f t="shared" ref="C504:C507" si="59">C503+1</f>
        <v>2</v>
      </c>
      <c r="D504" s="244"/>
      <c r="E504" s="757"/>
      <c r="F504" s="757"/>
      <c r="G504" s="758" t="s">
        <v>300</v>
      </c>
      <c r="H504" s="758" t="s">
        <v>2616</v>
      </c>
      <c r="I504" s="207" t="s">
        <v>2617</v>
      </c>
      <c r="J504" s="75" t="str">
        <f t="shared" si="52"/>
        <v>Cristina Marchi</v>
      </c>
      <c r="K504" s="224" t="s">
        <v>2618</v>
      </c>
      <c r="L504" s="131"/>
      <c r="M504" s="131"/>
      <c r="N504" s="131"/>
      <c r="O504" s="284"/>
      <c r="P504" s="37"/>
      <c r="Q504" s="37"/>
      <c r="R504" s="131" t="s">
        <v>2619</v>
      </c>
      <c r="S504" s="160"/>
      <c r="T504" s="160"/>
      <c r="U504" s="160"/>
      <c r="V504" s="160"/>
      <c r="W504" s="233"/>
      <c r="X504" s="234"/>
      <c r="Y504" s="233"/>
      <c r="Z504" s="233"/>
      <c r="AA504" s="233"/>
      <c r="AB504" s="37"/>
      <c r="AC504" s="37"/>
      <c r="AD504" s="37"/>
      <c r="AE504" s="160" t="s">
        <v>2620</v>
      </c>
      <c r="AF504" s="198"/>
      <c r="AG504" s="121"/>
      <c r="AH504" s="121"/>
      <c r="AI504" s="198"/>
      <c r="AJ504" s="121"/>
      <c r="AK504" s="121"/>
      <c r="AL504" s="121"/>
      <c r="AM504" s="198"/>
      <c r="AN504" s="155"/>
      <c r="AO504" s="155"/>
      <c r="AP504" s="155"/>
      <c r="AQ504" s="198"/>
      <c r="AR504" s="304"/>
      <c r="AS504" s="304"/>
      <c r="AT504" s="304"/>
      <c r="AU504" s="235"/>
      <c r="AV504" s="75" t="s">
        <v>165</v>
      </c>
      <c r="AW504" s="75" t="s">
        <v>165</v>
      </c>
      <c r="AX504" s="75" t="s">
        <v>165</v>
      </c>
      <c r="AY504" s="235"/>
      <c r="AZ504" s="759"/>
      <c r="BA504" s="759"/>
      <c r="BB504" s="135"/>
      <c r="BC504" s="235"/>
      <c r="BD504" s="759"/>
      <c r="BE504" s="759"/>
      <c r="BF504" s="759"/>
      <c r="BG504" s="235"/>
      <c r="BH504" s="760">
        <f t="shared" si="53"/>
        <v>0</v>
      </c>
      <c r="BI504" s="761">
        <f t="shared" si="54"/>
        <v>0</v>
      </c>
      <c r="BJ504" s="761">
        <f t="shared" si="55"/>
        <v>0</v>
      </c>
      <c r="BK504" s="110">
        <f t="shared" si="56"/>
        <v>0</v>
      </c>
      <c r="BL504" s="762"/>
      <c r="BM504" s="763"/>
      <c r="BN504" s="763"/>
      <c r="BO504" s="763"/>
      <c r="BP504" s="243" t="s">
        <v>407</v>
      </c>
      <c r="BQ504" s="98">
        <v>0.15</v>
      </c>
      <c r="BR504" s="110"/>
      <c r="BS504" s="242">
        <f t="shared" si="57"/>
        <v>0</v>
      </c>
      <c r="BT504" s="764"/>
      <c r="BU504" s="764"/>
      <c r="BV504" s="764"/>
      <c r="BW504" s="765"/>
      <c r="BX504" s="243" t="s">
        <v>407</v>
      </c>
      <c r="BY504" s="98">
        <v>0.05</v>
      </c>
      <c r="BZ504" s="110"/>
      <c r="CA504" s="242">
        <f t="shared" si="58"/>
        <v>0</v>
      </c>
      <c r="CB504" s="764"/>
      <c r="CC504" s="764"/>
      <c r="CD504" s="764"/>
      <c r="CE504" s="765"/>
      <c r="CF504" s="110"/>
      <c r="CG504" s="206"/>
      <c r="CH504" s="301"/>
      <c r="CI504" s="206"/>
      <c r="CJ504" s="206"/>
      <c r="CK504" s="206"/>
      <c r="CL504" s="206"/>
      <c r="CM504" s="302"/>
      <c r="CN504" s="206"/>
      <c r="CO504" s="206"/>
      <c r="CP504" s="206"/>
      <c r="CQ504" s="206"/>
      <c r="CR504" s="206"/>
      <c r="CS504" s="206"/>
      <c r="CT504" s="206"/>
      <c r="CU504" s="245" t="s">
        <v>2612</v>
      </c>
      <c r="CV504" s="181"/>
      <c r="CW504" s="438" t="s">
        <v>2621</v>
      </c>
      <c r="CX504" s="439" t="s">
        <v>2622</v>
      </c>
      <c r="CY504" s="155"/>
      <c r="CZ504" s="155"/>
      <c r="DA504" s="131"/>
      <c r="DB504" s="115"/>
      <c r="DC504" s="766"/>
      <c r="DD504" s="242"/>
      <c r="DE504" s="242"/>
      <c r="DF504" s="242"/>
      <c r="DG504" s="729"/>
      <c r="DH504" s="730"/>
      <c r="DI504" s="729"/>
      <c r="DJ504" s="729"/>
      <c r="DK504" s="729"/>
      <c r="DL504" s="729"/>
      <c r="DM504" s="4"/>
    </row>
    <row r="505" spans="1:130" ht="30" hidden="1" customHeight="1" outlineLevel="1">
      <c r="A505" s="228"/>
      <c r="B505" s="121"/>
      <c r="C505" s="756">
        <f t="shared" si="59"/>
        <v>3</v>
      </c>
      <c r="D505" s="244"/>
      <c r="E505" s="757"/>
      <c r="F505" s="757"/>
      <c r="G505" s="767" t="s">
        <v>321</v>
      </c>
      <c r="H505" s="767" t="s">
        <v>2623</v>
      </c>
      <c r="I505" s="207" t="s">
        <v>2624</v>
      </c>
      <c r="J505" s="75" t="str">
        <f t="shared" si="52"/>
        <v>Davide Buono</v>
      </c>
      <c r="K505" s="224">
        <v>3401622002</v>
      </c>
      <c r="L505" s="131"/>
      <c r="M505" s="131"/>
      <c r="N505" s="131"/>
      <c r="O505" s="284"/>
      <c r="P505" s="37"/>
      <c r="Q505" s="37"/>
      <c r="R505" s="131" t="s">
        <v>2625</v>
      </c>
      <c r="S505" s="160"/>
      <c r="T505" s="160"/>
      <c r="U505" s="160"/>
      <c r="V505" s="160"/>
      <c r="W505" s="233"/>
      <c r="X505" s="234"/>
      <c r="Y505" s="233"/>
      <c r="Z505" s="233"/>
      <c r="AA505" s="233"/>
      <c r="AB505" s="37"/>
      <c r="AC505" s="37"/>
      <c r="AD505" s="37"/>
      <c r="AE505" s="160" t="s">
        <v>2626</v>
      </c>
      <c r="AF505" s="198"/>
      <c r="AG505" s="121"/>
      <c r="AH505" s="121"/>
      <c r="AI505" s="198"/>
      <c r="AJ505" s="121"/>
      <c r="AK505" s="121"/>
      <c r="AL505" s="3"/>
      <c r="AM505" s="198"/>
      <c r="AN505" s="155"/>
      <c r="AO505" s="155"/>
      <c r="AP505" s="155"/>
      <c r="AQ505" s="198"/>
      <c r="AR505" s="304"/>
      <c r="AS505" s="304"/>
      <c r="AT505" s="304"/>
      <c r="AU505" s="235"/>
      <c r="AV505" s="304" t="s">
        <v>151</v>
      </c>
      <c r="AW505" s="304" t="s">
        <v>151</v>
      </c>
      <c r="AX505" s="304" t="s">
        <v>151</v>
      </c>
      <c r="AY505" s="235"/>
      <c r="AZ505" s="759"/>
      <c r="BA505" s="759"/>
      <c r="BB505" s="135"/>
      <c r="BC505" s="235"/>
      <c r="BD505" s="759"/>
      <c r="BE505" s="759"/>
      <c r="BF505" s="759"/>
      <c r="BG505" s="235"/>
      <c r="BH505" s="760">
        <f t="shared" si="53"/>
        <v>2997</v>
      </c>
      <c r="BI505" s="761">
        <f t="shared" si="54"/>
        <v>0</v>
      </c>
      <c r="BJ505" s="761">
        <f t="shared" si="55"/>
        <v>2997</v>
      </c>
      <c r="BK505" s="110">
        <f t="shared" si="56"/>
        <v>0</v>
      </c>
      <c r="BL505" s="762">
        <f t="shared" ref="BL505:BL506" si="60">BH505-BK505</f>
        <v>2997</v>
      </c>
      <c r="BM505" s="763"/>
      <c r="BN505" s="763"/>
      <c r="BO505" s="763"/>
      <c r="BP505" s="243" t="s">
        <v>160</v>
      </c>
      <c r="BQ505" s="768">
        <v>0.15</v>
      </c>
      <c r="BR505" s="110"/>
      <c r="BS505" s="242">
        <f t="shared" si="57"/>
        <v>449.55</v>
      </c>
      <c r="BT505" s="769"/>
      <c r="BU505" s="769"/>
      <c r="BV505" s="769"/>
      <c r="BW505" s="770"/>
      <c r="BX505" s="243" t="s">
        <v>160</v>
      </c>
      <c r="BY505" s="98">
        <v>0.05</v>
      </c>
      <c r="BZ505" s="110"/>
      <c r="CA505" s="242">
        <f t="shared" si="58"/>
        <v>149.85</v>
      </c>
      <c r="CB505" s="769"/>
      <c r="CC505" s="769"/>
      <c r="CD505" s="769"/>
      <c r="CE505" s="770"/>
      <c r="CF505" s="262">
        <v>2997</v>
      </c>
      <c r="CG505" s="206"/>
      <c r="CH505" s="301"/>
      <c r="CI505" s="206"/>
      <c r="CJ505" s="206"/>
      <c r="CK505" s="206"/>
      <c r="CL505" s="206"/>
      <c r="CM505" s="302"/>
      <c r="CN505" s="206"/>
      <c r="CO505" s="206"/>
      <c r="CP505" s="206"/>
      <c r="CQ505" s="206"/>
      <c r="CR505" s="206"/>
      <c r="CS505" s="206"/>
      <c r="CT505" s="206"/>
      <c r="CU505" s="245" t="s">
        <v>2612</v>
      </c>
      <c r="CV505" s="181"/>
      <c r="CW505" s="491" t="s">
        <v>1580</v>
      </c>
      <c r="CX505" s="492" t="s">
        <v>2627</v>
      </c>
      <c r="CY505" s="155"/>
      <c r="CZ505" s="155"/>
      <c r="DA505" s="131"/>
      <c r="DB505" s="115"/>
      <c r="DC505" s="766"/>
      <c r="DD505" s="242"/>
      <c r="DE505" s="242"/>
      <c r="DF505" s="242"/>
      <c r="DG505" s="729"/>
      <c r="DH505" s="730"/>
      <c r="DI505" s="729"/>
      <c r="DJ505" s="729"/>
      <c r="DK505" s="729"/>
      <c r="DL505" s="729"/>
      <c r="DM505" s="4"/>
    </row>
    <row r="506" spans="1:130" ht="30" hidden="1" customHeight="1" outlineLevel="1">
      <c r="A506" s="228"/>
      <c r="B506" s="121"/>
      <c r="C506" s="756">
        <f t="shared" si="59"/>
        <v>4</v>
      </c>
      <c r="D506" s="244"/>
      <c r="E506" s="757"/>
      <c r="F506" s="757"/>
      <c r="G506" s="767" t="s">
        <v>488</v>
      </c>
      <c r="H506" s="767" t="s">
        <v>2628</v>
      </c>
      <c r="I506" s="207" t="s">
        <v>2629</v>
      </c>
      <c r="J506" s="121" t="str">
        <f t="shared" si="52"/>
        <v>Francesca Lissandrini</v>
      </c>
      <c r="K506" s="224">
        <v>3488790050</v>
      </c>
      <c r="L506" s="131" t="s">
        <v>2630</v>
      </c>
      <c r="M506" s="131"/>
      <c r="N506" s="131"/>
      <c r="O506" s="284"/>
      <c r="P506" s="37"/>
      <c r="Q506" s="37"/>
      <c r="R506" s="131" t="s">
        <v>2631</v>
      </c>
      <c r="S506" s="160"/>
      <c r="T506" s="160"/>
      <c r="U506" s="160"/>
      <c r="V506" s="160"/>
      <c r="W506" s="233"/>
      <c r="X506" s="234"/>
      <c r="Y506" s="233"/>
      <c r="Z506" s="233"/>
      <c r="AA506" s="233"/>
      <c r="AB506" s="37"/>
      <c r="AC506" s="37"/>
      <c r="AD506" s="37"/>
      <c r="AE506" s="160" t="s">
        <v>2632</v>
      </c>
      <c r="AF506" s="198"/>
      <c r="AG506" s="121"/>
      <c r="AH506" s="121"/>
      <c r="AI506" s="198"/>
      <c r="AJ506" s="121"/>
      <c r="AK506" s="121"/>
      <c r="AL506" s="121"/>
      <c r="AM506" s="198"/>
      <c r="AN506" s="155"/>
      <c r="AO506" s="155"/>
      <c r="AP506" s="155"/>
      <c r="AQ506" s="198"/>
      <c r="AR506" s="565" t="s">
        <v>165</v>
      </c>
      <c r="AS506" s="565" t="s">
        <v>165</v>
      </c>
      <c r="AT506" s="565" t="s">
        <v>165</v>
      </c>
      <c r="AU506" s="235"/>
      <c r="AV506" s="304"/>
      <c r="AW506" s="304"/>
      <c r="AX506" s="304"/>
      <c r="AY506" s="235"/>
      <c r="AZ506" s="759"/>
      <c r="BA506" s="759"/>
      <c r="BB506" s="135"/>
      <c r="BC506" s="235"/>
      <c r="BD506" s="759"/>
      <c r="BE506" s="759"/>
      <c r="BF506" s="759"/>
      <c r="BG506" s="235"/>
      <c r="BH506" s="760">
        <f t="shared" si="53"/>
        <v>2997</v>
      </c>
      <c r="BI506" s="761">
        <f t="shared" si="54"/>
        <v>0</v>
      </c>
      <c r="BJ506" s="761">
        <f t="shared" si="55"/>
        <v>2997</v>
      </c>
      <c r="BK506" s="110">
        <f t="shared" si="56"/>
        <v>0</v>
      </c>
      <c r="BL506" s="762">
        <f t="shared" si="60"/>
        <v>2997</v>
      </c>
      <c r="BM506" s="771"/>
      <c r="BN506" s="771"/>
      <c r="BO506" s="771"/>
      <c r="BP506" s="772" t="s">
        <v>262</v>
      </c>
      <c r="BQ506" s="98">
        <v>0.15</v>
      </c>
      <c r="BR506" s="110"/>
      <c r="BS506" s="242">
        <f t="shared" si="57"/>
        <v>449.55</v>
      </c>
      <c r="BT506" s="773"/>
      <c r="BU506" s="773"/>
      <c r="BV506" s="773"/>
      <c r="BW506" s="774"/>
      <c r="BX506" s="243" t="s">
        <v>184</v>
      </c>
      <c r="BY506" s="775">
        <v>0.05</v>
      </c>
      <c r="BZ506" s="110"/>
      <c r="CA506" s="242">
        <f t="shared" si="58"/>
        <v>149.85</v>
      </c>
      <c r="CB506" s="764"/>
      <c r="CC506" s="764"/>
      <c r="CD506" s="764"/>
      <c r="CE506" s="765"/>
      <c r="CF506" s="110">
        <v>2997</v>
      </c>
      <c r="CG506" s="206"/>
      <c r="CH506" s="301"/>
      <c r="CI506" s="206"/>
      <c r="CJ506" s="206"/>
      <c r="CK506" s="206"/>
      <c r="CL506" s="206"/>
      <c r="CM506" s="302"/>
      <c r="CN506" s="206"/>
      <c r="CO506" s="206"/>
      <c r="CP506" s="206"/>
      <c r="CQ506" s="206"/>
      <c r="CR506" s="206"/>
      <c r="CS506" s="206"/>
      <c r="CT506" s="206"/>
      <c r="CU506" s="245" t="s">
        <v>2612</v>
      </c>
      <c r="CV506" s="181"/>
      <c r="CW506" s="438" t="s">
        <v>2633</v>
      </c>
      <c r="CX506" s="439" t="s">
        <v>2634</v>
      </c>
      <c r="CY506" s="155"/>
      <c r="CZ506" s="155"/>
      <c r="DA506" s="131"/>
      <c r="DB506" s="115"/>
      <c r="DC506" s="766"/>
      <c r="DD506" s="242"/>
      <c r="DE506" s="242"/>
      <c r="DF506" s="242"/>
      <c r="DG506" s="729"/>
      <c r="DH506" s="730"/>
      <c r="DI506" s="729"/>
      <c r="DJ506" s="729"/>
      <c r="DK506" s="729"/>
      <c r="DL506" s="729"/>
      <c r="DM506" s="4"/>
    </row>
    <row r="507" spans="1:130" ht="30" hidden="1" customHeight="1" outlineLevel="1">
      <c r="A507" s="228"/>
      <c r="B507" s="121"/>
      <c r="C507" s="756">
        <f t="shared" si="59"/>
        <v>5</v>
      </c>
      <c r="D507" s="244"/>
      <c r="E507" s="757"/>
      <c r="F507" s="757"/>
      <c r="G507" s="767" t="s">
        <v>895</v>
      </c>
      <c r="H507" s="767" t="s">
        <v>2635</v>
      </c>
      <c r="I507" s="207" t="s">
        <v>2636</v>
      </c>
      <c r="J507" s="121" t="str">
        <f t="shared" si="52"/>
        <v>Valentina Zanetti</v>
      </c>
      <c r="K507" s="224">
        <v>3401622005</v>
      </c>
      <c r="L507" s="131"/>
      <c r="M507" s="131"/>
      <c r="N507" s="131"/>
      <c r="O507" s="284"/>
      <c r="P507" s="37"/>
      <c r="Q507" s="37"/>
      <c r="R507" s="131" t="s">
        <v>2625</v>
      </c>
      <c r="S507" s="160"/>
      <c r="T507" s="160"/>
      <c r="U507" s="160"/>
      <c r="V507" s="160"/>
      <c r="W507" s="233"/>
      <c r="X507" s="234"/>
      <c r="Y507" s="233"/>
      <c r="Z507" s="233"/>
      <c r="AA507" s="233"/>
      <c r="AB507" s="37"/>
      <c r="AC507" s="37"/>
      <c r="AD507" s="37"/>
      <c r="AE507" s="160" t="s">
        <v>2637</v>
      </c>
      <c r="AF507" s="198"/>
      <c r="AG507" s="121"/>
      <c r="AH507" s="121"/>
      <c r="AI507" s="198"/>
      <c r="AJ507" s="121"/>
      <c r="AK507" s="121"/>
      <c r="AL507" s="121"/>
      <c r="AM507" s="198"/>
      <c r="AN507" s="155"/>
      <c r="AO507" s="155"/>
      <c r="AP507" s="155"/>
      <c r="AQ507" s="198"/>
      <c r="AR507" s="304"/>
      <c r="AS507" s="304"/>
      <c r="AT507" s="304"/>
      <c r="AU507" s="235"/>
      <c r="AV507" s="124"/>
      <c r="AW507" s="124"/>
      <c r="AX507" s="124"/>
      <c r="AY507" s="235"/>
      <c r="AZ507" s="759"/>
      <c r="BA507" s="759"/>
      <c r="BB507" s="135"/>
      <c r="BC507" s="235"/>
      <c r="BD507" s="759"/>
      <c r="BE507" s="759"/>
      <c r="BF507" s="759"/>
      <c r="BG507" s="235"/>
      <c r="BH507" s="760">
        <f t="shared" si="53"/>
        <v>0</v>
      </c>
      <c r="BI507" s="761">
        <f t="shared" si="54"/>
        <v>0</v>
      </c>
      <c r="BJ507" s="761">
        <f t="shared" si="55"/>
        <v>0</v>
      </c>
      <c r="BK507" s="110">
        <f t="shared" si="56"/>
        <v>0</v>
      </c>
      <c r="BL507" s="762"/>
      <c r="BM507" s="763"/>
      <c r="BN507" s="763"/>
      <c r="BO507" s="763"/>
      <c r="BP507" s="243" t="s">
        <v>160</v>
      </c>
      <c r="BQ507" s="98">
        <v>0.15</v>
      </c>
      <c r="BR507" s="110"/>
      <c r="BS507" s="242">
        <f t="shared" si="57"/>
        <v>0</v>
      </c>
      <c r="BT507" s="764"/>
      <c r="BU507" s="764"/>
      <c r="BV507" s="764"/>
      <c r="BW507" s="765"/>
      <c r="BX507" s="243" t="s">
        <v>160</v>
      </c>
      <c r="BY507" s="98">
        <v>0.05</v>
      </c>
      <c r="BZ507" s="110"/>
      <c r="CA507" s="242">
        <f t="shared" si="58"/>
        <v>0</v>
      </c>
      <c r="CB507" s="764"/>
      <c r="CC507" s="764"/>
      <c r="CD507" s="764"/>
      <c r="CE507" s="765"/>
      <c r="CF507" s="110"/>
      <c r="CG507" s="206"/>
      <c r="CH507" s="301"/>
      <c r="CI507" s="206"/>
      <c r="CJ507" s="206"/>
      <c r="CK507" s="206"/>
      <c r="CL507" s="206"/>
      <c r="CM507" s="302"/>
      <c r="CN507" s="206"/>
      <c r="CO507" s="206"/>
      <c r="CP507" s="206"/>
      <c r="CQ507" s="206"/>
      <c r="CR507" s="206"/>
      <c r="CS507" s="206"/>
      <c r="CT507" s="206"/>
      <c r="CU507" s="245" t="s">
        <v>2612</v>
      </c>
      <c r="CV507" s="181"/>
      <c r="CW507" s="438" t="s">
        <v>1387</v>
      </c>
      <c r="CX507" s="439" t="s">
        <v>2638</v>
      </c>
      <c r="CY507" s="155"/>
      <c r="CZ507" s="155"/>
      <c r="DA507" s="131"/>
      <c r="DB507" s="115"/>
      <c r="DC507" s="766"/>
      <c r="DD507" s="242"/>
      <c r="DE507" s="242"/>
      <c r="DF507" s="242"/>
      <c r="DG507" s="729"/>
      <c r="DH507" s="730"/>
      <c r="DI507" s="729"/>
      <c r="DJ507" s="729"/>
      <c r="DK507" s="729"/>
      <c r="DL507" s="729"/>
      <c r="DM507" s="4"/>
    </row>
    <row r="508" spans="1:130" ht="30" hidden="1" customHeight="1" outlineLevel="1">
      <c r="A508" s="228"/>
      <c r="B508" s="121"/>
      <c r="C508" s="776">
        <v>1</v>
      </c>
      <c r="D508" s="244"/>
      <c r="E508" s="757"/>
      <c r="F508" s="757"/>
      <c r="G508" s="777" t="s">
        <v>135</v>
      </c>
      <c r="H508" s="777" t="s">
        <v>2639</v>
      </c>
      <c r="I508" s="207" t="s">
        <v>2640</v>
      </c>
      <c r="J508" s="121" t="str">
        <f t="shared" si="52"/>
        <v>Alessandro Farina</v>
      </c>
      <c r="K508" s="224">
        <v>3487986130</v>
      </c>
      <c r="L508" s="131"/>
      <c r="M508" s="131"/>
      <c r="N508" s="131"/>
      <c r="O508" s="599"/>
      <c r="P508" s="37"/>
      <c r="Q508" s="37"/>
      <c r="R508" s="131" t="s">
        <v>2641</v>
      </c>
      <c r="S508" s="160"/>
      <c r="T508" s="160"/>
      <c r="U508" s="160"/>
      <c r="V508" s="160"/>
      <c r="W508" s="233"/>
      <c r="X508" s="131"/>
      <c r="Y508" s="233"/>
      <c r="Z508" s="233"/>
      <c r="AA508" s="233"/>
      <c r="AB508" s="37"/>
      <c r="AC508" s="131"/>
      <c r="AD508" s="37" t="s">
        <v>118</v>
      </c>
      <c r="AE508" s="131"/>
      <c r="AF508" s="515"/>
      <c r="AG508" s="155"/>
      <c r="AH508" s="155"/>
      <c r="AI508" s="515"/>
      <c r="AJ508" s="121"/>
      <c r="AK508" s="121"/>
      <c r="AL508" s="3"/>
      <c r="AM508" s="198"/>
      <c r="AN508" s="565" t="s">
        <v>194</v>
      </c>
      <c r="AO508" s="565" t="s">
        <v>194</v>
      </c>
      <c r="AP508" s="565" t="s">
        <v>194</v>
      </c>
      <c r="AQ508" s="198"/>
      <c r="AR508" s="121"/>
      <c r="AS508" s="121"/>
      <c r="AT508" s="121"/>
      <c r="AU508" s="235"/>
      <c r="AV508" s="75" t="s">
        <v>165</v>
      </c>
      <c r="AW508" s="75" t="s">
        <v>165</v>
      </c>
      <c r="AX508" s="75" t="s">
        <v>165</v>
      </c>
      <c r="AY508" s="235"/>
      <c r="AZ508" s="617"/>
      <c r="BA508" s="617"/>
      <c r="BB508" s="135"/>
      <c r="BC508" s="235"/>
      <c r="BD508" s="617"/>
      <c r="BE508" s="617"/>
      <c r="BF508" s="617"/>
      <c r="BG508" s="235"/>
      <c r="BH508" s="760">
        <f t="shared" si="53"/>
        <v>0</v>
      </c>
      <c r="BI508" s="761">
        <f t="shared" si="54"/>
        <v>0</v>
      </c>
      <c r="BJ508" s="761">
        <f t="shared" si="55"/>
        <v>0</v>
      </c>
      <c r="BK508" s="110">
        <f t="shared" si="56"/>
        <v>0</v>
      </c>
      <c r="BL508" s="242">
        <f t="shared" ref="BL508:BL525" si="61">BH508-BK508</f>
        <v>0</v>
      </c>
      <c r="BM508" s="764"/>
      <c r="BN508" s="764"/>
      <c r="BO508" s="764"/>
      <c r="BP508" s="243" t="s">
        <v>414</v>
      </c>
      <c r="BQ508" s="98">
        <v>0.15</v>
      </c>
      <c r="BR508" s="110">
        <f t="shared" ref="BR508:BR526" si="62">BH508*BQ508</f>
        <v>0</v>
      </c>
      <c r="BS508" s="242"/>
      <c r="BT508" s="203"/>
      <c r="BU508" s="203"/>
      <c r="BV508" s="203"/>
      <c r="BW508" s="765"/>
      <c r="BX508" s="243" t="s">
        <v>414</v>
      </c>
      <c r="BY508" s="98">
        <v>0.05</v>
      </c>
      <c r="BZ508" s="110">
        <f t="shared" ref="BZ508:BZ526" si="63">BH508*BY508</f>
        <v>0</v>
      </c>
      <c r="CA508" s="242"/>
      <c r="CB508" s="764"/>
      <c r="CC508" s="764"/>
      <c r="CD508" s="764"/>
      <c r="CE508" s="765"/>
      <c r="CF508" s="110"/>
      <c r="CG508" s="206"/>
      <c r="CH508" s="301"/>
      <c r="CI508" s="206"/>
      <c r="CJ508" s="206"/>
      <c r="CK508" s="206"/>
      <c r="CL508" s="206"/>
      <c r="CM508" s="206"/>
      <c r="CN508" s="778"/>
      <c r="CO508" s="206"/>
      <c r="CP508" s="206"/>
      <c r="CQ508" s="206"/>
      <c r="CR508" s="206"/>
      <c r="CS508" s="206"/>
      <c r="CT508" s="206"/>
      <c r="CU508" s="245" t="s">
        <v>2612</v>
      </c>
      <c r="CV508" s="181"/>
      <c r="CW508" s="438" t="s">
        <v>1387</v>
      </c>
      <c r="CX508" s="439" t="s">
        <v>2642</v>
      </c>
      <c r="CY508" s="155"/>
      <c r="CZ508" s="155"/>
      <c r="DA508" s="131"/>
      <c r="DB508" s="115"/>
      <c r="DC508" s="766"/>
      <c r="DD508" s="242"/>
      <c r="DE508" s="242"/>
      <c r="DF508" s="242"/>
      <c r="DG508" s="729"/>
      <c r="DH508" s="730"/>
      <c r="DI508" s="779"/>
      <c r="DJ508" s="779"/>
      <c r="DK508" s="779"/>
      <c r="DL508" s="779"/>
      <c r="DM508" s="4"/>
    </row>
    <row r="509" spans="1:130" ht="30" hidden="1" customHeight="1" outlineLevel="1">
      <c r="A509" s="228"/>
      <c r="B509" s="121"/>
      <c r="C509" s="780">
        <f t="shared" ref="C509:C520" si="64">C508+1</f>
        <v>2</v>
      </c>
      <c r="D509" s="244"/>
      <c r="E509" s="757"/>
      <c r="F509" s="757"/>
      <c r="G509" s="283" t="s">
        <v>1449</v>
      </c>
      <c r="H509" s="283" t="s">
        <v>2643</v>
      </c>
      <c r="I509" s="207" t="s">
        <v>2644</v>
      </c>
      <c r="J509" s="121" t="str">
        <f t="shared" si="52"/>
        <v>Alessio Garbi</v>
      </c>
      <c r="K509" s="224">
        <v>3484104746</v>
      </c>
      <c r="L509" s="131"/>
      <c r="M509" s="131"/>
      <c r="N509" s="131"/>
      <c r="O509" s="599"/>
      <c r="P509" s="37"/>
      <c r="Q509" s="37"/>
      <c r="R509" s="131" t="s">
        <v>2645</v>
      </c>
      <c r="S509" s="160"/>
      <c r="T509" s="160"/>
      <c r="U509" s="160"/>
      <c r="V509" s="160"/>
      <c r="W509" s="233"/>
      <c r="X509" s="131"/>
      <c r="Y509" s="233"/>
      <c r="Z509" s="233"/>
      <c r="AA509" s="233"/>
      <c r="AB509" s="37"/>
      <c r="AC509" s="131"/>
      <c r="AD509" s="37" t="s">
        <v>118</v>
      </c>
      <c r="AE509" s="131"/>
      <c r="AF509" s="515"/>
      <c r="AG509" s="155"/>
      <c r="AH509" s="155"/>
      <c r="AI509" s="515"/>
      <c r="AJ509" s="155"/>
      <c r="AK509" s="155"/>
      <c r="AL509" s="155"/>
      <c r="AM509" s="198"/>
      <c r="AN509" s="565" t="s">
        <v>194</v>
      </c>
      <c r="AO509" s="565" t="s">
        <v>194</v>
      </c>
      <c r="AP509" s="565" t="s">
        <v>194</v>
      </c>
      <c r="AQ509" s="198"/>
      <c r="AR509" s="121"/>
      <c r="AS509" s="121"/>
      <c r="AT509" s="121"/>
      <c r="AU509" s="235"/>
      <c r="AV509" s="121"/>
      <c r="AW509" s="121"/>
      <c r="AX509" s="121"/>
      <c r="AY509" s="235"/>
      <c r="AZ509" s="617"/>
      <c r="BA509" s="617"/>
      <c r="BB509" s="135"/>
      <c r="BC509" s="235"/>
      <c r="BD509" s="617"/>
      <c r="BE509" s="617"/>
      <c r="BF509" s="617"/>
      <c r="BG509" s="235"/>
      <c r="BH509" s="760">
        <f t="shared" si="53"/>
        <v>0</v>
      </c>
      <c r="BI509" s="761">
        <f t="shared" si="54"/>
        <v>0</v>
      </c>
      <c r="BJ509" s="761">
        <f t="shared" si="55"/>
        <v>0</v>
      </c>
      <c r="BK509" s="110">
        <f t="shared" si="56"/>
        <v>0</v>
      </c>
      <c r="BL509" s="242">
        <f t="shared" si="61"/>
        <v>0</v>
      </c>
      <c r="BM509" s="773"/>
      <c r="BN509" s="773"/>
      <c r="BO509" s="773"/>
      <c r="BP509" s="772" t="s">
        <v>262</v>
      </c>
      <c r="BQ509" s="98">
        <v>0.15</v>
      </c>
      <c r="BR509" s="110">
        <f t="shared" si="62"/>
        <v>0</v>
      </c>
      <c r="BS509" s="242"/>
      <c r="BT509" s="203"/>
      <c r="BU509" s="203"/>
      <c r="BV509" s="203"/>
      <c r="BW509" s="765"/>
      <c r="BX509" s="243" t="s">
        <v>184</v>
      </c>
      <c r="BY509" s="98">
        <v>0.05</v>
      </c>
      <c r="BZ509" s="110">
        <f t="shared" si="63"/>
        <v>0</v>
      </c>
      <c r="CA509" s="242"/>
      <c r="CB509" s="764"/>
      <c r="CC509" s="764"/>
      <c r="CD509" s="764"/>
      <c r="CE509" s="765"/>
      <c r="CF509" s="110"/>
      <c r="CG509" s="206"/>
      <c r="CH509" s="301"/>
      <c r="CI509" s="206"/>
      <c r="CJ509" s="206"/>
      <c r="CK509" s="206"/>
      <c r="CL509" s="206"/>
      <c r="CM509" s="206"/>
      <c r="CN509" s="778"/>
      <c r="CO509" s="206"/>
      <c r="CP509" s="206"/>
      <c r="CQ509" s="206"/>
      <c r="CR509" s="206"/>
      <c r="CS509" s="206"/>
      <c r="CT509" s="206"/>
      <c r="CU509" s="245" t="s">
        <v>2612</v>
      </c>
      <c r="CV509" s="181"/>
      <c r="CW509" s="438" t="s">
        <v>1387</v>
      </c>
      <c r="CX509" s="439" t="s">
        <v>976</v>
      </c>
      <c r="CY509" s="155"/>
      <c r="CZ509" s="155"/>
      <c r="DA509" s="131"/>
      <c r="DB509" s="115"/>
      <c r="DC509" s="766"/>
      <c r="DD509" s="242"/>
      <c r="DE509" s="242"/>
      <c r="DF509" s="242"/>
      <c r="DG509" s="729"/>
      <c r="DH509" s="730"/>
      <c r="DI509" s="779"/>
      <c r="DJ509" s="779"/>
      <c r="DK509" s="779"/>
      <c r="DL509" s="779"/>
      <c r="DM509" s="4"/>
    </row>
    <row r="510" spans="1:130" ht="30" hidden="1" customHeight="1" outlineLevel="1">
      <c r="A510" s="228"/>
      <c r="B510" s="121"/>
      <c r="C510" s="780">
        <f t="shared" si="64"/>
        <v>3</v>
      </c>
      <c r="D510" s="244"/>
      <c r="E510" s="757"/>
      <c r="F510" s="781"/>
      <c r="G510" s="782" t="s">
        <v>188</v>
      </c>
      <c r="H510" s="783" t="s">
        <v>2646</v>
      </c>
      <c r="I510" s="113" t="s">
        <v>2647</v>
      </c>
      <c r="J510" s="121" t="str">
        <f t="shared" si="52"/>
        <v>Andrea Todeschi</v>
      </c>
      <c r="K510" s="224"/>
      <c r="L510" s="131"/>
      <c r="M510" s="131"/>
      <c r="N510" s="131"/>
      <c r="O510" s="599"/>
      <c r="P510" s="37"/>
      <c r="Q510" s="37"/>
      <c r="R510" s="131" t="s">
        <v>2648</v>
      </c>
      <c r="S510" s="160"/>
      <c r="T510" s="160"/>
      <c r="U510" s="160"/>
      <c r="V510" s="160"/>
      <c r="W510" s="233"/>
      <c r="X510" s="131"/>
      <c r="Y510" s="233"/>
      <c r="Z510" s="233"/>
      <c r="AA510" s="233"/>
      <c r="AB510" s="37"/>
      <c r="AC510" s="131"/>
      <c r="AD510" s="37" t="s">
        <v>118</v>
      </c>
      <c r="AE510" s="131"/>
      <c r="AF510" s="515"/>
      <c r="AG510" s="155"/>
      <c r="AH510" s="155"/>
      <c r="AI510" s="515"/>
      <c r="AJ510" s="155"/>
      <c r="AK510" s="155"/>
      <c r="AL510" s="155"/>
      <c r="AM510" s="198"/>
      <c r="AN510" s="565" t="s">
        <v>194</v>
      </c>
      <c r="AO510" s="565" t="s">
        <v>194</v>
      </c>
      <c r="AP510" s="565" t="s">
        <v>194</v>
      </c>
      <c r="AQ510" s="198"/>
      <c r="AR510" s="121"/>
      <c r="AS510" s="121"/>
      <c r="AT510" s="121"/>
      <c r="AU510" s="235"/>
      <c r="AV510" s="121"/>
      <c r="AW510" s="121"/>
      <c r="AX510" s="121"/>
      <c r="AY510" s="235"/>
      <c r="AZ510" s="617"/>
      <c r="BA510" s="617"/>
      <c r="BB510" s="135"/>
      <c r="BC510" s="235"/>
      <c r="BD510" s="617"/>
      <c r="BE510" s="617"/>
      <c r="BF510" s="617"/>
      <c r="BG510" s="235"/>
      <c r="BH510" s="760">
        <f t="shared" si="53"/>
        <v>0</v>
      </c>
      <c r="BI510" s="761">
        <f t="shared" si="54"/>
        <v>0</v>
      </c>
      <c r="BJ510" s="761">
        <f t="shared" si="55"/>
        <v>0</v>
      </c>
      <c r="BK510" s="110">
        <f t="shared" si="56"/>
        <v>0</v>
      </c>
      <c r="BL510" s="242">
        <f t="shared" si="61"/>
        <v>0</v>
      </c>
      <c r="BM510" s="764"/>
      <c r="BN510" s="764"/>
      <c r="BO510" s="764"/>
      <c r="BP510" s="243" t="s">
        <v>117</v>
      </c>
      <c r="BQ510" s="98">
        <v>0</v>
      </c>
      <c r="BR510" s="110">
        <f t="shared" si="62"/>
        <v>0</v>
      </c>
      <c r="BS510" s="242"/>
      <c r="BT510" s="764"/>
      <c r="BU510" s="764"/>
      <c r="BV510" s="764"/>
      <c r="BW510" s="784" t="s">
        <v>118</v>
      </c>
      <c r="BX510" s="243" t="s">
        <v>152</v>
      </c>
      <c r="BY510" s="98">
        <v>0.05</v>
      </c>
      <c r="BZ510" s="110">
        <f t="shared" si="63"/>
        <v>0</v>
      </c>
      <c r="CA510" s="242"/>
      <c r="CB510" s="764"/>
      <c r="CC510" s="764"/>
      <c r="CD510" s="764"/>
      <c r="CE510" s="765"/>
      <c r="CF510" s="110"/>
      <c r="CG510" s="206"/>
      <c r="CH510" s="301"/>
      <c r="CI510" s="206"/>
      <c r="CJ510" s="206"/>
      <c r="CK510" s="206"/>
      <c r="CL510" s="206"/>
      <c r="CM510" s="206"/>
      <c r="CN510" s="778"/>
      <c r="CO510" s="206"/>
      <c r="CP510" s="206"/>
      <c r="CQ510" s="206"/>
      <c r="CR510" s="206"/>
      <c r="CS510" s="206"/>
      <c r="CT510" s="206"/>
      <c r="CU510" s="245" t="s">
        <v>2612</v>
      </c>
      <c r="CV510" s="181"/>
      <c r="CW510" s="785"/>
      <c r="CX510" s="786"/>
      <c r="CY510" s="155"/>
      <c r="CZ510" s="155"/>
      <c r="DA510" s="131"/>
      <c r="DB510" s="115"/>
      <c r="DC510" s="766"/>
      <c r="DD510" s="242"/>
      <c r="DE510" s="242"/>
      <c r="DF510" s="242"/>
      <c r="DG510" s="729"/>
      <c r="DH510" s="730"/>
      <c r="DI510" s="779"/>
      <c r="DJ510" s="779"/>
      <c r="DK510" s="779"/>
      <c r="DL510" s="779"/>
      <c r="DM510" s="4"/>
    </row>
    <row r="511" spans="1:130" ht="30" hidden="1" customHeight="1" outlineLevel="1">
      <c r="A511" s="228"/>
      <c r="B511" s="121"/>
      <c r="C511" s="780">
        <f t="shared" si="64"/>
        <v>4</v>
      </c>
      <c r="D511" s="244"/>
      <c r="E511" s="757"/>
      <c r="F511" s="757"/>
      <c r="G511" s="782" t="s">
        <v>392</v>
      </c>
      <c r="H511" s="783" t="s">
        <v>1512</v>
      </c>
      <c r="I511" s="207" t="s">
        <v>2649</v>
      </c>
      <c r="J511" s="121" t="str">
        <f t="shared" si="52"/>
        <v>Elena Pegoraro</v>
      </c>
      <c r="K511" s="224">
        <v>3356534865</v>
      </c>
      <c r="L511" s="131"/>
      <c r="M511" s="131"/>
      <c r="N511" s="131"/>
      <c r="O511" s="599"/>
      <c r="P511" s="37"/>
      <c r="Q511" s="37"/>
      <c r="R511" s="131" t="s">
        <v>2650</v>
      </c>
      <c r="S511" s="160"/>
      <c r="T511" s="160"/>
      <c r="U511" s="160"/>
      <c r="V511" s="160"/>
      <c r="W511" s="233"/>
      <c r="X511" s="131"/>
      <c r="Y511" s="233"/>
      <c r="Z511" s="233"/>
      <c r="AA511" s="233"/>
      <c r="AB511" s="37"/>
      <c r="AC511" s="131"/>
      <c r="AD511" s="37" t="s">
        <v>118</v>
      </c>
      <c r="AE511" s="131"/>
      <c r="AF511" s="515"/>
      <c r="AG511" s="155"/>
      <c r="AH511" s="155"/>
      <c r="AI511" s="515"/>
      <c r="AJ511" s="155"/>
      <c r="AK511" s="155"/>
      <c r="AL511" s="155"/>
      <c r="AM511" s="198"/>
      <c r="AN511" s="565" t="s">
        <v>165</v>
      </c>
      <c r="AO511" s="565" t="s">
        <v>165</v>
      </c>
      <c r="AP511" s="565" t="s">
        <v>165</v>
      </c>
      <c r="AQ511" s="198"/>
      <c r="AR511" s="121"/>
      <c r="AS511" s="121"/>
      <c r="AT511" s="121"/>
      <c r="AU511" s="235"/>
      <c r="AV511" s="121"/>
      <c r="AW511" s="121"/>
      <c r="AX511" s="121"/>
      <c r="AY511" s="235"/>
      <c r="AZ511" s="617"/>
      <c r="BA511" s="617"/>
      <c r="BB511" s="135"/>
      <c r="BC511" s="235"/>
      <c r="BD511" s="617"/>
      <c r="BE511" s="617"/>
      <c r="BF511" s="617"/>
      <c r="BG511" s="235"/>
      <c r="BH511" s="760">
        <f t="shared" si="53"/>
        <v>0</v>
      </c>
      <c r="BI511" s="761">
        <f t="shared" si="54"/>
        <v>0</v>
      </c>
      <c r="BJ511" s="761">
        <f t="shared" si="55"/>
        <v>0</v>
      </c>
      <c r="BK511" s="110">
        <f t="shared" si="56"/>
        <v>0</v>
      </c>
      <c r="BL511" s="242">
        <f t="shared" si="61"/>
        <v>0</v>
      </c>
      <c r="BM511" s="764"/>
      <c r="BN511" s="764"/>
      <c r="BO511" s="764"/>
      <c r="BP511" s="243" t="s">
        <v>117</v>
      </c>
      <c r="BQ511" s="98">
        <v>0</v>
      </c>
      <c r="BR511" s="110">
        <f t="shared" si="62"/>
        <v>0</v>
      </c>
      <c r="BS511" s="242"/>
      <c r="BT511" s="764"/>
      <c r="BU511" s="764"/>
      <c r="BV511" s="764"/>
      <c r="BW511" s="784" t="s">
        <v>118</v>
      </c>
      <c r="BX511" s="243" t="s">
        <v>152</v>
      </c>
      <c r="BY511" s="98">
        <v>0.05</v>
      </c>
      <c r="BZ511" s="110">
        <f t="shared" si="63"/>
        <v>0</v>
      </c>
      <c r="CA511" s="242"/>
      <c r="CB511" s="764"/>
      <c r="CC511" s="764"/>
      <c r="CD511" s="764"/>
      <c r="CE511" s="765"/>
      <c r="CF511" s="110"/>
      <c r="CG511" s="206"/>
      <c r="CH511" s="301"/>
      <c r="CI511" s="206"/>
      <c r="CJ511" s="206"/>
      <c r="CK511" s="206"/>
      <c r="CL511" s="206"/>
      <c r="CM511" s="206"/>
      <c r="CN511" s="778"/>
      <c r="CO511" s="206"/>
      <c r="CP511" s="206"/>
      <c r="CQ511" s="206"/>
      <c r="CR511" s="206"/>
      <c r="CS511" s="206"/>
      <c r="CT511" s="206"/>
      <c r="CU511" s="245" t="s">
        <v>2612</v>
      </c>
      <c r="CV511" s="181"/>
      <c r="CW511" s="438" t="s">
        <v>1408</v>
      </c>
      <c r="CX511" s="439" t="s">
        <v>2651</v>
      </c>
      <c r="CY511" s="155"/>
      <c r="CZ511" s="155"/>
      <c r="DA511" s="131"/>
      <c r="DB511" s="115"/>
      <c r="DC511" s="766"/>
      <c r="DD511" s="242"/>
      <c r="DE511" s="242"/>
      <c r="DF511" s="242"/>
      <c r="DG511" s="729"/>
      <c r="DH511" s="730"/>
      <c r="DI511" s="779"/>
      <c r="DJ511" s="779"/>
      <c r="DK511" s="779"/>
      <c r="DL511" s="779"/>
      <c r="DM511" s="4"/>
    </row>
    <row r="512" spans="1:130" ht="30" hidden="1" customHeight="1" outlineLevel="1">
      <c r="A512" s="228"/>
      <c r="B512" s="121"/>
      <c r="C512" s="780">
        <f t="shared" si="64"/>
        <v>5</v>
      </c>
      <c r="D512" s="244"/>
      <c r="E512" s="757"/>
      <c r="F512" s="757"/>
      <c r="G512" s="782" t="s">
        <v>428</v>
      </c>
      <c r="H512" s="783" t="s">
        <v>2568</v>
      </c>
      <c r="I512" s="207" t="s">
        <v>2652</v>
      </c>
      <c r="J512" s="121" t="str">
        <f t="shared" si="52"/>
        <v>Enrico Martini</v>
      </c>
      <c r="K512" s="224">
        <v>3401610822</v>
      </c>
      <c r="L512" s="131"/>
      <c r="M512" s="131"/>
      <c r="N512" s="131"/>
      <c r="O512" s="599"/>
      <c r="P512" s="37"/>
      <c r="Q512" s="37"/>
      <c r="R512" s="131" t="s">
        <v>2653</v>
      </c>
      <c r="S512" s="160"/>
      <c r="T512" s="160"/>
      <c r="U512" s="160"/>
      <c r="V512" s="160"/>
      <c r="W512" s="233"/>
      <c r="X512" s="131"/>
      <c r="Y512" s="233"/>
      <c r="Z512" s="233"/>
      <c r="AA512" s="233"/>
      <c r="AB512" s="37"/>
      <c r="AC512" s="131"/>
      <c r="AD512" s="37" t="s">
        <v>118</v>
      </c>
      <c r="AE512" s="131"/>
      <c r="AF512" s="515"/>
      <c r="AG512" s="155"/>
      <c r="AH512" s="155"/>
      <c r="AI512" s="515"/>
      <c r="AJ512" s="155"/>
      <c r="AK512" s="155"/>
      <c r="AL512" s="155"/>
      <c r="AM512" s="198"/>
      <c r="AN512" s="565" t="s">
        <v>194</v>
      </c>
      <c r="AO512" s="565" t="s">
        <v>194</v>
      </c>
      <c r="AP512" s="565" t="s">
        <v>194</v>
      </c>
      <c r="AQ512" s="198"/>
      <c r="AR512" s="121"/>
      <c r="AS512" s="121"/>
      <c r="AT512" s="121"/>
      <c r="AU512" s="235"/>
      <c r="AV512" s="121"/>
      <c r="AW512" s="121"/>
      <c r="AX512" s="121"/>
      <c r="AY512" s="235"/>
      <c r="AZ512" s="617"/>
      <c r="BA512" s="617"/>
      <c r="BB512" s="135"/>
      <c r="BC512" s="235"/>
      <c r="BD512" s="617"/>
      <c r="BE512" s="617"/>
      <c r="BF512" s="617"/>
      <c r="BG512" s="235"/>
      <c r="BH512" s="760">
        <f t="shared" si="53"/>
        <v>0</v>
      </c>
      <c r="BI512" s="761">
        <f t="shared" si="54"/>
        <v>0</v>
      </c>
      <c r="BJ512" s="761">
        <f t="shared" si="55"/>
        <v>0</v>
      </c>
      <c r="BK512" s="110">
        <f t="shared" si="56"/>
        <v>0</v>
      </c>
      <c r="BL512" s="242">
        <f t="shared" si="61"/>
        <v>0</v>
      </c>
      <c r="BM512" s="764"/>
      <c r="BN512" s="764"/>
      <c r="BO512" s="764"/>
      <c r="BP512" s="243" t="s">
        <v>117</v>
      </c>
      <c r="BQ512" s="98">
        <v>0</v>
      </c>
      <c r="BR512" s="110">
        <f t="shared" si="62"/>
        <v>0</v>
      </c>
      <c r="BS512" s="242"/>
      <c r="BT512" s="764"/>
      <c r="BU512" s="764"/>
      <c r="BV512" s="764"/>
      <c r="BW512" s="784" t="s">
        <v>118</v>
      </c>
      <c r="BX512" s="243" t="s">
        <v>152</v>
      </c>
      <c r="BY512" s="98">
        <v>0.05</v>
      </c>
      <c r="BZ512" s="110">
        <f t="shared" si="63"/>
        <v>0</v>
      </c>
      <c r="CA512" s="242"/>
      <c r="CB512" s="764"/>
      <c r="CC512" s="764"/>
      <c r="CD512" s="764"/>
      <c r="CE512" s="765"/>
      <c r="CF512" s="110"/>
      <c r="CG512" s="206"/>
      <c r="CH512" s="301"/>
      <c r="CI512" s="206"/>
      <c r="CJ512" s="206"/>
      <c r="CK512" s="206"/>
      <c r="CL512" s="206"/>
      <c r="CM512" s="206"/>
      <c r="CN512" s="778"/>
      <c r="CO512" s="206"/>
      <c r="CP512" s="206"/>
      <c r="CQ512" s="206"/>
      <c r="CR512" s="206"/>
      <c r="CS512" s="206"/>
      <c r="CT512" s="206"/>
      <c r="CU512" s="245" t="s">
        <v>2612</v>
      </c>
      <c r="CV512" s="181"/>
      <c r="CW512" s="438" t="s">
        <v>1387</v>
      </c>
      <c r="CX512" s="439" t="s">
        <v>1077</v>
      </c>
      <c r="CY512" s="155"/>
      <c r="CZ512" s="155"/>
      <c r="DA512" s="131"/>
      <c r="DB512" s="115"/>
      <c r="DC512" s="766"/>
      <c r="DD512" s="242"/>
      <c r="DE512" s="242"/>
      <c r="DF512" s="242"/>
      <c r="DG512" s="729"/>
      <c r="DH512" s="730"/>
      <c r="DI512" s="779"/>
      <c r="DJ512" s="779"/>
      <c r="DK512" s="779"/>
      <c r="DL512" s="779"/>
      <c r="DM512" s="4"/>
    </row>
    <row r="513" spans="1:117" ht="30" hidden="1" customHeight="1" outlineLevel="1">
      <c r="A513" s="228"/>
      <c r="B513" s="121"/>
      <c r="C513" s="780">
        <f t="shared" si="64"/>
        <v>6</v>
      </c>
      <c r="D513" s="244"/>
      <c r="E513" s="757"/>
      <c r="F513" s="757"/>
      <c r="G513" s="782" t="s">
        <v>2654</v>
      </c>
      <c r="H513" s="783" t="s">
        <v>2655</v>
      </c>
      <c r="I513" s="207" t="s">
        <v>2656</v>
      </c>
      <c r="J513" s="121" t="str">
        <f t="shared" si="52"/>
        <v>Enrico Mario Bulgaron</v>
      </c>
      <c r="K513" s="224">
        <v>3482681526</v>
      </c>
      <c r="L513" s="131"/>
      <c r="M513" s="131"/>
      <c r="N513" s="131"/>
      <c r="O513" s="599"/>
      <c r="P513" s="37"/>
      <c r="Q513" s="37"/>
      <c r="R513" s="131" t="s">
        <v>2657</v>
      </c>
      <c r="S513" s="160"/>
      <c r="T513" s="160"/>
      <c r="U513" s="160"/>
      <c r="V513" s="160"/>
      <c r="W513" s="233"/>
      <c r="X513" s="131"/>
      <c r="Y513" s="233"/>
      <c r="Z513" s="233"/>
      <c r="AA513" s="233"/>
      <c r="AB513" s="37"/>
      <c r="AC513" s="131"/>
      <c r="AD513" s="37" t="s">
        <v>118</v>
      </c>
      <c r="AE513" s="131"/>
      <c r="AF513" s="515"/>
      <c r="AG513" s="155"/>
      <c r="AH513" s="155"/>
      <c r="AI513" s="515"/>
      <c r="AJ513" s="155"/>
      <c r="AK513" s="155"/>
      <c r="AL513" s="155"/>
      <c r="AM513" s="198"/>
      <c r="AN513" s="565" t="s">
        <v>194</v>
      </c>
      <c r="AO513" s="565" t="s">
        <v>194</v>
      </c>
      <c r="AP513" s="565" t="s">
        <v>194</v>
      </c>
      <c r="AQ513" s="198"/>
      <c r="AR513" s="121"/>
      <c r="AS513" s="121"/>
      <c r="AT513" s="121"/>
      <c r="AU513" s="235"/>
      <c r="AV513" s="121"/>
      <c r="AW513" s="121"/>
      <c r="AX513" s="121"/>
      <c r="AY513" s="235"/>
      <c r="AZ513" s="617"/>
      <c r="BA513" s="617"/>
      <c r="BB513" s="135"/>
      <c r="BC513" s="235"/>
      <c r="BD513" s="617"/>
      <c r="BE513" s="617"/>
      <c r="BF513" s="617"/>
      <c r="BG513" s="235"/>
      <c r="BH513" s="760">
        <f t="shared" si="53"/>
        <v>0</v>
      </c>
      <c r="BI513" s="761">
        <f t="shared" si="54"/>
        <v>0</v>
      </c>
      <c r="BJ513" s="761">
        <f t="shared" si="55"/>
        <v>0</v>
      </c>
      <c r="BK513" s="110">
        <f t="shared" si="56"/>
        <v>0</v>
      </c>
      <c r="BL513" s="242">
        <f t="shared" si="61"/>
        <v>0</v>
      </c>
      <c r="BM513" s="764"/>
      <c r="BN513" s="764"/>
      <c r="BO513" s="764"/>
      <c r="BP513" s="243" t="s">
        <v>160</v>
      </c>
      <c r="BQ513" s="98">
        <v>0.15</v>
      </c>
      <c r="BR513" s="110">
        <f t="shared" si="62"/>
        <v>0</v>
      </c>
      <c r="BS513" s="242"/>
      <c r="BT513" s="203"/>
      <c r="BU513" s="203"/>
      <c r="BV513" s="203"/>
      <c r="BW513" s="765"/>
      <c r="BX513" s="243" t="s">
        <v>160</v>
      </c>
      <c r="BY513" s="98">
        <v>0.05</v>
      </c>
      <c r="BZ513" s="110">
        <f t="shared" si="63"/>
        <v>0</v>
      </c>
      <c r="CA513" s="242"/>
      <c r="CB513" s="764"/>
      <c r="CC513" s="764"/>
      <c r="CD513" s="764"/>
      <c r="CE513" s="765"/>
      <c r="CF513" s="110"/>
      <c r="CG513" s="206"/>
      <c r="CH513" s="301"/>
      <c r="CI513" s="206"/>
      <c r="CJ513" s="206"/>
      <c r="CK513" s="206"/>
      <c r="CL513" s="206"/>
      <c r="CM513" s="206"/>
      <c r="CN513" s="778"/>
      <c r="CO513" s="206"/>
      <c r="CP513" s="206"/>
      <c r="CQ513" s="206"/>
      <c r="CR513" s="206"/>
      <c r="CS513" s="206"/>
      <c r="CT513" s="206"/>
      <c r="CU513" s="245" t="s">
        <v>2612</v>
      </c>
      <c r="CV513" s="181"/>
      <c r="CW513" s="438" t="s">
        <v>1580</v>
      </c>
      <c r="CX513" s="439"/>
      <c r="CY513" s="155"/>
      <c r="CZ513" s="155"/>
      <c r="DA513" s="131"/>
      <c r="DB513" s="115"/>
      <c r="DC513" s="766"/>
      <c r="DD513" s="242"/>
      <c r="DE513" s="242"/>
      <c r="DF513" s="242"/>
      <c r="DG513" s="729"/>
      <c r="DH513" s="730"/>
      <c r="DI513" s="779"/>
      <c r="DJ513" s="779"/>
      <c r="DK513" s="779"/>
      <c r="DL513" s="779"/>
      <c r="DM513" s="4"/>
    </row>
    <row r="514" spans="1:117" ht="30" hidden="1" customHeight="1" outlineLevel="1">
      <c r="A514" s="228"/>
      <c r="B514" s="121"/>
      <c r="C514" s="780">
        <f t="shared" si="64"/>
        <v>7</v>
      </c>
      <c r="D514" s="244"/>
      <c r="E514" s="757"/>
      <c r="F514" s="757"/>
      <c r="G514" s="782" t="s">
        <v>912</v>
      </c>
      <c r="H514" s="783" t="s">
        <v>2658</v>
      </c>
      <c r="I514" s="207" t="s">
        <v>2659</v>
      </c>
      <c r="J514" s="121" t="str">
        <f t="shared" si="52"/>
        <v>Francesco Boccardo</v>
      </c>
      <c r="K514" s="224">
        <v>3475508845</v>
      </c>
      <c r="L514" s="131"/>
      <c r="M514" s="131"/>
      <c r="N514" s="131"/>
      <c r="O514" s="599"/>
      <c r="P514" s="37"/>
      <c r="Q514" s="37"/>
      <c r="R514" s="131" t="s">
        <v>2660</v>
      </c>
      <c r="S514" s="160"/>
      <c r="T514" s="160"/>
      <c r="U514" s="160"/>
      <c r="V514" s="160"/>
      <c r="W514" s="233"/>
      <c r="X514" s="131"/>
      <c r="Y514" s="233"/>
      <c r="Z514" s="233"/>
      <c r="AA514" s="233"/>
      <c r="AB514" s="37"/>
      <c r="AC514" s="131"/>
      <c r="AD514" s="37" t="s">
        <v>118</v>
      </c>
      <c r="AE514" s="131" t="s">
        <v>2661</v>
      </c>
      <c r="AF514" s="515"/>
      <c r="AG514" s="155"/>
      <c r="AH514" s="155"/>
      <c r="AI514" s="515"/>
      <c r="AJ514" s="155"/>
      <c r="AK514" s="155"/>
      <c r="AL514" s="155"/>
      <c r="AM514" s="198"/>
      <c r="AN514" s="565" t="s">
        <v>165</v>
      </c>
      <c r="AO514" s="565" t="s">
        <v>165</v>
      </c>
      <c r="AP514" s="565" t="s">
        <v>165</v>
      </c>
      <c r="AQ514" s="198"/>
      <c r="AR514" s="121"/>
      <c r="AS514" s="121"/>
      <c r="AT514" s="121"/>
      <c r="AU514" s="235"/>
      <c r="AV514" s="121"/>
      <c r="AW514" s="121"/>
      <c r="AX514" s="121"/>
      <c r="AY514" s="235"/>
      <c r="AZ514" s="617"/>
      <c r="BA514" s="617"/>
      <c r="BB514" s="135"/>
      <c r="BC514" s="235"/>
      <c r="BD514" s="617"/>
      <c r="BE514" s="617"/>
      <c r="BF514" s="617"/>
      <c r="BG514" s="235"/>
      <c r="BH514" s="760">
        <f t="shared" si="53"/>
        <v>0</v>
      </c>
      <c r="BI514" s="761">
        <f t="shared" si="54"/>
        <v>0</v>
      </c>
      <c r="BJ514" s="761">
        <f t="shared" si="55"/>
        <v>0</v>
      </c>
      <c r="BK514" s="110">
        <f t="shared" si="56"/>
        <v>0</v>
      </c>
      <c r="BL514" s="242">
        <f t="shared" si="61"/>
        <v>0</v>
      </c>
      <c r="BM514" s="764"/>
      <c r="BN514" s="764"/>
      <c r="BO514" s="764"/>
      <c r="BP514" s="243" t="s">
        <v>184</v>
      </c>
      <c r="BQ514" s="98">
        <v>0.15</v>
      </c>
      <c r="BR514" s="110">
        <f t="shared" si="62"/>
        <v>0</v>
      </c>
      <c r="BS514" s="242"/>
      <c r="BT514" s="203"/>
      <c r="BU514" s="203"/>
      <c r="BV514" s="203"/>
      <c r="BW514" s="765"/>
      <c r="BX514" s="243" t="s">
        <v>184</v>
      </c>
      <c r="BY514" s="98">
        <v>0.05</v>
      </c>
      <c r="BZ514" s="110">
        <f t="shared" si="63"/>
        <v>0</v>
      </c>
      <c r="CA514" s="242"/>
      <c r="CB514" s="764"/>
      <c r="CC514" s="764"/>
      <c r="CD514" s="764"/>
      <c r="CE514" s="765"/>
      <c r="CF514" s="110"/>
      <c r="CG514" s="206"/>
      <c r="CH514" s="301"/>
      <c r="CI514" s="206"/>
      <c r="CJ514" s="206"/>
      <c r="CK514" s="206"/>
      <c r="CL514" s="206"/>
      <c r="CM514" s="206"/>
      <c r="CN514" s="778"/>
      <c r="CO514" s="206"/>
      <c r="CP514" s="206"/>
      <c r="CQ514" s="206"/>
      <c r="CR514" s="206"/>
      <c r="CS514" s="206"/>
      <c r="CT514" s="206"/>
      <c r="CU514" s="245" t="s">
        <v>2612</v>
      </c>
      <c r="CV514" s="181"/>
      <c r="CW514" s="787" t="s">
        <v>2662</v>
      </c>
      <c r="CX514" s="788" t="s">
        <v>2662</v>
      </c>
      <c r="CY514" s="155"/>
      <c r="CZ514" s="155"/>
      <c r="DA514" s="131"/>
      <c r="DB514" s="115"/>
      <c r="DC514" s="766"/>
      <c r="DD514" s="242"/>
      <c r="DE514" s="242"/>
      <c r="DF514" s="242"/>
      <c r="DG514" s="729"/>
      <c r="DH514" s="730"/>
      <c r="DI514" s="779"/>
      <c r="DJ514" s="779"/>
      <c r="DK514" s="779"/>
      <c r="DL514" s="779"/>
      <c r="DM514" s="4"/>
    </row>
    <row r="515" spans="1:117" ht="30" hidden="1" customHeight="1" outlineLevel="1">
      <c r="A515" s="228"/>
      <c r="B515" s="121"/>
      <c r="C515" s="780">
        <f t="shared" si="64"/>
        <v>8</v>
      </c>
      <c r="D515" s="244"/>
      <c r="E515" s="757"/>
      <c r="F515" s="757"/>
      <c r="G515" s="782" t="s">
        <v>570</v>
      </c>
      <c r="H515" s="783" t="s">
        <v>2663</v>
      </c>
      <c r="I515" s="207" t="s">
        <v>2664</v>
      </c>
      <c r="J515" s="121" t="str">
        <f t="shared" si="52"/>
        <v>Giovanni Viola</v>
      </c>
      <c r="K515" s="224">
        <v>3381546671</v>
      </c>
      <c r="L515" s="131"/>
      <c r="M515" s="131"/>
      <c r="N515" s="131"/>
      <c r="O515" s="599"/>
      <c r="P515" s="37"/>
      <c r="Q515" s="37"/>
      <c r="R515" s="131" t="s">
        <v>2665</v>
      </c>
      <c r="S515" s="160"/>
      <c r="T515" s="160"/>
      <c r="U515" s="160"/>
      <c r="V515" s="160"/>
      <c r="W515" s="233"/>
      <c r="X515" s="131"/>
      <c r="Y515" s="233"/>
      <c r="Z515" s="233"/>
      <c r="AA515" s="233"/>
      <c r="AB515" s="37"/>
      <c r="AC515" s="131"/>
      <c r="AD515" s="37" t="s">
        <v>118</v>
      </c>
      <c r="AE515" s="131" t="s">
        <v>2666</v>
      </c>
      <c r="AF515" s="515"/>
      <c r="AG515" s="155"/>
      <c r="AH515" s="155"/>
      <c r="AI515" s="515"/>
      <c r="AJ515" s="155"/>
      <c r="AK515" s="155"/>
      <c r="AL515" s="155"/>
      <c r="AM515" s="198"/>
      <c r="AN515" s="565" t="s">
        <v>165</v>
      </c>
      <c r="AO515" s="565" t="s">
        <v>165</v>
      </c>
      <c r="AP515" s="565" t="s">
        <v>165</v>
      </c>
      <c r="AQ515" s="198"/>
      <c r="AR515" s="121"/>
      <c r="AS515" s="121"/>
      <c r="AT515" s="121"/>
      <c r="AU515" s="235"/>
      <c r="AV515" s="121"/>
      <c r="AW515" s="121"/>
      <c r="AX515" s="121"/>
      <c r="AY515" s="235"/>
      <c r="AZ515" s="617"/>
      <c r="BA515" s="617"/>
      <c r="BB515" s="135"/>
      <c r="BC515" s="235"/>
      <c r="BD515" s="617"/>
      <c r="BE515" s="617"/>
      <c r="BF515" s="617"/>
      <c r="BG515" s="235"/>
      <c r="BH515" s="760">
        <f t="shared" si="53"/>
        <v>0</v>
      </c>
      <c r="BI515" s="761">
        <f t="shared" si="54"/>
        <v>0</v>
      </c>
      <c r="BJ515" s="761">
        <f t="shared" si="55"/>
        <v>0</v>
      </c>
      <c r="BK515" s="110">
        <f t="shared" si="56"/>
        <v>0</v>
      </c>
      <c r="BL515" s="242">
        <f t="shared" si="61"/>
        <v>0</v>
      </c>
      <c r="BM515" s="764"/>
      <c r="BN515" s="764"/>
      <c r="BO515" s="764"/>
      <c r="BP515" s="243" t="s">
        <v>2371</v>
      </c>
      <c r="BQ515" s="98">
        <v>0.15</v>
      </c>
      <c r="BR515" s="110">
        <f t="shared" si="62"/>
        <v>0</v>
      </c>
      <c r="BS515" s="242"/>
      <c r="BT515" s="203"/>
      <c r="BU515" s="203"/>
      <c r="BV515" s="203"/>
      <c r="BW515" s="765"/>
      <c r="BX515" s="243" t="s">
        <v>487</v>
      </c>
      <c r="BY515" s="98">
        <v>0.05</v>
      </c>
      <c r="BZ515" s="110">
        <f t="shared" si="63"/>
        <v>0</v>
      </c>
      <c r="CA515" s="242"/>
      <c r="CB515" s="764"/>
      <c r="CC515" s="764"/>
      <c r="CD515" s="764"/>
      <c r="CE515" s="765"/>
      <c r="CF515" s="110"/>
      <c r="CG515" s="206"/>
      <c r="CH515" s="301"/>
      <c r="CI515" s="206"/>
      <c r="CJ515" s="206"/>
      <c r="CK515" s="206"/>
      <c r="CL515" s="206"/>
      <c r="CM515" s="206"/>
      <c r="CN515" s="778"/>
      <c r="CO515" s="206"/>
      <c r="CP515" s="206"/>
      <c r="CQ515" s="206"/>
      <c r="CR515" s="206"/>
      <c r="CS515" s="206"/>
      <c r="CT515" s="206"/>
      <c r="CU515" s="245" t="s">
        <v>2612</v>
      </c>
      <c r="CV515" s="181"/>
      <c r="CW515" s="438" t="s">
        <v>1387</v>
      </c>
      <c r="CX515" s="439" t="s">
        <v>2667</v>
      </c>
      <c r="CY515" s="155"/>
      <c r="CZ515" s="155"/>
      <c r="DA515" s="131"/>
      <c r="DB515" s="115"/>
      <c r="DC515" s="766"/>
      <c r="DD515" s="242"/>
      <c r="DE515" s="242"/>
      <c r="DF515" s="242"/>
      <c r="DG515" s="729"/>
      <c r="DH515" s="730"/>
      <c r="DI515" s="779"/>
      <c r="DJ515" s="779"/>
      <c r="DK515" s="779"/>
      <c r="DL515" s="779"/>
      <c r="DM515" s="4"/>
    </row>
    <row r="516" spans="1:117" ht="30" hidden="1" customHeight="1" outlineLevel="1">
      <c r="A516" s="228"/>
      <c r="B516" s="121"/>
      <c r="C516" s="780">
        <f t="shared" si="64"/>
        <v>9</v>
      </c>
      <c r="D516" s="244"/>
      <c r="E516" s="757"/>
      <c r="F516" s="757"/>
      <c r="G516" s="782" t="s">
        <v>2668</v>
      </c>
      <c r="H516" s="783" t="s">
        <v>2669</v>
      </c>
      <c r="I516" s="207" t="s">
        <v>2670</v>
      </c>
      <c r="J516" s="121" t="str">
        <f t="shared" si="52"/>
        <v>Maria Agazzi</v>
      </c>
      <c r="K516" s="224">
        <v>3515821549</v>
      </c>
      <c r="L516" s="131"/>
      <c r="M516" s="131"/>
      <c r="N516" s="131"/>
      <c r="O516" s="599"/>
      <c r="P516" s="37"/>
      <c r="Q516" s="37"/>
      <c r="R516" s="131" t="s">
        <v>2671</v>
      </c>
      <c r="S516" s="160"/>
      <c r="T516" s="160"/>
      <c r="U516" s="160"/>
      <c r="V516" s="160"/>
      <c r="W516" s="233"/>
      <c r="X516" s="131"/>
      <c r="Y516" s="233"/>
      <c r="Z516" s="233"/>
      <c r="AA516" s="233"/>
      <c r="AB516" s="37"/>
      <c r="AC516" s="131"/>
      <c r="AD516" s="37" t="s">
        <v>118</v>
      </c>
      <c r="AE516" s="289" t="s">
        <v>2672</v>
      </c>
      <c r="AF516" s="515"/>
      <c r="AG516" s="155"/>
      <c r="AH516" s="155"/>
      <c r="AI516" s="515"/>
      <c r="AJ516" s="155"/>
      <c r="AK516" s="155"/>
      <c r="AL516" s="155"/>
      <c r="AM516" s="198"/>
      <c r="AN516" s="155"/>
      <c r="AO516" s="155"/>
      <c r="AP516" s="155"/>
      <c r="AQ516" s="198"/>
      <c r="AR516" s="154" t="s">
        <v>165</v>
      </c>
      <c r="AS516" s="154" t="s">
        <v>165</v>
      </c>
      <c r="AT516" s="154" t="s">
        <v>165</v>
      </c>
      <c r="AU516" s="235"/>
      <c r="AV516" s="121"/>
      <c r="AW516" s="121"/>
      <c r="AX516" s="121"/>
      <c r="AY516" s="235"/>
      <c r="AZ516" s="617"/>
      <c r="BA516" s="617"/>
      <c r="BB516" s="135"/>
      <c r="BC516" s="235"/>
      <c r="BD516" s="617"/>
      <c r="BE516" s="617"/>
      <c r="BF516" s="617"/>
      <c r="BG516" s="235"/>
      <c r="BH516" s="760">
        <f t="shared" si="53"/>
        <v>0</v>
      </c>
      <c r="BI516" s="761">
        <f t="shared" si="54"/>
        <v>0</v>
      </c>
      <c r="BJ516" s="761">
        <f t="shared" si="55"/>
        <v>0</v>
      </c>
      <c r="BK516" s="110">
        <f t="shared" si="56"/>
        <v>0</v>
      </c>
      <c r="BL516" s="242">
        <f t="shared" si="61"/>
        <v>0</v>
      </c>
      <c r="BM516" s="764"/>
      <c r="BN516" s="764"/>
      <c r="BO516" s="764"/>
      <c r="BP516" s="243" t="s">
        <v>184</v>
      </c>
      <c r="BQ516" s="98">
        <v>0.05</v>
      </c>
      <c r="BR516" s="110">
        <f t="shared" si="62"/>
        <v>0</v>
      </c>
      <c r="BS516" s="242"/>
      <c r="BT516" s="203"/>
      <c r="BU516" s="203"/>
      <c r="BV516" s="203"/>
      <c r="BW516" s="765"/>
      <c r="BX516" s="243" t="s">
        <v>184</v>
      </c>
      <c r="BY516" s="98">
        <v>0.05</v>
      </c>
      <c r="BZ516" s="110">
        <f t="shared" si="63"/>
        <v>0</v>
      </c>
      <c r="CA516" s="242"/>
      <c r="CB516" s="764"/>
      <c r="CC516" s="764"/>
      <c r="CD516" s="764"/>
      <c r="CE516" s="765"/>
      <c r="CF516" s="110"/>
      <c r="CG516" s="206"/>
      <c r="CH516" s="301"/>
      <c r="CI516" s="206"/>
      <c r="CJ516" s="206"/>
      <c r="CK516" s="206"/>
      <c r="CL516" s="206"/>
      <c r="CM516" s="206"/>
      <c r="CN516" s="778"/>
      <c r="CO516" s="206"/>
      <c r="CP516" s="206"/>
      <c r="CQ516" s="206"/>
      <c r="CR516" s="206"/>
      <c r="CS516" s="206"/>
      <c r="CT516" s="206"/>
      <c r="CU516" s="245" t="s">
        <v>2612</v>
      </c>
      <c r="CV516" s="181"/>
      <c r="CW516" s="438" t="s">
        <v>1387</v>
      </c>
      <c r="CX516" s="439"/>
      <c r="CY516" s="155"/>
      <c r="CZ516" s="155"/>
      <c r="DA516" s="131"/>
      <c r="DB516" s="115"/>
      <c r="DC516" s="766"/>
      <c r="DD516" s="242"/>
      <c r="DE516" s="242"/>
      <c r="DF516" s="242"/>
      <c r="DG516" s="729"/>
      <c r="DH516" s="730"/>
      <c r="DI516" s="779"/>
      <c r="DJ516" s="779"/>
      <c r="DK516" s="779"/>
      <c r="DL516" s="779"/>
      <c r="DM516" s="4"/>
    </row>
    <row r="517" spans="1:117" ht="30" hidden="1" customHeight="1" outlineLevel="1">
      <c r="A517" s="228"/>
      <c r="B517" s="121"/>
      <c r="C517" s="780">
        <f t="shared" si="64"/>
        <v>10</v>
      </c>
      <c r="D517" s="244"/>
      <c r="E517" s="757"/>
      <c r="F517" s="757"/>
      <c r="G517" s="782" t="s">
        <v>1945</v>
      </c>
      <c r="H517" s="783" t="s">
        <v>2673</v>
      </c>
      <c r="I517" s="207" t="s">
        <v>2674</v>
      </c>
      <c r="J517" s="121" t="str">
        <f t="shared" si="52"/>
        <v>Mattia Baldo</v>
      </c>
      <c r="K517" s="224"/>
      <c r="L517" s="131"/>
      <c r="M517" s="131"/>
      <c r="N517" s="131"/>
      <c r="O517" s="599"/>
      <c r="P517" s="37"/>
      <c r="Q517" s="37"/>
      <c r="R517" s="131" t="s">
        <v>2675</v>
      </c>
      <c r="S517" s="160"/>
      <c r="T517" s="160"/>
      <c r="U517" s="160"/>
      <c r="V517" s="160"/>
      <c r="W517" s="233"/>
      <c r="X517" s="131"/>
      <c r="Y517" s="233"/>
      <c r="Z517" s="233"/>
      <c r="AA517" s="233"/>
      <c r="AB517" s="37"/>
      <c r="AC517" s="131"/>
      <c r="AD517" s="37" t="s">
        <v>118</v>
      </c>
      <c r="AE517" s="131" t="s">
        <v>2676</v>
      </c>
      <c r="AF517" s="515"/>
      <c r="AG517" s="155"/>
      <c r="AH517" s="155"/>
      <c r="AI517" s="515"/>
      <c r="AJ517" s="155"/>
      <c r="AK517" s="155"/>
      <c r="AL517" s="155"/>
      <c r="AM517" s="198"/>
      <c r="AN517" s="565" t="s">
        <v>165</v>
      </c>
      <c r="AO517" s="565" t="s">
        <v>165</v>
      </c>
      <c r="AP517" s="565" t="s">
        <v>165</v>
      </c>
      <c r="AQ517" s="198"/>
      <c r="AR517" s="121"/>
      <c r="AS517" s="121"/>
      <c r="AT517" s="121"/>
      <c r="AU517" s="235"/>
      <c r="AV517" s="121"/>
      <c r="AW517" s="121"/>
      <c r="AX517" s="121"/>
      <c r="AY517" s="235"/>
      <c r="AZ517" s="617"/>
      <c r="BA517" s="617"/>
      <c r="BB517" s="617"/>
      <c r="BC517" s="235"/>
      <c r="BD517" s="617"/>
      <c r="BE517" s="617"/>
      <c r="BF517" s="617"/>
      <c r="BG517" s="235"/>
      <c r="BH517" s="760">
        <f t="shared" si="53"/>
        <v>0</v>
      </c>
      <c r="BI517" s="761">
        <f t="shared" si="54"/>
        <v>0</v>
      </c>
      <c r="BJ517" s="761">
        <f t="shared" si="55"/>
        <v>0</v>
      </c>
      <c r="BK517" s="110">
        <f t="shared" si="56"/>
        <v>0</v>
      </c>
      <c r="BL517" s="242">
        <f t="shared" si="61"/>
        <v>0</v>
      </c>
      <c r="BM517" s="764"/>
      <c r="BN517" s="764"/>
      <c r="BO517" s="764"/>
      <c r="BP517" s="243" t="s">
        <v>690</v>
      </c>
      <c r="BQ517" s="98">
        <v>0.15</v>
      </c>
      <c r="BR517" s="110">
        <f t="shared" si="62"/>
        <v>0</v>
      </c>
      <c r="BS517" s="242"/>
      <c r="BT517" s="203"/>
      <c r="BU517" s="203"/>
      <c r="BV517" s="203"/>
      <c r="BW517" s="765"/>
      <c r="BX517" s="243" t="s">
        <v>152</v>
      </c>
      <c r="BY517" s="98">
        <v>0.05</v>
      </c>
      <c r="BZ517" s="110">
        <f t="shared" si="63"/>
        <v>0</v>
      </c>
      <c r="CA517" s="242"/>
      <c r="CB517" s="764"/>
      <c r="CC517" s="764"/>
      <c r="CD517" s="764"/>
      <c r="CE517" s="765"/>
      <c r="CF517" s="110"/>
      <c r="CG517" s="206"/>
      <c r="CH517" s="301"/>
      <c r="CI517" s="206"/>
      <c r="CJ517" s="206"/>
      <c r="CK517" s="206"/>
      <c r="CL517" s="206"/>
      <c r="CM517" s="206"/>
      <c r="CN517" s="778"/>
      <c r="CO517" s="206"/>
      <c r="CP517" s="206"/>
      <c r="CQ517" s="206"/>
      <c r="CR517" s="206"/>
      <c r="CS517" s="206"/>
      <c r="CT517" s="206"/>
      <c r="CU517" s="245" t="s">
        <v>2612</v>
      </c>
      <c r="CV517" s="181"/>
      <c r="CW517" s="438"/>
      <c r="CX517" s="439"/>
      <c r="CY517" s="155"/>
      <c r="CZ517" s="155"/>
      <c r="DA517" s="131"/>
      <c r="DB517" s="115"/>
      <c r="DC517" s="766"/>
      <c r="DD517" s="242"/>
      <c r="DE517" s="242"/>
      <c r="DF517" s="242"/>
      <c r="DG517" s="729"/>
      <c r="DH517" s="730"/>
      <c r="DI517" s="779"/>
      <c r="DJ517" s="779"/>
      <c r="DK517" s="779"/>
      <c r="DL517" s="779"/>
      <c r="DM517" s="4"/>
    </row>
    <row r="518" spans="1:117" ht="30" hidden="1" customHeight="1" outlineLevel="1">
      <c r="A518" s="228"/>
      <c r="B518" s="121"/>
      <c r="C518" s="780">
        <f t="shared" si="64"/>
        <v>11</v>
      </c>
      <c r="D518" s="244"/>
      <c r="E518" s="757"/>
      <c r="F518" s="757"/>
      <c r="G518" s="782" t="s">
        <v>741</v>
      </c>
      <c r="H518" s="783" t="s">
        <v>2677</v>
      </c>
      <c r="I518" s="207" t="s">
        <v>2678</v>
      </c>
      <c r="J518" s="121" t="str">
        <f t="shared" si="52"/>
        <v>Michele Bersani</v>
      </c>
      <c r="K518" s="224">
        <v>3455820418</v>
      </c>
      <c r="L518" s="131"/>
      <c r="M518" s="131"/>
      <c r="N518" s="131"/>
      <c r="O518" s="599"/>
      <c r="P518" s="37"/>
      <c r="Q518" s="37"/>
      <c r="R518" s="131" t="s">
        <v>2679</v>
      </c>
      <c r="S518" s="160"/>
      <c r="T518" s="160"/>
      <c r="U518" s="160"/>
      <c r="V518" s="160"/>
      <c r="W518" s="233"/>
      <c r="X518" s="131"/>
      <c r="Y518" s="233"/>
      <c r="Z518" s="233"/>
      <c r="AA518" s="233"/>
      <c r="AB518" s="37"/>
      <c r="AC518" s="131"/>
      <c r="AD518" s="37" t="s">
        <v>118</v>
      </c>
      <c r="AE518" s="131"/>
      <c r="AF518" s="515"/>
      <c r="AG518" s="155"/>
      <c r="AH518" s="155"/>
      <c r="AI518" s="515"/>
      <c r="AJ518" s="155"/>
      <c r="AK518" s="155"/>
      <c r="AL518" s="155"/>
      <c r="AM518" s="198"/>
      <c r="AN518" s="565" t="s">
        <v>194</v>
      </c>
      <c r="AO518" s="565" t="s">
        <v>194</v>
      </c>
      <c r="AP518" s="565" t="s">
        <v>194</v>
      </c>
      <c r="AQ518" s="198"/>
      <c r="AR518" s="121"/>
      <c r="AS518" s="121"/>
      <c r="AT518" s="121"/>
      <c r="AU518" s="235"/>
      <c r="AV518" s="121"/>
      <c r="AW518" s="121"/>
      <c r="AX518" s="121"/>
      <c r="AY518" s="235"/>
      <c r="AZ518" s="617"/>
      <c r="BA518" s="617"/>
      <c r="BB518" s="617"/>
      <c r="BC518" s="235"/>
      <c r="BD518" s="617"/>
      <c r="BE518" s="617"/>
      <c r="BF518" s="617"/>
      <c r="BG518" s="235"/>
      <c r="BH518" s="760">
        <f t="shared" si="53"/>
        <v>0</v>
      </c>
      <c r="BI518" s="761">
        <f t="shared" si="54"/>
        <v>0</v>
      </c>
      <c r="BJ518" s="761">
        <f t="shared" si="55"/>
        <v>0</v>
      </c>
      <c r="BK518" s="110">
        <f t="shared" si="56"/>
        <v>0</v>
      </c>
      <c r="BL518" s="242">
        <f t="shared" si="61"/>
        <v>0</v>
      </c>
      <c r="BM518" s="764"/>
      <c r="BN518" s="764"/>
      <c r="BO518" s="764"/>
      <c r="BP518" s="243" t="s">
        <v>2680</v>
      </c>
      <c r="BQ518" s="98">
        <v>0.05</v>
      </c>
      <c r="BR518" s="110">
        <f t="shared" si="62"/>
        <v>0</v>
      </c>
      <c r="BS518" s="242"/>
      <c r="BT518" s="203"/>
      <c r="BU518" s="203"/>
      <c r="BV518" s="203"/>
      <c r="BW518" s="765"/>
      <c r="BX518" s="243" t="s">
        <v>152</v>
      </c>
      <c r="BY518" s="98">
        <v>0.05</v>
      </c>
      <c r="BZ518" s="110">
        <f t="shared" si="63"/>
        <v>0</v>
      </c>
      <c r="CA518" s="242"/>
      <c r="CB518" s="764"/>
      <c r="CC518" s="764"/>
      <c r="CD518" s="764"/>
      <c r="CE518" s="765"/>
      <c r="CF518" s="110"/>
      <c r="CG518" s="206"/>
      <c r="CH518" s="301"/>
      <c r="CI518" s="206"/>
      <c r="CJ518" s="206"/>
      <c r="CK518" s="206"/>
      <c r="CL518" s="206"/>
      <c r="CM518" s="206"/>
      <c r="CN518" s="778"/>
      <c r="CO518" s="206"/>
      <c r="CP518" s="206"/>
      <c r="CQ518" s="206"/>
      <c r="CR518" s="206"/>
      <c r="CS518" s="206"/>
      <c r="CT518" s="206"/>
      <c r="CU518" s="245" t="s">
        <v>2612</v>
      </c>
      <c r="CV518" s="181"/>
      <c r="CW518" s="438" t="s">
        <v>2633</v>
      </c>
      <c r="CX518" s="439" t="s">
        <v>2681</v>
      </c>
      <c r="CY518" s="155"/>
      <c r="CZ518" s="155"/>
      <c r="DA518" s="131"/>
      <c r="DB518" s="115"/>
      <c r="DC518" s="766"/>
      <c r="DD518" s="242"/>
      <c r="DE518" s="242"/>
      <c r="DF518" s="242"/>
      <c r="DG518" s="729"/>
      <c r="DH518" s="730"/>
      <c r="DM518" s="4"/>
    </row>
    <row r="519" spans="1:117" ht="30" hidden="1" customHeight="1" outlineLevel="1">
      <c r="A519" s="228"/>
      <c r="B519" s="121"/>
      <c r="C519" s="780">
        <f t="shared" si="64"/>
        <v>12</v>
      </c>
      <c r="D519" s="244"/>
      <c r="E519" s="757"/>
      <c r="F519" s="757"/>
      <c r="G519" s="782" t="s">
        <v>127</v>
      </c>
      <c r="H519" s="783" t="s">
        <v>2682</v>
      </c>
      <c r="I519" s="207" t="s">
        <v>2683</v>
      </c>
      <c r="J519" s="121" t="str">
        <f t="shared" si="52"/>
        <v>Nicola Riboli</v>
      </c>
      <c r="K519" s="224">
        <v>3391904177</v>
      </c>
      <c r="L519" s="131"/>
      <c r="M519" s="131"/>
      <c r="N519" s="131"/>
      <c r="O519" s="599"/>
      <c r="P519" s="37"/>
      <c r="Q519" s="37"/>
      <c r="R519" s="131" t="s">
        <v>2684</v>
      </c>
      <c r="S519" s="160"/>
      <c r="T519" s="160"/>
      <c r="U519" s="160"/>
      <c r="V519" s="160"/>
      <c r="W519" s="233"/>
      <c r="X519" s="131"/>
      <c r="Y519" s="233"/>
      <c r="Z519" s="233"/>
      <c r="AA519" s="233"/>
      <c r="AB519" s="37"/>
      <c r="AC519" s="131"/>
      <c r="AD519" s="37" t="s">
        <v>118</v>
      </c>
      <c r="AE519" s="131"/>
      <c r="AF519" s="515"/>
      <c r="AG519" s="155"/>
      <c r="AH519" s="155"/>
      <c r="AI519" s="515"/>
      <c r="AJ519" s="155"/>
      <c r="AK519" s="155"/>
      <c r="AL519" s="155"/>
      <c r="AM519" s="198"/>
      <c r="AN519" s="565" t="s">
        <v>194</v>
      </c>
      <c r="AO519" s="565" t="s">
        <v>194</v>
      </c>
      <c r="AP519" s="565" t="s">
        <v>194</v>
      </c>
      <c r="AQ519" s="198"/>
      <c r="AR519" s="121"/>
      <c r="AS519" s="121"/>
      <c r="AT519" s="121"/>
      <c r="AU519" s="235"/>
      <c r="AV519" s="121"/>
      <c r="AW519" s="121"/>
      <c r="AX519" s="121"/>
      <c r="AY519" s="235"/>
      <c r="AZ519" s="617"/>
      <c r="BA519" s="617"/>
      <c r="BB519" s="617"/>
      <c r="BC519" s="235"/>
      <c r="BD519" s="617"/>
      <c r="BE519" s="617"/>
      <c r="BF519" s="617"/>
      <c r="BG519" s="235"/>
      <c r="BH519" s="760">
        <f t="shared" si="53"/>
        <v>0</v>
      </c>
      <c r="BI519" s="761">
        <f t="shared" si="54"/>
        <v>0</v>
      </c>
      <c r="BJ519" s="761">
        <f t="shared" si="55"/>
        <v>0</v>
      </c>
      <c r="BK519" s="110">
        <f t="shared" si="56"/>
        <v>0</v>
      </c>
      <c r="BL519" s="242">
        <f t="shared" si="61"/>
        <v>0</v>
      </c>
      <c r="BM519" s="764"/>
      <c r="BN519" s="764"/>
      <c r="BO519" s="764"/>
      <c r="BP519" s="243" t="s">
        <v>117</v>
      </c>
      <c r="BQ519" s="98">
        <v>0</v>
      </c>
      <c r="BR519" s="110">
        <f t="shared" si="62"/>
        <v>0</v>
      </c>
      <c r="BS519" s="242"/>
      <c r="BT519" s="764"/>
      <c r="BU519" s="764"/>
      <c r="BV519" s="764"/>
      <c r="BW519" s="784" t="s">
        <v>118</v>
      </c>
      <c r="BX519" s="243" t="s">
        <v>152</v>
      </c>
      <c r="BY519" s="98">
        <v>0.05</v>
      </c>
      <c r="BZ519" s="110">
        <f t="shared" si="63"/>
        <v>0</v>
      </c>
      <c r="CA519" s="242"/>
      <c r="CB519" s="764"/>
      <c r="CC519" s="764"/>
      <c r="CD519" s="764"/>
      <c r="CE519" s="765"/>
      <c r="CF519" s="110"/>
      <c r="CG519" s="206"/>
      <c r="CH519" s="301"/>
      <c r="CI519" s="206"/>
      <c r="CJ519" s="206"/>
      <c r="CK519" s="206"/>
      <c r="CL519" s="206"/>
      <c r="CM519" s="206"/>
      <c r="CN519" s="778"/>
      <c r="CO519" s="206"/>
      <c r="CP519" s="206"/>
      <c r="CQ519" s="206"/>
      <c r="CR519" s="206"/>
      <c r="CS519" s="206"/>
      <c r="CT519" s="206"/>
      <c r="CU519" s="245" t="s">
        <v>2612</v>
      </c>
      <c r="CV519" s="181"/>
      <c r="CW519" s="438" t="s">
        <v>1580</v>
      </c>
      <c r="CX519" s="439"/>
      <c r="CY519" s="155"/>
      <c r="CZ519" s="155"/>
      <c r="DA519" s="131"/>
      <c r="DB519" s="115"/>
      <c r="DC519" s="766"/>
      <c r="DD519" s="242"/>
      <c r="DE519" s="242"/>
      <c r="DF519" s="242"/>
      <c r="DG519" s="729"/>
      <c r="DH519" s="730"/>
      <c r="DM519" s="4"/>
    </row>
    <row r="520" spans="1:117" ht="30" hidden="1" customHeight="1" outlineLevel="1">
      <c r="A520" s="228"/>
      <c r="B520" s="121"/>
      <c r="C520" s="780">
        <f t="shared" si="64"/>
        <v>13</v>
      </c>
      <c r="D520" s="244"/>
      <c r="E520" s="757"/>
      <c r="F520" s="757"/>
      <c r="G520" s="782" t="s">
        <v>2685</v>
      </c>
      <c r="H520" s="783" t="s">
        <v>2686</v>
      </c>
      <c r="I520" s="207" t="s">
        <v>2687</v>
      </c>
      <c r="J520" s="121" t="str">
        <f t="shared" si="52"/>
        <v>Oreste Alessandro Fagà</v>
      </c>
      <c r="K520" s="224">
        <v>3496278229</v>
      </c>
      <c r="L520" s="131"/>
      <c r="M520" s="131"/>
      <c r="N520" s="131"/>
      <c r="O520" s="599"/>
      <c r="P520" s="37"/>
      <c r="Q520" s="37"/>
      <c r="R520" s="789"/>
      <c r="S520" s="160"/>
      <c r="T520" s="160"/>
      <c r="U520" s="160"/>
      <c r="V520" s="160"/>
      <c r="W520" s="233"/>
      <c r="X520" s="131"/>
      <c r="Y520" s="233"/>
      <c r="Z520" s="233"/>
      <c r="AA520" s="233"/>
      <c r="AB520" s="37"/>
      <c r="AC520" s="131"/>
      <c r="AD520" s="37" t="s">
        <v>118</v>
      </c>
      <c r="AE520" s="131" t="s">
        <v>2688</v>
      </c>
      <c r="AF520" s="515"/>
      <c r="AG520" s="155"/>
      <c r="AH520" s="155"/>
      <c r="AI520" s="515"/>
      <c r="AJ520" s="155"/>
      <c r="AK520" s="155"/>
      <c r="AL520" s="155"/>
      <c r="AM520" s="198"/>
      <c r="AN520" s="565" t="s">
        <v>165</v>
      </c>
      <c r="AO520" s="565" t="s">
        <v>165</v>
      </c>
      <c r="AP520" s="565" t="s">
        <v>165</v>
      </c>
      <c r="AQ520" s="198"/>
      <c r="AR520" s="121"/>
      <c r="AS520" s="121"/>
      <c r="AT520" s="121"/>
      <c r="AU520" s="235"/>
      <c r="AV520" s="121"/>
      <c r="AW520" s="121"/>
      <c r="AX520" s="121"/>
      <c r="AY520" s="235"/>
      <c r="AZ520" s="617"/>
      <c r="BA520" s="617"/>
      <c r="BB520" s="617"/>
      <c r="BC520" s="235"/>
      <c r="BD520" s="617"/>
      <c r="BE520" s="617"/>
      <c r="BF520" s="617"/>
      <c r="BG520" s="235"/>
      <c r="BH520" s="760">
        <f t="shared" si="53"/>
        <v>0</v>
      </c>
      <c r="BI520" s="761">
        <f t="shared" si="54"/>
        <v>0</v>
      </c>
      <c r="BJ520" s="761">
        <f t="shared" si="55"/>
        <v>0</v>
      </c>
      <c r="BK520" s="110">
        <f t="shared" si="56"/>
        <v>0</v>
      </c>
      <c r="BL520" s="242">
        <f t="shared" si="61"/>
        <v>0</v>
      </c>
      <c r="BM520" s="764"/>
      <c r="BN520" s="764"/>
      <c r="BO520" s="764"/>
      <c r="BP520" s="243" t="s">
        <v>525</v>
      </c>
      <c r="BQ520" s="98">
        <v>0.15</v>
      </c>
      <c r="BR520" s="110">
        <f t="shared" si="62"/>
        <v>0</v>
      </c>
      <c r="BS520" s="242"/>
      <c r="BT520" s="203"/>
      <c r="BU520" s="203"/>
      <c r="BV520" s="203"/>
      <c r="BW520" s="765"/>
      <c r="BX520" s="243" t="s">
        <v>525</v>
      </c>
      <c r="BY520" s="98">
        <v>0.05</v>
      </c>
      <c r="BZ520" s="110">
        <f t="shared" si="63"/>
        <v>0</v>
      </c>
      <c r="CA520" s="242"/>
      <c r="CB520" s="764"/>
      <c r="CC520" s="764"/>
      <c r="CD520" s="764"/>
      <c r="CE520" s="765"/>
      <c r="CF520" s="110"/>
      <c r="CG520" s="206"/>
      <c r="CH520" s="301"/>
      <c r="CI520" s="206"/>
      <c r="CJ520" s="206"/>
      <c r="CK520" s="206"/>
      <c r="CL520" s="206"/>
      <c r="CM520" s="206"/>
      <c r="CN520" s="778"/>
      <c r="CO520" s="206"/>
      <c r="CP520" s="206"/>
      <c r="CQ520" s="206"/>
      <c r="CR520" s="206"/>
      <c r="CS520" s="206"/>
      <c r="CT520" s="206"/>
      <c r="CU520" s="245" t="s">
        <v>2612</v>
      </c>
      <c r="CV520" s="181"/>
      <c r="CW520" s="438" t="s">
        <v>1387</v>
      </c>
      <c r="CX520" s="439" t="s">
        <v>2689</v>
      </c>
      <c r="CY520" s="155"/>
      <c r="CZ520" s="155"/>
      <c r="DA520" s="131"/>
      <c r="DB520" s="115"/>
      <c r="DC520" s="766"/>
      <c r="DD520" s="242"/>
      <c r="DE520" s="242"/>
      <c r="DF520" s="242"/>
      <c r="DG520" s="729"/>
      <c r="DH520" s="730"/>
      <c r="DI520" s="779"/>
      <c r="DJ520" s="779"/>
      <c r="DK520" s="779"/>
      <c r="DL520" s="779"/>
      <c r="DM520" s="4"/>
    </row>
    <row r="521" spans="1:117" ht="30" hidden="1" customHeight="1" outlineLevel="1">
      <c r="A521" s="228"/>
      <c r="B521" s="121"/>
      <c r="C521" s="780" t="e">
        <f>#REF!+1</f>
        <v>#REF!</v>
      </c>
      <c r="D521" s="244"/>
      <c r="E521" s="757"/>
      <c r="F521" s="757"/>
      <c r="G521" s="782" t="s">
        <v>861</v>
      </c>
      <c r="H521" s="783" t="s">
        <v>2690</v>
      </c>
      <c r="I521" s="207" t="s">
        <v>2691</v>
      </c>
      <c r="J521" s="121" t="str">
        <f t="shared" si="52"/>
        <v>Simone Paganotti</v>
      </c>
      <c r="K521" s="224"/>
      <c r="L521" s="131"/>
      <c r="M521" s="131"/>
      <c r="N521" s="131"/>
      <c r="O521" s="599"/>
      <c r="P521" s="37"/>
      <c r="Q521" s="37"/>
      <c r="R521" s="131" t="s">
        <v>2692</v>
      </c>
      <c r="S521" s="160"/>
      <c r="T521" s="160"/>
      <c r="U521" s="160"/>
      <c r="V521" s="160"/>
      <c r="W521" s="233"/>
      <c r="X521" s="131"/>
      <c r="Y521" s="233"/>
      <c r="Z521" s="233"/>
      <c r="AA521" s="233"/>
      <c r="AB521" s="37"/>
      <c r="AC521" s="131"/>
      <c r="AD521" s="37" t="s">
        <v>118</v>
      </c>
      <c r="AE521" s="131"/>
      <c r="AF521" s="515"/>
      <c r="AG521" s="155"/>
      <c r="AH521" s="155"/>
      <c r="AI521" s="515"/>
      <c r="AJ521" s="155"/>
      <c r="AK521" s="155"/>
      <c r="AL521" s="155"/>
      <c r="AM521" s="198"/>
      <c r="AN521" s="565" t="s">
        <v>194</v>
      </c>
      <c r="AO521" s="565" t="s">
        <v>194</v>
      </c>
      <c r="AP521" s="565" t="s">
        <v>194</v>
      </c>
      <c r="AQ521" s="198"/>
      <c r="AR521" s="121"/>
      <c r="AS521" s="121"/>
      <c r="AT521" s="121"/>
      <c r="AU521" s="235"/>
      <c r="AV521" s="121"/>
      <c r="AW521" s="121"/>
      <c r="AX521" s="121"/>
      <c r="AY521" s="235"/>
      <c r="AZ521" s="617"/>
      <c r="BA521" s="617"/>
      <c r="BB521" s="617"/>
      <c r="BC521" s="235"/>
      <c r="BD521" s="617"/>
      <c r="BE521" s="617"/>
      <c r="BF521" s="617"/>
      <c r="BG521" s="235"/>
      <c r="BH521" s="760">
        <f t="shared" si="53"/>
        <v>0</v>
      </c>
      <c r="BI521" s="761">
        <f t="shared" si="54"/>
        <v>0</v>
      </c>
      <c r="BJ521" s="761">
        <f t="shared" si="55"/>
        <v>0</v>
      </c>
      <c r="BK521" s="110">
        <f t="shared" si="56"/>
        <v>0</v>
      </c>
      <c r="BL521" s="242">
        <f t="shared" si="61"/>
        <v>0</v>
      </c>
      <c r="BM521" s="764"/>
      <c r="BN521" s="764"/>
      <c r="BO521" s="764"/>
      <c r="BP521" s="243" t="s">
        <v>117</v>
      </c>
      <c r="BQ521" s="98">
        <v>0</v>
      </c>
      <c r="BR521" s="110">
        <f t="shared" si="62"/>
        <v>0</v>
      </c>
      <c r="BS521" s="242"/>
      <c r="BT521" s="764"/>
      <c r="BU521" s="764"/>
      <c r="BV521" s="764"/>
      <c r="BW521" s="784" t="s">
        <v>118</v>
      </c>
      <c r="BX521" s="243" t="s">
        <v>152</v>
      </c>
      <c r="BY521" s="98">
        <v>0.05</v>
      </c>
      <c r="BZ521" s="110">
        <f t="shared" si="63"/>
        <v>0</v>
      </c>
      <c r="CA521" s="242"/>
      <c r="CB521" s="764"/>
      <c r="CC521" s="764"/>
      <c r="CD521" s="764"/>
      <c r="CE521" s="765"/>
      <c r="CF521" s="110"/>
      <c r="CG521" s="206"/>
      <c r="CH521" s="301"/>
      <c r="CI521" s="206"/>
      <c r="CJ521" s="206"/>
      <c r="CK521" s="206"/>
      <c r="CL521" s="206"/>
      <c r="CM521" s="206"/>
      <c r="CN521" s="778"/>
      <c r="CO521" s="206"/>
      <c r="CP521" s="206"/>
      <c r="CQ521" s="206"/>
      <c r="CR521" s="206"/>
      <c r="CS521" s="206"/>
      <c r="CT521" s="206"/>
      <c r="CU521" s="245" t="s">
        <v>2612</v>
      </c>
      <c r="CV521" s="181"/>
      <c r="CW521" s="438" t="s">
        <v>2693</v>
      </c>
      <c r="CX521" s="439"/>
      <c r="CY521" s="155"/>
      <c r="CZ521" s="155"/>
      <c r="DA521" s="131"/>
      <c r="DB521" s="115"/>
      <c r="DC521" s="766"/>
      <c r="DD521" s="242"/>
      <c r="DE521" s="242"/>
      <c r="DF521" s="242"/>
      <c r="DG521" s="729"/>
      <c r="DH521" s="730"/>
      <c r="DI521" s="779"/>
      <c r="DJ521" s="779"/>
      <c r="DK521" s="779"/>
      <c r="DL521" s="779"/>
      <c r="DM521" s="4"/>
    </row>
    <row r="522" spans="1:117" ht="30" hidden="1" customHeight="1" outlineLevel="1">
      <c r="A522" s="228"/>
      <c r="B522" s="121"/>
      <c r="C522" s="780" t="e">
        <f t="shared" ref="C522:C527" si="65">C521+1</f>
        <v>#REF!</v>
      </c>
      <c r="D522" s="244"/>
      <c r="E522" s="757"/>
      <c r="F522" s="757"/>
      <c r="G522" s="790" t="s">
        <v>407</v>
      </c>
      <c r="H522" s="791" t="s">
        <v>2694</v>
      </c>
      <c r="I522" s="207" t="s">
        <v>2695</v>
      </c>
      <c r="J522" s="121" t="str">
        <f t="shared" si="52"/>
        <v>Stefano Saleri</v>
      </c>
      <c r="K522" s="224">
        <v>3271398205</v>
      </c>
      <c r="L522" s="131" t="s">
        <v>2696</v>
      </c>
      <c r="M522" s="131"/>
      <c r="N522" s="131"/>
      <c r="O522" s="599"/>
      <c r="P522" s="37"/>
      <c r="Q522" s="37"/>
      <c r="R522" s="131" t="s">
        <v>2697</v>
      </c>
      <c r="S522" s="160"/>
      <c r="T522" s="160"/>
      <c r="U522" s="160"/>
      <c r="V522" s="160"/>
      <c r="W522" s="233"/>
      <c r="X522" s="131"/>
      <c r="Y522" s="233"/>
      <c r="Z522" s="233"/>
      <c r="AA522" s="233"/>
      <c r="AB522" s="37"/>
      <c r="AC522" s="131"/>
      <c r="AD522" s="37" t="s">
        <v>118</v>
      </c>
      <c r="AE522" s="131"/>
      <c r="AF522" s="515"/>
      <c r="AG522" s="155"/>
      <c r="AH522" s="155"/>
      <c r="AI522" s="515"/>
      <c r="AJ522" s="155"/>
      <c r="AK522" s="155"/>
      <c r="AL522" s="155"/>
      <c r="AM522" s="198"/>
      <c r="AN522" s="565" t="s">
        <v>165</v>
      </c>
      <c r="AO522" s="565" t="s">
        <v>165</v>
      </c>
      <c r="AP522" s="565" t="s">
        <v>165</v>
      </c>
      <c r="AQ522" s="198"/>
      <c r="AR522" s="121"/>
      <c r="AS522" s="121"/>
      <c r="AT522" s="121"/>
      <c r="AU522" s="235"/>
      <c r="AV522" s="121"/>
      <c r="AW522" s="121"/>
      <c r="AX522" s="121"/>
      <c r="AY522" s="235"/>
      <c r="AZ522" s="617"/>
      <c r="BA522" s="617"/>
      <c r="BB522" s="617"/>
      <c r="BC522" s="235"/>
      <c r="BD522" s="617"/>
      <c r="BE522" s="617"/>
      <c r="BF522" s="617"/>
      <c r="BG522" s="235"/>
      <c r="BH522" s="760">
        <f t="shared" si="53"/>
        <v>0</v>
      </c>
      <c r="BI522" s="761">
        <f t="shared" si="54"/>
        <v>0</v>
      </c>
      <c r="BJ522" s="761">
        <f t="shared" si="55"/>
        <v>0</v>
      </c>
      <c r="BK522" s="110">
        <f t="shared" si="56"/>
        <v>0</v>
      </c>
      <c r="BL522" s="242">
        <f t="shared" si="61"/>
        <v>0</v>
      </c>
      <c r="BM522" s="764"/>
      <c r="BN522" s="764"/>
      <c r="BO522" s="764"/>
      <c r="BP522" s="243" t="s">
        <v>184</v>
      </c>
      <c r="BQ522" s="98">
        <v>0.05</v>
      </c>
      <c r="BR522" s="110">
        <f t="shared" si="62"/>
        <v>0</v>
      </c>
      <c r="BS522" s="242"/>
      <c r="BT522" s="203"/>
      <c r="BU522" s="203"/>
      <c r="BV522" s="203"/>
      <c r="BW522" s="765"/>
      <c r="BX522" s="243" t="s">
        <v>184</v>
      </c>
      <c r="BY522" s="98">
        <v>0.05</v>
      </c>
      <c r="BZ522" s="110">
        <f t="shared" si="63"/>
        <v>0</v>
      </c>
      <c r="CA522" s="242"/>
      <c r="CB522" s="764"/>
      <c r="CC522" s="764"/>
      <c r="CD522" s="764"/>
      <c r="CE522" s="765"/>
      <c r="CF522" s="110"/>
      <c r="CG522" s="206"/>
      <c r="CH522" s="301"/>
      <c r="CI522" s="206"/>
      <c r="CJ522" s="206"/>
      <c r="CK522" s="206"/>
      <c r="CL522" s="206"/>
      <c r="CM522" s="206"/>
      <c r="CN522" s="206"/>
      <c r="CO522" s="206"/>
      <c r="CP522" s="206"/>
      <c r="CQ522" s="206"/>
      <c r="CR522" s="206"/>
      <c r="CS522" s="206"/>
      <c r="CT522" s="206"/>
      <c r="CU522" s="245" t="s">
        <v>2612</v>
      </c>
      <c r="CV522" s="181"/>
      <c r="CW522" s="491"/>
      <c r="CX522" s="492"/>
      <c r="CY522" s="155"/>
      <c r="CZ522" s="155"/>
      <c r="DA522" s="131"/>
      <c r="DB522" s="115"/>
      <c r="DC522" s="766"/>
      <c r="DD522" s="242"/>
      <c r="DE522" s="242"/>
      <c r="DF522" s="242"/>
      <c r="DG522" s="729"/>
      <c r="DH522" s="730"/>
      <c r="DI522" s="779"/>
      <c r="DJ522" s="779"/>
      <c r="DK522" s="779"/>
      <c r="DL522" s="779"/>
      <c r="DM522" s="4"/>
    </row>
    <row r="523" spans="1:117" ht="30" hidden="1" customHeight="1" outlineLevel="1">
      <c r="A523" s="228"/>
      <c r="B523" s="121"/>
      <c r="C523" s="780" t="e">
        <f t="shared" si="65"/>
        <v>#REF!</v>
      </c>
      <c r="D523" s="244"/>
      <c r="E523" s="757"/>
      <c r="F523" s="757"/>
      <c r="G523" s="790" t="s">
        <v>2185</v>
      </c>
      <c r="H523" s="791" t="s">
        <v>2698</v>
      </c>
      <c r="I523" s="207" t="s">
        <v>2699</v>
      </c>
      <c r="J523" s="121" t="str">
        <f t="shared" si="52"/>
        <v>Vittorio Migotto</v>
      </c>
      <c r="K523" s="224">
        <v>3484661889</v>
      </c>
      <c r="L523" s="131"/>
      <c r="M523" s="131"/>
      <c r="N523" s="131"/>
      <c r="O523" s="599"/>
      <c r="P523" s="37"/>
      <c r="Q523" s="37"/>
      <c r="R523" s="131" t="s">
        <v>2653</v>
      </c>
      <c r="S523" s="160"/>
      <c r="T523" s="160"/>
      <c r="U523" s="160"/>
      <c r="V523" s="160"/>
      <c r="W523" s="233"/>
      <c r="X523" s="131"/>
      <c r="Y523" s="233"/>
      <c r="Z523" s="233"/>
      <c r="AA523" s="233"/>
      <c r="AB523" s="37"/>
      <c r="AC523" s="131"/>
      <c r="AD523" s="37" t="s">
        <v>118</v>
      </c>
      <c r="AE523" s="131"/>
      <c r="AF523" s="515"/>
      <c r="AG523" s="155"/>
      <c r="AH523" s="155"/>
      <c r="AI523" s="515"/>
      <c r="AJ523" s="155"/>
      <c r="AK523" s="155"/>
      <c r="AL523" s="155"/>
      <c r="AM523" s="198"/>
      <c r="AN523" s="565" t="s">
        <v>194</v>
      </c>
      <c r="AO523" s="565" t="s">
        <v>194</v>
      </c>
      <c r="AP523" s="565" t="s">
        <v>194</v>
      </c>
      <c r="AQ523" s="198"/>
      <c r="AR523" s="121"/>
      <c r="AS523" s="121"/>
      <c r="AT523" s="121"/>
      <c r="AU523" s="235"/>
      <c r="AV523" s="121"/>
      <c r="AW523" s="121"/>
      <c r="AX523" s="121"/>
      <c r="AY523" s="235"/>
      <c r="AZ523" s="617"/>
      <c r="BA523" s="617"/>
      <c r="BB523" s="617"/>
      <c r="BC523" s="235"/>
      <c r="BD523" s="617"/>
      <c r="BE523" s="617"/>
      <c r="BF523" s="617"/>
      <c r="BG523" s="235"/>
      <c r="BH523" s="760">
        <f t="shared" si="53"/>
        <v>0</v>
      </c>
      <c r="BI523" s="761">
        <f t="shared" si="54"/>
        <v>0</v>
      </c>
      <c r="BJ523" s="761">
        <f t="shared" si="55"/>
        <v>0</v>
      </c>
      <c r="BK523" s="110">
        <f t="shared" si="56"/>
        <v>0</v>
      </c>
      <c r="BL523" s="242">
        <f t="shared" si="61"/>
        <v>0</v>
      </c>
      <c r="BM523" s="764"/>
      <c r="BN523" s="764"/>
      <c r="BO523" s="764"/>
      <c r="BP523" s="243" t="s">
        <v>117</v>
      </c>
      <c r="BQ523" s="98">
        <v>0</v>
      </c>
      <c r="BR523" s="110">
        <f t="shared" si="62"/>
        <v>0</v>
      </c>
      <c r="BS523" s="242"/>
      <c r="BT523" s="764"/>
      <c r="BU523" s="764"/>
      <c r="BV523" s="764"/>
      <c r="BW523" s="784" t="s">
        <v>118</v>
      </c>
      <c r="BX523" s="243" t="s">
        <v>152</v>
      </c>
      <c r="BY523" s="98">
        <v>0.05</v>
      </c>
      <c r="BZ523" s="110">
        <f t="shared" si="63"/>
        <v>0</v>
      </c>
      <c r="CA523" s="242"/>
      <c r="CB523" s="764"/>
      <c r="CC523" s="764"/>
      <c r="CD523" s="764"/>
      <c r="CE523" s="765"/>
      <c r="CF523" s="110"/>
      <c r="CG523" s="206"/>
      <c r="CH523" s="301"/>
      <c r="CI523" s="206"/>
      <c r="CJ523" s="206"/>
      <c r="CK523" s="206"/>
      <c r="CL523" s="206"/>
      <c r="CM523" s="206"/>
      <c r="CN523" s="206"/>
      <c r="CO523" s="206"/>
      <c r="CP523" s="206"/>
      <c r="CQ523" s="206"/>
      <c r="CR523" s="206"/>
      <c r="CS523" s="206"/>
      <c r="CT523" s="206"/>
      <c r="CU523" s="245" t="s">
        <v>2612</v>
      </c>
      <c r="CV523" s="181"/>
      <c r="CW523" s="438" t="s">
        <v>1408</v>
      </c>
      <c r="CX523" s="439" t="s">
        <v>1558</v>
      </c>
      <c r="CY523" s="155"/>
      <c r="CZ523" s="155"/>
      <c r="DA523" s="131"/>
      <c r="DB523" s="115"/>
      <c r="DC523" s="766"/>
      <c r="DD523" s="242"/>
      <c r="DE523" s="242"/>
      <c r="DF523" s="242"/>
      <c r="DG523" s="729"/>
      <c r="DH523" s="730"/>
      <c r="DI523" s="779"/>
      <c r="DJ523" s="779"/>
      <c r="DK523" s="779"/>
      <c r="DL523" s="779"/>
      <c r="DM523" s="4"/>
    </row>
    <row r="524" spans="1:117" ht="30" hidden="1" customHeight="1" outlineLevel="1">
      <c r="A524" s="228"/>
      <c r="B524" s="121"/>
      <c r="C524" s="780" t="e">
        <f t="shared" si="65"/>
        <v>#REF!</v>
      </c>
      <c r="D524" s="244"/>
      <c r="E524" s="757"/>
      <c r="F524" s="757"/>
      <c r="G524" s="792" t="s">
        <v>631</v>
      </c>
      <c r="H524" s="793" t="s">
        <v>2700</v>
      </c>
      <c r="I524" s="207" t="s">
        <v>2701</v>
      </c>
      <c r="J524" s="121" t="str">
        <f t="shared" si="52"/>
        <v>Lorenzo Vigezzi</v>
      </c>
      <c r="K524" s="224">
        <v>3292151796</v>
      </c>
      <c r="L524" s="131"/>
      <c r="M524" s="131"/>
      <c r="N524" s="131"/>
      <c r="O524" s="599"/>
      <c r="P524" s="37"/>
      <c r="Q524" s="37"/>
      <c r="R524" s="131" t="s">
        <v>2702</v>
      </c>
      <c r="S524" s="160"/>
      <c r="T524" s="160"/>
      <c r="U524" s="160"/>
      <c r="V524" s="160"/>
      <c r="W524" s="233"/>
      <c r="X524" s="131"/>
      <c r="Y524" s="233"/>
      <c r="Z524" s="233"/>
      <c r="AA524" s="233"/>
      <c r="AB524" s="37"/>
      <c r="AC524" s="131"/>
      <c r="AD524" s="37" t="s">
        <v>118</v>
      </c>
      <c r="AE524" s="131" t="s">
        <v>2703</v>
      </c>
      <c r="AF524" s="515"/>
      <c r="AG524" s="155"/>
      <c r="AH524" s="155"/>
      <c r="AI524" s="515"/>
      <c r="AJ524" s="155"/>
      <c r="AK524" s="155"/>
      <c r="AL524" s="155"/>
      <c r="AM524" s="198"/>
      <c r="AN524" s="565" t="s">
        <v>165</v>
      </c>
      <c r="AO524" s="565" t="s">
        <v>165</v>
      </c>
      <c r="AP524" s="565" t="s">
        <v>165</v>
      </c>
      <c r="AQ524" s="198"/>
      <c r="AR524" s="154" t="s">
        <v>165</v>
      </c>
      <c r="AS524" s="154" t="s">
        <v>165</v>
      </c>
      <c r="AT524" s="154" t="s">
        <v>165</v>
      </c>
      <c r="AU524" s="235"/>
      <c r="AV524" s="121"/>
      <c r="AW524" s="121"/>
      <c r="AX524" s="121"/>
      <c r="AY524" s="235"/>
      <c r="AZ524" s="617"/>
      <c r="BA524" s="617"/>
      <c r="BB524" s="617"/>
      <c r="BC524" s="235"/>
      <c r="BD524" s="617"/>
      <c r="BE524" s="617"/>
      <c r="BF524" s="617"/>
      <c r="BG524" s="235"/>
      <c r="BH524" s="760">
        <f t="shared" si="53"/>
        <v>0</v>
      </c>
      <c r="BI524" s="761">
        <f t="shared" si="54"/>
        <v>0</v>
      </c>
      <c r="BJ524" s="761">
        <f t="shared" si="55"/>
        <v>0</v>
      </c>
      <c r="BK524" s="110">
        <v>0</v>
      </c>
      <c r="BL524" s="242">
        <f t="shared" si="61"/>
        <v>0</v>
      </c>
      <c r="BM524" s="764"/>
      <c r="BN524" s="764"/>
      <c r="BO524" s="764"/>
      <c r="BP524" s="243" t="s">
        <v>414</v>
      </c>
      <c r="BQ524" s="98">
        <v>0.15</v>
      </c>
      <c r="BR524" s="110">
        <f t="shared" si="62"/>
        <v>0</v>
      </c>
      <c r="BS524" s="242"/>
      <c r="BT524" s="203"/>
      <c r="BU524" s="203"/>
      <c r="BV524" s="203"/>
      <c r="BW524" s="765"/>
      <c r="BX524" s="243" t="s">
        <v>414</v>
      </c>
      <c r="BY524" s="98">
        <v>0.05</v>
      </c>
      <c r="BZ524" s="110">
        <f t="shared" si="63"/>
        <v>0</v>
      </c>
      <c r="CA524" s="242"/>
      <c r="CB524" s="764"/>
      <c r="CC524" s="764"/>
      <c r="CD524" s="764"/>
      <c r="CE524" s="765"/>
      <c r="CF524" s="110"/>
      <c r="CG524" s="206"/>
      <c r="CH524" s="301"/>
      <c r="CI524" s="206"/>
      <c r="CJ524" s="206"/>
      <c r="CK524" s="206"/>
      <c r="CL524" s="206"/>
      <c r="CM524" s="206"/>
      <c r="CN524" s="778"/>
      <c r="CO524" s="206"/>
      <c r="CP524" s="206"/>
      <c r="CQ524" s="206"/>
      <c r="CR524" s="206"/>
      <c r="CS524" s="206"/>
      <c r="CT524" s="206"/>
      <c r="CU524" s="245" t="s">
        <v>2612</v>
      </c>
      <c r="CV524" s="181"/>
      <c r="CW524" s="491"/>
      <c r="CX524" s="439" t="s">
        <v>2704</v>
      </c>
      <c r="CY524" s="155"/>
      <c r="CZ524" s="155"/>
      <c r="DA524" s="131"/>
      <c r="DB524" s="115"/>
      <c r="DC524" s="766"/>
      <c r="DD524" s="242"/>
      <c r="DE524" s="242"/>
      <c r="DF524" s="242"/>
      <c r="DG524" s="729"/>
      <c r="DH524" s="730"/>
      <c r="DI524" s="779"/>
      <c r="DJ524" s="779"/>
      <c r="DK524" s="779"/>
      <c r="DL524" s="779"/>
      <c r="DM524" s="4"/>
    </row>
    <row r="525" spans="1:117" ht="30" hidden="1" customHeight="1" outlineLevel="1">
      <c r="A525" s="228"/>
      <c r="B525" s="121"/>
      <c r="C525" s="780" t="e">
        <f t="shared" si="65"/>
        <v>#REF!</v>
      </c>
      <c r="D525" s="244"/>
      <c r="E525" s="757"/>
      <c r="F525" s="757"/>
      <c r="G525" s="790" t="s">
        <v>2705</v>
      </c>
      <c r="H525" s="791" t="s">
        <v>2706</v>
      </c>
      <c r="I525" s="207" t="s">
        <v>2707</v>
      </c>
      <c r="J525" s="121" t="str">
        <f t="shared" si="52"/>
        <v>Susanna Salvador</v>
      </c>
      <c r="K525" s="224">
        <v>3457461293</v>
      </c>
      <c r="L525" s="131"/>
      <c r="M525" s="131"/>
      <c r="N525" s="131"/>
      <c r="O525" s="599"/>
      <c r="P525" s="37"/>
      <c r="Q525" s="37"/>
      <c r="R525" s="131" t="s">
        <v>2708</v>
      </c>
      <c r="S525" s="160"/>
      <c r="T525" s="160"/>
      <c r="U525" s="160"/>
      <c r="V525" s="160"/>
      <c r="W525" s="233"/>
      <c r="X525" s="131"/>
      <c r="Y525" s="233"/>
      <c r="Z525" s="233"/>
      <c r="AA525" s="233"/>
      <c r="AB525" s="37"/>
      <c r="AC525" s="131"/>
      <c r="AD525" s="37"/>
      <c r="AE525" s="131" t="s">
        <v>2709</v>
      </c>
      <c r="AF525" s="515"/>
      <c r="AG525" s="155"/>
      <c r="AH525" s="155"/>
      <c r="AI525" s="515"/>
      <c r="AJ525" s="155"/>
      <c r="AK525" s="155"/>
      <c r="AL525" s="155"/>
      <c r="AM525" s="198"/>
      <c r="AN525" s="565" t="s">
        <v>165</v>
      </c>
      <c r="AO525" s="565" t="s">
        <v>165</v>
      </c>
      <c r="AP525" s="565" t="s">
        <v>165</v>
      </c>
      <c r="AQ525" s="198"/>
      <c r="AR525" s="121"/>
      <c r="AS525" s="121"/>
      <c r="AT525" s="121"/>
      <c r="AU525" s="235"/>
      <c r="AV525" s="121"/>
      <c r="AW525" s="121"/>
      <c r="AX525" s="121"/>
      <c r="AY525" s="235"/>
      <c r="AZ525" s="617"/>
      <c r="BA525" s="617"/>
      <c r="BB525" s="617"/>
      <c r="BC525" s="235"/>
      <c r="BD525" s="617"/>
      <c r="BE525" s="617"/>
      <c r="BF525" s="617"/>
      <c r="BG525" s="235"/>
      <c r="BH525" s="760">
        <f t="shared" si="53"/>
        <v>0</v>
      </c>
      <c r="BI525" s="761">
        <f t="shared" si="54"/>
        <v>0</v>
      </c>
      <c r="BJ525" s="761">
        <f t="shared" si="55"/>
        <v>0</v>
      </c>
      <c r="BK525" s="110">
        <f t="shared" ref="BK525:BK526" si="66">BI525</f>
        <v>0</v>
      </c>
      <c r="BL525" s="242">
        <f t="shared" si="61"/>
        <v>0</v>
      </c>
      <c r="BM525" s="764"/>
      <c r="BN525" s="764"/>
      <c r="BO525" s="764"/>
      <c r="BP525" s="243" t="s">
        <v>160</v>
      </c>
      <c r="BQ525" s="98">
        <v>0.05</v>
      </c>
      <c r="BR525" s="110">
        <f t="shared" si="62"/>
        <v>0</v>
      </c>
      <c r="BS525" s="242"/>
      <c r="BT525" s="203"/>
      <c r="BU525" s="101"/>
      <c r="BV525" s="101"/>
      <c r="BW525" s="794"/>
      <c r="BX525" s="389" t="s">
        <v>160</v>
      </c>
      <c r="BY525" s="795">
        <v>0.05</v>
      </c>
      <c r="BZ525" s="110">
        <f t="shared" si="63"/>
        <v>0</v>
      </c>
      <c r="CA525" s="242"/>
      <c r="CB525" s="796"/>
      <c r="CC525" s="796"/>
      <c r="CD525" s="796"/>
      <c r="CE525" s="797"/>
      <c r="CF525" s="108"/>
      <c r="CG525" s="206"/>
      <c r="CH525" s="798"/>
      <c r="CI525" s="206"/>
      <c r="CJ525" s="206"/>
      <c r="CK525" s="206"/>
      <c r="CL525" s="206"/>
      <c r="CM525" s="206"/>
      <c r="CN525" s="206"/>
      <c r="CO525" s="206"/>
      <c r="CP525" s="206"/>
      <c r="CQ525" s="206"/>
      <c r="CR525" s="206"/>
      <c r="CS525" s="206"/>
      <c r="CT525" s="206"/>
      <c r="CU525" s="245" t="s">
        <v>2612</v>
      </c>
      <c r="CV525" s="181"/>
      <c r="CW525" s="438" t="s">
        <v>2621</v>
      </c>
      <c r="CX525" s="439" t="s">
        <v>2622</v>
      </c>
      <c r="CY525" s="155"/>
      <c r="CZ525" s="155"/>
      <c r="DA525" s="131"/>
      <c r="DB525" s="115"/>
      <c r="DC525" s="766"/>
      <c r="DD525" s="242"/>
      <c r="DE525" s="242"/>
      <c r="DF525" s="242"/>
      <c r="DG525" s="729"/>
      <c r="DH525" s="730"/>
      <c r="DI525" s="729"/>
      <c r="DJ525" s="729"/>
      <c r="DK525" s="729"/>
      <c r="DL525" s="729"/>
      <c r="DM525" s="4"/>
    </row>
    <row r="526" spans="1:117" ht="30" hidden="1" customHeight="1" outlineLevel="1">
      <c r="A526" s="228"/>
      <c r="B526" s="121"/>
      <c r="C526" s="780" t="e">
        <f t="shared" si="65"/>
        <v>#REF!</v>
      </c>
      <c r="D526" s="757"/>
      <c r="E526" s="757"/>
      <c r="F526" s="757"/>
      <c r="G526" s="320" t="s">
        <v>2710</v>
      </c>
      <c r="H526" s="320" t="s">
        <v>2711</v>
      </c>
      <c r="I526" s="207" t="s">
        <v>2712</v>
      </c>
      <c r="J526" s="121" t="str">
        <f t="shared" si="52"/>
        <v>Marco  Liverani</v>
      </c>
      <c r="K526" s="224"/>
      <c r="L526" s="131"/>
      <c r="M526" s="131"/>
      <c r="N526" s="289"/>
      <c r="O526" s="567"/>
      <c r="P526" s="131"/>
      <c r="Q526" s="131"/>
      <c r="R526" s="131" t="s">
        <v>2713</v>
      </c>
      <c r="S526" s="131"/>
      <c r="T526" s="131"/>
      <c r="U526" s="131"/>
      <c r="V526" s="131"/>
      <c r="W526" s="131"/>
      <c r="X526" s="131"/>
      <c r="Y526" s="131"/>
      <c r="Z526" s="131"/>
      <c r="AA526" s="131"/>
      <c r="AB526" s="255"/>
      <c r="AC526" s="131"/>
      <c r="AD526" s="155"/>
      <c r="AE526" s="131" t="s">
        <v>2714</v>
      </c>
      <c r="AF526" s="515"/>
      <c r="AG526" s="155"/>
      <c r="AH526" s="155"/>
      <c r="AI526" s="515"/>
      <c r="AJ526" s="155"/>
      <c r="AK526" s="155"/>
      <c r="AL526" s="155"/>
      <c r="AM526" s="198"/>
      <c r="AN526" s="124"/>
      <c r="AO526" s="124"/>
      <c r="AP526" s="124"/>
      <c r="AQ526" s="198"/>
      <c r="AR526" s="154" t="s">
        <v>165</v>
      </c>
      <c r="AS526" s="154" t="s">
        <v>165</v>
      </c>
      <c r="AT526" s="154" t="s">
        <v>165</v>
      </c>
      <c r="AU526" s="235"/>
      <c r="AV526" s="121"/>
      <c r="AW526" s="121"/>
      <c r="AX526" s="121"/>
      <c r="AY526" s="235"/>
      <c r="AZ526" s="617"/>
      <c r="BA526" s="617"/>
      <c r="BB526" s="617"/>
      <c r="BC526" s="235"/>
      <c r="BD526" s="617"/>
      <c r="BE526" s="617"/>
      <c r="BF526" s="617"/>
      <c r="BG526" s="235"/>
      <c r="BH526" s="760">
        <f t="shared" si="53"/>
        <v>0</v>
      </c>
      <c r="BI526" s="761">
        <f t="shared" si="54"/>
        <v>0</v>
      </c>
      <c r="BJ526" s="761">
        <f t="shared" si="55"/>
        <v>0</v>
      </c>
      <c r="BK526" s="110">
        <f t="shared" si="66"/>
        <v>0</v>
      </c>
      <c r="BL526" s="242"/>
      <c r="BM526" s="764"/>
      <c r="BN526" s="764"/>
      <c r="BO526" s="764"/>
      <c r="BP526" s="131" t="s">
        <v>160</v>
      </c>
      <c r="BQ526" s="145">
        <v>0.15</v>
      </c>
      <c r="BR526" s="110">
        <f t="shared" si="62"/>
        <v>0</v>
      </c>
      <c r="BS526" s="242"/>
      <c r="BT526" s="203"/>
      <c r="BU526" s="203"/>
      <c r="BV526" s="203"/>
      <c r="BW526" s="765"/>
      <c r="BX526" s="243" t="s">
        <v>160</v>
      </c>
      <c r="BY526" s="98">
        <v>0.05</v>
      </c>
      <c r="BZ526" s="110">
        <f t="shared" si="63"/>
        <v>0</v>
      </c>
      <c r="CA526" s="242"/>
      <c r="CB526" s="796"/>
      <c r="CC526" s="796"/>
      <c r="CD526" s="796"/>
      <c r="CE526" s="797"/>
      <c r="CF526" s="110"/>
      <c r="CG526" s="226"/>
      <c r="CH526" s="110"/>
      <c r="CI526" s="110"/>
      <c r="CJ526" s="226"/>
      <c r="CK526" s="110"/>
      <c r="CL526" s="110"/>
      <c r="CM526" s="226"/>
      <c r="CN526" s="349"/>
      <c r="CO526" s="110"/>
      <c r="CP526" s="226"/>
      <c r="CQ526" s="110"/>
      <c r="CR526" s="110"/>
      <c r="CS526" s="226"/>
      <c r="CT526" s="110"/>
      <c r="CU526" s="245" t="s">
        <v>2612</v>
      </c>
      <c r="CV526" s="181" t="s">
        <v>2715</v>
      </c>
      <c r="CW526" s="491" t="s">
        <v>1580</v>
      </c>
      <c r="CX526" s="492"/>
      <c r="CY526" s="121"/>
      <c r="CZ526" s="121"/>
      <c r="DA526" s="131"/>
      <c r="DB526" s="115"/>
      <c r="DC526" s="766"/>
      <c r="DD526" s="242"/>
      <c r="DE526" s="242"/>
      <c r="DF526" s="242"/>
      <c r="DG526" s="729"/>
      <c r="DH526" s="799"/>
      <c r="DI526" s="729"/>
      <c r="DJ526" s="729"/>
      <c r="DK526" s="729"/>
      <c r="DL526" s="729"/>
      <c r="DM526" s="4"/>
    </row>
    <row r="527" spans="1:117" ht="30" hidden="1" customHeight="1" outlineLevel="1">
      <c r="A527" s="228"/>
      <c r="B527" s="121"/>
      <c r="C527" s="780" t="e">
        <f t="shared" si="65"/>
        <v>#REF!</v>
      </c>
      <c r="D527" s="244"/>
      <c r="E527" s="757"/>
      <c r="F527" s="757"/>
      <c r="G527" s="288" t="s">
        <v>665</v>
      </c>
      <c r="H527" s="288" t="s">
        <v>2716</v>
      </c>
      <c r="I527" s="207" t="s">
        <v>2717</v>
      </c>
      <c r="J527" s="121" t="str">
        <f t="shared" si="52"/>
        <v>Luigi Cassago</v>
      </c>
      <c r="K527" s="800">
        <v>3391483969</v>
      </c>
      <c r="L527" s="801"/>
      <c r="M527" s="341"/>
      <c r="N527" s="131"/>
      <c r="O527" s="802"/>
      <c r="P527" s="803"/>
      <c r="Q527" s="803"/>
      <c r="R527" s="801" t="s">
        <v>2718</v>
      </c>
      <c r="S527" s="804"/>
      <c r="T527" s="805"/>
      <c r="U527" s="805"/>
      <c r="V527" s="805"/>
      <c r="W527" s="806"/>
      <c r="X527" s="807"/>
      <c r="Y527" s="806"/>
      <c r="Z527" s="806"/>
      <c r="AA527" s="806"/>
      <c r="AB527" s="37"/>
      <c r="AC527" s="37"/>
      <c r="AD527" s="37"/>
      <c r="AE527" s="160" t="s">
        <v>2719</v>
      </c>
      <c r="AF527" s="198"/>
      <c r="AG527" s="121"/>
      <c r="AH527" s="121"/>
      <c r="AI527" s="198"/>
      <c r="AJ527" s="155"/>
      <c r="AK527" s="155"/>
      <c r="AL527" s="155"/>
      <c r="AM527" s="198"/>
      <c r="AN527" s="265"/>
      <c r="AO527" s="155"/>
      <c r="AP527" s="155"/>
      <c r="AQ527" s="198"/>
      <c r="AR527" s="304"/>
      <c r="AS527" s="304"/>
      <c r="AT527" s="304"/>
      <c r="AU527" s="198"/>
      <c r="AV527" s="304" t="s">
        <v>151</v>
      </c>
      <c r="AW527" s="304" t="s">
        <v>151</v>
      </c>
      <c r="AX527" s="304" t="s">
        <v>151</v>
      </c>
      <c r="AY527" s="198"/>
      <c r="AZ527" s="304"/>
      <c r="BA527" s="304"/>
      <c r="BB527" s="304"/>
      <c r="BC527" s="198"/>
      <c r="BD527" s="304"/>
      <c r="BE527" s="304"/>
      <c r="BF527" s="304"/>
      <c r="BG527" s="198"/>
      <c r="BH527" s="808">
        <f t="shared" si="53"/>
        <v>3497.0000000000005</v>
      </c>
      <c r="BI527" s="761">
        <f t="shared" si="54"/>
        <v>0</v>
      </c>
      <c r="BJ527" s="761">
        <f t="shared" si="55"/>
        <v>3497.0000000000005</v>
      </c>
      <c r="BK527" s="110"/>
      <c r="BL527" s="809">
        <v>0</v>
      </c>
      <c r="BM527" s="764"/>
      <c r="BN527" s="810"/>
      <c r="BO527" s="810"/>
      <c r="BP527" s="285" t="s">
        <v>2720</v>
      </c>
      <c r="BQ527" s="98">
        <v>0.15</v>
      </c>
      <c r="BR527" s="110"/>
      <c r="BS527" s="242">
        <f t="shared" ref="BS527:BS528" si="67">BL527*BQ527</f>
        <v>0</v>
      </c>
      <c r="BT527" s="764"/>
      <c r="BU527" s="764"/>
      <c r="BV527" s="764"/>
      <c r="BW527" s="765"/>
      <c r="BX527" s="772" t="s">
        <v>262</v>
      </c>
      <c r="BY527" s="98">
        <v>0.05</v>
      </c>
      <c r="BZ527" s="110"/>
      <c r="CA527" s="242">
        <f t="shared" ref="CA527:CA565" si="68">BL527*BY527</f>
        <v>0</v>
      </c>
      <c r="CB527" s="796"/>
      <c r="CC527" s="796"/>
      <c r="CD527" s="796"/>
      <c r="CE527" s="765"/>
      <c r="CF527" s="110">
        <f>200/1.22</f>
        <v>163.9344262295082</v>
      </c>
      <c r="CG527" s="226">
        <v>44645</v>
      </c>
      <c r="CH527" s="301"/>
      <c r="CI527" s="110">
        <f>1720/1.22</f>
        <v>1409.8360655737706</v>
      </c>
      <c r="CJ527" s="226">
        <v>44694</v>
      </c>
      <c r="CK527" s="206"/>
      <c r="CL527" s="110">
        <f>2346.34/1.22</f>
        <v>1923.2295081967216</v>
      </c>
      <c r="CM527" s="263" t="s">
        <v>2721</v>
      </c>
      <c r="CN527" s="206"/>
      <c r="CO527" s="206"/>
      <c r="CP527" s="206"/>
      <c r="CQ527" s="206"/>
      <c r="CR527" s="206"/>
      <c r="CS527" s="206"/>
      <c r="CT527" s="206"/>
      <c r="CU527" s="245" t="s">
        <v>2612</v>
      </c>
      <c r="CV527" s="181"/>
      <c r="CW527" s="438"/>
      <c r="CX527" s="439" t="s">
        <v>2722</v>
      </c>
      <c r="CY527" s="155"/>
      <c r="CZ527" s="155"/>
      <c r="DA527" s="131"/>
      <c r="DB527" s="115"/>
      <c r="DC527" s="766"/>
      <c r="DD527" s="811"/>
      <c r="DE527" s="811" t="b">
        <f t="shared" ref="DE527:DE528" si="69">IF(D527=1,IF(BJ527=0,BL527*BQ527,0))</f>
        <v>0</v>
      </c>
      <c r="DF527" s="811" t="b">
        <f t="shared" ref="DF527:DF528" si="70">IF(D527=1,IF(BJ527=0,BL527*BY527,0))</f>
        <v>0</v>
      </c>
      <c r="DG527" s="729"/>
      <c r="DH527" s="730"/>
      <c r="DI527" s="729"/>
      <c r="DJ527" s="729"/>
      <c r="DK527" s="729"/>
      <c r="DL527" s="729"/>
      <c r="DM527" s="4"/>
    </row>
    <row r="528" spans="1:117" ht="30" hidden="1" customHeight="1" outlineLevel="1">
      <c r="A528" s="228"/>
      <c r="B528" s="121"/>
      <c r="C528" s="780" t="e">
        <f>#REF!+1</f>
        <v>#REF!</v>
      </c>
      <c r="D528" s="244"/>
      <c r="E528" s="757"/>
      <c r="F528" s="757"/>
      <c r="G528" s="320" t="s">
        <v>407</v>
      </c>
      <c r="H528" s="812" t="s">
        <v>2723</v>
      </c>
      <c r="I528" s="294" t="s">
        <v>2724</v>
      </c>
      <c r="J528" s="121" t="str">
        <f t="shared" si="52"/>
        <v>Stefano Poli</v>
      </c>
      <c r="K528" s="224"/>
      <c r="L528" s="160"/>
      <c r="M528" s="160"/>
      <c r="N528" s="131"/>
      <c r="O528" s="310"/>
      <c r="P528" s="37"/>
      <c r="Q528" s="37"/>
      <c r="R528" s="131" t="s">
        <v>2725</v>
      </c>
      <c r="S528" s="160"/>
      <c r="T528" s="160"/>
      <c r="U528" s="160"/>
      <c r="V528" s="160"/>
      <c r="W528" s="233"/>
      <c r="X528" s="234"/>
      <c r="Y528" s="233"/>
      <c r="Z528" s="233"/>
      <c r="AA528" s="233"/>
      <c r="AB528" s="37"/>
      <c r="AC528" s="37"/>
      <c r="AD528" s="37"/>
      <c r="AE528" s="84" t="s">
        <v>2726</v>
      </c>
      <c r="AF528" s="198"/>
      <c r="AG528" s="121"/>
      <c r="AH528" s="121"/>
      <c r="AI528" s="198"/>
      <c r="AJ528" s="258" t="s">
        <v>115</v>
      </c>
      <c r="AK528" s="258" t="s">
        <v>115</v>
      </c>
      <c r="AL528" s="258"/>
      <c r="AM528" s="515"/>
      <c r="AN528" s="258"/>
      <c r="AO528" s="258"/>
      <c r="AP528" s="258"/>
      <c r="AQ528" s="198"/>
      <c r="AR528" s="304"/>
      <c r="AS528" s="304"/>
      <c r="AT528" s="304"/>
      <c r="AU528" s="198"/>
      <c r="AV528" s="177" t="s">
        <v>151</v>
      </c>
      <c r="AW528" s="177" t="s">
        <v>151</v>
      </c>
      <c r="AX528" s="177" t="s">
        <v>151</v>
      </c>
      <c r="AY528" s="198"/>
      <c r="AZ528" s="177"/>
      <c r="BA528" s="177"/>
      <c r="BB528" s="177"/>
      <c r="BC528" s="198"/>
      <c r="BD528" s="177"/>
      <c r="BE528" s="177"/>
      <c r="BF528" s="177"/>
      <c r="BG528" s="198"/>
      <c r="BH528" s="808">
        <f t="shared" si="53"/>
        <v>2997</v>
      </c>
      <c r="BI528" s="761">
        <f t="shared" si="54"/>
        <v>0</v>
      </c>
      <c r="BJ528" s="761">
        <f t="shared" si="55"/>
        <v>2997</v>
      </c>
      <c r="BK528" s="110">
        <f>BI528</f>
        <v>0</v>
      </c>
      <c r="BL528" s="809">
        <f>BH528-BK528</f>
        <v>2997</v>
      </c>
      <c r="BM528" s="764"/>
      <c r="BN528" s="810"/>
      <c r="BO528" s="810"/>
      <c r="BP528" s="285" t="s">
        <v>184</v>
      </c>
      <c r="BQ528" s="98">
        <v>0.15</v>
      </c>
      <c r="BR528" s="110"/>
      <c r="BS528" s="242">
        <f t="shared" si="67"/>
        <v>449.55</v>
      </c>
      <c r="BT528" s="764"/>
      <c r="BU528" s="764"/>
      <c r="BV528" s="764"/>
      <c r="BW528" s="765"/>
      <c r="BX528" s="243" t="s">
        <v>184</v>
      </c>
      <c r="BY528" s="98">
        <v>0.1</v>
      </c>
      <c r="BZ528" s="110"/>
      <c r="CA528" s="242">
        <f t="shared" si="68"/>
        <v>299.7</v>
      </c>
      <c r="CB528" s="796"/>
      <c r="CC528" s="796"/>
      <c r="CD528" s="796"/>
      <c r="CE528" s="813"/>
      <c r="CF528" s="110">
        <v>2997</v>
      </c>
      <c r="CG528" s="226"/>
      <c r="CH528" s="110"/>
      <c r="CI528" s="263"/>
      <c r="CJ528" s="263"/>
      <c r="CK528" s="263"/>
      <c r="CL528" s="263"/>
      <c r="CM528" s="263"/>
      <c r="CN528" s="814"/>
      <c r="CO528" s="263"/>
      <c r="CP528" s="263"/>
      <c r="CQ528" s="263"/>
      <c r="CR528" s="263"/>
      <c r="CS528" s="263"/>
      <c r="CT528" s="263"/>
      <c r="CU528" s="245"/>
      <c r="CV528" s="181"/>
      <c r="CW528" s="438" t="s">
        <v>1408</v>
      </c>
      <c r="CX528" s="439" t="s">
        <v>2727</v>
      </c>
      <c r="CY528" s="815"/>
      <c r="CZ528" s="155"/>
      <c r="DA528" s="131"/>
      <c r="DB528" s="115" t="s">
        <v>2728</v>
      </c>
      <c r="DC528" s="766"/>
      <c r="DD528" s="811"/>
      <c r="DE528" s="811" t="b">
        <f t="shared" si="69"/>
        <v>0</v>
      </c>
      <c r="DF528" s="811" t="b">
        <f t="shared" si="70"/>
        <v>0</v>
      </c>
      <c r="DG528" s="729"/>
      <c r="DH528" s="730"/>
      <c r="DI528" s="729"/>
      <c r="DJ528" s="729"/>
      <c r="DK528" s="729"/>
      <c r="DL528" s="729"/>
      <c r="DM528" s="4"/>
    </row>
    <row r="529" spans="1:130" ht="30" hidden="1" customHeight="1" outlineLevel="1">
      <c r="A529" s="228"/>
      <c r="B529" s="816"/>
      <c r="C529" s="155">
        <v>1</v>
      </c>
      <c r="D529" s="781"/>
      <c r="E529" s="781"/>
      <c r="F529" s="781"/>
      <c r="G529" s="817" t="s">
        <v>135</v>
      </c>
      <c r="H529" s="817" t="s">
        <v>2729</v>
      </c>
      <c r="I529" s="207" t="s">
        <v>2730</v>
      </c>
      <c r="J529" s="121" t="str">
        <f t="shared" si="52"/>
        <v>Alessandro Romanini</v>
      </c>
      <c r="K529" s="156" t="s">
        <v>2731</v>
      </c>
      <c r="L529" s="204" t="s">
        <v>2732</v>
      </c>
      <c r="M529" s="131" t="s">
        <v>2733</v>
      </c>
      <c r="N529" s="131" t="str">
        <f t="shared" ref="N529:N565" si="71">DB529</f>
        <v>Mechinno</v>
      </c>
      <c r="O529" s="250"/>
      <c r="P529" s="251"/>
      <c r="Q529" s="131"/>
      <c r="R529" s="252"/>
      <c r="S529" s="254"/>
      <c r="T529" s="346"/>
      <c r="U529" s="253"/>
      <c r="V529" s="253"/>
      <c r="W529" s="251"/>
      <c r="X529" s="131"/>
      <c r="Y529" s="251"/>
      <c r="Z529" s="251"/>
      <c r="AA529" s="251"/>
      <c r="AB529" s="255"/>
      <c r="AC529" s="256"/>
      <c r="AD529" s="121"/>
      <c r="AE529" s="80" t="str">
        <f t="shared" ref="AE529:AE587" si="72">L529</f>
        <v>CONFERMA ENTRO IL 30/9</v>
      </c>
      <c r="AF529" s="257"/>
      <c r="AG529" s="155"/>
      <c r="AH529" s="155"/>
      <c r="AI529" s="257"/>
      <c r="AJ529" s="155"/>
      <c r="AK529" s="155"/>
      <c r="AL529" s="155"/>
      <c r="AM529" s="257"/>
      <c r="AN529" s="258"/>
      <c r="AO529" s="258"/>
      <c r="AP529" s="258"/>
      <c r="AQ529" s="211"/>
      <c r="AR529" s="154" t="s">
        <v>165</v>
      </c>
      <c r="AS529" s="154" t="s">
        <v>165</v>
      </c>
      <c r="AT529" s="154" t="s">
        <v>165</v>
      </c>
      <c r="AU529" s="211"/>
      <c r="AV529" s="259"/>
      <c r="AW529" s="259"/>
      <c r="AX529" s="259"/>
      <c r="AY529" s="211"/>
      <c r="AZ529" s="259"/>
      <c r="BA529" s="259"/>
      <c r="BB529" s="259"/>
      <c r="BC529" s="211"/>
      <c r="BD529" s="259"/>
      <c r="BE529" s="259"/>
      <c r="BF529" s="259"/>
      <c r="BG529" s="211"/>
      <c r="BH529" s="808">
        <f t="shared" si="53"/>
        <v>0</v>
      </c>
      <c r="BI529" s="761">
        <f t="shared" si="54"/>
        <v>0</v>
      </c>
      <c r="BJ529" s="761">
        <f t="shared" si="55"/>
        <v>0</v>
      </c>
      <c r="BK529" s="262"/>
      <c r="BL529" s="242"/>
      <c r="BM529" s="203"/>
      <c r="BN529" s="818"/>
      <c r="BO529" s="818"/>
      <c r="BP529" s="363" t="s">
        <v>690</v>
      </c>
      <c r="BQ529" s="145">
        <v>0.15</v>
      </c>
      <c r="BR529" s="262"/>
      <c r="BS529" s="242"/>
      <c r="BT529" s="203"/>
      <c r="BU529" s="373"/>
      <c r="BV529" s="373"/>
      <c r="BW529" s="774"/>
      <c r="BX529" s="289" t="s">
        <v>184</v>
      </c>
      <c r="BY529" s="145">
        <v>0.05</v>
      </c>
      <c r="BZ529" s="262"/>
      <c r="CA529" s="242">
        <f t="shared" si="68"/>
        <v>0</v>
      </c>
      <c r="CB529" s="203">
        <f t="shared" ref="CB529:CB565" si="73">BM529*BY529</f>
        <v>0</v>
      </c>
      <c r="CC529" s="203"/>
      <c r="CD529" s="203"/>
      <c r="CE529" s="765"/>
      <c r="CF529" s="110"/>
      <c r="CG529" s="226"/>
      <c r="CH529" s="110"/>
      <c r="CI529" s="110"/>
      <c r="CJ529" s="348"/>
      <c r="CK529" s="110"/>
      <c r="CL529" s="110"/>
      <c r="CM529" s="263"/>
      <c r="CN529" s="110"/>
      <c r="CO529" s="110"/>
      <c r="CP529" s="226"/>
      <c r="CQ529" s="110"/>
      <c r="CR529" s="110"/>
      <c r="CS529" s="226"/>
      <c r="CT529" s="110"/>
      <c r="CU529" s="155"/>
      <c r="CV529" s="181"/>
      <c r="CW529" s="438" t="s">
        <v>1580</v>
      </c>
      <c r="CX529" s="439" t="s">
        <v>1580</v>
      </c>
      <c r="CY529" s="155"/>
      <c r="CZ529" s="155"/>
      <c r="DA529" s="131"/>
      <c r="DB529" s="819" t="s">
        <v>2734</v>
      </c>
      <c r="DC529" s="766">
        <f t="shared" ref="DC529:DC565" si="74">GW529</f>
        <v>0</v>
      </c>
      <c r="DD529" s="820"/>
      <c r="DE529" s="820" t="b">
        <f t="shared" ref="DE529:DE554" si="75">IF(OR(D529&gt;0,E529&gt;0,F529&gt;0),IF(BJ529=0,BL529*BQ529,0))</f>
        <v>0</v>
      </c>
      <c r="DF529" s="820" t="b">
        <f t="shared" ref="DF529:DF554" si="76">IF(OR(D529&gt;0,E529&gt;0,F529&gt;0),IF(BJ529=0,BL529*BY529,0))</f>
        <v>0</v>
      </c>
      <c r="DG529" s="729"/>
      <c r="DH529" s="799"/>
      <c r="DI529" s="729"/>
      <c r="DJ529" s="729"/>
      <c r="DK529" s="729"/>
      <c r="DL529" s="729"/>
      <c r="DM529" s="17"/>
      <c r="DN529" s="265"/>
      <c r="DO529" s="265"/>
      <c r="DP529" s="265"/>
      <c r="DQ529" s="265"/>
      <c r="DR529" s="265"/>
      <c r="DS529" s="265"/>
      <c r="DT529" s="265"/>
      <c r="DU529" s="265"/>
      <c r="DV529" s="265"/>
      <c r="DW529" s="265"/>
      <c r="DX529" s="265"/>
      <c r="DY529" s="265"/>
      <c r="DZ529" s="265"/>
    </row>
    <row r="530" spans="1:130" ht="30" hidden="1" customHeight="1" outlineLevel="1">
      <c r="A530" s="228"/>
      <c r="B530" s="816"/>
      <c r="C530" s="155">
        <f t="shared" ref="C530:C565" si="77">C529+1</f>
        <v>2</v>
      </c>
      <c r="D530" s="781"/>
      <c r="E530" s="781"/>
      <c r="F530" s="781"/>
      <c r="G530" s="817" t="s">
        <v>2735</v>
      </c>
      <c r="H530" s="817" t="s">
        <v>2736</v>
      </c>
      <c r="I530" s="207" t="s">
        <v>2737</v>
      </c>
      <c r="J530" s="121" t="str">
        <f t="shared" si="52"/>
        <v>Alessia  Collavo</v>
      </c>
      <c r="K530" s="156">
        <v>3461360222</v>
      </c>
      <c r="L530" s="131"/>
      <c r="M530" s="131"/>
      <c r="N530" s="131" t="str">
        <f t="shared" si="71"/>
        <v>Sidi Sport</v>
      </c>
      <c r="O530" s="250"/>
      <c r="P530" s="251"/>
      <c r="Q530" s="131"/>
      <c r="R530" s="252"/>
      <c r="S530" s="254"/>
      <c r="T530" s="346"/>
      <c r="U530" s="253"/>
      <c r="V530" s="253"/>
      <c r="W530" s="251"/>
      <c r="X530" s="131"/>
      <c r="Y530" s="251"/>
      <c r="Z530" s="251"/>
      <c r="AA530" s="251"/>
      <c r="AB530" s="255"/>
      <c r="AC530" s="256"/>
      <c r="AD530" s="121"/>
      <c r="AE530" s="80">
        <f t="shared" si="72"/>
        <v>0</v>
      </c>
      <c r="AF530" s="257"/>
      <c r="AG530" s="155"/>
      <c r="AH530" s="155"/>
      <c r="AI530" s="257"/>
      <c r="AJ530" s="155"/>
      <c r="AK530" s="155"/>
      <c r="AL530" s="155"/>
      <c r="AM530" s="257"/>
      <c r="AN530" s="258"/>
      <c r="AO530" s="258"/>
      <c r="AP530" s="258"/>
      <c r="AQ530" s="211"/>
      <c r="AR530" s="154" t="s">
        <v>165</v>
      </c>
      <c r="AS530" s="154" t="s">
        <v>165</v>
      </c>
      <c r="AT530" s="154" t="s">
        <v>165</v>
      </c>
      <c r="AU530" s="211"/>
      <c r="AV530" s="259"/>
      <c r="AW530" s="259"/>
      <c r="AX530" s="259"/>
      <c r="AY530" s="211"/>
      <c r="AZ530" s="259"/>
      <c r="BA530" s="259"/>
      <c r="BB530" s="259"/>
      <c r="BC530" s="211"/>
      <c r="BD530" s="259"/>
      <c r="BE530" s="259"/>
      <c r="BF530" s="259"/>
      <c r="BG530" s="211"/>
      <c r="BH530" s="808">
        <f t="shared" si="53"/>
        <v>0</v>
      </c>
      <c r="BI530" s="761">
        <f t="shared" si="54"/>
        <v>0</v>
      </c>
      <c r="BJ530" s="761">
        <f t="shared" si="55"/>
        <v>0</v>
      </c>
      <c r="BK530" s="262"/>
      <c r="BL530" s="242"/>
      <c r="BM530" s="203"/>
      <c r="BN530" s="821"/>
      <c r="BO530" s="821"/>
      <c r="BP530" s="105" t="s">
        <v>160</v>
      </c>
      <c r="BQ530" s="145">
        <v>0.05</v>
      </c>
      <c r="BR530" s="262"/>
      <c r="BS530" s="242"/>
      <c r="BT530" s="203"/>
      <c r="BU530" s="373"/>
      <c r="BV530" s="373"/>
      <c r="BW530" s="774"/>
      <c r="BX530" s="822" t="s">
        <v>160</v>
      </c>
      <c r="BY530" s="145">
        <v>0.05</v>
      </c>
      <c r="BZ530" s="262"/>
      <c r="CA530" s="242">
        <f t="shared" si="68"/>
        <v>0</v>
      </c>
      <c r="CB530" s="203">
        <f t="shared" si="73"/>
        <v>0</v>
      </c>
      <c r="CC530" s="203"/>
      <c r="CD530" s="203"/>
      <c r="CE530" s="765"/>
      <c r="CF530" s="110"/>
      <c r="CG530" s="226"/>
      <c r="CH530" s="110"/>
      <c r="CI530" s="110"/>
      <c r="CJ530" s="348"/>
      <c r="CK530" s="110"/>
      <c r="CL530" s="110"/>
      <c r="CM530" s="263"/>
      <c r="CN530" s="110"/>
      <c r="CO530" s="110"/>
      <c r="CP530" s="226"/>
      <c r="CQ530" s="110"/>
      <c r="CR530" s="110"/>
      <c r="CS530" s="226"/>
      <c r="CT530" s="110"/>
      <c r="CU530" s="155"/>
      <c r="CV530" s="181"/>
      <c r="CW530" s="438"/>
      <c r="CX530" s="439"/>
      <c r="CY530" s="155"/>
      <c r="CZ530" s="155"/>
      <c r="DA530" s="131"/>
      <c r="DB530" s="819" t="s">
        <v>2738</v>
      </c>
      <c r="DC530" s="766">
        <f t="shared" si="74"/>
        <v>0</v>
      </c>
      <c r="DD530" s="820"/>
      <c r="DE530" s="820" t="b">
        <f t="shared" si="75"/>
        <v>0</v>
      </c>
      <c r="DF530" s="820" t="b">
        <f t="shared" si="76"/>
        <v>0</v>
      </c>
      <c r="DG530" s="729"/>
      <c r="DH530" s="799"/>
      <c r="DI530" s="729"/>
      <c r="DJ530" s="729"/>
      <c r="DK530" s="729"/>
      <c r="DL530" s="729"/>
      <c r="DM530" s="17"/>
      <c r="DN530" s="265"/>
      <c r="DO530" s="265"/>
      <c r="DP530" s="265"/>
      <c r="DQ530" s="265"/>
      <c r="DR530" s="265"/>
      <c r="DS530" s="265"/>
      <c r="DT530" s="265"/>
      <c r="DU530" s="265"/>
      <c r="DV530" s="265"/>
      <c r="DW530" s="265"/>
      <c r="DX530" s="265"/>
      <c r="DY530" s="265"/>
      <c r="DZ530" s="265"/>
    </row>
    <row r="531" spans="1:130" ht="30" hidden="1" customHeight="1" outlineLevel="1">
      <c r="A531" s="228"/>
      <c r="B531" s="816"/>
      <c r="C531" s="155">
        <f t="shared" si="77"/>
        <v>3</v>
      </c>
      <c r="D531" s="781"/>
      <c r="E531" s="781"/>
      <c r="F531" s="781"/>
      <c r="G531" s="817" t="s">
        <v>2739</v>
      </c>
      <c r="H531" s="817" t="s">
        <v>2740</v>
      </c>
      <c r="I531" s="207"/>
      <c r="J531" s="121" t="str">
        <f t="shared" si="52"/>
        <v>Alex Mazza</v>
      </c>
      <c r="K531" s="156"/>
      <c r="L531" s="204" t="s">
        <v>2741</v>
      </c>
      <c r="M531" s="823" t="s">
        <v>2742</v>
      </c>
      <c r="N531" s="131" t="str">
        <f t="shared" si="71"/>
        <v>Aere</v>
      </c>
      <c r="O531" s="250"/>
      <c r="P531" s="251"/>
      <c r="Q531" s="131"/>
      <c r="R531" s="252"/>
      <c r="S531" s="254"/>
      <c r="T531" s="346"/>
      <c r="U531" s="253"/>
      <c r="V531" s="253"/>
      <c r="W531" s="251"/>
      <c r="X531" s="131"/>
      <c r="Y531" s="251"/>
      <c r="Z531" s="251"/>
      <c r="AA531" s="251"/>
      <c r="AB531" s="255"/>
      <c r="AC531" s="256"/>
      <c r="AD531" s="121"/>
      <c r="AE531" s="80" t="str">
        <f t="shared" si="72"/>
        <v>Appuntamento 14.10 in azienda per Aiutarli</v>
      </c>
      <c r="AF531" s="257"/>
      <c r="AG531" s="155"/>
      <c r="AH531" s="155"/>
      <c r="AI531" s="257"/>
      <c r="AJ531" s="155"/>
      <c r="AK531" s="155"/>
      <c r="AL531" s="155"/>
      <c r="AM531" s="257"/>
      <c r="AN531" s="258"/>
      <c r="AO531" s="258"/>
      <c r="AP531" s="258"/>
      <c r="AQ531" s="211"/>
      <c r="AR531" s="565" t="s">
        <v>165</v>
      </c>
      <c r="AS531" s="565" t="s">
        <v>165</v>
      </c>
      <c r="AT531" s="565" t="s">
        <v>165</v>
      </c>
      <c r="AU531" s="211"/>
      <c r="AV531" s="259"/>
      <c r="AW531" s="259"/>
      <c r="AX531" s="259"/>
      <c r="AY531" s="211"/>
      <c r="AZ531" s="259"/>
      <c r="BA531" s="259"/>
      <c r="BB531" s="259"/>
      <c r="BC531" s="211"/>
      <c r="BD531" s="259"/>
      <c r="BE531" s="259"/>
      <c r="BF531" s="259"/>
      <c r="BG531" s="211"/>
      <c r="BH531" s="808">
        <f t="shared" si="53"/>
        <v>0</v>
      </c>
      <c r="BI531" s="761">
        <f t="shared" si="54"/>
        <v>0</v>
      </c>
      <c r="BJ531" s="761">
        <f t="shared" si="55"/>
        <v>0</v>
      </c>
      <c r="BK531" s="262"/>
      <c r="BL531" s="824">
        <f>BH531</f>
        <v>0</v>
      </c>
      <c r="BM531" s="203"/>
      <c r="BN531" s="818"/>
      <c r="BO531" s="818"/>
      <c r="BP531" s="380" t="s">
        <v>117</v>
      </c>
      <c r="BQ531" s="98">
        <v>0</v>
      </c>
      <c r="BR531" s="262"/>
      <c r="BS531" s="242">
        <f>BL531*BQ531</f>
        <v>0</v>
      </c>
      <c r="BT531" s="203">
        <f>BM531*BQ531</f>
        <v>0</v>
      </c>
      <c r="BU531" s="203"/>
      <c r="BV531" s="203"/>
      <c r="BW531" s="784" t="s">
        <v>118</v>
      </c>
      <c r="BX531" s="825" t="s">
        <v>152</v>
      </c>
      <c r="BY531" s="145">
        <v>0.05</v>
      </c>
      <c r="BZ531" s="262"/>
      <c r="CA531" s="242">
        <f t="shared" si="68"/>
        <v>0</v>
      </c>
      <c r="CB531" s="203">
        <f t="shared" si="73"/>
        <v>0</v>
      </c>
      <c r="CC531" s="203"/>
      <c r="CD531" s="203"/>
      <c r="CE531" s="765"/>
      <c r="CF531" s="110"/>
      <c r="CG531" s="226"/>
      <c r="CH531" s="110"/>
      <c r="CI531" s="110"/>
      <c r="CJ531" s="348"/>
      <c r="CK531" s="110"/>
      <c r="CL531" s="110"/>
      <c r="CM531" s="263"/>
      <c r="CN531" s="110"/>
      <c r="CO531" s="110"/>
      <c r="CP531" s="226"/>
      <c r="CQ531" s="110"/>
      <c r="CR531" s="110"/>
      <c r="CS531" s="226"/>
      <c r="CT531" s="110"/>
      <c r="CU531" s="155">
        <v>1</v>
      </c>
      <c r="CV531" s="181" t="s">
        <v>1123</v>
      </c>
      <c r="CW531" s="491" t="s">
        <v>2743</v>
      </c>
      <c r="CX531" s="492" t="s">
        <v>2744</v>
      </c>
      <c r="CY531" s="155"/>
      <c r="CZ531" s="155"/>
      <c r="DA531" s="131" t="s">
        <v>2745</v>
      </c>
      <c r="DB531" s="819" t="s">
        <v>2746</v>
      </c>
      <c r="DC531" s="766">
        <f t="shared" si="74"/>
        <v>0</v>
      </c>
      <c r="DD531" s="820"/>
      <c r="DE531" s="820" t="b">
        <f t="shared" si="75"/>
        <v>0</v>
      </c>
      <c r="DF531" s="820" t="b">
        <f t="shared" si="76"/>
        <v>0</v>
      </c>
      <c r="DG531" s="729"/>
      <c r="DH531" s="799"/>
      <c r="DI531" s="729"/>
      <c r="DJ531" s="729"/>
      <c r="DK531" s="729"/>
      <c r="DL531" s="729"/>
      <c r="DM531" s="17"/>
      <c r="DN531" s="265"/>
      <c r="DO531" s="265"/>
      <c r="DP531" s="265"/>
      <c r="DQ531" s="265"/>
      <c r="DR531" s="265"/>
      <c r="DS531" s="265"/>
      <c r="DT531" s="265"/>
      <c r="DU531" s="265"/>
      <c r="DV531" s="265"/>
      <c r="DW531" s="265"/>
      <c r="DX531" s="265"/>
      <c r="DY531" s="265"/>
      <c r="DZ531" s="265"/>
    </row>
    <row r="532" spans="1:130" ht="30" hidden="1" customHeight="1" outlineLevel="1">
      <c r="A532" s="228"/>
      <c r="B532" s="816"/>
      <c r="C532" s="155">
        <f t="shared" si="77"/>
        <v>4</v>
      </c>
      <c r="D532" s="781"/>
      <c r="E532" s="781"/>
      <c r="F532" s="781"/>
      <c r="G532" s="817" t="s">
        <v>414</v>
      </c>
      <c r="H532" s="817" t="s">
        <v>2747</v>
      </c>
      <c r="I532" s="207" t="s">
        <v>2748</v>
      </c>
      <c r="J532" s="121" t="str">
        <f t="shared" si="52"/>
        <v>Barbara Fava</v>
      </c>
      <c r="K532" s="156" t="s">
        <v>2749</v>
      </c>
      <c r="L532" s="204" t="s">
        <v>2750</v>
      </c>
      <c r="M532" s="131" t="s">
        <v>2751</v>
      </c>
      <c r="N532" s="131" t="str">
        <f t="shared" si="71"/>
        <v>We Nudge</v>
      </c>
      <c r="O532" s="250"/>
      <c r="P532" s="251"/>
      <c r="Q532" s="131"/>
      <c r="R532" s="252"/>
      <c r="S532" s="254"/>
      <c r="T532" s="346"/>
      <c r="U532" s="253"/>
      <c r="V532" s="253"/>
      <c r="W532" s="251"/>
      <c r="X532" s="131"/>
      <c r="Y532" s="251"/>
      <c r="Z532" s="251"/>
      <c r="AA532" s="251"/>
      <c r="AB532" s="255"/>
      <c r="AC532" s="256"/>
      <c r="AD532" s="121"/>
      <c r="AE532" s="80" t="str">
        <f t="shared" si="72"/>
        <v>CONFERMA ENTRO IL 30/09/2022. Disdetta. Sentita Raffa e Confermato che non c'è</v>
      </c>
      <c r="AF532" s="257"/>
      <c r="AG532" s="155"/>
      <c r="AH532" s="155"/>
      <c r="AI532" s="257"/>
      <c r="AJ532" s="155"/>
      <c r="AK532" s="155"/>
      <c r="AL532" s="155"/>
      <c r="AM532" s="257"/>
      <c r="AN532" s="258"/>
      <c r="AO532" s="258"/>
      <c r="AP532" s="258"/>
      <c r="AQ532" s="211"/>
      <c r="AR532" s="565" t="s">
        <v>165</v>
      </c>
      <c r="AS532" s="565" t="s">
        <v>165</v>
      </c>
      <c r="AT532" s="565" t="s">
        <v>165</v>
      </c>
      <c r="AU532" s="211"/>
      <c r="AV532" s="259"/>
      <c r="AW532" s="259"/>
      <c r="AX532" s="259"/>
      <c r="AY532" s="211"/>
      <c r="AZ532" s="259"/>
      <c r="BA532" s="259"/>
      <c r="BB532" s="259"/>
      <c r="BC532" s="211"/>
      <c r="BD532" s="259"/>
      <c r="BE532" s="259"/>
      <c r="BF532" s="259"/>
      <c r="BG532" s="211"/>
      <c r="BH532" s="808">
        <f t="shared" si="53"/>
        <v>0</v>
      </c>
      <c r="BI532" s="761">
        <f t="shared" si="54"/>
        <v>0</v>
      </c>
      <c r="BJ532" s="761">
        <f t="shared" si="55"/>
        <v>0</v>
      </c>
      <c r="BK532" s="262"/>
      <c r="BL532" s="242"/>
      <c r="BM532" s="203"/>
      <c r="BN532" s="821"/>
      <c r="BO532" s="821"/>
      <c r="BP532" s="392" t="s">
        <v>119</v>
      </c>
      <c r="BQ532" s="145">
        <v>0.15</v>
      </c>
      <c r="BR532" s="262"/>
      <c r="BS532" s="242"/>
      <c r="BT532" s="203"/>
      <c r="BU532" s="373"/>
      <c r="BV532" s="373"/>
      <c r="BW532" s="774"/>
      <c r="BX532" s="826" t="s">
        <v>119</v>
      </c>
      <c r="BY532" s="145">
        <v>0.05</v>
      </c>
      <c r="BZ532" s="262"/>
      <c r="CA532" s="242">
        <f t="shared" si="68"/>
        <v>0</v>
      </c>
      <c r="CB532" s="203">
        <f t="shared" si="73"/>
        <v>0</v>
      </c>
      <c r="CC532" s="203"/>
      <c r="CD532" s="203"/>
      <c r="CE532" s="765"/>
      <c r="CF532" s="110"/>
      <c r="CG532" s="226"/>
      <c r="CH532" s="110"/>
      <c r="CI532" s="110"/>
      <c r="CJ532" s="348"/>
      <c r="CK532" s="110"/>
      <c r="CL532" s="110"/>
      <c r="CM532" s="263"/>
      <c r="CN532" s="110"/>
      <c r="CO532" s="110"/>
      <c r="CP532" s="226"/>
      <c r="CQ532" s="110"/>
      <c r="CR532" s="110"/>
      <c r="CS532" s="226"/>
      <c r="CT532" s="110"/>
      <c r="CU532" s="155">
        <v>1</v>
      </c>
      <c r="CV532" s="181" t="s">
        <v>1123</v>
      </c>
      <c r="CW532" s="491"/>
      <c r="CX532" s="492"/>
      <c r="CY532" s="155"/>
      <c r="CZ532" s="155"/>
      <c r="DA532" s="131"/>
      <c r="DB532" s="819" t="s">
        <v>2752</v>
      </c>
      <c r="DC532" s="766">
        <f t="shared" si="74"/>
        <v>0</v>
      </c>
      <c r="DD532" s="820"/>
      <c r="DE532" s="820" t="b">
        <f t="shared" si="75"/>
        <v>0</v>
      </c>
      <c r="DF532" s="820" t="b">
        <f t="shared" si="76"/>
        <v>0</v>
      </c>
      <c r="DG532" s="729"/>
      <c r="DH532" s="799"/>
      <c r="DI532" s="729"/>
      <c r="DJ532" s="729"/>
      <c r="DK532" s="729"/>
      <c r="DL532" s="729"/>
      <c r="DM532" s="17"/>
      <c r="DN532" s="265"/>
      <c r="DO532" s="265"/>
      <c r="DP532" s="265"/>
      <c r="DQ532" s="265"/>
      <c r="DR532" s="265"/>
      <c r="DS532" s="265"/>
      <c r="DT532" s="265"/>
      <c r="DU532" s="265"/>
      <c r="DV532" s="265"/>
      <c r="DW532" s="265"/>
      <c r="DX532" s="265"/>
      <c r="DY532" s="265"/>
      <c r="DZ532" s="265"/>
    </row>
    <row r="533" spans="1:130" ht="30" hidden="1" customHeight="1" outlineLevel="1">
      <c r="A533" s="228"/>
      <c r="B533" s="816"/>
      <c r="C533" s="155">
        <f t="shared" si="77"/>
        <v>5</v>
      </c>
      <c r="D533" s="781"/>
      <c r="E533" s="781"/>
      <c r="F533" s="781"/>
      <c r="G533" s="817" t="s">
        <v>275</v>
      </c>
      <c r="H533" s="817" t="s">
        <v>2753</v>
      </c>
      <c r="I533" s="207" t="s">
        <v>2754</v>
      </c>
      <c r="J533" s="121" t="str">
        <f t="shared" si="52"/>
        <v>Chiara Di Palma</v>
      </c>
      <c r="K533" s="156">
        <v>3667490606</v>
      </c>
      <c r="L533" s="131"/>
      <c r="M533" s="131" t="s">
        <v>2755</v>
      </c>
      <c r="N533" s="131" t="str">
        <f t="shared" si="71"/>
        <v>Olympus</v>
      </c>
      <c r="O533" s="250"/>
      <c r="P533" s="251"/>
      <c r="Q533" s="131"/>
      <c r="R533" s="252"/>
      <c r="S533" s="254"/>
      <c r="T533" s="346"/>
      <c r="U533" s="253"/>
      <c r="V533" s="253"/>
      <c r="W533" s="251"/>
      <c r="X533" s="131"/>
      <c r="Y533" s="251"/>
      <c r="Z533" s="251"/>
      <c r="AA533" s="251"/>
      <c r="AB533" s="255"/>
      <c r="AC533" s="256"/>
      <c r="AD533" s="121"/>
      <c r="AE533" s="80">
        <f t="shared" si="72"/>
        <v>0</v>
      </c>
      <c r="AF533" s="257"/>
      <c r="AG533" s="155"/>
      <c r="AH533" s="155"/>
      <c r="AI533" s="257"/>
      <c r="AJ533" s="155"/>
      <c r="AK533" s="155"/>
      <c r="AL533" s="155"/>
      <c r="AM533" s="257"/>
      <c r="AN533" s="258"/>
      <c r="AO533" s="258"/>
      <c r="AP533" s="258"/>
      <c r="AQ533" s="211"/>
      <c r="AR533" s="395" t="s">
        <v>165</v>
      </c>
      <c r="AS533" s="395" t="s">
        <v>165</v>
      </c>
      <c r="AT533" s="395" t="s">
        <v>165</v>
      </c>
      <c r="AU533" s="211"/>
      <c r="AV533" s="259"/>
      <c r="AW533" s="259"/>
      <c r="AX533" s="259"/>
      <c r="AY533" s="211"/>
      <c r="AZ533" s="259"/>
      <c r="BA533" s="259"/>
      <c r="BB533" s="259"/>
      <c r="BC533" s="211"/>
      <c r="BD533" s="259"/>
      <c r="BE533" s="259"/>
      <c r="BF533" s="259"/>
      <c r="BG533" s="211"/>
      <c r="BH533" s="808">
        <f t="shared" si="53"/>
        <v>0</v>
      </c>
      <c r="BI533" s="761">
        <f t="shared" si="54"/>
        <v>0</v>
      </c>
      <c r="BJ533" s="761">
        <f t="shared" si="55"/>
        <v>0</v>
      </c>
      <c r="BK533" s="262"/>
      <c r="BL533" s="242"/>
      <c r="BM533" s="203"/>
      <c r="BN533" s="821"/>
      <c r="BO533" s="821"/>
      <c r="BP533" s="105" t="s">
        <v>451</v>
      </c>
      <c r="BQ533" s="145">
        <v>0.15</v>
      </c>
      <c r="BR533" s="262"/>
      <c r="BS533" s="242"/>
      <c r="BT533" s="203"/>
      <c r="BU533" s="203"/>
      <c r="BV533" s="203"/>
      <c r="BW533" s="765"/>
      <c r="BX533" s="825" t="s">
        <v>451</v>
      </c>
      <c r="BY533" s="145">
        <v>0.05</v>
      </c>
      <c r="BZ533" s="262"/>
      <c r="CA533" s="242">
        <f t="shared" si="68"/>
        <v>0</v>
      </c>
      <c r="CB533" s="203">
        <f t="shared" si="73"/>
        <v>0</v>
      </c>
      <c r="CC533" s="203"/>
      <c r="CD533" s="203"/>
      <c r="CE533" s="765"/>
      <c r="CF533" s="110"/>
      <c r="CG533" s="226"/>
      <c r="CH533" s="110"/>
      <c r="CI533" s="110"/>
      <c r="CJ533" s="348"/>
      <c r="CK533" s="110"/>
      <c r="CL533" s="110"/>
      <c r="CM533" s="263"/>
      <c r="CN533" s="110"/>
      <c r="CO533" s="110"/>
      <c r="CP533" s="226"/>
      <c r="CQ533" s="110"/>
      <c r="CR533" s="110"/>
      <c r="CS533" s="226"/>
      <c r="CT533" s="110"/>
      <c r="CU533" s="155">
        <v>1</v>
      </c>
      <c r="CV533" s="181" t="s">
        <v>1123</v>
      </c>
      <c r="CW533" s="438" t="s">
        <v>1580</v>
      </c>
      <c r="CX533" s="439" t="s">
        <v>1580</v>
      </c>
      <c r="CY533" s="155"/>
      <c r="CZ533" s="155"/>
      <c r="DA533" s="131"/>
      <c r="DB533" s="819" t="s">
        <v>2756</v>
      </c>
      <c r="DC533" s="766">
        <f t="shared" si="74"/>
        <v>0</v>
      </c>
      <c r="DD533" s="820"/>
      <c r="DE533" s="820" t="b">
        <f t="shared" si="75"/>
        <v>0</v>
      </c>
      <c r="DF533" s="820" t="b">
        <f t="shared" si="76"/>
        <v>0</v>
      </c>
      <c r="DG533" s="729"/>
      <c r="DH533" s="799"/>
      <c r="DI533" s="729"/>
      <c r="DJ533" s="729"/>
      <c r="DK533" s="729"/>
      <c r="DL533" s="729"/>
      <c r="DM533" s="17"/>
      <c r="DN533" s="265"/>
      <c r="DO533" s="265"/>
      <c r="DP533" s="265"/>
      <c r="DQ533" s="265"/>
      <c r="DR533" s="265"/>
      <c r="DS533" s="265"/>
      <c r="DT533" s="265"/>
      <c r="DU533" s="265"/>
      <c r="DV533" s="265"/>
      <c r="DW533" s="265"/>
      <c r="DX533" s="265"/>
      <c r="DY533" s="265"/>
      <c r="DZ533" s="265"/>
    </row>
    <row r="534" spans="1:130" ht="30" hidden="1" customHeight="1" outlineLevel="1">
      <c r="A534" s="228"/>
      <c r="B534" s="816"/>
      <c r="C534" s="155">
        <f t="shared" si="77"/>
        <v>6</v>
      </c>
      <c r="D534" s="781"/>
      <c r="E534" s="781"/>
      <c r="F534" s="781"/>
      <c r="G534" s="817" t="s">
        <v>300</v>
      </c>
      <c r="H534" s="817" t="s">
        <v>2757</v>
      </c>
      <c r="I534" s="382" t="s">
        <v>2758</v>
      </c>
      <c r="J534" s="121" t="str">
        <f t="shared" si="52"/>
        <v>Cristina Pompilii</v>
      </c>
      <c r="K534" s="156" t="s">
        <v>2759</v>
      </c>
      <c r="L534" s="204" t="s">
        <v>2732</v>
      </c>
      <c r="M534" s="131"/>
      <c r="N534" s="131" t="str">
        <f t="shared" si="71"/>
        <v>Mechinno</v>
      </c>
      <c r="O534" s="250"/>
      <c r="P534" s="251"/>
      <c r="Q534" s="131"/>
      <c r="R534" s="252"/>
      <c r="S534" s="254"/>
      <c r="T534" s="346"/>
      <c r="U534" s="253"/>
      <c r="V534" s="253"/>
      <c r="W534" s="251"/>
      <c r="X534" s="131"/>
      <c r="Y534" s="251"/>
      <c r="Z534" s="251"/>
      <c r="AA534" s="251"/>
      <c r="AB534" s="255"/>
      <c r="AC534" s="256"/>
      <c r="AD534" s="121"/>
      <c r="AE534" s="80" t="str">
        <f t="shared" si="72"/>
        <v>CONFERMA ENTRO IL 30/9</v>
      </c>
      <c r="AF534" s="257"/>
      <c r="AG534" s="155"/>
      <c r="AH534" s="155"/>
      <c r="AI534" s="257"/>
      <c r="AJ534" s="155"/>
      <c r="AK534" s="155"/>
      <c r="AL534" s="155"/>
      <c r="AM534" s="257"/>
      <c r="AN534" s="258"/>
      <c r="AO534" s="258"/>
      <c r="AP534" s="258"/>
      <c r="AQ534" s="211"/>
      <c r="AR534" s="395" t="s">
        <v>165</v>
      </c>
      <c r="AS534" s="395" t="s">
        <v>165</v>
      </c>
      <c r="AT534" s="395" t="s">
        <v>165</v>
      </c>
      <c r="AU534" s="211"/>
      <c r="AV534" s="259"/>
      <c r="AW534" s="259"/>
      <c r="AX534" s="259"/>
      <c r="AY534" s="211"/>
      <c r="AZ534" s="259"/>
      <c r="BA534" s="259"/>
      <c r="BB534" s="259"/>
      <c r="BC534" s="211"/>
      <c r="BD534" s="259"/>
      <c r="BE534" s="259"/>
      <c r="BF534" s="259"/>
      <c r="BG534" s="211"/>
      <c r="BH534" s="808">
        <f t="shared" si="53"/>
        <v>0</v>
      </c>
      <c r="BI534" s="761">
        <f t="shared" si="54"/>
        <v>0</v>
      </c>
      <c r="BJ534" s="761">
        <f t="shared" si="55"/>
        <v>0</v>
      </c>
      <c r="BK534" s="262"/>
      <c r="BL534" s="242"/>
      <c r="BM534" s="203"/>
      <c r="BN534" s="821"/>
      <c r="BO534" s="821"/>
      <c r="BP534" s="827" t="s">
        <v>690</v>
      </c>
      <c r="BQ534" s="145">
        <v>0.15</v>
      </c>
      <c r="BR534" s="262"/>
      <c r="BS534" s="242"/>
      <c r="BT534" s="203"/>
      <c r="BU534" s="373"/>
      <c r="BV534" s="373"/>
      <c r="BW534" s="774"/>
      <c r="BX534" s="826" t="s">
        <v>184</v>
      </c>
      <c r="BY534" s="145">
        <v>0.05</v>
      </c>
      <c r="BZ534" s="262"/>
      <c r="CA534" s="242">
        <f t="shared" si="68"/>
        <v>0</v>
      </c>
      <c r="CB534" s="203">
        <f t="shared" si="73"/>
        <v>0</v>
      </c>
      <c r="CC534" s="203"/>
      <c r="CD534" s="203"/>
      <c r="CE534" s="765"/>
      <c r="CF534" s="110"/>
      <c r="CG534" s="226"/>
      <c r="CH534" s="110"/>
      <c r="CI534" s="110"/>
      <c r="CJ534" s="348"/>
      <c r="CK534" s="110"/>
      <c r="CL534" s="110"/>
      <c r="CM534" s="263"/>
      <c r="CN534" s="110"/>
      <c r="CO534" s="110"/>
      <c r="CP534" s="226"/>
      <c r="CQ534" s="110"/>
      <c r="CR534" s="110"/>
      <c r="CS534" s="226"/>
      <c r="CT534" s="110"/>
      <c r="CU534" s="155">
        <v>1</v>
      </c>
      <c r="CV534" s="181" t="s">
        <v>1123</v>
      </c>
      <c r="CW534" s="491"/>
      <c r="CX534" s="492" t="s">
        <v>2760</v>
      </c>
      <c r="CY534" s="155"/>
      <c r="CZ534" s="155"/>
      <c r="DA534" s="131"/>
      <c r="DB534" s="819" t="s">
        <v>2734</v>
      </c>
      <c r="DC534" s="766">
        <f t="shared" si="74"/>
        <v>0</v>
      </c>
      <c r="DD534" s="820"/>
      <c r="DE534" s="820" t="b">
        <f t="shared" si="75"/>
        <v>0</v>
      </c>
      <c r="DF534" s="820" t="b">
        <f t="shared" si="76"/>
        <v>0</v>
      </c>
      <c r="DG534" s="729"/>
      <c r="DH534" s="799"/>
      <c r="DI534" s="729"/>
      <c r="DJ534" s="729"/>
      <c r="DK534" s="729"/>
      <c r="DL534" s="729"/>
      <c r="DM534" s="17"/>
      <c r="DN534" s="265"/>
      <c r="DO534" s="265"/>
      <c r="DP534" s="265"/>
      <c r="DQ534" s="265"/>
      <c r="DR534" s="265"/>
      <c r="DS534" s="265"/>
      <c r="DT534" s="265"/>
      <c r="DU534" s="265"/>
      <c r="DV534" s="265"/>
      <c r="DW534" s="265"/>
      <c r="DX534" s="265"/>
      <c r="DY534" s="265"/>
      <c r="DZ534" s="265"/>
    </row>
    <row r="535" spans="1:130" ht="35.25" hidden="1" customHeight="1" outlineLevel="1">
      <c r="A535" s="228"/>
      <c r="B535" s="816"/>
      <c r="C535" s="155">
        <f t="shared" si="77"/>
        <v>7</v>
      </c>
      <c r="D535" s="781"/>
      <c r="E535" s="781"/>
      <c r="F535" s="781"/>
      <c r="G535" s="817" t="s">
        <v>487</v>
      </c>
      <c r="H535" s="817" t="s">
        <v>2761</v>
      </c>
      <c r="I535" s="207" t="s">
        <v>2762</v>
      </c>
      <c r="J535" s="121" t="str">
        <f t="shared" si="52"/>
        <v>Daniela Multari</v>
      </c>
      <c r="K535" s="156">
        <v>3280514211</v>
      </c>
      <c r="L535" s="673" t="s">
        <v>2763</v>
      </c>
      <c r="M535" s="131" t="s">
        <v>514</v>
      </c>
      <c r="N535" s="131" t="str">
        <f t="shared" si="71"/>
        <v>Chiorino Technology</v>
      </c>
      <c r="O535" s="250"/>
      <c r="P535" s="251"/>
      <c r="Q535" s="131"/>
      <c r="R535" s="252"/>
      <c r="S535" s="254"/>
      <c r="T535" s="346"/>
      <c r="U535" s="253"/>
      <c r="V535" s="253"/>
      <c r="W535" s="251"/>
      <c r="X535" s="131"/>
      <c r="Y535" s="251"/>
      <c r="Z535" s="251"/>
      <c r="AA535" s="251"/>
      <c r="AB535" s="255"/>
      <c r="AC535" s="256"/>
      <c r="AD535" s="121"/>
      <c r="AE535" s="80" t="str">
        <f t="shared" si="72"/>
        <v>Contattata da Marco, farà tentativo per  intercedere con il titolare</v>
      </c>
      <c r="AF535" s="257"/>
      <c r="AG535" s="155"/>
      <c r="AH535" s="155"/>
      <c r="AI535" s="257"/>
      <c r="AJ535" s="155"/>
      <c r="AK535" s="155"/>
      <c r="AL535" s="155"/>
      <c r="AM535" s="257"/>
      <c r="AN535" s="258"/>
      <c r="AO535" s="258"/>
      <c r="AP535" s="258"/>
      <c r="AQ535" s="211"/>
      <c r="AR535" s="395" t="s">
        <v>165</v>
      </c>
      <c r="AS535" s="395" t="s">
        <v>165</v>
      </c>
      <c r="AT535" s="395" t="s">
        <v>165</v>
      </c>
      <c r="AU535" s="211"/>
      <c r="AV535" s="259"/>
      <c r="AW535" s="259"/>
      <c r="AX535" s="259"/>
      <c r="AY535" s="211"/>
      <c r="AZ535" s="259"/>
      <c r="BA535" s="259"/>
      <c r="BB535" s="259"/>
      <c r="BC535" s="211"/>
      <c r="BD535" s="259"/>
      <c r="BE535" s="259"/>
      <c r="BF535" s="259"/>
      <c r="BG535" s="211"/>
      <c r="BH535" s="808">
        <f t="shared" si="53"/>
        <v>0</v>
      </c>
      <c r="BI535" s="761">
        <f t="shared" si="54"/>
        <v>0</v>
      </c>
      <c r="BJ535" s="761">
        <f t="shared" si="55"/>
        <v>0</v>
      </c>
      <c r="BK535" s="262"/>
      <c r="BL535" s="824">
        <f>BH535</f>
        <v>0</v>
      </c>
      <c r="BM535" s="203"/>
      <c r="BN535" s="821"/>
      <c r="BO535" s="821"/>
      <c r="BP535" s="399" t="s">
        <v>117</v>
      </c>
      <c r="BQ535" s="98">
        <v>0</v>
      </c>
      <c r="BR535" s="262"/>
      <c r="BS535" s="242">
        <f>BL535*BQ535</f>
        <v>0</v>
      </c>
      <c r="BT535" s="373">
        <f>BM535*BQ535</f>
        <v>0</v>
      </c>
      <c r="BU535" s="373"/>
      <c r="BV535" s="373"/>
      <c r="BW535" s="784" t="s">
        <v>118</v>
      </c>
      <c r="BX535" s="277" t="s">
        <v>152</v>
      </c>
      <c r="BY535" s="145">
        <v>0.05</v>
      </c>
      <c r="BZ535" s="262"/>
      <c r="CA535" s="242">
        <f t="shared" si="68"/>
        <v>0</v>
      </c>
      <c r="CB535" s="203">
        <f t="shared" si="73"/>
        <v>0</v>
      </c>
      <c r="CC535" s="203"/>
      <c r="CD535" s="203"/>
      <c r="CE535" s="765"/>
      <c r="CF535" s="110"/>
      <c r="CG535" s="226"/>
      <c r="CH535" s="110"/>
      <c r="CI535" s="110"/>
      <c r="CJ535" s="348"/>
      <c r="CK535" s="110"/>
      <c r="CL535" s="110"/>
      <c r="CM535" s="263"/>
      <c r="CN535" s="110"/>
      <c r="CO535" s="110"/>
      <c r="CP535" s="226"/>
      <c r="CQ535" s="110"/>
      <c r="CR535" s="110"/>
      <c r="CS535" s="226"/>
      <c r="CT535" s="110"/>
      <c r="CU535" s="155">
        <v>0</v>
      </c>
      <c r="CV535" s="181" t="s">
        <v>154</v>
      </c>
      <c r="CW535" s="438" t="s">
        <v>1408</v>
      </c>
      <c r="CX535" s="439" t="s">
        <v>2764</v>
      </c>
      <c r="CY535" s="155"/>
      <c r="CZ535" s="155"/>
      <c r="DA535" s="131" t="s">
        <v>2765</v>
      </c>
      <c r="DB535" s="819" t="s">
        <v>2766</v>
      </c>
      <c r="DC535" s="766">
        <f t="shared" si="74"/>
        <v>0</v>
      </c>
      <c r="DD535" s="820"/>
      <c r="DE535" s="820" t="b">
        <f t="shared" si="75"/>
        <v>0</v>
      </c>
      <c r="DF535" s="820" t="b">
        <f t="shared" si="76"/>
        <v>0</v>
      </c>
      <c r="DG535" s="729"/>
      <c r="DH535" s="799"/>
      <c r="DI535" s="729"/>
      <c r="DJ535" s="729"/>
      <c r="DK535" s="729"/>
      <c r="DL535" s="729"/>
      <c r="DM535" s="17"/>
      <c r="DN535" s="265"/>
      <c r="DO535" s="265"/>
      <c r="DP535" s="265"/>
      <c r="DQ535" s="265"/>
      <c r="DR535" s="265"/>
      <c r="DS535" s="265"/>
      <c r="DT535" s="265"/>
      <c r="DU535" s="265"/>
      <c r="DV535" s="265"/>
      <c r="DW535" s="265"/>
      <c r="DX535" s="265"/>
      <c r="DY535" s="265"/>
      <c r="DZ535" s="265"/>
    </row>
    <row r="536" spans="1:130" ht="30" hidden="1" customHeight="1" outlineLevel="1">
      <c r="A536" s="228"/>
      <c r="B536" s="816"/>
      <c r="C536" s="155">
        <f t="shared" si="77"/>
        <v>8</v>
      </c>
      <c r="D536" s="781"/>
      <c r="E536" s="781"/>
      <c r="F536" s="781"/>
      <c r="G536" s="817" t="s">
        <v>321</v>
      </c>
      <c r="H536" s="817" t="s">
        <v>2767</v>
      </c>
      <c r="I536" s="207" t="s">
        <v>2768</v>
      </c>
      <c r="J536" s="121" t="str">
        <f t="shared" si="52"/>
        <v>Davide Felici</v>
      </c>
      <c r="K536" s="156" t="s">
        <v>2769</v>
      </c>
      <c r="L536" s="204" t="s">
        <v>2770</v>
      </c>
      <c r="M536" s="131" t="s">
        <v>2771</v>
      </c>
      <c r="N536" s="131" t="str">
        <f t="shared" si="71"/>
        <v>Forma Aquae</v>
      </c>
      <c r="O536" s="250"/>
      <c r="P536" s="251"/>
      <c r="Q536" s="131"/>
      <c r="R536" s="252"/>
      <c r="S536" s="254"/>
      <c r="T536" s="346"/>
      <c r="U536" s="253"/>
      <c r="V536" s="253"/>
      <c r="W536" s="251"/>
      <c r="X536" s="131"/>
      <c r="Y536" s="251"/>
      <c r="Z536" s="251"/>
      <c r="AA536" s="251"/>
      <c r="AB536" s="255"/>
      <c r="AC536" s="256"/>
      <c r="AD536" s="121"/>
      <c r="AE536" s="80" t="str">
        <f t="shared" si="72"/>
        <v>deve confermare il metodo di pagamento. Annullato per attriti in azienda</v>
      </c>
      <c r="AF536" s="257"/>
      <c r="AG536" s="155"/>
      <c r="AH536" s="155"/>
      <c r="AI536" s="257"/>
      <c r="AJ536" s="155"/>
      <c r="AK536" s="155"/>
      <c r="AL536" s="155"/>
      <c r="AM536" s="257"/>
      <c r="AN536" s="258"/>
      <c r="AO536" s="258"/>
      <c r="AP536" s="258"/>
      <c r="AQ536" s="211"/>
      <c r="AR536" s="395" t="s">
        <v>165</v>
      </c>
      <c r="AS536" s="395" t="s">
        <v>165</v>
      </c>
      <c r="AT536" s="395" t="s">
        <v>165</v>
      </c>
      <c r="AU536" s="211"/>
      <c r="AV536" s="259"/>
      <c r="AW536" s="259"/>
      <c r="AX536" s="259"/>
      <c r="AY536" s="211"/>
      <c r="AZ536" s="259"/>
      <c r="BA536" s="259"/>
      <c r="BB536" s="259"/>
      <c r="BC536" s="211"/>
      <c r="BD536" s="259"/>
      <c r="BE536" s="259"/>
      <c r="BF536" s="259"/>
      <c r="BG536" s="211"/>
      <c r="BH536" s="808">
        <f t="shared" si="53"/>
        <v>0</v>
      </c>
      <c r="BI536" s="761">
        <f t="shared" si="54"/>
        <v>0</v>
      </c>
      <c r="BJ536" s="761">
        <f t="shared" si="55"/>
        <v>0</v>
      </c>
      <c r="BK536" s="262"/>
      <c r="BL536" s="242"/>
      <c r="BM536" s="203"/>
      <c r="BN536" s="821"/>
      <c r="BO536" s="821"/>
      <c r="BP536" s="392" t="s">
        <v>119</v>
      </c>
      <c r="BQ536" s="145">
        <v>0.15</v>
      </c>
      <c r="BR536" s="262"/>
      <c r="BS536" s="242"/>
      <c r="BT536" s="203"/>
      <c r="BU536" s="373"/>
      <c r="BV536" s="373"/>
      <c r="BW536" s="774"/>
      <c r="BX536" s="826" t="s">
        <v>119</v>
      </c>
      <c r="BY536" s="145">
        <v>0.05</v>
      </c>
      <c r="BZ536" s="262"/>
      <c r="CA536" s="242">
        <f t="shared" si="68"/>
        <v>0</v>
      </c>
      <c r="CB536" s="203">
        <f t="shared" si="73"/>
        <v>0</v>
      </c>
      <c r="CC536" s="203"/>
      <c r="CD536" s="203"/>
      <c r="CE536" s="765"/>
      <c r="CF536" s="110"/>
      <c r="CG536" s="226"/>
      <c r="CH536" s="110"/>
      <c r="CI536" s="110"/>
      <c r="CJ536" s="348"/>
      <c r="CK536" s="110"/>
      <c r="CL536" s="110"/>
      <c r="CM536" s="263"/>
      <c r="CN536" s="110"/>
      <c r="CO536" s="110"/>
      <c r="CP536" s="226"/>
      <c r="CQ536" s="110"/>
      <c r="CR536" s="110"/>
      <c r="CS536" s="226"/>
      <c r="CT536" s="110"/>
      <c r="CU536" s="155">
        <v>1</v>
      </c>
      <c r="CV536" s="181" t="s">
        <v>1123</v>
      </c>
      <c r="CW536" s="438" t="s">
        <v>1387</v>
      </c>
      <c r="CX536" s="439"/>
      <c r="CY536" s="155"/>
      <c r="CZ536" s="155"/>
      <c r="DA536" s="131" t="s">
        <v>2772</v>
      </c>
      <c r="DB536" s="819" t="s">
        <v>2773</v>
      </c>
      <c r="DC536" s="766">
        <f t="shared" si="74"/>
        <v>0</v>
      </c>
      <c r="DD536" s="820"/>
      <c r="DE536" s="820" t="b">
        <f t="shared" si="75"/>
        <v>0</v>
      </c>
      <c r="DF536" s="820" t="b">
        <f t="shared" si="76"/>
        <v>0</v>
      </c>
      <c r="DG536" s="729"/>
      <c r="DH536" s="799"/>
      <c r="DI536" s="729"/>
      <c r="DJ536" s="729"/>
      <c r="DK536" s="729"/>
      <c r="DL536" s="729"/>
      <c r="DM536" s="17"/>
      <c r="DN536" s="265"/>
      <c r="DO536" s="265"/>
      <c r="DP536" s="265"/>
      <c r="DQ536" s="265"/>
      <c r="DR536" s="265"/>
      <c r="DS536" s="265"/>
      <c r="DT536" s="265"/>
      <c r="DU536" s="265"/>
      <c r="DV536" s="265"/>
      <c r="DW536" s="265"/>
      <c r="DX536" s="265"/>
      <c r="DY536" s="265"/>
      <c r="DZ536" s="265"/>
    </row>
    <row r="537" spans="1:130" ht="30" hidden="1" customHeight="1" outlineLevel="1">
      <c r="A537" s="228"/>
      <c r="B537" s="816"/>
      <c r="C537" s="155">
        <f t="shared" si="77"/>
        <v>9</v>
      </c>
      <c r="D537" s="781"/>
      <c r="E537" s="781"/>
      <c r="F537" s="781"/>
      <c r="G537" s="817" t="s">
        <v>1998</v>
      </c>
      <c r="H537" s="817" t="s">
        <v>2774</v>
      </c>
      <c r="I537" s="207" t="s">
        <v>2775</v>
      </c>
      <c r="J537" s="121" t="str">
        <f t="shared" si="52"/>
        <v>Elena  Del Fiacco</v>
      </c>
      <c r="K537" s="156" t="s">
        <v>2776</v>
      </c>
      <c r="L537" s="131"/>
      <c r="M537" s="131" t="s">
        <v>1447</v>
      </c>
      <c r="N537" s="131" t="str">
        <f t="shared" si="71"/>
        <v>NT Majocchi</v>
      </c>
      <c r="O537" s="250"/>
      <c r="P537" s="251"/>
      <c r="Q537" s="131"/>
      <c r="R537" s="252"/>
      <c r="S537" s="254"/>
      <c r="T537" s="346"/>
      <c r="U537" s="253"/>
      <c r="V537" s="253"/>
      <c r="W537" s="251"/>
      <c r="X537" s="131"/>
      <c r="Y537" s="251"/>
      <c r="Z537" s="251"/>
      <c r="AA537" s="251"/>
      <c r="AB537" s="255"/>
      <c r="AC537" s="256"/>
      <c r="AD537" s="121"/>
      <c r="AE537" s="80">
        <f t="shared" si="72"/>
        <v>0</v>
      </c>
      <c r="AF537" s="257"/>
      <c r="AG537" s="155"/>
      <c r="AH537" s="155"/>
      <c r="AI537" s="257"/>
      <c r="AJ537" s="155"/>
      <c r="AK537" s="155"/>
      <c r="AL537" s="155"/>
      <c r="AM537" s="257"/>
      <c r="AN537" s="258"/>
      <c r="AO537" s="258"/>
      <c r="AP537" s="258"/>
      <c r="AQ537" s="211"/>
      <c r="AR537" s="565" t="s">
        <v>165</v>
      </c>
      <c r="AS537" s="565" t="s">
        <v>165</v>
      </c>
      <c r="AT537" s="565" t="s">
        <v>165</v>
      </c>
      <c r="AU537" s="211"/>
      <c r="AV537" s="244"/>
      <c r="AW537" s="244"/>
      <c r="AX537" s="244"/>
      <c r="AY537" s="211"/>
      <c r="AZ537" s="244"/>
      <c r="BA537" s="244"/>
      <c r="BB537" s="244"/>
      <c r="BC537" s="211"/>
      <c r="BD537" s="244"/>
      <c r="BE537" s="244"/>
      <c r="BF537" s="244"/>
      <c r="BG537" s="211"/>
      <c r="BH537" s="808">
        <f t="shared" si="53"/>
        <v>0</v>
      </c>
      <c r="BI537" s="761">
        <f t="shared" si="54"/>
        <v>0</v>
      </c>
      <c r="BJ537" s="761">
        <f t="shared" si="55"/>
        <v>0</v>
      </c>
      <c r="BK537" s="262"/>
      <c r="BL537" s="824">
        <f t="shared" ref="BL537:BL539" si="78">BH537</f>
        <v>0</v>
      </c>
      <c r="BM537" s="203"/>
      <c r="BN537" s="818"/>
      <c r="BO537" s="818"/>
      <c r="BP537" s="363" t="s">
        <v>117</v>
      </c>
      <c r="BQ537" s="98">
        <v>0</v>
      </c>
      <c r="BR537" s="262"/>
      <c r="BS537" s="242">
        <f t="shared" ref="BS537:BS539" si="79">BL537*BQ537</f>
        <v>0</v>
      </c>
      <c r="BT537" s="373">
        <f t="shared" ref="BT537:BT539" si="80">BM537*BQ537</f>
        <v>0</v>
      </c>
      <c r="BU537" s="373"/>
      <c r="BV537" s="373"/>
      <c r="BW537" s="784" t="s">
        <v>118</v>
      </c>
      <c r="BX537" s="828" t="s">
        <v>152</v>
      </c>
      <c r="BY537" s="145">
        <v>0.05</v>
      </c>
      <c r="BZ537" s="262"/>
      <c r="CA537" s="242">
        <f t="shared" si="68"/>
        <v>0</v>
      </c>
      <c r="CB537" s="203">
        <f t="shared" si="73"/>
        <v>0</v>
      </c>
      <c r="CC537" s="203"/>
      <c r="CD537" s="203"/>
      <c r="CE537" s="765"/>
      <c r="CF537" s="110"/>
      <c r="CG537" s="226"/>
      <c r="CH537" s="110"/>
      <c r="CI537" s="110"/>
      <c r="CJ537" s="348"/>
      <c r="CK537" s="110"/>
      <c r="CL537" s="110"/>
      <c r="CM537" s="263"/>
      <c r="CN537" s="110"/>
      <c r="CO537" s="110"/>
      <c r="CP537" s="226"/>
      <c r="CQ537" s="110"/>
      <c r="CR537" s="110"/>
      <c r="CS537" s="226"/>
      <c r="CT537" s="110"/>
      <c r="CU537" s="155">
        <v>1</v>
      </c>
      <c r="CV537" s="181" t="s">
        <v>1123</v>
      </c>
      <c r="CW537" s="438" t="s">
        <v>2633</v>
      </c>
      <c r="CX537" s="439" t="s">
        <v>2777</v>
      </c>
      <c r="CY537" s="155"/>
      <c r="CZ537" s="155"/>
      <c r="DA537" s="131"/>
      <c r="DB537" s="819" t="s">
        <v>2778</v>
      </c>
      <c r="DC537" s="766">
        <f t="shared" si="74"/>
        <v>0</v>
      </c>
      <c r="DD537" s="820"/>
      <c r="DE537" s="820" t="b">
        <f t="shared" si="75"/>
        <v>0</v>
      </c>
      <c r="DF537" s="820" t="b">
        <f t="shared" si="76"/>
        <v>0</v>
      </c>
      <c r="DG537" s="729"/>
      <c r="DH537" s="799"/>
      <c r="DI537" s="729"/>
      <c r="DJ537" s="729"/>
      <c r="DK537" s="729"/>
      <c r="DL537" s="729"/>
      <c r="DM537" s="17"/>
      <c r="DN537" s="265"/>
      <c r="DO537" s="265"/>
      <c r="DP537" s="265"/>
      <c r="DQ537" s="265"/>
      <c r="DR537" s="265"/>
      <c r="DS537" s="265"/>
      <c r="DT537" s="265"/>
      <c r="DU537" s="265"/>
      <c r="DV537" s="265"/>
      <c r="DW537" s="265"/>
      <c r="DX537" s="265"/>
      <c r="DY537" s="265"/>
      <c r="DZ537" s="265"/>
    </row>
    <row r="538" spans="1:130" ht="39" hidden="1" outlineLevel="1">
      <c r="A538" s="228"/>
      <c r="B538" s="829"/>
      <c r="C538" s="155">
        <f t="shared" si="77"/>
        <v>10</v>
      </c>
      <c r="D538" s="781"/>
      <c r="E538" s="781"/>
      <c r="F538" s="781"/>
      <c r="G538" s="830" t="s">
        <v>898</v>
      </c>
      <c r="H538" s="830" t="s">
        <v>2779</v>
      </c>
      <c r="I538" s="294" t="s">
        <v>2780</v>
      </c>
      <c r="J538" s="121" t="str">
        <f t="shared" si="52"/>
        <v>Elisa Sabatti</v>
      </c>
      <c r="K538" s="156">
        <v>3319148206</v>
      </c>
      <c r="L538" s="204" t="s">
        <v>2781</v>
      </c>
      <c r="M538" s="131" t="s">
        <v>514</v>
      </c>
      <c r="N538" s="131" t="str">
        <f t="shared" si="71"/>
        <v>PEDERSOLI DAVIDE</v>
      </c>
      <c r="O538" s="250"/>
      <c r="P538" s="251"/>
      <c r="Q538" s="131"/>
      <c r="R538" s="252"/>
      <c r="S538" s="254"/>
      <c r="T538" s="346"/>
      <c r="U538" s="253"/>
      <c r="V538" s="253"/>
      <c r="W538" s="251"/>
      <c r="X538" s="131"/>
      <c r="Y538" s="251"/>
      <c r="Z538" s="251"/>
      <c r="AA538" s="251"/>
      <c r="AB538" s="255"/>
      <c r="AC538" s="256"/>
      <c r="AD538" s="121"/>
      <c r="AE538" s="80" t="str">
        <f t="shared" si="72"/>
        <v>CONFERMA ENTRO IL 1/10 dopo aver parlato con Titolare</v>
      </c>
      <c r="AF538" s="257"/>
      <c r="AG538" s="155"/>
      <c r="AH538" s="155"/>
      <c r="AI538" s="257"/>
      <c r="AJ538" s="155"/>
      <c r="AK538" s="155"/>
      <c r="AL538" s="155"/>
      <c r="AM538" s="257"/>
      <c r="AN538" s="258"/>
      <c r="AO538" s="258"/>
      <c r="AP538" s="258"/>
      <c r="AQ538" s="211"/>
      <c r="AR538" s="154" t="s">
        <v>165</v>
      </c>
      <c r="AS538" s="154" t="s">
        <v>165</v>
      </c>
      <c r="AT538" s="154" t="s">
        <v>165</v>
      </c>
      <c r="AU538" s="211"/>
      <c r="AV538" s="259"/>
      <c r="AW538" s="259"/>
      <c r="AX538" s="259"/>
      <c r="AY538" s="211"/>
      <c r="AZ538" s="259"/>
      <c r="BA538" s="259"/>
      <c r="BB538" s="259"/>
      <c r="BC538" s="211"/>
      <c r="BD538" s="259"/>
      <c r="BE538" s="259"/>
      <c r="BF538" s="259"/>
      <c r="BG538" s="211"/>
      <c r="BH538" s="808">
        <f t="shared" si="53"/>
        <v>0</v>
      </c>
      <c r="BI538" s="761">
        <f t="shared" si="54"/>
        <v>0</v>
      </c>
      <c r="BJ538" s="761">
        <f t="shared" si="55"/>
        <v>0</v>
      </c>
      <c r="BK538" s="262"/>
      <c r="BL538" s="824">
        <f t="shared" si="78"/>
        <v>0</v>
      </c>
      <c r="BM538" s="203"/>
      <c r="BN538" s="818"/>
      <c r="BO538" s="818"/>
      <c r="BP538" s="380" t="s">
        <v>117</v>
      </c>
      <c r="BQ538" s="98">
        <v>0</v>
      </c>
      <c r="BR538" s="262"/>
      <c r="BS538" s="242">
        <f t="shared" si="79"/>
        <v>0</v>
      </c>
      <c r="BT538" s="373">
        <f t="shared" si="80"/>
        <v>0</v>
      </c>
      <c r="BU538" s="373"/>
      <c r="BV538" s="373"/>
      <c r="BW538" s="784" t="s">
        <v>118</v>
      </c>
      <c r="BX538" s="825" t="s">
        <v>152</v>
      </c>
      <c r="BY538" s="145">
        <v>0.05</v>
      </c>
      <c r="BZ538" s="262"/>
      <c r="CA538" s="242">
        <f t="shared" si="68"/>
        <v>0</v>
      </c>
      <c r="CB538" s="203">
        <f t="shared" si="73"/>
        <v>0</v>
      </c>
      <c r="CC538" s="203"/>
      <c r="CD538" s="203"/>
      <c r="CE538" s="765"/>
      <c r="CF538" s="110"/>
      <c r="CG538" s="226"/>
      <c r="CH538" s="110"/>
      <c r="CI538" s="110"/>
      <c r="CJ538" s="348"/>
      <c r="CK538" s="110"/>
      <c r="CL538" s="110"/>
      <c r="CM538" s="263"/>
      <c r="CN538" s="110"/>
      <c r="CO538" s="110"/>
      <c r="CP538" s="226"/>
      <c r="CQ538" s="110"/>
      <c r="CR538" s="110"/>
      <c r="CS538" s="226"/>
      <c r="CT538" s="110"/>
      <c r="CU538" s="155">
        <v>1</v>
      </c>
      <c r="CV538" s="181" t="s">
        <v>1123</v>
      </c>
      <c r="CW538" s="438"/>
      <c r="CX538" s="439" t="s">
        <v>2782</v>
      </c>
      <c r="CY538" s="155"/>
      <c r="CZ538" s="155"/>
      <c r="DA538" s="131" t="s">
        <v>2783</v>
      </c>
      <c r="DB538" s="819" t="s">
        <v>2784</v>
      </c>
      <c r="DC538" s="766">
        <f t="shared" si="74"/>
        <v>0</v>
      </c>
      <c r="DD538" s="820"/>
      <c r="DE538" s="820" t="b">
        <f t="shared" si="75"/>
        <v>0</v>
      </c>
      <c r="DF538" s="820" t="b">
        <f t="shared" si="76"/>
        <v>0</v>
      </c>
      <c r="DG538" s="729"/>
      <c r="DH538" s="799"/>
      <c r="DI538" s="729"/>
      <c r="DJ538" s="729"/>
      <c r="DK538" s="729"/>
      <c r="DL538" s="729"/>
      <c r="DM538" s="17"/>
      <c r="DN538" s="265"/>
      <c r="DO538" s="265"/>
      <c r="DP538" s="265"/>
      <c r="DQ538" s="265"/>
      <c r="DR538" s="265"/>
      <c r="DS538" s="265"/>
      <c r="DT538" s="265"/>
      <c r="DU538" s="265"/>
      <c r="DV538" s="265"/>
      <c r="DW538" s="265"/>
      <c r="DX538" s="265"/>
      <c r="DY538" s="265"/>
      <c r="DZ538" s="265"/>
    </row>
    <row r="539" spans="1:130" ht="39" hidden="1" outlineLevel="1">
      <c r="A539" s="228"/>
      <c r="B539" s="831"/>
      <c r="C539" s="155">
        <f t="shared" si="77"/>
        <v>11</v>
      </c>
      <c r="D539" s="781"/>
      <c r="E539" s="781"/>
      <c r="F539" s="781"/>
      <c r="G539" s="830" t="s">
        <v>1738</v>
      </c>
      <c r="H539" s="830" t="s">
        <v>2785</v>
      </c>
      <c r="I539" s="294" t="s">
        <v>2786</v>
      </c>
      <c r="J539" s="121" t="str">
        <f t="shared" si="52"/>
        <v>Emanuela De Simone</v>
      </c>
      <c r="K539" s="156">
        <v>3206667911</v>
      </c>
      <c r="L539" s="204" t="s">
        <v>2781</v>
      </c>
      <c r="M539" s="131" t="s">
        <v>514</v>
      </c>
      <c r="N539" s="131" t="str">
        <f t="shared" si="71"/>
        <v>PEDERSOLI DAVIDE</v>
      </c>
      <c r="O539" s="250"/>
      <c r="P539" s="251"/>
      <c r="Q539" s="131"/>
      <c r="R539" s="252"/>
      <c r="S539" s="254"/>
      <c r="T539" s="346"/>
      <c r="U539" s="253"/>
      <c r="V539" s="253"/>
      <c r="W539" s="251"/>
      <c r="X539" s="131"/>
      <c r="Y539" s="251"/>
      <c r="Z539" s="251"/>
      <c r="AA539" s="251"/>
      <c r="AB539" s="255"/>
      <c r="AC539" s="256"/>
      <c r="AD539" s="121"/>
      <c r="AE539" s="80" t="str">
        <f t="shared" si="72"/>
        <v>CONFERMA ENTRO IL 1/10 dopo aver parlato con Titolare</v>
      </c>
      <c r="AF539" s="257"/>
      <c r="AG539" s="155"/>
      <c r="AH539" s="155"/>
      <c r="AI539" s="257"/>
      <c r="AJ539" s="155"/>
      <c r="AK539" s="155"/>
      <c r="AL539" s="155"/>
      <c r="AM539" s="257"/>
      <c r="AN539" s="258"/>
      <c r="AO539" s="258"/>
      <c r="AP539" s="258"/>
      <c r="AQ539" s="211"/>
      <c r="AR539" s="154" t="s">
        <v>165</v>
      </c>
      <c r="AS539" s="154" t="s">
        <v>165</v>
      </c>
      <c r="AT539" s="154" t="s">
        <v>165</v>
      </c>
      <c r="AU539" s="211"/>
      <c r="AV539" s="259"/>
      <c r="AW539" s="259"/>
      <c r="AX539" s="259"/>
      <c r="AY539" s="211"/>
      <c r="AZ539" s="259"/>
      <c r="BA539" s="259"/>
      <c r="BB539" s="259"/>
      <c r="BC539" s="211"/>
      <c r="BD539" s="259"/>
      <c r="BE539" s="259"/>
      <c r="BF539" s="259"/>
      <c r="BG539" s="211"/>
      <c r="BH539" s="808">
        <f t="shared" si="53"/>
        <v>0</v>
      </c>
      <c r="BI539" s="761">
        <f t="shared" si="54"/>
        <v>0</v>
      </c>
      <c r="BJ539" s="761">
        <f t="shared" si="55"/>
        <v>0</v>
      </c>
      <c r="BK539" s="262"/>
      <c r="BL539" s="824">
        <f t="shared" si="78"/>
        <v>0</v>
      </c>
      <c r="BM539" s="203"/>
      <c r="BN539" s="818"/>
      <c r="BO539" s="818"/>
      <c r="BP539" s="380" t="s">
        <v>117</v>
      </c>
      <c r="BQ539" s="98">
        <v>0</v>
      </c>
      <c r="BR539" s="262"/>
      <c r="BS539" s="242">
        <f t="shared" si="79"/>
        <v>0</v>
      </c>
      <c r="BT539" s="373">
        <f t="shared" si="80"/>
        <v>0</v>
      </c>
      <c r="BU539" s="373"/>
      <c r="BV539" s="373"/>
      <c r="BW539" s="784" t="s">
        <v>118</v>
      </c>
      <c r="BX539" s="825" t="s">
        <v>152</v>
      </c>
      <c r="BY539" s="145">
        <v>0.05</v>
      </c>
      <c r="BZ539" s="262"/>
      <c r="CA539" s="242">
        <f t="shared" si="68"/>
        <v>0</v>
      </c>
      <c r="CB539" s="203">
        <f t="shared" si="73"/>
        <v>0</v>
      </c>
      <c r="CC539" s="203"/>
      <c r="CD539" s="203"/>
      <c r="CE539" s="765"/>
      <c r="CF539" s="110"/>
      <c r="CG539" s="226"/>
      <c r="CH539" s="110"/>
      <c r="CI539" s="110"/>
      <c r="CJ539" s="348"/>
      <c r="CK539" s="110"/>
      <c r="CL539" s="110"/>
      <c r="CM539" s="263"/>
      <c r="CN539" s="110"/>
      <c r="CO539" s="110"/>
      <c r="CP539" s="226"/>
      <c r="CQ539" s="110"/>
      <c r="CR539" s="110"/>
      <c r="CS539" s="226"/>
      <c r="CT539" s="110"/>
      <c r="CU539" s="155">
        <v>1</v>
      </c>
      <c r="CV539" s="181" t="s">
        <v>1123</v>
      </c>
      <c r="CW539" s="438" t="s">
        <v>2787</v>
      </c>
      <c r="CX539" s="439" t="s">
        <v>1496</v>
      </c>
      <c r="CY539" s="155"/>
      <c r="CZ539" s="155"/>
      <c r="DA539" s="131" t="s">
        <v>2783</v>
      </c>
      <c r="DB539" s="819" t="s">
        <v>2784</v>
      </c>
      <c r="DC539" s="766">
        <f t="shared" si="74"/>
        <v>0</v>
      </c>
      <c r="DD539" s="820"/>
      <c r="DE539" s="820" t="b">
        <f t="shared" si="75"/>
        <v>0</v>
      </c>
      <c r="DF539" s="820" t="b">
        <f t="shared" si="76"/>
        <v>0</v>
      </c>
      <c r="DG539" s="729"/>
      <c r="DH539" s="799"/>
      <c r="DI539" s="729"/>
      <c r="DJ539" s="729"/>
      <c r="DK539" s="729"/>
      <c r="DL539" s="729"/>
      <c r="DM539" s="17"/>
      <c r="DN539" s="265"/>
      <c r="DO539" s="265"/>
      <c r="DP539" s="265"/>
      <c r="DQ539" s="265"/>
      <c r="DR539" s="265"/>
      <c r="DS539" s="265"/>
      <c r="DT539" s="265"/>
      <c r="DU539" s="265"/>
      <c r="DV539" s="265"/>
      <c r="DW539" s="265"/>
      <c r="DX539" s="265"/>
      <c r="DY539" s="265"/>
      <c r="DZ539" s="265"/>
    </row>
    <row r="540" spans="1:130" ht="30" hidden="1" customHeight="1" outlineLevel="1">
      <c r="A540" s="228"/>
      <c r="B540" s="816"/>
      <c r="C540" s="155">
        <f t="shared" si="77"/>
        <v>12</v>
      </c>
      <c r="D540" s="781"/>
      <c r="E540" s="781"/>
      <c r="F540" s="781"/>
      <c r="G540" s="830" t="s">
        <v>2788</v>
      </c>
      <c r="H540" s="830" t="s">
        <v>2789</v>
      </c>
      <c r="I540" s="294" t="s">
        <v>2790</v>
      </c>
      <c r="J540" s="121" t="str">
        <f t="shared" si="52"/>
        <v>Eros Mugnaini</v>
      </c>
      <c r="K540" s="156" t="s">
        <v>2791</v>
      </c>
      <c r="L540" s="204" t="s">
        <v>2792</v>
      </c>
      <c r="M540" s="131"/>
      <c r="N540" s="131" t="str">
        <f t="shared" si="71"/>
        <v>Tentamus Agriparadigma</v>
      </c>
      <c r="O540" s="250"/>
      <c r="P540" s="251"/>
      <c r="Q540" s="131"/>
      <c r="R540" s="252"/>
      <c r="S540" s="254"/>
      <c r="T540" s="346"/>
      <c r="U540" s="253"/>
      <c r="V540" s="253"/>
      <c r="W540" s="251"/>
      <c r="X540" s="131"/>
      <c r="Y540" s="251"/>
      <c r="Z540" s="251"/>
      <c r="AA540" s="251"/>
      <c r="AB540" s="255"/>
      <c r="AC540" s="256"/>
      <c r="AD540" s="121"/>
      <c r="AE540" s="80" t="str">
        <f t="shared" si="72"/>
        <v xml:space="preserve">Interessati percorso in azienda, tenete in sospeso gli 8 Master </v>
      </c>
      <c r="AF540" s="257"/>
      <c r="AG540" s="155"/>
      <c r="AH540" s="155"/>
      <c r="AI540" s="257"/>
      <c r="AJ540" s="155"/>
      <c r="AK540" s="155"/>
      <c r="AL540" s="155"/>
      <c r="AM540" s="257"/>
      <c r="AN540" s="258"/>
      <c r="AO540" s="258"/>
      <c r="AP540" s="258"/>
      <c r="AQ540" s="211"/>
      <c r="AR540" s="154" t="s">
        <v>165</v>
      </c>
      <c r="AS540" s="154" t="s">
        <v>165</v>
      </c>
      <c r="AT540" s="154" t="s">
        <v>165</v>
      </c>
      <c r="AU540" s="211"/>
      <c r="AV540" s="259"/>
      <c r="AW540" s="259"/>
      <c r="AX540" s="259"/>
      <c r="AY540" s="211"/>
      <c r="AZ540" s="362"/>
      <c r="BA540" s="362"/>
      <c r="BB540" s="362"/>
      <c r="BC540" s="211"/>
      <c r="BD540" s="362"/>
      <c r="BE540" s="362"/>
      <c r="BF540" s="362"/>
      <c r="BG540" s="211"/>
      <c r="BH540" s="760">
        <f t="shared" si="53"/>
        <v>0</v>
      </c>
      <c r="BI540" s="761">
        <f t="shared" si="54"/>
        <v>0</v>
      </c>
      <c r="BJ540" s="761">
        <f t="shared" si="55"/>
        <v>0</v>
      </c>
      <c r="BK540" s="262"/>
      <c r="BL540" s="242"/>
      <c r="BM540" s="203"/>
      <c r="BN540" s="818"/>
      <c r="BO540" s="818"/>
      <c r="BP540" s="383" t="s">
        <v>407</v>
      </c>
      <c r="BQ540" s="145">
        <v>0.15</v>
      </c>
      <c r="BR540" s="262"/>
      <c r="BS540" s="242"/>
      <c r="BT540" s="203"/>
      <c r="BU540" s="373"/>
      <c r="BV540" s="373"/>
      <c r="BW540" s="774"/>
      <c r="BX540" s="289" t="s">
        <v>407</v>
      </c>
      <c r="BY540" s="145">
        <v>0.05</v>
      </c>
      <c r="BZ540" s="262"/>
      <c r="CA540" s="242">
        <f t="shared" si="68"/>
        <v>0</v>
      </c>
      <c r="CB540" s="203">
        <f t="shared" si="73"/>
        <v>0</v>
      </c>
      <c r="CC540" s="203"/>
      <c r="CD540" s="203"/>
      <c r="CE540" s="765"/>
      <c r="CF540" s="110"/>
      <c r="CG540" s="226"/>
      <c r="CH540" s="110"/>
      <c r="CI540" s="110"/>
      <c r="CJ540" s="348"/>
      <c r="CK540" s="110"/>
      <c r="CL540" s="110"/>
      <c r="CM540" s="263"/>
      <c r="CN540" s="110"/>
      <c r="CO540" s="110"/>
      <c r="CP540" s="226"/>
      <c r="CQ540" s="110"/>
      <c r="CR540" s="110"/>
      <c r="CS540" s="226"/>
      <c r="CT540" s="110"/>
      <c r="CU540" s="155"/>
      <c r="CV540" s="181"/>
      <c r="CW540" s="491" t="s">
        <v>2633</v>
      </c>
      <c r="CX540" s="492" t="s">
        <v>2793</v>
      </c>
      <c r="CY540" s="155"/>
      <c r="CZ540" s="155"/>
      <c r="DA540" s="131"/>
      <c r="DB540" s="819" t="s">
        <v>2794</v>
      </c>
      <c r="DC540" s="766">
        <f t="shared" si="74"/>
        <v>0</v>
      </c>
      <c r="DD540" s="820"/>
      <c r="DE540" s="820" t="b">
        <f t="shared" si="75"/>
        <v>0</v>
      </c>
      <c r="DF540" s="820" t="b">
        <f t="shared" si="76"/>
        <v>0</v>
      </c>
      <c r="DG540" s="729"/>
      <c r="DH540" s="799"/>
      <c r="DI540" s="729"/>
      <c r="DJ540" s="729"/>
      <c r="DK540" s="729"/>
      <c r="DL540" s="729"/>
      <c r="DM540" s="17"/>
      <c r="DN540" s="265"/>
      <c r="DO540" s="265"/>
      <c r="DP540" s="265"/>
      <c r="DQ540" s="265"/>
      <c r="DR540" s="265"/>
      <c r="DS540" s="265"/>
      <c r="DT540" s="265"/>
      <c r="DU540" s="265"/>
      <c r="DV540" s="265"/>
      <c r="DW540" s="265"/>
      <c r="DX540" s="265"/>
      <c r="DY540" s="265"/>
      <c r="DZ540" s="265"/>
    </row>
    <row r="541" spans="1:130" ht="30" hidden="1" customHeight="1" outlineLevel="1">
      <c r="A541" s="228"/>
      <c r="B541" s="829"/>
      <c r="C541" s="155">
        <f t="shared" si="77"/>
        <v>13</v>
      </c>
      <c r="D541" s="781"/>
      <c r="E541" s="781"/>
      <c r="F541" s="781"/>
      <c r="G541" s="830" t="s">
        <v>471</v>
      </c>
      <c r="H541" s="830" t="s">
        <v>2795</v>
      </c>
      <c r="I541" s="207" t="s">
        <v>2796</v>
      </c>
      <c r="J541" s="121" t="str">
        <f t="shared" si="52"/>
        <v>Federico Scazzosi</v>
      </c>
      <c r="K541" s="156">
        <v>3669327860</v>
      </c>
      <c r="L541" s="131"/>
      <c r="M541" s="131" t="s">
        <v>1177</v>
      </c>
      <c r="N541" s="131" t="str">
        <f t="shared" si="71"/>
        <v>Scazzosi Federico</v>
      </c>
      <c r="O541" s="250"/>
      <c r="P541" s="251"/>
      <c r="Q541" s="131"/>
      <c r="R541" s="252"/>
      <c r="S541" s="254"/>
      <c r="T541" s="346"/>
      <c r="U541" s="253"/>
      <c r="V541" s="253"/>
      <c r="W541" s="251"/>
      <c r="X541" s="131"/>
      <c r="Y541" s="251"/>
      <c r="Z541" s="251"/>
      <c r="AA541" s="251"/>
      <c r="AB541" s="255"/>
      <c r="AC541" s="256"/>
      <c r="AD541" s="121"/>
      <c r="AE541" s="80">
        <f t="shared" si="72"/>
        <v>0</v>
      </c>
      <c r="AF541" s="257"/>
      <c r="AG541" s="155"/>
      <c r="AH541" s="155"/>
      <c r="AI541" s="257"/>
      <c r="AJ541" s="155"/>
      <c r="AK541" s="155"/>
      <c r="AL541" s="155"/>
      <c r="AM541" s="257"/>
      <c r="AN541" s="258"/>
      <c r="AO541" s="258"/>
      <c r="AP541" s="258"/>
      <c r="AQ541" s="211"/>
      <c r="AR541" s="154" t="s">
        <v>165</v>
      </c>
      <c r="AS541" s="154" t="s">
        <v>165</v>
      </c>
      <c r="AT541" s="154" t="s">
        <v>165</v>
      </c>
      <c r="AU541" s="211"/>
      <c r="AV541" s="259"/>
      <c r="AW541" s="259"/>
      <c r="AX541" s="259"/>
      <c r="AY541" s="211"/>
      <c r="AZ541" s="259"/>
      <c r="BA541" s="259"/>
      <c r="BB541" s="259"/>
      <c r="BC541" s="211"/>
      <c r="BD541" s="259"/>
      <c r="BE541" s="259"/>
      <c r="BF541" s="259"/>
      <c r="BG541" s="211"/>
      <c r="BH541" s="808">
        <f t="shared" si="53"/>
        <v>0</v>
      </c>
      <c r="BI541" s="761">
        <f t="shared" si="54"/>
        <v>0</v>
      </c>
      <c r="BJ541" s="761">
        <f t="shared" si="55"/>
        <v>0</v>
      </c>
      <c r="BK541" s="262"/>
      <c r="BL541" s="242"/>
      <c r="BM541" s="203"/>
      <c r="BN541" s="818"/>
      <c r="BO541" s="818"/>
      <c r="BP541" s="380" t="s">
        <v>414</v>
      </c>
      <c r="BQ541" s="145">
        <v>0.15</v>
      </c>
      <c r="BR541" s="110"/>
      <c r="BS541" s="242"/>
      <c r="BT541" s="203"/>
      <c r="BU541" s="203"/>
      <c r="BV541" s="203"/>
      <c r="BW541" s="765"/>
      <c r="BX541" s="825" t="s">
        <v>414</v>
      </c>
      <c r="BY541" s="145">
        <v>0.05</v>
      </c>
      <c r="BZ541" s="110"/>
      <c r="CA541" s="242">
        <f t="shared" si="68"/>
        <v>0</v>
      </c>
      <c r="CB541" s="203">
        <f t="shared" si="73"/>
        <v>0</v>
      </c>
      <c r="CC541" s="203"/>
      <c r="CD541" s="203"/>
      <c r="CE541" s="765"/>
      <c r="CF541" s="110"/>
      <c r="CG541" s="226"/>
      <c r="CH541" s="110"/>
      <c r="CI541" s="110"/>
      <c r="CJ541" s="348"/>
      <c r="CK541" s="110"/>
      <c r="CL541" s="110"/>
      <c r="CM541" s="263"/>
      <c r="CN541" s="110"/>
      <c r="CO541" s="110"/>
      <c r="CP541" s="226"/>
      <c r="CQ541" s="110"/>
      <c r="CR541" s="110"/>
      <c r="CS541" s="226"/>
      <c r="CT541" s="110"/>
      <c r="CU541" s="155">
        <v>1</v>
      </c>
      <c r="CV541" s="181" t="s">
        <v>1123</v>
      </c>
      <c r="CW541" s="438" t="s">
        <v>2633</v>
      </c>
      <c r="CX541" s="439"/>
      <c r="CY541" s="155"/>
      <c r="CZ541" s="155"/>
      <c r="DA541" s="131"/>
      <c r="DB541" s="819" t="s">
        <v>2797</v>
      </c>
      <c r="DC541" s="766">
        <f t="shared" si="74"/>
        <v>0</v>
      </c>
      <c r="DD541" s="820"/>
      <c r="DE541" s="820" t="b">
        <f t="shared" si="75"/>
        <v>0</v>
      </c>
      <c r="DF541" s="820" t="b">
        <f t="shared" si="76"/>
        <v>0</v>
      </c>
      <c r="DG541" s="729"/>
      <c r="DH541" s="799"/>
      <c r="DI541" s="729"/>
      <c r="DJ541" s="729"/>
      <c r="DK541" s="729"/>
      <c r="DL541" s="729"/>
      <c r="DM541" s="17"/>
      <c r="DN541" s="265"/>
      <c r="DO541" s="265"/>
      <c r="DP541" s="265"/>
      <c r="DQ541" s="265"/>
      <c r="DR541" s="265"/>
      <c r="DS541" s="265"/>
      <c r="DT541" s="265"/>
      <c r="DU541" s="265"/>
      <c r="DV541" s="265"/>
      <c r="DW541" s="265"/>
      <c r="DX541" s="265"/>
      <c r="DY541" s="265"/>
      <c r="DZ541" s="265"/>
    </row>
    <row r="542" spans="1:130" ht="30" hidden="1" customHeight="1" outlineLevel="1">
      <c r="A542" s="228"/>
      <c r="B542" s="816"/>
      <c r="C542" s="155">
        <f t="shared" si="77"/>
        <v>14</v>
      </c>
      <c r="D542" s="781"/>
      <c r="E542" s="781"/>
      <c r="F542" s="781"/>
      <c r="G542" s="830" t="s">
        <v>488</v>
      </c>
      <c r="H542" s="830" t="s">
        <v>2798</v>
      </c>
      <c r="I542" s="207" t="s">
        <v>2799</v>
      </c>
      <c r="J542" s="121" t="str">
        <f t="shared" si="52"/>
        <v>Francesca Balocco</v>
      </c>
      <c r="K542" s="156" t="s">
        <v>2800</v>
      </c>
      <c r="L542" s="204" t="s">
        <v>2792</v>
      </c>
      <c r="M542" s="131"/>
      <c r="N542" s="131" t="str">
        <f t="shared" si="71"/>
        <v>Laemme Group</v>
      </c>
      <c r="O542" s="250"/>
      <c r="P542" s="251"/>
      <c r="Q542" s="131"/>
      <c r="R542" s="252"/>
      <c r="S542" s="254"/>
      <c r="T542" s="346"/>
      <c r="U542" s="253"/>
      <c r="V542" s="253"/>
      <c r="W542" s="251"/>
      <c r="X542" s="131"/>
      <c r="Y542" s="251"/>
      <c r="Z542" s="251"/>
      <c r="AA542" s="251"/>
      <c r="AB542" s="255"/>
      <c r="AC542" s="256"/>
      <c r="AD542" s="121"/>
      <c r="AE542" s="80" t="str">
        <f t="shared" si="72"/>
        <v xml:space="preserve">Interessati percorso in azienda, tenete in sospeso gli 8 Master </v>
      </c>
      <c r="AF542" s="257"/>
      <c r="AG542" s="155"/>
      <c r="AH542" s="155"/>
      <c r="AI542" s="257"/>
      <c r="AJ542" s="155"/>
      <c r="AK542" s="155"/>
      <c r="AL542" s="155"/>
      <c r="AM542" s="257"/>
      <c r="AN542" s="258"/>
      <c r="AO542" s="258"/>
      <c r="AP542" s="258"/>
      <c r="AQ542" s="211"/>
      <c r="AR542" s="154" t="s">
        <v>165</v>
      </c>
      <c r="AS542" s="154" t="s">
        <v>165</v>
      </c>
      <c r="AT542" s="154" t="s">
        <v>165</v>
      </c>
      <c r="AU542" s="211"/>
      <c r="AV542" s="259"/>
      <c r="AW542" s="259"/>
      <c r="AX542" s="259"/>
      <c r="AY542" s="211"/>
      <c r="AZ542" s="362"/>
      <c r="BA542" s="362"/>
      <c r="BB542" s="362"/>
      <c r="BC542" s="211"/>
      <c r="BD542" s="362"/>
      <c r="BE542" s="362"/>
      <c r="BF542" s="362"/>
      <c r="BG542" s="211"/>
      <c r="BH542" s="760">
        <f t="shared" si="53"/>
        <v>0</v>
      </c>
      <c r="BI542" s="761">
        <f t="shared" si="54"/>
        <v>0</v>
      </c>
      <c r="BJ542" s="761">
        <f t="shared" si="55"/>
        <v>0</v>
      </c>
      <c r="BK542" s="262"/>
      <c r="BL542" s="242"/>
      <c r="BM542" s="203"/>
      <c r="BN542" s="818"/>
      <c r="BO542" s="818"/>
      <c r="BP542" s="383" t="s">
        <v>407</v>
      </c>
      <c r="BQ542" s="145">
        <v>0.15</v>
      </c>
      <c r="BR542" s="262"/>
      <c r="BS542" s="242"/>
      <c r="BT542" s="203"/>
      <c r="BU542" s="373"/>
      <c r="BV542" s="373"/>
      <c r="BW542" s="774"/>
      <c r="BX542" s="289" t="s">
        <v>407</v>
      </c>
      <c r="BY542" s="145">
        <v>0.05</v>
      </c>
      <c r="BZ542" s="262"/>
      <c r="CA542" s="242">
        <f t="shared" si="68"/>
        <v>0</v>
      </c>
      <c r="CB542" s="203">
        <f t="shared" si="73"/>
        <v>0</v>
      </c>
      <c r="CC542" s="203"/>
      <c r="CD542" s="203"/>
      <c r="CE542" s="765"/>
      <c r="CF542" s="110"/>
      <c r="CG542" s="226"/>
      <c r="CH542" s="110"/>
      <c r="CI542" s="110"/>
      <c r="CJ542" s="348"/>
      <c r="CK542" s="110"/>
      <c r="CL542" s="110"/>
      <c r="CM542" s="263"/>
      <c r="CN542" s="110"/>
      <c r="CO542" s="110"/>
      <c r="CP542" s="226"/>
      <c r="CQ542" s="110"/>
      <c r="CR542" s="110"/>
      <c r="CS542" s="226"/>
      <c r="CT542" s="110"/>
      <c r="CU542" s="155"/>
      <c r="CV542" s="181"/>
      <c r="CW542" s="438" t="s">
        <v>2801</v>
      </c>
      <c r="CX542" s="439" t="s">
        <v>2802</v>
      </c>
      <c r="CY542" s="155"/>
      <c r="CZ542" s="155"/>
      <c r="DA542" s="131"/>
      <c r="DB542" s="819" t="s">
        <v>2803</v>
      </c>
      <c r="DC542" s="766">
        <f t="shared" si="74"/>
        <v>0</v>
      </c>
      <c r="DD542" s="820"/>
      <c r="DE542" s="820" t="b">
        <f t="shared" si="75"/>
        <v>0</v>
      </c>
      <c r="DF542" s="820" t="b">
        <f t="shared" si="76"/>
        <v>0</v>
      </c>
      <c r="DG542" s="729"/>
      <c r="DH542" s="799"/>
      <c r="DI542" s="729"/>
      <c r="DJ542" s="729"/>
      <c r="DK542" s="729"/>
      <c r="DL542" s="729"/>
      <c r="DM542" s="17"/>
      <c r="DN542" s="265"/>
      <c r="DO542" s="265"/>
      <c r="DP542" s="265"/>
      <c r="DQ542" s="265"/>
      <c r="DR542" s="265"/>
      <c r="DS542" s="265"/>
      <c r="DT542" s="265"/>
      <c r="DU542" s="265"/>
      <c r="DV542" s="265"/>
      <c r="DW542" s="265"/>
      <c r="DX542" s="265"/>
      <c r="DY542" s="265"/>
      <c r="DZ542" s="265"/>
    </row>
    <row r="543" spans="1:130" ht="30" hidden="1" customHeight="1" outlineLevel="1">
      <c r="A543" s="228"/>
      <c r="B543" s="829"/>
      <c r="C543" s="155">
        <f t="shared" si="77"/>
        <v>15</v>
      </c>
      <c r="D543" s="781"/>
      <c r="E543" s="781"/>
      <c r="F543" s="781"/>
      <c r="G543" s="830" t="s">
        <v>511</v>
      </c>
      <c r="H543" s="830" t="s">
        <v>2804</v>
      </c>
      <c r="I543" s="207"/>
      <c r="J543" s="121" t="str">
        <f t="shared" si="52"/>
        <v>Gabriele Baretta</v>
      </c>
      <c r="K543" s="156"/>
      <c r="L543" s="131"/>
      <c r="M543" s="131"/>
      <c r="N543" s="131" t="str">
        <f t="shared" si="71"/>
        <v>NT Majocchi</v>
      </c>
      <c r="O543" s="250"/>
      <c r="P543" s="251"/>
      <c r="Q543" s="131"/>
      <c r="R543" s="252"/>
      <c r="S543" s="254"/>
      <c r="T543" s="346"/>
      <c r="U543" s="253"/>
      <c r="V543" s="253"/>
      <c r="W543" s="251"/>
      <c r="X543" s="131"/>
      <c r="Y543" s="251"/>
      <c r="Z543" s="251"/>
      <c r="AA543" s="251"/>
      <c r="AB543" s="255"/>
      <c r="AC543" s="256"/>
      <c r="AD543" s="121"/>
      <c r="AE543" s="80">
        <f t="shared" si="72"/>
        <v>0</v>
      </c>
      <c r="AF543" s="257"/>
      <c r="AG543" s="155"/>
      <c r="AH543" s="155"/>
      <c r="AI543" s="257"/>
      <c r="AJ543" s="155"/>
      <c r="AK543" s="155"/>
      <c r="AL543" s="155"/>
      <c r="AM543" s="257"/>
      <c r="AN543" s="258"/>
      <c r="AO543" s="258"/>
      <c r="AP543" s="258"/>
      <c r="AQ543" s="211"/>
      <c r="AR543" s="565" t="s">
        <v>165</v>
      </c>
      <c r="AS543" s="565" t="s">
        <v>165</v>
      </c>
      <c r="AT543" s="565" t="s">
        <v>165</v>
      </c>
      <c r="AU543" s="211"/>
      <c r="AV543" s="259"/>
      <c r="AW543" s="259"/>
      <c r="AX543" s="259"/>
      <c r="AY543" s="211"/>
      <c r="AZ543" s="259"/>
      <c r="BA543" s="259"/>
      <c r="BB543" s="259"/>
      <c r="BC543" s="211"/>
      <c r="BD543" s="259"/>
      <c r="BE543" s="259"/>
      <c r="BF543" s="259"/>
      <c r="BG543" s="211"/>
      <c r="BH543" s="808">
        <f t="shared" si="53"/>
        <v>0</v>
      </c>
      <c r="BI543" s="761">
        <f t="shared" si="54"/>
        <v>0</v>
      </c>
      <c r="BJ543" s="761">
        <f t="shared" si="55"/>
        <v>0</v>
      </c>
      <c r="BK543" s="262"/>
      <c r="BL543" s="824">
        <f t="shared" ref="BL543:BL544" si="81">BH543</f>
        <v>0</v>
      </c>
      <c r="BM543" s="203"/>
      <c r="BN543" s="818"/>
      <c r="BO543" s="818"/>
      <c r="BP543" s="363" t="s">
        <v>117</v>
      </c>
      <c r="BQ543" s="98">
        <v>0</v>
      </c>
      <c r="BR543" s="262"/>
      <c r="BS543" s="242">
        <f t="shared" ref="BS543:BS544" si="82">BL543*BQ543</f>
        <v>0</v>
      </c>
      <c r="BT543" s="373">
        <f t="shared" ref="BT543:BT544" si="83">BM543*BQ543</f>
        <v>0</v>
      </c>
      <c r="BU543" s="373"/>
      <c r="BV543" s="373"/>
      <c r="BW543" s="784" t="s">
        <v>118</v>
      </c>
      <c r="BX543" s="828" t="s">
        <v>152</v>
      </c>
      <c r="BY543" s="145">
        <v>0.05</v>
      </c>
      <c r="BZ543" s="262"/>
      <c r="CA543" s="242">
        <f t="shared" si="68"/>
        <v>0</v>
      </c>
      <c r="CB543" s="203">
        <f t="shared" si="73"/>
        <v>0</v>
      </c>
      <c r="CC543" s="203"/>
      <c r="CD543" s="203"/>
      <c r="CE543" s="765"/>
      <c r="CF543" s="110"/>
      <c r="CG543" s="226"/>
      <c r="CH543" s="110"/>
      <c r="CI543" s="110"/>
      <c r="CJ543" s="348"/>
      <c r="CK543" s="110"/>
      <c r="CL543" s="110"/>
      <c r="CM543" s="263"/>
      <c r="CN543" s="110"/>
      <c r="CO543" s="110"/>
      <c r="CP543" s="226"/>
      <c r="CQ543" s="110"/>
      <c r="CR543" s="110"/>
      <c r="CS543" s="226"/>
      <c r="CT543" s="110"/>
      <c r="CU543" s="155">
        <v>1</v>
      </c>
      <c r="CV543" s="181" t="s">
        <v>1123</v>
      </c>
      <c r="CW543" s="491" t="s">
        <v>1387</v>
      </c>
      <c r="CX543" s="439" t="s">
        <v>976</v>
      </c>
      <c r="CY543" s="155"/>
      <c r="CZ543" s="155"/>
      <c r="DA543" s="131"/>
      <c r="DB543" s="819" t="s">
        <v>2778</v>
      </c>
      <c r="DC543" s="766">
        <f t="shared" si="74"/>
        <v>0</v>
      </c>
      <c r="DD543" s="820"/>
      <c r="DE543" s="820" t="b">
        <f t="shared" si="75"/>
        <v>0</v>
      </c>
      <c r="DF543" s="820" t="b">
        <f t="shared" si="76"/>
        <v>0</v>
      </c>
      <c r="DG543" s="729"/>
      <c r="DH543" s="799"/>
      <c r="DI543" s="729"/>
      <c r="DJ543" s="729"/>
      <c r="DK543" s="729"/>
      <c r="DL543" s="729"/>
      <c r="DM543" s="17"/>
      <c r="DN543" s="265"/>
      <c r="DO543" s="265"/>
      <c r="DP543" s="265"/>
      <c r="DQ543" s="265"/>
      <c r="DR543" s="265"/>
      <c r="DS543" s="265"/>
      <c r="DT543" s="265"/>
      <c r="DU543" s="265"/>
      <c r="DV543" s="265"/>
      <c r="DW543" s="265"/>
      <c r="DX543" s="265"/>
      <c r="DY543" s="265"/>
      <c r="DZ543" s="265"/>
    </row>
    <row r="544" spans="1:130" ht="30" hidden="1" customHeight="1" outlineLevel="1">
      <c r="A544" s="228"/>
      <c r="B544" s="829"/>
      <c r="C544" s="155">
        <f t="shared" si="77"/>
        <v>16</v>
      </c>
      <c r="D544" s="781"/>
      <c r="E544" s="781"/>
      <c r="F544" s="781"/>
      <c r="G544" s="830" t="s">
        <v>2805</v>
      </c>
      <c r="H544" s="830" t="s">
        <v>2806</v>
      </c>
      <c r="I544" s="207" t="s">
        <v>2807</v>
      </c>
      <c r="J544" s="121" t="str">
        <f t="shared" si="52"/>
        <v>Giorgia Galbiati</v>
      </c>
      <c r="K544" s="156" t="s">
        <v>2808</v>
      </c>
      <c r="L544" s="131"/>
      <c r="M544" s="131" t="s">
        <v>2809</v>
      </c>
      <c r="N544" s="131" t="str">
        <f t="shared" si="71"/>
        <v>NT Majocchi</v>
      </c>
      <c r="O544" s="250"/>
      <c r="P544" s="251"/>
      <c r="Q544" s="131"/>
      <c r="R544" s="252"/>
      <c r="S544" s="254"/>
      <c r="T544" s="346"/>
      <c r="U544" s="253"/>
      <c r="V544" s="253"/>
      <c r="W544" s="251"/>
      <c r="X544" s="131"/>
      <c r="Y544" s="251"/>
      <c r="Z544" s="251"/>
      <c r="AA544" s="251"/>
      <c r="AB544" s="255"/>
      <c r="AC544" s="256"/>
      <c r="AD544" s="121"/>
      <c r="AE544" s="80">
        <f t="shared" si="72"/>
        <v>0</v>
      </c>
      <c r="AF544" s="257"/>
      <c r="AG544" s="155"/>
      <c r="AH544" s="155"/>
      <c r="AI544" s="257"/>
      <c r="AJ544" s="155"/>
      <c r="AK544" s="155"/>
      <c r="AL544" s="155"/>
      <c r="AM544" s="257"/>
      <c r="AN544" s="258"/>
      <c r="AO544" s="832"/>
      <c r="AP544" s="258"/>
      <c r="AQ544" s="211"/>
      <c r="AR544" s="565" t="s">
        <v>165</v>
      </c>
      <c r="AS544" s="565" t="s">
        <v>165</v>
      </c>
      <c r="AT544" s="565" t="s">
        <v>165</v>
      </c>
      <c r="AU544" s="211"/>
      <c r="AV544" s="259"/>
      <c r="AW544" s="259"/>
      <c r="AX544" s="259"/>
      <c r="AY544" s="211"/>
      <c r="AZ544" s="259"/>
      <c r="BA544" s="259"/>
      <c r="BB544" s="259"/>
      <c r="BC544" s="211"/>
      <c r="BD544" s="259"/>
      <c r="BE544" s="259"/>
      <c r="BF544" s="259"/>
      <c r="BG544" s="211"/>
      <c r="BH544" s="808">
        <f t="shared" si="53"/>
        <v>0</v>
      </c>
      <c r="BI544" s="761">
        <f t="shared" si="54"/>
        <v>0</v>
      </c>
      <c r="BJ544" s="761">
        <f t="shared" si="55"/>
        <v>0</v>
      </c>
      <c r="BK544" s="262"/>
      <c r="BL544" s="824">
        <f t="shared" si="81"/>
        <v>0</v>
      </c>
      <c r="BM544" s="203"/>
      <c r="BN544" s="818"/>
      <c r="BO544" s="818"/>
      <c r="BP544" s="363" t="s">
        <v>117</v>
      </c>
      <c r="BQ544" s="98">
        <v>0</v>
      </c>
      <c r="BR544" s="262"/>
      <c r="BS544" s="242">
        <f t="shared" si="82"/>
        <v>0</v>
      </c>
      <c r="BT544" s="373">
        <f t="shared" si="83"/>
        <v>0</v>
      </c>
      <c r="BU544" s="373"/>
      <c r="BV544" s="373"/>
      <c r="BW544" s="784" t="s">
        <v>118</v>
      </c>
      <c r="BX544" s="828" t="s">
        <v>152</v>
      </c>
      <c r="BY544" s="145">
        <v>0.05</v>
      </c>
      <c r="BZ544" s="262"/>
      <c r="CA544" s="242">
        <f t="shared" si="68"/>
        <v>0</v>
      </c>
      <c r="CB544" s="203">
        <f t="shared" si="73"/>
        <v>0</v>
      </c>
      <c r="CC544" s="203"/>
      <c r="CD544" s="203"/>
      <c r="CE544" s="765"/>
      <c r="CF544" s="110"/>
      <c r="CG544" s="226"/>
      <c r="CH544" s="110"/>
      <c r="CI544" s="110"/>
      <c r="CJ544" s="348"/>
      <c r="CK544" s="110"/>
      <c r="CL544" s="110"/>
      <c r="CM544" s="263"/>
      <c r="CN544" s="110"/>
      <c r="CO544" s="110"/>
      <c r="CP544" s="226"/>
      <c r="CQ544" s="110"/>
      <c r="CR544" s="110"/>
      <c r="CS544" s="226"/>
      <c r="CT544" s="110"/>
      <c r="CU544" s="155">
        <v>1</v>
      </c>
      <c r="CV544" s="181" t="s">
        <v>1123</v>
      </c>
      <c r="CW544" s="539" t="s">
        <v>2662</v>
      </c>
      <c r="CX544" s="540" t="s">
        <v>2662</v>
      </c>
      <c r="CY544" s="155"/>
      <c r="CZ544" s="155"/>
      <c r="DA544" s="131"/>
      <c r="DB544" s="819" t="s">
        <v>2778</v>
      </c>
      <c r="DC544" s="766">
        <f t="shared" si="74"/>
        <v>0</v>
      </c>
      <c r="DD544" s="820"/>
      <c r="DE544" s="820" t="b">
        <f t="shared" si="75"/>
        <v>0</v>
      </c>
      <c r="DF544" s="820" t="b">
        <f t="shared" si="76"/>
        <v>0</v>
      </c>
      <c r="DG544" s="729"/>
      <c r="DH544" s="799"/>
      <c r="DI544" s="729"/>
      <c r="DJ544" s="729"/>
      <c r="DK544" s="729"/>
      <c r="DL544" s="729"/>
      <c r="DM544" s="17"/>
      <c r="DN544" s="265"/>
      <c r="DO544" s="265"/>
      <c r="DP544" s="265"/>
      <c r="DQ544" s="265"/>
      <c r="DR544" s="265"/>
      <c r="DS544" s="265"/>
      <c r="DT544" s="265"/>
      <c r="DU544" s="265"/>
      <c r="DV544" s="265"/>
      <c r="DW544" s="265"/>
      <c r="DX544" s="265"/>
      <c r="DY544" s="265"/>
      <c r="DZ544" s="265"/>
    </row>
    <row r="545" spans="1:130" ht="30" hidden="1" customHeight="1" outlineLevel="1">
      <c r="A545" s="228"/>
      <c r="B545" s="816"/>
      <c r="C545" s="155">
        <f t="shared" si="77"/>
        <v>17</v>
      </c>
      <c r="D545" s="781"/>
      <c r="E545" s="781"/>
      <c r="F545" s="781"/>
      <c r="G545" s="830" t="s">
        <v>216</v>
      </c>
      <c r="H545" s="830" t="s">
        <v>1971</v>
      </c>
      <c r="I545" s="207" t="s">
        <v>2810</v>
      </c>
      <c r="J545" s="121" t="str">
        <f t="shared" si="52"/>
        <v>Giulia Medici</v>
      </c>
      <c r="K545" s="156" t="s">
        <v>2811</v>
      </c>
      <c r="L545" s="204" t="s">
        <v>2792</v>
      </c>
      <c r="M545" s="131"/>
      <c r="N545" s="131" t="str">
        <f t="shared" si="71"/>
        <v>MK</v>
      </c>
      <c r="O545" s="250"/>
      <c r="P545" s="251"/>
      <c r="Q545" s="131"/>
      <c r="R545" s="252"/>
      <c r="S545" s="254"/>
      <c r="T545" s="346"/>
      <c r="U545" s="253"/>
      <c r="V545" s="253"/>
      <c r="W545" s="251"/>
      <c r="X545" s="131"/>
      <c r="Y545" s="251"/>
      <c r="Z545" s="251"/>
      <c r="AA545" s="251"/>
      <c r="AB545" s="255"/>
      <c r="AC545" s="256"/>
      <c r="AD545" s="121"/>
      <c r="AE545" s="80" t="str">
        <f t="shared" si="72"/>
        <v xml:space="preserve">Interessati percorso in azienda, tenete in sospeso gli 8 Master </v>
      </c>
      <c r="AF545" s="257"/>
      <c r="AG545" s="155"/>
      <c r="AH545" s="155"/>
      <c r="AI545" s="257"/>
      <c r="AJ545" s="155"/>
      <c r="AK545" s="155"/>
      <c r="AL545" s="155"/>
      <c r="AM545" s="257"/>
      <c r="AN545" s="258"/>
      <c r="AO545" s="258"/>
      <c r="AP545" s="258"/>
      <c r="AQ545" s="211"/>
      <c r="AR545" s="154" t="s">
        <v>165</v>
      </c>
      <c r="AS545" s="154" t="s">
        <v>165</v>
      </c>
      <c r="AT545" s="154" t="s">
        <v>165</v>
      </c>
      <c r="AU545" s="211"/>
      <c r="AV545" s="259"/>
      <c r="AW545" s="259"/>
      <c r="AX545" s="259"/>
      <c r="AY545" s="211"/>
      <c r="AZ545" s="362"/>
      <c r="BA545" s="362"/>
      <c r="BB545" s="362"/>
      <c r="BC545" s="211"/>
      <c r="BD545" s="362"/>
      <c r="BE545" s="362"/>
      <c r="BF545" s="362"/>
      <c r="BG545" s="211"/>
      <c r="BH545" s="760">
        <f t="shared" si="53"/>
        <v>0</v>
      </c>
      <c r="BI545" s="761">
        <f t="shared" si="54"/>
        <v>0</v>
      </c>
      <c r="BJ545" s="761">
        <f t="shared" si="55"/>
        <v>0</v>
      </c>
      <c r="BK545" s="262"/>
      <c r="BL545" s="242"/>
      <c r="BM545" s="203"/>
      <c r="BN545" s="818"/>
      <c r="BO545" s="818"/>
      <c r="BP545" s="363" t="s">
        <v>407</v>
      </c>
      <c r="BQ545" s="145">
        <v>0.15</v>
      </c>
      <c r="BR545" s="262"/>
      <c r="BS545" s="242"/>
      <c r="BT545" s="203"/>
      <c r="BU545" s="373"/>
      <c r="BV545" s="373"/>
      <c r="BW545" s="774"/>
      <c r="BX545" s="828" t="s">
        <v>407</v>
      </c>
      <c r="BY545" s="145">
        <v>0.05</v>
      </c>
      <c r="BZ545" s="262"/>
      <c r="CA545" s="242">
        <f t="shared" si="68"/>
        <v>0</v>
      </c>
      <c r="CB545" s="203">
        <f t="shared" si="73"/>
        <v>0</v>
      </c>
      <c r="CC545" s="203"/>
      <c r="CD545" s="203"/>
      <c r="CE545" s="765"/>
      <c r="CF545" s="110"/>
      <c r="CG545" s="226"/>
      <c r="CH545" s="110"/>
      <c r="CI545" s="110"/>
      <c r="CJ545" s="348"/>
      <c r="CK545" s="110"/>
      <c r="CL545" s="110"/>
      <c r="CM545" s="263"/>
      <c r="CN545" s="110"/>
      <c r="CO545" s="110"/>
      <c r="CP545" s="226"/>
      <c r="CQ545" s="110"/>
      <c r="CR545" s="110"/>
      <c r="CS545" s="226"/>
      <c r="CT545" s="110"/>
      <c r="CU545" s="155"/>
      <c r="CV545" s="181"/>
      <c r="CW545" s="438" t="s">
        <v>1408</v>
      </c>
      <c r="CX545" s="439" t="s">
        <v>2812</v>
      </c>
      <c r="CY545" s="155"/>
      <c r="CZ545" s="155"/>
      <c r="DA545" s="131"/>
      <c r="DB545" s="819" t="s">
        <v>2813</v>
      </c>
      <c r="DC545" s="766">
        <f t="shared" si="74"/>
        <v>0</v>
      </c>
      <c r="DD545" s="820"/>
      <c r="DE545" s="820" t="b">
        <f t="shared" si="75"/>
        <v>0</v>
      </c>
      <c r="DF545" s="820" t="b">
        <f t="shared" si="76"/>
        <v>0</v>
      </c>
      <c r="DG545" s="729"/>
      <c r="DH545" s="799"/>
      <c r="DI545" s="729"/>
      <c r="DJ545" s="729"/>
      <c r="DK545" s="729"/>
      <c r="DL545" s="729"/>
      <c r="DM545" s="17"/>
      <c r="DN545" s="265"/>
      <c r="DO545" s="265"/>
      <c r="DP545" s="265"/>
      <c r="DQ545" s="265"/>
      <c r="DR545" s="265"/>
      <c r="DS545" s="265"/>
      <c r="DT545" s="265"/>
      <c r="DU545" s="265"/>
      <c r="DV545" s="265"/>
      <c r="DW545" s="265"/>
      <c r="DX545" s="265"/>
      <c r="DY545" s="265"/>
      <c r="DZ545" s="265"/>
    </row>
    <row r="546" spans="1:130" ht="30" hidden="1" customHeight="1" outlineLevel="1">
      <c r="A546" s="228"/>
      <c r="B546" s="816"/>
      <c r="C546" s="155">
        <f t="shared" si="77"/>
        <v>18</v>
      </c>
      <c r="D546" s="781"/>
      <c r="E546" s="781"/>
      <c r="F546" s="781"/>
      <c r="G546" s="830" t="s">
        <v>216</v>
      </c>
      <c r="H546" s="830" t="s">
        <v>2814</v>
      </c>
      <c r="I546" s="207" t="s">
        <v>2815</v>
      </c>
      <c r="J546" s="121" t="str">
        <f t="shared" si="52"/>
        <v>Giulia Rizzi</v>
      </c>
      <c r="K546" s="156" t="s">
        <v>2816</v>
      </c>
      <c r="L546" s="204" t="s">
        <v>2817</v>
      </c>
      <c r="M546" s="823" t="s">
        <v>2818</v>
      </c>
      <c r="N546" s="131" t="str">
        <f t="shared" si="71"/>
        <v>Eurewb</v>
      </c>
      <c r="O546" s="250"/>
      <c r="P546" s="251"/>
      <c r="Q546" s="131"/>
      <c r="R546" s="252"/>
      <c r="S546" s="254"/>
      <c r="T546" s="346"/>
      <c r="U546" s="253"/>
      <c r="V546" s="253"/>
      <c r="W546" s="251"/>
      <c r="X546" s="131"/>
      <c r="Y546" s="251"/>
      <c r="Z546" s="251"/>
      <c r="AA546" s="251"/>
      <c r="AB546" s="255"/>
      <c r="AC546" s="256"/>
      <c r="AD546" s="121"/>
      <c r="AE546" s="80" t="str">
        <f t="shared" si="72"/>
        <v>Sollecito a Massimo il 7 ott con Bruno in copia</v>
      </c>
      <c r="AF546" s="257"/>
      <c r="AG546" s="155"/>
      <c r="AH546" s="155"/>
      <c r="AI546" s="257"/>
      <c r="AJ546" s="155"/>
      <c r="AK546" s="155"/>
      <c r="AL546" s="155"/>
      <c r="AM546" s="257"/>
      <c r="AN546" s="258"/>
      <c r="AO546" s="258"/>
      <c r="AP546" s="258"/>
      <c r="AQ546" s="211"/>
      <c r="AR546" s="154" t="s">
        <v>165</v>
      </c>
      <c r="AS546" s="154" t="s">
        <v>165</v>
      </c>
      <c r="AT546" s="154" t="s">
        <v>165</v>
      </c>
      <c r="AU546" s="211"/>
      <c r="AV546" s="124"/>
      <c r="AW546" s="124"/>
      <c r="AX546" s="124"/>
      <c r="AY546" s="211"/>
      <c r="AZ546" s="124"/>
      <c r="BA546" s="124"/>
      <c r="BB546" s="124"/>
      <c r="BC546" s="211"/>
      <c r="BD546" s="124"/>
      <c r="BE546" s="124"/>
      <c r="BF546" s="124"/>
      <c r="BG546" s="211"/>
      <c r="BH546" s="808">
        <f t="shared" si="53"/>
        <v>0</v>
      </c>
      <c r="BI546" s="761">
        <f t="shared" si="54"/>
        <v>0</v>
      </c>
      <c r="BJ546" s="761">
        <f t="shared" si="55"/>
        <v>0</v>
      </c>
      <c r="BK546" s="262"/>
      <c r="BL546" s="242"/>
      <c r="BM546" s="203"/>
      <c r="BN546" s="821"/>
      <c r="BO546" s="821"/>
      <c r="BP546" s="399" t="s">
        <v>525</v>
      </c>
      <c r="BQ546" s="145">
        <v>0.15</v>
      </c>
      <c r="BR546" s="262"/>
      <c r="BS546" s="242"/>
      <c r="BT546" s="203"/>
      <c r="BU546" s="373"/>
      <c r="BV546" s="373"/>
      <c r="BW546" s="774"/>
      <c r="BX546" s="833" t="s">
        <v>525</v>
      </c>
      <c r="BY546" s="145">
        <v>0.05</v>
      </c>
      <c r="BZ546" s="262"/>
      <c r="CA546" s="242">
        <f t="shared" si="68"/>
        <v>0</v>
      </c>
      <c r="CB546" s="203">
        <f t="shared" si="73"/>
        <v>0</v>
      </c>
      <c r="CC546" s="203"/>
      <c r="CD546" s="203"/>
      <c r="CE546" s="765"/>
      <c r="CF546" s="110"/>
      <c r="CG546" s="226"/>
      <c r="CH546" s="110"/>
      <c r="CI546" s="110"/>
      <c r="CJ546" s="348"/>
      <c r="CK546" s="110"/>
      <c r="CL546" s="110"/>
      <c r="CM546" s="263"/>
      <c r="CN546" s="110"/>
      <c r="CO546" s="110"/>
      <c r="CP546" s="226"/>
      <c r="CQ546" s="110"/>
      <c r="CR546" s="110"/>
      <c r="CS546" s="226"/>
      <c r="CT546" s="110"/>
      <c r="CU546" s="155">
        <v>1</v>
      </c>
      <c r="CV546" s="181" t="s">
        <v>1123</v>
      </c>
      <c r="CW546" s="438" t="s">
        <v>1387</v>
      </c>
      <c r="CX546" s="439"/>
      <c r="CY546" s="155"/>
      <c r="CZ546" s="155"/>
      <c r="DA546" s="131" t="s">
        <v>808</v>
      </c>
      <c r="DB546" s="819" t="s">
        <v>2819</v>
      </c>
      <c r="DC546" s="766">
        <f t="shared" si="74"/>
        <v>0</v>
      </c>
      <c r="DD546" s="820"/>
      <c r="DE546" s="820" t="b">
        <f t="shared" si="75"/>
        <v>0</v>
      </c>
      <c r="DF546" s="820" t="b">
        <f t="shared" si="76"/>
        <v>0</v>
      </c>
      <c r="DG546" s="729"/>
      <c r="DH546" s="799"/>
      <c r="DI546" s="729"/>
      <c r="DJ546" s="729"/>
      <c r="DK546" s="729"/>
      <c r="DL546" s="729"/>
      <c r="DM546" s="17"/>
      <c r="DN546" s="265"/>
      <c r="DO546" s="265"/>
      <c r="DP546" s="265"/>
      <c r="DQ546" s="265"/>
      <c r="DR546" s="265"/>
      <c r="DS546" s="265"/>
      <c r="DT546" s="265"/>
      <c r="DU546" s="265"/>
      <c r="DV546" s="265"/>
      <c r="DW546" s="265"/>
      <c r="DX546" s="265"/>
      <c r="DY546" s="265"/>
      <c r="DZ546" s="265"/>
    </row>
    <row r="547" spans="1:130" ht="30" hidden="1" customHeight="1" outlineLevel="1">
      <c r="A547" s="228"/>
      <c r="B547" s="816"/>
      <c r="C547" s="155">
        <f t="shared" si="77"/>
        <v>19</v>
      </c>
      <c r="D547" s="781"/>
      <c r="E547" s="781"/>
      <c r="F547" s="781"/>
      <c r="G547" s="830" t="s">
        <v>2820</v>
      </c>
      <c r="H547" s="830" t="s">
        <v>2821</v>
      </c>
      <c r="I547" s="207" t="s">
        <v>2822</v>
      </c>
      <c r="J547" s="121" t="str">
        <f t="shared" si="52"/>
        <v>Hanan Belmoujoud</v>
      </c>
      <c r="K547" s="156">
        <v>3467526423</v>
      </c>
      <c r="L547" s="131" t="s">
        <v>2823</v>
      </c>
      <c r="M547" s="131" t="s">
        <v>514</v>
      </c>
      <c r="N547" s="131" t="str">
        <f t="shared" si="71"/>
        <v>Primavera International</v>
      </c>
      <c r="O547" s="250"/>
      <c r="P547" s="251"/>
      <c r="Q547" s="131"/>
      <c r="R547" s="252"/>
      <c r="S547" s="254"/>
      <c r="T547" s="346"/>
      <c r="U547" s="253"/>
      <c r="V547" s="253"/>
      <c r="W547" s="251"/>
      <c r="X547" s="131"/>
      <c r="Y547" s="251"/>
      <c r="Z547" s="251"/>
      <c r="AA547" s="251"/>
      <c r="AB547" s="255"/>
      <c r="AC547" s="256"/>
      <c r="AD547" s="121"/>
      <c r="AE547" s="80" t="str">
        <f t="shared" si="72"/>
        <v>Ref Titolare: grazia@primavera.it (Grazia Remondi)</v>
      </c>
      <c r="AF547" s="257"/>
      <c r="AG547" s="155"/>
      <c r="AH547" s="155"/>
      <c r="AI547" s="257"/>
      <c r="AJ547" s="155"/>
      <c r="AK547" s="155"/>
      <c r="AL547" s="155"/>
      <c r="AM547" s="257"/>
      <c r="AN547" s="258"/>
      <c r="AO547" s="258"/>
      <c r="AP547" s="258"/>
      <c r="AQ547" s="211"/>
      <c r="AR547" s="154" t="s">
        <v>165</v>
      </c>
      <c r="AS547" s="154" t="s">
        <v>165</v>
      </c>
      <c r="AT547" s="154" t="s">
        <v>165</v>
      </c>
      <c r="AU547" s="211"/>
      <c r="AV547" s="124"/>
      <c r="AW547" s="124"/>
      <c r="AX547" s="124"/>
      <c r="AY547" s="211"/>
      <c r="AZ547" s="124"/>
      <c r="BA547" s="124"/>
      <c r="BB547" s="124"/>
      <c r="BC547" s="211"/>
      <c r="BD547" s="124"/>
      <c r="BE547" s="124"/>
      <c r="BF547" s="124"/>
      <c r="BG547" s="211"/>
      <c r="BH547" s="808">
        <f t="shared" si="53"/>
        <v>0</v>
      </c>
      <c r="BI547" s="761">
        <f t="shared" si="54"/>
        <v>0</v>
      </c>
      <c r="BJ547" s="761">
        <f t="shared" si="55"/>
        <v>0</v>
      </c>
      <c r="BK547" s="262"/>
      <c r="BL547" s="242"/>
      <c r="BM547" s="203"/>
      <c r="BN547" s="818"/>
      <c r="BO547" s="818"/>
      <c r="BP547" s="383" t="s">
        <v>184</v>
      </c>
      <c r="BQ547" s="145">
        <v>0.15</v>
      </c>
      <c r="BR547" s="262"/>
      <c r="BS547" s="242"/>
      <c r="BT547" s="203"/>
      <c r="BU547" s="373"/>
      <c r="BV547" s="373"/>
      <c r="BW547" s="774"/>
      <c r="BX547" s="289" t="s">
        <v>184</v>
      </c>
      <c r="BY547" s="145">
        <v>0.05</v>
      </c>
      <c r="BZ547" s="262"/>
      <c r="CA547" s="242">
        <f t="shared" si="68"/>
        <v>0</v>
      </c>
      <c r="CB547" s="203">
        <f t="shared" si="73"/>
        <v>0</v>
      </c>
      <c r="CC547" s="203"/>
      <c r="CD547" s="203"/>
      <c r="CE547" s="765"/>
      <c r="CF547" s="110"/>
      <c r="CG547" s="226"/>
      <c r="CH547" s="110"/>
      <c r="CI547" s="110"/>
      <c r="CJ547" s="348"/>
      <c r="CK547" s="110"/>
      <c r="CL547" s="110"/>
      <c r="CM547" s="263"/>
      <c r="CN547" s="110"/>
      <c r="CO547" s="110"/>
      <c r="CP547" s="226"/>
      <c r="CQ547" s="110"/>
      <c r="CR547" s="110"/>
      <c r="CS547" s="226"/>
      <c r="CT547" s="110"/>
      <c r="CU547" s="155">
        <v>1</v>
      </c>
      <c r="CV547" s="181" t="s">
        <v>1123</v>
      </c>
      <c r="CW547" s="438" t="s">
        <v>1580</v>
      </c>
      <c r="CX547" s="439"/>
      <c r="CY547" s="155"/>
      <c r="CZ547" s="155"/>
      <c r="DA547" s="131" t="s">
        <v>2824</v>
      </c>
      <c r="DB547" s="819" t="s">
        <v>2825</v>
      </c>
      <c r="DC547" s="766">
        <f t="shared" si="74"/>
        <v>0</v>
      </c>
      <c r="DD547" s="820"/>
      <c r="DE547" s="820" t="b">
        <f t="shared" si="75"/>
        <v>0</v>
      </c>
      <c r="DF547" s="820" t="b">
        <f t="shared" si="76"/>
        <v>0</v>
      </c>
      <c r="DG547" s="729"/>
      <c r="DH547" s="799"/>
      <c r="DI547" s="729"/>
      <c r="DJ547" s="729"/>
      <c r="DK547" s="729"/>
      <c r="DL547" s="729"/>
      <c r="DM547" s="17"/>
      <c r="DN547" s="265"/>
      <c r="DO547" s="265"/>
      <c r="DP547" s="265"/>
      <c r="DQ547" s="265"/>
      <c r="DR547" s="265"/>
      <c r="DS547" s="265"/>
      <c r="DT547" s="265"/>
      <c r="DU547" s="265"/>
      <c r="DV547" s="265"/>
      <c r="DW547" s="265"/>
      <c r="DX547" s="265"/>
      <c r="DY547" s="265"/>
      <c r="DZ547" s="265"/>
    </row>
    <row r="548" spans="1:130" ht="30" hidden="1" customHeight="1" outlineLevel="1">
      <c r="A548" s="228"/>
      <c r="B548" s="816"/>
      <c r="C548" s="155">
        <f t="shared" si="77"/>
        <v>20</v>
      </c>
      <c r="D548" s="781"/>
      <c r="E548" s="781"/>
      <c r="F548" s="781"/>
      <c r="G548" s="830" t="s">
        <v>2826</v>
      </c>
      <c r="H548" s="830" t="s">
        <v>2827</v>
      </c>
      <c r="I548" s="207" t="s">
        <v>2828</v>
      </c>
      <c r="J548" s="121" t="str">
        <f t="shared" si="52"/>
        <v>Jessica Vaccari</v>
      </c>
      <c r="K548" s="156" t="s">
        <v>2829</v>
      </c>
      <c r="L548" s="131"/>
      <c r="M548" s="131" t="s">
        <v>2830</v>
      </c>
      <c r="N548" s="131" t="str">
        <f t="shared" si="71"/>
        <v>Tutor International</v>
      </c>
      <c r="O548" s="250"/>
      <c r="P548" s="251"/>
      <c r="Q548" s="131"/>
      <c r="R548" s="252"/>
      <c r="S548" s="254"/>
      <c r="T548" s="346"/>
      <c r="U548" s="253"/>
      <c r="V548" s="253"/>
      <c r="W548" s="251"/>
      <c r="X548" s="131"/>
      <c r="Y548" s="251"/>
      <c r="Z548" s="251"/>
      <c r="AA548" s="251"/>
      <c r="AB548" s="255"/>
      <c r="AC548" s="256"/>
      <c r="AD548" s="121"/>
      <c r="AE548" s="80">
        <f t="shared" si="72"/>
        <v>0</v>
      </c>
      <c r="AF548" s="257"/>
      <c r="AG548" s="155"/>
      <c r="AH548" s="155"/>
      <c r="AI548" s="257"/>
      <c r="AJ548" s="155"/>
      <c r="AK548" s="155"/>
      <c r="AL548" s="155"/>
      <c r="AM548" s="257"/>
      <c r="AN548" s="258"/>
      <c r="AO548" s="258"/>
      <c r="AP548" s="258"/>
      <c r="AQ548" s="211"/>
      <c r="AR548" s="154" t="s">
        <v>165</v>
      </c>
      <c r="AS548" s="154" t="s">
        <v>165</v>
      </c>
      <c r="AT548" s="154" t="s">
        <v>165</v>
      </c>
      <c r="AU548" s="211"/>
      <c r="AV548" s="124"/>
      <c r="AW548" s="124"/>
      <c r="AX548" s="124"/>
      <c r="AY548" s="211"/>
      <c r="AZ548" s="594"/>
      <c r="BA548" s="594"/>
      <c r="BB548" s="594"/>
      <c r="BC548" s="211"/>
      <c r="BD548" s="594"/>
      <c r="BE548" s="594"/>
      <c r="BF548" s="594"/>
      <c r="BG548" s="211"/>
      <c r="BH548" s="760">
        <f t="shared" si="53"/>
        <v>0</v>
      </c>
      <c r="BI548" s="761">
        <f t="shared" si="54"/>
        <v>0</v>
      </c>
      <c r="BJ548" s="761">
        <f t="shared" si="55"/>
        <v>0</v>
      </c>
      <c r="BK548" s="262"/>
      <c r="BL548" s="242"/>
      <c r="BM548" s="203"/>
      <c r="BN548" s="818"/>
      <c r="BO548" s="818"/>
      <c r="BP548" s="380" t="s">
        <v>119</v>
      </c>
      <c r="BQ548" s="145">
        <v>0.15</v>
      </c>
      <c r="BR548" s="262"/>
      <c r="BS548" s="242"/>
      <c r="BT548" s="203"/>
      <c r="BU548" s="373"/>
      <c r="BV548" s="373"/>
      <c r="BW548" s="774"/>
      <c r="BX548" s="825" t="s">
        <v>119</v>
      </c>
      <c r="BY548" s="145">
        <v>0.05</v>
      </c>
      <c r="BZ548" s="262"/>
      <c r="CA548" s="242">
        <f t="shared" si="68"/>
        <v>0</v>
      </c>
      <c r="CB548" s="203">
        <f t="shared" si="73"/>
        <v>0</v>
      </c>
      <c r="CC548" s="203"/>
      <c r="CD548" s="203"/>
      <c r="CE548" s="765"/>
      <c r="CF548" s="110"/>
      <c r="CG548" s="226"/>
      <c r="CH548" s="110"/>
      <c r="CI548" s="110"/>
      <c r="CJ548" s="348"/>
      <c r="CK548" s="110"/>
      <c r="CL548" s="110"/>
      <c r="CM548" s="263"/>
      <c r="CN548" s="110"/>
      <c r="CO548" s="110"/>
      <c r="CP548" s="226"/>
      <c r="CQ548" s="110"/>
      <c r="CR548" s="110"/>
      <c r="CS548" s="226"/>
      <c r="CT548" s="110"/>
      <c r="CU548" s="155">
        <v>1</v>
      </c>
      <c r="CV548" s="181" t="s">
        <v>1123</v>
      </c>
      <c r="CW548" s="491" t="s">
        <v>1580</v>
      </c>
      <c r="CX548" s="439" t="s">
        <v>2831</v>
      </c>
      <c r="CY548" s="155"/>
      <c r="CZ548" s="155"/>
      <c r="DA548" s="131"/>
      <c r="DB548" s="819" t="s">
        <v>2832</v>
      </c>
      <c r="DC548" s="766">
        <f t="shared" si="74"/>
        <v>0</v>
      </c>
      <c r="DD548" s="820"/>
      <c r="DE548" s="820" t="b">
        <f t="shared" si="75"/>
        <v>0</v>
      </c>
      <c r="DF548" s="820" t="b">
        <f t="shared" si="76"/>
        <v>0</v>
      </c>
      <c r="DG548" s="729"/>
      <c r="DH548" s="799"/>
      <c r="DI548" s="729"/>
      <c r="DJ548" s="729"/>
      <c r="DK548" s="729"/>
      <c r="DL548" s="729"/>
      <c r="DM548" s="17"/>
      <c r="DN548" s="265"/>
      <c r="DO548" s="265"/>
      <c r="DP548" s="265"/>
      <c r="DQ548" s="265"/>
      <c r="DR548" s="265"/>
      <c r="DS548" s="265"/>
      <c r="DT548" s="265"/>
      <c r="DU548" s="265"/>
      <c r="DV548" s="265"/>
      <c r="DW548" s="265"/>
      <c r="DX548" s="265"/>
      <c r="DY548" s="265"/>
      <c r="DZ548" s="265"/>
    </row>
    <row r="549" spans="1:130" ht="30" hidden="1" customHeight="1" outlineLevel="1">
      <c r="A549" s="228"/>
      <c r="B549" s="816"/>
      <c r="C549" s="155">
        <f t="shared" si="77"/>
        <v>21</v>
      </c>
      <c r="D549" s="781"/>
      <c r="E549" s="781"/>
      <c r="F549" s="781"/>
      <c r="G549" s="830" t="s">
        <v>1795</v>
      </c>
      <c r="H549" s="830" t="s">
        <v>786</v>
      </c>
      <c r="I549" s="294" t="s">
        <v>2833</v>
      </c>
      <c r="J549" s="121" t="str">
        <f t="shared" si="52"/>
        <v>Lorenza Veneziani</v>
      </c>
      <c r="K549" s="156">
        <v>3478854358</v>
      </c>
      <c r="L549" s="131"/>
      <c r="M549" s="823" t="s">
        <v>2818</v>
      </c>
      <c r="N549" s="131" t="str">
        <f t="shared" si="71"/>
        <v>Eureweb</v>
      </c>
      <c r="O549" s="250"/>
      <c r="P549" s="251"/>
      <c r="Q549" s="131"/>
      <c r="R549" s="252"/>
      <c r="S549" s="254"/>
      <c r="T549" s="346"/>
      <c r="U549" s="253"/>
      <c r="V549" s="253"/>
      <c r="W549" s="251"/>
      <c r="X549" s="131"/>
      <c r="Y549" s="251"/>
      <c r="Z549" s="251"/>
      <c r="AA549" s="251"/>
      <c r="AB549" s="255"/>
      <c r="AC549" s="256"/>
      <c r="AD549" s="121"/>
      <c r="AE549" s="80">
        <f t="shared" si="72"/>
        <v>0</v>
      </c>
      <c r="AF549" s="257"/>
      <c r="AG549" s="155"/>
      <c r="AH549" s="155"/>
      <c r="AI549" s="257"/>
      <c r="AJ549" s="155"/>
      <c r="AK549" s="155"/>
      <c r="AL549" s="155"/>
      <c r="AM549" s="257"/>
      <c r="AN549" s="258"/>
      <c r="AO549" s="258"/>
      <c r="AP549" s="258"/>
      <c r="AQ549" s="211"/>
      <c r="AR549" s="154" t="s">
        <v>165</v>
      </c>
      <c r="AS549" s="154" t="s">
        <v>165</v>
      </c>
      <c r="AT549" s="154" t="s">
        <v>165</v>
      </c>
      <c r="AU549" s="211"/>
      <c r="AV549" s="124"/>
      <c r="AW549" s="124"/>
      <c r="AX549" s="124"/>
      <c r="AY549" s="211"/>
      <c r="AZ549" s="124"/>
      <c r="BA549" s="124"/>
      <c r="BB549" s="124"/>
      <c r="BC549" s="211"/>
      <c r="BD549" s="124"/>
      <c r="BE549" s="124"/>
      <c r="BF549" s="124"/>
      <c r="BG549" s="211"/>
      <c r="BH549" s="808">
        <f t="shared" si="53"/>
        <v>0</v>
      </c>
      <c r="BI549" s="761">
        <f t="shared" si="54"/>
        <v>0</v>
      </c>
      <c r="BJ549" s="761">
        <f t="shared" si="55"/>
        <v>0</v>
      </c>
      <c r="BK549" s="262"/>
      <c r="BL549" s="824">
        <f>BH549</f>
        <v>0</v>
      </c>
      <c r="BM549" s="203"/>
      <c r="BN549" s="821"/>
      <c r="BO549" s="821"/>
      <c r="BP549" s="372" t="s">
        <v>117</v>
      </c>
      <c r="BQ549" s="98">
        <v>0</v>
      </c>
      <c r="BR549" s="262"/>
      <c r="BS549" s="242">
        <f>BL549*BQ549</f>
        <v>0</v>
      </c>
      <c r="BT549" s="373">
        <f>BM549*BQ549</f>
        <v>0</v>
      </c>
      <c r="BU549" s="373"/>
      <c r="BV549" s="373"/>
      <c r="BW549" s="784" t="s">
        <v>118</v>
      </c>
      <c r="BX549" s="834" t="s">
        <v>152</v>
      </c>
      <c r="BY549" s="145">
        <v>0.05</v>
      </c>
      <c r="BZ549" s="262"/>
      <c r="CA549" s="242">
        <f t="shared" si="68"/>
        <v>0</v>
      </c>
      <c r="CB549" s="203">
        <f t="shared" si="73"/>
        <v>0</v>
      </c>
      <c r="CC549" s="203"/>
      <c r="CD549" s="203"/>
      <c r="CE549" s="765"/>
      <c r="CF549" s="110"/>
      <c r="CG549" s="226"/>
      <c r="CH549" s="110"/>
      <c r="CI549" s="110"/>
      <c r="CJ549" s="348"/>
      <c r="CK549" s="110"/>
      <c r="CL549" s="110"/>
      <c r="CM549" s="263"/>
      <c r="CN549" s="110"/>
      <c r="CO549" s="110"/>
      <c r="CP549" s="226"/>
      <c r="CQ549" s="110"/>
      <c r="CR549" s="110"/>
      <c r="CS549" s="226"/>
      <c r="CT549" s="110"/>
      <c r="CU549" s="155">
        <v>1</v>
      </c>
      <c r="CV549" s="181" t="s">
        <v>1123</v>
      </c>
      <c r="CW549" s="438" t="s">
        <v>1408</v>
      </c>
      <c r="CX549" s="439" t="s">
        <v>2834</v>
      </c>
      <c r="CY549" s="155"/>
      <c r="CZ549" s="155"/>
      <c r="DA549" s="131" t="s">
        <v>808</v>
      </c>
      <c r="DB549" s="819" t="s">
        <v>987</v>
      </c>
      <c r="DC549" s="766">
        <f t="shared" si="74"/>
        <v>0</v>
      </c>
      <c r="DD549" s="820"/>
      <c r="DE549" s="820" t="b">
        <f t="shared" si="75"/>
        <v>0</v>
      </c>
      <c r="DF549" s="820" t="b">
        <f t="shared" si="76"/>
        <v>0</v>
      </c>
      <c r="DG549" s="729"/>
      <c r="DH549" s="799"/>
      <c r="DI549" s="729"/>
      <c r="DJ549" s="729"/>
      <c r="DK549" s="729"/>
      <c r="DL549" s="729"/>
      <c r="DM549" s="17"/>
      <c r="DN549" s="265"/>
      <c r="DO549" s="265"/>
      <c r="DP549" s="265"/>
      <c r="DQ549" s="265"/>
      <c r="DR549" s="265"/>
      <c r="DS549" s="265"/>
      <c r="DT549" s="265"/>
      <c r="DU549" s="265"/>
      <c r="DV549" s="265"/>
      <c r="DW549" s="265"/>
      <c r="DX549" s="265"/>
      <c r="DY549" s="265"/>
      <c r="DZ549" s="265"/>
    </row>
    <row r="550" spans="1:130" ht="39" hidden="1" outlineLevel="1">
      <c r="A550" s="228"/>
      <c r="B550" s="816"/>
      <c r="C550" s="155">
        <f t="shared" si="77"/>
        <v>22</v>
      </c>
      <c r="D550" s="781"/>
      <c r="E550" s="781"/>
      <c r="F550" s="781"/>
      <c r="G550" s="830" t="s">
        <v>204</v>
      </c>
      <c r="H550" s="830" t="s">
        <v>1647</v>
      </c>
      <c r="I550" s="207" t="s">
        <v>2835</v>
      </c>
      <c r="J550" s="121" t="str">
        <f t="shared" si="52"/>
        <v>Luca Gatti</v>
      </c>
      <c r="K550" s="156" t="s">
        <v>2836</v>
      </c>
      <c r="L550" s="204" t="s">
        <v>2792</v>
      </c>
      <c r="M550" s="131" t="s">
        <v>719</v>
      </c>
      <c r="N550" s="131" t="str">
        <f t="shared" si="71"/>
        <v>Tentamus Agriparadigma</v>
      </c>
      <c r="O550" s="250"/>
      <c r="P550" s="251"/>
      <c r="Q550" s="131"/>
      <c r="R550" s="252"/>
      <c r="S550" s="254"/>
      <c r="T550" s="346"/>
      <c r="U550" s="253"/>
      <c r="V550" s="253"/>
      <c r="W550" s="251"/>
      <c r="X550" s="131"/>
      <c r="Y550" s="251"/>
      <c r="Z550" s="251"/>
      <c r="AA550" s="251"/>
      <c r="AB550" s="255"/>
      <c r="AC550" s="256"/>
      <c r="AD550" s="121"/>
      <c r="AE550" s="80" t="str">
        <f t="shared" si="72"/>
        <v xml:space="preserve">Interessati percorso in azienda, tenete in sospeso gli 8 Master </v>
      </c>
      <c r="AF550" s="257"/>
      <c r="AG550" s="155"/>
      <c r="AH550" s="155"/>
      <c r="AI550" s="257"/>
      <c r="AJ550" s="155"/>
      <c r="AK550" s="155"/>
      <c r="AL550" s="155"/>
      <c r="AM550" s="257"/>
      <c r="AN550" s="258"/>
      <c r="AO550" s="258"/>
      <c r="AP550" s="258"/>
      <c r="AQ550" s="211"/>
      <c r="AR550" s="154" t="s">
        <v>165</v>
      </c>
      <c r="AS550" s="154" t="s">
        <v>165</v>
      </c>
      <c r="AT550" s="154" t="s">
        <v>165</v>
      </c>
      <c r="AU550" s="211"/>
      <c r="AV550" s="124"/>
      <c r="AW550" s="124"/>
      <c r="AX550" s="124"/>
      <c r="AY550" s="211"/>
      <c r="AZ550" s="124"/>
      <c r="BA550" s="124"/>
      <c r="BB550" s="124"/>
      <c r="BC550" s="211"/>
      <c r="BD550" s="124"/>
      <c r="BE550" s="124"/>
      <c r="BF550" s="124"/>
      <c r="BG550" s="211"/>
      <c r="BH550" s="808">
        <f t="shared" si="53"/>
        <v>0</v>
      </c>
      <c r="BI550" s="761">
        <f t="shared" si="54"/>
        <v>0</v>
      </c>
      <c r="BJ550" s="761">
        <f t="shared" si="55"/>
        <v>0</v>
      </c>
      <c r="BK550" s="262"/>
      <c r="BL550" s="242"/>
      <c r="BM550" s="203"/>
      <c r="BN550" s="818"/>
      <c r="BO550" s="818"/>
      <c r="BP550" s="383" t="s">
        <v>407</v>
      </c>
      <c r="BQ550" s="145">
        <v>0.15</v>
      </c>
      <c r="BR550" s="262"/>
      <c r="BS550" s="242"/>
      <c r="BT550" s="203"/>
      <c r="BU550" s="373"/>
      <c r="BV550" s="373"/>
      <c r="BW550" s="774"/>
      <c r="BX550" s="835" t="s">
        <v>407</v>
      </c>
      <c r="BY550" s="145">
        <v>0.05</v>
      </c>
      <c r="BZ550" s="262"/>
      <c r="CA550" s="242">
        <f t="shared" si="68"/>
        <v>0</v>
      </c>
      <c r="CB550" s="203">
        <f t="shared" si="73"/>
        <v>0</v>
      </c>
      <c r="CC550" s="203"/>
      <c r="CD550" s="203"/>
      <c r="CE550" s="765"/>
      <c r="CF550" s="110"/>
      <c r="CG550" s="226"/>
      <c r="CH550" s="110"/>
      <c r="CI550" s="110"/>
      <c r="CJ550" s="348"/>
      <c r="CK550" s="110"/>
      <c r="CL550" s="110"/>
      <c r="CM550" s="263"/>
      <c r="CN550" s="110"/>
      <c r="CO550" s="110"/>
      <c r="CP550" s="226"/>
      <c r="CQ550" s="110"/>
      <c r="CR550" s="110"/>
      <c r="CS550" s="226"/>
      <c r="CT550" s="110"/>
      <c r="CU550" s="155"/>
      <c r="CV550" s="181"/>
      <c r="CW550" s="438" t="s">
        <v>2633</v>
      </c>
      <c r="CX550" s="439" t="s">
        <v>1496</v>
      </c>
      <c r="CY550" s="155"/>
      <c r="CZ550" s="155"/>
      <c r="DA550" s="131"/>
      <c r="DB550" s="819" t="s">
        <v>2794</v>
      </c>
      <c r="DC550" s="766">
        <f t="shared" si="74"/>
        <v>0</v>
      </c>
      <c r="DD550" s="820"/>
      <c r="DE550" s="820" t="b">
        <f t="shared" si="75"/>
        <v>0</v>
      </c>
      <c r="DF550" s="820" t="b">
        <f t="shared" si="76"/>
        <v>0</v>
      </c>
      <c r="DG550" s="729"/>
      <c r="DH550" s="799"/>
      <c r="DI550" s="729"/>
      <c r="DJ550" s="729"/>
      <c r="DK550" s="729"/>
      <c r="DL550" s="729"/>
      <c r="DM550" s="17"/>
      <c r="DN550" s="265"/>
      <c r="DO550" s="265"/>
      <c r="DP550" s="265"/>
      <c r="DQ550" s="265"/>
      <c r="DR550" s="265"/>
      <c r="DS550" s="265"/>
      <c r="DT550" s="265"/>
      <c r="DU550" s="265"/>
      <c r="DV550" s="265"/>
      <c r="DW550" s="265"/>
      <c r="DX550" s="265"/>
      <c r="DY550" s="265"/>
      <c r="DZ550" s="265"/>
    </row>
    <row r="551" spans="1:130" ht="30" hidden="1" customHeight="1" outlineLevel="1">
      <c r="A551" s="228"/>
      <c r="B551" s="816"/>
      <c r="C551" s="155">
        <f t="shared" si="77"/>
        <v>23</v>
      </c>
      <c r="D551" s="781"/>
      <c r="E551" s="781"/>
      <c r="F551" s="781"/>
      <c r="G551" s="830" t="s">
        <v>204</v>
      </c>
      <c r="H551" s="830" t="s">
        <v>2837</v>
      </c>
      <c r="I551" s="207" t="s">
        <v>2838</v>
      </c>
      <c r="J551" s="121" t="str">
        <f t="shared" si="52"/>
        <v>Luca Martinazzi</v>
      </c>
      <c r="K551" s="156" t="s">
        <v>2839</v>
      </c>
      <c r="L551" s="131"/>
      <c r="M551" s="131" t="s">
        <v>719</v>
      </c>
      <c r="N551" s="131" t="str">
        <f t="shared" si="71"/>
        <v>DIENNEA</v>
      </c>
      <c r="O551" s="250"/>
      <c r="P551" s="251"/>
      <c r="Q551" s="131"/>
      <c r="R551" s="252"/>
      <c r="S551" s="254"/>
      <c r="T551" s="346"/>
      <c r="U551" s="253"/>
      <c r="V551" s="253"/>
      <c r="W551" s="251"/>
      <c r="X551" s="131"/>
      <c r="Y551" s="251"/>
      <c r="Z551" s="251"/>
      <c r="AA551" s="251"/>
      <c r="AB551" s="255"/>
      <c r="AC551" s="256"/>
      <c r="AD551" s="121"/>
      <c r="AE551" s="80">
        <f t="shared" si="72"/>
        <v>0</v>
      </c>
      <c r="AF551" s="257"/>
      <c r="AG551" s="155"/>
      <c r="AH551" s="155"/>
      <c r="AI551" s="257"/>
      <c r="AJ551" s="155"/>
      <c r="AK551" s="155"/>
      <c r="AL551" s="155"/>
      <c r="AM551" s="257"/>
      <c r="AN551" s="258"/>
      <c r="AO551" s="258"/>
      <c r="AP551" s="258"/>
      <c r="AQ551" s="211"/>
      <c r="AR551" s="154" t="s">
        <v>165</v>
      </c>
      <c r="AS551" s="154" t="s">
        <v>165</v>
      </c>
      <c r="AT551" s="154" t="s">
        <v>165</v>
      </c>
      <c r="AU551" s="211"/>
      <c r="AV551" s="124"/>
      <c r="AW551" s="124"/>
      <c r="AX551" s="124"/>
      <c r="AY551" s="211"/>
      <c r="AZ551" s="594"/>
      <c r="BA551" s="594"/>
      <c r="BB551" s="594"/>
      <c r="BC551" s="211"/>
      <c r="BD551" s="594"/>
      <c r="BE551" s="594"/>
      <c r="BF551" s="594"/>
      <c r="BG551" s="211"/>
      <c r="BH551" s="760">
        <f t="shared" si="53"/>
        <v>0</v>
      </c>
      <c r="BI551" s="761">
        <f t="shared" si="54"/>
        <v>0</v>
      </c>
      <c r="BJ551" s="761">
        <f t="shared" si="55"/>
        <v>0</v>
      </c>
      <c r="BK551" s="262"/>
      <c r="BL551" s="824">
        <f t="shared" ref="BL551:BL552" si="84">BH551</f>
        <v>0</v>
      </c>
      <c r="BM551" s="203"/>
      <c r="BN551" s="821"/>
      <c r="BO551" s="821"/>
      <c r="BP551" s="827" t="s">
        <v>117</v>
      </c>
      <c r="BQ551" s="98">
        <v>0</v>
      </c>
      <c r="BR551" s="262"/>
      <c r="BS551" s="242">
        <f t="shared" ref="BS551:BS552" si="85">BL551*BQ551</f>
        <v>0</v>
      </c>
      <c r="BT551" s="373">
        <f t="shared" ref="BT551:BT552" si="86">BM551*BQ551</f>
        <v>0</v>
      </c>
      <c r="BU551" s="373"/>
      <c r="BV551" s="373"/>
      <c r="BW551" s="784" t="s">
        <v>118</v>
      </c>
      <c r="BX551" s="828" t="s">
        <v>152</v>
      </c>
      <c r="BY551" s="145">
        <v>0.05</v>
      </c>
      <c r="BZ551" s="262"/>
      <c r="CA551" s="242">
        <f t="shared" si="68"/>
        <v>0</v>
      </c>
      <c r="CB551" s="203">
        <f t="shared" si="73"/>
        <v>0</v>
      </c>
      <c r="CC551" s="203"/>
      <c r="CD551" s="203"/>
      <c r="CE551" s="765"/>
      <c r="CF551" s="110"/>
      <c r="CG551" s="226"/>
      <c r="CH551" s="110"/>
      <c r="CI551" s="110"/>
      <c r="CJ551" s="348"/>
      <c r="CK551" s="110"/>
      <c r="CL551" s="110"/>
      <c r="CM551" s="263"/>
      <c r="CN551" s="110"/>
      <c r="CO551" s="110"/>
      <c r="CP551" s="226"/>
      <c r="CQ551" s="110"/>
      <c r="CR551" s="110"/>
      <c r="CS551" s="226"/>
      <c r="CT551" s="110"/>
      <c r="CU551" s="155">
        <v>1</v>
      </c>
      <c r="CV551" s="181" t="s">
        <v>1123</v>
      </c>
      <c r="CW551" s="438" t="s">
        <v>2633</v>
      </c>
      <c r="CX551" s="439" t="s">
        <v>2840</v>
      </c>
      <c r="CY551" s="155"/>
      <c r="CZ551" s="155"/>
      <c r="DA551" s="131" t="s">
        <v>778</v>
      </c>
      <c r="DB551" s="819" t="s">
        <v>2841</v>
      </c>
      <c r="DC551" s="766">
        <f t="shared" si="74"/>
        <v>0</v>
      </c>
      <c r="DD551" s="820"/>
      <c r="DE551" s="820" t="b">
        <f t="shared" si="75"/>
        <v>0</v>
      </c>
      <c r="DF551" s="820" t="b">
        <f t="shared" si="76"/>
        <v>0</v>
      </c>
      <c r="DG551" s="729"/>
      <c r="DH551" s="799"/>
      <c r="DI551" s="729"/>
      <c r="DJ551" s="729"/>
      <c r="DK551" s="729"/>
      <c r="DL551" s="729"/>
      <c r="DM551" s="17"/>
      <c r="DN551" s="265"/>
      <c r="DO551" s="265"/>
      <c r="DP551" s="265"/>
      <c r="DQ551" s="265"/>
      <c r="DR551" s="265"/>
      <c r="DS551" s="265"/>
      <c r="DT551" s="265"/>
      <c r="DU551" s="265"/>
      <c r="DV551" s="265"/>
      <c r="DW551" s="265"/>
      <c r="DX551" s="265"/>
      <c r="DY551" s="265"/>
      <c r="DZ551" s="265"/>
    </row>
    <row r="552" spans="1:130" ht="30" hidden="1" customHeight="1" outlineLevel="1">
      <c r="A552" s="228"/>
      <c r="B552" s="816"/>
      <c r="C552" s="155">
        <f t="shared" si="77"/>
        <v>24</v>
      </c>
      <c r="D552" s="781"/>
      <c r="E552" s="781"/>
      <c r="F552" s="781"/>
      <c r="G552" s="830" t="s">
        <v>246</v>
      </c>
      <c r="H552" s="830" t="s">
        <v>2842</v>
      </c>
      <c r="I552" s="207" t="s">
        <v>2843</v>
      </c>
      <c r="J552" s="121" t="str">
        <f t="shared" si="52"/>
        <v>Marco Baruffato</v>
      </c>
      <c r="K552" s="156" t="s">
        <v>2844</v>
      </c>
      <c r="L552" s="204" t="s">
        <v>2845</v>
      </c>
      <c r="M552" s="131" t="s">
        <v>112</v>
      </c>
      <c r="N552" s="131" t="str">
        <f t="shared" si="71"/>
        <v>BB Creative</v>
      </c>
      <c r="O552" s="250"/>
      <c r="P552" s="251"/>
      <c r="Q552" s="131"/>
      <c r="R552" s="252"/>
      <c r="S552" s="254"/>
      <c r="T552" s="346"/>
      <c r="U552" s="253"/>
      <c r="V552" s="253"/>
      <c r="W552" s="251"/>
      <c r="X552" s="131"/>
      <c r="Y552" s="251"/>
      <c r="Z552" s="251"/>
      <c r="AA552" s="251"/>
      <c r="AB552" s="255"/>
      <c r="AC552" s="256"/>
      <c r="AD552" s="121"/>
      <c r="AE552" s="80" t="str">
        <f t="shared" si="72"/>
        <v>Lo sente Marco V. Lun. 3 Ott.</v>
      </c>
      <c r="AF552" s="257"/>
      <c r="AG552" s="155"/>
      <c r="AH552" s="155"/>
      <c r="AI552" s="257"/>
      <c r="AJ552" s="155"/>
      <c r="AK552" s="155"/>
      <c r="AL552" s="155"/>
      <c r="AM552" s="257"/>
      <c r="AN552" s="258"/>
      <c r="AO552" s="258"/>
      <c r="AP552" s="258"/>
      <c r="AQ552" s="211"/>
      <c r="AR552" s="395" t="s">
        <v>165</v>
      </c>
      <c r="AS552" s="395" t="s">
        <v>165</v>
      </c>
      <c r="AT552" s="395" t="s">
        <v>165</v>
      </c>
      <c r="AU552" s="211"/>
      <c r="AV552" s="836"/>
      <c r="AW552" s="836"/>
      <c r="AX552" s="836"/>
      <c r="AY552" s="211"/>
      <c r="AZ552" s="836"/>
      <c r="BA552" s="836"/>
      <c r="BB552" s="836"/>
      <c r="BC552" s="211"/>
      <c r="BD552" s="836"/>
      <c r="BE552" s="836"/>
      <c r="BF552" s="836"/>
      <c r="BG552" s="211"/>
      <c r="BH552" s="808">
        <f t="shared" si="53"/>
        <v>0</v>
      </c>
      <c r="BI552" s="761">
        <f t="shared" si="54"/>
        <v>0</v>
      </c>
      <c r="BJ552" s="761">
        <f t="shared" si="55"/>
        <v>0</v>
      </c>
      <c r="BK552" s="262"/>
      <c r="BL552" s="824">
        <f t="shared" si="84"/>
        <v>0</v>
      </c>
      <c r="BM552" s="203"/>
      <c r="BN552" s="821"/>
      <c r="BO552" s="821"/>
      <c r="BP552" s="827" t="s">
        <v>117</v>
      </c>
      <c r="BQ552" s="98">
        <v>0</v>
      </c>
      <c r="BR552" s="261"/>
      <c r="BS552" s="242">
        <f t="shared" si="85"/>
        <v>0</v>
      </c>
      <c r="BT552" s="373">
        <f t="shared" si="86"/>
        <v>0</v>
      </c>
      <c r="BU552" s="373"/>
      <c r="BV552" s="373"/>
      <c r="BW552" s="784" t="s">
        <v>118</v>
      </c>
      <c r="BX552" s="828" t="s">
        <v>152</v>
      </c>
      <c r="BY552" s="145">
        <v>0.05</v>
      </c>
      <c r="BZ552" s="262"/>
      <c r="CA552" s="242">
        <f t="shared" si="68"/>
        <v>0</v>
      </c>
      <c r="CB552" s="203">
        <f t="shared" si="73"/>
        <v>0</v>
      </c>
      <c r="CC552" s="203"/>
      <c r="CD552" s="203"/>
      <c r="CE552" s="765"/>
      <c r="CF552" s="110"/>
      <c r="CG552" s="226"/>
      <c r="CH552" s="110"/>
      <c r="CI552" s="110"/>
      <c r="CJ552" s="348"/>
      <c r="CK552" s="110"/>
      <c r="CL552" s="110"/>
      <c r="CM552" s="263"/>
      <c r="CN552" s="110"/>
      <c r="CO552" s="110"/>
      <c r="CP552" s="226"/>
      <c r="CQ552" s="110"/>
      <c r="CR552" s="110"/>
      <c r="CS552" s="226"/>
      <c r="CT552" s="110"/>
      <c r="CU552" s="155">
        <v>1</v>
      </c>
      <c r="CV552" s="181" t="s">
        <v>1123</v>
      </c>
      <c r="CW552" s="491"/>
      <c r="CX552" s="492" t="s">
        <v>2846</v>
      </c>
      <c r="CY552" s="155"/>
      <c r="CZ552" s="155"/>
      <c r="DA552" s="131" t="s">
        <v>2847</v>
      </c>
      <c r="DB552" s="819" t="s">
        <v>2848</v>
      </c>
      <c r="DC552" s="766">
        <f t="shared" si="74"/>
        <v>0</v>
      </c>
      <c r="DD552" s="820"/>
      <c r="DE552" s="820" t="b">
        <f t="shared" si="75"/>
        <v>0</v>
      </c>
      <c r="DF552" s="820" t="b">
        <f t="shared" si="76"/>
        <v>0</v>
      </c>
      <c r="DG552" s="729"/>
      <c r="DH552" s="799"/>
      <c r="DI552" s="729"/>
      <c r="DJ552" s="729"/>
      <c r="DK552" s="729"/>
      <c r="DL552" s="729"/>
      <c r="DM552" s="17"/>
      <c r="DN552" s="265"/>
      <c r="DO552" s="265"/>
      <c r="DP552" s="265"/>
      <c r="DQ552" s="265"/>
      <c r="DR552" s="265"/>
      <c r="DS552" s="265"/>
      <c r="DT552" s="265"/>
      <c r="DU552" s="265"/>
      <c r="DV552" s="265"/>
      <c r="DW552" s="265"/>
      <c r="DX552" s="265"/>
      <c r="DY552" s="265"/>
      <c r="DZ552" s="265"/>
    </row>
    <row r="553" spans="1:130" ht="30" hidden="1" customHeight="1" outlineLevel="1">
      <c r="A553" s="228"/>
      <c r="B553" s="829"/>
      <c r="C553" s="155">
        <f t="shared" si="77"/>
        <v>25</v>
      </c>
      <c r="D553" s="781"/>
      <c r="E553" s="781"/>
      <c r="F553" s="781"/>
      <c r="G553" s="830" t="s">
        <v>246</v>
      </c>
      <c r="H553" s="830" t="s">
        <v>2849</v>
      </c>
      <c r="I553" s="294" t="s">
        <v>2850</v>
      </c>
      <c r="J553" s="121" t="str">
        <f t="shared" si="52"/>
        <v>Marco Boriosi</v>
      </c>
      <c r="K553" s="156" t="s">
        <v>2851</v>
      </c>
      <c r="L553" s="204" t="s">
        <v>2792</v>
      </c>
      <c r="M553" s="131"/>
      <c r="N553" s="131" t="str">
        <f t="shared" si="71"/>
        <v>MK</v>
      </c>
      <c r="O553" s="250"/>
      <c r="P553" s="251"/>
      <c r="Q553" s="131"/>
      <c r="R553" s="252"/>
      <c r="S553" s="254"/>
      <c r="T553" s="346"/>
      <c r="U553" s="253"/>
      <c r="V553" s="253"/>
      <c r="W553" s="251"/>
      <c r="X553" s="131"/>
      <c r="Y553" s="251"/>
      <c r="Z553" s="251"/>
      <c r="AA553" s="251"/>
      <c r="AB553" s="255"/>
      <c r="AC553" s="256"/>
      <c r="AD553" s="121"/>
      <c r="AE553" s="80" t="str">
        <f t="shared" si="72"/>
        <v xml:space="preserve">Interessati percorso in azienda, tenete in sospeso gli 8 Master </v>
      </c>
      <c r="AF553" s="257"/>
      <c r="AG553" s="155"/>
      <c r="AH553" s="155"/>
      <c r="AI553" s="257"/>
      <c r="AJ553" s="155"/>
      <c r="AK553" s="155"/>
      <c r="AL553" s="155"/>
      <c r="AM553" s="257"/>
      <c r="AN553" s="258"/>
      <c r="AO553" s="258"/>
      <c r="AP553" s="258"/>
      <c r="AQ553" s="211"/>
      <c r="AR553" s="395" t="s">
        <v>165</v>
      </c>
      <c r="AS553" s="395" t="s">
        <v>165</v>
      </c>
      <c r="AT553" s="395" t="s">
        <v>165</v>
      </c>
      <c r="AU553" s="211"/>
      <c r="AV553" s="836"/>
      <c r="AW553" s="836"/>
      <c r="AX553" s="836"/>
      <c r="AY553" s="211"/>
      <c r="AZ553" s="836"/>
      <c r="BA553" s="836"/>
      <c r="BB553" s="836"/>
      <c r="BC553" s="211"/>
      <c r="BD553" s="836"/>
      <c r="BE553" s="836"/>
      <c r="BF553" s="836"/>
      <c r="BG553" s="211"/>
      <c r="BH553" s="808">
        <f t="shared" si="53"/>
        <v>0</v>
      </c>
      <c r="BI553" s="761">
        <f t="shared" si="54"/>
        <v>0</v>
      </c>
      <c r="BJ553" s="761">
        <f t="shared" si="55"/>
        <v>0</v>
      </c>
      <c r="BK553" s="262"/>
      <c r="BL553" s="242"/>
      <c r="BM553" s="203"/>
      <c r="BN553" s="821"/>
      <c r="BO553" s="821"/>
      <c r="BP553" s="827" t="s">
        <v>407</v>
      </c>
      <c r="BQ553" s="145">
        <v>0.15</v>
      </c>
      <c r="BR553" s="261"/>
      <c r="BS553" s="242"/>
      <c r="BT553" s="203"/>
      <c r="BU553" s="203"/>
      <c r="BV553" s="203"/>
      <c r="BW553" s="765"/>
      <c r="BX553" s="828" t="s">
        <v>407</v>
      </c>
      <c r="BY553" s="145">
        <v>0.05</v>
      </c>
      <c r="BZ553" s="262"/>
      <c r="CA553" s="242">
        <f t="shared" si="68"/>
        <v>0</v>
      </c>
      <c r="CB553" s="203">
        <f t="shared" si="73"/>
        <v>0</v>
      </c>
      <c r="CC553" s="203"/>
      <c r="CD553" s="203"/>
      <c r="CE553" s="765"/>
      <c r="CF553" s="110"/>
      <c r="CG553" s="226"/>
      <c r="CH553" s="110"/>
      <c r="CI553" s="110"/>
      <c r="CJ553" s="348"/>
      <c r="CK553" s="110"/>
      <c r="CL553" s="110"/>
      <c r="CM553" s="263"/>
      <c r="CN553" s="110"/>
      <c r="CO553" s="110"/>
      <c r="CP553" s="226"/>
      <c r="CQ553" s="110"/>
      <c r="CR553" s="110"/>
      <c r="CS553" s="226"/>
      <c r="CT553" s="110"/>
      <c r="CU553" s="155"/>
      <c r="CV553" s="181"/>
      <c r="CW553" s="438" t="s">
        <v>1387</v>
      </c>
      <c r="CX553" s="439" t="s">
        <v>976</v>
      </c>
      <c r="CY553" s="155"/>
      <c r="CZ553" s="155"/>
      <c r="DA553" s="131"/>
      <c r="DB553" s="819" t="s">
        <v>2813</v>
      </c>
      <c r="DC553" s="766">
        <f t="shared" si="74"/>
        <v>0</v>
      </c>
      <c r="DD553" s="820"/>
      <c r="DE553" s="820" t="b">
        <f t="shared" si="75"/>
        <v>0</v>
      </c>
      <c r="DF553" s="820" t="b">
        <f t="shared" si="76"/>
        <v>0</v>
      </c>
      <c r="DG553" s="729"/>
      <c r="DH553" s="799"/>
      <c r="DI553" s="729"/>
      <c r="DJ553" s="729"/>
      <c r="DK553" s="729"/>
      <c r="DL553" s="729"/>
      <c r="DM553" s="17"/>
      <c r="DN553" s="265"/>
      <c r="DO553" s="265"/>
      <c r="DP553" s="265"/>
      <c r="DQ553" s="265"/>
      <c r="DR553" s="265"/>
      <c r="DS553" s="265"/>
      <c r="DT553" s="265"/>
      <c r="DU553" s="265"/>
      <c r="DV553" s="265"/>
      <c r="DW553" s="265"/>
      <c r="DX553" s="265"/>
      <c r="DY553" s="265"/>
      <c r="DZ553" s="265"/>
    </row>
    <row r="554" spans="1:130" ht="30" hidden="1" customHeight="1" outlineLevel="1">
      <c r="A554" s="228"/>
      <c r="B554" s="816"/>
      <c r="C554" s="155">
        <f t="shared" si="77"/>
        <v>26</v>
      </c>
      <c r="D554" s="781"/>
      <c r="E554" s="781"/>
      <c r="F554" s="781"/>
      <c r="G554" s="830" t="s">
        <v>166</v>
      </c>
      <c r="H554" s="830" t="s">
        <v>2852</v>
      </c>
      <c r="I554" s="207" t="s">
        <v>2853</v>
      </c>
      <c r="J554" s="121" t="str">
        <f t="shared" si="52"/>
        <v>Matteo Canella</v>
      </c>
      <c r="K554" s="156" t="s">
        <v>2854</v>
      </c>
      <c r="L554" s="131"/>
      <c r="M554" s="131" t="s">
        <v>2855</v>
      </c>
      <c r="N554" s="131" t="str">
        <f t="shared" si="71"/>
        <v>INOXKING</v>
      </c>
      <c r="O554" s="250"/>
      <c r="P554" s="251"/>
      <c r="Q554" s="131"/>
      <c r="R554" s="252"/>
      <c r="S554" s="254"/>
      <c r="T554" s="346"/>
      <c r="U554" s="253"/>
      <c r="V554" s="253"/>
      <c r="W554" s="251"/>
      <c r="X554" s="131"/>
      <c r="Y554" s="251"/>
      <c r="Z554" s="251"/>
      <c r="AA554" s="251"/>
      <c r="AB554" s="255"/>
      <c r="AC554" s="256"/>
      <c r="AD554" s="121"/>
      <c r="AE554" s="80">
        <f t="shared" si="72"/>
        <v>0</v>
      </c>
      <c r="AF554" s="257"/>
      <c r="AG554" s="155"/>
      <c r="AH554" s="155"/>
      <c r="AI554" s="257"/>
      <c r="AJ554" s="155"/>
      <c r="AK554" s="155"/>
      <c r="AL554" s="155"/>
      <c r="AM554" s="257"/>
      <c r="AN554" s="258"/>
      <c r="AO554" s="258"/>
      <c r="AP554" s="258"/>
      <c r="AQ554" s="211"/>
      <c r="AR554" s="395" t="s">
        <v>165</v>
      </c>
      <c r="AS554" s="395" t="s">
        <v>165</v>
      </c>
      <c r="AT554" s="395" t="s">
        <v>165</v>
      </c>
      <c r="AU554" s="211"/>
      <c r="AV554" s="836"/>
      <c r="AW554" s="836"/>
      <c r="AX554" s="836"/>
      <c r="AY554" s="211"/>
      <c r="AZ554" s="836"/>
      <c r="BA554" s="836"/>
      <c r="BB554" s="836"/>
      <c r="BC554" s="211"/>
      <c r="BD554" s="836"/>
      <c r="BE554" s="836"/>
      <c r="BF554" s="836"/>
      <c r="BG554" s="211"/>
      <c r="BH554" s="808">
        <f t="shared" si="53"/>
        <v>0</v>
      </c>
      <c r="BI554" s="761">
        <f t="shared" si="54"/>
        <v>0</v>
      </c>
      <c r="BJ554" s="761">
        <f t="shared" si="55"/>
        <v>0</v>
      </c>
      <c r="BK554" s="262"/>
      <c r="BL554" s="242"/>
      <c r="BM554" s="203"/>
      <c r="BN554" s="821"/>
      <c r="BO554" s="821"/>
      <c r="BP554" s="392" t="s">
        <v>184</v>
      </c>
      <c r="BQ554" s="145">
        <v>0.05</v>
      </c>
      <c r="BR554" s="261"/>
      <c r="BS554" s="242"/>
      <c r="BT554" s="203"/>
      <c r="BU554" s="203"/>
      <c r="BV554" s="203"/>
      <c r="BW554" s="765"/>
      <c r="BX554" s="289" t="s">
        <v>184</v>
      </c>
      <c r="BY554" s="145">
        <v>0.05</v>
      </c>
      <c r="BZ554" s="262"/>
      <c r="CA554" s="242">
        <f t="shared" si="68"/>
        <v>0</v>
      </c>
      <c r="CB554" s="203">
        <f t="shared" si="73"/>
        <v>0</v>
      </c>
      <c r="CC554" s="203"/>
      <c r="CD554" s="203"/>
      <c r="CE554" s="765"/>
      <c r="CF554" s="110"/>
      <c r="CG554" s="226"/>
      <c r="CH554" s="110"/>
      <c r="CI554" s="110"/>
      <c r="CJ554" s="348"/>
      <c r="CK554" s="110"/>
      <c r="CL554" s="110"/>
      <c r="CM554" s="263"/>
      <c r="CN554" s="110"/>
      <c r="CO554" s="110"/>
      <c r="CP554" s="226"/>
      <c r="CQ554" s="110"/>
      <c r="CR554" s="110"/>
      <c r="CS554" s="226"/>
      <c r="CT554" s="110"/>
      <c r="CU554" s="155">
        <v>1</v>
      </c>
      <c r="CV554" s="181" t="s">
        <v>1123</v>
      </c>
      <c r="CW554" s="438" t="s">
        <v>1387</v>
      </c>
      <c r="CX554" s="439" t="s">
        <v>2689</v>
      </c>
      <c r="CY554" s="155"/>
      <c r="CZ554" s="155"/>
      <c r="DA554" s="131" t="s">
        <v>1220</v>
      </c>
      <c r="DB554" s="819" t="s">
        <v>1219</v>
      </c>
      <c r="DC554" s="766">
        <f t="shared" si="74"/>
        <v>0</v>
      </c>
      <c r="DD554" s="820"/>
      <c r="DE554" s="820" t="b">
        <f t="shared" si="75"/>
        <v>0</v>
      </c>
      <c r="DF554" s="820" t="b">
        <f t="shared" si="76"/>
        <v>0</v>
      </c>
      <c r="DG554" s="729"/>
      <c r="DH554" s="799"/>
      <c r="DI554" s="729"/>
      <c r="DJ554" s="729"/>
      <c r="DK554" s="729"/>
      <c r="DL554" s="729"/>
      <c r="DM554" s="17"/>
      <c r="DN554" s="265"/>
      <c r="DO554" s="265"/>
      <c r="DP554" s="265"/>
      <c r="DQ554" s="265"/>
      <c r="DR554" s="265"/>
      <c r="DS554" s="265"/>
      <c r="DT554" s="265"/>
      <c r="DU554" s="265"/>
      <c r="DV554" s="265"/>
      <c r="DW554" s="265"/>
      <c r="DX554" s="265"/>
      <c r="DY554" s="265"/>
      <c r="DZ554" s="265"/>
    </row>
    <row r="555" spans="1:130" ht="30" hidden="1" customHeight="1" outlineLevel="1">
      <c r="A555" s="228"/>
      <c r="B555" s="816"/>
      <c r="C555" s="155">
        <f t="shared" si="77"/>
        <v>27</v>
      </c>
      <c r="D555" s="781"/>
      <c r="E555" s="781"/>
      <c r="F555" s="781"/>
      <c r="G555" s="830" t="s">
        <v>166</v>
      </c>
      <c r="H555" s="830" t="s">
        <v>788</v>
      </c>
      <c r="I555" s="207"/>
      <c r="J555" s="121" t="str">
        <f t="shared" si="52"/>
        <v>Matteo Perrone</v>
      </c>
      <c r="K555" s="156"/>
      <c r="L555" s="131"/>
      <c r="M555" s="131"/>
      <c r="N555" s="131">
        <f t="shared" si="71"/>
        <v>0</v>
      </c>
      <c r="O555" s="250"/>
      <c r="P555" s="251"/>
      <c r="Q555" s="131"/>
      <c r="R555" s="252"/>
      <c r="S555" s="254"/>
      <c r="T555" s="346"/>
      <c r="U555" s="253"/>
      <c r="V555" s="253"/>
      <c r="W555" s="251"/>
      <c r="X555" s="131"/>
      <c r="Y555" s="251"/>
      <c r="Z555" s="251"/>
      <c r="AA555" s="251"/>
      <c r="AB555" s="255"/>
      <c r="AC555" s="256"/>
      <c r="AD555" s="121"/>
      <c r="AE555" s="80">
        <f t="shared" si="72"/>
        <v>0</v>
      </c>
      <c r="AF555" s="257"/>
      <c r="AG555" s="155"/>
      <c r="AH555" s="155"/>
      <c r="AI555" s="257"/>
      <c r="AJ555" s="155"/>
      <c r="AK555" s="155"/>
      <c r="AL555" s="155"/>
      <c r="AM555" s="257"/>
      <c r="AN555" s="258"/>
      <c r="AO555" s="258"/>
      <c r="AP555" s="258"/>
      <c r="AQ555" s="211"/>
      <c r="AR555" s="395" t="s">
        <v>165</v>
      </c>
      <c r="AS555" s="395" t="s">
        <v>165</v>
      </c>
      <c r="AT555" s="395" t="s">
        <v>165</v>
      </c>
      <c r="AU555" s="211"/>
      <c r="AV555" s="259"/>
      <c r="AW555" s="259"/>
      <c r="AX555" s="259"/>
      <c r="AY555" s="211"/>
      <c r="AZ555" s="259"/>
      <c r="BA555" s="259"/>
      <c r="BB555" s="259"/>
      <c r="BC555" s="211"/>
      <c r="BD555" s="259"/>
      <c r="BE555" s="259"/>
      <c r="BF555" s="259"/>
      <c r="BG555" s="211"/>
      <c r="BH555" s="808">
        <f t="shared" si="53"/>
        <v>0</v>
      </c>
      <c r="BI555" s="761">
        <f t="shared" si="54"/>
        <v>0</v>
      </c>
      <c r="BJ555" s="761">
        <f t="shared" si="55"/>
        <v>0</v>
      </c>
      <c r="BK555" s="262"/>
      <c r="BL555" s="242"/>
      <c r="BM555" s="203"/>
      <c r="BN555" s="821"/>
      <c r="BO555" s="821"/>
      <c r="BP555" s="161"/>
      <c r="BQ555" s="145"/>
      <c r="BR555" s="261"/>
      <c r="BS555" s="242"/>
      <c r="BT555" s="203"/>
      <c r="BU555" s="203"/>
      <c r="BV555" s="203"/>
      <c r="BW555" s="765"/>
      <c r="BX555" s="131"/>
      <c r="BY555" s="145">
        <v>0.05</v>
      </c>
      <c r="BZ555" s="262"/>
      <c r="CA555" s="242">
        <f t="shared" si="68"/>
        <v>0</v>
      </c>
      <c r="CB555" s="203">
        <f t="shared" si="73"/>
        <v>0</v>
      </c>
      <c r="CC555" s="203"/>
      <c r="CD555" s="203"/>
      <c r="CE555" s="765"/>
      <c r="CF555" s="110"/>
      <c r="CG555" s="226"/>
      <c r="CH555" s="110"/>
      <c r="CI555" s="110"/>
      <c r="CJ555" s="348"/>
      <c r="CK555" s="110"/>
      <c r="CL555" s="110"/>
      <c r="CM555" s="263"/>
      <c r="CN555" s="110"/>
      <c r="CO555" s="110"/>
      <c r="CP555" s="226"/>
      <c r="CQ555" s="110"/>
      <c r="CR555" s="110"/>
      <c r="CS555" s="226"/>
      <c r="CT555" s="110"/>
      <c r="CU555" s="155"/>
      <c r="CV555" s="181"/>
      <c r="CW555" s="438" t="s">
        <v>1387</v>
      </c>
      <c r="CX555" s="439" t="s">
        <v>2856</v>
      </c>
      <c r="CY555" s="155"/>
      <c r="CZ555" s="155"/>
      <c r="DA555" s="131"/>
      <c r="DB555" s="819"/>
      <c r="DC555" s="766">
        <f t="shared" si="74"/>
        <v>0</v>
      </c>
      <c r="DD555" s="242"/>
      <c r="DE555" s="242"/>
      <c r="DF555" s="242"/>
      <c r="DG555" s="729"/>
      <c r="DH555" s="799"/>
      <c r="DI555" s="729"/>
      <c r="DJ555" s="729"/>
      <c r="DK555" s="729"/>
      <c r="DL555" s="729"/>
      <c r="DM555" s="4"/>
      <c r="DN555" s="265"/>
      <c r="DO555" s="265"/>
      <c r="DP555" s="265"/>
      <c r="DQ555" s="265"/>
      <c r="DR555" s="265"/>
      <c r="DS555" s="265"/>
      <c r="DT555" s="265"/>
      <c r="DU555" s="265"/>
      <c r="DV555" s="265"/>
      <c r="DW555" s="265"/>
      <c r="DX555" s="265"/>
      <c r="DY555" s="265"/>
      <c r="DZ555" s="265"/>
    </row>
    <row r="556" spans="1:130" ht="30" hidden="1" customHeight="1" outlineLevel="1">
      <c r="A556" s="228"/>
      <c r="B556" s="816"/>
      <c r="C556" s="155">
        <f t="shared" si="77"/>
        <v>28</v>
      </c>
      <c r="D556" s="781"/>
      <c r="E556" s="781"/>
      <c r="F556" s="781"/>
      <c r="G556" s="830" t="s">
        <v>2857</v>
      </c>
      <c r="H556" s="830" t="s">
        <v>2858</v>
      </c>
      <c r="I556" s="207" t="s">
        <v>2859</v>
      </c>
      <c r="J556" s="121" t="str">
        <f t="shared" si="52"/>
        <v>Mattia Giulio Odone</v>
      </c>
      <c r="K556" s="156" t="s">
        <v>2860</v>
      </c>
      <c r="L556" s="131"/>
      <c r="M556" s="131" t="s">
        <v>719</v>
      </c>
      <c r="N556" s="131" t="str">
        <f t="shared" si="71"/>
        <v>Nt Majocchi</v>
      </c>
      <c r="O556" s="250"/>
      <c r="P556" s="251"/>
      <c r="Q556" s="131"/>
      <c r="R556" s="252"/>
      <c r="S556" s="254"/>
      <c r="T556" s="346"/>
      <c r="U556" s="253"/>
      <c r="V556" s="253"/>
      <c r="W556" s="251"/>
      <c r="X556" s="131"/>
      <c r="Y556" s="251"/>
      <c r="Z556" s="251"/>
      <c r="AA556" s="251"/>
      <c r="AB556" s="255"/>
      <c r="AC556" s="256"/>
      <c r="AD556" s="121"/>
      <c r="AE556" s="80">
        <f t="shared" si="72"/>
        <v>0</v>
      </c>
      <c r="AF556" s="257"/>
      <c r="AG556" s="155"/>
      <c r="AH556" s="155"/>
      <c r="AI556" s="257"/>
      <c r="AJ556" s="155"/>
      <c r="AK556" s="155"/>
      <c r="AL556" s="155"/>
      <c r="AM556" s="257"/>
      <c r="AN556" s="258"/>
      <c r="AO556" s="258"/>
      <c r="AP556" s="258"/>
      <c r="AQ556" s="211"/>
      <c r="AR556" s="565" t="s">
        <v>165</v>
      </c>
      <c r="AS556" s="565" t="s">
        <v>165</v>
      </c>
      <c r="AT556" s="565" t="s">
        <v>165</v>
      </c>
      <c r="AU556" s="211"/>
      <c r="AV556" s="259"/>
      <c r="AW556" s="259"/>
      <c r="AX556" s="259"/>
      <c r="AY556" s="211"/>
      <c r="AZ556" s="259"/>
      <c r="BA556" s="259"/>
      <c r="BB556" s="259"/>
      <c r="BC556" s="211"/>
      <c r="BD556" s="259"/>
      <c r="BE556" s="259"/>
      <c r="BF556" s="259"/>
      <c r="BG556" s="211"/>
      <c r="BH556" s="808">
        <f t="shared" si="53"/>
        <v>0</v>
      </c>
      <c r="BI556" s="761">
        <f t="shared" si="54"/>
        <v>0</v>
      </c>
      <c r="BJ556" s="761">
        <f t="shared" si="55"/>
        <v>0</v>
      </c>
      <c r="BK556" s="262"/>
      <c r="BL556" s="824">
        <f t="shared" ref="BL556:BL557" si="87">BH556</f>
        <v>0</v>
      </c>
      <c r="BM556" s="203"/>
      <c r="BN556" s="818"/>
      <c r="BO556" s="818"/>
      <c r="BP556" s="363" t="s">
        <v>117</v>
      </c>
      <c r="BQ556" s="98">
        <v>0</v>
      </c>
      <c r="BR556" s="261"/>
      <c r="BS556" s="242">
        <f t="shared" ref="BS556:BS557" si="88">BL556*BQ556</f>
        <v>0</v>
      </c>
      <c r="BT556" s="373">
        <f t="shared" ref="BT556:BT557" si="89">BM556*BQ556</f>
        <v>0</v>
      </c>
      <c r="BU556" s="373"/>
      <c r="BV556" s="373"/>
      <c r="BW556" s="784" t="s">
        <v>118</v>
      </c>
      <c r="BX556" s="828" t="s">
        <v>152</v>
      </c>
      <c r="BY556" s="145">
        <v>0.05</v>
      </c>
      <c r="BZ556" s="262"/>
      <c r="CA556" s="242">
        <f t="shared" si="68"/>
        <v>0</v>
      </c>
      <c r="CB556" s="203">
        <f t="shared" si="73"/>
        <v>0</v>
      </c>
      <c r="CC556" s="203"/>
      <c r="CD556" s="203"/>
      <c r="CE556" s="765"/>
      <c r="CF556" s="110"/>
      <c r="CG556" s="226"/>
      <c r="CH556" s="110"/>
      <c r="CI556" s="110"/>
      <c r="CJ556" s="348"/>
      <c r="CK556" s="110"/>
      <c r="CL556" s="110"/>
      <c r="CM556" s="263"/>
      <c r="CN556" s="110"/>
      <c r="CO556" s="110"/>
      <c r="CP556" s="226"/>
      <c r="CQ556" s="110"/>
      <c r="CR556" s="110"/>
      <c r="CS556" s="226"/>
      <c r="CT556" s="110"/>
      <c r="CU556" s="155">
        <v>1</v>
      </c>
      <c r="CV556" s="181" t="s">
        <v>1123</v>
      </c>
      <c r="CW556" s="491" t="s">
        <v>2086</v>
      </c>
      <c r="CX556" s="492" t="s">
        <v>2861</v>
      </c>
      <c r="CY556" s="155"/>
      <c r="CZ556" s="155"/>
      <c r="DA556" s="131"/>
      <c r="DB556" s="819" t="s">
        <v>2862</v>
      </c>
      <c r="DC556" s="766">
        <f t="shared" si="74"/>
        <v>0</v>
      </c>
      <c r="DD556" s="820"/>
      <c r="DE556" s="820" t="b">
        <f t="shared" ref="DE556:DE565" si="90">IF(OR(D556&gt;0,E556&gt;0,F556&gt;0),IF(BJ556=0,BL556*BQ556,0))</f>
        <v>0</v>
      </c>
      <c r="DF556" s="820" t="b">
        <f t="shared" ref="DF556:DF565" si="91">IF(OR(D556&gt;0,E556&gt;0,F556&gt;0),IF(BJ556=0,BL556*BY556,0))</f>
        <v>0</v>
      </c>
      <c r="DG556" s="729"/>
      <c r="DH556" s="799"/>
      <c r="DI556" s="729"/>
      <c r="DJ556" s="729"/>
      <c r="DK556" s="729"/>
      <c r="DL556" s="729"/>
      <c r="DM556" s="17"/>
      <c r="DN556" s="265"/>
      <c r="DO556" s="265"/>
      <c r="DP556" s="265"/>
      <c r="DQ556" s="265"/>
      <c r="DR556" s="265"/>
      <c r="DS556" s="265"/>
      <c r="DT556" s="265"/>
      <c r="DU556" s="265"/>
      <c r="DV556" s="265"/>
      <c r="DW556" s="265"/>
      <c r="DX556" s="265"/>
      <c r="DY556" s="265"/>
      <c r="DZ556" s="265"/>
    </row>
    <row r="557" spans="1:130" ht="30" hidden="1" customHeight="1" outlineLevel="1">
      <c r="A557" s="228"/>
      <c r="B557" s="816"/>
      <c r="C557" s="155">
        <f t="shared" si="77"/>
        <v>29</v>
      </c>
      <c r="D557" s="781"/>
      <c r="E557" s="781"/>
      <c r="F557" s="781"/>
      <c r="G557" s="830" t="s">
        <v>730</v>
      </c>
      <c r="H557" s="830" t="s">
        <v>2863</v>
      </c>
      <c r="I557" s="207" t="s">
        <v>2864</v>
      </c>
      <c r="J557" s="121" t="str">
        <f t="shared" si="52"/>
        <v>Mauro Pagani</v>
      </c>
      <c r="K557" s="156">
        <v>3355362327</v>
      </c>
      <c r="L557" s="204" t="s">
        <v>2741</v>
      </c>
      <c r="M557" s="131" t="s">
        <v>1148</v>
      </c>
      <c r="N557" s="131" t="str">
        <f t="shared" si="71"/>
        <v>Aere</v>
      </c>
      <c r="O557" s="250"/>
      <c r="P557" s="251"/>
      <c r="Q557" s="131"/>
      <c r="R557" s="252"/>
      <c r="S557" s="254"/>
      <c r="T557" s="346"/>
      <c r="U557" s="253"/>
      <c r="V557" s="253"/>
      <c r="W557" s="251"/>
      <c r="X557" s="131"/>
      <c r="Y557" s="251"/>
      <c r="Z557" s="251"/>
      <c r="AA557" s="251"/>
      <c r="AB557" s="255"/>
      <c r="AC557" s="256"/>
      <c r="AD557" s="121"/>
      <c r="AE557" s="80" t="str">
        <f t="shared" si="72"/>
        <v>Appuntamento 14.10 in azienda per Aiutarli</v>
      </c>
      <c r="AF557" s="257"/>
      <c r="AG557" s="155"/>
      <c r="AH557" s="155"/>
      <c r="AI557" s="257"/>
      <c r="AJ557" s="155"/>
      <c r="AK557" s="155"/>
      <c r="AL557" s="155"/>
      <c r="AM557" s="257"/>
      <c r="AN557" s="258"/>
      <c r="AO557" s="258"/>
      <c r="AP557" s="258"/>
      <c r="AQ557" s="211"/>
      <c r="AR557" s="565" t="s">
        <v>165</v>
      </c>
      <c r="AS557" s="565" t="s">
        <v>165</v>
      </c>
      <c r="AT557" s="565" t="s">
        <v>165</v>
      </c>
      <c r="AU557" s="211"/>
      <c r="AV557" s="259"/>
      <c r="AW557" s="259"/>
      <c r="AX557" s="259"/>
      <c r="AY557" s="211"/>
      <c r="AZ557" s="259"/>
      <c r="BA557" s="259"/>
      <c r="BB557" s="259"/>
      <c r="BC557" s="211"/>
      <c r="BD557" s="259"/>
      <c r="BE557" s="259"/>
      <c r="BF557" s="259"/>
      <c r="BG557" s="211"/>
      <c r="BH557" s="808">
        <f t="shared" si="53"/>
        <v>0</v>
      </c>
      <c r="BI557" s="761">
        <f t="shared" si="54"/>
        <v>0</v>
      </c>
      <c r="BJ557" s="761">
        <f t="shared" si="55"/>
        <v>0</v>
      </c>
      <c r="BK557" s="262"/>
      <c r="BL557" s="824">
        <f t="shared" si="87"/>
        <v>0</v>
      </c>
      <c r="BM557" s="203"/>
      <c r="BN557" s="821"/>
      <c r="BO557" s="821"/>
      <c r="BP557" s="105" t="s">
        <v>117</v>
      </c>
      <c r="BQ557" s="98">
        <v>0</v>
      </c>
      <c r="BR557" s="261"/>
      <c r="BS557" s="242">
        <f t="shared" si="88"/>
        <v>0</v>
      </c>
      <c r="BT557" s="373">
        <f t="shared" si="89"/>
        <v>0</v>
      </c>
      <c r="BU557" s="373"/>
      <c r="BV557" s="373"/>
      <c r="BW557" s="784" t="s">
        <v>118</v>
      </c>
      <c r="BX557" s="825" t="s">
        <v>152</v>
      </c>
      <c r="BY557" s="145">
        <v>0.05</v>
      </c>
      <c r="BZ557" s="262"/>
      <c r="CA557" s="242">
        <f t="shared" si="68"/>
        <v>0</v>
      </c>
      <c r="CB557" s="203">
        <f t="shared" si="73"/>
        <v>0</v>
      </c>
      <c r="CC557" s="203"/>
      <c r="CD557" s="203"/>
      <c r="CE557" s="765"/>
      <c r="CF557" s="110"/>
      <c r="CG557" s="226"/>
      <c r="CH557" s="110"/>
      <c r="CI557" s="110"/>
      <c r="CJ557" s="348"/>
      <c r="CK557" s="110"/>
      <c r="CL557" s="110"/>
      <c r="CM557" s="263"/>
      <c r="CN557" s="110"/>
      <c r="CO557" s="110"/>
      <c r="CP557" s="226"/>
      <c r="CQ557" s="110"/>
      <c r="CR557" s="110"/>
      <c r="CS557" s="226"/>
      <c r="CT557" s="110"/>
      <c r="CU557" s="155">
        <v>1</v>
      </c>
      <c r="CV557" s="181" t="s">
        <v>1123</v>
      </c>
      <c r="CW557" s="438" t="s">
        <v>1387</v>
      </c>
      <c r="CX557" s="439"/>
      <c r="CY557" s="155"/>
      <c r="CZ557" s="155"/>
      <c r="DA557" s="131" t="s">
        <v>2745</v>
      </c>
      <c r="DB557" s="819" t="s">
        <v>2746</v>
      </c>
      <c r="DC557" s="766">
        <f t="shared" si="74"/>
        <v>0</v>
      </c>
      <c r="DD557" s="820"/>
      <c r="DE557" s="820" t="b">
        <f t="shared" si="90"/>
        <v>0</v>
      </c>
      <c r="DF557" s="820" t="b">
        <f t="shared" si="91"/>
        <v>0</v>
      </c>
      <c r="DG557" s="729"/>
      <c r="DH557" s="799"/>
      <c r="DI557" s="729"/>
      <c r="DJ557" s="729"/>
      <c r="DK557" s="729"/>
      <c r="DL557" s="729"/>
      <c r="DM557" s="17"/>
      <c r="DN557" s="265"/>
      <c r="DO557" s="265"/>
      <c r="DP557" s="265"/>
      <c r="DQ557" s="265"/>
      <c r="DR557" s="265"/>
      <c r="DS557" s="265"/>
      <c r="DT557" s="265"/>
      <c r="DU557" s="265"/>
      <c r="DV557" s="265"/>
      <c r="DW557" s="265"/>
      <c r="DX557" s="265"/>
      <c r="DY557" s="265"/>
      <c r="DZ557" s="265"/>
    </row>
    <row r="558" spans="1:130" ht="30" hidden="1" customHeight="1" outlineLevel="1">
      <c r="A558" s="228"/>
      <c r="B558" s="831"/>
      <c r="C558" s="155">
        <f t="shared" si="77"/>
        <v>30</v>
      </c>
      <c r="D558" s="781"/>
      <c r="E558" s="781"/>
      <c r="F558" s="781"/>
      <c r="G558" s="830" t="s">
        <v>769</v>
      </c>
      <c r="H558" s="830" t="s">
        <v>2865</v>
      </c>
      <c r="I558" s="207" t="s">
        <v>2866</v>
      </c>
      <c r="J558" s="121" t="str">
        <f t="shared" si="52"/>
        <v>Paolo Pucci</v>
      </c>
      <c r="K558" s="156" t="s">
        <v>2867</v>
      </c>
      <c r="L558" s="204" t="s">
        <v>2792</v>
      </c>
      <c r="M558" s="131" t="s">
        <v>2868</v>
      </c>
      <c r="N558" s="131" t="str">
        <f t="shared" si="71"/>
        <v>Tentamus Agriparadigma</v>
      </c>
      <c r="O558" s="250"/>
      <c r="P558" s="251"/>
      <c r="Q558" s="131"/>
      <c r="R558" s="252"/>
      <c r="S558" s="254"/>
      <c r="T558" s="346"/>
      <c r="U558" s="253"/>
      <c r="V558" s="253"/>
      <c r="W558" s="251"/>
      <c r="X558" s="131"/>
      <c r="Y558" s="251"/>
      <c r="Z558" s="251"/>
      <c r="AA558" s="251"/>
      <c r="AB558" s="255"/>
      <c r="AC558" s="256"/>
      <c r="AD558" s="121"/>
      <c r="AE558" s="80" t="str">
        <f t="shared" si="72"/>
        <v xml:space="preserve">Interessati percorso in azienda, tenete in sospeso gli 8 Master </v>
      </c>
      <c r="AF558" s="257"/>
      <c r="AG558" s="155"/>
      <c r="AH558" s="155"/>
      <c r="AI558" s="257"/>
      <c r="AJ558" s="155"/>
      <c r="AK558" s="155"/>
      <c r="AL558" s="155"/>
      <c r="AM558" s="257"/>
      <c r="AN558" s="258"/>
      <c r="AO558" s="258"/>
      <c r="AP558" s="258"/>
      <c r="AQ558" s="211"/>
      <c r="AR558" s="154" t="s">
        <v>165</v>
      </c>
      <c r="AS558" s="154" t="s">
        <v>165</v>
      </c>
      <c r="AT558" s="154" t="s">
        <v>165</v>
      </c>
      <c r="AU558" s="211"/>
      <c r="AV558" s="121"/>
      <c r="AW558" s="121"/>
      <c r="AX558" s="121"/>
      <c r="AY558" s="211"/>
      <c r="AZ558" s="121"/>
      <c r="BA558" s="121"/>
      <c r="BB558" s="121"/>
      <c r="BC558" s="211"/>
      <c r="BD558" s="121"/>
      <c r="BE558" s="121"/>
      <c r="BF558" s="121"/>
      <c r="BG558" s="211"/>
      <c r="BH558" s="808">
        <f t="shared" si="53"/>
        <v>0</v>
      </c>
      <c r="BI558" s="761">
        <f t="shared" si="54"/>
        <v>0</v>
      </c>
      <c r="BJ558" s="761">
        <f t="shared" si="55"/>
        <v>0</v>
      </c>
      <c r="BK558" s="262"/>
      <c r="BL558" s="242"/>
      <c r="BM558" s="203"/>
      <c r="BN558" s="821"/>
      <c r="BO558" s="821"/>
      <c r="BP558" s="392" t="s">
        <v>407</v>
      </c>
      <c r="BQ558" s="145">
        <v>0.15</v>
      </c>
      <c r="BR558" s="262"/>
      <c r="BS558" s="242"/>
      <c r="BT558" s="203"/>
      <c r="BU558" s="373"/>
      <c r="BV558" s="373"/>
      <c r="BW558" s="774"/>
      <c r="BX558" s="289" t="s">
        <v>407</v>
      </c>
      <c r="BY558" s="145">
        <v>0.05</v>
      </c>
      <c r="BZ558" s="262"/>
      <c r="CA558" s="242">
        <f t="shared" si="68"/>
        <v>0</v>
      </c>
      <c r="CB558" s="203">
        <f t="shared" si="73"/>
        <v>0</v>
      </c>
      <c r="CC558" s="203"/>
      <c r="CD558" s="203"/>
      <c r="CE558" s="765"/>
      <c r="CF558" s="110"/>
      <c r="CG558" s="226"/>
      <c r="CH558" s="110"/>
      <c r="CI558" s="110"/>
      <c r="CJ558" s="348"/>
      <c r="CK558" s="110"/>
      <c r="CL558" s="110"/>
      <c r="CM558" s="263"/>
      <c r="CN558" s="110"/>
      <c r="CO558" s="110"/>
      <c r="CP558" s="226"/>
      <c r="CQ558" s="110"/>
      <c r="CR558" s="110"/>
      <c r="CS558" s="226"/>
      <c r="CT558" s="110"/>
      <c r="CU558" s="155"/>
      <c r="CV558" s="181"/>
      <c r="CW558" s="491"/>
      <c r="CX558" s="492" t="s">
        <v>2869</v>
      </c>
      <c r="CY558" s="155"/>
      <c r="CZ558" s="155"/>
      <c r="DA558" s="131"/>
      <c r="DB558" s="819" t="s">
        <v>2794</v>
      </c>
      <c r="DC558" s="766">
        <f t="shared" si="74"/>
        <v>0</v>
      </c>
      <c r="DD558" s="820"/>
      <c r="DE558" s="820" t="b">
        <f t="shared" si="90"/>
        <v>0</v>
      </c>
      <c r="DF558" s="820" t="b">
        <f t="shared" si="91"/>
        <v>0</v>
      </c>
      <c r="DG558" s="729"/>
      <c r="DH558" s="799"/>
      <c r="DI558" s="729"/>
      <c r="DJ558" s="729"/>
      <c r="DK558" s="729"/>
      <c r="DL558" s="729"/>
      <c r="DM558" s="17"/>
      <c r="DN558" s="265"/>
      <c r="DO558" s="265"/>
      <c r="DP558" s="265"/>
      <c r="DQ558" s="265"/>
      <c r="DR558" s="265"/>
      <c r="DS558" s="265"/>
      <c r="DT558" s="265"/>
      <c r="DU558" s="265"/>
      <c r="DV558" s="265"/>
      <c r="DW558" s="265"/>
      <c r="DX558" s="265"/>
      <c r="DY558" s="265"/>
      <c r="DZ558" s="265"/>
    </row>
    <row r="559" spans="1:130" ht="30" hidden="1" customHeight="1" outlineLevel="1">
      <c r="A559" s="228"/>
      <c r="B559" s="816"/>
      <c r="C559" s="155">
        <f t="shared" si="77"/>
        <v>31</v>
      </c>
      <c r="D559" s="781"/>
      <c r="E559" s="781"/>
      <c r="F559" s="781"/>
      <c r="G559" s="830" t="s">
        <v>822</v>
      </c>
      <c r="H559" s="830" t="s">
        <v>2870</v>
      </c>
      <c r="I559" s="207" t="s">
        <v>2871</v>
      </c>
      <c r="J559" s="121" t="str">
        <f t="shared" si="52"/>
        <v>Roberto Pegurri</v>
      </c>
      <c r="K559" s="156" t="s">
        <v>2872</v>
      </c>
      <c r="L559" s="204" t="s">
        <v>2741</v>
      </c>
      <c r="M559" s="131" t="s">
        <v>2873</v>
      </c>
      <c r="N559" s="131" t="str">
        <f t="shared" si="71"/>
        <v>Aere</v>
      </c>
      <c r="O559" s="250"/>
      <c r="P559" s="251"/>
      <c r="Q559" s="131"/>
      <c r="R559" s="252"/>
      <c r="S559" s="254"/>
      <c r="T559" s="346"/>
      <c r="U559" s="253"/>
      <c r="V559" s="253"/>
      <c r="W559" s="251"/>
      <c r="X559" s="131"/>
      <c r="Y559" s="251"/>
      <c r="Z559" s="251"/>
      <c r="AA559" s="251"/>
      <c r="AB559" s="255"/>
      <c r="AC559" s="256"/>
      <c r="AD559" s="121"/>
      <c r="AE559" s="80" t="str">
        <f t="shared" si="72"/>
        <v>Appuntamento 14.10 in azienda per Aiutarli</v>
      </c>
      <c r="AF559" s="257"/>
      <c r="AG559" s="155"/>
      <c r="AH559" s="155"/>
      <c r="AI559" s="257"/>
      <c r="AJ559" s="155"/>
      <c r="AK559" s="155"/>
      <c r="AL559" s="155"/>
      <c r="AM559" s="257"/>
      <c r="AN559" s="258"/>
      <c r="AO559" s="258"/>
      <c r="AP559" s="258"/>
      <c r="AQ559" s="211"/>
      <c r="AR559" s="565" t="s">
        <v>165</v>
      </c>
      <c r="AS559" s="565" t="s">
        <v>165</v>
      </c>
      <c r="AT559" s="565" t="s">
        <v>165</v>
      </c>
      <c r="AU559" s="211"/>
      <c r="AV559" s="121"/>
      <c r="AW559" s="121"/>
      <c r="AX559" s="121"/>
      <c r="AY559" s="211"/>
      <c r="AZ559" s="121"/>
      <c r="BA559" s="121"/>
      <c r="BB559" s="121"/>
      <c r="BC559" s="211"/>
      <c r="BD559" s="121"/>
      <c r="BE559" s="121"/>
      <c r="BF559" s="121"/>
      <c r="BG559" s="211"/>
      <c r="BH559" s="808">
        <f t="shared" si="53"/>
        <v>0</v>
      </c>
      <c r="BI559" s="761">
        <f t="shared" si="54"/>
        <v>0</v>
      </c>
      <c r="BJ559" s="761">
        <f t="shared" si="55"/>
        <v>0</v>
      </c>
      <c r="BK559" s="262"/>
      <c r="BL559" s="824">
        <f>BH559</f>
        <v>0</v>
      </c>
      <c r="BM559" s="203"/>
      <c r="BN559" s="818"/>
      <c r="BO559" s="818"/>
      <c r="BP559" s="380" t="s">
        <v>117</v>
      </c>
      <c r="BQ559" s="98">
        <v>0</v>
      </c>
      <c r="BR559" s="262"/>
      <c r="BS559" s="242">
        <f>BL559*BQ559</f>
        <v>0</v>
      </c>
      <c r="BT559" s="373">
        <f>BM559*BQ559</f>
        <v>0</v>
      </c>
      <c r="BU559" s="373"/>
      <c r="BV559" s="373"/>
      <c r="BW559" s="784" t="s">
        <v>118</v>
      </c>
      <c r="BX559" s="825" t="s">
        <v>152</v>
      </c>
      <c r="BY559" s="145">
        <v>0.05</v>
      </c>
      <c r="BZ559" s="262"/>
      <c r="CA559" s="242">
        <f t="shared" si="68"/>
        <v>0</v>
      </c>
      <c r="CB559" s="203">
        <f t="shared" si="73"/>
        <v>0</v>
      </c>
      <c r="CC559" s="203"/>
      <c r="CD559" s="203"/>
      <c r="CE559" s="765"/>
      <c r="CF559" s="110"/>
      <c r="CG559" s="226"/>
      <c r="CH559" s="110"/>
      <c r="CI559" s="110"/>
      <c r="CJ559" s="348"/>
      <c r="CK559" s="110"/>
      <c r="CL559" s="110"/>
      <c r="CM559" s="263"/>
      <c r="CN559" s="110"/>
      <c r="CO559" s="110"/>
      <c r="CP559" s="226"/>
      <c r="CQ559" s="110"/>
      <c r="CR559" s="110"/>
      <c r="CS559" s="226"/>
      <c r="CT559" s="110"/>
      <c r="CU559" s="155">
        <v>1</v>
      </c>
      <c r="CV559" s="181" t="s">
        <v>1123</v>
      </c>
      <c r="CW559" s="438"/>
      <c r="CX559" s="439"/>
      <c r="CY559" s="155"/>
      <c r="CZ559" s="155"/>
      <c r="DA559" s="131" t="s">
        <v>2745</v>
      </c>
      <c r="DB559" s="819" t="s">
        <v>2746</v>
      </c>
      <c r="DC559" s="766">
        <f t="shared" si="74"/>
        <v>0</v>
      </c>
      <c r="DD559" s="820"/>
      <c r="DE559" s="820" t="b">
        <f t="shared" si="90"/>
        <v>0</v>
      </c>
      <c r="DF559" s="820" t="b">
        <f t="shared" si="91"/>
        <v>0</v>
      </c>
      <c r="DG559" s="729"/>
      <c r="DH559" s="799"/>
      <c r="DI559" s="729"/>
      <c r="DJ559" s="729"/>
      <c r="DK559" s="729"/>
      <c r="DL559" s="729"/>
      <c r="DM559" s="17"/>
      <c r="DN559" s="265"/>
      <c r="DO559" s="265"/>
      <c r="DP559" s="265"/>
      <c r="DQ559" s="265"/>
      <c r="DR559" s="265"/>
      <c r="DS559" s="265"/>
      <c r="DT559" s="265"/>
      <c r="DU559" s="265"/>
      <c r="DV559" s="265"/>
      <c r="DW559" s="265"/>
      <c r="DX559" s="265"/>
      <c r="DY559" s="265"/>
      <c r="DZ559" s="265"/>
    </row>
    <row r="560" spans="1:130" ht="30" hidden="1" customHeight="1" outlineLevel="1">
      <c r="A560" s="228"/>
      <c r="B560" s="816"/>
      <c r="C560" s="155">
        <f t="shared" si="77"/>
        <v>32</v>
      </c>
      <c r="D560" s="781"/>
      <c r="E560" s="781"/>
      <c r="F560" s="781"/>
      <c r="G560" s="830" t="s">
        <v>1299</v>
      </c>
      <c r="H560" s="830" t="s">
        <v>2874</v>
      </c>
      <c r="I560" s="207" t="s">
        <v>2875</v>
      </c>
      <c r="J560" s="121" t="str">
        <f t="shared" si="52"/>
        <v>Samuele Trezza</v>
      </c>
      <c r="K560" s="156" t="s">
        <v>2876</v>
      </c>
      <c r="L560" s="131"/>
      <c r="M560" s="131" t="s">
        <v>2877</v>
      </c>
      <c r="N560" s="131" t="str">
        <f t="shared" si="71"/>
        <v>ELLETRE - ENGEL &amp; VOELKERS</v>
      </c>
      <c r="O560" s="250"/>
      <c r="P560" s="251"/>
      <c r="Q560" s="131"/>
      <c r="R560" s="252"/>
      <c r="S560" s="254"/>
      <c r="T560" s="346"/>
      <c r="U560" s="253"/>
      <c r="V560" s="253"/>
      <c r="W560" s="251"/>
      <c r="X560" s="131"/>
      <c r="Y560" s="251"/>
      <c r="Z560" s="251"/>
      <c r="AA560" s="251"/>
      <c r="AB560" s="255"/>
      <c r="AC560" s="256"/>
      <c r="AD560" s="121"/>
      <c r="AE560" s="80">
        <f t="shared" si="72"/>
        <v>0</v>
      </c>
      <c r="AF560" s="257"/>
      <c r="AG560" s="155"/>
      <c r="AH560" s="155"/>
      <c r="AI560" s="257"/>
      <c r="AJ560" s="155"/>
      <c r="AK560" s="155"/>
      <c r="AL560" s="155"/>
      <c r="AM560" s="257"/>
      <c r="AN560" s="258"/>
      <c r="AO560" s="258"/>
      <c r="AP560" s="258"/>
      <c r="AQ560" s="211"/>
      <c r="AR560" s="154" t="s">
        <v>165</v>
      </c>
      <c r="AS560" s="154" t="s">
        <v>165</v>
      </c>
      <c r="AT560" s="154" t="s">
        <v>165</v>
      </c>
      <c r="AU560" s="211"/>
      <c r="AV560" s="121"/>
      <c r="AW560" s="121"/>
      <c r="AX560" s="121"/>
      <c r="AY560" s="211"/>
      <c r="AZ560" s="121"/>
      <c r="BA560" s="121"/>
      <c r="BB560" s="121"/>
      <c r="BC560" s="211"/>
      <c r="BD560" s="121"/>
      <c r="BE560" s="121"/>
      <c r="BF560" s="121"/>
      <c r="BG560" s="211"/>
      <c r="BH560" s="808">
        <f t="shared" si="53"/>
        <v>0</v>
      </c>
      <c r="BI560" s="761">
        <f t="shared" si="54"/>
        <v>0</v>
      </c>
      <c r="BJ560" s="761">
        <f t="shared" si="55"/>
        <v>0</v>
      </c>
      <c r="BK560" s="262"/>
      <c r="BL560" s="242"/>
      <c r="BM560" s="203"/>
      <c r="BN560" s="821"/>
      <c r="BO560" s="821"/>
      <c r="BP560" s="379" t="s">
        <v>487</v>
      </c>
      <c r="BQ560" s="145">
        <v>0.15</v>
      </c>
      <c r="BR560" s="262"/>
      <c r="BS560" s="242"/>
      <c r="BT560" s="203"/>
      <c r="BU560" s="373"/>
      <c r="BV560" s="373"/>
      <c r="BW560" s="774"/>
      <c r="BX560" s="837" t="s">
        <v>487</v>
      </c>
      <c r="BY560" s="145">
        <v>0.05</v>
      </c>
      <c r="BZ560" s="262"/>
      <c r="CA560" s="242">
        <f t="shared" si="68"/>
        <v>0</v>
      </c>
      <c r="CB560" s="203">
        <f t="shared" si="73"/>
        <v>0</v>
      </c>
      <c r="CC560" s="203"/>
      <c r="CD560" s="203"/>
      <c r="CE560" s="765"/>
      <c r="CF560" s="110"/>
      <c r="CG560" s="226"/>
      <c r="CH560" s="110"/>
      <c r="CI560" s="110"/>
      <c r="CJ560" s="348"/>
      <c r="CK560" s="110"/>
      <c r="CL560" s="110"/>
      <c r="CM560" s="263"/>
      <c r="CN560" s="110"/>
      <c r="CO560" s="110"/>
      <c r="CP560" s="226"/>
      <c r="CQ560" s="110"/>
      <c r="CR560" s="110"/>
      <c r="CS560" s="226"/>
      <c r="CT560" s="110"/>
      <c r="CU560" s="155">
        <v>0</v>
      </c>
      <c r="CV560" s="181" t="s">
        <v>154</v>
      </c>
      <c r="CW560" s="438" t="s">
        <v>1580</v>
      </c>
      <c r="CX560" s="439" t="s">
        <v>1580</v>
      </c>
      <c r="CY560" s="155"/>
      <c r="CZ560" s="155"/>
      <c r="DA560" s="131"/>
      <c r="DB560" s="819" t="s">
        <v>2878</v>
      </c>
      <c r="DC560" s="766">
        <f t="shared" si="74"/>
        <v>0</v>
      </c>
      <c r="DD560" s="820"/>
      <c r="DE560" s="820" t="b">
        <f t="shared" si="90"/>
        <v>0</v>
      </c>
      <c r="DF560" s="820" t="b">
        <f t="shared" si="91"/>
        <v>0</v>
      </c>
      <c r="DG560" s="729"/>
      <c r="DH560" s="799"/>
      <c r="DI560" s="729"/>
      <c r="DJ560" s="729"/>
      <c r="DK560" s="729"/>
      <c r="DL560" s="729"/>
      <c r="DM560" s="17"/>
      <c r="DN560" s="265"/>
      <c r="DO560" s="265"/>
      <c r="DP560" s="265"/>
      <c r="DQ560" s="265"/>
      <c r="DR560" s="265"/>
      <c r="DS560" s="265"/>
      <c r="DT560" s="265"/>
      <c r="DU560" s="265"/>
      <c r="DV560" s="265"/>
      <c r="DW560" s="265"/>
      <c r="DX560" s="265"/>
      <c r="DY560" s="265"/>
      <c r="DZ560" s="265"/>
    </row>
    <row r="561" spans="1:130" ht="30" hidden="1" customHeight="1" outlineLevel="1">
      <c r="A561" s="228"/>
      <c r="B561" s="816"/>
      <c r="C561" s="155">
        <f t="shared" si="77"/>
        <v>33</v>
      </c>
      <c r="D561" s="781"/>
      <c r="E561" s="781"/>
      <c r="F561" s="781"/>
      <c r="G561" s="830" t="s">
        <v>208</v>
      </c>
      <c r="H561" s="830" t="s">
        <v>2879</v>
      </c>
      <c r="I561" s="207" t="s">
        <v>2880</v>
      </c>
      <c r="J561" s="121" t="str">
        <f t="shared" si="52"/>
        <v>Sara De Vecchi</v>
      </c>
      <c r="K561" s="156" t="s">
        <v>2881</v>
      </c>
      <c r="L561" s="131"/>
      <c r="M561" s="823" t="s">
        <v>2882</v>
      </c>
      <c r="N561" s="131" t="str">
        <f t="shared" si="71"/>
        <v>3 D service</v>
      </c>
      <c r="O561" s="250"/>
      <c r="P561" s="251"/>
      <c r="Q561" s="131"/>
      <c r="R561" s="252"/>
      <c r="S561" s="254"/>
      <c r="T561" s="346"/>
      <c r="U561" s="253"/>
      <c r="V561" s="253"/>
      <c r="W561" s="251"/>
      <c r="X561" s="131"/>
      <c r="Y561" s="251"/>
      <c r="Z561" s="251"/>
      <c r="AA561" s="251"/>
      <c r="AB561" s="255"/>
      <c r="AC561" s="256"/>
      <c r="AD561" s="121"/>
      <c r="AE561" s="80">
        <f t="shared" si="72"/>
        <v>0</v>
      </c>
      <c r="AF561" s="257"/>
      <c r="AG561" s="155"/>
      <c r="AH561" s="155"/>
      <c r="AI561" s="257"/>
      <c r="AJ561" s="155"/>
      <c r="AK561" s="155"/>
      <c r="AL561" s="155"/>
      <c r="AM561" s="257"/>
      <c r="AN561" s="258"/>
      <c r="AO561" s="258"/>
      <c r="AP561" s="258"/>
      <c r="AQ561" s="211"/>
      <c r="AR561" s="154" t="s">
        <v>165</v>
      </c>
      <c r="AS561" s="154" t="s">
        <v>165</v>
      </c>
      <c r="AT561" s="154" t="s">
        <v>165</v>
      </c>
      <c r="AU561" s="211"/>
      <c r="AV561" s="259"/>
      <c r="AW561" s="259"/>
      <c r="AX561" s="259"/>
      <c r="AY561" s="211"/>
      <c r="AZ561" s="259"/>
      <c r="BA561" s="259"/>
      <c r="BB561" s="259"/>
      <c r="BC561" s="211"/>
      <c r="BD561" s="259"/>
      <c r="BE561" s="259"/>
      <c r="BF561" s="259"/>
      <c r="BG561" s="211"/>
      <c r="BH561" s="808">
        <f t="shared" si="53"/>
        <v>0</v>
      </c>
      <c r="BI561" s="761">
        <f t="shared" si="54"/>
        <v>0</v>
      </c>
      <c r="BJ561" s="761">
        <f t="shared" si="55"/>
        <v>0</v>
      </c>
      <c r="BK561" s="262"/>
      <c r="BL561" s="242"/>
      <c r="BM561" s="203"/>
      <c r="BN561" s="818"/>
      <c r="BO561" s="818"/>
      <c r="BP561" s="380" t="s">
        <v>133</v>
      </c>
      <c r="BQ561" s="145">
        <v>0.15</v>
      </c>
      <c r="BR561" s="262"/>
      <c r="BS561" s="242"/>
      <c r="BT561" s="203"/>
      <c r="BU561" s="373"/>
      <c r="BV561" s="373"/>
      <c r="BW561" s="774"/>
      <c r="BX561" s="825" t="s">
        <v>133</v>
      </c>
      <c r="BY561" s="145">
        <v>0.05</v>
      </c>
      <c r="BZ561" s="262"/>
      <c r="CA561" s="242">
        <f t="shared" si="68"/>
        <v>0</v>
      </c>
      <c r="CB561" s="203">
        <f t="shared" si="73"/>
        <v>0</v>
      </c>
      <c r="CC561" s="203"/>
      <c r="CD561" s="203"/>
      <c r="CE561" s="765"/>
      <c r="CF561" s="110"/>
      <c r="CG561" s="226"/>
      <c r="CH561" s="110"/>
      <c r="CI561" s="110"/>
      <c r="CJ561" s="348"/>
      <c r="CK561" s="110"/>
      <c r="CL561" s="110"/>
      <c r="CM561" s="263"/>
      <c r="CN561" s="110"/>
      <c r="CO561" s="110"/>
      <c r="CP561" s="226"/>
      <c r="CQ561" s="110"/>
      <c r="CR561" s="110"/>
      <c r="CS561" s="226"/>
      <c r="CT561" s="110"/>
      <c r="CU561" s="155">
        <v>0</v>
      </c>
      <c r="CV561" s="181" t="s">
        <v>154</v>
      </c>
      <c r="CW561" s="491" t="s">
        <v>1580</v>
      </c>
      <c r="CX561" s="492" t="s">
        <v>2869</v>
      </c>
      <c r="CY561" s="155"/>
      <c r="CZ561" s="155"/>
      <c r="DA561" s="131"/>
      <c r="DB561" s="819" t="s">
        <v>2883</v>
      </c>
      <c r="DC561" s="766">
        <f t="shared" si="74"/>
        <v>0</v>
      </c>
      <c r="DD561" s="820"/>
      <c r="DE561" s="820" t="b">
        <f t="shared" si="90"/>
        <v>0</v>
      </c>
      <c r="DF561" s="820" t="b">
        <f t="shared" si="91"/>
        <v>0</v>
      </c>
      <c r="DG561" s="729"/>
      <c r="DH561" s="799"/>
      <c r="DI561" s="729"/>
      <c r="DJ561" s="729"/>
      <c r="DK561" s="729"/>
      <c r="DL561" s="729"/>
      <c r="DM561" s="17"/>
      <c r="DN561" s="265"/>
      <c r="DO561" s="265"/>
      <c r="DP561" s="265"/>
      <c r="DQ561" s="265"/>
      <c r="DR561" s="265"/>
      <c r="DS561" s="265"/>
      <c r="DT561" s="265"/>
      <c r="DU561" s="265"/>
      <c r="DV561" s="265"/>
      <c r="DW561" s="265"/>
      <c r="DX561" s="265"/>
      <c r="DY561" s="265"/>
      <c r="DZ561" s="265"/>
    </row>
    <row r="562" spans="1:130" ht="30" hidden="1" customHeight="1" outlineLevel="1">
      <c r="A562" s="228"/>
      <c r="B562" s="829"/>
      <c r="C562" s="155">
        <f t="shared" si="77"/>
        <v>34</v>
      </c>
      <c r="D562" s="781"/>
      <c r="E562" s="781"/>
      <c r="F562" s="781"/>
      <c r="G562" s="830" t="s">
        <v>208</v>
      </c>
      <c r="H562" s="830" t="s">
        <v>2884</v>
      </c>
      <c r="I562" s="207" t="s">
        <v>2885</v>
      </c>
      <c r="J562" s="121" t="str">
        <f t="shared" si="52"/>
        <v>Sara Flamini</v>
      </c>
      <c r="K562" s="156" t="s">
        <v>2886</v>
      </c>
      <c r="L562" s="204" t="s">
        <v>2887</v>
      </c>
      <c r="M562" s="131" t="s">
        <v>2888</v>
      </c>
      <c r="N562" s="131" t="str">
        <f t="shared" si="71"/>
        <v>Flamini</v>
      </c>
      <c r="O562" s="250"/>
      <c r="P562" s="251"/>
      <c r="Q562" s="131"/>
      <c r="R562" s="252"/>
      <c r="S562" s="254"/>
      <c r="T562" s="346"/>
      <c r="U562" s="253"/>
      <c r="V562" s="253"/>
      <c r="W562" s="251"/>
      <c r="X562" s="131"/>
      <c r="Y562" s="251"/>
      <c r="Z562" s="251"/>
      <c r="AA562" s="251"/>
      <c r="AB562" s="255"/>
      <c r="AC562" s="256"/>
      <c r="AD562" s="121"/>
      <c r="AE562" s="80" t="str">
        <f t="shared" si="72"/>
        <v>Pagando 200Euro può bloccare il prezzo e partecipare a Maggio 2023</v>
      </c>
      <c r="AF562" s="257"/>
      <c r="AG562" s="155"/>
      <c r="AH562" s="155"/>
      <c r="AI562" s="257"/>
      <c r="AJ562" s="155"/>
      <c r="AK562" s="155"/>
      <c r="AL562" s="155"/>
      <c r="AM562" s="257"/>
      <c r="AN562" s="258"/>
      <c r="AO562" s="258"/>
      <c r="AP562" s="258"/>
      <c r="AQ562" s="211"/>
      <c r="AR562" s="154" t="s">
        <v>165</v>
      </c>
      <c r="AS562" s="154" t="s">
        <v>165</v>
      </c>
      <c r="AT562" s="154" t="s">
        <v>165</v>
      </c>
      <c r="AU562" s="211"/>
      <c r="AV562" s="259" t="s">
        <v>27</v>
      </c>
      <c r="AW562" s="259" t="s">
        <v>27</v>
      </c>
      <c r="AX562" s="259" t="s">
        <v>27</v>
      </c>
      <c r="AY562" s="211"/>
      <c r="AZ562" s="259"/>
      <c r="BA562" s="259"/>
      <c r="BB562" s="259"/>
      <c r="BC562" s="211"/>
      <c r="BD562" s="259"/>
      <c r="BE562" s="259"/>
      <c r="BF562" s="259"/>
      <c r="BG562" s="211"/>
      <c r="BH562" s="808">
        <f t="shared" si="53"/>
        <v>0</v>
      </c>
      <c r="BI562" s="761">
        <f t="shared" si="54"/>
        <v>0</v>
      </c>
      <c r="BJ562" s="761">
        <f t="shared" si="55"/>
        <v>0</v>
      </c>
      <c r="BK562" s="262"/>
      <c r="BL562" s="824">
        <f>BH562</f>
        <v>0</v>
      </c>
      <c r="BM562" s="203"/>
      <c r="BN562" s="818"/>
      <c r="BO562" s="818"/>
      <c r="BP562" s="363" t="s">
        <v>117</v>
      </c>
      <c r="BQ562" s="98">
        <v>0</v>
      </c>
      <c r="BR562" s="262"/>
      <c r="BS562" s="242">
        <f>BL562*BQ562</f>
        <v>0</v>
      </c>
      <c r="BT562" s="373">
        <f>BM562*BQ562</f>
        <v>0</v>
      </c>
      <c r="BU562" s="373"/>
      <c r="BV562" s="373"/>
      <c r="BW562" s="784" t="s">
        <v>118</v>
      </c>
      <c r="BX562" s="243" t="s">
        <v>152</v>
      </c>
      <c r="BY562" s="145">
        <v>0.05</v>
      </c>
      <c r="BZ562" s="262"/>
      <c r="CA562" s="242">
        <f t="shared" si="68"/>
        <v>0</v>
      </c>
      <c r="CB562" s="203">
        <f t="shared" si="73"/>
        <v>0</v>
      </c>
      <c r="CC562" s="203"/>
      <c r="CD562" s="203"/>
      <c r="CE562" s="765"/>
      <c r="CF562" s="110"/>
      <c r="CG562" s="226"/>
      <c r="CH562" s="110"/>
      <c r="CI562" s="110"/>
      <c r="CJ562" s="348"/>
      <c r="CK562" s="110"/>
      <c r="CL562" s="110"/>
      <c r="CM562" s="263"/>
      <c r="CN562" s="110"/>
      <c r="CO562" s="110"/>
      <c r="CP562" s="226"/>
      <c r="CQ562" s="110"/>
      <c r="CR562" s="110"/>
      <c r="CS562" s="226"/>
      <c r="CT562" s="110"/>
      <c r="CU562" s="155">
        <v>1</v>
      </c>
      <c r="CV562" s="181" t="s">
        <v>1123</v>
      </c>
      <c r="CW562" s="491"/>
      <c r="CX562" s="492"/>
      <c r="CY562" s="155"/>
      <c r="CZ562" s="155"/>
      <c r="DA562" s="131" t="s">
        <v>2889</v>
      </c>
      <c r="DB562" s="819" t="s">
        <v>2884</v>
      </c>
      <c r="DC562" s="766">
        <f t="shared" si="74"/>
        <v>0</v>
      </c>
      <c r="DD562" s="820"/>
      <c r="DE562" s="820" t="b">
        <f t="shared" si="90"/>
        <v>0</v>
      </c>
      <c r="DF562" s="820" t="b">
        <f t="shared" si="91"/>
        <v>0</v>
      </c>
      <c r="DG562" s="729"/>
      <c r="DH562" s="799"/>
      <c r="DI562" s="729"/>
      <c r="DJ562" s="729"/>
      <c r="DK562" s="729"/>
      <c r="DL562" s="729"/>
      <c r="DM562" s="17"/>
      <c r="DN562" s="265"/>
      <c r="DO562" s="265"/>
      <c r="DP562" s="265"/>
      <c r="DQ562" s="265"/>
      <c r="DR562" s="265"/>
      <c r="DS562" s="265"/>
      <c r="DT562" s="265"/>
      <c r="DU562" s="265"/>
      <c r="DV562" s="265"/>
      <c r="DW562" s="265"/>
      <c r="DX562" s="265"/>
      <c r="DY562" s="265"/>
      <c r="DZ562" s="265"/>
    </row>
    <row r="563" spans="1:130" ht="30" hidden="1" customHeight="1" outlineLevel="1">
      <c r="A563" s="228"/>
      <c r="B563" s="816"/>
      <c r="C563" s="155">
        <f t="shared" si="77"/>
        <v>35</v>
      </c>
      <c r="D563" s="781"/>
      <c r="E563" s="781"/>
      <c r="F563" s="781"/>
      <c r="G563" s="830" t="s">
        <v>208</v>
      </c>
      <c r="H563" s="830" t="s">
        <v>2890</v>
      </c>
      <c r="I563" s="207" t="s">
        <v>2891</v>
      </c>
      <c r="J563" s="121" t="str">
        <f t="shared" si="52"/>
        <v>Sara Sabbadini</v>
      </c>
      <c r="K563" s="156">
        <v>3271481225</v>
      </c>
      <c r="L563" s="204" t="s">
        <v>2892</v>
      </c>
      <c r="M563" s="131"/>
      <c r="N563" s="131" t="str">
        <f t="shared" si="71"/>
        <v>NetIsOn</v>
      </c>
      <c r="O563" s="250"/>
      <c r="P563" s="251"/>
      <c r="Q563" s="131"/>
      <c r="R563" s="252"/>
      <c r="S563" s="254"/>
      <c r="T563" s="346"/>
      <c r="U563" s="253"/>
      <c r="V563" s="253"/>
      <c r="W563" s="251"/>
      <c r="X563" s="131"/>
      <c r="Y563" s="251"/>
      <c r="Z563" s="251"/>
      <c r="AA563" s="251"/>
      <c r="AB563" s="255"/>
      <c r="AC563" s="256"/>
      <c r="AD563" s="121"/>
      <c r="AE563" s="80" t="str">
        <f t="shared" si="72"/>
        <v>NON HA FLAGGATO TIPOLOGIA DI PAGAMENTO</v>
      </c>
      <c r="AF563" s="257"/>
      <c r="AG563" s="155"/>
      <c r="AH563" s="155"/>
      <c r="AI563" s="257"/>
      <c r="AJ563" s="155"/>
      <c r="AK563" s="155"/>
      <c r="AL563" s="155"/>
      <c r="AM563" s="257"/>
      <c r="AN563" s="258"/>
      <c r="AO563" s="258"/>
      <c r="AP563" s="258"/>
      <c r="AQ563" s="211"/>
      <c r="AR563" s="154" t="s">
        <v>165</v>
      </c>
      <c r="AS563" s="154" t="s">
        <v>165</v>
      </c>
      <c r="AT563" s="154" t="s">
        <v>165</v>
      </c>
      <c r="AU563" s="211"/>
      <c r="AV563" s="259"/>
      <c r="AW563" s="259"/>
      <c r="AX563" s="259"/>
      <c r="AY563" s="211"/>
      <c r="AZ563" s="259"/>
      <c r="BA563" s="259"/>
      <c r="BB563" s="259"/>
      <c r="BC563" s="211"/>
      <c r="BD563" s="259"/>
      <c r="BE563" s="259"/>
      <c r="BF563" s="259"/>
      <c r="BG563" s="211"/>
      <c r="BH563" s="808">
        <f t="shared" si="53"/>
        <v>0</v>
      </c>
      <c r="BI563" s="761">
        <f t="shared" si="54"/>
        <v>0</v>
      </c>
      <c r="BJ563" s="761">
        <f t="shared" si="55"/>
        <v>0</v>
      </c>
      <c r="BK563" s="262"/>
      <c r="BL563" s="242"/>
      <c r="BM563" s="203"/>
      <c r="BN563" s="821"/>
      <c r="BO563" s="821"/>
      <c r="BP563" s="105" t="s">
        <v>160</v>
      </c>
      <c r="BQ563" s="145">
        <v>0.05</v>
      </c>
      <c r="BR563" s="261"/>
      <c r="BS563" s="242"/>
      <c r="BT563" s="203"/>
      <c r="BU563" s="203"/>
      <c r="BV563" s="203"/>
      <c r="BW563" s="765"/>
      <c r="BX563" s="825" t="s">
        <v>160</v>
      </c>
      <c r="BY563" s="145">
        <v>0.05</v>
      </c>
      <c r="BZ563" s="262"/>
      <c r="CA563" s="242">
        <f t="shared" si="68"/>
        <v>0</v>
      </c>
      <c r="CB563" s="203">
        <f t="shared" si="73"/>
        <v>0</v>
      </c>
      <c r="CC563" s="203"/>
      <c r="CD563" s="203"/>
      <c r="CE563" s="765"/>
      <c r="CF563" s="110"/>
      <c r="CG563" s="226"/>
      <c r="CH563" s="110"/>
      <c r="CI563" s="110"/>
      <c r="CJ563" s="348"/>
      <c r="CK563" s="110"/>
      <c r="CL563" s="110"/>
      <c r="CM563" s="263"/>
      <c r="CN563" s="110"/>
      <c r="CO563" s="110"/>
      <c r="CP563" s="226"/>
      <c r="CQ563" s="110"/>
      <c r="CR563" s="110"/>
      <c r="CS563" s="226"/>
      <c r="CT563" s="110"/>
      <c r="CU563" s="155">
        <v>1</v>
      </c>
      <c r="CV563" s="181" t="s">
        <v>1123</v>
      </c>
      <c r="CW563" s="438" t="s">
        <v>1580</v>
      </c>
      <c r="CX563" s="439"/>
      <c r="CY563" s="155"/>
      <c r="CZ563" s="155"/>
      <c r="DA563" s="131"/>
      <c r="DB563" s="819" t="s">
        <v>2893</v>
      </c>
      <c r="DC563" s="766">
        <f t="shared" si="74"/>
        <v>0</v>
      </c>
      <c r="DD563" s="820"/>
      <c r="DE563" s="820" t="b">
        <f t="shared" si="90"/>
        <v>0</v>
      </c>
      <c r="DF563" s="820" t="b">
        <f t="shared" si="91"/>
        <v>0</v>
      </c>
      <c r="DG563" s="729"/>
      <c r="DH563" s="799"/>
      <c r="DI563" s="729"/>
      <c r="DJ563" s="729"/>
      <c r="DK563" s="729"/>
      <c r="DL563" s="729"/>
      <c r="DM563" s="17"/>
      <c r="DN563" s="265"/>
      <c r="DO563" s="265"/>
      <c r="DP563" s="265"/>
      <c r="DQ563" s="265"/>
      <c r="DR563" s="265"/>
      <c r="DS563" s="265"/>
      <c r="DT563" s="265"/>
      <c r="DU563" s="265"/>
      <c r="DV563" s="265"/>
      <c r="DW563" s="265"/>
      <c r="DX563" s="265"/>
      <c r="DY563" s="265"/>
      <c r="DZ563" s="265"/>
    </row>
    <row r="564" spans="1:130" ht="30" hidden="1" customHeight="1" outlineLevel="1">
      <c r="A564" s="228"/>
      <c r="B564" s="816"/>
      <c r="C564" s="155">
        <f t="shared" si="77"/>
        <v>36</v>
      </c>
      <c r="D564" s="781"/>
      <c r="E564" s="781"/>
      <c r="F564" s="781"/>
      <c r="G564" s="830" t="s">
        <v>861</v>
      </c>
      <c r="H564" s="830" t="s">
        <v>2894</v>
      </c>
      <c r="I564" s="207" t="s">
        <v>2895</v>
      </c>
      <c r="J564" s="121" t="str">
        <f t="shared" si="52"/>
        <v>Simone Bignotti</v>
      </c>
      <c r="K564" s="156">
        <v>3349806078</v>
      </c>
      <c r="L564" s="131"/>
      <c r="M564" s="131" t="s">
        <v>2896</v>
      </c>
      <c r="N564" s="131" t="str">
        <f t="shared" si="71"/>
        <v>IGEAX</v>
      </c>
      <c r="O564" s="250"/>
      <c r="P564" s="251"/>
      <c r="Q564" s="131"/>
      <c r="R564" s="252"/>
      <c r="S564" s="254"/>
      <c r="T564" s="346"/>
      <c r="U564" s="253"/>
      <c r="V564" s="253"/>
      <c r="W564" s="251"/>
      <c r="X564" s="131"/>
      <c r="Y564" s="251"/>
      <c r="Z564" s="251"/>
      <c r="AA564" s="251"/>
      <c r="AB564" s="255"/>
      <c r="AC564" s="256"/>
      <c r="AD564" s="121"/>
      <c r="AE564" s="80">
        <f t="shared" si="72"/>
        <v>0</v>
      </c>
      <c r="AF564" s="257"/>
      <c r="AG564" s="155"/>
      <c r="AH564" s="155"/>
      <c r="AI564" s="257"/>
      <c r="AJ564" s="155"/>
      <c r="AK564" s="155"/>
      <c r="AL564" s="155"/>
      <c r="AM564" s="257"/>
      <c r="AN564" s="258"/>
      <c r="AO564" s="258"/>
      <c r="AP564" s="258"/>
      <c r="AQ564" s="211"/>
      <c r="AR564" s="154" t="s">
        <v>165</v>
      </c>
      <c r="AS564" s="154" t="s">
        <v>165</v>
      </c>
      <c r="AT564" s="154" t="s">
        <v>165</v>
      </c>
      <c r="AU564" s="211"/>
      <c r="AV564" s="259"/>
      <c r="AW564" s="259"/>
      <c r="AX564" s="259"/>
      <c r="AY564" s="211"/>
      <c r="AZ564" s="259"/>
      <c r="BA564" s="259"/>
      <c r="BB564" s="259"/>
      <c r="BC564" s="211"/>
      <c r="BD564" s="259"/>
      <c r="BE564" s="259"/>
      <c r="BF564" s="259"/>
      <c r="BG564" s="211"/>
      <c r="BH564" s="808">
        <f t="shared" si="53"/>
        <v>0</v>
      </c>
      <c r="BI564" s="761">
        <f t="shared" si="54"/>
        <v>0</v>
      </c>
      <c r="BJ564" s="761">
        <f t="shared" si="55"/>
        <v>0</v>
      </c>
      <c r="BK564" s="262"/>
      <c r="BL564" s="824">
        <f>BH564</f>
        <v>0</v>
      </c>
      <c r="BM564" s="203"/>
      <c r="BN564" s="821"/>
      <c r="BO564" s="821"/>
      <c r="BP564" s="392" t="s">
        <v>117</v>
      </c>
      <c r="BQ564" s="98">
        <v>0</v>
      </c>
      <c r="BR564" s="261"/>
      <c r="BS564" s="242">
        <f>BL564*BQ564</f>
        <v>0</v>
      </c>
      <c r="BT564" s="373">
        <f>BM564*BQ564</f>
        <v>0</v>
      </c>
      <c r="BU564" s="373"/>
      <c r="BV564" s="373"/>
      <c r="BW564" s="784" t="s">
        <v>118</v>
      </c>
      <c r="BX564" s="289" t="s">
        <v>152</v>
      </c>
      <c r="BY564" s="145">
        <v>0.05</v>
      </c>
      <c r="BZ564" s="262"/>
      <c r="CA564" s="242">
        <f t="shared" si="68"/>
        <v>0</v>
      </c>
      <c r="CB564" s="203">
        <f t="shared" si="73"/>
        <v>0</v>
      </c>
      <c r="CC564" s="203"/>
      <c r="CD564" s="203"/>
      <c r="CE564" s="765"/>
      <c r="CF564" s="110"/>
      <c r="CG564" s="226"/>
      <c r="CH564" s="110"/>
      <c r="CI564" s="110"/>
      <c r="CJ564" s="348"/>
      <c r="CK564" s="110"/>
      <c r="CL564" s="110"/>
      <c r="CM564" s="263"/>
      <c r="CN564" s="110"/>
      <c r="CO564" s="110"/>
      <c r="CP564" s="226"/>
      <c r="CQ564" s="110"/>
      <c r="CR564" s="110"/>
      <c r="CS564" s="226"/>
      <c r="CT564" s="110"/>
      <c r="CU564" s="155">
        <v>1</v>
      </c>
      <c r="CV564" s="181" t="s">
        <v>1123</v>
      </c>
      <c r="CW564" s="438" t="s">
        <v>1387</v>
      </c>
      <c r="CX564" s="439" t="s">
        <v>1388</v>
      </c>
      <c r="CY564" s="155"/>
      <c r="CZ564" s="155"/>
      <c r="DA564" s="131" t="s">
        <v>2897</v>
      </c>
      <c r="DB564" s="819" t="s">
        <v>2898</v>
      </c>
      <c r="DC564" s="766">
        <f t="shared" si="74"/>
        <v>0</v>
      </c>
      <c r="DD564" s="820"/>
      <c r="DE564" s="820" t="b">
        <f t="shared" si="90"/>
        <v>0</v>
      </c>
      <c r="DF564" s="820" t="b">
        <f t="shared" si="91"/>
        <v>0</v>
      </c>
      <c r="DG564" s="729"/>
      <c r="DH564" s="799"/>
      <c r="DI564" s="729"/>
      <c r="DJ564" s="729"/>
      <c r="DK564" s="729"/>
      <c r="DL564" s="729"/>
      <c r="DM564" s="17"/>
      <c r="DN564" s="265"/>
      <c r="DO564" s="265"/>
      <c r="DP564" s="265"/>
      <c r="DQ564" s="265"/>
      <c r="DR564" s="265"/>
      <c r="DS564" s="265"/>
      <c r="DT564" s="265"/>
      <c r="DU564" s="265"/>
      <c r="DV564" s="265"/>
      <c r="DW564" s="265"/>
      <c r="DX564" s="265"/>
      <c r="DY564" s="265"/>
      <c r="DZ564" s="265"/>
    </row>
    <row r="565" spans="1:130" ht="30" hidden="1" customHeight="1" outlineLevel="1">
      <c r="A565" s="228"/>
      <c r="B565" s="816"/>
      <c r="C565" s="155">
        <f t="shared" si="77"/>
        <v>37</v>
      </c>
      <c r="D565" s="781"/>
      <c r="E565" s="781"/>
      <c r="F565" s="781"/>
      <c r="G565" s="830" t="s">
        <v>861</v>
      </c>
      <c r="H565" s="830" t="s">
        <v>2899</v>
      </c>
      <c r="I565" s="207" t="s">
        <v>2900</v>
      </c>
      <c r="J565" s="121" t="str">
        <f t="shared" si="52"/>
        <v>Simone Cagna</v>
      </c>
      <c r="K565" s="156" t="s">
        <v>2901</v>
      </c>
      <c r="L565" s="204" t="s">
        <v>2792</v>
      </c>
      <c r="M565" s="131" t="s">
        <v>2896</v>
      </c>
      <c r="N565" s="131" t="str">
        <f t="shared" si="71"/>
        <v>LAEMMEGROUP</v>
      </c>
      <c r="O565" s="250"/>
      <c r="P565" s="251"/>
      <c r="Q565" s="131"/>
      <c r="R565" s="252"/>
      <c r="S565" s="254"/>
      <c r="T565" s="346"/>
      <c r="U565" s="253"/>
      <c r="V565" s="253"/>
      <c r="W565" s="251"/>
      <c r="X565" s="131"/>
      <c r="Y565" s="251"/>
      <c r="Z565" s="251"/>
      <c r="AA565" s="251"/>
      <c r="AB565" s="255"/>
      <c r="AC565" s="256"/>
      <c r="AD565" s="121"/>
      <c r="AE565" s="80" t="str">
        <f t="shared" si="72"/>
        <v xml:space="preserve">Interessati percorso in azienda, tenete in sospeso gli 8 Master </v>
      </c>
      <c r="AF565" s="257"/>
      <c r="AG565" s="155"/>
      <c r="AH565" s="155"/>
      <c r="AI565" s="257"/>
      <c r="AJ565" s="155"/>
      <c r="AK565" s="155"/>
      <c r="AL565" s="155"/>
      <c r="AM565" s="257"/>
      <c r="AN565" s="155"/>
      <c r="AO565" s="155"/>
      <c r="AP565" s="155"/>
      <c r="AQ565" s="211"/>
      <c r="AR565" s="154" t="s">
        <v>165</v>
      </c>
      <c r="AS565" s="154" t="s">
        <v>165</v>
      </c>
      <c r="AT565" s="154" t="s">
        <v>165</v>
      </c>
      <c r="AU565" s="211"/>
      <c r="AV565" s="259"/>
      <c r="AW565" s="259"/>
      <c r="AX565" s="259"/>
      <c r="AY565" s="211"/>
      <c r="AZ565" s="259"/>
      <c r="BA565" s="259"/>
      <c r="BB565" s="259"/>
      <c r="BC565" s="211"/>
      <c r="BD565" s="259"/>
      <c r="BE565" s="259"/>
      <c r="BF565" s="259"/>
      <c r="BG565" s="211"/>
      <c r="BH565" s="808">
        <f t="shared" si="53"/>
        <v>0</v>
      </c>
      <c r="BI565" s="761">
        <f t="shared" si="54"/>
        <v>0</v>
      </c>
      <c r="BJ565" s="761">
        <f t="shared" si="55"/>
        <v>0</v>
      </c>
      <c r="BK565" s="262"/>
      <c r="BL565" s="242"/>
      <c r="BM565" s="203"/>
      <c r="BN565" s="838"/>
      <c r="BO565" s="838"/>
      <c r="BP565" s="839" t="s">
        <v>407</v>
      </c>
      <c r="BQ565" s="145">
        <v>0.15</v>
      </c>
      <c r="BR565" s="261"/>
      <c r="BS565" s="242"/>
      <c r="BT565" s="203"/>
      <c r="BU565" s="203"/>
      <c r="BV565" s="203"/>
      <c r="BW565" s="765"/>
      <c r="BX565" s="289" t="s">
        <v>407</v>
      </c>
      <c r="BY565" s="145">
        <v>0.05</v>
      </c>
      <c r="BZ565" s="262"/>
      <c r="CA565" s="242">
        <f t="shared" si="68"/>
        <v>0</v>
      </c>
      <c r="CB565" s="203">
        <f t="shared" si="73"/>
        <v>0</v>
      </c>
      <c r="CC565" s="203"/>
      <c r="CD565" s="203"/>
      <c r="CE565" s="765"/>
      <c r="CF565" s="110"/>
      <c r="CG565" s="226"/>
      <c r="CH565" s="110"/>
      <c r="CI565" s="110"/>
      <c r="CJ565" s="348"/>
      <c r="CK565" s="110"/>
      <c r="CL565" s="110"/>
      <c r="CM565" s="263"/>
      <c r="CN565" s="110"/>
      <c r="CO565" s="110"/>
      <c r="CP565" s="226"/>
      <c r="CQ565" s="110"/>
      <c r="CR565" s="110"/>
      <c r="CS565" s="226"/>
      <c r="CT565" s="110"/>
      <c r="CU565" s="155"/>
      <c r="CV565" s="181"/>
      <c r="CW565" s="438" t="s">
        <v>1408</v>
      </c>
      <c r="CX565" s="439" t="s">
        <v>2902</v>
      </c>
      <c r="CY565" s="155"/>
      <c r="CZ565" s="155"/>
      <c r="DA565" s="131"/>
      <c r="DB565" s="819" t="s">
        <v>1253</v>
      </c>
      <c r="DC565" s="766">
        <f t="shared" si="74"/>
        <v>0</v>
      </c>
      <c r="DD565" s="820"/>
      <c r="DE565" s="820" t="b">
        <f t="shared" si="90"/>
        <v>0</v>
      </c>
      <c r="DF565" s="820" t="b">
        <f t="shared" si="91"/>
        <v>0</v>
      </c>
      <c r="DG565" s="729"/>
      <c r="DH565" s="799"/>
      <c r="DI565" s="729"/>
      <c r="DJ565" s="729"/>
      <c r="DK565" s="729"/>
      <c r="DL565" s="729"/>
      <c r="DM565" s="17"/>
      <c r="DN565" s="265"/>
      <c r="DO565" s="265"/>
      <c r="DP565" s="265"/>
      <c r="DQ565" s="265"/>
      <c r="DR565" s="265"/>
      <c r="DS565" s="265"/>
      <c r="DT565" s="265"/>
      <c r="DU565" s="265"/>
      <c r="DV565" s="265"/>
      <c r="DW565" s="265"/>
      <c r="DX565" s="265"/>
      <c r="DY565" s="265"/>
      <c r="DZ565" s="265"/>
    </row>
    <row r="566" spans="1:130" ht="30" hidden="1" customHeight="1" outlineLevel="1">
      <c r="A566" s="228"/>
      <c r="B566" s="121"/>
      <c r="C566" s="155"/>
      <c r="D566" s="757"/>
      <c r="E566" s="757"/>
      <c r="F566" s="757"/>
      <c r="G566" s="840" t="s">
        <v>135</v>
      </c>
      <c r="H566" s="621" t="s">
        <v>2903</v>
      </c>
      <c r="I566" s="207" t="s">
        <v>2904</v>
      </c>
      <c r="J566" s="121" t="str">
        <f t="shared" si="52"/>
        <v>Alessandro Pasquinucci</v>
      </c>
      <c r="K566" s="156"/>
      <c r="L566" s="598"/>
      <c r="M566" s="598"/>
      <c r="N566" s="823"/>
      <c r="O566" s="841"/>
      <c r="P566" s="255" t="s">
        <v>2905</v>
      </c>
      <c r="Q566" s="255" t="s">
        <v>2905</v>
      </c>
      <c r="R566" s="598" t="s">
        <v>2906</v>
      </c>
      <c r="S566" s="598" t="s">
        <v>2907</v>
      </c>
      <c r="T566" s="598"/>
      <c r="U566" s="598"/>
      <c r="V566" s="598"/>
      <c r="W566" s="258"/>
      <c r="X566" s="131"/>
      <c r="Y566" s="258"/>
      <c r="Z566" s="258"/>
      <c r="AA566" s="258"/>
      <c r="AB566" s="255" t="s">
        <v>1283</v>
      </c>
      <c r="AC566" s="131" t="s">
        <v>2908</v>
      </c>
      <c r="AD566" s="255"/>
      <c r="AE566" s="842">
        <f t="shared" si="72"/>
        <v>0</v>
      </c>
      <c r="AF566" s="515"/>
      <c r="AG566" s="516"/>
      <c r="AH566" s="516"/>
      <c r="AI566" s="515"/>
      <c r="AJ566" s="121"/>
      <c r="AK566" s="121"/>
      <c r="AL566" s="121"/>
      <c r="AM566" s="198"/>
      <c r="AN566" s="155"/>
      <c r="AO566" s="565" t="s">
        <v>2277</v>
      </c>
      <c r="AP566" s="565" t="s">
        <v>2277</v>
      </c>
      <c r="AQ566" s="515"/>
      <c r="AR566" s="121"/>
      <c r="AS566" s="121"/>
      <c r="AT566" s="570"/>
      <c r="AU566" s="568"/>
      <c r="AV566" s="121"/>
      <c r="AW566" s="121"/>
      <c r="AX566" s="121" t="s">
        <v>27</v>
      </c>
      <c r="AY566" s="568"/>
      <c r="AZ566" s="617"/>
      <c r="BA566" s="617"/>
      <c r="BB566" s="617"/>
      <c r="BC566" s="568"/>
      <c r="BD566" s="617"/>
      <c r="BE566" s="617"/>
      <c r="BF566" s="617"/>
      <c r="BG566" s="568"/>
      <c r="BH566" s="760">
        <f t="shared" si="53"/>
        <v>0</v>
      </c>
      <c r="BI566" s="761">
        <f t="shared" si="54"/>
        <v>0</v>
      </c>
      <c r="BJ566" s="761">
        <f t="shared" si="55"/>
        <v>0</v>
      </c>
      <c r="BK566" s="110"/>
      <c r="BL566" s="242"/>
      <c r="BM566" s="203"/>
      <c r="BN566" s="203"/>
      <c r="BO566" s="203"/>
      <c r="BP566" s="529" t="s">
        <v>2909</v>
      </c>
      <c r="BQ566" s="145">
        <v>0.15</v>
      </c>
      <c r="BR566" s="110"/>
      <c r="BS566" s="242"/>
      <c r="BT566" s="203"/>
      <c r="BU566" s="203"/>
      <c r="BV566" s="203"/>
      <c r="BW566" s="843"/>
      <c r="BX566" s="529" t="s">
        <v>2909</v>
      </c>
      <c r="BY566" s="145">
        <v>0.05</v>
      </c>
      <c r="BZ566" s="110">
        <f t="shared" ref="BZ566:BZ573" si="92">BH566*BY566</f>
        <v>0</v>
      </c>
      <c r="CA566" s="242"/>
      <c r="CB566" s="796"/>
      <c r="CC566" s="796"/>
      <c r="CD566" s="796"/>
      <c r="CE566" s="797"/>
      <c r="CF566" s="301"/>
      <c r="CG566" s="206"/>
      <c r="CH566" s="301"/>
      <c r="CI566" s="206"/>
      <c r="CJ566" s="206"/>
      <c r="CK566" s="206"/>
      <c r="CL566" s="206"/>
      <c r="CM566" s="206"/>
      <c r="CN566" s="349"/>
      <c r="CO566" s="110"/>
      <c r="CP566" s="226"/>
      <c r="CQ566" s="110"/>
      <c r="CR566" s="110"/>
      <c r="CS566" s="226"/>
      <c r="CT566" s="110"/>
      <c r="CU566" s="245"/>
      <c r="CV566" s="181"/>
      <c r="CW566" s="438" t="s">
        <v>1408</v>
      </c>
      <c r="CX566" s="439" t="s">
        <v>2902</v>
      </c>
      <c r="CY566" s="155"/>
      <c r="CZ566" s="155"/>
      <c r="DA566" s="598"/>
      <c r="DB566" s="844"/>
      <c r="DC566" s="845"/>
      <c r="DD566" s="242"/>
      <c r="DE566" s="242"/>
      <c r="DF566" s="242"/>
      <c r="DG566" s="729"/>
      <c r="DH566" s="730"/>
      <c r="DI566" s="729"/>
      <c r="DJ566" s="729"/>
      <c r="DK566" s="729"/>
      <c r="DL566" s="729"/>
      <c r="DM566" s="4"/>
    </row>
    <row r="567" spans="1:130" ht="30" hidden="1" customHeight="1" outlineLevel="1">
      <c r="A567" s="228"/>
      <c r="B567" s="121"/>
      <c r="C567" s="155"/>
      <c r="D567" s="757"/>
      <c r="E567" s="757"/>
      <c r="F567" s="757"/>
      <c r="G567" s="846" t="s">
        <v>2910</v>
      </c>
      <c r="H567" s="847" t="s">
        <v>2911</v>
      </c>
      <c r="I567" s="207" t="s">
        <v>2912</v>
      </c>
      <c r="J567" s="121" t="str">
        <f t="shared" si="52"/>
        <v>Amerigo Tagliapietra</v>
      </c>
      <c r="K567" s="848"/>
      <c r="L567" s="849"/>
      <c r="M567" s="828"/>
      <c r="N567" s="828"/>
      <c r="O567" s="622"/>
      <c r="P567" s="850" t="s">
        <v>2913</v>
      </c>
      <c r="Q567" s="850" t="s">
        <v>2913</v>
      </c>
      <c r="R567" s="828" t="s">
        <v>2914</v>
      </c>
      <c r="S567" s="828" t="s">
        <v>2915</v>
      </c>
      <c r="T567" s="828"/>
      <c r="U567" s="828"/>
      <c r="V567" s="828"/>
      <c r="W567" s="850"/>
      <c r="X567" s="558" t="s">
        <v>2916</v>
      </c>
      <c r="Y567" s="850"/>
      <c r="Z567" s="850"/>
      <c r="AA567" s="850"/>
      <c r="AB567" s="850" t="s">
        <v>2917</v>
      </c>
      <c r="AC567" s="558" t="s">
        <v>2918</v>
      </c>
      <c r="AD567" s="850"/>
      <c r="AE567" s="80">
        <f t="shared" si="72"/>
        <v>0</v>
      </c>
      <c r="AF567" s="851"/>
      <c r="AG567" s="852" t="s">
        <v>115</v>
      </c>
      <c r="AH567" s="852" t="s">
        <v>115</v>
      </c>
      <c r="AI567" s="515"/>
      <c r="AJ567" s="155"/>
      <c r="AK567" s="155"/>
      <c r="AL567" s="124"/>
      <c r="AM567" s="515"/>
      <c r="AN567" s="815"/>
      <c r="AO567" s="815" t="s">
        <v>2404</v>
      </c>
      <c r="AP567" s="815" t="s">
        <v>2404</v>
      </c>
      <c r="AQ567" s="853"/>
      <c r="AR567" s="609"/>
      <c r="AS567" s="609"/>
      <c r="AT567" s="609"/>
      <c r="AU567" s="854"/>
      <c r="AV567" s="609"/>
      <c r="AW567" s="609"/>
      <c r="AX567" s="609"/>
      <c r="AY567" s="854"/>
      <c r="AZ567" s="855"/>
      <c r="BA567" s="855"/>
      <c r="BB567" s="855"/>
      <c r="BC567" s="854"/>
      <c r="BD567" s="855"/>
      <c r="BE567" s="855"/>
      <c r="BF567" s="855"/>
      <c r="BG567" s="854"/>
      <c r="BH567" s="760">
        <f t="shared" si="53"/>
        <v>0</v>
      </c>
      <c r="BI567" s="761">
        <f t="shared" si="54"/>
        <v>0</v>
      </c>
      <c r="BJ567" s="761">
        <f t="shared" si="55"/>
        <v>0</v>
      </c>
      <c r="BK567" s="110"/>
      <c r="BL567" s="242"/>
      <c r="BM567" s="203"/>
      <c r="BN567" s="203"/>
      <c r="BO567" s="203"/>
      <c r="BP567" s="828" t="s">
        <v>2919</v>
      </c>
      <c r="BQ567" s="856">
        <v>0.15</v>
      </c>
      <c r="BR567" s="110"/>
      <c r="BS567" s="242"/>
      <c r="BT567" s="203"/>
      <c r="BU567" s="203"/>
      <c r="BV567" s="203"/>
      <c r="BW567" s="857"/>
      <c r="BX567" s="828" t="s">
        <v>2920</v>
      </c>
      <c r="BY567" s="856">
        <v>0.05</v>
      </c>
      <c r="BZ567" s="110">
        <f t="shared" si="92"/>
        <v>0</v>
      </c>
      <c r="CA567" s="242"/>
      <c r="CB567" s="796"/>
      <c r="CC567" s="796"/>
      <c r="CD567" s="796"/>
      <c r="CE567" s="797"/>
      <c r="CF567" s="858"/>
      <c r="CG567" s="859"/>
      <c r="CH567" s="858"/>
      <c r="CI567" s="858"/>
      <c r="CJ567" s="860"/>
      <c r="CK567" s="861"/>
      <c r="CL567" s="862"/>
      <c r="CM567" s="862"/>
      <c r="CN567" s="863"/>
      <c r="CO567" s="263"/>
      <c r="CP567" s="263"/>
      <c r="CQ567" s="263"/>
      <c r="CR567" s="263"/>
      <c r="CS567" s="263"/>
      <c r="CT567" s="263"/>
      <c r="CU567" s="245"/>
      <c r="CV567" s="207"/>
      <c r="CW567" s="438"/>
      <c r="CX567" s="439" t="s">
        <v>2921</v>
      </c>
      <c r="CY567" s="155"/>
      <c r="CZ567" s="155"/>
      <c r="DA567" s="849"/>
      <c r="DB567" s="115"/>
      <c r="DC567" s="766"/>
      <c r="DD567" s="242"/>
      <c r="DE567" s="242"/>
      <c r="DF567" s="242"/>
      <c r="DG567" s="729"/>
      <c r="DH567" s="730"/>
      <c r="DI567" s="729"/>
      <c r="DJ567" s="729"/>
      <c r="DK567" s="729"/>
      <c r="DL567" s="729"/>
      <c r="DM567" s="4"/>
    </row>
    <row r="568" spans="1:130" ht="30" hidden="1" customHeight="1" outlineLevel="1">
      <c r="A568" s="228"/>
      <c r="B568" s="121"/>
      <c r="C568" s="155"/>
      <c r="D568" s="757"/>
      <c r="E568" s="757"/>
      <c r="F568" s="757"/>
      <c r="G568" s="864" t="s">
        <v>188</v>
      </c>
      <c r="H568" s="865" t="s">
        <v>2922</v>
      </c>
      <c r="I568" s="207" t="s">
        <v>2923</v>
      </c>
      <c r="J568" s="121" t="str">
        <f t="shared" si="52"/>
        <v>Andrea Amendola</v>
      </c>
      <c r="K568" s="848">
        <v>3398855372</v>
      </c>
      <c r="L568" s="849"/>
      <c r="M568" s="828"/>
      <c r="N568" s="828"/>
      <c r="O568" s="622"/>
      <c r="P568" s="850" t="s">
        <v>2924</v>
      </c>
      <c r="Q568" s="850" t="s">
        <v>2924</v>
      </c>
      <c r="R568" s="828" t="s">
        <v>2925</v>
      </c>
      <c r="S568" s="828" t="s">
        <v>2926</v>
      </c>
      <c r="T568" s="828"/>
      <c r="U568" s="828"/>
      <c r="V568" s="828"/>
      <c r="W568" s="850"/>
      <c r="X568" s="131" t="s">
        <v>2927</v>
      </c>
      <c r="Y568" s="850"/>
      <c r="Z568" s="850"/>
      <c r="AA568" s="850"/>
      <c r="AB568" s="850" t="s">
        <v>2412</v>
      </c>
      <c r="AC568" s="131"/>
      <c r="AD568" s="850"/>
      <c r="AE568" s="80">
        <f t="shared" si="72"/>
        <v>0</v>
      </c>
      <c r="AF568" s="851"/>
      <c r="AG568" s="852" t="s">
        <v>115</v>
      </c>
      <c r="AH568" s="852" t="s">
        <v>115</v>
      </c>
      <c r="AI568" s="515"/>
      <c r="AJ568" s="815"/>
      <c r="AK568" s="815"/>
      <c r="AL568" s="815"/>
      <c r="AM568" s="851"/>
      <c r="AN568" s="815"/>
      <c r="AO568" s="815"/>
      <c r="AP568" s="815"/>
      <c r="AQ568" s="853"/>
      <c r="AR568" s="609"/>
      <c r="AS568" s="121"/>
      <c r="AT568" s="121"/>
      <c r="AU568" s="854"/>
      <c r="AV568" s="609"/>
      <c r="AW568" s="121"/>
      <c r="AX568" s="121"/>
      <c r="AY568" s="854"/>
      <c r="AZ568" s="617"/>
      <c r="BA568" s="617"/>
      <c r="BB568" s="617"/>
      <c r="BC568" s="854"/>
      <c r="BD568" s="617"/>
      <c r="BE568" s="617"/>
      <c r="BF568" s="617"/>
      <c r="BG568" s="854"/>
      <c r="BH568" s="760"/>
      <c r="BI568" s="761"/>
      <c r="BJ568" s="761">
        <f t="shared" si="55"/>
        <v>0</v>
      </c>
      <c r="BK568" s="110"/>
      <c r="BL568" s="242"/>
      <c r="BM568" s="203"/>
      <c r="BN568" s="203"/>
      <c r="BO568" s="203"/>
      <c r="BP568" s="828" t="s">
        <v>2928</v>
      </c>
      <c r="BQ568" s="856">
        <v>0.15</v>
      </c>
      <c r="BR568" s="110"/>
      <c r="BS568" s="242"/>
      <c r="BT568" s="203"/>
      <c r="BU568" s="203"/>
      <c r="BV568" s="203"/>
      <c r="BW568" s="857"/>
      <c r="BX568" s="828" t="s">
        <v>2928</v>
      </c>
      <c r="BY568" s="856">
        <v>0.05</v>
      </c>
      <c r="BZ568" s="110">
        <f t="shared" si="92"/>
        <v>0</v>
      </c>
      <c r="CA568" s="242"/>
      <c r="CB568" s="796"/>
      <c r="CC568" s="796"/>
      <c r="CD568" s="796"/>
      <c r="CE568" s="797"/>
      <c r="CF568" s="858"/>
      <c r="CG568" s="866"/>
      <c r="CH568" s="858"/>
      <c r="CI568" s="867"/>
      <c r="CJ568" s="859"/>
      <c r="CK568" s="867"/>
      <c r="CL568" s="867"/>
      <c r="CM568" s="859"/>
      <c r="CN568" s="868"/>
      <c r="CO568" s="263"/>
      <c r="CP568" s="263"/>
      <c r="CQ568" s="263"/>
      <c r="CR568" s="263"/>
      <c r="CS568" s="263"/>
      <c r="CT568" s="263"/>
      <c r="CU568" s="245"/>
      <c r="CV568" s="207"/>
      <c r="CW568" s="491"/>
      <c r="CX568" s="492" t="s">
        <v>2929</v>
      </c>
      <c r="CY568" s="155"/>
      <c r="CZ568" s="155"/>
      <c r="DA568" s="849"/>
      <c r="DB568" s="115"/>
      <c r="DC568" s="766"/>
      <c r="DD568" s="242"/>
      <c r="DE568" s="242"/>
      <c r="DF568" s="242"/>
      <c r="DG568" s="729"/>
      <c r="DH568" s="730"/>
      <c r="DI568" s="729"/>
      <c r="DJ568" s="729"/>
      <c r="DK568" s="729"/>
      <c r="DL568" s="729"/>
      <c r="DM568" s="4"/>
    </row>
    <row r="569" spans="1:130" ht="30" hidden="1" customHeight="1" outlineLevel="1">
      <c r="A569" s="228"/>
      <c r="B569" s="121"/>
      <c r="C569" s="155"/>
      <c r="D569" s="757"/>
      <c r="E569" s="757"/>
      <c r="F569" s="757"/>
      <c r="G569" s="864" t="s">
        <v>188</v>
      </c>
      <c r="H569" s="865" t="s">
        <v>2930</v>
      </c>
      <c r="I569" s="207" t="s">
        <v>2931</v>
      </c>
      <c r="J569" s="121" t="str">
        <f t="shared" si="52"/>
        <v>Andrea Costa</v>
      </c>
      <c r="K569" s="848">
        <v>3342754871</v>
      </c>
      <c r="L569" s="849"/>
      <c r="M569" s="828"/>
      <c r="N569" s="828"/>
      <c r="O569" s="622"/>
      <c r="P569" s="850" t="s">
        <v>2932</v>
      </c>
      <c r="Q569" s="850" t="s">
        <v>2932</v>
      </c>
      <c r="R569" s="828" t="s">
        <v>2933</v>
      </c>
      <c r="S569" s="828" t="s">
        <v>2934</v>
      </c>
      <c r="T569" s="828"/>
      <c r="U569" s="828"/>
      <c r="V569" s="828"/>
      <c r="W569" s="850"/>
      <c r="X569" s="131"/>
      <c r="Y569" s="850"/>
      <c r="Z569" s="850"/>
      <c r="AA569" s="850"/>
      <c r="AB569" s="850" t="s">
        <v>2935</v>
      </c>
      <c r="AC569" s="131"/>
      <c r="AD569" s="850"/>
      <c r="AE569" s="80">
        <f t="shared" si="72"/>
        <v>0</v>
      </c>
      <c r="AF569" s="851"/>
      <c r="AG569" s="852" t="s">
        <v>115</v>
      </c>
      <c r="AH569" s="852" t="s">
        <v>115</v>
      </c>
      <c r="AI569" s="515"/>
      <c r="AJ569" s="815" t="s">
        <v>154</v>
      </c>
      <c r="AK569" s="815"/>
      <c r="AL569" s="815"/>
      <c r="AM569" s="851"/>
      <c r="AN569" s="815"/>
      <c r="AO569" s="815" t="s">
        <v>2404</v>
      </c>
      <c r="AP569" s="815" t="s">
        <v>2404</v>
      </c>
      <c r="AQ569" s="853"/>
      <c r="AR569" s="609"/>
      <c r="AS569" s="121"/>
      <c r="AT569" s="121"/>
      <c r="AU569" s="854"/>
      <c r="AV569" s="609"/>
      <c r="AW569" s="121"/>
      <c r="AX569" s="121"/>
      <c r="AY569" s="854"/>
      <c r="AZ569" s="617"/>
      <c r="BA569" s="617"/>
      <c r="BB569" s="617"/>
      <c r="BC569" s="854"/>
      <c r="BD569" s="617"/>
      <c r="BE569" s="617"/>
      <c r="BF569" s="617"/>
      <c r="BG569" s="854"/>
      <c r="BH569" s="760">
        <f t="shared" ref="BH569:BH571" si="93">CF569+CI569+CL569+CO568+CR568</f>
        <v>0</v>
      </c>
      <c r="BI569" s="761">
        <f t="shared" ref="BI569:BI571" si="94">CH569+CK569+CN569+CQ568+CT568</f>
        <v>0</v>
      </c>
      <c r="BJ569" s="761">
        <f t="shared" si="55"/>
        <v>0</v>
      </c>
      <c r="BK569" s="110"/>
      <c r="BL569" s="242"/>
      <c r="BM569" s="203"/>
      <c r="BN569" s="203"/>
      <c r="BO569" s="203"/>
      <c r="BP569" s="828" t="s">
        <v>2936</v>
      </c>
      <c r="BQ569" s="856">
        <v>0.15</v>
      </c>
      <c r="BR569" s="110"/>
      <c r="BS569" s="242"/>
      <c r="BT569" s="203"/>
      <c r="BU569" s="203"/>
      <c r="BV569" s="203"/>
      <c r="BW569" s="857"/>
      <c r="BX569" s="828" t="s">
        <v>2936</v>
      </c>
      <c r="BY569" s="856">
        <v>0.05</v>
      </c>
      <c r="BZ569" s="110">
        <f t="shared" si="92"/>
        <v>0</v>
      </c>
      <c r="CA569" s="242"/>
      <c r="CB569" s="796"/>
      <c r="CC569" s="796"/>
      <c r="CD569" s="796"/>
      <c r="CE569" s="797"/>
      <c r="CF569" s="858"/>
      <c r="CG569" s="866"/>
      <c r="CH569" s="858"/>
      <c r="CI569" s="867"/>
      <c r="CJ569" s="859"/>
      <c r="CK569" s="867"/>
      <c r="CL569" s="867"/>
      <c r="CM569" s="859"/>
      <c r="CN569" s="868"/>
      <c r="CO569" s="263"/>
      <c r="CP569" s="263"/>
      <c r="CQ569" s="263"/>
      <c r="CR569" s="263"/>
      <c r="CS569" s="263"/>
      <c r="CT569" s="263"/>
      <c r="CU569" s="245"/>
      <c r="CV569" s="207"/>
      <c r="CW569" s="438" t="s">
        <v>1408</v>
      </c>
      <c r="CX569" s="439"/>
      <c r="CY569" s="155"/>
      <c r="CZ569" s="155"/>
      <c r="DA569" s="849"/>
      <c r="DB569" s="115"/>
      <c r="DC569" s="766"/>
      <c r="DD569" s="242"/>
      <c r="DE569" s="242"/>
      <c r="DF569" s="242"/>
      <c r="DG569" s="729"/>
      <c r="DH569" s="730"/>
      <c r="DI569" s="729"/>
      <c r="DJ569" s="729"/>
      <c r="DK569" s="729"/>
      <c r="DL569" s="729"/>
      <c r="DM569" s="4"/>
    </row>
    <row r="570" spans="1:130" ht="30" hidden="1" customHeight="1" outlineLevel="1">
      <c r="A570" s="228"/>
      <c r="B570" s="121"/>
      <c r="C570" s="155"/>
      <c r="D570" s="757"/>
      <c r="E570" s="757"/>
      <c r="F570" s="757"/>
      <c r="G570" s="864" t="s">
        <v>188</v>
      </c>
      <c r="H570" s="865" t="s">
        <v>2937</v>
      </c>
      <c r="I570" s="207" t="s">
        <v>2938</v>
      </c>
      <c r="J570" s="121" t="str">
        <f t="shared" si="52"/>
        <v>Andrea Persiano</v>
      </c>
      <c r="K570" s="848"/>
      <c r="L570" s="849"/>
      <c r="M570" s="828"/>
      <c r="N570" s="828"/>
      <c r="O570" s="622"/>
      <c r="P570" s="850"/>
      <c r="Q570" s="850"/>
      <c r="R570" s="828" t="s">
        <v>2939</v>
      </c>
      <c r="S570" s="869"/>
      <c r="T570" s="869"/>
      <c r="U570" s="869"/>
      <c r="V570" s="869"/>
      <c r="W570" s="850"/>
      <c r="X570" s="131"/>
      <c r="Y570" s="850"/>
      <c r="Z570" s="850"/>
      <c r="AA570" s="850"/>
      <c r="AB570" s="850"/>
      <c r="AC570" s="131"/>
      <c r="AD570" s="850"/>
      <c r="AE570" s="80">
        <f t="shared" si="72"/>
        <v>0</v>
      </c>
      <c r="AF570" s="851"/>
      <c r="AG570" s="852" t="s">
        <v>115</v>
      </c>
      <c r="AH570" s="852" t="s">
        <v>115</v>
      </c>
      <c r="AI570" s="515"/>
      <c r="AJ570" s="815"/>
      <c r="AK570" s="815"/>
      <c r="AL570" s="815"/>
      <c r="AM570" s="851"/>
      <c r="AN570" s="815"/>
      <c r="AO570" s="815" t="s">
        <v>2404</v>
      </c>
      <c r="AP570" s="815" t="s">
        <v>2404</v>
      </c>
      <c r="AQ570" s="853"/>
      <c r="AR570" s="609"/>
      <c r="AS570" s="609"/>
      <c r="AT570" s="609"/>
      <c r="AU570" s="854"/>
      <c r="AV570" s="609"/>
      <c r="AW570" s="609"/>
      <c r="AX570" s="609"/>
      <c r="AY570" s="854"/>
      <c r="AZ570" s="855"/>
      <c r="BA570" s="855"/>
      <c r="BB570" s="855"/>
      <c r="BC570" s="854"/>
      <c r="BD570" s="855"/>
      <c r="BE570" s="855"/>
      <c r="BF570" s="855"/>
      <c r="BG570" s="854"/>
      <c r="BH570" s="760">
        <f t="shared" si="93"/>
        <v>0</v>
      </c>
      <c r="BI570" s="761">
        <f t="shared" si="94"/>
        <v>0</v>
      </c>
      <c r="BJ570" s="761">
        <f t="shared" si="55"/>
        <v>0</v>
      </c>
      <c r="BK570" s="110"/>
      <c r="BL570" s="242"/>
      <c r="BM570" s="203"/>
      <c r="BN570" s="203"/>
      <c r="BO570" s="203"/>
      <c r="BP570" s="828" t="s">
        <v>2613</v>
      </c>
      <c r="BQ570" s="856">
        <v>0</v>
      </c>
      <c r="BR570" s="110"/>
      <c r="BS570" s="242"/>
      <c r="BT570" s="203"/>
      <c r="BU570" s="203"/>
      <c r="BV570" s="203"/>
      <c r="BW570" s="857"/>
      <c r="BX570" s="828" t="s">
        <v>2940</v>
      </c>
      <c r="BY570" s="856">
        <v>0</v>
      </c>
      <c r="BZ570" s="110">
        <f t="shared" si="92"/>
        <v>0</v>
      </c>
      <c r="CA570" s="242"/>
      <c r="CB570" s="796"/>
      <c r="CC570" s="796"/>
      <c r="CD570" s="796"/>
      <c r="CE570" s="797"/>
      <c r="CF570" s="867"/>
      <c r="CG570" s="859"/>
      <c r="CH570" s="867"/>
      <c r="CI570" s="862"/>
      <c r="CJ570" s="859"/>
      <c r="CK570" s="862"/>
      <c r="CL570" s="862"/>
      <c r="CM570" s="859"/>
      <c r="CN570" s="863"/>
      <c r="CO570" s="263"/>
      <c r="CP570" s="263"/>
      <c r="CQ570" s="263"/>
      <c r="CR570" s="263"/>
      <c r="CS570" s="263"/>
      <c r="CT570" s="263"/>
      <c r="CU570" s="245"/>
      <c r="CV570" s="207"/>
      <c r="CW570" s="438" t="s">
        <v>1580</v>
      </c>
      <c r="CX570" s="439"/>
      <c r="CY570" s="155"/>
      <c r="CZ570" s="155"/>
      <c r="DA570" s="849"/>
      <c r="DB570" s="115"/>
      <c r="DC570" s="766"/>
      <c r="DD570" s="242"/>
      <c r="DE570" s="242"/>
      <c r="DF570" s="242"/>
      <c r="DG570" s="729"/>
      <c r="DH570" s="730"/>
      <c r="DI570" s="729"/>
      <c r="DJ570" s="729"/>
      <c r="DK570" s="729"/>
      <c r="DL570" s="729"/>
      <c r="DM570" s="4"/>
    </row>
    <row r="571" spans="1:130" ht="30" hidden="1" customHeight="1" outlineLevel="1">
      <c r="A571" s="228"/>
      <c r="B571" s="121"/>
      <c r="C571" s="155"/>
      <c r="D571" s="757"/>
      <c r="E571" s="757"/>
      <c r="F571" s="757"/>
      <c r="G571" s="864" t="s">
        <v>977</v>
      </c>
      <c r="H571" s="865" t="s">
        <v>2941</v>
      </c>
      <c r="I571" s="207" t="s">
        <v>2942</v>
      </c>
      <c r="J571" s="121" t="str">
        <f t="shared" si="52"/>
        <v>Antonio Gallio</v>
      </c>
      <c r="K571" s="848" t="s">
        <v>2943</v>
      </c>
      <c r="L571" s="849"/>
      <c r="M571" s="828"/>
      <c r="N571" s="828"/>
      <c r="O571" s="622"/>
      <c r="P571" s="850" t="s">
        <v>2944</v>
      </c>
      <c r="Q571" s="850" t="s">
        <v>2944</v>
      </c>
      <c r="R571" s="828" t="s">
        <v>2945</v>
      </c>
      <c r="S571" s="828" t="s">
        <v>2946</v>
      </c>
      <c r="T571" s="828"/>
      <c r="U571" s="828"/>
      <c r="V571" s="828"/>
      <c r="W571" s="850"/>
      <c r="X571" s="131"/>
      <c r="Y571" s="850"/>
      <c r="Z571" s="850"/>
      <c r="AA571" s="850"/>
      <c r="AB571" s="850" t="s">
        <v>2947</v>
      </c>
      <c r="AC571" s="131"/>
      <c r="AD571" s="850"/>
      <c r="AE571" s="80">
        <f t="shared" si="72"/>
        <v>0</v>
      </c>
      <c r="AF571" s="851"/>
      <c r="AG571" s="852" t="s">
        <v>115</v>
      </c>
      <c r="AH571" s="852" t="s">
        <v>115</v>
      </c>
      <c r="AI571" s="515"/>
      <c r="AJ571" s="815"/>
      <c r="AK571" s="815"/>
      <c r="AL571" s="815"/>
      <c r="AM571" s="851"/>
      <c r="AN571" s="815"/>
      <c r="AO571" s="815" t="s">
        <v>2404</v>
      </c>
      <c r="AP571" s="815" t="s">
        <v>2404</v>
      </c>
      <c r="AQ571" s="853"/>
      <c r="AR571" s="609"/>
      <c r="AS571" s="609"/>
      <c r="AT571" s="609"/>
      <c r="AU571" s="854"/>
      <c r="AV571" s="609"/>
      <c r="AW571" s="609"/>
      <c r="AX571" s="609"/>
      <c r="AY571" s="854"/>
      <c r="AZ571" s="855"/>
      <c r="BA571" s="855"/>
      <c r="BB571" s="855"/>
      <c r="BC571" s="854"/>
      <c r="BD571" s="855"/>
      <c r="BE571" s="855"/>
      <c r="BF571" s="855"/>
      <c r="BG571" s="854"/>
      <c r="BH571" s="760">
        <f t="shared" si="93"/>
        <v>0</v>
      </c>
      <c r="BI571" s="761">
        <f t="shared" si="94"/>
        <v>0</v>
      </c>
      <c r="BJ571" s="761">
        <f t="shared" si="55"/>
        <v>0</v>
      </c>
      <c r="BK571" s="110"/>
      <c r="BL571" s="242"/>
      <c r="BM571" s="203"/>
      <c r="BN571" s="203"/>
      <c r="BO571" s="203"/>
      <c r="BP571" s="828" t="s">
        <v>2936</v>
      </c>
      <c r="BQ571" s="856">
        <v>0.15</v>
      </c>
      <c r="BR571" s="110"/>
      <c r="BS571" s="242"/>
      <c r="BT571" s="203"/>
      <c r="BU571" s="203"/>
      <c r="BV571" s="203"/>
      <c r="BW571" s="857"/>
      <c r="BX571" s="828" t="s">
        <v>2936</v>
      </c>
      <c r="BY571" s="856">
        <v>0.05</v>
      </c>
      <c r="BZ571" s="110">
        <f t="shared" si="92"/>
        <v>0</v>
      </c>
      <c r="CA571" s="242"/>
      <c r="CB571" s="796"/>
      <c r="CC571" s="796"/>
      <c r="CD571" s="796"/>
      <c r="CE571" s="797"/>
      <c r="CF571" s="858"/>
      <c r="CG571" s="866"/>
      <c r="CH571" s="858"/>
      <c r="CI571" s="867"/>
      <c r="CJ571" s="859"/>
      <c r="CK571" s="867"/>
      <c r="CL571" s="867"/>
      <c r="CM571" s="859"/>
      <c r="CN571" s="868"/>
      <c r="CO571" s="263"/>
      <c r="CP571" s="263"/>
      <c r="CQ571" s="263"/>
      <c r="CR571" s="263"/>
      <c r="CS571" s="263"/>
      <c r="CT571" s="263"/>
      <c r="CU571" s="245"/>
      <c r="CV571" s="207"/>
      <c r="CW571" s="438" t="s">
        <v>1580</v>
      </c>
      <c r="CX571" s="439" t="s">
        <v>1580</v>
      </c>
      <c r="CY571" s="155"/>
      <c r="CZ571" s="155"/>
      <c r="DA571" s="849"/>
      <c r="DB571" s="115"/>
      <c r="DC571" s="766"/>
      <c r="DD571" s="242"/>
      <c r="DE571" s="242"/>
      <c r="DF571" s="242"/>
      <c r="DG571" s="729"/>
      <c r="DH571" s="730"/>
      <c r="DI571" s="729"/>
      <c r="DJ571" s="729"/>
      <c r="DK571" s="729"/>
      <c r="DL571" s="729"/>
      <c r="DM571" s="4"/>
    </row>
    <row r="572" spans="1:130" ht="30" hidden="1" customHeight="1" outlineLevel="1">
      <c r="A572" s="228"/>
      <c r="B572" s="121"/>
      <c r="C572" s="155"/>
      <c r="D572" s="757"/>
      <c r="E572" s="757"/>
      <c r="F572" s="757"/>
      <c r="G572" s="369" t="s">
        <v>414</v>
      </c>
      <c r="H572" s="672" t="s">
        <v>2948</v>
      </c>
      <c r="I572" s="207" t="s">
        <v>2949</v>
      </c>
      <c r="J572" s="121" t="str">
        <f t="shared" si="52"/>
        <v>Barbara Boschi</v>
      </c>
      <c r="K572" s="224">
        <v>3481307497</v>
      </c>
      <c r="L572" s="131"/>
      <c r="M572" s="131"/>
      <c r="N572" s="131"/>
      <c r="O572" s="599"/>
      <c r="P572" s="564" t="s">
        <v>2950</v>
      </c>
      <c r="Q572" s="131"/>
      <c r="R572" s="131"/>
      <c r="S572" s="131" t="s">
        <v>2951</v>
      </c>
      <c r="T572" s="131"/>
      <c r="U572" s="131"/>
      <c r="V572" s="131"/>
      <c r="W572" s="255"/>
      <c r="X572" s="131"/>
      <c r="Y572" s="255"/>
      <c r="Z572" s="255"/>
      <c r="AA572" s="255"/>
      <c r="AB572" s="255"/>
      <c r="AC572" s="131"/>
      <c r="AD572" s="255"/>
      <c r="AE572" s="80">
        <f t="shared" si="72"/>
        <v>0</v>
      </c>
      <c r="AF572" s="515"/>
      <c r="AG572" s="516" t="s">
        <v>116</v>
      </c>
      <c r="AH572" s="516" t="s">
        <v>115</v>
      </c>
      <c r="AI572" s="515"/>
      <c r="AJ572" s="815"/>
      <c r="AK572" s="815"/>
      <c r="AL572" s="815"/>
      <c r="AM572" s="851"/>
      <c r="AN572" s="155"/>
      <c r="AO572" s="155"/>
      <c r="AP572" s="155" t="s">
        <v>2404</v>
      </c>
      <c r="AQ572" s="515"/>
      <c r="AR572" s="121"/>
      <c r="AS572" s="121"/>
      <c r="AT572" s="121"/>
      <c r="AU572" s="568"/>
      <c r="AV572" s="121"/>
      <c r="AW572" s="121"/>
      <c r="AX572" s="121"/>
      <c r="AY572" s="568"/>
      <c r="AZ572" s="617"/>
      <c r="BA572" s="617"/>
      <c r="BB572" s="617"/>
      <c r="BC572" s="568"/>
      <c r="BD572" s="617"/>
      <c r="BE572" s="617"/>
      <c r="BF572" s="617"/>
      <c r="BG572" s="568"/>
      <c r="BH572" s="760"/>
      <c r="BI572" s="761"/>
      <c r="BJ572" s="761">
        <f t="shared" si="55"/>
        <v>0</v>
      </c>
      <c r="BK572" s="110"/>
      <c r="BL572" s="242"/>
      <c r="BM572" s="203"/>
      <c r="BN572" s="203"/>
      <c r="BO572" s="203"/>
      <c r="BP572" s="529" t="s">
        <v>2952</v>
      </c>
      <c r="BQ572" s="145">
        <v>0.15</v>
      </c>
      <c r="BR572" s="110"/>
      <c r="BS572" s="242"/>
      <c r="BT572" s="203"/>
      <c r="BU572" s="373"/>
      <c r="BV572" s="373"/>
      <c r="BW572" s="870"/>
      <c r="BX572" s="529" t="s">
        <v>2953</v>
      </c>
      <c r="BY572" s="145">
        <v>0.05</v>
      </c>
      <c r="BZ572" s="110">
        <f t="shared" si="92"/>
        <v>0</v>
      </c>
      <c r="CA572" s="242"/>
      <c r="CB572" s="796"/>
      <c r="CC572" s="796"/>
      <c r="CD572" s="796"/>
      <c r="CE572" s="797"/>
      <c r="CF572" s="301"/>
      <c r="CG572" s="206"/>
      <c r="CH572" s="301"/>
      <c r="CI572" s="110"/>
      <c r="CJ572" s="226"/>
      <c r="CK572" s="110"/>
      <c r="CL572" s="110"/>
      <c r="CM572" s="226"/>
      <c r="CN572" s="349"/>
      <c r="CO572" s="263"/>
      <c r="CP572" s="263"/>
      <c r="CQ572" s="263"/>
      <c r="CR572" s="263"/>
      <c r="CS572" s="263"/>
      <c r="CT572" s="263"/>
      <c r="CU572" s="245"/>
      <c r="CV572" s="181"/>
      <c r="CW572" s="438" t="s">
        <v>1580</v>
      </c>
      <c r="CX572" s="439" t="s">
        <v>1580</v>
      </c>
      <c r="CY572" s="155"/>
      <c r="CZ572" s="155"/>
      <c r="DA572" s="131"/>
      <c r="DB572" s="115"/>
      <c r="DC572" s="766"/>
      <c r="DD572" s="242"/>
      <c r="DE572" s="242"/>
      <c r="DF572" s="242"/>
      <c r="DG572" s="729"/>
      <c r="DH572" s="730"/>
      <c r="DI572" s="729"/>
      <c r="DJ572" s="729"/>
      <c r="DK572" s="729"/>
      <c r="DL572" s="729"/>
      <c r="DM572" s="4"/>
    </row>
    <row r="573" spans="1:130" ht="30" hidden="1" customHeight="1" outlineLevel="1">
      <c r="A573" s="228"/>
      <c r="B573" s="121"/>
      <c r="C573" s="155"/>
      <c r="D573" s="757"/>
      <c r="E573" s="757"/>
      <c r="F573" s="757"/>
      <c r="G573" s="369" t="s">
        <v>414</v>
      </c>
      <c r="H573" s="672" t="s">
        <v>2954</v>
      </c>
      <c r="I573" s="207" t="s">
        <v>2955</v>
      </c>
      <c r="J573" s="121" t="str">
        <f t="shared" si="52"/>
        <v>Barbara Calabria</v>
      </c>
      <c r="K573" s="224">
        <v>3355680761</v>
      </c>
      <c r="L573" s="131"/>
      <c r="M573" s="131"/>
      <c r="N573" s="289"/>
      <c r="O573" s="567"/>
      <c r="P573" s="255" t="s">
        <v>2956</v>
      </c>
      <c r="Q573" s="564" t="s">
        <v>2956</v>
      </c>
      <c r="R573" s="131" t="s">
        <v>2957</v>
      </c>
      <c r="S573" s="131" t="s">
        <v>2958</v>
      </c>
      <c r="T573" s="131"/>
      <c r="U573" s="131"/>
      <c r="V573" s="131"/>
      <c r="W573" s="258"/>
      <c r="X573" s="131" t="s">
        <v>2955</v>
      </c>
      <c r="Y573" s="258"/>
      <c r="Z573" s="258"/>
      <c r="AA573" s="258"/>
      <c r="AB573" s="255" t="s">
        <v>2412</v>
      </c>
      <c r="AC573" s="131"/>
      <c r="AD573" s="255"/>
      <c r="AE573" s="80">
        <f t="shared" si="72"/>
        <v>0</v>
      </c>
      <c r="AF573" s="515"/>
      <c r="AG573" s="516" t="s">
        <v>115</v>
      </c>
      <c r="AH573" s="516" t="s">
        <v>115</v>
      </c>
      <c r="AI573" s="515"/>
      <c r="AJ573" s="155"/>
      <c r="AK573" s="155"/>
      <c r="AL573" s="124"/>
      <c r="AM573" s="515"/>
      <c r="AN573" s="155"/>
      <c r="AO573" s="155"/>
      <c r="AP573" s="155"/>
      <c r="AQ573" s="515"/>
      <c r="AR573" s="121"/>
      <c r="AS573" s="121"/>
      <c r="AT573" s="121"/>
      <c r="AU573" s="568"/>
      <c r="AV573" s="121"/>
      <c r="AW573" s="121"/>
      <c r="AX573" s="121"/>
      <c r="AY573" s="568"/>
      <c r="AZ573" s="617"/>
      <c r="BA573" s="617"/>
      <c r="BB573" s="617"/>
      <c r="BC573" s="568"/>
      <c r="BD573" s="617"/>
      <c r="BE573" s="617"/>
      <c r="BF573" s="617"/>
      <c r="BG573" s="568"/>
      <c r="BH573" s="760">
        <f t="shared" ref="BH573:BH574" si="95">CF573+CI573+CL573+CO572+CR572</f>
        <v>0</v>
      </c>
      <c r="BI573" s="761">
        <f>CH573+CK573+CN573+CQ572+CT572</f>
        <v>0</v>
      </c>
      <c r="BJ573" s="761">
        <f t="shared" si="55"/>
        <v>0</v>
      </c>
      <c r="BK573" s="110"/>
      <c r="BL573" s="242"/>
      <c r="BM573" s="203"/>
      <c r="BN573" s="203"/>
      <c r="BO573" s="203"/>
      <c r="BP573" s="529" t="s">
        <v>2959</v>
      </c>
      <c r="BQ573" s="145">
        <v>0.15</v>
      </c>
      <c r="BR573" s="110"/>
      <c r="BS573" s="242"/>
      <c r="BT573" s="203"/>
      <c r="BU573" s="373"/>
      <c r="BV573" s="373"/>
      <c r="BW573" s="870"/>
      <c r="BX573" s="529" t="s">
        <v>2959</v>
      </c>
      <c r="BY573" s="145">
        <v>0.05</v>
      </c>
      <c r="BZ573" s="110">
        <f t="shared" si="92"/>
        <v>0</v>
      </c>
      <c r="CA573" s="242"/>
      <c r="CB573" s="796"/>
      <c r="CC573" s="796"/>
      <c r="CD573" s="796"/>
      <c r="CE573" s="797"/>
      <c r="CF573" s="301"/>
      <c r="CG573" s="206"/>
      <c r="CH573" s="301"/>
      <c r="CI573" s="110"/>
      <c r="CJ573" s="226"/>
      <c r="CK573" s="110"/>
      <c r="CL573" s="110"/>
      <c r="CM573" s="226"/>
      <c r="CN573" s="349"/>
      <c r="CO573" s="871"/>
      <c r="CP573" s="871"/>
      <c r="CQ573" s="871"/>
      <c r="CR573" s="871"/>
      <c r="CS573" s="871"/>
      <c r="CT573" s="871"/>
      <c r="CU573" s="245" t="s">
        <v>2612</v>
      </c>
      <c r="CV573" s="181"/>
      <c r="CW573" s="438" t="s">
        <v>1580</v>
      </c>
      <c r="CX573" s="439" t="s">
        <v>1580</v>
      </c>
      <c r="CY573" s="121"/>
      <c r="CZ573" s="121"/>
      <c r="DA573" s="131"/>
      <c r="DB573" s="115"/>
      <c r="DC573" s="766"/>
      <c r="DD573" s="242"/>
      <c r="DE573" s="242"/>
      <c r="DF573" s="242"/>
      <c r="DG573" s="729"/>
      <c r="DH573" s="799"/>
      <c r="DI573" s="779"/>
      <c r="DJ573" s="779"/>
      <c r="DK573" s="779"/>
      <c r="DL573" s="779"/>
      <c r="DM573" s="4"/>
    </row>
    <row r="574" spans="1:130" ht="98.25" hidden="1" customHeight="1" outlineLevel="1">
      <c r="A574" s="228"/>
      <c r="B574" s="121"/>
      <c r="C574" s="155"/>
      <c r="D574" s="757"/>
      <c r="E574" s="757"/>
      <c r="F574" s="872"/>
      <c r="G574" s="873" t="s">
        <v>2960</v>
      </c>
      <c r="H574" s="874" t="s">
        <v>2961</v>
      </c>
      <c r="I574" s="875" t="s">
        <v>2962</v>
      </c>
      <c r="J574" s="121" t="str">
        <f t="shared" si="52"/>
        <v>Bruno Julian Papaleo</v>
      </c>
      <c r="K574" s="224">
        <v>3420208244</v>
      </c>
      <c r="L574" s="876" t="s">
        <v>2963</v>
      </c>
      <c r="M574" s="131"/>
      <c r="N574" s="289"/>
      <c r="O574" s="567"/>
      <c r="P574" s="255" t="s">
        <v>2964</v>
      </c>
      <c r="Q574" s="564" t="s">
        <v>2965</v>
      </c>
      <c r="R574" s="131" t="s">
        <v>2966</v>
      </c>
      <c r="S574" s="131" t="s">
        <v>2967</v>
      </c>
      <c r="T574" s="131"/>
      <c r="U574" s="131"/>
      <c r="V574" s="131"/>
      <c r="W574" s="155"/>
      <c r="X574" s="131" t="s">
        <v>2927</v>
      </c>
      <c r="Y574" s="155"/>
      <c r="Z574" s="155"/>
      <c r="AA574" s="155"/>
      <c r="AB574" s="255" t="s">
        <v>2968</v>
      </c>
      <c r="AC574" s="558" t="s">
        <v>2969</v>
      </c>
      <c r="AD574" s="877" t="s">
        <v>2970</v>
      </c>
      <c r="AE574" s="80" t="str">
        <f t="shared" si="72"/>
        <v>nel CE MIV 22 Fatturati al momento 163,93 Euro- rif. ft. 729/MA del 23/09/2020 e nell'imponibile segnato Euro 163,93 - segnato come Primavera 2021</v>
      </c>
      <c r="AF574" s="515"/>
      <c r="AG574" s="406"/>
      <c r="AH574" s="406"/>
      <c r="AI574" s="515"/>
      <c r="AJ574" s="155"/>
      <c r="AK574" s="155"/>
      <c r="AL574" s="155"/>
      <c r="AM574" s="515"/>
      <c r="AN574" s="878" t="s">
        <v>245</v>
      </c>
      <c r="AO574" s="878" t="s">
        <v>245</v>
      </c>
      <c r="AP574" s="878" t="s">
        <v>245</v>
      </c>
      <c r="AQ574" s="515"/>
      <c r="AR574" s="304" t="s">
        <v>245</v>
      </c>
      <c r="AS574" s="304" t="s">
        <v>245</v>
      </c>
      <c r="AT574" s="304" t="s">
        <v>245</v>
      </c>
      <c r="AU574" s="568"/>
      <c r="AV574" s="304"/>
      <c r="AW574" s="304"/>
      <c r="AX574" s="304"/>
      <c r="AY574" s="568"/>
      <c r="AZ574" s="759"/>
      <c r="BA574" s="759"/>
      <c r="BB574" s="759"/>
      <c r="BC574" s="568"/>
      <c r="BD574" s="759"/>
      <c r="BE574" s="759"/>
      <c r="BF574" s="759"/>
      <c r="BG574" s="568"/>
      <c r="BH574" s="760">
        <f t="shared" si="95"/>
        <v>3497</v>
      </c>
      <c r="BI574" s="808">
        <f>CH574</f>
        <v>163.93</v>
      </c>
      <c r="BJ574" s="808">
        <f t="shared" si="55"/>
        <v>3333.07</v>
      </c>
      <c r="BK574" s="110">
        <v>0</v>
      </c>
      <c r="BL574" s="242">
        <f>BH574-BK574</f>
        <v>3497</v>
      </c>
      <c r="BM574" s="764"/>
      <c r="BN574" s="764"/>
      <c r="BO574" s="764"/>
      <c r="BP574" s="529" t="s">
        <v>2971</v>
      </c>
      <c r="BQ574" s="145">
        <v>0</v>
      </c>
      <c r="BR574" s="110">
        <f>BH574*BQ574</f>
        <v>0</v>
      </c>
      <c r="BS574" s="242"/>
      <c r="BT574" s="773"/>
      <c r="BU574" s="773"/>
      <c r="BV574" s="773"/>
      <c r="BW574" s="870"/>
      <c r="BX574" s="529" t="s">
        <v>152</v>
      </c>
      <c r="BY574" s="145">
        <v>0.05</v>
      </c>
      <c r="BZ574" s="110">
        <v>0</v>
      </c>
      <c r="CA574" s="242">
        <f t="shared" ref="CA574:CA643" si="96">BL574*BY574</f>
        <v>174.85000000000002</v>
      </c>
      <c r="CB574" s="764"/>
      <c r="CC574" s="764"/>
      <c r="CD574" s="764"/>
      <c r="CE574" s="813"/>
      <c r="CF574" s="110">
        <v>163.93</v>
      </c>
      <c r="CG574" s="226">
        <v>44092</v>
      </c>
      <c r="CH574" s="110">
        <v>163.93</v>
      </c>
      <c r="CI574" s="110">
        <f>1720/1.22</f>
        <v>1409.8360655737706</v>
      </c>
      <c r="CJ574" s="226">
        <v>44141</v>
      </c>
      <c r="CK574" s="110">
        <v>0</v>
      </c>
      <c r="CL574" s="110">
        <f>3497-CI574-CF574</f>
        <v>1923.2339344262293</v>
      </c>
      <c r="CM574" s="226">
        <v>44169</v>
      </c>
      <c r="CN574" s="349">
        <v>0</v>
      </c>
      <c r="CO574" s="871"/>
      <c r="CP574" s="871"/>
      <c r="CQ574" s="871"/>
      <c r="CR574" s="871"/>
      <c r="CS574" s="871"/>
      <c r="CT574" s="871"/>
      <c r="CU574" s="879" t="s">
        <v>2612</v>
      </c>
      <c r="CV574" s="181"/>
      <c r="CW574" s="438" t="s">
        <v>1580</v>
      </c>
      <c r="CX574" s="439" t="s">
        <v>1580</v>
      </c>
      <c r="CY574" s="121"/>
      <c r="CZ574" s="121"/>
      <c r="DA574" s="131"/>
      <c r="DB574" s="115"/>
      <c r="DC574" s="766"/>
      <c r="DD574" s="242"/>
      <c r="DE574" s="242"/>
      <c r="DF574" s="242"/>
      <c r="DG574" s="729"/>
      <c r="DH574" s="799"/>
      <c r="DI574" s="779"/>
      <c r="DJ574" s="779"/>
      <c r="DK574" s="779"/>
      <c r="DL574" s="779"/>
      <c r="DM574" s="4"/>
    </row>
    <row r="575" spans="1:130" ht="75.75" hidden="1" customHeight="1" outlineLevel="1">
      <c r="A575" s="228"/>
      <c r="B575" s="121"/>
      <c r="C575" s="155"/>
      <c r="D575" s="757"/>
      <c r="E575" s="757"/>
      <c r="F575" s="757"/>
      <c r="G575" s="880" t="s">
        <v>2972</v>
      </c>
      <c r="H575" s="880" t="s">
        <v>2973</v>
      </c>
      <c r="I575" s="207" t="s">
        <v>2974</v>
      </c>
      <c r="J575" s="121" t="str">
        <f t="shared" si="52"/>
        <v>Caterina Bissoni</v>
      </c>
      <c r="K575" s="224">
        <v>3337119508</v>
      </c>
      <c r="L575" s="555" t="s">
        <v>2975</v>
      </c>
      <c r="M575" s="561"/>
      <c r="N575" s="289"/>
      <c r="O575" s="567"/>
      <c r="P575" s="623"/>
      <c r="Q575" s="623"/>
      <c r="R575" s="131" t="s">
        <v>2976</v>
      </c>
      <c r="S575" s="625"/>
      <c r="T575" s="255"/>
      <c r="U575" s="255"/>
      <c r="V575" s="131"/>
      <c r="W575" s="131"/>
      <c r="X575" s="131"/>
      <c r="Y575" s="131"/>
      <c r="Z575" s="131"/>
      <c r="AA575" s="514"/>
      <c r="AB575" s="255"/>
      <c r="AC575" s="131"/>
      <c r="AD575" s="877" t="s">
        <v>2977</v>
      </c>
      <c r="AE575" s="881" t="str">
        <f t="shared" si="72"/>
        <v>nel CE Miv 22 sono imputati 2247,75+iva rif. alla ft. 207/MA del 30/09/2018 segnato come Primavera 2019</v>
      </c>
      <c r="AF575" s="627"/>
      <c r="AG575" s="628"/>
      <c r="AH575" s="629"/>
      <c r="AI575" s="515"/>
      <c r="AJ575" s="155"/>
      <c r="AK575" s="155"/>
      <c r="AL575" s="155"/>
      <c r="AM575" s="515"/>
      <c r="AN575" s="207"/>
      <c r="AO575" s="207"/>
      <c r="AP575" s="207"/>
      <c r="AQ575" s="853"/>
      <c r="AR575" s="616"/>
      <c r="AS575" s="616"/>
      <c r="AT575" s="616"/>
      <c r="AU575" s="854"/>
      <c r="AV575" s="121" t="s">
        <v>151</v>
      </c>
      <c r="AW575" s="121" t="s">
        <v>151</v>
      </c>
      <c r="AX575" s="121" t="s">
        <v>151</v>
      </c>
      <c r="AY575" s="854"/>
      <c r="AZ575" s="617"/>
      <c r="BA575" s="617"/>
      <c r="BB575" s="617"/>
      <c r="BC575" s="854"/>
      <c r="BD575" s="617"/>
      <c r="BE575" s="617"/>
      <c r="BF575" s="617"/>
      <c r="BG575" s="854"/>
      <c r="BH575" s="760">
        <f t="shared" ref="BH575:BH580" si="97">CF575+CI575+CL575+CO575+CR575</f>
        <v>0</v>
      </c>
      <c r="BI575" s="808">
        <f>CH575+CK575+CN575+CQ575+CT575</f>
        <v>0</v>
      </c>
      <c r="BJ575" s="761">
        <f t="shared" si="55"/>
        <v>0</v>
      </c>
      <c r="BK575" s="110">
        <f>BI575</f>
        <v>0</v>
      </c>
      <c r="BL575" s="242"/>
      <c r="BM575" s="203"/>
      <c r="BN575" s="203"/>
      <c r="BO575" s="203"/>
      <c r="BP575" s="529" t="s">
        <v>262</v>
      </c>
      <c r="BQ575" s="529"/>
      <c r="BR575" s="110"/>
      <c r="BS575" s="242"/>
      <c r="BT575" s="203"/>
      <c r="BU575" s="373"/>
      <c r="BV575" s="373"/>
      <c r="BW575" s="870"/>
      <c r="BX575" s="529" t="s">
        <v>262</v>
      </c>
      <c r="BY575" s="207"/>
      <c r="BZ575" s="110">
        <v>0</v>
      </c>
      <c r="CA575" s="242">
        <f t="shared" si="96"/>
        <v>0</v>
      </c>
      <c r="CB575" s="764"/>
      <c r="CC575" s="764"/>
      <c r="CD575" s="764"/>
      <c r="CE575" s="882"/>
      <c r="CF575" s="301"/>
      <c r="CG575" s="206"/>
      <c r="CH575" s="301"/>
      <c r="CI575" s="110"/>
      <c r="CJ575" s="226"/>
      <c r="CK575" s="110"/>
      <c r="CL575" s="110"/>
      <c r="CM575" s="226"/>
      <c r="CN575" s="349"/>
      <c r="CO575" s="871"/>
      <c r="CP575" s="871"/>
      <c r="CQ575" s="871"/>
      <c r="CR575" s="871"/>
      <c r="CS575" s="871"/>
      <c r="CT575" s="871"/>
      <c r="CU575" s="663"/>
      <c r="CV575" s="331"/>
      <c r="CW575" s="438" t="s">
        <v>2633</v>
      </c>
      <c r="CX575" s="439" t="s">
        <v>2777</v>
      </c>
      <c r="CY575" s="264"/>
      <c r="CZ575" s="331"/>
      <c r="DA575" s="849"/>
      <c r="DB575" s="883"/>
      <c r="DC575" s="766"/>
      <c r="DD575" s="242"/>
      <c r="DE575" s="242"/>
      <c r="DF575" s="242"/>
      <c r="DG575" s="265"/>
      <c r="DH575" s="884"/>
      <c r="DI575" s="265"/>
      <c r="DJ575" s="265"/>
      <c r="DK575" s="265"/>
      <c r="DL575" s="265"/>
      <c r="DM575" s="4"/>
    </row>
    <row r="576" spans="1:130" ht="77.25" hidden="1" outlineLevel="1">
      <c r="A576" s="228"/>
      <c r="B576" s="121"/>
      <c r="C576" s="155"/>
      <c r="D576" s="757"/>
      <c r="E576" s="757"/>
      <c r="F576" s="757"/>
      <c r="G576" s="885" t="s">
        <v>2978</v>
      </c>
      <c r="H576" s="885" t="s">
        <v>2979</v>
      </c>
      <c r="I576" s="207"/>
      <c r="J576" s="121" t="str">
        <f t="shared" si="52"/>
        <v>Chiara  Bolzoni</v>
      </c>
      <c r="K576" s="886"/>
      <c r="L576" s="876" t="s">
        <v>2980</v>
      </c>
      <c r="M576" s="561"/>
      <c r="N576" s="289"/>
      <c r="O576" s="887"/>
      <c r="P576" s="623"/>
      <c r="Q576" s="623"/>
      <c r="R576" s="624"/>
      <c r="S576" s="625"/>
      <c r="T576" s="255"/>
      <c r="U576" s="255"/>
      <c r="V576" s="131"/>
      <c r="W576" s="131"/>
      <c r="X576" s="131"/>
      <c r="Y576" s="131"/>
      <c r="Z576" s="131"/>
      <c r="AA576" s="514"/>
      <c r="AB576" s="255"/>
      <c r="AC576" s="131"/>
      <c r="AD576" s="877" t="s">
        <v>2981</v>
      </c>
      <c r="AE576" s="80" t="str">
        <f t="shared" si="72"/>
        <v>nel CE MIV 22 Fatturati al momento 163,93 Euro- rif. ft. 426/MA del 16/10/2019 ma nell'imponibile segnato Euro 2997</v>
      </c>
      <c r="AF576" s="627"/>
      <c r="AG576" s="628"/>
      <c r="AH576" s="629"/>
      <c r="AI576" s="515"/>
      <c r="AJ576" s="258"/>
      <c r="AK576" s="258"/>
      <c r="AL576" s="258"/>
      <c r="AM576" s="627"/>
      <c r="AN576" s="878" t="s">
        <v>245</v>
      </c>
      <c r="AO576" s="878" t="s">
        <v>245</v>
      </c>
      <c r="AP576" s="878" t="s">
        <v>245</v>
      </c>
      <c r="AQ576" s="853"/>
      <c r="AR576" s="304" t="s">
        <v>245</v>
      </c>
      <c r="AS576" s="304" t="s">
        <v>245</v>
      </c>
      <c r="AT576" s="304" t="s">
        <v>245</v>
      </c>
      <c r="AU576" s="854"/>
      <c r="AV576" s="304"/>
      <c r="AW576" s="304"/>
      <c r="AX576" s="304"/>
      <c r="AY576" s="854"/>
      <c r="AZ576" s="888"/>
      <c r="BA576" s="888"/>
      <c r="BB576" s="888"/>
      <c r="BC576" s="854"/>
      <c r="BD576" s="888"/>
      <c r="BE576" s="888"/>
      <c r="BF576" s="888"/>
      <c r="BG576" s="854"/>
      <c r="BH576" s="889">
        <f t="shared" si="97"/>
        <v>3496.9700000000003</v>
      </c>
      <c r="BI576" s="808">
        <f t="shared" ref="BI576:BI577" si="98">CH576</f>
        <v>163.93</v>
      </c>
      <c r="BJ576" s="761">
        <f t="shared" si="55"/>
        <v>3333.0400000000004</v>
      </c>
      <c r="BK576" s="262">
        <v>0</v>
      </c>
      <c r="BL576" s="242">
        <f t="shared" ref="BL576:BL577" si="99">BH576-BK576</f>
        <v>3496.9700000000003</v>
      </c>
      <c r="BM576" s="769"/>
      <c r="BN576" s="769"/>
      <c r="BO576" s="769"/>
      <c r="BP576" s="890"/>
      <c r="BQ576" s="891"/>
      <c r="BR576" s="110"/>
      <c r="BS576" s="242"/>
      <c r="BT576" s="203"/>
      <c r="BU576" s="892"/>
      <c r="BV576" s="892"/>
      <c r="BW576" s="893"/>
      <c r="BX576" s="890"/>
      <c r="BY576" s="891"/>
      <c r="BZ576" s="110">
        <v>0</v>
      </c>
      <c r="CA576" s="242">
        <f t="shared" si="96"/>
        <v>0</v>
      </c>
      <c r="CB576" s="769"/>
      <c r="CC576" s="769"/>
      <c r="CD576" s="769"/>
      <c r="CE576" s="894"/>
      <c r="CF576" s="110">
        <v>163.93</v>
      </c>
      <c r="CG576" s="110">
        <v>43754</v>
      </c>
      <c r="CH576" s="110">
        <v>163.93</v>
      </c>
      <c r="CI576" s="110">
        <v>1409.82</v>
      </c>
      <c r="CJ576" s="110">
        <v>44112</v>
      </c>
      <c r="CK576" s="110"/>
      <c r="CL576" s="110">
        <v>1923.22</v>
      </c>
      <c r="CM576" s="226">
        <v>44169</v>
      </c>
      <c r="CN576" s="226"/>
      <c r="CO576" s="226"/>
      <c r="CP576" s="871"/>
      <c r="CQ576" s="871"/>
      <c r="CR576" s="871"/>
      <c r="CS576" s="871"/>
      <c r="CT576" s="871"/>
      <c r="CU576" s="895"/>
      <c r="CV576" s="331"/>
      <c r="CW576" s="438" t="s">
        <v>1387</v>
      </c>
      <c r="CX576" s="439" t="s">
        <v>262</v>
      </c>
      <c r="CY576" s="264"/>
      <c r="CZ576" s="331"/>
      <c r="DA576" s="849"/>
      <c r="DB576" s="883"/>
      <c r="DC576" s="766"/>
      <c r="DD576" s="242"/>
      <c r="DE576" s="242"/>
      <c r="DF576" s="242"/>
      <c r="DG576" s="265"/>
      <c r="DH576" s="884"/>
      <c r="DI576" s="265"/>
      <c r="DJ576" s="265"/>
      <c r="DK576" s="265"/>
      <c r="DL576" s="265"/>
      <c r="DM576" s="4"/>
    </row>
    <row r="577" spans="1:130" ht="76.5" hidden="1" outlineLevel="1">
      <c r="A577" s="228"/>
      <c r="B577" s="121"/>
      <c r="C577" s="155"/>
      <c r="D577" s="757"/>
      <c r="E577" s="757"/>
      <c r="F577" s="757"/>
      <c r="G577" s="896" t="s">
        <v>2978</v>
      </c>
      <c r="H577" s="897" t="s">
        <v>2982</v>
      </c>
      <c r="I577" s="207"/>
      <c r="J577" s="121" t="str">
        <f t="shared" si="52"/>
        <v>Chiara  Mister</v>
      </c>
      <c r="K577" s="898"/>
      <c r="L577" s="876" t="s">
        <v>2983</v>
      </c>
      <c r="M577" s="183"/>
      <c r="N577" s="289"/>
      <c r="O577" s="567"/>
      <c r="P577" s="131"/>
      <c r="Q577" s="131"/>
      <c r="R577" s="131" t="s">
        <v>2984</v>
      </c>
      <c r="S577" s="224"/>
      <c r="T577" s="255"/>
      <c r="U577" s="255"/>
      <c r="V577" s="131"/>
      <c r="W577" s="131"/>
      <c r="X577" s="131"/>
      <c r="Y577" s="131"/>
      <c r="Z577" s="131"/>
      <c r="AA577" s="514"/>
      <c r="AB577" s="255"/>
      <c r="AC577" s="131"/>
      <c r="AD577" s="255" t="s">
        <v>2985</v>
      </c>
      <c r="AE577" s="80" t="str">
        <f t="shared" si="72"/>
        <v>nel CE MIV 22 rif. ft. 697/MA del 23/09/2020 ma nell'imponibile segnato Euro 163,93 segnato come Primavera 2021</v>
      </c>
      <c r="AF577" s="627"/>
      <c r="AG577" s="628"/>
      <c r="AH577" s="629"/>
      <c r="AI577" s="515"/>
      <c r="AJ577" s="258"/>
      <c r="AK577" s="258"/>
      <c r="AL577" s="258"/>
      <c r="AM577" s="627"/>
      <c r="AN577" s="878" t="s">
        <v>245</v>
      </c>
      <c r="AO577" s="878" t="s">
        <v>245</v>
      </c>
      <c r="AP577" s="878" t="s">
        <v>245</v>
      </c>
      <c r="AQ577" s="853"/>
      <c r="AR577" s="304" t="s">
        <v>245</v>
      </c>
      <c r="AS577" s="304" t="s">
        <v>245</v>
      </c>
      <c r="AT577" s="304" t="s">
        <v>245</v>
      </c>
      <c r="AU577" s="854"/>
      <c r="AV577" s="304"/>
      <c r="AW577" s="304"/>
      <c r="AX577" s="304"/>
      <c r="AY577" s="854"/>
      <c r="AZ577" s="888"/>
      <c r="BA577" s="888"/>
      <c r="BB577" s="888"/>
      <c r="BC577" s="854"/>
      <c r="BD577" s="888"/>
      <c r="BE577" s="888"/>
      <c r="BF577" s="888"/>
      <c r="BG577" s="854"/>
      <c r="BH577" s="889">
        <f t="shared" si="97"/>
        <v>3496.9700000000003</v>
      </c>
      <c r="BI577" s="808">
        <f t="shared" si="98"/>
        <v>163.93</v>
      </c>
      <c r="BJ577" s="808">
        <f t="shared" si="55"/>
        <v>3333.0400000000004</v>
      </c>
      <c r="BK577" s="262">
        <v>0</v>
      </c>
      <c r="BL577" s="242">
        <f t="shared" si="99"/>
        <v>3496.9700000000003</v>
      </c>
      <c r="BM577" s="764"/>
      <c r="BN577" s="764"/>
      <c r="BO577" s="764"/>
      <c r="BP577" s="899"/>
      <c r="BQ577" s="900"/>
      <c r="BR577" s="110">
        <f>BH577*BQ577</f>
        <v>0</v>
      </c>
      <c r="BS577" s="242"/>
      <c r="BT577" s="764"/>
      <c r="BU577" s="764"/>
      <c r="BV577" s="764"/>
      <c r="BW577" s="160"/>
      <c r="BX577" s="131"/>
      <c r="BY577" s="207"/>
      <c r="BZ577" s="110">
        <v>0</v>
      </c>
      <c r="CA577" s="242">
        <f t="shared" si="96"/>
        <v>0</v>
      </c>
      <c r="CB577" s="764"/>
      <c r="CC577" s="764"/>
      <c r="CD577" s="764"/>
      <c r="CE577" s="882"/>
      <c r="CF577" s="110">
        <v>163.93</v>
      </c>
      <c r="CG577" s="110">
        <v>44092</v>
      </c>
      <c r="CH577" s="110">
        <v>163.93</v>
      </c>
      <c r="CI577" s="110">
        <v>1409.82</v>
      </c>
      <c r="CJ577" s="110">
        <v>44112</v>
      </c>
      <c r="CK577" s="110"/>
      <c r="CL577" s="110">
        <v>1923.22</v>
      </c>
      <c r="CM577" s="226">
        <v>44169</v>
      </c>
      <c r="CN577" s="226"/>
      <c r="CO577" s="226"/>
      <c r="CP577" s="871"/>
      <c r="CQ577" s="871"/>
      <c r="CR577" s="871"/>
      <c r="CS577" s="871"/>
      <c r="CT577" s="871"/>
      <c r="CU577" s="895"/>
      <c r="CV577" s="331"/>
      <c r="CW577" s="491" t="s">
        <v>690</v>
      </c>
      <c r="CX577" s="492" t="s">
        <v>2986</v>
      </c>
      <c r="CY577" s="264"/>
      <c r="CZ577" s="331"/>
      <c r="DA577" s="849"/>
      <c r="DB577" s="883"/>
      <c r="DC577" s="766"/>
      <c r="DD577" s="242"/>
      <c r="DE577" s="242"/>
      <c r="DF577" s="242"/>
      <c r="DG577" s="265"/>
      <c r="DH577" s="884"/>
      <c r="DI577" s="265"/>
      <c r="DJ577" s="265"/>
      <c r="DK577" s="265"/>
      <c r="DL577" s="265"/>
      <c r="DM577" s="4"/>
    </row>
    <row r="578" spans="1:130" ht="30" hidden="1" customHeight="1" outlineLevel="1">
      <c r="A578" s="228"/>
      <c r="B578" s="121"/>
      <c r="C578" s="155"/>
      <c r="D578" s="757"/>
      <c r="E578" s="757"/>
      <c r="F578" s="757"/>
      <c r="G578" s="369" t="s">
        <v>290</v>
      </c>
      <c r="H578" s="672" t="s">
        <v>2987</v>
      </c>
      <c r="I578" s="207" t="s">
        <v>2988</v>
      </c>
      <c r="J578" s="121" t="str">
        <f t="shared" si="52"/>
        <v>Claudio Rossi</v>
      </c>
      <c r="K578" s="224"/>
      <c r="L578" s="131"/>
      <c r="M578" s="131"/>
      <c r="N578" s="289"/>
      <c r="O578" s="901"/>
      <c r="P578" s="564" t="s">
        <v>2989</v>
      </c>
      <c r="Q578" s="564" t="s">
        <v>2989</v>
      </c>
      <c r="R578" s="131" t="s">
        <v>2990</v>
      </c>
      <c r="S578" s="207" t="s">
        <v>2991</v>
      </c>
      <c r="T578" s="207"/>
      <c r="U578" s="207"/>
      <c r="V578" s="207"/>
      <c r="W578" s="155"/>
      <c r="X578" s="558" t="s">
        <v>2988</v>
      </c>
      <c r="Y578" s="155"/>
      <c r="Z578" s="155"/>
      <c r="AA578" s="155"/>
      <c r="AB578" s="255" t="s">
        <v>2968</v>
      </c>
      <c r="AC578" s="131"/>
      <c r="AD578" s="255"/>
      <c r="AE578" s="80">
        <f t="shared" si="72"/>
        <v>0</v>
      </c>
      <c r="AF578" s="515"/>
      <c r="AG578" s="406" t="s">
        <v>115</v>
      </c>
      <c r="AH578" s="406" t="s">
        <v>115</v>
      </c>
      <c r="AI578" s="515"/>
      <c r="AJ578" s="258"/>
      <c r="AK578" s="258"/>
      <c r="AL578" s="258"/>
      <c r="AM578" s="627"/>
      <c r="AN578" s="155"/>
      <c r="AO578" s="155" t="s">
        <v>2992</v>
      </c>
      <c r="AP578" s="155" t="s">
        <v>2992</v>
      </c>
      <c r="AQ578" s="853"/>
      <c r="AR578" s="121"/>
      <c r="AS578" s="121"/>
      <c r="AT578" s="121"/>
      <c r="AU578" s="854"/>
      <c r="AV578" s="121"/>
      <c r="AW578" s="121"/>
      <c r="AX578" s="121"/>
      <c r="AY578" s="854"/>
      <c r="AZ578" s="617"/>
      <c r="BA578" s="617"/>
      <c r="BB578" s="617"/>
      <c r="BC578" s="854"/>
      <c r="BD578" s="617"/>
      <c r="BE578" s="617"/>
      <c r="BF578" s="617"/>
      <c r="BG578" s="854"/>
      <c r="BH578" s="760">
        <f t="shared" si="97"/>
        <v>0</v>
      </c>
      <c r="BI578" s="808">
        <f t="shared" ref="BI578:BI579" si="100">CH578+CK578+CN578+CQ578+CT578</f>
        <v>0</v>
      </c>
      <c r="BJ578" s="761">
        <f t="shared" si="55"/>
        <v>0</v>
      </c>
      <c r="BK578" s="110"/>
      <c r="BL578" s="242"/>
      <c r="BM578" s="203"/>
      <c r="BN578" s="203"/>
      <c r="BO578" s="203"/>
      <c r="BP578" s="529" t="s">
        <v>2920</v>
      </c>
      <c r="BQ578" s="145">
        <v>0.15</v>
      </c>
      <c r="BR578" s="110"/>
      <c r="BS578" s="242"/>
      <c r="BT578" s="203"/>
      <c r="BU578" s="203"/>
      <c r="BV578" s="203"/>
      <c r="BW578" s="843"/>
      <c r="BX578" s="529" t="s">
        <v>2920</v>
      </c>
      <c r="BY578" s="145">
        <v>0.05</v>
      </c>
      <c r="BZ578" s="110">
        <v>0</v>
      </c>
      <c r="CA578" s="242">
        <f t="shared" si="96"/>
        <v>0</v>
      </c>
      <c r="CB578" s="764"/>
      <c r="CC578" s="764"/>
      <c r="CD578" s="764"/>
      <c r="CE578" s="765"/>
      <c r="CF578" s="301"/>
      <c r="CG578" s="206"/>
      <c r="CH578" s="301"/>
      <c r="CI578" s="206"/>
      <c r="CJ578" s="206"/>
      <c r="CK578" s="206"/>
      <c r="CL578" s="110"/>
      <c r="CM578" s="226"/>
      <c r="CN578" s="110"/>
      <c r="CO578" s="110"/>
      <c r="CP578" s="226"/>
      <c r="CQ578" s="110"/>
      <c r="CR578" s="110"/>
      <c r="CS578" s="226"/>
      <c r="CT578" s="110"/>
      <c r="CU578" s="245" t="s">
        <v>2612</v>
      </c>
      <c r="CV578" s="181"/>
      <c r="CW578" s="438" t="s">
        <v>1387</v>
      </c>
      <c r="CX578" s="439" t="s">
        <v>976</v>
      </c>
      <c r="CY578" s="121"/>
      <c r="CZ578" s="121"/>
      <c r="DA578" s="131"/>
      <c r="DB578" s="115"/>
      <c r="DC578" s="766"/>
      <c r="DD578" s="242"/>
      <c r="DE578" s="242"/>
      <c r="DF578" s="242"/>
      <c r="DG578" s="729"/>
      <c r="DH578" s="799"/>
      <c r="DI578" s="779"/>
      <c r="DJ578" s="779"/>
      <c r="DK578" s="779"/>
      <c r="DL578" s="779"/>
      <c r="DM578" s="4"/>
    </row>
    <row r="579" spans="1:130" ht="30" hidden="1" customHeight="1" outlineLevel="1">
      <c r="A579" s="228"/>
      <c r="B579" s="121"/>
      <c r="C579" s="155"/>
      <c r="D579" s="757"/>
      <c r="E579" s="757"/>
      <c r="F579" s="757"/>
      <c r="G579" s="369" t="s">
        <v>1561</v>
      </c>
      <c r="H579" s="672" t="s">
        <v>2993</v>
      </c>
      <c r="I579" s="207" t="s">
        <v>2994</v>
      </c>
      <c r="J579" s="121" t="str">
        <f t="shared" si="52"/>
        <v>Concetta Donvito</v>
      </c>
      <c r="K579" s="224">
        <v>3281916850</v>
      </c>
      <c r="L579" s="131"/>
      <c r="M579" s="131"/>
      <c r="N579" s="289"/>
      <c r="O579" s="567"/>
      <c r="P579" s="564" t="s">
        <v>2995</v>
      </c>
      <c r="Q579" s="564" t="s">
        <v>2995</v>
      </c>
      <c r="R579" s="131" t="s">
        <v>2996</v>
      </c>
      <c r="S579" s="131" t="s">
        <v>2997</v>
      </c>
      <c r="T579" s="131"/>
      <c r="U579" s="131"/>
      <c r="V579" s="131"/>
      <c r="W579" s="155"/>
      <c r="X579" s="131" t="s">
        <v>2998</v>
      </c>
      <c r="Y579" s="155"/>
      <c r="Z579" s="155"/>
      <c r="AA579" s="155"/>
      <c r="AB579" s="255" t="s">
        <v>2412</v>
      </c>
      <c r="AC579" s="131" t="s">
        <v>2999</v>
      </c>
      <c r="AD579" s="255"/>
      <c r="AE579" s="80">
        <f t="shared" si="72"/>
        <v>0</v>
      </c>
      <c r="AF579" s="515"/>
      <c r="AG579" s="406" t="s">
        <v>115</v>
      </c>
      <c r="AH579" s="406" t="s">
        <v>115</v>
      </c>
      <c r="AI579" s="515"/>
      <c r="AJ579" s="155"/>
      <c r="AK579" s="155" t="s">
        <v>2992</v>
      </c>
      <c r="AL579" s="155" t="s">
        <v>2992</v>
      </c>
      <c r="AM579" s="515"/>
      <c r="AN579" s="155"/>
      <c r="AO579" s="155" t="s">
        <v>2404</v>
      </c>
      <c r="AP579" s="155"/>
      <c r="AQ579" s="853"/>
      <c r="AR579" s="121"/>
      <c r="AS579" s="121"/>
      <c r="AT579" s="121"/>
      <c r="AU579" s="854"/>
      <c r="AV579" s="121"/>
      <c r="AW579" s="121"/>
      <c r="AX579" s="121"/>
      <c r="AY579" s="854"/>
      <c r="AZ579" s="362"/>
      <c r="BA579" s="362"/>
      <c r="BB579" s="362"/>
      <c r="BC579" s="854"/>
      <c r="BD579" s="362"/>
      <c r="BE579" s="362"/>
      <c r="BF579" s="362"/>
      <c r="BG579" s="854"/>
      <c r="BH579" s="889">
        <f t="shared" si="97"/>
        <v>0</v>
      </c>
      <c r="BI579" s="902">
        <f t="shared" si="100"/>
        <v>0</v>
      </c>
      <c r="BJ579" s="761">
        <f t="shared" si="55"/>
        <v>0</v>
      </c>
      <c r="BK579" s="110"/>
      <c r="BL579" s="242"/>
      <c r="BM579" s="203"/>
      <c r="BN579" s="203"/>
      <c r="BO579" s="203"/>
      <c r="BP579" s="529" t="s">
        <v>3000</v>
      </c>
      <c r="BQ579" s="145">
        <v>0</v>
      </c>
      <c r="BR579" s="110"/>
      <c r="BS579" s="242"/>
      <c r="BT579" s="203"/>
      <c r="BU579" s="203"/>
      <c r="BV579" s="203"/>
      <c r="BW579" s="843"/>
      <c r="BX579" s="529" t="s">
        <v>3001</v>
      </c>
      <c r="BY579" s="145">
        <v>0.05</v>
      </c>
      <c r="BZ579" s="110">
        <v>0</v>
      </c>
      <c r="CA579" s="242">
        <f t="shared" si="96"/>
        <v>0</v>
      </c>
      <c r="CB579" s="764"/>
      <c r="CC579" s="764"/>
      <c r="CD579" s="764"/>
      <c r="CE579" s="765"/>
      <c r="CF579" s="301"/>
      <c r="CG579" s="206"/>
      <c r="CH579" s="301"/>
      <c r="CI579" s="206"/>
      <c r="CJ579" s="206"/>
      <c r="CK579" s="206"/>
      <c r="CL579" s="110"/>
      <c r="CM579" s="226"/>
      <c r="CN579" s="110"/>
      <c r="CO579" s="110"/>
      <c r="CP579" s="226"/>
      <c r="CQ579" s="110"/>
      <c r="CR579" s="110"/>
      <c r="CS579" s="226"/>
      <c r="CT579" s="110"/>
      <c r="CU579" s="245" t="s">
        <v>3002</v>
      </c>
      <c r="CV579" s="181"/>
      <c r="CW579" s="438" t="s">
        <v>1387</v>
      </c>
      <c r="CX579" s="439" t="s">
        <v>1496</v>
      </c>
      <c r="CY579" s="121"/>
      <c r="CZ579" s="121"/>
      <c r="DA579" s="131"/>
      <c r="DB579" s="115"/>
      <c r="DC579" s="766"/>
      <c r="DD579" s="242"/>
      <c r="DE579" s="242"/>
      <c r="DF579" s="242"/>
      <c r="DG579" s="729"/>
      <c r="DH579" s="799"/>
      <c r="DI579" s="779"/>
      <c r="DJ579" s="779"/>
      <c r="DK579" s="779"/>
      <c r="DL579" s="779"/>
      <c r="DM579" s="4"/>
    </row>
    <row r="580" spans="1:130" ht="115.5" hidden="1" outlineLevel="1">
      <c r="A580" s="228"/>
      <c r="B580" s="121"/>
      <c r="C580" s="155"/>
      <c r="D580" s="757"/>
      <c r="E580" s="757"/>
      <c r="F580" s="757"/>
      <c r="G580" s="896" t="s">
        <v>3003</v>
      </c>
      <c r="H580" s="903" t="s">
        <v>3004</v>
      </c>
      <c r="I580" s="207"/>
      <c r="J580" s="121" t="str">
        <f t="shared" si="52"/>
        <v>Crispino Fragrante</v>
      </c>
      <c r="K580" s="224"/>
      <c r="L580" s="876" t="s">
        <v>3005</v>
      </c>
      <c r="M580" s="131"/>
      <c r="N580" s="289"/>
      <c r="O580" s="567"/>
      <c r="P580" s="623"/>
      <c r="Q580" s="623"/>
      <c r="R580" s="624" t="s">
        <v>3006</v>
      </c>
      <c r="S580" s="625"/>
      <c r="T580" s="255"/>
      <c r="U580" s="255"/>
      <c r="V580" s="131"/>
      <c r="W580" s="131"/>
      <c r="X580" s="131"/>
      <c r="Y580" s="131"/>
      <c r="Z580" s="131"/>
      <c r="AA580" s="514"/>
      <c r="AB580" s="255"/>
      <c r="AC580" s="131"/>
      <c r="AD580" s="877" t="s">
        <v>3007</v>
      </c>
      <c r="AE580" s="80" t="str">
        <f t="shared" si="72"/>
        <v>nel CE MIV 22 Fatturati al momento 163,93 Euro- rif. ft. 144/MA del 31/03/2019 ma nell'imponibile segnato Euro 3297.00 come Autunno 2020 - CREDO CHE L'IMPONIBILE CORRETTA SIA 3497</v>
      </c>
      <c r="AF580" s="627"/>
      <c r="AG580" s="628"/>
      <c r="AH580" s="629"/>
      <c r="AI580" s="515"/>
      <c r="AJ580" s="155"/>
      <c r="AK580" s="155"/>
      <c r="AL580" s="155" t="s">
        <v>2992</v>
      </c>
      <c r="AM580" s="515"/>
      <c r="AN580" s="878" t="s">
        <v>245</v>
      </c>
      <c r="AO580" s="878" t="s">
        <v>245</v>
      </c>
      <c r="AP580" s="878" t="s">
        <v>245</v>
      </c>
      <c r="AQ580" s="853"/>
      <c r="AR580" s="304" t="s">
        <v>245</v>
      </c>
      <c r="AS580" s="304" t="s">
        <v>245</v>
      </c>
      <c r="AT580" s="304" t="s">
        <v>245</v>
      </c>
      <c r="AU580" s="854"/>
      <c r="AV580" s="304"/>
      <c r="AW580" s="304"/>
      <c r="AX580" s="304"/>
      <c r="AY580" s="854"/>
      <c r="AZ580" s="888"/>
      <c r="BA580" s="888"/>
      <c r="BB580" s="888"/>
      <c r="BC580" s="854"/>
      <c r="BD580" s="888"/>
      <c r="BE580" s="888"/>
      <c r="BF580" s="888"/>
      <c r="BG580" s="854"/>
      <c r="BH580" s="889">
        <f t="shared" si="97"/>
        <v>3496.9700000000003</v>
      </c>
      <c r="BI580" s="808">
        <f t="shared" ref="BI580:BI581" si="101">CH580</f>
        <v>163.93</v>
      </c>
      <c r="BJ580" s="902">
        <f t="shared" si="55"/>
        <v>3333.0400000000004</v>
      </c>
      <c r="BK580" s="110">
        <v>0</v>
      </c>
      <c r="BL580" s="242">
        <f t="shared" ref="BL580:BL581" si="102">BH580-BK580</f>
        <v>3496.9700000000003</v>
      </c>
      <c r="BM580" s="764"/>
      <c r="BN580" s="764"/>
      <c r="BO580" s="764"/>
      <c r="BP580" s="899"/>
      <c r="BQ580" s="904"/>
      <c r="BR580" s="110"/>
      <c r="BS580" s="242"/>
      <c r="BT580" s="764"/>
      <c r="BU580" s="764"/>
      <c r="BV580" s="764"/>
      <c r="BW580" s="160"/>
      <c r="BX580" s="131"/>
      <c r="BY580" s="207"/>
      <c r="BZ580" s="110">
        <v>0</v>
      </c>
      <c r="CA580" s="242">
        <f t="shared" si="96"/>
        <v>0</v>
      </c>
      <c r="CB580" s="764"/>
      <c r="CC580" s="764"/>
      <c r="CD580" s="764"/>
      <c r="CE580" s="882"/>
      <c r="CF580" s="110">
        <v>163.93</v>
      </c>
      <c r="CG580" s="110">
        <v>43542</v>
      </c>
      <c r="CH580" s="110">
        <v>163.93</v>
      </c>
      <c r="CI580" s="110">
        <v>1409.82</v>
      </c>
      <c r="CJ580" s="110">
        <v>44112</v>
      </c>
      <c r="CK580" s="110"/>
      <c r="CL580" s="110">
        <v>1923.22</v>
      </c>
      <c r="CM580" s="226">
        <v>44169</v>
      </c>
      <c r="CN580" s="226"/>
      <c r="CO580" s="226"/>
      <c r="CP580" s="226"/>
      <c r="CQ580" s="226"/>
      <c r="CR580" s="226"/>
      <c r="CS580" s="226"/>
      <c r="CT580" s="226"/>
      <c r="CU580" s="663"/>
      <c r="CV580" s="331"/>
      <c r="CW580" s="438" t="s">
        <v>1387</v>
      </c>
      <c r="CX580" s="439" t="s">
        <v>976</v>
      </c>
      <c r="CY580" s="264"/>
      <c r="CZ580" s="331"/>
      <c r="DA580" s="849"/>
      <c r="DB580" s="883"/>
      <c r="DC580" s="766"/>
      <c r="DD580" s="242"/>
      <c r="DE580" s="242"/>
      <c r="DF580" s="242"/>
      <c r="DG580" s="265"/>
      <c r="DH580" s="884"/>
      <c r="DI580" s="265"/>
      <c r="DJ580" s="265"/>
      <c r="DK580" s="265"/>
      <c r="DL580" s="265"/>
      <c r="DM580" s="4"/>
    </row>
    <row r="581" spans="1:130" ht="90" hidden="1" outlineLevel="1">
      <c r="A581" s="228"/>
      <c r="B581" s="121"/>
      <c r="C581" s="155"/>
      <c r="D581" s="757"/>
      <c r="E581" s="757"/>
      <c r="F581" s="757"/>
      <c r="G581" s="896" t="s">
        <v>3008</v>
      </c>
      <c r="H581" s="903" t="s">
        <v>3009</v>
      </c>
      <c r="I581" s="207"/>
      <c r="J581" s="121" t="str">
        <f t="shared" si="52"/>
        <v>Cristiano Storari</v>
      </c>
      <c r="K581" s="671"/>
      <c r="L581" s="876" t="s">
        <v>3010</v>
      </c>
      <c r="M581" s="131"/>
      <c r="N581" s="289"/>
      <c r="O581" s="567"/>
      <c r="P581" s="623"/>
      <c r="Q581" s="623"/>
      <c r="R581" s="624" t="s">
        <v>3011</v>
      </c>
      <c r="S581" s="625"/>
      <c r="T581" s="255"/>
      <c r="U581" s="255"/>
      <c r="V581" s="131"/>
      <c r="W581" s="131"/>
      <c r="X581" s="131"/>
      <c r="Y581" s="131"/>
      <c r="Z581" s="131"/>
      <c r="AA581" s="514"/>
      <c r="AB581" s="255"/>
      <c r="AC581" s="131"/>
      <c r="AD581" s="255" t="s">
        <v>3012</v>
      </c>
      <c r="AE581" s="80" t="str">
        <f t="shared" si="72"/>
        <v>nel CE MIV 22 Fatturati al momento 163,93 Euro- rif. ft. 29/MA del 31/03/2018 ma nell'imponibile segnato Euro 2997 come Primavera 2019</v>
      </c>
      <c r="AF581" s="627"/>
      <c r="AG581" s="628"/>
      <c r="AH581" s="629"/>
      <c r="AI581" s="515"/>
      <c r="AJ581" s="258"/>
      <c r="AK581" s="258"/>
      <c r="AL581" s="258"/>
      <c r="AM581" s="627"/>
      <c r="AN581" s="878" t="s">
        <v>245</v>
      </c>
      <c r="AO581" s="878" t="s">
        <v>245</v>
      </c>
      <c r="AP581" s="878" t="s">
        <v>245</v>
      </c>
      <c r="AQ581" s="853"/>
      <c r="AR581" s="304" t="s">
        <v>245</v>
      </c>
      <c r="AS581" s="304" t="s">
        <v>245</v>
      </c>
      <c r="AT581" s="304" t="s">
        <v>245</v>
      </c>
      <c r="AU581" s="854"/>
      <c r="AV581" s="304"/>
      <c r="AW581" s="304"/>
      <c r="AX581" s="304"/>
      <c r="AY581" s="854"/>
      <c r="AZ581" s="888"/>
      <c r="BA581" s="888"/>
      <c r="BB581" s="888"/>
      <c r="BC581" s="854"/>
      <c r="BD581" s="888"/>
      <c r="BE581" s="888"/>
      <c r="BF581" s="888"/>
      <c r="BG581" s="854"/>
      <c r="BH581" s="889">
        <v>2997</v>
      </c>
      <c r="BI581" s="808">
        <f t="shared" si="101"/>
        <v>163.93</v>
      </c>
      <c r="BJ581" s="902">
        <f t="shared" si="55"/>
        <v>2833.07</v>
      </c>
      <c r="BK581" s="110">
        <v>0</v>
      </c>
      <c r="BL581" s="242">
        <f t="shared" si="102"/>
        <v>2997</v>
      </c>
      <c r="BM581" s="764"/>
      <c r="BN581" s="764"/>
      <c r="BO581" s="764"/>
      <c r="BP581" s="899"/>
      <c r="BQ581" s="900"/>
      <c r="BR581" s="110"/>
      <c r="BS581" s="242"/>
      <c r="BT581" s="764"/>
      <c r="BU581" s="764"/>
      <c r="BV581" s="764"/>
      <c r="BW581" s="160"/>
      <c r="BX581" s="131"/>
      <c r="BY581" s="207"/>
      <c r="BZ581" s="110">
        <v>0</v>
      </c>
      <c r="CA581" s="242">
        <f t="shared" si="96"/>
        <v>0</v>
      </c>
      <c r="CB581" s="764"/>
      <c r="CC581" s="764"/>
      <c r="CD581" s="764"/>
      <c r="CE581" s="882"/>
      <c r="CF581" s="905">
        <v>163.93</v>
      </c>
      <c r="CG581" s="906">
        <v>43177</v>
      </c>
      <c r="CH581" s="905">
        <v>163.93</v>
      </c>
      <c r="CI581" s="905">
        <v>1409.82</v>
      </c>
      <c r="CJ581" s="906">
        <v>43381</v>
      </c>
      <c r="CK581" s="905"/>
      <c r="CL581" s="905">
        <v>1923.22</v>
      </c>
      <c r="CM581" s="226">
        <v>43438</v>
      </c>
      <c r="CN581" s="226"/>
      <c r="CO581" s="226"/>
      <c r="CP581" s="226"/>
      <c r="CQ581" s="226"/>
      <c r="CR581" s="226"/>
      <c r="CS581" s="226"/>
      <c r="CT581" s="226"/>
      <c r="CU581" s="663"/>
      <c r="CV581" s="331"/>
      <c r="CW581" s="438" t="s">
        <v>2633</v>
      </c>
      <c r="CX581" s="439" t="s">
        <v>3013</v>
      </c>
      <c r="CY581" s="264"/>
      <c r="CZ581" s="331"/>
      <c r="DA581" s="849"/>
      <c r="DB581" s="883"/>
      <c r="DC581" s="766"/>
      <c r="DD581" s="242"/>
      <c r="DE581" s="242"/>
      <c r="DF581" s="242"/>
      <c r="DG581" s="265"/>
      <c r="DH581" s="884"/>
      <c r="DI581" s="265"/>
      <c r="DJ581" s="265"/>
      <c r="DK581" s="265"/>
      <c r="DL581" s="265"/>
      <c r="DM581" s="4"/>
    </row>
    <row r="582" spans="1:130" ht="30" hidden="1" customHeight="1" outlineLevel="1">
      <c r="A582" s="228"/>
      <c r="B582" s="121"/>
      <c r="C582" s="155"/>
      <c r="D582" s="757"/>
      <c r="E582" s="757"/>
      <c r="F582" s="757"/>
      <c r="G582" s="369" t="s">
        <v>3014</v>
      </c>
      <c r="H582" s="672" t="s">
        <v>3015</v>
      </c>
      <c r="I582" s="207" t="s">
        <v>3016</v>
      </c>
      <c r="J582" s="121" t="str">
        <f t="shared" si="52"/>
        <v>Cristine Del Bene</v>
      </c>
      <c r="K582" s="907" t="s">
        <v>3017</v>
      </c>
      <c r="L582" s="131"/>
      <c r="M582" s="131"/>
      <c r="N582" s="131"/>
      <c r="O582" s="599"/>
      <c r="P582" s="908" t="s">
        <v>3018</v>
      </c>
      <c r="Q582" s="908" t="s">
        <v>3019</v>
      </c>
      <c r="R582" s="131" t="s">
        <v>3020</v>
      </c>
      <c r="S582" s="131" t="s">
        <v>3021</v>
      </c>
      <c r="T582" s="131"/>
      <c r="U582" s="131"/>
      <c r="V582" s="131"/>
      <c r="W582" s="258"/>
      <c r="X582" s="131"/>
      <c r="Y582" s="258"/>
      <c r="Z582" s="258"/>
      <c r="AA582" s="258"/>
      <c r="AB582" s="255" t="s">
        <v>3022</v>
      </c>
      <c r="AC582" s="558" t="s">
        <v>3023</v>
      </c>
      <c r="AD582" s="255"/>
      <c r="AE582" s="80">
        <f t="shared" si="72"/>
        <v>0</v>
      </c>
      <c r="AF582" s="515"/>
      <c r="AG582" s="516" t="s">
        <v>115</v>
      </c>
      <c r="AH582" s="516" t="s">
        <v>115</v>
      </c>
      <c r="AI582" s="515"/>
      <c r="AJ582" s="258"/>
      <c r="AK582" s="258"/>
      <c r="AL582" s="258"/>
      <c r="AM582" s="627"/>
      <c r="AN582" s="155"/>
      <c r="AO582" s="155" t="s">
        <v>2404</v>
      </c>
      <c r="AP582" s="155" t="s">
        <v>2404</v>
      </c>
      <c r="AQ582" s="853"/>
      <c r="AR582" s="121"/>
      <c r="AS582" s="121"/>
      <c r="AT582" s="121"/>
      <c r="AU582" s="854"/>
      <c r="AV582" s="121"/>
      <c r="AW582" s="121"/>
      <c r="AX582" s="121"/>
      <c r="AY582" s="854"/>
      <c r="AZ582" s="617"/>
      <c r="BA582" s="617"/>
      <c r="BB582" s="617"/>
      <c r="BC582" s="854"/>
      <c r="BD582" s="617"/>
      <c r="BE582" s="617"/>
      <c r="BF582" s="617"/>
      <c r="BG582" s="854"/>
      <c r="BH582" s="760">
        <f t="shared" ref="BH582:BH584" si="103">CF582+CI582+CL582+CO582+CR582</f>
        <v>0</v>
      </c>
      <c r="BI582" s="902">
        <f t="shared" ref="BI582:BI584" si="104">CH582+CK582+CN582+CQ582+CT582</f>
        <v>0</v>
      </c>
      <c r="BJ582" s="761">
        <f t="shared" si="55"/>
        <v>0</v>
      </c>
      <c r="BK582" s="110"/>
      <c r="BL582" s="242"/>
      <c r="BM582" s="203"/>
      <c r="BN582" s="203"/>
      <c r="BO582" s="203"/>
      <c r="BP582" s="529" t="s">
        <v>3024</v>
      </c>
      <c r="BQ582" s="145">
        <v>0.15</v>
      </c>
      <c r="BR582" s="110"/>
      <c r="BS582" s="242"/>
      <c r="BT582" s="203"/>
      <c r="BU582" s="203"/>
      <c r="BV582" s="203"/>
      <c r="BW582" s="843"/>
      <c r="BX582" s="529" t="s">
        <v>3025</v>
      </c>
      <c r="BY582" s="145">
        <v>0.15</v>
      </c>
      <c r="BZ582" s="110">
        <v>0</v>
      </c>
      <c r="CA582" s="242">
        <f t="shared" si="96"/>
        <v>0</v>
      </c>
      <c r="CB582" s="764"/>
      <c r="CC582" s="764"/>
      <c r="CD582" s="764"/>
      <c r="CE582" s="765"/>
      <c r="CF582" s="301"/>
      <c r="CG582" s="206"/>
      <c r="CH582" s="301"/>
      <c r="CI582" s="206"/>
      <c r="CJ582" s="206"/>
      <c r="CK582" s="206"/>
      <c r="CL582" s="226"/>
      <c r="CM582" s="226"/>
      <c r="CN582" s="110"/>
      <c r="CO582" s="110"/>
      <c r="CP582" s="226"/>
      <c r="CQ582" s="110"/>
      <c r="CR582" s="110"/>
      <c r="CS582" s="226"/>
      <c r="CT582" s="110"/>
      <c r="CU582" s="245" t="s">
        <v>3002</v>
      </c>
      <c r="CV582" s="181"/>
      <c r="CW582" s="491"/>
      <c r="CX582" s="492" t="s">
        <v>3026</v>
      </c>
      <c r="CY582" s="121"/>
      <c r="CZ582" s="121"/>
      <c r="DA582" s="131"/>
      <c r="DB582" s="115"/>
      <c r="DC582" s="766"/>
      <c r="DD582" s="242"/>
      <c r="DE582" s="242"/>
      <c r="DF582" s="242"/>
      <c r="DG582" s="729"/>
      <c r="DH582" s="799"/>
      <c r="DI582" s="779"/>
      <c r="DJ582" s="779"/>
      <c r="DK582" s="779"/>
      <c r="DL582" s="779"/>
      <c r="DM582" s="4"/>
    </row>
    <row r="583" spans="1:130" ht="30" hidden="1" customHeight="1" outlineLevel="1">
      <c r="A583" s="228"/>
      <c r="B583" s="121"/>
      <c r="C583" s="155"/>
      <c r="D583" s="757"/>
      <c r="E583" s="757"/>
      <c r="F583" s="757"/>
      <c r="G583" s="369" t="s">
        <v>2354</v>
      </c>
      <c r="H583" s="672" t="s">
        <v>3027</v>
      </c>
      <c r="I583" s="207" t="s">
        <v>3028</v>
      </c>
      <c r="J583" s="121" t="str">
        <f t="shared" si="52"/>
        <v>Daniela  Lauria</v>
      </c>
      <c r="K583" s="224">
        <v>392451669</v>
      </c>
      <c r="L583" s="131"/>
      <c r="M583" s="131"/>
      <c r="N583" s="289"/>
      <c r="O583" s="567"/>
      <c r="P583" s="255"/>
      <c r="Q583" s="255"/>
      <c r="R583" s="131" t="s">
        <v>3029</v>
      </c>
      <c r="S583" s="131"/>
      <c r="T583" s="131"/>
      <c r="U583" s="131"/>
      <c r="V583" s="131"/>
      <c r="W583" s="258"/>
      <c r="X583" s="131"/>
      <c r="Y583" s="258"/>
      <c r="Z583" s="258"/>
      <c r="AA583" s="258"/>
      <c r="AB583" s="255"/>
      <c r="AC583" s="131"/>
      <c r="AD583" s="255"/>
      <c r="AE583" s="80">
        <f t="shared" si="72"/>
        <v>0</v>
      </c>
      <c r="AF583" s="515"/>
      <c r="AG583" s="516" t="s">
        <v>115</v>
      </c>
      <c r="AH583" s="516" t="s">
        <v>115</v>
      </c>
      <c r="AI583" s="515"/>
      <c r="AJ583" s="155"/>
      <c r="AK583" s="155"/>
      <c r="AL583" s="155"/>
      <c r="AM583" s="515"/>
      <c r="AN583" s="155"/>
      <c r="AO583" s="155" t="s">
        <v>2992</v>
      </c>
      <c r="AP583" s="155" t="s">
        <v>2992</v>
      </c>
      <c r="AQ583" s="853"/>
      <c r="AR583" s="121"/>
      <c r="AS583" s="121"/>
      <c r="AT583" s="121"/>
      <c r="AU583" s="854"/>
      <c r="AV583" s="121"/>
      <c r="AW583" s="121"/>
      <c r="AX583" s="121"/>
      <c r="AY583" s="854"/>
      <c r="AZ583" s="362"/>
      <c r="BA583" s="362"/>
      <c r="BB583" s="362"/>
      <c r="BC583" s="854"/>
      <c r="BD583" s="362"/>
      <c r="BE583" s="362"/>
      <c r="BF583" s="362"/>
      <c r="BG583" s="854"/>
      <c r="BH583" s="889">
        <f t="shared" si="103"/>
        <v>0</v>
      </c>
      <c r="BI583" s="902">
        <f t="shared" si="104"/>
        <v>0</v>
      </c>
      <c r="BJ583" s="761">
        <f t="shared" si="55"/>
        <v>0</v>
      </c>
      <c r="BK583" s="110"/>
      <c r="BL583" s="242"/>
      <c r="BM583" s="203"/>
      <c r="BN583" s="203"/>
      <c r="BO583" s="203"/>
      <c r="BP583" s="529" t="s">
        <v>2920</v>
      </c>
      <c r="BQ583" s="145">
        <v>0.15</v>
      </c>
      <c r="BR583" s="110"/>
      <c r="BS583" s="242"/>
      <c r="BT583" s="203"/>
      <c r="BU583" s="373"/>
      <c r="BV583" s="373"/>
      <c r="BW583" s="870"/>
      <c r="BX583" s="529" t="s">
        <v>2920</v>
      </c>
      <c r="BY583" s="145">
        <v>0.05</v>
      </c>
      <c r="BZ583" s="110">
        <v>0</v>
      </c>
      <c r="CA583" s="242">
        <f t="shared" si="96"/>
        <v>0</v>
      </c>
      <c r="CB583" s="764"/>
      <c r="CC583" s="764"/>
      <c r="CD583" s="764"/>
      <c r="CE583" s="765"/>
      <c r="CF583" s="301"/>
      <c r="CG583" s="206"/>
      <c r="CH583" s="301"/>
      <c r="CI583" s="206"/>
      <c r="CJ583" s="206"/>
      <c r="CK583" s="206"/>
      <c r="CL583" s="110"/>
      <c r="CM583" s="226"/>
      <c r="CN583" s="110"/>
      <c r="CO583" s="110"/>
      <c r="CP583" s="226"/>
      <c r="CQ583" s="110"/>
      <c r="CR583" s="110"/>
      <c r="CS583" s="226"/>
      <c r="CT583" s="110"/>
      <c r="CU583" s="245" t="s">
        <v>2612</v>
      </c>
      <c r="CV583" s="181"/>
      <c r="CW583" s="438" t="s">
        <v>2633</v>
      </c>
      <c r="CX583" s="439" t="s">
        <v>3030</v>
      </c>
      <c r="CY583" s="121"/>
      <c r="CZ583" s="121"/>
      <c r="DA583" s="131"/>
      <c r="DB583" s="115"/>
      <c r="DC583" s="766"/>
      <c r="DD583" s="242"/>
      <c r="DE583" s="242"/>
      <c r="DF583" s="242"/>
      <c r="DG583" s="729"/>
      <c r="DH583" s="799"/>
      <c r="DI583" s="779"/>
      <c r="DJ583" s="779"/>
      <c r="DK583" s="779"/>
      <c r="DL583" s="779"/>
      <c r="DM583" s="4"/>
    </row>
    <row r="584" spans="1:130" ht="30" hidden="1" customHeight="1" outlineLevel="1">
      <c r="A584" s="228"/>
      <c r="B584" s="121"/>
      <c r="C584" s="155"/>
      <c r="D584" s="757"/>
      <c r="E584" s="757"/>
      <c r="F584" s="757"/>
      <c r="G584" s="369" t="s">
        <v>141</v>
      </c>
      <c r="H584" s="672" t="s">
        <v>3031</v>
      </c>
      <c r="I584" s="207" t="s">
        <v>3032</v>
      </c>
      <c r="J584" s="121" t="str">
        <f t="shared" si="52"/>
        <v>Daniele Angeli</v>
      </c>
      <c r="K584" s="224"/>
      <c r="L584" s="131"/>
      <c r="M584" s="131"/>
      <c r="N584" s="131"/>
      <c r="O584" s="599"/>
      <c r="P584" s="908" t="s">
        <v>3018</v>
      </c>
      <c r="Q584" s="908" t="s">
        <v>3019</v>
      </c>
      <c r="R584" s="131" t="s">
        <v>3020</v>
      </c>
      <c r="S584" s="131" t="s">
        <v>3021</v>
      </c>
      <c r="T584" s="131"/>
      <c r="U584" s="131"/>
      <c r="V584" s="131"/>
      <c r="W584" s="258"/>
      <c r="X584" s="131"/>
      <c r="Y584" s="258"/>
      <c r="Z584" s="258"/>
      <c r="AA584" s="258"/>
      <c r="AB584" s="255" t="s">
        <v>3022</v>
      </c>
      <c r="AC584" s="558" t="s">
        <v>3023</v>
      </c>
      <c r="AD584" s="255"/>
      <c r="AE584" s="80">
        <f t="shared" si="72"/>
        <v>0</v>
      </c>
      <c r="AF584" s="515"/>
      <c r="AG584" s="516" t="s">
        <v>115</v>
      </c>
      <c r="AH584" s="516" t="s">
        <v>115</v>
      </c>
      <c r="AI584" s="515"/>
      <c r="AJ584" s="155"/>
      <c r="AK584" s="155" t="s">
        <v>2992</v>
      </c>
      <c r="AL584" s="155" t="s">
        <v>2992</v>
      </c>
      <c r="AM584" s="515"/>
      <c r="AN584" s="155"/>
      <c r="AO584" s="155" t="s">
        <v>2404</v>
      </c>
      <c r="AP584" s="155" t="s">
        <v>2404</v>
      </c>
      <c r="AQ584" s="853"/>
      <c r="AR584" s="121"/>
      <c r="AS584" s="121"/>
      <c r="AT584" s="121"/>
      <c r="AU584" s="854"/>
      <c r="AV584" s="121"/>
      <c r="AW584" s="121"/>
      <c r="AX584" s="121"/>
      <c r="AY584" s="854"/>
      <c r="AZ584" s="362"/>
      <c r="BA584" s="362"/>
      <c r="BB584" s="362"/>
      <c r="BC584" s="854"/>
      <c r="BD584" s="362"/>
      <c r="BE584" s="362"/>
      <c r="BF584" s="362"/>
      <c r="BG584" s="854"/>
      <c r="BH584" s="889">
        <f t="shared" si="103"/>
        <v>0</v>
      </c>
      <c r="BI584" s="902">
        <f t="shared" si="104"/>
        <v>0</v>
      </c>
      <c r="BJ584" s="761">
        <f t="shared" si="55"/>
        <v>0</v>
      </c>
      <c r="BK584" s="110"/>
      <c r="BL584" s="242"/>
      <c r="BM584" s="203"/>
      <c r="BN584" s="203"/>
      <c r="BO584" s="203"/>
      <c r="BP584" s="529" t="s">
        <v>3024</v>
      </c>
      <c r="BQ584" s="145">
        <v>0.15</v>
      </c>
      <c r="BR584" s="110"/>
      <c r="BS584" s="242"/>
      <c r="BT584" s="203"/>
      <c r="BU584" s="373"/>
      <c r="BV584" s="373"/>
      <c r="BW584" s="870"/>
      <c r="BX584" s="529" t="s">
        <v>3025</v>
      </c>
      <c r="BY584" s="145">
        <v>0.15</v>
      </c>
      <c r="BZ584" s="110">
        <v>0</v>
      </c>
      <c r="CA584" s="242">
        <f t="shared" si="96"/>
        <v>0</v>
      </c>
      <c r="CB584" s="764"/>
      <c r="CC584" s="764"/>
      <c r="CD584" s="764"/>
      <c r="CE584" s="765"/>
      <c r="CF584" s="301"/>
      <c r="CG584" s="206"/>
      <c r="CH584" s="301"/>
      <c r="CI584" s="206"/>
      <c r="CJ584" s="206"/>
      <c r="CK584" s="206"/>
      <c r="CL584" s="226"/>
      <c r="CM584" s="226"/>
      <c r="CN584" s="110"/>
      <c r="CO584" s="110"/>
      <c r="CP584" s="226"/>
      <c r="CQ584" s="110"/>
      <c r="CR584" s="110"/>
      <c r="CS584" s="226"/>
      <c r="CT584" s="110"/>
      <c r="CU584" s="245" t="s">
        <v>3002</v>
      </c>
      <c r="CV584" s="181"/>
      <c r="CW584" s="438" t="s">
        <v>1387</v>
      </c>
      <c r="CX584" s="909"/>
      <c r="CY584" s="121"/>
      <c r="CZ584" s="121"/>
      <c r="DA584" s="131"/>
      <c r="DB584" s="115"/>
      <c r="DC584" s="766"/>
      <c r="DD584" s="242"/>
      <c r="DE584" s="242"/>
      <c r="DF584" s="242"/>
      <c r="DG584" s="729"/>
      <c r="DH584" s="799"/>
      <c r="DI584" s="779"/>
      <c r="DJ584" s="779"/>
      <c r="DK584" s="779"/>
      <c r="DL584" s="779"/>
      <c r="DM584" s="17"/>
      <c r="DN584" s="265"/>
      <c r="DO584" s="265"/>
      <c r="DP584" s="265"/>
      <c r="DQ584" s="265"/>
      <c r="DR584" s="265"/>
      <c r="DS584" s="265"/>
      <c r="DT584" s="265"/>
      <c r="DU584" s="265"/>
      <c r="DV584" s="265"/>
      <c r="DW584" s="265"/>
      <c r="DX584" s="265"/>
      <c r="DY584" s="265"/>
      <c r="DZ584" s="265"/>
    </row>
    <row r="585" spans="1:130" ht="77.25" hidden="1" outlineLevel="1">
      <c r="A585" s="228"/>
      <c r="B585" s="121"/>
      <c r="C585" s="155"/>
      <c r="D585" s="757"/>
      <c r="E585" s="757"/>
      <c r="F585" s="757"/>
      <c r="G585" s="896" t="s">
        <v>141</v>
      </c>
      <c r="H585" s="903" t="s">
        <v>3033</v>
      </c>
      <c r="I585" s="207" t="s">
        <v>3034</v>
      </c>
      <c r="J585" s="121" t="str">
        <f t="shared" si="52"/>
        <v>Daniele Ferraresso</v>
      </c>
      <c r="K585" s="224"/>
      <c r="L585" s="876" t="s">
        <v>3035</v>
      </c>
      <c r="M585" s="561"/>
      <c r="N585" s="561"/>
      <c r="O585" s="599"/>
      <c r="P585" s="623"/>
      <c r="Q585" s="623"/>
      <c r="R585" s="624"/>
      <c r="S585" s="625"/>
      <c r="T585" s="255"/>
      <c r="U585" s="255"/>
      <c r="V585" s="131"/>
      <c r="W585" s="131"/>
      <c r="X585" s="131"/>
      <c r="Y585" s="131"/>
      <c r="Z585" s="131"/>
      <c r="AA585" s="514"/>
      <c r="AB585" s="255"/>
      <c r="AC585" s="131"/>
      <c r="AD585" s="910" t="s">
        <v>3036</v>
      </c>
      <c r="AE585" s="80" t="str">
        <f t="shared" si="72"/>
        <v>nel CE MIV 22 Fatturati al momento 163,93 Euro- rif. ft. 430/MA del 18/10/2019 ma nell'imponibile segnato Euro 2997</v>
      </c>
      <c r="AF585" s="627"/>
      <c r="AG585" s="628"/>
      <c r="AH585" s="629"/>
      <c r="AI585" s="515"/>
      <c r="AJ585" s="155"/>
      <c r="AK585" s="155"/>
      <c r="AL585" s="155"/>
      <c r="AM585" s="515"/>
      <c r="AN585" s="207"/>
      <c r="AO585" s="207"/>
      <c r="AP585" s="207"/>
      <c r="AQ585" s="515"/>
      <c r="AR585" s="304" t="s">
        <v>245</v>
      </c>
      <c r="AS585" s="304" t="s">
        <v>245</v>
      </c>
      <c r="AT585" s="304" t="s">
        <v>245</v>
      </c>
      <c r="AU585" s="568"/>
      <c r="AV585" s="304"/>
      <c r="AW585" s="304"/>
      <c r="AX585" s="304"/>
      <c r="AY585" s="568"/>
      <c r="AZ585" s="888"/>
      <c r="BA585" s="888"/>
      <c r="BB585" s="888"/>
      <c r="BC585" s="568"/>
      <c r="BD585" s="888"/>
      <c r="BE585" s="888"/>
      <c r="BF585" s="888"/>
      <c r="BG585" s="568"/>
      <c r="BH585" s="889">
        <v>2997</v>
      </c>
      <c r="BI585" s="808">
        <f>CH585</f>
        <v>163.93</v>
      </c>
      <c r="BJ585" s="902">
        <f t="shared" si="55"/>
        <v>2833.07</v>
      </c>
      <c r="BK585" s="110">
        <v>0</v>
      </c>
      <c r="BL585" s="242">
        <f>BH585-BK585</f>
        <v>2997</v>
      </c>
      <c r="BM585" s="764"/>
      <c r="BN585" s="764"/>
      <c r="BO585" s="764"/>
      <c r="BP585" s="899"/>
      <c r="BQ585" s="904"/>
      <c r="BR585" s="110"/>
      <c r="BS585" s="242"/>
      <c r="BT585" s="773"/>
      <c r="BU585" s="773"/>
      <c r="BV585" s="773"/>
      <c r="BW585" s="315"/>
      <c r="BX585" s="131"/>
      <c r="BY585" s="207"/>
      <c r="BZ585" s="110">
        <v>0</v>
      </c>
      <c r="CA585" s="242">
        <f t="shared" si="96"/>
        <v>0</v>
      </c>
      <c r="CB585" s="764"/>
      <c r="CC585" s="764"/>
      <c r="CD585" s="764"/>
      <c r="CE585" s="882"/>
      <c r="CF585" s="905">
        <v>163.93</v>
      </c>
      <c r="CG585" s="906">
        <v>43726</v>
      </c>
      <c r="CH585" s="905">
        <v>163.93</v>
      </c>
      <c r="CI585" s="905">
        <v>1409.82</v>
      </c>
      <c r="CJ585" s="906">
        <v>43746</v>
      </c>
      <c r="CK585" s="911"/>
      <c r="CL585" s="905">
        <v>1923.22</v>
      </c>
      <c r="CM585" s="226">
        <v>43803</v>
      </c>
      <c r="CN585" s="226"/>
      <c r="CO585" s="226"/>
      <c r="CP585" s="226"/>
      <c r="CQ585" s="110"/>
      <c r="CR585" s="110"/>
      <c r="CS585" s="226"/>
      <c r="CT585" s="110"/>
      <c r="CU585" s="912"/>
      <c r="CV585" s="331"/>
      <c r="CW585" s="631"/>
      <c r="CX585" s="331"/>
      <c r="CY585" s="264"/>
      <c r="CZ585" s="331"/>
      <c r="DA585" s="849"/>
      <c r="DB585" s="883"/>
      <c r="DC585" s="766"/>
      <c r="DD585" s="242"/>
      <c r="DE585" s="242"/>
      <c r="DF585" s="242"/>
      <c r="DG585" s="265"/>
      <c r="DH585" s="884"/>
      <c r="DI585" s="265"/>
      <c r="DJ585" s="265"/>
      <c r="DK585" s="265"/>
      <c r="DL585" s="265"/>
      <c r="DM585" s="4"/>
    </row>
    <row r="586" spans="1:130" ht="30" hidden="1" customHeight="1" outlineLevel="1">
      <c r="A586" s="228"/>
      <c r="B586" s="121"/>
      <c r="C586" s="155"/>
      <c r="D586" s="757"/>
      <c r="E586" s="757"/>
      <c r="F586" s="757"/>
      <c r="G586" s="369" t="s">
        <v>141</v>
      </c>
      <c r="H586" s="672" t="s">
        <v>3037</v>
      </c>
      <c r="I586" s="207" t="s">
        <v>3038</v>
      </c>
      <c r="J586" s="121" t="str">
        <f t="shared" si="52"/>
        <v>Daniele Turetti</v>
      </c>
      <c r="K586" s="224">
        <v>3805250485</v>
      </c>
      <c r="L586" s="131"/>
      <c r="M586" s="131"/>
      <c r="N586" s="131"/>
      <c r="O586" s="599"/>
      <c r="P586" s="255" t="s">
        <v>3039</v>
      </c>
      <c r="Q586" s="255" t="s">
        <v>3039</v>
      </c>
      <c r="R586" s="131" t="s">
        <v>3040</v>
      </c>
      <c r="S586" s="131" t="s">
        <v>3041</v>
      </c>
      <c r="T586" s="131"/>
      <c r="U586" s="131"/>
      <c r="V586" s="131"/>
      <c r="W586" s="514"/>
      <c r="X586" s="131" t="s">
        <v>3042</v>
      </c>
      <c r="Y586" s="514"/>
      <c r="Z586" s="514"/>
      <c r="AA586" s="514"/>
      <c r="AB586" s="255" t="s">
        <v>2968</v>
      </c>
      <c r="AC586" s="131"/>
      <c r="AD586" s="255"/>
      <c r="AE586" s="80">
        <f t="shared" si="72"/>
        <v>0</v>
      </c>
      <c r="AF586" s="515"/>
      <c r="AG586" s="516"/>
      <c r="AH586" s="516" t="s">
        <v>115</v>
      </c>
      <c r="AI586" s="515"/>
      <c r="AJ586" s="258"/>
      <c r="AK586" s="258"/>
      <c r="AL586" s="258"/>
      <c r="AM586" s="627"/>
      <c r="AN586" s="155"/>
      <c r="AO586" s="155"/>
      <c r="AP586" s="155" t="s">
        <v>2992</v>
      </c>
      <c r="AQ586" s="515"/>
      <c r="AR586" s="121"/>
      <c r="AS586" s="121"/>
      <c r="AT586" s="121"/>
      <c r="AU586" s="568"/>
      <c r="AV586" s="121"/>
      <c r="AW586" s="121"/>
      <c r="AX586" s="121"/>
      <c r="AY586" s="568"/>
      <c r="AZ586" s="362"/>
      <c r="BA586" s="362"/>
      <c r="BB586" s="362"/>
      <c r="BC586" s="568"/>
      <c r="BD586" s="362"/>
      <c r="BE586" s="362"/>
      <c r="BF586" s="362"/>
      <c r="BG586" s="568"/>
      <c r="BH586" s="889">
        <f>CF586+CI586+CL586+CO586+CR586</f>
        <v>0</v>
      </c>
      <c r="BI586" s="902">
        <f>CH586+CK586+CN586+CQ586+CT586</f>
        <v>0</v>
      </c>
      <c r="BJ586" s="761">
        <f t="shared" si="55"/>
        <v>0</v>
      </c>
      <c r="BK586" s="110"/>
      <c r="BL586" s="242"/>
      <c r="BM586" s="203"/>
      <c r="BN586" s="203"/>
      <c r="BO586" s="203"/>
      <c r="BP586" s="529" t="s">
        <v>3043</v>
      </c>
      <c r="BQ586" s="145">
        <v>0.15</v>
      </c>
      <c r="BR586" s="110"/>
      <c r="BS586" s="242"/>
      <c r="BT586" s="203"/>
      <c r="BU586" s="373"/>
      <c r="BV586" s="373"/>
      <c r="BW586" s="870"/>
      <c r="BX586" s="529" t="s">
        <v>3043</v>
      </c>
      <c r="BY586" s="145">
        <v>0.05</v>
      </c>
      <c r="BZ586" s="110">
        <v>0</v>
      </c>
      <c r="CA586" s="242">
        <f t="shared" si="96"/>
        <v>0</v>
      </c>
      <c r="CB586" s="764"/>
      <c r="CC586" s="764"/>
      <c r="CD586" s="764"/>
      <c r="CE586" s="765"/>
      <c r="CF586" s="301"/>
      <c r="CG586" s="206"/>
      <c r="CH586" s="301"/>
      <c r="CI586" s="206"/>
      <c r="CJ586" s="206"/>
      <c r="CK586" s="206"/>
      <c r="CL586" s="110"/>
      <c r="CM586" s="226"/>
      <c r="CN586" s="110"/>
      <c r="CO586" s="110"/>
      <c r="CP586" s="226"/>
      <c r="CQ586" s="110"/>
      <c r="CR586" s="110"/>
      <c r="CS586" s="226"/>
      <c r="CT586" s="226"/>
      <c r="CU586" s="245"/>
      <c r="CV586" s="181"/>
      <c r="CW586" s="369"/>
      <c r="CX586" s="207"/>
      <c r="CY586" s="155"/>
      <c r="CZ586" s="155"/>
      <c r="DA586" s="131"/>
      <c r="DB586" s="115"/>
      <c r="DC586" s="766"/>
      <c r="DD586" s="242"/>
      <c r="DE586" s="242"/>
      <c r="DF586" s="242"/>
      <c r="DG586" s="729"/>
      <c r="DH586" s="730"/>
      <c r="DI586" s="729"/>
      <c r="DJ586" s="729"/>
      <c r="DK586" s="729"/>
      <c r="DL586" s="729"/>
      <c r="DM586" s="4"/>
    </row>
    <row r="587" spans="1:130" ht="90" hidden="1" outlineLevel="1">
      <c r="A587" s="228"/>
      <c r="B587" s="121"/>
      <c r="C587" s="155"/>
      <c r="D587" s="757"/>
      <c r="E587" s="757"/>
      <c r="F587" s="757"/>
      <c r="G587" s="896" t="s">
        <v>321</v>
      </c>
      <c r="H587" s="903" t="s">
        <v>3044</v>
      </c>
      <c r="I587" s="207"/>
      <c r="J587" s="121" t="str">
        <f t="shared" si="52"/>
        <v>Davide Cafferati</v>
      </c>
      <c r="K587" s="671"/>
      <c r="L587" s="876" t="s">
        <v>3045</v>
      </c>
      <c r="M587" s="131"/>
      <c r="N587" s="131"/>
      <c r="O587" s="599"/>
      <c r="P587" s="623"/>
      <c r="Q587" s="623"/>
      <c r="R587" s="624"/>
      <c r="S587" s="625"/>
      <c r="T587" s="255"/>
      <c r="U587" s="255"/>
      <c r="V587" s="131"/>
      <c r="W587" s="131"/>
      <c r="X587" s="131"/>
      <c r="Y587" s="131"/>
      <c r="Z587" s="131"/>
      <c r="AA587" s="514"/>
      <c r="AB587" s="255"/>
      <c r="AC587" s="131"/>
      <c r="AD587" s="910" t="s">
        <v>3036</v>
      </c>
      <c r="AE587" s="80" t="str">
        <f t="shared" si="72"/>
        <v>nel CE MIV 22 Fatturati al momento 163,93 Euro- rif. ft. 32/MA del 31/03/2018 ma nell'imponibile segnato Euro 2997- segnato come Primavera 2019</v>
      </c>
      <c r="AF587" s="627"/>
      <c r="AG587" s="628"/>
      <c r="AH587" s="629"/>
      <c r="AI587" s="515"/>
      <c r="AJ587" s="155"/>
      <c r="AK587" s="155"/>
      <c r="AL587" s="155" t="s">
        <v>2992</v>
      </c>
      <c r="AM587" s="515"/>
      <c r="AN587" s="207"/>
      <c r="AO587" s="207"/>
      <c r="AP587" s="207"/>
      <c r="AQ587" s="515"/>
      <c r="AR587" s="304" t="s">
        <v>245</v>
      </c>
      <c r="AS587" s="304" t="s">
        <v>245</v>
      </c>
      <c r="AT587" s="304" t="s">
        <v>245</v>
      </c>
      <c r="AU587" s="568"/>
      <c r="AV587" s="304"/>
      <c r="AW587" s="304"/>
      <c r="AX587" s="304"/>
      <c r="AY587" s="568"/>
      <c r="AZ587" s="888"/>
      <c r="BA587" s="888"/>
      <c r="BB587" s="888"/>
      <c r="BC587" s="568"/>
      <c r="BD587" s="888"/>
      <c r="BE587" s="888"/>
      <c r="BF587" s="888"/>
      <c r="BG587" s="568"/>
      <c r="BH587" s="889">
        <v>2997</v>
      </c>
      <c r="BI587" s="808">
        <f>CH587</f>
        <v>163.93</v>
      </c>
      <c r="BJ587" s="902">
        <f t="shared" si="55"/>
        <v>2833.07</v>
      </c>
      <c r="BK587" s="110">
        <v>0</v>
      </c>
      <c r="BL587" s="242">
        <f>BH587-BK587</f>
        <v>2997</v>
      </c>
      <c r="BM587" s="764"/>
      <c r="BN587" s="764"/>
      <c r="BO587" s="764"/>
      <c r="BP587" s="899"/>
      <c r="BQ587" s="900"/>
      <c r="BR587" s="110"/>
      <c r="BS587" s="242"/>
      <c r="BT587" s="764"/>
      <c r="BU587" s="764"/>
      <c r="BV587" s="764"/>
      <c r="BW587" s="160"/>
      <c r="BX587" s="131"/>
      <c r="BY587" s="207"/>
      <c r="BZ587" s="110">
        <v>0</v>
      </c>
      <c r="CA587" s="242">
        <f t="shared" si="96"/>
        <v>0</v>
      </c>
      <c r="CB587" s="764"/>
      <c r="CC587" s="764"/>
      <c r="CD587" s="764"/>
      <c r="CE587" s="882"/>
      <c r="CF587" s="905">
        <v>163.93</v>
      </c>
      <c r="CG587" s="906">
        <v>43177</v>
      </c>
      <c r="CH587" s="905">
        <v>163.93</v>
      </c>
      <c r="CI587" s="905">
        <v>1409.82</v>
      </c>
      <c r="CJ587" s="906">
        <v>43198</v>
      </c>
      <c r="CK587" s="911"/>
      <c r="CL587" s="905">
        <v>1923.22</v>
      </c>
      <c r="CM587" s="226">
        <v>43224</v>
      </c>
      <c r="CN587" s="226"/>
      <c r="CO587" s="226"/>
      <c r="CP587" s="226"/>
      <c r="CQ587" s="110"/>
      <c r="CR587" s="110"/>
      <c r="CS587" s="226"/>
      <c r="CT587" s="110"/>
      <c r="CU587" s="912"/>
      <c r="CV587" s="331"/>
      <c r="CW587" s="631"/>
      <c r="CX587" s="331"/>
      <c r="CY587" s="264"/>
      <c r="CZ587" s="331"/>
      <c r="DA587" s="849"/>
      <c r="DB587" s="883"/>
      <c r="DC587" s="766"/>
      <c r="DD587" s="242"/>
      <c r="DE587" s="242"/>
      <c r="DF587" s="242"/>
      <c r="DG587" s="265"/>
      <c r="DH587" s="884"/>
      <c r="DI587" s="265"/>
      <c r="DJ587" s="265"/>
      <c r="DK587" s="265"/>
      <c r="DL587" s="265"/>
      <c r="DM587" s="4"/>
    </row>
    <row r="588" spans="1:130" ht="30" hidden="1" customHeight="1" outlineLevel="1">
      <c r="A588" s="228"/>
      <c r="B588" s="121"/>
      <c r="C588" s="155"/>
      <c r="D588" s="757"/>
      <c r="E588" s="757"/>
      <c r="F588" s="757"/>
      <c r="G588" s="864" t="s">
        <v>1679</v>
      </c>
      <c r="H588" s="865" t="s">
        <v>2911</v>
      </c>
      <c r="I588" s="207" t="s">
        <v>3046</v>
      </c>
      <c r="J588" s="121" t="str">
        <f t="shared" si="52"/>
        <v>Debora Tagliapietra</v>
      </c>
      <c r="K588" s="848"/>
      <c r="L588" s="849"/>
      <c r="M588" s="828"/>
      <c r="N588" s="828"/>
      <c r="O588" s="622"/>
      <c r="P588" s="850" t="s">
        <v>2913</v>
      </c>
      <c r="Q588" s="850" t="s">
        <v>2913</v>
      </c>
      <c r="R588" s="828" t="s">
        <v>2914</v>
      </c>
      <c r="S588" s="828" t="s">
        <v>2915</v>
      </c>
      <c r="T588" s="828"/>
      <c r="U588" s="828"/>
      <c r="V588" s="828"/>
      <c r="W588" s="850"/>
      <c r="X588" s="558" t="s">
        <v>2916</v>
      </c>
      <c r="Y588" s="850"/>
      <c r="Z588" s="850"/>
      <c r="AA588" s="850"/>
      <c r="AB588" s="850" t="s">
        <v>2917</v>
      </c>
      <c r="AC588" s="558" t="s">
        <v>2918</v>
      </c>
      <c r="AD588" s="850"/>
      <c r="AE588" s="828"/>
      <c r="AF588" s="851"/>
      <c r="AG588" s="852" t="s">
        <v>115</v>
      </c>
      <c r="AH588" s="852" t="s">
        <v>115</v>
      </c>
      <c r="AI588" s="515"/>
      <c r="AJ588" s="258"/>
      <c r="AK588" s="258"/>
      <c r="AL588" s="258"/>
      <c r="AM588" s="627"/>
      <c r="AN588" s="815"/>
      <c r="AO588" s="815" t="s">
        <v>2404</v>
      </c>
      <c r="AP588" s="815" t="s">
        <v>2404</v>
      </c>
      <c r="AQ588" s="853"/>
      <c r="AR588" s="609"/>
      <c r="AS588" s="609"/>
      <c r="AT588" s="609"/>
      <c r="AU588" s="854"/>
      <c r="AV588" s="609"/>
      <c r="AW588" s="609"/>
      <c r="AX588" s="609"/>
      <c r="AY588" s="854"/>
      <c r="AZ588" s="913"/>
      <c r="BA588" s="913"/>
      <c r="BB588" s="913"/>
      <c r="BC588" s="854"/>
      <c r="BD588" s="913"/>
      <c r="BE588" s="913"/>
      <c r="BF588" s="913"/>
      <c r="BG588" s="854"/>
      <c r="BH588" s="889">
        <f t="shared" ref="BH588:BH591" si="105">CF588+CI588+CL588+CO588+CR588</f>
        <v>0</v>
      </c>
      <c r="BI588" s="902">
        <f t="shared" ref="BI588:BI591" si="106">CH588+CK588+CN588+CQ588+CT588</f>
        <v>0</v>
      </c>
      <c r="BJ588" s="761">
        <f t="shared" si="55"/>
        <v>0</v>
      </c>
      <c r="BK588" s="110"/>
      <c r="BL588" s="242"/>
      <c r="BM588" s="203"/>
      <c r="BN588" s="203"/>
      <c r="BO588" s="203"/>
      <c r="BP588" s="828" t="s">
        <v>2919</v>
      </c>
      <c r="BQ588" s="856">
        <v>0.15</v>
      </c>
      <c r="BR588" s="110"/>
      <c r="BS588" s="242"/>
      <c r="BT588" s="203"/>
      <c r="BU588" s="203"/>
      <c r="BV588" s="203"/>
      <c r="BW588" s="857"/>
      <c r="BX588" s="828" t="s">
        <v>2920</v>
      </c>
      <c r="BY588" s="856">
        <v>0.05</v>
      </c>
      <c r="BZ588" s="110">
        <v>0</v>
      </c>
      <c r="CA588" s="242">
        <f t="shared" si="96"/>
        <v>0</v>
      </c>
      <c r="CB588" s="764"/>
      <c r="CC588" s="764"/>
      <c r="CD588" s="764"/>
      <c r="CE588" s="882"/>
      <c r="CF588" s="338"/>
      <c r="CG588" s="338"/>
      <c r="CH588" s="338"/>
      <c r="CI588" s="338"/>
      <c r="CJ588" s="338"/>
      <c r="CK588" s="338"/>
      <c r="CL588" s="338"/>
      <c r="CM588" s="338"/>
      <c r="CN588" s="338"/>
      <c r="CO588" s="338"/>
      <c r="CP588" s="338"/>
      <c r="CQ588" s="338"/>
      <c r="CR588" s="338"/>
      <c r="CS588" s="338"/>
      <c r="CT588" s="338"/>
      <c r="CU588" s="245"/>
      <c r="CV588" s="207"/>
      <c r="CW588" s="354"/>
      <c r="CX588" s="207"/>
      <c r="CY588" s="155"/>
      <c r="CZ588" s="155"/>
      <c r="DA588" s="849"/>
      <c r="DB588" s="115"/>
      <c r="DC588" s="766"/>
      <c r="DD588" s="242"/>
      <c r="DE588" s="242"/>
      <c r="DF588" s="242"/>
      <c r="DG588" s="729"/>
      <c r="DH588" s="730"/>
      <c r="DI588" s="729"/>
      <c r="DJ588" s="729"/>
      <c r="DK588" s="729"/>
      <c r="DL588" s="729"/>
      <c r="DM588" s="4"/>
    </row>
    <row r="589" spans="1:130" ht="30" hidden="1" customHeight="1" outlineLevel="1">
      <c r="A589" s="228"/>
      <c r="B589" s="121"/>
      <c r="C589" s="155"/>
      <c r="D589" s="757"/>
      <c r="E589" s="757"/>
      <c r="F589" s="757"/>
      <c r="G589" s="369" t="s">
        <v>3047</v>
      </c>
      <c r="H589" s="672" t="s">
        <v>3048</v>
      </c>
      <c r="I589" s="207" t="s">
        <v>3049</v>
      </c>
      <c r="J589" s="121" t="str">
        <f t="shared" si="52"/>
        <v>Deborah Bianchi</v>
      </c>
      <c r="K589" s="224">
        <v>3387902054</v>
      </c>
      <c r="L589" s="131"/>
      <c r="M589" s="131"/>
      <c r="N589" s="289"/>
      <c r="O589" s="567"/>
      <c r="P589" s="564" t="s">
        <v>3050</v>
      </c>
      <c r="Q589" s="564" t="s">
        <v>3050</v>
      </c>
      <c r="R589" s="131" t="s">
        <v>3051</v>
      </c>
      <c r="S589" s="131" t="s">
        <v>3052</v>
      </c>
      <c r="T589" s="131"/>
      <c r="U589" s="131"/>
      <c r="V589" s="131"/>
      <c r="W589" s="258"/>
      <c r="X589" s="131" t="s">
        <v>3049</v>
      </c>
      <c r="Y589" s="258"/>
      <c r="Z589" s="258"/>
      <c r="AA589" s="258"/>
      <c r="AB589" s="255" t="s">
        <v>2917</v>
      </c>
      <c r="AC589" s="131"/>
      <c r="AD589" s="255"/>
      <c r="AE589" s="131"/>
      <c r="AF589" s="515"/>
      <c r="AG589" s="516" t="s">
        <v>115</v>
      </c>
      <c r="AH589" s="516" t="s">
        <v>115</v>
      </c>
      <c r="AI589" s="515"/>
      <c r="AJ589" s="815"/>
      <c r="AK589" s="815"/>
      <c r="AL589" s="815"/>
      <c r="AM589" s="851"/>
      <c r="AN589" s="155"/>
      <c r="AO589" s="155" t="s">
        <v>154</v>
      </c>
      <c r="AP589" s="155" t="s">
        <v>154</v>
      </c>
      <c r="AQ589" s="515"/>
      <c r="AR589" s="121"/>
      <c r="AS589" s="609"/>
      <c r="AT589" s="609"/>
      <c r="AU589" s="568"/>
      <c r="AV589" s="121"/>
      <c r="AW589" s="609"/>
      <c r="AX589" s="609"/>
      <c r="AY589" s="568"/>
      <c r="AZ589" s="913"/>
      <c r="BA589" s="913"/>
      <c r="BB589" s="913"/>
      <c r="BC589" s="568"/>
      <c r="BD589" s="913"/>
      <c r="BE589" s="913"/>
      <c r="BF589" s="913"/>
      <c r="BG589" s="568"/>
      <c r="BH589" s="889">
        <f t="shared" si="105"/>
        <v>0</v>
      </c>
      <c r="BI589" s="902">
        <f t="shared" si="106"/>
        <v>0</v>
      </c>
      <c r="BJ589" s="761">
        <f t="shared" si="55"/>
        <v>0</v>
      </c>
      <c r="BK589" s="110"/>
      <c r="BL589" s="242"/>
      <c r="BM589" s="203"/>
      <c r="BN589" s="203"/>
      <c r="BO589" s="203"/>
      <c r="BP589" s="529" t="s">
        <v>3053</v>
      </c>
      <c r="BQ589" s="145">
        <v>0.15</v>
      </c>
      <c r="BR589" s="110"/>
      <c r="BS589" s="242"/>
      <c r="BT589" s="203"/>
      <c r="BU589" s="203"/>
      <c r="BV589" s="203"/>
      <c r="BW589" s="843"/>
      <c r="BX589" s="529" t="s">
        <v>3001</v>
      </c>
      <c r="BY589" s="145">
        <v>0.05</v>
      </c>
      <c r="BZ589" s="110">
        <v>0</v>
      </c>
      <c r="CA589" s="242">
        <f t="shared" si="96"/>
        <v>0</v>
      </c>
      <c r="CB589" s="764"/>
      <c r="CC589" s="764"/>
      <c r="CD589" s="764"/>
      <c r="CE589" s="882"/>
      <c r="CF589" s="338"/>
      <c r="CG589" s="338"/>
      <c r="CH589" s="338"/>
      <c r="CI589" s="338"/>
      <c r="CJ589" s="338"/>
      <c r="CK589" s="338"/>
      <c r="CL589" s="338"/>
      <c r="CM589" s="338"/>
      <c r="CN589" s="338"/>
      <c r="CO589" s="338"/>
      <c r="CP589" s="338"/>
      <c r="CQ589" s="338"/>
      <c r="CR589" s="338"/>
      <c r="CS589" s="338"/>
      <c r="CT589" s="338"/>
      <c r="CU589" s="245" t="s">
        <v>2612</v>
      </c>
      <c r="CV589" s="181"/>
      <c r="CW589" s="369"/>
      <c r="CX589" s="181"/>
      <c r="CY589" s="121"/>
      <c r="CZ589" s="121"/>
      <c r="DA589" s="131"/>
      <c r="DB589" s="115"/>
      <c r="DC589" s="766"/>
      <c r="DD589" s="242"/>
      <c r="DE589" s="242"/>
      <c r="DF589" s="242"/>
      <c r="DG589" s="729"/>
      <c r="DH589" s="799"/>
      <c r="DI589" s="779"/>
      <c r="DJ589" s="779"/>
      <c r="DK589" s="779"/>
      <c r="DL589" s="779"/>
      <c r="DM589" s="4"/>
    </row>
    <row r="590" spans="1:130" ht="30" hidden="1" customHeight="1" outlineLevel="1">
      <c r="A590" s="228"/>
      <c r="B590" s="121"/>
      <c r="C590" s="155"/>
      <c r="D590" s="757"/>
      <c r="E590" s="757"/>
      <c r="F590" s="757"/>
      <c r="G590" s="914" t="s">
        <v>451</v>
      </c>
      <c r="H590" s="915" t="s">
        <v>3054</v>
      </c>
      <c r="I590" s="294" t="s">
        <v>3055</v>
      </c>
      <c r="J590" s="121" t="str">
        <f t="shared" si="52"/>
        <v>Fabio Dal Ben</v>
      </c>
      <c r="K590" s="916"/>
      <c r="L590" s="131"/>
      <c r="M590" s="131"/>
      <c r="N590" s="917"/>
      <c r="O590" s="918"/>
      <c r="P590" s="124"/>
      <c r="Q590" s="124"/>
      <c r="R590" s="131" t="s">
        <v>3056</v>
      </c>
      <c r="S590" s="124"/>
      <c r="T590" s="124"/>
      <c r="U590" s="124"/>
      <c r="V590" s="124"/>
      <c r="W590" s="124"/>
      <c r="X590" s="131"/>
      <c r="Y590" s="124"/>
      <c r="Z590" s="124"/>
      <c r="AA590" s="124"/>
      <c r="AB590" s="255"/>
      <c r="AC590" s="131"/>
      <c r="AD590" s="596"/>
      <c r="AE590" s="131" t="s">
        <v>3057</v>
      </c>
      <c r="AF590" s="515"/>
      <c r="AG590" s="580"/>
      <c r="AH590" s="580"/>
      <c r="AI590" s="515"/>
      <c r="AJ590" s="155"/>
      <c r="AK590" s="155"/>
      <c r="AL590" s="155"/>
      <c r="AM590" s="515"/>
      <c r="AN590" s="124"/>
      <c r="AO590" s="124"/>
      <c r="AP590" s="124"/>
      <c r="AQ590" s="515"/>
      <c r="AR590" s="121"/>
      <c r="AS590" s="121"/>
      <c r="AT590" s="121"/>
      <c r="AU590" s="568"/>
      <c r="AV590" s="121"/>
      <c r="AW590" s="121"/>
      <c r="AX590" s="121"/>
      <c r="AY590" s="568"/>
      <c r="AZ590" s="362"/>
      <c r="BA590" s="362"/>
      <c r="BB590" s="362"/>
      <c r="BC590" s="568"/>
      <c r="BD590" s="362"/>
      <c r="BE590" s="362"/>
      <c r="BF590" s="362"/>
      <c r="BG590" s="568"/>
      <c r="BH590" s="889">
        <f t="shared" si="105"/>
        <v>0</v>
      </c>
      <c r="BI590" s="902">
        <f t="shared" si="106"/>
        <v>0</v>
      </c>
      <c r="BJ590" s="761">
        <f t="shared" si="55"/>
        <v>0</v>
      </c>
      <c r="BK590" s="110"/>
      <c r="BL590" s="242"/>
      <c r="BM590" s="203"/>
      <c r="BN590" s="203"/>
      <c r="BO590" s="203"/>
      <c r="BP590" s="131" t="s">
        <v>2371</v>
      </c>
      <c r="BQ590" s="145">
        <v>0.15</v>
      </c>
      <c r="BR590" s="110"/>
      <c r="BS590" s="242"/>
      <c r="BT590" s="203"/>
      <c r="BU590" s="203"/>
      <c r="BV590" s="203"/>
      <c r="BW590" s="160"/>
      <c r="BX590" s="529" t="s">
        <v>2920</v>
      </c>
      <c r="BY590" s="145">
        <v>0.05</v>
      </c>
      <c r="BZ590" s="110">
        <v>0</v>
      </c>
      <c r="CA590" s="242">
        <f t="shared" si="96"/>
        <v>0</v>
      </c>
      <c r="CB590" s="764"/>
      <c r="CC590" s="764"/>
      <c r="CD590" s="764"/>
      <c r="CE590" s="882"/>
      <c r="CF590" s="338"/>
      <c r="CG590" s="338"/>
      <c r="CH590" s="338"/>
      <c r="CI590" s="338"/>
      <c r="CJ590" s="338"/>
      <c r="CK590" s="338"/>
      <c r="CL590" s="338"/>
      <c r="CM590" s="338"/>
      <c r="CN590" s="338"/>
      <c r="CO590" s="338"/>
      <c r="CP590" s="338"/>
      <c r="CQ590" s="338"/>
      <c r="CR590" s="338"/>
      <c r="CS590" s="338"/>
      <c r="CT590" s="338"/>
      <c r="CU590" s="919"/>
      <c r="CV590" s="570"/>
      <c r="CW590" s="920"/>
      <c r="CX590" s="124"/>
      <c r="CY590" s="264"/>
      <c r="CZ590" s="596"/>
      <c r="DA590" s="131"/>
      <c r="DB590" s="115"/>
      <c r="DC590" s="766"/>
      <c r="DD590" s="242"/>
      <c r="DE590" s="242"/>
      <c r="DF590" s="242"/>
      <c r="DG590" s="265"/>
      <c r="DH590" s="884"/>
      <c r="DI590" s="265"/>
      <c r="DJ590" s="265"/>
      <c r="DK590" s="265"/>
      <c r="DL590" s="265"/>
      <c r="DM590" s="4"/>
    </row>
    <row r="591" spans="1:130" ht="30" hidden="1" customHeight="1" outlineLevel="1">
      <c r="A591" s="228"/>
      <c r="B591" s="121"/>
      <c r="C591" s="155"/>
      <c r="D591" s="757"/>
      <c r="E591" s="757"/>
      <c r="F591" s="757"/>
      <c r="G591" s="921" t="s">
        <v>451</v>
      </c>
      <c r="H591" s="922" t="s">
        <v>2304</v>
      </c>
      <c r="I591" s="207" t="s">
        <v>2305</v>
      </c>
      <c r="J591" s="121" t="str">
        <f t="shared" si="52"/>
        <v>Fabio Gregorelli</v>
      </c>
      <c r="K591" s="224"/>
      <c r="L591" s="598"/>
      <c r="M591" s="598"/>
      <c r="N591" s="131" t="s">
        <v>3058</v>
      </c>
      <c r="O591" s="599"/>
      <c r="P591" s="255"/>
      <c r="Q591" s="255"/>
      <c r="R591" s="598" t="s">
        <v>916</v>
      </c>
      <c r="S591" s="598"/>
      <c r="T591" s="598"/>
      <c r="U591" s="598"/>
      <c r="V591" s="598"/>
      <c r="W591" s="258"/>
      <c r="X591" s="131"/>
      <c r="Y591" s="258"/>
      <c r="Z591" s="258"/>
      <c r="AA591" s="258"/>
      <c r="AB591" s="255"/>
      <c r="AC591" s="131"/>
      <c r="AD591" s="255"/>
      <c r="AE591" s="131"/>
      <c r="AF591" s="515"/>
      <c r="AG591" s="516"/>
      <c r="AH591" s="516"/>
      <c r="AI591" s="515"/>
      <c r="AJ591" s="124"/>
      <c r="AK591" s="258" t="s">
        <v>194</v>
      </c>
      <c r="AL591" s="258" t="s">
        <v>194</v>
      </c>
      <c r="AM591" s="515"/>
      <c r="AN591" s="155"/>
      <c r="AO591" s="155"/>
      <c r="AP591" s="155"/>
      <c r="AQ591" s="515"/>
      <c r="AR591" s="124"/>
      <c r="AS591" s="124"/>
      <c r="AT591" s="124"/>
      <c r="AU591" s="568"/>
      <c r="AV591" s="121" t="s">
        <v>2369</v>
      </c>
      <c r="AW591" s="121" t="s">
        <v>2369</v>
      </c>
      <c r="AX591" s="121" t="s">
        <v>2369</v>
      </c>
      <c r="AY591" s="568"/>
      <c r="AZ591" s="362"/>
      <c r="BA591" s="362"/>
      <c r="BB591" s="362"/>
      <c r="BC591" s="568"/>
      <c r="BD591" s="362"/>
      <c r="BE591" s="362"/>
      <c r="BF591" s="362"/>
      <c r="BG591" s="568"/>
      <c r="BH591" s="889">
        <f t="shared" si="105"/>
        <v>0</v>
      </c>
      <c r="BI591" s="902">
        <f t="shared" si="106"/>
        <v>0</v>
      </c>
      <c r="BJ591" s="761">
        <f t="shared" si="55"/>
        <v>0</v>
      </c>
      <c r="BK591" s="110"/>
      <c r="BL591" s="242"/>
      <c r="BM591" s="203"/>
      <c r="BN591" s="203"/>
      <c r="BO591" s="203"/>
      <c r="BP591" s="529"/>
      <c r="BQ591" s="145"/>
      <c r="BR591" s="110"/>
      <c r="BS591" s="242"/>
      <c r="BT591" s="203"/>
      <c r="BU591" s="203"/>
      <c r="BV591" s="203"/>
      <c r="BW591" s="843"/>
      <c r="BX591" s="529"/>
      <c r="BY591" s="145"/>
      <c r="BZ591" s="110">
        <v>0</v>
      </c>
      <c r="CA591" s="242">
        <f t="shared" si="96"/>
        <v>0</v>
      </c>
      <c r="CB591" s="764"/>
      <c r="CC591" s="764"/>
      <c r="CD591" s="764"/>
      <c r="CE591" s="882"/>
      <c r="CF591" s="338"/>
      <c r="CG591" s="338"/>
      <c r="CH591" s="338"/>
      <c r="CI591" s="338"/>
      <c r="CJ591" s="338"/>
      <c r="CK591" s="338"/>
      <c r="CL591" s="338"/>
      <c r="CM591" s="338"/>
      <c r="CN591" s="338"/>
      <c r="CO591" s="338"/>
      <c r="CP591" s="338"/>
      <c r="CQ591" s="338"/>
      <c r="CR591" s="338"/>
      <c r="CS591" s="338"/>
      <c r="CT591" s="338"/>
      <c r="CU591" s="245"/>
      <c r="CV591" s="181"/>
      <c r="CW591" s="369"/>
      <c r="CX591" s="207"/>
      <c r="CY591" s="155"/>
      <c r="CZ591" s="155"/>
      <c r="DA591" s="598"/>
      <c r="DB591" s="844"/>
      <c r="DC591" s="766" t="s">
        <v>3058</v>
      </c>
      <c r="DD591" s="242"/>
      <c r="DE591" s="242"/>
      <c r="DF591" s="242"/>
      <c r="DG591" s="729"/>
      <c r="DH591" s="730"/>
      <c r="DI591" s="729"/>
      <c r="DJ591" s="729"/>
      <c r="DK591" s="729"/>
      <c r="DL591" s="729"/>
      <c r="DM591" s="4"/>
    </row>
    <row r="592" spans="1:130" ht="30" hidden="1" customHeight="1" outlineLevel="1">
      <c r="A592" s="228"/>
      <c r="B592" s="121"/>
      <c r="C592" s="121"/>
      <c r="D592" s="757"/>
      <c r="E592" s="757"/>
      <c r="F592" s="757"/>
      <c r="G592" s="864" t="s">
        <v>1769</v>
      </c>
      <c r="H592" s="865" t="s">
        <v>3059</v>
      </c>
      <c r="I592" s="207" t="s">
        <v>3060</v>
      </c>
      <c r="J592" s="121" t="str">
        <f t="shared" si="52"/>
        <v>Federica Dotto</v>
      </c>
      <c r="K592" s="848">
        <v>3404613478</v>
      </c>
      <c r="L592" s="857"/>
      <c r="M592" s="923"/>
      <c r="N592" s="923"/>
      <c r="O592" s="924"/>
      <c r="P592" s="850" t="s">
        <v>3061</v>
      </c>
      <c r="Q592" s="850" t="s">
        <v>3061</v>
      </c>
      <c r="R592" s="828" t="s">
        <v>3062</v>
      </c>
      <c r="S592" s="923" t="s">
        <v>3063</v>
      </c>
      <c r="T592" s="923"/>
      <c r="U592" s="923"/>
      <c r="V592" s="923"/>
      <c r="W592" s="925"/>
      <c r="X592" s="131" t="s">
        <v>3060</v>
      </c>
      <c r="Y592" s="925"/>
      <c r="Z592" s="925"/>
      <c r="AA592" s="925"/>
      <c r="AB592" s="925" t="s">
        <v>3064</v>
      </c>
      <c r="AC592" s="131"/>
      <c r="AD592" s="925"/>
      <c r="AE592" s="828" t="s">
        <v>3065</v>
      </c>
      <c r="AF592" s="851"/>
      <c r="AG592" s="852" t="s">
        <v>115</v>
      </c>
      <c r="AH592" s="852" t="s">
        <v>115</v>
      </c>
      <c r="AI592" s="515"/>
      <c r="AJ592" s="155"/>
      <c r="AK592" s="155"/>
      <c r="AL592" s="155"/>
      <c r="AM592" s="515"/>
      <c r="AN592" s="815"/>
      <c r="AO592" s="815" t="s">
        <v>154</v>
      </c>
      <c r="AP592" s="815" t="s">
        <v>154</v>
      </c>
      <c r="AQ592" s="926"/>
      <c r="AR592" s="124"/>
      <c r="AS592" s="124"/>
      <c r="AT592" s="124"/>
      <c r="AU592" s="927"/>
      <c r="AV592" s="609"/>
      <c r="AW592" s="609"/>
      <c r="AX592" s="609"/>
      <c r="AY592" s="927"/>
      <c r="AZ592" s="913"/>
      <c r="BA592" s="913"/>
      <c r="BB592" s="913"/>
      <c r="BC592" s="927"/>
      <c r="BD592" s="913"/>
      <c r="BE592" s="913"/>
      <c r="BF592" s="913"/>
      <c r="BG592" s="927"/>
      <c r="BH592" s="889"/>
      <c r="BI592" s="902"/>
      <c r="BJ592" s="761">
        <f t="shared" si="55"/>
        <v>0</v>
      </c>
      <c r="BK592" s="110"/>
      <c r="BL592" s="242"/>
      <c r="BM592" s="203"/>
      <c r="BN592" s="203"/>
      <c r="BO592" s="203"/>
      <c r="BP592" s="828" t="s">
        <v>3066</v>
      </c>
      <c r="BQ592" s="856">
        <v>0</v>
      </c>
      <c r="BR592" s="110"/>
      <c r="BS592" s="242"/>
      <c r="BT592" s="203"/>
      <c r="BU592" s="203"/>
      <c r="BV592" s="203"/>
      <c r="BW592" s="857"/>
      <c r="BX592" s="828" t="s">
        <v>3067</v>
      </c>
      <c r="BY592" s="856">
        <v>0.05</v>
      </c>
      <c r="BZ592" s="110">
        <v>0</v>
      </c>
      <c r="CA592" s="242">
        <f t="shared" si="96"/>
        <v>0</v>
      </c>
      <c r="CB592" s="764"/>
      <c r="CC592" s="764"/>
      <c r="CD592" s="764"/>
      <c r="CE592" s="882"/>
      <c r="CF592" s="338"/>
      <c r="CG592" s="338"/>
      <c r="CH592" s="338"/>
      <c r="CI592" s="338"/>
      <c r="CJ592" s="338"/>
      <c r="CK592" s="338"/>
      <c r="CL592" s="338"/>
      <c r="CM592" s="338"/>
      <c r="CN592" s="338"/>
      <c r="CO592" s="338"/>
      <c r="CP592" s="338"/>
      <c r="CQ592" s="338"/>
      <c r="CR592" s="338"/>
      <c r="CS592" s="338"/>
      <c r="CT592" s="338"/>
      <c r="CU592" s="245"/>
      <c r="CV592" s="181"/>
      <c r="CW592" s="369"/>
      <c r="CX592" s="181"/>
      <c r="CY592" s="121"/>
      <c r="CZ592" s="121"/>
      <c r="DA592" s="857"/>
      <c r="DB592" s="115"/>
      <c r="DC592" s="766"/>
      <c r="DD592" s="242"/>
      <c r="DE592" s="242"/>
      <c r="DF592" s="242"/>
      <c r="DG592" s="729"/>
      <c r="DH592" s="799"/>
      <c r="DI592" s="779"/>
      <c r="DJ592" s="779"/>
      <c r="DK592" s="779"/>
      <c r="DL592" s="779"/>
      <c r="DM592" s="4"/>
    </row>
    <row r="593" spans="1:130" ht="30" hidden="1" customHeight="1" outlineLevel="1">
      <c r="A593" s="228"/>
      <c r="B593" s="121"/>
      <c r="C593" s="155"/>
      <c r="D593" s="757"/>
      <c r="E593" s="757"/>
      <c r="F593" s="757"/>
      <c r="G593" s="369" t="s">
        <v>488</v>
      </c>
      <c r="H593" s="672" t="s">
        <v>3068</v>
      </c>
      <c r="I593" s="294" t="s">
        <v>3069</v>
      </c>
      <c r="J593" s="121" t="str">
        <f t="shared" si="52"/>
        <v>Francesca Gondoni</v>
      </c>
      <c r="K593" s="224"/>
      <c r="L593" s="131"/>
      <c r="M593" s="131"/>
      <c r="N593" s="289"/>
      <c r="O593" s="567"/>
      <c r="P593" s="131"/>
      <c r="Q593" s="131"/>
      <c r="R593" s="131" t="s">
        <v>3070</v>
      </c>
      <c r="S593" s="131"/>
      <c r="T593" s="131"/>
      <c r="U593" s="131"/>
      <c r="V593" s="131"/>
      <c r="W593" s="131"/>
      <c r="X593" s="131"/>
      <c r="Y593" s="131"/>
      <c r="Z593" s="131"/>
      <c r="AA593" s="131"/>
      <c r="AB593" s="255"/>
      <c r="AC593" s="131"/>
      <c r="AD593" s="155"/>
      <c r="AE593" s="131"/>
      <c r="AF593" s="515"/>
      <c r="AG593" s="406"/>
      <c r="AH593" s="406"/>
      <c r="AI593" s="515"/>
      <c r="AJ593" s="258" t="s">
        <v>115</v>
      </c>
      <c r="AK593" s="258" t="s">
        <v>115</v>
      </c>
      <c r="AL593" s="258"/>
      <c r="AM593" s="515"/>
      <c r="AN593" s="928" t="s">
        <v>151</v>
      </c>
      <c r="AO593" s="928" t="s">
        <v>151</v>
      </c>
      <c r="AP593" s="928" t="s">
        <v>151</v>
      </c>
      <c r="AQ593" s="198"/>
      <c r="AR593" s="124"/>
      <c r="AS593" s="124"/>
      <c r="AT593" s="124"/>
      <c r="AU593" s="235"/>
      <c r="AV593" s="929" t="s">
        <v>151</v>
      </c>
      <c r="AW593" s="929" t="s">
        <v>151</v>
      </c>
      <c r="AX593" s="929" t="s">
        <v>151</v>
      </c>
      <c r="AY593" s="235"/>
      <c r="AZ593" s="930"/>
      <c r="BA593" s="930"/>
      <c r="BB593" s="930"/>
      <c r="BC593" s="235"/>
      <c r="BD593" s="930"/>
      <c r="BE593" s="930"/>
      <c r="BF593" s="930"/>
      <c r="BG593" s="235"/>
      <c r="BH593" s="889">
        <f t="shared" ref="BH593:BH594" si="107">CF593+CI593+CL593+CO593+CR593</f>
        <v>0</v>
      </c>
      <c r="BI593" s="902">
        <f t="shared" ref="BI593:BI594" si="108">CH593+CK593+CN593+CQ593+CT593</f>
        <v>0</v>
      </c>
      <c r="BJ593" s="761">
        <f t="shared" si="55"/>
        <v>0</v>
      </c>
      <c r="BK593" s="110"/>
      <c r="BL593" s="242"/>
      <c r="BM593" s="203"/>
      <c r="BN593" s="203"/>
      <c r="BO593" s="203"/>
      <c r="BP593" s="131" t="s">
        <v>160</v>
      </c>
      <c r="BQ593" s="145">
        <v>0.15</v>
      </c>
      <c r="BR593" s="110"/>
      <c r="BS593" s="242"/>
      <c r="BT593" s="203"/>
      <c r="BU593" s="203"/>
      <c r="BV593" s="203"/>
      <c r="BW593" s="160"/>
      <c r="BX593" s="131" t="s">
        <v>160</v>
      </c>
      <c r="BY593" s="145">
        <v>0.05</v>
      </c>
      <c r="BZ593" s="110">
        <v>0</v>
      </c>
      <c r="CA593" s="242">
        <f t="shared" si="96"/>
        <v>0</v>
      </c>
      <c r="CB593" s="764"/>
      <c r="CC593" s="764"/>
      <c r="CD593" s="764"/>
      <c r="CE593" s="882"/>
      <c r="CF593" s="338"/>
      <c r="CG593" s="338"/>
      <c r="CH593" s="338"/>
      <c r="CI593" s="338"/>
      <c r="CJ593" s="338"/>
      <c r="CK593" s="338"/>
      <c r="CL593" s="338"/>
      <c r="CM593" s="338"/>
      <c r="CN593" s="338"/>
      <c r="CO593" s="338"/>
      <c r="CP593" s="338"/>
      <c r="CQ593" s="338"/>
      <c r="CR593" s="338"/>
      <c r="CS593" s="338"/>
      <c r="CT593" s="338"/>
      <c r="CU593" s="245" t="s">
        <v>2612</v>
      </c>
      <c r="CV593" s="181"/>
      <c r="CW593" s="369"/>
      <c r="CX593" s="181"/>
      <c r="CY593" s="121"/>
      <c r="CZ593" s="121"/>
      <c r="DA593" s="131"/>
      <c r="DB593" s="115"/>
      <c r="DC593" s="766"/>
      <c r="DD593" s="242"/>
      <c r="DE593" s="242"/>
      <c r="DF593" s="242"/>
      <c r="DG593" s="729"/>
      <c r="DH593" s="799"/>
      <c r="DI593" s="779"/>
      <c r="DJ593" s="779"/>
      <c r="DK593" s="779"/>
      <c r="DL593" s="779"/>
      <c r="DM593" s="4"/>
    </row>
    <row r="594" spans="1:130" ht="30" hidden="1" customHeight="1" outlineLevel="1">
      <c r="A594" s="228"/>
      <c r="B594" s="121"/>
      <c r="C594" s="155"/>
      <c r="D594" s="757"/>
      <c r="E594" s="757"/>
      <c r="F594" s="757"/>
      <c r="G594" s="369" t="s">
        <v>912</v>
      </c>
      <c r="H594" s="672" t="s">
        <v>3071</v>
      </c>
      <c r="I594" s="207" t="s">
        <v>3072</v>
      </c>
      <c r="J594" s="121" t="str">
        <f t="shared" si="52"/>
        <v>Francesco Panozzo</v>
      </c>
      <c r="K594" s="224"/>
      <c r="L594" s="131"/>
      <c r="M594" s="131"/>
      <c r="N594" s="131"/>
      <c r="O594" s="599"/>
      <c r="P594" s="908" t="s">
        <v>3073</v>
      </c>
      <c r="Q594" s="908" t="s">
        <v>3073</v>
      </c>
      <c r="R594" s="131" t="s">
        <v>3074</v>
      </c>
      <c r="S594" s="131" t="s">
        <v>3075</v>
      </c>
      <c r="T594" s="131"/>
      <c r="U594" s="131"/>
      <c r="V594" s="131"/>
      <c r="W594" s="258"/>
      <c r="X594" s="131"/>
      <c r="Y594" s="258"/>
      <c r="Z594" s="258"/>
      <c r="AA594" s="258"/>
      <c r="AB594" s="255" t="s">
        <v>2412</v>
      </c>
      <c r="AC594" s="131"/>
      <c r="AD594" s="255"/>
      <c r="AE594" s="131" t="s">
        <v>3076</v>
      </c>
      <c r="AF594" s="515"/>
      <c r="AG594" s="516" t="s">
        <v>115</v>
      </c>
      <c r="AH594" s="516"/>
      <c r="AI594" s="515"/>
      <c r="AJ594" s="155"/>
      <c r="AK594" s="155"/>
      <c r="AL594" s="155"/>
      <c r="AM594" s="198"/>
      <c r="AN594" s="155"/>
      <c r="AO594" s="155" t="s">
        <v>2404</v>
      </c>
      <c r="AP594" s="155"/>
      <c r="AQ594" s="515"/>
      <c r="AR594" s="124"/>
      <c r="AS594" s="124"/>
      <c r="AT594" s="124"/>
      <c r="AU594" s="568"/>
      <c r="AV594" s="121"/>
      <c r="AW594" s="121"/>
      <c r="AX594" s="121"/>
      <c r="AY594" s="568"/>
      <c r="AZ594" s="362"/>
      <c r="BA594" s="362"/>
      <c r="BB594" s="362"/>
      <c r="BC594" s="568"/>
      <c r="BD594" s="362"/>
      <c r="BE594" s="362"/>
      <c r="BF594" s="362"/>
      <c r="BG594" s="568"/>
      <c r="BH594" s="889">
        <f t="shared" si="107"/>
        <v>0</v>
      </c>
      <c r="BI594" s="902">
        <f t="shared" si="108"/>
        <v>0</v>
      </c>
      <c r="BJ594" s="761">
        <f t="shared" si="55"/>
        <v>0</v>
      </c>
      <c r="BK594" s="110"/>
      <c r="BL594" s="242"/>
      <c r="BM594" s="203"/>
      <c r="BN594" s="203"/>
      <c r="BO594" s="203"/>
      <c r="BP594" s="529" t="s">
        <v>3077</v>
      </c>
      <c r="BQ594" s="145">
        <v>0.15</v>
      </c>
      <c r="BR594" s="110"/>
      <c r="BS594" s="242"/>
      <c r="BT594" s="203"/>
      <c r="BU594" s="203"/>
      <c r="BV594" s="203"/>
      <c r="BW594" s="843"/>
      <c r="BX594" s="529" t="s">
        <v>3078</v>
      </c>
      <c r="BY594" s="145">
        <v>0.15</v>
      </c>
      <c r="BZ594" s="110">
        <v>0</v>
      </c>
      <c r="CA594" s="242">
        <f t="shared" si="96"/>
        <v>0</v>
      </c>
      <c r="CB594" s="764"/>
      <c r="CC594" s="764"/>
      <c r="CD594" s="764"/>
      <c r="CE594" s="882"/>
      <c r="CF594" s="338"/>
      <c r="CG594" s="338"/>
      <c r="CH594" s="338"/>
      <c r="CI594" s="338"/>
      <c r="CJ594" s="338"/>
      <c r="CK594" s="338"/>
      <c r="CL594" s="338"/>
      <c r="CM594" s="338"/>
      <c r="CN594" s="338"/>
      <c r="CO594" s="338"/>
      <c r="CP594" s="338"/>
      <c r="CQ594" s="338"/>
      <c r="CR594" s="338"/>
      <c r="CS594" s="338"/>
      <c r="CT594" s="338"/>
      <c r="CU594" s="245"/>
      <c r="CV594" s="181"/>
      <c r="CW594" s="369"/>
      <c r="CX594" s="181"/>
      <c r="CY594" s="121"/>
      <c r="CZ594" s="121"/>
      <c r="DA594" s="131"/>
      <c r="DB594" s="115"/>
      <c r="DC594" s="766"/>
      <c r="DD594" s="242"/>
      <c r="DE594" s="242"/>
      <c r="DF594" s="242"/>
      <c r="DG594" s="729"/>
      <c r="DH594" s="799"/>
      <c r="DI594" s="779"/>
      <c r="DJ594" s="779"/>
      <c r="DK594" s="779"/>
      <c r="DL594" s="779"/>
      <c r="DM594" s="4"/>
    </row>
    <row r="595" spans="1:130" ht="30" hidden="1" customHeight="1" outlineLevel="1">
      <c r="A595" s="228"/>
      <c r="B595" s="121"/>
      <c r="C595" s="155"/>
      <c r="D595" s="757"/>
      <c r="E595" s="757"/>
      <c r="F595" s="757"/>
      <c r="G595" s="864" t="s">
        <v>912</v>
      </c>
      <c r="H595" s="865" t="s">
        <v>3079</v>
      </c>
      <c r="I595" s="207" t="s">
        <v>3080</v>
      </c>
      <c r="J595" s="121" t="str">
        <f t="shared" si="52"/>
        <v>Francesco Zanatta</v>
      </c>
      <c r="K595" s="848">
        <v>3499321919</v>
      </c>
      <c r="L595" s="849"/>
      <c r="M595" s="828"/>
      <c r="N595" s="828"/>
      <c r="O595" s="622"/>
      <c r="P595" s="850" t="s">
        <v>3081</v>
      </c>
      <c r="Q595" s="850" t="s">
        <v>3081</v>
      </c>
      <c r="R595" s="828" t="s">
        <v>3082</v>
      </c>
      <c r="S595" s="828" t="s">
        <v>3083</v>
      </c>
      <c r="T595" s="828"/>
      <c r="U595" s="828"/>
      <c r="V595" s="828"/>
      <c r="W595" s="850"/>
      <c r="X595" s="558" t="s">
        <v>3084</v>
      </c>
      <c r="Y595" s="850"/>
      <c r="Z595" s="850"/>
      <c r="AA595" s="850"/>
      <c r="AB595" s="850" t="s">
        <v>2935</v>
      </c>
      <c r="AC595" s="131"/>
      <c r="AD595" s="850"/>
      <c r="AE595" s="828" t="s">
        <v>3085</v>
      </c>
      <c r="AF595" s="851"/>
      <c r="AG595" s="852" t="s">
        <v>115</v>
      </c>
      <c r="AH595" s="852" t="s">
        <v>115</v>
      </c>
      <c r="AI595" s="515"/>
      <c r="AJ595" s="155"/>
      <c r="AK595" s="155"/>
      <c r="AL595" s="155"/>
      <c r="AM595" s="515"/>
      <c r="AN595" s="815"/>
      <c r="AO595" s="815" t="s">
        <v>2404</v>
      </c>
      <c r="AP595" s="815" t="s">
        <v>2404</v>
      </c>
      <c r="AQ595" s="853"/>
      <c r="AR595" s="124"/>
      <c r="AS595" s="124"/>
      <c r="AT595" s="124"/>
      <c r="AU595" s="854"/>
      <c r="AV595" s="609"/>
      <c r="AW595" s="609"/>
      <c r="AX595" s="609"/>
      <c r="AY595" s="854"/>
      <c r="AZ595" s="913"/>
      <c r="BA595" s="913"/>
      <c r="BB595" s="913"/>
      <c r="BC595" s="854"/>
      <c r="BD595" s="913"/>
      <c r="BE595" s="913"/>
      <c r="BF595" s="913"/>
      <c r="BG595" s="854"/>
      <c r="BH595" s="889"/>
      <c r="BI595" s="902"/>
      <c r="BJ595" s="761">
        <f t="shared" si="55"/>
        <v>0</v>
      </c>
      <c r="BK595" s="110"/>
      <c r="BL595" s="242"/>
      <c r="BM595" s="203"/>
      <c r="BN595" s="203"/>
      <c r="BO595" s="203"/>
      <c r="BP595" s="828" t="s">
        <v>2936</v>
      </c>
      <c r="BQ595" s="856">
        <v>0.15</v>
      </c>
      <c r="BR595" s="110"/>
      <c r="BS595" s="242"/>
      <c r="BT595" s="203"/>
      <c r="BU595" s="203"/>
      <c r="BV595" s="203"/>
      <c r="BW595" s="857"/>
      <c r="BX595" s="828" t="s">
        <v>2936</v>
      </c>
      <c r="BY595" s="856">
        <v>0.05</v>
      </c>
      <c r="BZ595" s="110">
        <v>0</v>
      </c>
      <c r="CA595" s="242">
        <f t="shared" si="96"/>
        <v>0</v>
      </c>
      <c r="CB595" s="764"/>
      <c r="CC595" s="764"/>
      <c r="CD595" s="764"/>
      <c r="CE595" s="882"/>
      <c r="CF595" s="338"/>
      <c r="CG595" s="338"/>
      <c r="CH595" s="338"/>
      <c r="CI595" s="338"/>
      <c r="CJ595" s="338"/>
      <c r="CK595" s="338"/>
      <c r="CL595" s="338"/>
      <c r="CM595" s="338"/>
      <c r="CN595" s="338"/>
      <c r="CO595" s="338"/>
      <c r="CP595" s="338"/>
      <c r="CQ595" s="338"/>
      <c r="CR595" s="338"/>
      <c r="CS595" s="338"/>
      <c r="CT595" s="338"/>
      <c r="CU595" s="245"/>
      <c r="CV595" s="207"/>
      <c r="CW595" s="354"/>
      <c r="CX595" s="207"/>
      <c r="CY595" s="155"/>
      <c r="CZ595" s="155"/>
      <c r="DA595" s="849"/>
      <c r="DB595" s="115"/>
      <c r="DC595" s="766"/>
      <c r="DD595" s="242"/>
      <c r="DE595" s="242"/>
      <c r="DF595" s="242"/>
      <c r="DG595" s="729"/>
      <c r="DH595" s="730"/>
      <c r="DI595" s="729"/>
      <c r="DJ595" s="729"/>
      <c r="DK595" s="729"/>
      <c r="DL595" s="729"/>
      <c r="DM595" s="4"/>
    </row>
    <row r="596" spans="1:130" ht="30" hidden="1" customHeight="1" outlineLevel="1">
      <c r="A596" s="228"/>
      <c r="B596" s="121"/>
      <c r="C596" s="155"/>
      <c r="D596" s="757"/>
      <c r="E596" s="757"/>
      <c r="F596" s="757"/>
      <c r="G596" s="369" t="s">
        <v>503</v>
      </c>
      <c r="H596" s="672" t="s">
        <v>3086</v>
      </c>
      <c r="I596" s="207" t="s">
        <v>3087</v>
      </c>
      <c r="J596" s="121" t="str">
        <f t="shared" si="52"/>
        <v>Franco Vrech</v>
      </c>
      <c r="K596" s="224"/>
      <c r="L596" s="131"/>
      <c r="M596" s="131"/>
      <c r="N596" s="289"/>
      <c r="O596" s="567"/>
      <c r="P596" s="131"/>
      <c r="Q596" s="131"/>
      <c r="R596" s="131" t="s">
        <v>3088</v>
      </c>
      <c r="S596" s="131"/>
      <c r="T596" s="131"/>
      <c r="U596" s="131"/>
      <c r="V596" s="131"/>
      <c r="W596" s="131"/>
      <c r="X596" s="131"/>
      <c r="Y596" s="131"/>
      <c r="Z596" s="131"/>
      <c r="AA596" s="131"/>
      <c r="AB596" s="255"/>
      <c r="AC596" s="131"/>
      <c r="AD596" s="155"/>
      <c r="AE596" s="131" t="s">
        <v>3089</v>
      </c>
      <c r="AF596" s="515"/>
      <c r="AG596" s="406"/>
      <c r="AH596" s="406"/>
      <c r="AI596" s="515"/>
      <c r="AJ596" s="815"/>
      <c r="AK596" s="815"/>
      <c r="AL596" s="815"/>
      <c r="AM596" s="851"/>
      <c r="AN596" s="155"/>
      <c r="AO596" s="155"/>
      <c r="AP596" s="124"/>
      <c r="AQ596" s="198"/>
      <c r="AR596" s="124"/>
      <c r="AS596" s="124"/>
      <c r="AT596" s="124"/>
      <c r="AU596" s="235"/>
      <c r="AV596" s="154" t="s">
        <v>151</v>
      </c>
      <c r="AW596" s="154" t="s">
        <v>151</v>
      </c>
      <c r="AX596" s="154" t="s">
        <v>151</v>
      </c>
      <c r="AY596" s="235"/>
      <c r="AZ596" s="931"/>
      <c r="BA596" s="931"/>
      <c r="BB596" s="931"/>
      <c r="BC596" s="235"/>
      <c r="BD596" s="931"/>
      <c r="BE596" s="931"/>
      <c r="BF596" s="931"/>
      <c r="BG596" s="235"/>
      <c r="BH596" s="889">
        <f t="shared" ref="BH596:BH600" si="109">CF596+CI596+CL596+CO596+CR596</f>
        <v>0</v>
      </c>
      <c r="BI596" s="932">
        <f t="shared" ref="BI596:BI600" si="110">CH596+CK596+CN596+CQ596+CT596</f>
        <v>0</v>
      </c>
      <c r="BJ596" s="761">
        <f t="shared" si="55"/>
        <v>0</v>
      </c>
      <c r="BK596" s="110"/>
      <c r="BL596" s="242"/>
      <c r="BM596" s="764"/>
      <c r="BN596" s="764"/>
      <c r="BO596" s="764"/>
      <c r="BP596" s="131" t="s">
        <v>117</v>
      </c>
      <c r="BQ596" s="145">
        <v>0</v>
      </c>
      <c r="BR596" s="110"/>
      <c r="BS596" s="242"/>
      <c r="BT596" s="764"/>
      <c r="BU596" s="764"/>
      <c r="BV596" s="764"/>
      <c r="BW596" s="784" t="s">
        <v>118</v>
      </c>
      <c r="BX596" s="131" t="s">
        <v>152</v>
      </c>
      <c r="BY596" s="145">
        <v>0.05</v>
      </c>
      <c r="BZ596" s="110">
        <v>0</v>
      </c>
      <c r="CA596" s="242">
        <f t="shared" si="96"/>
        <v>0</v>
      </c>
      <c r="CB596" s="764"/>
      <c r="CC596" s="764"/>
      <c r="CD596" s="764"/>
      <c r="CE596" s="882"/>
      <c r="CF596" s="338"/>
      <c r="CG596" s="338"/>
      <c r="CH596" s="338"/>
      <c r="CI596" s="338"/>
      <c r="CJ596" s="338"/>
      <c r="CK596" s="338"/>
      <c r="CL596" s="338"/>
      <c r="CM596" s="338"/>
      <c r="CN596" s="338"/>
      <c r="CO596" s="338"/>
      <c r="CP596" s="338"/>
      <c r="CQ596" s="338"/>
      <c r="CR596" s="338"/>
      <c r="CS596" s="338"/>
      <c r="CT596" s="338"/>
      <c r="CU596" s="245" t="s">
        <v>2612</v>
      </c>
      <c r="CV596" s="181"/>
      <c r="CW596" s="369"/>
      <c r="CX596" s="181"/>
      <c r="CY596" s="121"/>
      <c r="CZ596" s="121"/>
      <c r="DA596" s="131"/>
      <c r="DB596" s="115"/>
      <c r="DC596" s="766"/>
      <c r="DD596" s="242"/>
      <c r="DE596" s="242"/>
      <c r="DF596" s="242"/>
      <c r="DG596" s="729"/>
      <c r="DH596" s="799"/>
      <c r="DI596" s="779"/>
      <c r="DJ596" s="779"/>
      <c r="DK596" s="779"/>
      <c r="DL596" s="779"/>
      <c r="DM596" s="4"/>
    </row>
    <row r="597" spans="1:130" ht="30" hidden="1" customHeight="1" outlineLevel="1">
      <c r="A597" s="228"/>
      <c r="B597" s="121"/>
      <c r="C597" s="155"/>
      <c r="D597" s="757"/>
      <c r="E597" s="757"/>
      <c r="F597" s="757"/>
      <c r="G597" s="864" t="s">
        <v>3090</v>
      </c>
      <c r="H597" s="865" t="s">
        <v>3091</v>
      </c>
      <c r="I597" s="207" t="s">
        <v>3092</v>
      </c>
      <c r="J597" s="121" t="str">
        <f t="shared" si="52"/>
        <v>Gian Marco Fiorini</v>
      </c>
      <c r="K597" s="848"/>
      <c r="L597" s="849"/>
      <c r="M597" s="828"/>
      <c r="N597" s="828"/>
      <c r="O597" s="622"/>
      <c r="P597" s="850" t="s">
        <v>2913</v>
      </c>
      <c r="Q597" s="850" t="s">
        <v>2913</v>
      </c>
      <c r="R597" s="828" t="s">
        <v>2914</v>
      </c>
      <c r="S597" s="828" t="s">
        <v>2915</v>
      </c>
      <c r="T597" s="828"/>
      <c r="U597" s="828"/>
      <c r="V597" s="828"/>
      <c r="W597" s="850"/>
      <c r="X597" s="558" t="s">
        <v>2916</v>
      </c>
      <c r="Y597" s="850"/>
      <c r="Z597" s="850"/>
      <c r="AA597" s="850"/>
      <c r="AB597" s="850" t="s">
        <v>2917</v>
      </c>
      <c r="AC597" s="558" t="s">
        <v>2918</v>
      </c>
      <c r="AD597" s="850"/>
      <c r="AE597" s="828"/>
      <c r="AF597" s="851"/>
      <c r="AG597" s="852" t="s">
        <v>115</v>
      </c>
      <c r="AH597" s="852" t="s">
        <v>115</v>
      </c>
      <c r="AI597" s="515"/>
      <c r="AJ597" s="155"/>
      <c r="AK597" s="155"/>
      <c r="AL597" s="155"/>
      <c r="AM597" s="198"/>
      <c r="AN597" s="815"/>
      <c r="AO597" s="815" t="s">
        <v>2404</v>
      </c>
      <c r="AP597" s="815" t="s">
        <v>2404</v>
      </c>
      <c r="AQ597" s="853"/>
      <c r="AR597" s="124"/>
      <c r="AS597" s="124"/>
      <c r="AT597" s="124"/>
      <c r="AU597" s="854"/>
      <c r="AV597" s="609"/>
      <c r="AW597" s="609"/>
      <c r="AX597" s="609"/>
      <c r="AY597" s="854"/>
      <c r="AZ597" s="913"/>
      <c r="BA597" s="913"/>
      <c r="BB597" s="913"/>
      <c r="BC597" s="854"/>
      <c r="BD597" s="913"/>
      <c r="BE597" s="913"/>
      <c r="BF597" s="913"/>
      <c r="BG597" s="854"/>
      <c r="BH597" s="889">
        <f t="shared" si="109"/>
        <v>0</v>
      </c>
      <c r="BI597" s="932">
        <f t="shared" si="110"/>
        <v>0</v>
      </c>
      <c r="BJ597" s="761">
        <f t="shared" si="55"/>
        <v>0</v>
      </c>
      <c r="BK597" s="110"/>
      <c r="BL597" s="242"/>
      <c r="BM597" s="203"/>
      <c r="BN597" s="203"/>
      <c r="BO597" s="203"/>
      <c r="BP597" s="828" t="s">
        <v>2919</v>
      </c>
      <c r="BQ597" s="856">
        <v>0.15</v>
      </c>
      <c r="BR597" s="110"/>
      <c r="BS597" s="242"/>
      <c r="BT597" s="203"/>
      <c r="BU597" s="203"/>
      <c r="BV597" s="203"/>
      <c r="BW597" s="857"/>
      <c r="BX597" s="828" t="s">
        <v>2920</v>
      </c>
      <c r="BY597" s="856">
        <v>0.05</v>
      </c>
      <c r="BZ597" s="110">
        <v>0</v>
      </c>
      <c r="CA597" s="242">
        <f t="shared" si="96"/>
        <v>0</v>
      </c>
      <c r="CB597" s="764"/>
      <c r="CC597" s="764"/>
      <c r="CD597" s="764"/>
      <c r="CE597" s="882"/>
      <c r="CF597" s="338"/>
      <c r="CG597" s="338"/>
      <c r="CH597" s="338"/>
      <c r="CI597" s="338"/>
      <c r="CJ597" s="338"/>
      <c r="CK597" s="338"/>
      <c r="CL597" s="338"/>
      <c r="CM597" s="338"/>
      <c r="CN597" s="338"/>
      <c r="CO597" s="338"/>
      <c r="CP597" s="338"/>
      <c r="CQ597" s="338"/>
      <c r="CR597" s="338"/>
      <c r="CS597" s="338"/>
      <c r="CT597" s="338"/>
      <c r="CU597" s="933"/>
      <c r="CV597" s="875"/>
      <c r="CW597" s="354"/>
      <c r="CX597" s="207"/>
      <c r="CY597" s="155"/>
      <c r="CZ597" s="155"/>
      <c r="DA597" s="849"/>
      <c r="DB597" s="115"/>
      <c r="DC597" s="766"/>
      <c r="DD597" s="242"/>
      <c r="DE597" s="242"/>
      <c r="DF597" s="242"/>
      <c r="DG597" s="729"/>
      <c r="DH597" s="730"/>
      <c r="DI597" s="729"/>
      <c r="DJ597" s="729"/>
      <c r="DK597" s="729"/>
      <c r="DL597" s="729"/>
      <c r="DM597" s="4"/>
    </row>
    <row r="598" spans="1:130" ht="30" hidden="1" customHeight="1" outlineLevel="1">
      <c r="A598" s="228"/>
      <c r="B598" s="121"/>
      <c r="C598" s="155"/>
      <c r="D598" s="757"/>
      <c r="E598" s="757"/>
      <c r="F598" s="757"/>
      <c r="G598" s="369" t="s">
        <v>570</v>
      </c>
      <c r="H598" s="672" t="s">
        <v>3093</v>
      </c>
      <c r="I598" s="207" t="s">
        <v>3094</v>
      </c>
      <c r="J598" s="121" t="str">
        <f t="shared" si="52"/>
        <v>Giovanni Passarello</v>
      </c>
      <c r="K598" s="224" t="s">
        <v>3095</v>
      </c>
      <c r="L598" s="131"/>
      <c r="M598" s="131"/>
      <c r="N598" s="131"/>
      <c r="O598" s="599"/>
      <c r="P598" s="255" t="s">
        <v>3096</v>
      </c>
      <c r="Q598" s="131" t="s">
        <v>3097</v>
      </c>
      <c r="R598" s="131" t="s">
        <v>3098</v>
      </c>
      <c r="S598" s="131" t="s">
        <v>3099</v>
      </c>
      <c r="T598" s="131"/>
      <c r="U598" s="131"/>
      <c r="V598" s="131"/>
      <c r="W598" s="258"/>
      <c r="X598" s="131"/>
      <c r="Y598" s="258"/>
      <c r="Z598" s="258"/>
      <c r="AA598" s="258"/>
      <c r="AB598" s="255"/>
      <c r="AC598" s="131"/>
      <c r="AD598" s="155"/>
      <c r="AE598" s="131" t="s">
        <v>3100</v>
      </c>
      <c r="AF598" s="515"/>
      <c r="AG598" s="516" t="s">
        <v>116</v>
      </c>
      <c r="AH598" s="516" t="s">
        <v>115</v>
      </c>
      <c r="AI598" s="515"/>
      <c r="AJ598" s="815"/>
      <c r="AK598" s="815"/>
      <c r="AL598" s="815"/>
      <c r="AM598" s="851"/>
      <c r="AN598" s="155"/>
      <c r="AO598" s="155"/>
      <c r="AP598" s="155" t="s">
        <v>2404</v>
      </c>
      <c r="AQ598" s="515"/>
      <c r="AR598" s="124"/>
      <c r="AS598" s="124"/>
      <c r="AT598" s="124"/>
      <c r="AU598" s="568"/>
      <c r="AV598" s="121"/>
      <c r="AW598" s="121"/>
      <c r="AX598" s="609"/>
      <c r="AY598" s="568"/>
      <c r="AZ598" s="913"/>
      <c r="BA598" s="913"/>
      <c r="BB598" s="913"/>
      <c r="BC598" s="568"/>
      <c r="BD598" s="913"/>
      <c r="BE598" s="913"/>
      <c r="BF598" s="913"/>
      <c r="BG598" s="568"/>
      <c r="BH598" s="889">
        <f t="shared" si="109"/>
        <v>0</v>
      </c>
      <c r="BI598" s="932">
        <f t="shared" si="110"/>
        <v>0</v>
      </c>
      <c r="BJ598" s="761">
        <f t="shared" si="55"/>
        <v>0</v>
      </c>
      <c r="BK598" s="110"/>
      <c r="BL598" s="242"/>
      <c r="BM598" s="203"/>
      <c r="BN598" s="203"/>
      <c r="BO598" s="203"/>
      <c r="BP598" s="529" t="s">
        <v>3101</v>
      </c>
      <c r="BQ598" s="145">
        <v>0</v>
      </c>
      <c r="BR598" s="110"/>
      <c r="BS598" s="242"/>
      <c r="BT598" s="203"/>
      <c r="BU598" s="203"/>
      <c r="BV598" s="203"/>
      <c r="BW598" s="843"/>
      <c r="BX598" s="529" t="s">
        <v>3102</v>
      </c>
      <c r="BY598" s="145">
        <v>0.05</v>
      </c>
      <c r="BZ598" s="110">
        <v>0</v>
      </c>
      <c r="CA598" s="242">
        <f t="shared" si="96"/>
        <v>0</v>
      </c>
      <c r="CB598" s="764"/>
      <c r="CC598" s="764"/>
      <c r="CD598" s="764"/>
      <c r="CE598" s="882"/>
      <c r="CF598" s="338"/>
      <c r="CG598" s="338"/>
      <c r="CH598" s="338"/>
      <c r="CI598" s="338"/>
      <c r="CJ598" s="338"/>
      <c r="CK598" s="338"/>
      <c r="CL598" s="338"/>
      <c r="CM598" s="338"/>
      <c r="CN598" s="338"/>
      <c r="CO598" s="338"/>
      <c r="CP598" s="338"/>
      <c r="CQ598" s="338"/>
      <c r="CR598" s="338"/>
      <c r="CS598" s="338"/>
      <c r="CT598" s="338"/>
      <c r="CU598" s="245"/>
      <c r="CV598" s="181"/>
      <c r="CW598" s="369"/>
      <c r="CX598" s="207"/>
      <c r="CY598" s="155"/>
      <c r="CZ598" s="155">
        <v>1</v>
      </c>
      <c r="DA598" s="131"/>
      <c r="DB598" s="115"/>
      <c r="DC598" s="766"/>
      <c r="DD598" s="242"/>
      <c r="DE598" s="242"/>
      <c r="DF598" s="242"/>
      <c r="DG598" s="729"/>
      <c r="DH598" s="730"/>
      <c r="DI598" s="729"/>
      <c r="DJ598" s="729"/>
      <c r="DK598" s="729"/>
      <c r="DL598" s="729"/>
      <c r="DM598" s="4"/>
    </row>
    <row r="599" spans="1:130" ht="30" hidden="1" customHeight="1" outlineLevel="1">
      <c r="A599" s="228"/>
      <c r="B599" s="121"/>
      <c r="C599" s="155"/>
      <c r="D599" s="757"/>
      <c r="E599" s="757"/>
      <c r="F599" s="757"/>
      <c r="G599" s="369" t="s">
        <v>3103</v>
      </c>
      <c r="H599" s="672"/>
      <c r="I599" s="207"/>
      <c r="J599" s="121" t="str">
        <f t="shared" si="52"/>
        <v xml:space="preserve">i-Chen Cugina </v>
      </c>
      <c r="K599" s="224"/>
      <c r="L599" s="131"/>
      <c r="M599" s="131"/>
      <c r="N599" s="131"/>
      <c r="O599" s="599"/>
      <c r="P599" s="124"/>
      <c r="Q599" s="124"/>
      <c r="R599" s="131"/>
      <c r="S599" s="124"/>
      <c r="T599" s="124"/>
      <c r="U599" s="124"/>
      <c r="V599" s="124"/>
      <c r="W599" s="124"/>
      <c r="X599" s="131"/>
      <c r="Y599" s="124"/>
      <c r="Z599" s="124"/>
      <c r="AA599" s="124"/>
      <c r="AB599" s="124"/>
      <c r="AC599" s="131"/>
      <c r="AD599" s="596"/>
      <c r="AE599" s="131" t="s">
        <v>3104</v>
      </c>
      <c r="AF599" s="515"/>
      <c r="AG599" s="124"/>
      <c r="AH599" s="124"/>
      <c r="AI599" s="515"/>
      <c r="AJ599" s="155"/>
      <c r="AK599" s="155"/>
      <c r="AL599" s="155"/>
      <c r="AM599" s="515"/>
      <c r="AN599" s="331"/>
      <c r="AO599" s="24" t="s">
        <v>1266</v>
      </c>
      <c r="AP599" s="24" t="s">
        <v>1266</v>
      </c>
      <c r="AQ599" s="515"/>
      <c r="AR599" s="124"/>
      <c r="AS599" s="124"/>
      <c r="AT599" s="124"/>
      <c r="AU599" s="568"/>
      <c r="AV599" s="177" t="s">
        <v>3105</v>
      </c>
      <c r="AW599" s="880"/>
      <c r="AX599" s="880"/>
      <c r="AY599" s="568"/>
      <c r="AZ599" s="934"/>
      <c r="BA599" s="934"/>
      <c r="BB599" s="934"/>
      <c r="BC599" s="568"/>
      <c r="BD599" s="934"/>
      <c r="BE599" s="934"/>
      <c r="BF599" s="934"/>
      <c r="BG599" s="568"/>
      <c r="BH599" s="889">
        <f t="shared" si="109"/>
        <v>0</v>
      </c>
      <c r="BI599" s="932">
        <f t="shared" si="110"/>
        <v>0</v>
      </c>
      <c r="BJ599" s="761">
        <f t="shared" si="55"/>
        <v>0</v>
      </c>
      <c r="BK599" s="110"/>
      <c r="BL599" s="242"/>
      <c r="BM599" s="203"/>
      <c r="BN599" s="203"/>
      <c r="BO599" s="203"/>
      <c r="BP599" s="131"/>
      <c r="BQ599" s="145"/>
      <c r="BR599" s="110"/>
      <c r="BS599" s="242"/>
      <c r="BT599" s="203"/>
      <c r="BU599" s="203"/>
      <c r="BV599" s="203"/>
      <c r="BW599" s="160"/>
      <c r="BX599" s="131"/>
      <c r="BY599" s="145"/>
      <c r="BZ599" s="110">
        <v>0</v>
      </c>
      <c r="CA599" s="242">
        <f t="shared" si="96"/>
        <v>0</v>
      </c>
      <c r="CB599" s="764"/>
      <c r="CC599" s="764"/>
      <c r="CD599" s="764"/>
      <c r="CE599" s="882"/>
      <c r="CF599" s="338"/>
      <c r="CG599" s="338"/>
      <c r="CH599" s="338"/>
      <c r="CI599" s="338"/>
      <c r="CJ599" s="338"/>
      <c r="CK599" s="338"/>
      <c r="CL599" s="338"/>
      <c r="CM599" s="338"/>
      <c r="CN599" s="338"/>
      <c r="CO599" s="338"/>
      <c r="CP599" s="338"/>
      <c r="CQ599" s="338"/>
      <c r="CR599" s="338"/>
      <c r="CS599" s="338"/>
      <c r="CT599" s="338"/>
      <c r="CU599" s="935" t="s">
        <v>2612</v>
      </c>
      <c r="CV599" s="880"/>
      <c r="CW599" s="936"/>
      <c r="CX599" s="869"/>
      <c r="CY599" s="815"/>
      <c r="CZ599" s="815"/>
      <c r="DA599" s="131"/>
      <c r="DB599" s="115"/>
      <c r="DC599" s="766"/>
      <c r="DD599" s="242"/>
      <c r="DE599" s="242"/>
      <c r="DF599" s="242"/>
      <c r="DG599" s="937"/>
      <c r="DH599" s="938"/>
      <c r="DI599" s="729"/>
      <c r="DJ599" s="729"/>
      <c r="DK599" s="729"/>
      <c r="DL599" s="729"/>
      <c r="DM599" s="4"/>
    </row>
    <row r="600" spans="1:130" ht="30" hidden="1" customHeight="1" outlineLevel="1">
      <c r="A600" s="228"/>
      <c r="B600" s="121"/>
      <c r="C600" s="155"/>
      <c r="D600" s="757"/>
      <c r="E600" s="757"/>
      <c r="F600" s="757"/>
      <c r="G600" s="864" t="s">
        <v>3106</v>
      </c>
      <c r="H600" s="865" t="s">
        <v>3107</v>
      </c>
      <c r="I600" s="207" t="s">
        <v>3108</v>
      </c>
      <c r="J600" s="121" t="str">
        <f t="shared" si="52"/>
        <v>John Anthony Faccin</v>
      </c>
      <c r="K600" s="848">
        <v>3483109618</v>
      </c>
      <c r="L600" s="849"/>
      <c r="M600" s="828"/>
      <c r="N600" s="828"/>
      <c r="O600" s="622"/>
      <c r="P600" s="850" t="s">
        <v>2944</v>
      </c>
      <c r="Q600" s="850" t="s">
        <v>2944</v>
      </c>
      <c r="R600" s="828" t="s">
        <v>2945</v>
      </c>
      <c r="S600" s="828" t="s">
        <v>2946</v>
      </c>
      <c r="T600" s="828"/>
      <c r="U600" s="828"/>
      <c r="V600" s="828"/>
      <c r="W600" s="850"/>
      <c r="X600" s="131"/>
      <c r="Y600" s="850"/>
      <c r="Z600" s="850"/>
      <c r="AA600" s="850"/>
      <c r="AB600" s="850" t="s">
        <v>2947</v>
      </c>
      <c r="AC600" s="131"/>
      <c r="AD600" s="566"/>
      <c r="AE600" s="828" t="s">
        <v>3085</v>
      </c>
      <c r="AF600" s="851"/>
      <c r="AG600" s="852" t="s">
        <v>115</v>
      </c>
      <c r="AH600" s="852" t="s">
        <v>115</v>
      </c>
      <c r="AI600" s="515"/>
      <c r="AJ600" s="124"/>
      <c r="AK600" s="258"/>
      <c r="AL600" s="258"/>
      <c r="AM600" s="515"/>
      <c r="AN600" s="815"/>
      <c r="AO600" s="155" t="s">
        <v>154</v>
      </c>
      <c r="AP600" s="815" t="s">
        <v>2992</v>
      </c>
      <c r="AQ600" s="515"/>
      <c r="AR600" s="124"/>
      <c r="AS600" s="124"/>
      <c r="AT600" s="124"/>
      <c r="AU600" s="568"/>
      <c r="AV600" s="609"/>
      <c r="AW600" s="121"/>
      <c r="AX600" s="121"/>
      <c r="AY600" s="568"/>
      <c r="AZ600" s="362"/>
      <c r="BA600" s="362"/>
      <c r="BB600" s="362"/>
      <c r="BC600" s="568"/>
      <c r="BD600" s="362"/>
      <c r="BE600" s="362"/>
      <c r="BF600" s="362"/>
      <c r="BG600" s="568"/>
      <c r="BH600" s="889">
        <f t="shared" si="109"/>
        <v>0</v>
      </c>
      <c r="BI600" s="932">
        <f t="shared" si="110"/>
        <v>0</v>
      </c>
      <c r="BJ600" s="761">
        <f t="shared" si="55"/>
        <v>0</v>
      </c>
      <c r="BK600" s="110"/>
      <c r="BL600" s="242"/>
      <c r="BM600" s="203"/>
      <c r="BN600" s="203"/>
      <c r="BO600" s="203"/>
      <c r="BP600" s="828" t="s">
        <v>2936</v>
      </c>
      <c r="BQ600" s="856">
        <v>0.15</v>
      </c>
      <c r="BR600" s="110"/>
      <c r="BS600" s="242"/>
      <c r="BT600" s="203"/>
      <c r="BU600" s="203"/>
      <c r="BV600" s="203"/>
      <c r="BW600" s="857"/>
      <c r="BX600" s="828" t="s">
        <v>2936</v>
      </c>
      <c r="BY600" s="856">
        <v>0.05</v>
      </c>
      <c r="BZ600" s="110">
        <v>0</v>
      </c>
      <c r="CA600" s="242">
        <f t="shared" si="96"/>
        <v>0</v>
      </c>
      <c r="CB600" s="764"/>
      <c r="CC600" s="764"/>
      <c r="CD600" s="764"/>
      <c r="CE600" s="882"/>
      <c r="CF600" s="338"/>
      <c r="CG600" s="338"/>
      <c r="CH600" s="338"/>
      <c r="CI600" s="338"/>
      <c r="CJ600" s="338"/>
      <c r="CK600" s="338"/>
      <c r="CL600" s="338"/>
      <c r="CM600" s="338"/>
      <c r="CN600" s="338"/>
      <c r="CO600" s="338"/>
      <c r="CP600" s="338"/>
      <c r="CQ600" s="338"/>
      <c r="CR600" s="338"/>
      <c r="CS600" s="338"/>
      <c r="CT600" s="338"/>
      <c r="CU600" s="245"/>
      <c r="CV600" s="207"/>
      <c r="CW600" s="354"/>
      <c r="CX600" s="207"/>
      <c r="CY600" s="155"/>
      <c r="CZ600" s="155">
        <v>1</v>
      </c>
      <c r="DA600" s="849"/>
      <c r="DB600" s="115"/>
      <c r="DC600" s="766"/>
      <c r="DD600" s="242"/>
      <c r="DE600" s="242"/>
      <c r="DF600" s="242"/>
      <c r="DG600" s="729"/>
      <c r="DH600" s="730"/>
      <c r="DI600" s="729"/>
      <c r="DJ600" s="729"/>
      <c r="DK600" s="729"/>
      <c r="DL600" s="729"/>
      <c r="DM600" s="4"/>
    </row>
    <row r="601" spans="1:130" ht="45" hidden="1" outlineLevel="1">
      <c r="A601" s="228"/>
      <c r="B601" s="121"/>
      <c r="C601" s="155"/>
      <c r="D601" s="757"/>
      <c r="E601" s="757"/>
      <c r="F601" s="757"/>
      <c r="G601" s="939" t="s">
        <v>3109</v>
      </c>
      <c r="H601" s="940" t="s">
        <v>3110</v>
      </c>
      <c r="I601" s="207"/>
      <c r="J601" s="121" t="str">
        <f t="shared" si="52"/>
        <v>Laura  SaresinI</v>
      </c>
      <c r="K601" s="671"/>
      <c r="L601" s="876" t="s">
        <v>3111</v>
      </c>
      <c r="M601" s="131"/>
      <c r="N601" s="289"/>
      <c r="O601" s="567"/>
      <c r="P601" s="623"/>
      <c r="Q601" s="623"/>
      <c r="R601" s="131" t="s">
        <v>3112</v>
      </c>
      <c r="S601" s="625"/>
      <c r="T601" s="255"/>
      <c r="U601" s="255"/>
      <c r="V601" s="131"/>
      <c r="W601" s="131"/>
      <c r="X601" s="131"/>
      <c r="Y601" s="131"/>
      <c r="Z601" s="131"/>
      <c r="AA601" s="514"/>
      <c r="AB601" s="255"/>
      <c r="AC601" s="131"/>
      <c r="AD601" s="566" t="s">
        <v>3113</v>
      </c>
      <c r="AE601" s="626"/>
      <c r="AF601" s="627"/>
      <c r="AG601" s="628"/>
      <c r="AH601" s="629"/>
      <c r="AI601" s="515"/>
      <c r="AJ601" s="815"/>
      <c r="AK601" s="815"/>
      <c r="AL601" s="815"/>
      <c r="AM601" s="851"/>
      <c r="AN601" s="207"/>
      <c r="AO601" s="207"/>
      <c r="AP601" s="207"/>
      <c r="AQ601" s="515"/>
      <c r="AR601" s="124"/>
      <c r="AS601" s="124"/>
      <c r="AT601" s="124"/>
      <c r="AU601" s="568"/>
      <c r="AV601" s="304" t="s">
        <v>245</v>
      </c>
      <c r="AW601" s="304" t="s">
        <v>245</v>
      </c>
      <c r="AX601" s="304" t="s">
        <v>245</v>
      </c>
      <c r="AY601" s="568"/>
      <c r="AZ601" s="888"/>
      <c r="BA601" s="888"/>
      <c r="BB601" s="888"/>
      <c r="BC601" s="568"/>
      <c r="BD601" s="888"/>
      <c r="BE601" s="888"/>
      <c r="BF601" s="888"/>
      <c r="BG601" s="568"/>
      <c r="BH601" s="889">
        <v>2997</v>
      </c>
      <c r="BI601" s="808">
        <f>CH601</f>
        <v>163.93</v>
      </c>
      <c r="BJ601" s="902">
        <f t="shared" si="55"/>
        <v>2833.07</v>
      </c>
      <c r="BK601" s="110">
        <v>0</v>
      </c>
      <c r="BL601" s="242">
        <f>BH601-BK601</f>
        <v>2997</v>
      </c>
      <c r="BM601" s="764"/>
      <c r="BN601" s="764"/>
      <c r="BO601" s="764"/>
      <c r="BP601" s="899"/>
      <c r="BQ601" s="900"/>
      <c r="BR601" s="110"/>
      <c r="BS601" s="242"/>
      <c r="BT601" s="764"/>
      <c r="BU601" s="764"/>
      <c r="BV601" s="764"/>
      <c r="BW601" s="160"/>
      <c r="BX601" s="131"/>
      <c r="BY601" s="207"/>
      <c r="BZ601" s="110">
        <v>0</v>
      </c>
      <c r="CA601" s="242">
        <f t="shared" si="96"/>
        <v>0</v>
      </c>
      <c r="CB601" s="764"/>
      <c r="CC601" s="764"/>
      <c r="CD601" s="764"/>
      <c r="CE601" s="882"/>
      <c r="CF601" s="905">
        <v>163.93</v>
      </c>
      <c r="CG601" s="906">
        <v>43361</v>
      </c>
      <c r="CH601" s="905">
        <v>163.93</v>
      </c>
      <c r="CI601" s="905">
        <v>1409.82</v>
      </c>
      <c r="CJ601" s="906">
        <v>43381</v>
      </c>
      <c r="CK601" s="911"/>
      <c r="CL601" s="905">
        <v>1923.22</v>
      </c>
      <c r="CM601" s="226">
        <v>43408</v>
      </c>
      <c r="CN601" s="226"/>
      <c r="CO601" s="226"/>
      <c r="CP601" s="338"/>
      <c r="CQ601" s="338"/>
      <c r="CR601" s="338"/>
      <c r="CS601" s="338"/>
      <c r="CT601" s="338"/>
      <c r="CU601" s="912"/>
      <c r="CV601" s="331"/>
      <c r="CW601" s="631"/>
      <c r="CX601" s="331"/>
      <c r="CY601" s="264"/>
      <c r="CZ601" s="331"/>
      <c r="DA601" s="849"/>
      <c r="DB601" s="883"/>
      <c r="DC601" s="766"/>
      <c r="DD601" s="242"/>
      <c r="DE601" s="242"/>
      <c r="DF601" s="242"/>
      <c r="DG601" s="265"/>
      <c r="DH601" s="884"/>
      <c r="DI601" s="265"/>
      <c r="DJ601" s="265"/>
      <c r="DK601" s="265"/>
      <c r="DL601" s="265"/>
      <c r="DM601" s="17"/>
      <c r="DN601" s="265"/>
      <c r="DO601" s="265"/>
      <c r="DP601" s="265"/>
      <c r="DQ601" s="265"/>
      <c r="DR601" s="265"/>
      <c r="DS601" s="265"/>
      <c r="DT601" s="265"/>
      <c r="DU601" s="265"/>
      <c r="DV601" s="265"/>
      <c r="DW601" s="265"/>
      <c r="DX601" s="265"/>
      <c r="DY601" s="265"/>
      <c r="DZ601" s="265"/>
    </row>
    <row r="602" spans="1:130" ht="30" hidden="1" customHeight="1" outlineLevel="1">
      <c r="A602" s="228"/>
      <c r="B602" s="121"/>
      <c r="C602" s="155"/>
      <c r="D602" s="757"/>
      <c r="E602" s="757"/>
      <c r="F602" s="757"/>
      <c r="G602" s="846" t="s">
        <v>631</v>
      </c>
      <c r="H602" s="847" t="s">
        <v>3114</v>
      </c>
      <c r="I602" s="207" t="s">
        <v>3115</v>
      </c>
      <c r="J602" s="121" t="str">
        <f t="shared" si="52"/>
        <v>Lorenzo Braida</v>
      </c>
      <c r="K602" s="848">
        <v>3338305039</v>
      </c>
      <c r="L602" s="941"/>
      <c r="M602" s="942"/>
      <c r="N602" s="828"/>
      <c r="O602" s="622"/>
      <c r="P602" s="850" t="s">
        <v>3116</v>
      </c>
      <c r="Q602" s="850" t="s">
        <v>3116</v>
      </c>
      <c r="R602" s="942" t="s">
        <v>3117</v>
      </c>
      <c r="S602" s="828" t="s">
        <v>3118</v>
      </c>
      <c r="T602" s="828"/>
      <c r="U602" s="828"/>
      <c r="V602" s="828"/>
      <c r="W602" s="850"/>
      <c r="X602" s="131"/>
      <c r="Y602" s="850"/>
      <c r="Z602" s="850"/>
      <c r="AA602" s="850"/>
      <c r="AB602" s="850" t="s">
        <v>2917</v>
      </c>
      <c r="AC602" s="131" t="s">
        <v>3119</v>
      </c>
      <c r="AD602" s="850"/>
      <c r="AE602" s="828" t="s">
        <v>3120</v>
      </c>
      <c r="AF602" s="851"/>
      <c r="AG602" s="852" t="s">
        <v>115</v>
      </c>
      <c r="AH602" s="852" t="s">
        <v>116</v>
      </c>
      <c r="AI602" s="515"/>
      <c r="AJ602" s="258"/>
      <c r="AK602" s="258"/>
      <c r="AL602" s="258"/>
      <c r="AM602" s="627"/>
      <c r="AN602" s="815"/>
      <c r="AO602" s="815" t="s">
        <v>2404</v>
      </c>
      <c r="AP602" s="815"/>
      <c r="AQ602" s="515"/>
      <c r="AR602" s="124"/>
      <c r="AS602" s="124"/>
      <c r="AT602" s="124"/>
      <c r="AU602" s="568"/>
      <c r="AV602" s="609"/>
      <c r="AW602" s="609"/>
      <c r="AX602" s="609"/>
      <c r="AY602" s="568"/>
      <c r="AZ602" s="913"/>
      <c r="BA602" s="913"/>
      <c r="BB602" s="913"/>
      <c r="BC602" s="568"/>
      <c r="BD602" s="913"/>
      <c r="BE602" s="913"/>
      <c r="BF602" s="913"/>
      <c r="BG602" s="568"/>
      <c r="BH602" s="889"/>
      <c r="BI602" s="902"/>
      <c r="BJ602" s="761">
        <f t="shared" si="55"/>
        <v>0</v>
      </c>
      <c r="BK602" s="110"/>
      <c r="BL602" s="242"/>
      <c r="BM602" s="203"/>
      <c r="BN602" s="203"/>
      <c r="BO602" s="203"/>
      <c r="BP602" s="828" t="s">
        <v>3121</v>
      </c>
      <c r="BQ602" s="856">
        <v>0.15</v>
      </c>
      <c r="BR602" s="110"/>
      <c r="BS602" s="242"/>
      <c r="BT602" s="203"/>
      <c r="BU602" s="203"/>
      <c r="BV602" s="203"/>
      <c r="BW602" s="857"/>
      <c r="BX602" s="828" t="s">
        <v>3122</v>
      </c>
      <c r="BY602" s="856">
        <v>0.05</v>
      </c>
      <c r="BZ602" s="110">
        <v>0</v>
      </c>
      <c r="CA602" s="242">
        <f t="shared" si="96"/>
        <v>0</v>
      </c>
      <c r="CB602" s="764"/>
      <c r="CC602" s="764"/>
      <c r="CD602" s="764"/>
      <c r="CE602" s="943"/>
      <c r="CF602" s="338"/>
      <c r="CG602" s="338"/>
      <c r="CH602" s="338"/>
      <c r="CI602" s="338"/>
      <c r="CJ602" s="338"/>
      <c r="CK602" s="338"/>
      <c r="CL602" s="338"/>
      <c r="CM602" s="338"/>
      <c r="CN602" s="338"/>
      <c r="CO602" s="338"/>
      <c r="CP602" s="338"/>
      <c r="CQ602" s="338"/>
      <c r="CR602" s="338"/>
      <c r="CS602" s="338"/>
      <c r="CT602" s="338"/>
      <c r="CU602" s="245"/>
      <c r="CV602" s="207"/>
      <c r="CW602" s="354"/>
      <c r="CX602" s="207"/>
      <c r="CY602" s="155"/>
      <c r="CZ602" s="155"/>
      <c r="DA602" s="941"/>
      <c r="DB602" s="193"/>
      <c r="DC602" s="766"/>
      <c r="DD602" s="242"/>
      <c r="DE602" s="242"/>
      <c r="DF602" s="242"/>
      <c r="DG602" s="729"/>
      <c r="DH602" s="730"/>
      <c r="DI602" s="729"/>
      <c r="DJ602" s="729"/>
      <c r="DK602" s="729"/>
      <c r="DL602" s="729"/>
      <c r="DM602" s="17"/>
      <c r="DN602" s="265"/>
      <c r="DO602" s="265"/>
      <c r="DP602" s="265"/>
      <c r="DQ602" s="265"/>
      <c r="DR602" s="265"/>
      <c r="DS602" s="265"/>
      <c r="DT602" s="265"/>
      <c r="DU602" s="265"/>
      <c r="DV602" s="265"/>
      <c r="DW602" s="265"/>
      <c r="DX602" s="265"/>
      <c r="DY602" s="265"/>
      <c r="DZ602" s="265"/>
    </row>
    <row r="603" spans="1:130" ht="30" hidden="1" customHeight="1" outlineLevel="1">
      <c r="A603" s="228"/>
      <c r="B603" s="121"/>
      <c r="C603" s="155"/>
      <c r="D603" s="757"/>
      <c r="E603" s="757"/>
      <c r="F603" s="757"/>
      <c r="G603" s="840" t="s">
        <v>204</v>
      </c>
      <c r="H603" s="621" t="s">
        <v>3123</v>
      </c>
      <c r="I603" s="207" t="s">
        <v>3124</v>
      </c>
      <c r="J603" s="121" t="str">
        <f t="shared" si="52"/>
        <v>Luca Bocchini</v>
      </c>
      <c r="K603" s="224">
        <v>3925763444</v>
      </c>
      <c r="L603" s="131"/>
      <c r="M603" s="289"/>
      <c r="N603" s="289"/>
      <c r="O603" s="567"/>
      <c r="P603" s="289" t="s">
        <v>3125</v>
      </c>
      <c r="Q603" s="289"/>
      <c r="R603" s="289" t="s">
        <v>3126</v>
      </c>
      <c r="S603" s="289" t="s">
        <v>3127</v>
      </c>
      <c r="T603" s="289"/>
      <c r="U603" s="289"/>
      <c r="V603" s="289"/>
      <c r="W603" s="944"/>
      <c r="X603" s="131" t="s">
        <v>3124</v>
      </c>
      <c r="Y603" s="944"/>
      <c r="Z603" s="944"/>
      <c r="AA603" s="944"/>
      <c r="AB603" s="255"/>
      <c r="AC603" s="131"/>
      <c r="AD603" s="255"/>
      <c r="AE603" s="131"/>
      <c r="AF603" s="515"/>
      <c r="AG603" s="516" t="s">
        <v>115</v>
      </c>
      <c r="AH603" s="516" t="s">
        <v>115</v>
      </c>
      <c r="AI603" s="515"/>
      <c r="AJ603" s="815" t="s">
        <v>154</v>
      </c>
      <c r="AK603" s="815" t="s">
        <v>154</v>
      </c>
      <c r="AL603" s="815" t="s">
        <v>154</v>
      </c>
      <c r="AM603" s="851"/>
      <c r="AN603" s="155"/>
      <c r="AO603" s="155" t="s">
        <v>2404</v>
      </c>
      <c r="AP603" s="155" t="s">
        <v>2404</v>
      </c>
      <c r="AQ603" s="515"/>
      <c r="AR603" s="124"/>
      <c r="AS603" s="124"/>
      <c r="AT603" s="124"/>
      <c r="AU603" s="568"/>
      <c r="AV603" s="121"/>
      <c r="AW603" s="121"/>
      <c r="AX603" s="121"/>
      <c r="AY603" s="568"/>
      <c r="AZ603" s="362"/>
      <c r="BA603" s="362"/>
      <c r="BB603" s="362"/>
      <c r="BC603" s="568"/>
      <c r="BD603" s="362"/>
      <c r="BE603" s="362"/>
      <c r="BF603" s="362"/>
      <c r="BG603" s="568"/>
      <c r="BH603" s="889"/>
      <c r="BI603" s="902"/>
      <c r="BJ603" s="761">
        <f t="shared" si="55"/>
        <v>0</v>
      </c>
      <c r="BK603" s="110"/>
      <c r="BL603" s="242"/>
      <c r="BM603" s="203"/>
      <c r="BN603" s="203"/>
      <c r="BO603" s="203"/>
      <c r="BP603" s="529" t="s">
        <v>3128</v>
      </c>
      <c r="BQ603" s="145">
        <v>0</v>
      </c>
      <c r="BR603" s="110"/>
      <c r="BS603" s="242"/>
      <c r="BT603" s="203"/>
      <c r="BU603" s="203"/>
      <c r="BV603" s="203"/>
      <c r="BW603" s="843"/>
      <c r="BX603" s="529" t="s">
        <v>3067</v>
      </c>
      <c r="BY603" s="145">
        <v>0.05</v>
      </c>
      <c r="BZ603" s="110">
        <v>0</v>
      </c>
      <c r="CA603" s="242">
        <f t="shared" si="96"/>
        <v>0</v>
      </c>
      <c r="CB603" s="764"/>
      <c r="CC603" s="764"/>
      <c r="CD603" s="764"/>
      <c r="CE603" s="160"/>
      <c r="CF603" s="338"/>
      <c r="CG603" s="338"/>
      <c r="CH603" s="338"/>
      <c r="CI603" s="338"/>
      <c r="CJ603" s="338"/>
      <c r="CK603" s="338"/>
      <c r="CL603" s="338"/>
      <c r="CM603" s="338"/>
      <c r="CN603" s="338"/>
      <c r="CO603" s="338"/>
      <c r="CP603" s="338"/>
      <c r="CQ603" s="338"/>
      <c r="CR603" s="338"/>
      <c r="CS603" s="338"/>
      <c r="CT603" s="338"/>
      <c r="CU603" s="245" t="s">
        <v>2612</v>
      </c>
      <c r="CV603" s="181"/>
      <c r="CW603" s="369"/>
      <c r="CX603" s="181"/>
      <c r="CY603" s="121"/>
      <c r="CZ603" s="121"/>
      <c r="DA603" s="131"/>
      <c r="DB603" s="115"/>
      <c r="DC603" s="766"/>
      <c r="DD603" s="242"/>
      <c r="DE603" s="242"/>
      <c r="DF603" s="242"/>
      <c r="DG603" s="729"/>
      <c r="DH603" s="799"/>
      <c r="DI603" s="779"/>
      <c r="DJ603" s="779"/>
      <c r="DK603" s="779"/>
      <c r="DL603" s="779"/>
      <c r="DM603" s="4"/>
    </row>
    <row r="604" spans="1:130" ht="30" hidden="1" customHeight="1" outlineLevel="1">
      <c r="A604" s="228"/>
      <c r="B604" s="121"/>
      <c r="C604" s="155"/>
      <c r="D604" s="244"/>
      <c r="E604" s="757"/>
      <c r="F604" s="757"/>
      <c r="G604" s="840" t="s">
        <v>204</v>
      </c>
      <c r="H604" s="621" t="s">
        <v>3129</v>
      </c>
      <c r="I604" s="294" t="s">
        <v>3130</v>
      </c>
      <c r="J604" s="121" t="str">
        <f t="shared" si="52"/>
        <v>Luca Casadio</v>
      </c>
      <c r="K604" s="916"/>
      <c r="L604" s="131"/>
      <c r="M604" s="131"/>
      <c r="N604" s="917"/>
      <c r="O604" s="918"/>
      <c r="P604" s="124"/>
      <c r="Q604" s="124"/>
      <c r="R604" s="131" t="s">
        <v>3056</v>
      </c>
      <c r="S604" s="124"/>
      <c r="T604" s="124"/>
      <c r="U604" s="124"/>
      <c r="V604" s="124"/>
      <c r="W604" s="124"/>
      <c r="X604" s="131"/>
      <c r="Y604" s="124"/>
      <c r="Z604" s="124"/>
      <c r="AA604" s="124"/>
      <c r="AB604" s="255"/>
      <c r="AC604" s="131"/>
      <c r="AD604" s="596"/>
      <c r="AE604" s="131"/>
      <c r="AF604" s="515"/>
      <c r="AG604" s="580"/>
      <c r="AH604" s="580"/>
      <c r="AI604" s="515"/>
      <c r="AJ604" s="155"/>
      <c r="AK604" s="155"/>
      <c r="AL604" s="155"/>
      <c r="AM604" s="515"/>
      <c r="AN604" s="258"/>
      <c r="AO604" s="124"/>
      <c r="AP604" s="124"/>
      <c r="AQ604" s="515"/>
      <c r="AR604" s="124"/>
      <c r="AS604" s="124"/>
      <c r="AT604" s="124"/>
      <c r="AU604" s="568"/>
      <c r="AV604" s="121" t="s">
        <v>27</v>
      </c>
      <c r="AW604" s="570"/>
      <c r="AX604" s="570"/>
      <c r="AY604" s="568"/>
      <c r="AZ604" s="945"/>
      <c r="BA604" s="945"/>
      <c r="BB604" s="945"/>
      <c r="BC604" s="568"/>
      <c r="BD604" s="945"/>
      <c r="BE604" s="945"/>
      <c r="BF604" s="945"/>
      <c r="BG604" s="568"/>
      <c r="BH604" s="889"/>
      <c r="BI604" s="902"/>
      <c r="BJ604" s="761">
        <f t="shared" si="55"/>
        <v>0</v>
      </c>
      <c r="BK604" s="110"/>
      <c r="BL604" s="242"/>
      <c r="BM604" s="203"/>
      <c r="BN604" s="203"/>
      <c r="BO604" s="203"/>
      <c r="BP604" s="131" t="s">
        <v>2371</v>
      </c>
      <c r="BQ604" s="145">
        <v>0.15</v>
      </c>
      <c r="BR604" s="110"/>
      <c r="BS604" s="242"/>
      <c r="BT604" s="203"/>
      <c r="BU604" s="203"/>
      <c r="BV604" s="203"/>
      <c r="BW604" s="160"/>
      <c r="BX604" s="529" t="s">
        <v>2920</v>
      </c>
      <c r="BY604" s="145">
        <v>0.05</v>
      </c>
      <c r="BZ604" s="110">
        <v>0</v>
      </c>
      <c r="CA604" s="242">
        <f t="shared" si="96"/>
        <v>0</v>
      </c>
      <c r="CB604" s="764"/>
      <c r="CC604" s="764"/>
      <c r="CD604" s="764"/>
      <c r="CE604" s="946"/>
      <c r="CF604" s="338"/>
      <c r="CG604" s="338"/>
      <c r="CH604" s="338"/>
      <c r="CI604" s="338"/>
      <c r="CJ604" s="338"/>
      <c r="CK604" s="338"/>
      <c r="CL604" s="338"/>
      <c r="CM604" s="338"/>
      <c r="CN604" s="338"/>
      <c r="CO604" s="338"/>
      <c r="CP604" s="338"/>
      <c r="CQ604" s="338"/>
      <c r="CR604" s="338"/>
      <c r="CS604" s="338"/>
      <c r="CT604" s="338"/>
      <c r="CU604" s="245" t="s">
        <v>2612</v>
      </c>
      <c r="CV604" s="570"/>
      <c r="CW604" s="920"/>
      <c r="CX604" s="124"/>
      <c r="CY604" s="264"/>
      <c r="CZ604" s="596"/>
      <c r="DA604" s="131"/>
      <c r="DB604" s="115"/>
      <c r="DC604" s="766"/>
      <c r="DD604" s="242"/>
      <c r="DE604" s="242"/>
      <c r="DF604" s="242"/>
      <c r="DG604" s="265"/>
      <c r="DH604" s="884"/>
      <c r="DI604" s="779"/>
      <c r="DJ604" s="779"/>
      <c r="DK604" s="779"/>
      <c r="DL604" s="779"/>
      <c r="DM604" s="4"/>
    </row>
    <row r="605" spans="1:130" ht="30" hidden="1" customHeight="1" outlineLevel="1">
      <c r="A605" s="228"/>
      <c r="B605" s="121"/>
      <c r="C605" s="155"/>
      <c r="D605" s="757"/>
      <c r="E605" s="757"/>
      <c r="F605" s="757"/>
      <c r="G605" s="846" t="s">
        <v>204</v>
      </c>
      <c r="H605" s="847" t="s">
        <v>3131</v>
      </c>
      <c r="I605" s="207" t="s">
        <v>3132</v>
      </c>
      <c r="J605" s="121" t="str">
        <f t="shared" si="52"/>
        <v>Luca Nuccio</v>
      </c>
      <c r="K605" s="848">
        <v>3279563904</v>
      </c>
      <c r="L605" s="849"/>
      <c r="M605" s="828"/>
      <c r="N605" s="828"/>
      <c r="O605" s="622"/>
      <c r="P605" s="850" t="s">
        <v>3133</v>
      </c>
      <c r="Q605" s="947" t="s">
        <v>3134</v>
      </c>
      <c r="R605" s="828" t="s">
        <v>3135</v>
      </c>
      <c r="S605" s="828" t="s">
        <v>3136</v>
      </c>
      <c r="T605" s="828"/>
      <c r="U605" s="828"/>
      <c r="V605" s="828"/>
      <c r="W605" s="850"/>
      <c r="X605" s="131"/>
      <c r="Y605" s="850"/>
      <c r="Z605" s="850"/>
      <c r="AA605" s="850"/>
      <c r="AB605" s="850" t="s">
        <v>2412</v>
      </c>
      <c r="AC605" s="131"/>
      <c r="AD605" s="850"/>
      <c r="AE605" s="828"/>
      <c r="AF605" s="851"/>
      <c r="AG605" s="852" t="s">
        <v>115</v>
      </c>
      <c r="AH605" s="852" t="s">
        <v>115</v>
      </c>
      <c r="AI605" s="515"/>
      <c r="AJ605" s="516"/>
      <c r="AK605" s="258" t="s">
        <v>115</v>
      </c>
      <c r="AL605" s="258" t="s">
        <v>115</v>
      </c>
      <c r="AM605" s="515"/>
      <c r="AN605" s="815"/>
      <c r="AO605" s="815" t="s">
        <v>154</v>
      </c>
      <c r="AP605" s="815" t="s">
        <v>2404</v>
      </c>
      <c r="AQ605" s="515"/>
      <c r="AR605" s="124"/>
      <c r="AS605" s="124"/>
      <c r="AT605" s="124"/>
      <c r="AU605" s="568"/>
      <c r="AV605" s="609"/>
      <c r="AW605" s="121"/>
      <c r="AX605" s="121"/>
      <c r="AY605" s="568"/>
      <c r="AZ605" s="362"/>
      <c r="BA605" s="362"/>
      <c r="BB605" s="362"/>
      <c r="BC605" s="568"/>
      <c r="BD605" s="362"/>
      <c r="BE605" s="362"/>
      <c r="BF605" s="362"/>
      <c r="BG605" s="568"/>
      <c r="BH605" s="889"/>
      <c r="BI605" s="902"/>
      <c r="BJ605" s="761">
        <f t="shared" si="55"/>
        <v>0</v>
      </c>
      <c r="BK605" s="110"/>
      <c r="BL605" s="242"/>
      <c r="BM605" s="203"/>
      <c r="BN605" s="203"/>
      <c r="BO605" s="203"/>
      <c r="BP605" s="828" t="s">
        <v>3137</v>
      </c>
      <c r="BQ605" s="856">
        <v>0.15</v>
      </c>
      <c r="BR605" s="110"/>
      <c r="BS605" s="242"/>
      <c r="BT605" s="203"/>
      <c r="BU605" s="203"/>
      <c r="BV605" s="203"/>
      <c r="BW605" s="857"/>
      <c r="BX605" s="828" t="s">
        <v>3138</v>
      </c>
      <c r="BY605" s="856">
        <v>0.05</v>
      </c>
      <c r="BZ605" s="110">
        <v>0</v>
      </c>
      <c r="CA605" s="242">
        <f t="shared" si="96"/>
        <v>0</v>
      </c>
      <c r="CB605" s="764"/>
      <c r="CC605" s="764"/>
      <c r="CD605" s="764"/>
      <c r="CE605" s="943"/>
      <c r="CF605" s="338"/>
      <c r="CG605" s="338"/>
      <c r="CH605" s="338"/>
      <c r="CI605" s="338"/>
      <c r="CJ605" s="338"/>
      <c r="CK605" s="338"/>
      <c r="CL605" s="338"/>
      <c r="CM605" s="338"/>
      <c r="CN605" s="338"/>
      <c r="CO605" s="338"/>
      <c r="CP605" s="338"/>
      <c r="CQ605" s="338"/>
      <c r="CR605" s="338"/>
      <c r="CS605" s="338"/>
      <c r="CT605" s="338"/>
      <c r="CU605" s="245"/>
      <c r="CV605" s="207"/>
      <c r="CW605" s="354"/>
      <c r="CX605" s="207"/>
      <c r="CY605" s="155"/>
      <c r="CZ605" s="155"/>
      <c r="DA605" s="849"/>
      <c r="DB605" s="115"/>
      <c r="DC605" s="766"/>
      <c r="DD605" s="242"/>
      <c r="DE605" s="242"/>
      <c r="DF605" s="242"/>
      <c r="DG605" s="729"/>
      <c r="DH605" s="730"/>
      <c r="DI605" s="729"/>
      <c r="DJ605" s="729"/>
      <c r="DK605" s="729"/>
      <c r="DL605" s="729"/>
      <c r="DM605" s="4"/>
    </row>
    <row r="606" spans="1:130" ht="30" hidden="1" customHeight="1" outlineLevel="1">
      <c r="A606" s="228"/>
      <c r="B606" s="121"/>
      <c r="C606" s="155"/>
      <c r="D606" s="757"/>
      <c r="E606" s="757"/>
      <c r="F606" s="757"/>
      <c r="G606" s="948" t="s">
        <v>665</v>
      </c>
      <c r="H606" s="949" t="s">
        <v>3139</v>
      </c>
      <c r="I606" s="207" t="s">
        <v>3140</v>
      </c>
      <c r="J606" s="121" t="str">
        <f t="shared" si="52"/>
        <v>Luigi Manzoni</v>
      </c>
      <c r="K606" s="224"/>
      <c r="L606" s="131"/>
      <c r="M606" s="131"/>
      <c r="N606" s="289"/>
      <c r="O606" s="567"/>
      <c r="P606" s="131"/>
      <c r="Q606" s="131"/>
      <c r="R606" s="131" t="s">
        <v>3088</v>
      </c>
      <c r="S606" s="131"/>
      <c r="T606" s="131"/>
      <c r="U606" s="131"/>
      <c r="V606" s="131"/>
      <c r="W606" s="131"/>
      <c r="X606" s="131"/>
      <c r="Y606" s="131"/>
      <c r="Z606" s="131"/>
      <c r="AA606" s="131"/>
      <c r="AB606" s="255"/>
      <c r="AC606" s="131"/>
      <c r="AD606" s="155"/>
      <c r="AE606" s="131" t="s">
        <v>3141</v>
      </c>
      <c r="AF606" s="515"/>
      <c r="AG606" s="406"/>
      <c r="AH606" s="406"/>
      <c r="AI606" s="515"/>
      <c r="AJ606" s="815"/>
      <c r="AK606" s="815"/>
      <c r="AL606" s="815"/>
      <c r="AM606" s="950"/>
      <c r="AN606" s="24" t="s">
        <v>151</v>
      </c>
      <c r="AO606" s="24" t="s">
        <v>151</v>
      </c>
      <c r="AP606" s="24" t="s">
        <v>151</v>
      </c>
      <c r="AQ606" s="515"/>
      <c r="AR606" s="124"/>
      <c r="AS606" s="124"/>
      <c r="AT606" s="124"/>
      <c r="AU606" s="568"/>
      <c r="AV606" s="929" t="s">
        <v>151</v>
      </c>
      <c r="AW606" s="929" t="s">
        <v>151</v>
      </c>
      <c r="AX606" s="929" t="s">
        <v>151</v>
      </c>
      <c r="AY606" s="568"/>
      <c r="AZ606" s="930"/>
      <c r="BA606" s="930"/>
      <c r="BB606" s="930"/>
      <c r="BC606" s="568"/>
      <c r="BD606" s="930"/>
      <c r="BE606" s="930"/>
      <c r="BF606" s="930"/>
      <c r="BG606" s="568"/>
      <c r="BH606" s="889"/>
      <c r="BI606" s="902"/>
      <c r="BJ606" s="761">
        <f t="shared" si="55"/>
        <v>0</v>
      </c>
      <c r="BK606" s="110"/>
      <c r="BL606" s="242"/>
      <c r="BM606" s="764"/>
      <c r="BN606" s="764"/>
      <c r="BO606" s="764"/>
      <c r="BP606" s="131" t="s">
        <v>117</v>
      </c>
      <c r="BQ606" s="145">
        <v>0</v>
      </c>
      <c r="BR606" s="110"/>
      <c r="BS606" s="242"/>
      <c r="BT606" s="764"/>
      <c r="BU606" s="764"/>
      <c r="BV606" s="764"/>
      <c r="BW606" s="784" t="s">
        <v>118</v>
      </c>
      <c r="BX606" s="131" t="s">
        <v>152</v>
      </c>
      <c r="BY606" s="145">
        <v>0.05</v>
      </c>
      <c r="BZ606" s="110">
        <v>0</v>
      </c>
      <c r="CA606" s="242">
        <f t="shared" si="96"/>
        <v>0</v>
      </c>
      <c r="CB606" s="764"/>
      <c r="CC606" s="764"/>
      <c r="CD606" s="764"/>
      <c r="CE606" s="946"/>
      <c r="CF606" s="338"/>
      <c r="CG606" s="338"/>
      <c r="CH606" s="338"/>
      <c r="CI606" s="338"/>
      <c r="CJ606" s="338"/>
      <c r="CK606" s="338"/>
      <c r="CL606" s="338"/>
      <c r="CM606" s="338"/>
      <c r="CN606" s="338"/>
      <c r="CO606" s="338"/>
      <c r="CP606" s="338"/>
      <c r="CQ606" s="338"/>
      <c r="CR606" s="338"/>
      <c r="CS606" s="338"/>
      <c r="CT606" s="338"/>
      <c r="CU606" s="245" t="s">
        <v>2612</v>
      </c>
      <c r="CV606" s="181"/>
      <c r="CW606" s="369"/>
      <c r="CX606" s="181"/>
      <c r="CY606" s="121"/>
      <c r="CZ606" s="121"/>
      <c r="DA606" s="131"/>
      <c r="DB606" s="115"/>
      <c r="DC606" s="766"/>
      <c r="DD606" s="242"/>
      <c r="DE606" s="242"/>
      <c r="DF606" s="242"/>
      <c r="DG606" s="729"/>
      <c r="DH606" s="799"/>
      <c r="DI606" s="779"/>
      <c r="DJ606" s="779"/>
      <c r="DK606" s="779"/>
      <c r="DL606" s="779"/>
      <c r="DM606" s="4"/>
    </row>
    <row r="607" spans="1:130" ht="30" hidden="1" customHeight="1" outlineLevel="1">
      <c r="A607" s="228"/>
      <c r="B607" s="121"/>
      <c r="C607" s="155"/>
      <c r="D607" s="757"/>
      <c r="E607" s="757"/>
      <c r="F607" s="757"/>
      <c r="G607" s="846" t="s">
        <v>1248</v>
      </c>
      <c r="H607" s="847" t="s">
        <v>3142</v>
      </c>
      <c r="I607" s="207" t="s">
        <v>3143</v>
      </c>
      <c r="J607" s="121" t="str">
        <f t="shared" si="52"/>
        <v>Manuela Solerio</v>
      </c>
      <c r="K607" s="951"/>
      <c r="L607" s="849"/>
      <c r="M607" s="828"/>
      <c r="N607" s="952"/>
      <c r="O607" s="953"/>
      <c r="P607" s="850"/>
      <c r="Q607" s="850"/>
      <c r="R607" s="828" t="s">
        <v>3144</v>
      </c>
      <c r="S607" s="869"/>
      <c r="T607" s="869"/>
      <c r="U607" s="869"/>
      <c r="V607" s="869"/>
      <c r="W607" s="850"/>
      <c r="X607" s="131"/>
      <c r="Y607" s="850"/>
      <c r="Z607" s="850"/>
      <c r="AA607" s="850"/>
      <c r="AB607" s="850"/>
      <c r="AC607" s="131"/>
      <c r="AD607" s="850"/>
      <c r="AE607" s="828"/>
      <c r="AF607" s="851"/>
      <c r="AG607" s="852" t="s">
        <v>115</v>
      </c>
      <c r="AH607" s="852" t="s">
        <v>115</v>
      </c>
      <c r="AI607" s="515"/>
      <c r="AJ607" s="155"/>
      <c r="AK607" s="155"/>
      <c r="AL607" s="155"/>
      <c r="AM607" s="198"/>
      <c r="AN607" s="815"/>
      <c r="AO607" s="815" t="s">
        <v>2404</v>
      </c>
      <c r="AP607" s="815" t="s">
        <v>2404</v>
      </c>
      <c r="AQ607" s="515"/>
      <c r="AR607" s="124"/>
      <c r="AS607" s="124"/>
      <c r="AT607" s="124"/>
      <c r="AU607" s="568"/>
      <c r="AV607" s="609"/>
      <c r="AW607" s="609"/>
      <c r="AX607" s="609"/>
      <c r="AY607" s="568"/>
      <c r="AZ607" s="913"/>
      <c r="BA607" s="913"/>
      <c r="BB607" s="913"/>
      <c r="BC607" s="568"/>
      <c r="BD607" s="913"/>
      <c r="BE607" s="913"/>
      <c r="BF607" s="913"/>
      <c r="BG607" s="568"/>
      <c r="BH607" s="889"/>
      <c r="BI607" s="902"/>
      <c r="BJ607" s="761">
        <f t="shared" si="55"/>
        <v>0</v>
      </c>
      <c r="BK607" s="110"/>
      <c r="BL607" s="242"/>
      <c r="BM607" s="203"/>
      <c r="BN607" s="203"/>
      <c r="BO607" s="203"/>
      <c r="BP607" s="828" t="s">
        <v>3145</v>
      </c>
      <c r="BQ607" s="856">
        <v>0.15</v>
      </c>
      <c r="BR607" s="110"/>
      <c r="BS607" s="242"/>
      <c r="BT607" s="203"/>
      <c r="BU607" s="203"/>
      <c r="BV607" s="203"/>
      <c r="BW607" s="857"/>
      <c r="BX607" s="828" t="s">
        <v>1077</v>
      </c>
      <c r="BY607" s="856">
        <v>0.05</v>
      </c>
      <c r="BZ607" s="110">
        <v>0</v>
      </c>
      <c r="CA607" s="242">
        <f t="shared" si="96"/>
        <v>0</v>
      </c>
      <c r="CB607" s="764"/>
      <c r="CC607" s="764"/>
      <c r="CD607" s="764"/>
      <c r="CE607" s="857"/>
      <c r="CF607" s="338"/>
      <c r="CG607" s="338"/>
      <c r="CH607" s="338"/>
      <c r="CI607" s="338"/>
      <c r="CJ607" s="338"/>
      <c r="CK607" s="338"/>
      <c r="CL607" s="338"/>
      <c r="CM607" s="338"/>
      <c r="CN607" s="338"/>
      <c r="CO607" s="338"/>
      <c r="CP607" s="338"/>
      <c r="CQ607" s="338"/>
      <c r="CR607" s="338"/>
      <c r="CS607" s="338"/>
      <c r="CT607" s="338"/>
      <c r="CU607" s="933"/>
      <c r="CV607" s="875"/>
      <c r="CW607" s="354"/>
      <c r="CX607" s="207"/>
      <c r="CY607" s="155"/>
      <c r="CZ607" s="155"/>
      <c r="DA607" s="849"/>
      <c r="DB607" s="115"/>
      <c r="DC607" s="766"/>
      <c r="DD607" s="242"/>
      <c r="DE607" s="242"/>
      <c r="DF607" s="242"/>
      <c r="DG607" s="729"/>
      <c r="DH607" s="730"/>
      <c r="DI607" s="729"/>
      <c r="DJ607" s="729"/>
      <c r="DK607" s="729"/>
      <c r="DL607" s="729"/>
      <c r="DM607" s="4"/>
    </row>
    <row r="608" spans="1:130" ht="30" hidden="1" customHeight="1" outlineLevel="1">
      <c r="A608" s="228"/>
      <c r="B608" s="121"/>
      <c r="C608" s="155"/>
      <c r="D608" s="757"/>
      <c r="E608" s="757"/>
      <c r="F608" s="757"/>
      <c r="G608" s="659" t="s">
        <v>246</v>
      </c>
      <c r="H608" s="954" t="s">
        <v>330</v>
      </c>
      <c r="I608" s="207" t="s">
        <v>2303</v>
      </c>
      <c r="J608" s="121" t="str">
        <f t="shared" si="52"/>
        <v>Marco Brunelli</v>
      </c>
      <c r="K608" s="224"/>
      <c r="L608" s="598"/>
      <c r="M608" s="598"/>
      <c r="N608" s="131" t="s">
        <v>3058</v>
      </c>
      <c r="O608" s="599"/>
      <c r="P608" s="255"/>
      <c r="Q608" s="255"/>
      <c r="R608" s="598" t="s">
        <v>916</v>
      </c>
      <c r="S608" s="598"/>
      <c r="T608" s="598"/>
      <c r="U608" s="598"/>
      <c r="V608" s="598"/>
      <c r="W608" s="258"/>
      <c r="X608" s="131"/>
      <c r="Y608" s="258"/>
      <c r="Z608" s="258"/>
      <c r="AA608" s="258"/>
      <c r="AB608" s="255"/>
      <c r="AC608" s="131"/>
      <c r="AD608" s="255"/>
      <c r="AE608" s="131"/>
      <c r="AF608" s="515"/>
      <c r="AG608" s="516"/>
      <c r="AH608" s="516"/>
      <c r="AI608" s="515"/>
      <c r="AJ608" s="815"/>
      <c r="AK608" s="815"/>
      <c r="AL608" s="815"/>
      <c r="AM608" s="851"/>
      <c r="AN608" s="155"/>
      <c r="AO608" s="155"/>
      <c r="AP608" s="155"/>
      <c r="AQ608" s="515"/>
      <c r="AR608" s="124"/>
      <c r="AS608" s="124"/>
      <c r="AT608" s="124"/>
      <c r="AU608" s="568"/>
      <c r="AV608" s="121" t="s">
        <v>2369</v>
      </c>
      <c r="AW608" s="121" t="s">
        <v>2369</v>
      </c>
      <c r="AX608" s="121" t="s">
        <v>2369</v>
      </c>
      <c r="AY608" s="568"/>
      <c r="AZ608" s="362"/>
      <c r="BA608" s="362"/>
      <c r="BB608" s="362"/>
      <c r="BC608" s="568"/>
      <c r="BD608" s="362"/>
      <c r="BE608" s="362"/>
      <c r="BF608" s="362"/>
      <c r="BG608" s="568"/>
      <c r="BH608" s="889"/>
      <c r="BI608" s="902"/>
      <c r="BJ608" s="761">
        <f t="shared" si="55"/>
        <v>0</v>
      </c>
      <c r="BK608" s="110"/>
      <c r="BL608" s="242"/>
      <c r="BM608" s="203"/>
      <c r="BN608" s="203"/>
      <c r="BO608" s="203"/>
      <c r="BP608" s="529"/>
      <c r="BQ608" s="145"/>
      <c r="BR608" s="110"/>
      <c r="BS608" s="242"/>
      <c r="BT608" s="203"/>
      <c r="BU608" s="203"/>
      <c r="BV608" s="203"/>
      <c r="BW608" s="843"/>
      <c r="BX608" s="529"/>
      <c r="BY608" s="145"/>
      <c r="BZ608" s="110">
        <v>0</v>
      </c>
      <c r="CA608" s="242">
        <f t="shared" si="96"/>
        <v>0</v>
      </c>
      <c r="CB608" s="764"/>
      <c r="CC608" s="764"/>
      <c r="CD608" s="764"/>
      <c r="CE608" s="160"/>
      <c r="CF608" s="338"/>
      <c r="CG608" s="338"/>
      <c r="CH608" s="338"/>
      <c r="CI608" s="338"/>
      <c r="CJ608" s="338"/>
      <c r="CK608" s="338"/>
      <c r="CL608" s="338"/>
      <c r="CM608" s="338"/>
      <c r="CN608" s="338"/>
      <c r="CO608" s="338"/>
      <c r="CP608" s="338"/>
      <c r="CQ608" s="338"/>
      <c r="CR608" s="338"/>
      <c r="CS608" s="338"/>
      <c r="CT608" s="338"/>
      <c r="CU608" s="155"/>
      <c r="CV608" s="181"/>
      <c r="CW608" s="369"/>
      <c r="CX608" s="207"/>
      <c r="CY608" s="155"/>
      <c r="CZ608" s="155"/>
      <c r="DA608" s="598"/>
      <c r="DB608" s="844"/>
      <c r="DC608" s="766" t="s">
        <v>3058</v>
      </c>
      <c r="DD608" s="242"/>
      <c r="DE608" s="242"/>
      <c r="DF608" s="242"/>
      <c r="DG608" s="729"/>
      <c r="DH608" s="730"/>
      <c r="DI608" s="729"/>
      <c r="DJ608" s="729"/>
      <c r="DK608" s="729"/>
      <c r="DL608" s="729"/>
      <c r="DM608" s="4"/>
    </row>
    <row r="609" spans="1:130" ht="30" hidden="1" customHeight="1" outlineLevel="1">
      <c r="A609" s="228"/>
      <c r="B609" s="121"/>
      <c r="C609" s="155"/>
      <c r="D609" s="757"/>
      <c r="E609" s="757"/>
      <c r="F609" s="757"/>
      <c r="G609" s="840" t="s">
        <v>246</v>
      </c>
      <c r="H609" s="621" t="s">
        <v>2528</v>
      </c>
      <c r="I609" s="207" t="s">
        <v>2529</v>
      </c>
      <c r="J609" s="121" t="str">
        <f t="shared" si="52"/>
        <v>Marco Gianesini</v>
      </c>
      <c r="K609" s="224">
        <v>3299293872</v>
      </c>
      <c r="L609" s="131"/>
      <c r="M609" s="131"/>
      <c r="N609" s="289"/>
      <c r="O609" s="567"/>
      <c r="P609" s="255"/>
      <c r="Q609" s="255"/>
      <c r="R609" s="131"/>
      <c r="S609" s="131"/>
      <c r="T609" s="131"/>
      <c r="U609" s="131"/>
      <c r="V609" s="131"/>
      <c r="W609" s="258"/>
      <c r="X609" s="131"/>
      <c r="Y609" s="258"/>
      <c r="Z609" s="258"/>
      <c r="AA609" s="258"/>
      <c r="AB609" s="255"/>
      <c r="AC609" s="131"/>
      <c r="AD609" s="155"/>
      <c r="AE609" s="131"/>
      <c r="AF609" s="515"/>
      <c r="AG609" s="516" t="s">
        <v>115</v>
      </c>
      <c r="AH609" s="516" t="s">
        <v>115</v>
      </c>
      <c r="AI609" s="515"/>
      <c r="AJ609" s="155"/>
      <c r="AK609" s="155"/>
      <c r="AL609" s="155"/>
      <c r="AM609" s="515"/>
      <c r="AN609" s="155"/>
      <c r="AO609" s="565" t="s">
        <v>2277</v>
      </c>
      <c r="AP609" s="155" t="s">
        <v>116</v>
      </c>
      <c r="AQ609" s="515"/>
      <c r="AR609" s="121"/>
      <c r="AS609" s="121"/>
      <c r="AT609" s="121"/>
      <c r="AU609" s="568"/>
      <c r="AV609" s="121"/>
      <c r="AW609" s="121"/>
      <c r="AX609" s="121"/>
      <c r="AY609" s="568"/>
      <c r="AZ609" s="362"/>
      <c r="BA609" s="362"/>
      <c r="BB609" s="362"/>
      <c r="BC609" s="568"/>
      <c r="BD609" s="362"/>
      <c r="BE609" s="362"/>
      <c r="BF609" s="362"/>
      <c r="BG609" s="568"/>
      <c r="BH609" s="889"/>
      <c r="BI609" s="902"/>
      <c r="BJ609" s="761">
        <f t="shared" si="55"/>
        <v>0</v>
      </c>
      <c r="BK609" s="110"/>
      <c r="BL609" s="242"/>
      <c r="BM609" s="203"/>
      <c r="BN609" s="203"/>
      <c r="BO609" s="203"/>
      <c r="BP609" s="529" t="s">
        <v>3146</v>
      </c>
      <c r="BQ609" s="145">
        <v>0.1</v>
      </c>
      <c r="BR609" s="110"/>
      <c r="BS609" s="242"/>
      <c r="BT609" s="203"/>
      <c r="BU609" s="203"/>
      <c r="BV609" s="203"/>
      <c r="BW609" s="843"/>
      <c r="BX609" s="529" t="s">
        <v>3078</v>
      </c>
      <c r="BY609" s="145">
        <v>0.05</v>
      </c>
      <c r="BZ609" s="110">
        <v>0</v>
      </c>
      <c r="CA609" s="242">
        <f t="shared" si="96"/>
        <v>0</v>
      </c>
      <c r="CB609" s="764"/>
      <c r="CC609" s="764"/>
      <c r="CD609" s="764"/>
      <c r="CE609" s="160"/>
      <c r="CF609" s="338"/>
      <c r="CG609" s="338"/>
      <c r="CH609" s="338"/>
      <c r="CI609" s="338"/>
      <c r="CJ609" s="338"/>
      <c r="CK609" s="338"/>
      <c r="CL609" s="338"/>
      <c r="CM609" s="338"/>
      <c r="CN609" s="338"/>
      <c r="CO609" s="338"/>
      <c r="CP609" s="338"/>
      <c r="CQ609" s="338"/>
      <c r="CR609" s="338"/>
      <c r="CS609" s="338"/>
      <c r="CT609" s="338"/>
      <c r="CU609" s="550"/>
      <c r="CV609" s="112" t="s">
        <v>3147</v>
      </c>
      <c r="CW609" s="369"/>
      <c r="CX609" s="181"/>
      <c r="CY609" s="121"/>
      <c r="CZ609" s="121"/>
      <c r="DA609" s="131"/>
      <c r="DB609" s="115"/>
      <c r="DC609" s="766"/>
      <c r="DD609" s="242"/>
      <c r="DE609" s="242"/>
      <c r="DF609" s="242"/>
      <c r="DG609" s="729"/>
      <c r="DH609" s="799"/>
      <c r="DI609" s="729"/>
      <c r="DJ609" s="729"/>
      <c r="DK609" s="729"/>
      <c r="DL609" s="729"/>
      <c r="DM609" s="4"/>
    </row>
    <row r="610" spans="1:130" ht="30" hidden="1" customHeight="1" outlineLevel="1">
      <c r="A610" s="228"/>
      <c r="B610" s="121"/>
      <c r="C610" s="155"/>
      <c r="D610" s="757"/>
      <c r="E610" s="757"/>
      <c r="F610" s="757"/>
      <c r="G610" s="840" t="s">
        <v>2668</v>
      </c>
      <c r="H610" s="621" t="s">
        <v>3148</v>
      </c>
      <c r="I610" s="207" t="s">
        <v>2998</v>
      </c>
      <c r="J610" s="121" t="str">
        <f t="shared" si="52"/>
        <v>Maria Tagliaferri</v>
      </c>
      <c r="K610" s="224">
        <v>3479459658</v>
      </c>
      <c r="L610" s="131"/>
      <c r="M610" s="131"/>
      <c r="N610" s="289"/>
      <c r="O610" s="567"/>
      <c r="P610" s="564" t="s">
        <v>2995</v>
      </c>
      <c r="Q610" s="564" t="s">
        <v>2995</v>
      </c>
      <c r="R610" s="131" t="s">
        <v>2996</v>
      </c>
      <c r="S610" s="131" t="s">
        <v>2997</v>
      </c>
      <c r="T610" s="131"/>
      <c r="U610" s="131"/>
      <c r="V610" s="131"/>
      <c r="W610" s="258"/>
      <c r="X610" s="131" t="s">
        <v>2998</v>
      </c>
      <c r="Y610" s="258"/>
      <c r="Z610" s="258"/>
      <c r="AA610" s="258"/>
      <c r="AB610" s="255" t="s">
        <v>2412</v>
      </c>
      <c r="AC610" s="131" t="s">
        <v>2999</v>
      </c>
      <c r="AD610" s="255"/>
      <c r="AE610" s="131" t="s">
        <v>3149</v>
      </c>
      <c r="AF610" s="515"/>
      <c r="AG610" s="516" t="s">
        <v>115</v>
      </c>
      <c r="AH610" s="516" t="s">
        <v>115</v>
      </c>
      <c r="AI610" s="515"/>
      <c r="AJ610" s="155" t="s">
        <v>116</v>
      </c>
      <c r="AK610" s="155"/>
      <c r="AL610" s="155" t="s">
        <v>2992</v>
      </c>
      <c r="AM610" s="198"/>
      <c r="AN610" s="155"/>
      <c r="AO610" s="155" t="s">
        <v>2404</v>
      </c>
      <c r="AP610" s="155"/>
      <c r="AQ610" s="515"/>
      <c r="AR610" s="121"/>
      <c r="AS610" s="121"/>
      <c r="AT610" s="121"/>
      <c r="AU610" s="568"/>
      <c r="AV610" s="121"/>
      <c r="AW610" s="121"/>
      <c r="AX610" s="121"/>
      <c r="AY610" s="568"/>
      <c r="AZ610" s="362"/>
      <c r="BA610" s="362"/>
      <c r="BB610" s="362"/>
      <c r="BC610" s="568"/>
      <c r="BD610" s="362"/>
      <c r="BE610" s="362"/>
      <c r="BF610" s="362"/>
      <c r="BG610" s="568"/>
      <c r="BH610" s="889"/>
      <c r="BI610" s="902"/>
      <c r="BJ610" s="761">
        <f t="shared" si="55"/>
        <v>0</v>
      </c>
      <c r="BK610" s="110"/>
      <c r="BL610" s="242"/>
      <c r="BM610" s="203"/>
      <c r="BN610" s="203"/>
      <c r="BO610" s="203"/>
      <c r="BP610" s="529" t="s">
        <v>2613</v>
      </c>
      <c r="BQ610" s="145">
        <v>0</v>
      </c>
      <c r="BR610" s="110"/>
      <c r="BS610" s="242"/>
      <c r="BT610" s="203"/>
      <c r="BU610" s="203"/>
      <c r="BV610" s="203"/>
      <c r="BW610" s="843"/>
      <c r="BX610" s="529" t="s">
        <v>3150</v>
      </c>
      <c r="BY610" s="145">
        <v>0.05</v>
      </c>
      <c r="BZ610" s="110">
        <v>0</v>
      </c>
      <c r="CA610" s="242">
        <f t="shared" si="96"/>
        <v>0</v>
      </c>
      <c r="CB610" s="764"/>
      <c r="CC610" s="764"/>
      <c r="CD610" s="764"/>
      <c r="CE610" s="160"/>
      <c r="CF610" s="338"/>
      <c r="CG610" s="338"/>
      <c r="CH610" s="338"/>
      <c r="CI610" s="338"/>
      <c r="CJ610" s="338"/>
      <c r="CK610" s="338"/>
      <c r="CL610" s="338"/>
      <c r="CM610" s="338"/>
      <c r="CN610" s="338"/>
      <c r="CO610" s="338"/>
      <c r="CP610" s="338"/>
      <c r="CQ610" s="338"/>
      <c r="CR610" s="338"/>
      <c r="CS610" s="338"/>
      <c r="CT610" s="338"/>
      <c r="CU610" s="245" t="s">
        <v>3002</v>
      </c>
      <c r="CV610" s="181"/>
      <c r="CW610" s="369"/>
      <c r="CX610" s="181"/>
      <c r="CY610" s="121"/>
      <c r="CZ610" s="121"/>
      <c r="DA610" s="131"/>
      <c r="DB610" s="115"/>
      <c r="DC610" s="766"/>
      <c r="DD610" s="242"/>
      <c r="DE610" s="242"/>
      <c r="DF610" s="242"/>
      <c r="DG610" s="729"/>
      <c r="DH610" s="799"/>
      <c r="DI610" s="779"/>
      <c r="DJ610" s="779"/>
      <c r="DK610" s="779"/>
      <c r="DL610" s="779"/>
      <c r="DM610" s="4"/>
    </row>
    <row r="611" spans="1:130" ht="30" hidden="1" customHeight="1" outlineLevel="1">
      <c r="A611" s="228"/>
      <c r="B611" s="121"/>
      <c r="C611" s="155"/>
      <c r="D611" s="757"/>
      <c r="E611" s="757"/>
      <c r="F611" s="757"/>
      <c r="G611" s="846" t="s">
        <v>3151</v>
      </c>
      <c r="H611" s="847" t="s">
        <v>3152</v>
      </c>
      <c r="I611" s="207" t="s">
        <v>3153</v>
      </c>
      <c r="J611" s="121" t="str">
        <f t="shared" si="52"/>
        <v>Maria Cristina Abondio</v>
      </c>
      <c r="K611" s="848" t="s">
        <v>3154</v>
      </c>
      <c r="L611" s="849"/>
      <c r="M611" s="828"/>
      <c r="N611" s="828"/>
      <c r="O611" s="622"/>
      <c r="P611" s="850" t="s">
        <v>3155</v>
      </c>
      <c r="Q611" s="850" t="s">
        <v>3156</v>
      </c>
      <c r="R611" s="828" t="s">
        <v>3157</v>
      </c>
      <c r="S611" s="828" t="s">
        <v>3158</v>
      </c>
      <c r="T611" s="828"/>
      <c r="U611" s="828"/>
      <c r="V611" s="828"/>
      <c r="W611" s="850"/>
      <c r="X611" s="131"/>
      <c r="Y611" s="850"/>
      <c r="Z611" s="850"/>
      <c r="AA611" s="850"/>
      <c r="AB611" s="850" t="s">
        <v>2917</v>
      </c>
      <c r="AC611" s="131"/>
      <c r="AD611" s="850"/>
      <c r="AE611" s="828"/>
      <c r="AF611" s="851"/>
      <c r="AG611" s="852" t="s">
        <v>115</v>
      </c>
      <c r="AH611" s="852" t="s">
        <v>115</v>
      </c>
      <c r="AI611" s="515"/>
      <c r="AJ611" s="155"/>
      <c r="AK611" s="155"/>
      <c r="AL611" s="155" t="s">
        <v>2992</v>
      </c>
      <c r="AM611" s="515"/>
      <c r="AN611" s="815"/>
      <c r="AO611" s="815" t="s">
        <v>154</v>
      </c>
      <c r="AP611" s="815" t="s">
        <v>2404</v>
      </c>
      <c r="AQ611" s="515"/>
      <c r="AR611" s="609"/>
      <c r="AS611" s="609"/>
      <c r="AT611" s="609"/>
      <c r="AU611" s="568"/>
      <c r="AV611" s="609"/>
      <c r="AW611" s="609"/>
      <c r="AX611" s="609"/>
      <c r="AY611" s="568"/>
      <c r="AZ611" s="913"/>
      <c r="BA611" s="913"/>
      <c r="BB611" s="913"/>
      <c r="BC611" s="568"/>
      <c r="BD611" s="913"/>
      <c r="BE611" s="913"/>
      <c r="BF611" s="913"/>
      <c r="BG611" s="568"/>
      <c r="BH611" s="889"/>
      <c r="BI611" s="902"/>
      <c r="BJ611" s="761">
        <f t="shared" si="55"/>
        <v>0</v>
      </c>
      <c r="BK611" s="110"/>
      <c r="BL611" s="242"/>
      <c r="BM611" s="203"/>
      <c r="BN611" s="203"/>
      <c r="BO611" s="203"/>
      <c r="BP611" s="828" t="s">
        <v>3159</v>
      </c>
      <c r="BQ611" s="856">
        <v>0.15</v>
      </c>
      <c r="BR611" s="110"/>
      <c r="BS611" s="242"/>
      <c r="BT611" s="203"/>
      <c r="BU611" s="203"/>
      <c r="BV611" s="203"/>
      <c r="BW611" s="857"/>
      <c r="BX611" s="828" t="s">
        <v>3159</v>
      </c>
      <c r="BY611" s="856">
        <v>0.05</v>
      </c>
      <c r="BZ611" s="110">
        <v>0</v>
      </c>
      <c r="CA611" s="242">
        <f t="shared" si="96"/>
        <v>0</v>
      </c>
      <c r="CB611" s="764"/>
      <c r="CC611" s="764"/>
      <c r="CD611" s="764"/>
      <c r="CE611" s="943"/>
      <c r="CF611" s="338"/>
      <c r="CG611" s="338"/>
      <c r="CH611" s="338"/>
      <c r="CI611" s="338"/>
      <c r="CJ611" s="338"/>
      <c r="CK611" s="338"/>
      <c r="CL611" s="338"/>
      <c r="CM611" s="338"/>
      <c r="CN611" s="338"/>
      <c r="CO611" s="338"/>
      <c r="CP611" s="338"/>
      <c r="CQ611" s="338"/>
      <c r="CR611" s="338"/>
      <c r="CS611" s="338"/>
      <c r="CT611" s="338"/>
      <c r="CU611" s="245"/>
      <c r="CV611" s="207"/>
      <c r="CW611" s="354"/>
      <c r="CX611" s="207"/>
      <c r="CY611" s="155"/>
      <c r="CZ611" s="155"/>
      <c r="DA611" s="849"/>
      <c r="DB611" s="115"/>
      <c r="DC611" s="766"/>
      <c r="DD611" s="242"/>
      <c r="DE611" s="242"/>
      <c r="DF611" s="242"/>
      <c r="DG611" s="729"/>
      <c r="DH611" s="730"/>
      <c r="DI611" s="729"/>
      <c r="DJ611" s="729"/>
      <c r="DK611" s="729"/>
      <c r="DL611" s="729"/>
      <c r="DM611" s="4"/>
    </row>
    <row r="612" spans="1:130" ht="30" hidden="1" customHeight="1" outlineLevel="1">
      <c r="A612" s="228"/>
      <c r="B612" s="121"/>
      <c r="C612" s="155"/>
      <c r="D612" s="757"/>
      <c r="E612" s="757"/>
      <c r="F612" s="757"/>
      <c r="G612" s="846" t="s">
        <v>724</v>
      </c>
      <c r="H612" s="847" t="s">
        <v>3160</v>
      </c>
      <c r="I612" s="207" t="s">
        <v>3161</v>
      </c>
      <c r="J612" s="121" t="str">
        <f t="shared" si="52"/>
        <v>Marta Venaruzzo</v>
      </c>
      <c r="K612" s="848">
        <v>3911799308</v>
      </c>
      <c r="L612" s="849"/>
      <c r="M612" s="828"/>
      <c r="N612" s="828"/>
      <c r="O612" s="622"/>
      <c r="P612" s="955" t="s">
        <v>3162</v>
      </c>
      <c r="Q612" s="850"/>
      <c r="R612" s="828" t="s">
        <v>3163</v>
      </c>
      <c r="S612" s="828" t="s">
        <v>3164</v>
      </c>
      <c r="T612" s="828"/>
      <c r="U612" s="828"/>
      <c r="V612" s="828"/>
      <c r="W612" s="850"/>
      <c r="X612" s="131" t="s">
        <v>3161</v>
      </c>
      <c r="Y612" s="850"/>
      <c r="Z612" s="850"/>
      <c r="AA612" s="850"/>
      <c r="AB612" s="850"/>
      <c r="AC612" s="131"/>
      <c r="AD612" s="850"/>
      <c r="AE612" s="828"/>
      <c r="AF612" s="851"/>
      <c r="AG612" s="852" t="s">
        <v>115</v>
      </c>
      <c r="AH612" s="852" t="s">
        <v>115</v>
      </c>
      <c r="AI612" s="515"/>
      <c r="AJ612" s="815"/>
      <c r="AK612" s="815"/>
      <c r="AL612" s="815"/>
      <c r="AM612" s="950"/>
      <c r="AN612" s="815"/>
      <c r="AO612" s="815" t="s">
        <v>154</v>
      </c>
      <c r="AP612" s="815" t="s">
        <v>2404</v>
      </c>
      <c r="AQ612" s="515"/>
      <c r="AR612" s="609"/>
      <c r="AS612" s="609"/>
      <c r="AT612" s="609"/>
      <c r="AU612" s="568"/>
      <c r="AV612" s="609"/>
      <c r="AW612" s="609"/>
      <c r="AX612" s="609"/>
      <c r="AY612" s="568"/>
      <c r="AZ612" s="913"/>
      <c r="BA612" s="913"/>
      <c r="BB612" s="913"/>
      <c r="BC612" s="568"/>
      <c r="BD612" s="913"/>
      <c r="BE612" s="913"/>
      <c r="BF612" s="913"/>
      <c r="BG612" s="568"/>
      <c r="BH612" s="889"/>
      <c r="BI612" s="902"/>
      <c r="BJ612" s="761">
        <f t="shared" si="55"/>
        <v>0</v>
      </c>
      <c r="BK612" s="110"/>
      <c r="BL612" s="242"/>
      <c r="BM612" s="203"/>
      <c r="BN612" s="203"/>
      <c r="BO612" s="203"/>
      <c r="BP612" s="828" t="s">
        <v>2919</v>
      </c>
      <c r="BQ612" s="856">
        <v>0.15</v>
      </c>
      <c r="BR612" s="110"/>
      <c r="BS612" s="242"/>
      <c r="BT612" s="203"/>
      <c r="BU612" s="203"/>
      <c r="BV612" s="203"/>
      <c r="BW612" s="857"/>
      <c r="BX612" s="828" t="s">
        <v>3078</v>
      </c>
      <c r="BY612" s="856">
        <v>0.05</v>
      </c>
      <c r="BZ612" s="110">
        <v>0</v>
      </c>
      <c r="CA612" s="242">
        <f t="shared" si="96"/>
        <v>0</v>
      </c>
      <c r="CB612" s="764"/>
      <c r="CC612" s="764"/>
      <c r="CD612" s="764"/>
      <c r="CE612" s="943"/>
      <c r="CF612" s="338"/>
      <c r="CG612" s="338"/>
      <c r="CH612" s="338"/>
      <c r="CI612" s="338"/>
      <c r="CJ612" s="338"/>
      <c r="CK612" s="338"/>
      <c r="CL612" s="338"/>
      <c r="CM612" s="338"/>
      <c r="CN612" s="338"/>
      <c r="CO612" s="338"/>
      <c r="CP612" s="338"/>
      <c r="CQ612" s="338"/>
      <c r="CR612" s="338"/>
      <c r="CS612" s="338"/>
      <c r="CT612" s="338"/>
      <c r="CU612" s="245"/>
      <c r="CV612" s="207"/>
      <c r="CW612" s="354"/>
      <c r="CX612" s="207"/>
      <c r="CY612" s="155"/>
      <c r="CZ612" s="155"/>
      <c r="DA612" s="849"/>
      <c r="DB612" s="115"/>
      <c r="DC612" s="766"/>
      <c r="DD612" s="242"/>
      <c r="DE612" s="242"/>
      <c r="DF612" s="242"/>
      <c r="DG612" s="729"/>
      <c r="DH612" s="730"/>
      <c r="DI612" s="729"/>
      <c r="DJ612" s="729"/>
      <c r="DK612" s="729"/>
      <c r="DL612" s="729"/>
      <c r="DM612" s="4"/>
    </row>
    <row r="613" spans="1:130" ht="30" hidden="1" customHeight="1" outlineLevel="1">
      <c r="A613" s="228"/>
      <c r="B613" s="121"/>
      <c r="C613" s="155"/>
      <c r="D613" s="757"/>
      <c r="E613" s="757"/>
      <c r="F613" s="757"/>
      <c r="G613" s="846" t="s">
        <v>3165</v>
      </c>
      <c r="H613" s="847" t="s">
        <v>3166</v>
      </c>
      <c r="I613" s="207" t="s">
        <v>3167</v>
      </c>
      <c r="J613" s="121" t="str">
        <f t="shared" si="52"/>
        <v>Massimiliano Barone</v>
      </c>
      <c r="K613" s="848">
        <v>3480825810</v>
      </c>
      <c r="L613" s="849"/>
      <c r="M613" s="828"/>
      <c r="N613" s="828"/>
      <c r="O613" s="622"/>
      <c r="P613" s="850" t="s">
        <v>3168</v>
      </c>
      <c r="Q613" s="850" t="s">
        <v>3168</v>
      </c>
      <c r="R613" s="828" t="s">
        <v>3169</v>
      </c>
      <c r="S613" s="828" t="s">
        <v>3170</v>
      </c>
      <c r="T613" s="828"/>
      <c r="U613" s="828"/>
      <c r="V613" s="828"/>
      <c r="W613" s="850"/>
      <c r="X613" s="131" t="s">
        <v>3167</v>
      </c>
      <c r="Y613" s="850"/>
      <c r="Z613" s="850"/>
      <c r="AA613" s="850"/>
      <c r="AB613" s="850" t="s">
        <v>2917</v>
      </c>
      <c r="AC613" s="131"/>
      <c r="AD613" s="850"/>
      <c r="AE613" s="828"/>
      <c r="AF613" s="851"/>
      <c r="AG613" s="852" t="s">
        <v>115</v>
      </c>
      <c r="AH613" s="852" t="s">
        <v>115</v>
      </c>
      <c r="AI613" s="515"/>
      <c r="AJ613" s="815"/>
      <c r="AK613" s="815"/>
      <c r="AL613" s="815"/>
      <c r="AM613" s="851"/>
      <c r="AN613" s="815"/>
      <c r="AO613" s="815" t="s">
        <v>2404</v>
      </c>
      <c r="AP613" s="815" t="s">
        <v>2404</v>
      </c>
      <c r="AQ613" s="515"/>
      <c r="AR613" s="609"/>
      <c r="AS613" s="609"/>
      <c r="AT613" s="609"/>
      <c r="AU613" s="568"/>
      <c r="AV613" s="609"/>
      <c r="AW613" s="609"/>
      <c r="AX613" s="609"/>
      <c r="AY613" s="568"/>
      <c r="AZ613" s="913"/>
      <c r="BA613" s="913"/>
      <c r="BB613" s="913"/>
      <c r="BC613" s="568"/>
      <c r="BD613" s="913"/>
      <c r="BE613" s="913"/>
      <c r="BF613" s="913"/>
      <c r="BG613" s="568"/>
      <c r="BH613" s="889"/>
      <c r="BI613" s="902"/>
      <c r="BJ613" s="761">
        <f t="shared" si="55"/>
        <v>0</v>
      </c>
      <c r="BK613" s="110"/>
      <c r="BL613" s="242"/>
      <c r="BM613" s="203"/>
      <c r="BN613" s="203"/>
      <c r="BO613" s="203"/>
      <c r="BP613" s="828" t="s">
        <v>3171</v>
      </c>
      <c r="BQ613" s="856">
        <v>0</v>
      </c>
      <c r="BR613" s="110"/>
      <c r="BS613" s="242"/>
      <c r="BT613" s="203"/>
      <c r="BU613" s="203"/>
      <c r="BV613" s="203"/>
      <c r="BW613" s="857"/>
      <c r="BX613" s="828" t="s">
        <v>3078</v>
      </c>
      <c r="BY613" s="856">
        <v>0.05</v>
      </c>
      <c r="BZ613" s="110">
        <v>0</v>
      </c>
      <c r="CA613" s="242">
        <f t="shared" si="96"/>
        <v>0</v>
      </c>
      <c r="CB613" s="764"/>
      <c r="CC613" s="764"/>
      <c r="CD613" s="764"/>
      <c r="CE613" s="160"/>
      <c r="CF613" s="338"/>
      <c r="CG613" s="338"/>
      <c r="CH613" s="338"/>
      <c r="CI613" s="338"/>
      <c r="CJ613" s="338"/>
      <c r="CK613" s="338"/>
      <c r="CL613" s="338"/>
      <c r="CM613" s="338"/>
      <c r="CN613" s="338"/>
      <c r="CO613" s="338"/>
      <c r="CP613" s="338"/>
      <c r="CQ613" s="338"/>
      <c r="CR613" s="338"/>
      <c r="CS613" s="338"/>
      <c r="CT613" s="338"/>
      <c r="CU613" s="245"/>
      <c r="CV613" s="207"/>
      <c r="CW613" s="354"/>
      <c r="CX613" s="207"/>
      <c r="CY613" s="155"/>
      <c r="CZ613" s="155"/>
      <c r="DA613" s="849"/>
      <c r="DB613" s="115"/>
      <c r="DC613" s="766"/>
      <c r="DD613" s="242"/>
      <c r="DE613" s="242"/>
      <c r="DF613" s="242"/>
      <c r="DG613" s="729"/>
      <c r="DH613" s="730"/>
      <c r="DI613" s="729"/>
      <c r="DJ613" s="729"/>
      <c r="DK613" s="729"/>
      <c r="DL613" s="729"/>
      <c r="DM613" s="4"/>
    </row>
    <row r="614" spans="1:130" ht="30" hidden="1" customHeight="1" outlineLevel="1">
      <c r="A614" s="228"/>
      <c r="B614" s="121"/>
      <c r="C614" s="155"/>
      <c r="D614" s="757"/>
      <c r="E614" s="757"/>
      <c r="F614" s="757"/>
      <c r="G614" s="660" t="s">
        <v>1134</v>
      </c>
      <c r="H614" s="393" t="s">
        <v>3172</v>
      </c>
      <c r="I614" s="207" t="s">
        <v>3173</v>
      </c>
      <c r="J614" s="617" t="str">
        <f t="shared" si="52"/>
        <v>Massimo Zanardini</v>
      </c>
      <c r="K614" s="848">
        <v>3475097689</v>
      </c>
      <c r="L614" s="598" t="s">
        <v>3174</v>
      </c>
      <c r="M614" s="598"/>
      <c r="N614" s="131" t="s">
        <v>3058</v>
      </c>
      <c r="O614" s="622"/>
      <c r="P614" s="255"/>
      <c r="Q614" s="255"/>
      <c r="R614" s="598" t="s">
        <v>916</v>
      </c>
      <c r="S614" s="598"/>
      <c r="T614" s="598"/>
      <c r="U614" s="598"/>
      <c r="V614" s="598"/>
      <c r="W614" s="258"/>
      <c r="X614" s="131"/>
      <c r="Y614" s="258"/>
      <c r="Z614" s="258"/>
      <c r="AA614" s="258"/>
      <c r="AB614" s="255"/>
      <c r="AC614" s="131"/>
      <c r="AD614" s="255"/>
      <c r="AE614" s="131"/>
      <c r="AF614" s="515"/>
      <c r="AG614" s="516"/>
      <c r="AH614" s="516"/>
      <c r="AI614" s="515"/>
      <c r="AJ614" s="815"/>
      <c r="AK614" s="815"/>
      <c r="AL614" s="815"/>
      <c r="AM614" s="851"/>
      <c r="AN614" s="155"/>
      <c r="AO614" s="155"/>
      <c r="AP614" s="155"/>
      <c r="AQ614" s="515"/>
      <c r="AR614" s="121"/>
      <c r="AS614" s="121"/>
      <c r="AT614" s="121"/>
      <c r="AU614" s="568"/>
      <c r="AV614" s="121" t="s">
        <v>2369</v>
      </c>
      <c r="AW614" s="121" t="s">
        <v>2369</v>
      </c>
      <c r="AX614" s="121" t="s">
        <v>2369</v>
      </c>
      <c r="AY614" s="568"/>
      <c r="AZ614" s="362"/>
      <c r="BA614" s="362"/>
      <c r="BB614" s="362"/>
      <c r="BC614" s="568"/>
      <c r="BD614" s="362"/>
      <c r="BE614" s="362"/>
      <c r="BF614" s="362"/>
      <c r="BG614" s="568"/>
      <c r="BH614" s="889"/>
      <c r="BI614" s="902"/>
      <c r="BJ614" s="761">
        <f t="shared" si="55"/>
        <v>0</v>
      </c>
      <c r="BK614" s="110"/>
      <c r="BL614" s="242"/>
      <c r="BM614" s="203"/>
      <c r="BN614" s="203"/>
      <c r="BO614" s="203"/>
      <c r="BP614" s="529"/>
      <c r="BQ614" s="145"/>
      <c r="BR614" s="110"/>
      <c r="BS614" s="242"/>
      <c r="BT614" s="203"/>
      <c r="BU614" s="203"/>
      <c r="BV614" s="203"/>
      <c r="BW614" s="843"/>
      <c r="BX614" s="529"/>
      <c r="BY614" s="145"/>
      <c r="BZ614" s="110">
        <v>0</v>
      </c>
      <c r="CA614" s="242">
        <f t="shared" si="96"/>
        <v>0</v>
      </c>
      <c r="CB614" s="764"/>
      <c r="CC614" s="764"/>
      <c r="CD614" s="764"/>
      <c r="CE614" s="160"/>
      <c r="CF614" s="338"/>
      <c r="CG614" s="338"/>
      <c r="CH614" s="338"/>
      <c r="CI614" s="338"/>
      <c r="CJ614" s="338"/>
      <c r="CK614" s="338"/>
      <c r="CL614" s="338"/>
      <c r="CM614" s="338"/>
      <c r="CN614" s="338"/>
      <c r="CO614" s="338"/>
      <c r="CP614" s="338"/>
      <c r="CQ614" s="338"/>
      <c r="CR614" s="338"/>
      <c r="CS614" s="338"/>
      <c r="CT614" s="338"/>
      <c r="CU614" s="245"/>
      <c r="CV614" s="181"/>
      <c r="CW614" s="369"/>
      <c r="CX614" s="207"/>
      <c r="CY614" s="155"/>
      <c r="CZ614" s="155"/>
      <c r="DA614" s="598"/>
      <c r="DB614" s="844"/>
      <c r="DC614" s="766" t="s">
        <v>3058</v>
      </c>
      <c r="DD614" s="242"/>
      <c r="DE614" s="242"/>
      <c r="DF614" s="242"/>
      <c r="DG614" s="729"/>
      <c r="DH614" s="730"/>
      <c r="DI614" s="729"/>
      <c r="DJ614" s="729"/>
      <c r="DK614" s="729"/>
      <c r="DL614" s="729"/>
      <c r="DM614" s="4"/>
    </row>
    <row r="615" spans="1:130" ht="30" hidden="1" customHeight="1" outlineLevel="1">
      <c r="A615" s="228"/>
      <c r="B615" s="121"/>
      <c r="C615" s="155"/>
      <c r="D615" s="757"/>
      <c r="E615" s="757"/>
      <c r="F615" s="757"/>
      <c r="G615" s="840" t="s">
        <v>166</v>
      </c>
      <c r="H615" s="621" t="s">
        <v>3175</v>
      </c>
      <c r="I615" s="113" t="s">
        <v>3176</v>
      </c>
      <c r="J615" s="121" t="str">
        <f t="shared" si="52"/>
        <v>Matteo Bellini</v>
      </c>
      <c r="K615" s="224"/>
      <c r="L615" s="131"/>
      <c r="M615" s="131"/>
      <c r="N615" s="289"/>
      <c r="O615" s="567"/>
      <c r="P615" s="255"/>
      <c r="Q615" s="255"/>
      <c r="R615" s="131" t="s">
        <v>3029</v>
      </c>
      <c r="S615" s="131"/>
      <c r="T615" s="131"/>
      <c r="U615" s="131"/>
      <c r="V615" s="131"/>
      <c r="W615" s="258"/>
      <c r="X615" s="131"/>
      <c r="Y615" s="258"/>
      <c r="Z615" s="258"/>
      <c r="AA615" s="258"/>
      <c r="AB615" s="255"/>
      <c r="AC615" s="131"/>
      <c r="AD615" s="255"/>
      <c r="AE615" s="131" t="s">
        <v>3177</v>
      </c>
      <c r="AF615" s="515"/>
      <c r="AG615" s="516" t="s">
        <v>115</v>
      </c>
      <c r="AH615" s="516" t="s">
        <v>115</v>
      </c>
      <c r="AI615" s="515"/>
      <c r="AJ615" s="155"/>
      <c r="AK615" s="155"/>
      <c r="AL615" s="155"/>
      <c r="AM615" s="515"/>
      <c r="AN615" s="155"/>
      <c r="AO615" s="155" t="s">
        <v>2404</v>
      </c>
      <c r="AP615" s="155" t="s">
        <v>2404</v>
      </c>
      <c r="AQ615" s="515"/>
      <c r="AR615" s="121"/>
      <c r="AS615" s="121"/>
      <c r="AT615" s="121"/>
      <c r="AU615" s="568"/>
      <c r="AV615" s="121"/>
      <c r="AW615" s="121"/>
      <c r="AX615" s="121"/>
      <c r="AY615" s="568"/>
      <c r="AZ615" s="362"/>
      <c r="BA615" s="362"/>
      <c r="BB615" s="362"/>
      <c r="BC615" s="568"/>
      <c r="BD615" s="362"/>
      <c r="BE615" s="362"/>
      <c r="BF615" s="362"/>
      <c r="BG615" s="568"/>
      <c r="BH615" s="889"/>
      <c r="BI615" s="902"/>
      <c r="BJ615" s="761">
        <f t="shared" si="55"/>
        <v>0</v>
      </c>
      <c r="BK615" s="110"/>
      <c r="BL615" s="242"/>
      <c r="BM615" s="203"/>
      <c r="BN615" s="203"/>
      <c r="BO615" s="203"/>
      <c r="BP615" s="529" t="s">
        <v>2920</v>
      </c>
      <c r="BQ615" s="145">
        <v>0.15</v>
      </c>
      <c r="BR615" s="110"/>
      <c r="BS615" s="242"/>
      <c r="BT615" s="203"/>
      <c r="BU615" s="203"/>
      <c r="BV615" s="203"/>
      <c r="BW615" s="843"/>
      <c r="BX615" s="529" t="s">
        <v>2920</v>
      </c>
      <c r="BY615" s="145">
        <v>0.05</v>
      </c>
      <c r="BZ615" s="110">
        <v>0</v>
      </c>
      <c r="CA615" s="242">
        <f t="shared" si="96"/>
        <v>0</v>
      </c>
      <c r="CB615" s="764"/>
      <c r="CC615" s="764"/>
      <c r="CD615" s="764"/>
      <c r="CE615" s="160"/>
      <c r="CF615" s="338"/>
      <c r="CG615" s="338"/>
      <c r="CH615" s="338"/>
      <c r="CI615" s="338"/>
      <c r="CJ615" s="338"/>
      <c r="CK615" s="338"/>
      <c r="CL615" s="338"/>
      <c r="CM615" s="338"/>
      <c r="CN615" s="338"/>
      <c r="CO615" s="338"/>
      <c r="CP615" s="338"/>
      <c r="CQ615" s="338"/>
      <c r="CR615" s="338"/>
      <c r="CS615" s="338"/>
      <c r="CT615" s="338"/>
      <c r="CU615" s="245" t="s">
        <v>2612</v>
      </c>
      <c r="CV615" s="181"/>
      <c r="CW615" s="369"/>
      <c r="CX615" s="181"/>
      <c r="CY615" s="121"/>
      <c r="CZ615" s="121"/>
      <c r="DA615" s="131"/>
      <c r="DB615" s="115"/>
      <c r="DC615" s="766"/>
      <c r="DD615" s="242"/>
      <c r="DE615" s="242"/>
      <c r="DF615" s="242"/>
      <c r="DG615" s="729"/>
      <c r="DH615" s="799"/>
      <c r="DI615" s="779"/>
      <c r="DJ615" s="779"/>
      <c r="DK615" s="779"/>
      <c r="DL615" s="779"/>
      <c r="DM615" s="4"/>
    </row>
    <row r="616" spans="1:130" ht="30" hidden="1" customHeight="1" outlineLevel="1">
      <c r="A616" s="228"/>
      <c r="B616" s="121"/>
      <c r="C616" s="155"/>
      <c r="D616" s="757"/>
      <c r="E616" s="757"/>
      <c r="F616" s="757"/>
      <c r="G616" s="222" t="s">
        <v>166</v>
      </c>
      <c r="H616" s="181" t="s">
        <v>3178</v>
      </c>
      <c r="I616" s="207" t="s">
        <v>3179</v>
      </c>
      <c r="J616" s="617" t="str">
        <f t="shared" si="52"/>
        <v>Matteo Gnocco</v>
      </c>
      <c r="K616" s="224"/>
      <c r="L616" s="131"/>
      <c r="M616" s="131"/>
      <c r="N616" s="131"/>
      <c r="O616" s="599"/>
      <c r="P616" s="255"/>
      <c r="Q616" s="255"/>
      <c r="R616" s="131"/>
      <c r="S616" s="131"/>
      <c r="T616" s="131"/>
      <c r="U616" s="131"/>
      <c r="V616" s="131"/>
      <c r="W616" s="514"/>
      <c r="X616" s="131"/>
      <c r="Y616" s="514"/>
      <c r="Z616" s="514"/>
      <c r="AA616" s="514"/>
      <c r="AB616" s="255"/>
      <c r="AC616" s="131"/>
      <c r="AD616" s="255"/>
      <c r="AE616" s="131"/>
      <c r="AF616" s="515"/>
      <c r="AG616" s="516"/>
      <c r="AH616" s="516"/>
      <c r="AI616" s="515"/>
      <c r="AJ616" s="155"/>
      <c r="AK616" s="155"/>
      <c r="AL616" s="155"/>
      <c r="AM616" s="515"/>
      <c r="AN616" s="258"/>
      <c r="AO616" s="258"/>
      <c r="AP616" s="258"/>
      <c r="AQ616" s="515"/>
      <c r="AR616" s="956"/>
      <c r="AS616" s="956"/>
      <c r="AT616" s="956"/>
      <c r="AU616" s="568"/>
      <c r="AV616" s="956" t="s">
        <v>2369</v>
      </c>
      <c r="AW616" s="956" t="s">
        <v>2369</v>
      </c>
      <c r="AX616" s="956" t="s">
        <v>2369</v>
      </c>
      <c r="AY616" s="568"/>
      <c r="AZ616" s="957"/>
      <c r="BA616" s="957"/>
      <c r="BB616" s="957"/>
      <c r="BC616" s="568"/>
      <c r="BD616" s="957"/>
      <c r="BE616" s="957"/>
      <c r="BF616" s="957"/>
      <c r="BG616" s="568"/>
      <c r="BH616" s="889"/>
      <c r="BI616" s="902"/>
      <c r="BJ616" s="761">
        <f t="shared" si="55"/>
        <v>0</v>
      </c>
      <c r="BK616" s="110"/>
      <c r="BL616" s="242"/>
      <c r="BM616" s="203"/>
      <c r="BN616" s="203"/>
      <c r="BO616" s="203"/>
      <c r="BP616" s="529"/>
      <c r="BQ616" s="145"/>
      <c r="BR616" s="110"/>
      <c r="BS616" s="242"/>
      <c r="BT616" s="203"/>
      <c r="BU616" s="203"/>
      <c r="BV616" s="203"/>
      <c r="BW616" s="843"/>
      <c r="BX616" s="529"/>
      <c r="BY616" s="145"/>
      <c r="BZ616" s="110">
        <v>0</v>
      </c>
      <c r="CA616" s="242">
        <f t="shared" si="96"/>
        <v>0</v>
      </c>
      <c r="CB616" s="764"/>
      <c r="CC616" s="764"/>
      <c r="CD616" s="764"/>
      <c r="CE616" s="160"/>
      <c r="CF616" s="338"/>
      <c r="CG616" s="338"/>
      <c r="CH616" s="338"/>
      <c r="CI616" s="338"/>
      <c r="CJ616" s="338"/>
      <c r="CK616" s="338"/>
      <c r="CL616" s="338"/>
      <c r="CM616" s="338"/>
      <c r="CN616" s="338"/>
      <c r="CO616" s="338"/>
      <c r="CP616" s="338"/>
      <c r="CQ616" s="338"/>
      <c r="CR616" s="338"/>
      <c r="CS616" s="338"/>
      <c r="CT616" s="338"/>
      <c r="CU616" s="245"/>
      <c r="CV616" s="181"/>
      <c r="CW616" s="369"/>
      <c r="CX616" s="207"/>
      <c r="CY616" s="155"/>
      <c r="CZ616" s="155"/>
      <c r="DA616" s="131"/>
      <c r="DB616" s="115"/>
      <c r="DC616" s="766"/>
      <c r="DD616" s="242"/>
      <c r="DE616" s="242"/>
      <c r="DF616" s="242"/>
      <c r="DG616" s="729"/>
      <c r="DH616" s="730"/>
      <c r="DI616" s="729"/>
      <c r="DJ616" s="729"/>
      <c r="DK616" s="729"/>
      <c r="DL616" s="729"/>
      <c r="DM616" s="17"/>
      <c r="DN616" s="265"/>
      <c r="DO616" s="265"/>
      <c r="DP616" s="265"/>
      <c r="DQ616" s="265"/>
      <c r="DR616" s="265"/>
      <c r="DS616" s="265"/>
      <c r="DT616" s="265"/>
      <c r="DU616" s="265"/>
      <c r="DV616" s="265"/>
      <c r="DW616" s="265"/>
      <c r="DX616" s="265"/>
      <c r="DY616" s="265"/>
      <c r="DZ616" s="265"/>
    </row>
    <row r="617" spans="1:130" ht="45" hidden="1" outlineLevel="1">
      <c r="A617" s="228"/>
      <c r="B617" s="121"/>
      <c r="C617" s="155"/>
      <c r="D617" s="757"/>
      <c r="E617" s="757"/>
      <c r="F617" s="757"/>
      <c r="G617" s="939" t="s">
        <v>166</v>
      </c>
      <c r="H617" s="940" t="s">
        <v>2987</v>
      </c>
      <c r="I617" s="958" t="s">
        <v>3180</v>
      </c>
      <c r="J617" s="121" t="str">
        <f t="shared" si="52"/>
        <v>Matteo Rossi</v>
      </c>
      <c r="K617" s="224"/>
      <c r="L617" s="876" t="s">
        <v>3181</v>
      </c>
      <c r="M617" s="131"/>
      <c r="N617" s="131"/>
      <c r="O617" s="599"/>
      <c r="P617" s="623"/>
      <c r="Q617" s="623"/>
      <c r="R617" s="624" t="s">
        <v>3182</v>
      </c>
      <c r="S617" s="625"/>
      <c r="T617" s="255"/>
      <c r="U617" s="255"/>
      <c r="V617" s="131"/>
      <c r="W617" s="131"/>
      <c r="X617" s="131"/>
      <c r="Y617" s="131"/>
      <c r="Z617" s="131"/>
      <c r="AA617" s="514"/>
      <c r="AB617" s="255"/>
      <c r="AC617" s="131"/>
      <c r="AD617" s="255" t="s">
        <v>3183</v>
      </c>
      <c r="AE617" s="626"/>
      <c r="AF617" s="627"/>
      <c r="AG617" s="628"/>
      <c r="AH617" s="629"/>
      <c r="AI617" s="515"/>
      <c r="AJ617" s="258"/>
      <c r="AK617" s="258"/>
      <c r="AL617" s="258"/>
      <c r="AM617" s="515"/>
      <c r="AN617" s="207"/>
      <c r="AO617" s="207"/>
      <c r="AP617" s="207"/>
      <c r="AQ617" s="515"/>
      <c r="AR617" s="304" t="s">
        <v>245</v>
      </c>
      <c r="AS617" s="304" t="s">
        <v>245</v>
      </c>
      <c r="AT617" s="304" t="s">
        <v>245</v>
      </c>
      <c r="AU617" s="568"/>
      <c r="AV617" s="304"/>
      <c r="AW617" s="304"/>
      <c r="AX617" s="304"/>
      <c r="AY617" s="568"/>
      <c r="AZ617" s="888"/>
      <c r="BA617" s="888"/>
      <c r="BB617" s="888"/>
      <c r="BC617" s="568"/>
      <c r="BD617" s="888"/>
      <c r="BE617" s="888"/>
      <c r="BF617" s="888"/>
      <c r="BG617" s="568"/>
      <c r="BH617" s="889">
        <f t="shared" ref="BH617:BH618" si="111">CF617+CI617+CL617+CO617+CR617</f>
        <v>3496.9700000000003</v>
      </c>
      <c r="BI617" s="808">
        <f>CH617</f>
        <v>163.93</v>
      </c>
      <c r="BJ617" s="902">
        <f t="shared" si="55"/>
        <v>3333.0400000000004</v>
      </c>
      <c r="BK617" s="110">
        <v>0</v>
      </c>
      <c r="BL617" s="242">
        <f>BH617-BK617</f>
        <v>3496.9700000000003</v>
      </c>
      <c r="BM617" s="764"/>
      <c r="BN617" s="764"/>
      <c r="BO617" s="764"/>
      <c r="BP617" s="529"/>
      <c r="BQ617" s="145"/>
      <c r="BR617" s="110"/>
      <c r="BS617" s="242"/>
      <c r="BT617" s="764"/>
      <c r="BU617" s="764"/>
      <c r="BV617" s="764"/>
      <c r="BW617" s="160"/>
      <c r="BX617" s="131"/>
      <c r="BY617" s="207"/>
      <c r="BZ617" s="110">
        <v>0</v>
      </c>
      <c r="CA617" s="242">
        <f t="shared" si="96"/>
        <v>0</v>
      </c>
      <c r="CB617" s="764"/>
      <c r="CC617" s="764"/>
      <c r="CD617" s="764"/>
      <c r="CE617" s="882"/>
      <c r="CF617" s="905">
        <v>163.93</v>
      </c>
      <c r="CG617" s="906">
        <v>43542</v>
      </c>
      <c r="CH617" s="905">
        <v>163.93</v>
      </c>
      <c r="CI617" s="905">
        <v>1409.82</v>
      </c>
      <c r="CJ617" s="906">
        <v>43563</v>
      </c>
      <c r="CK617" s="905"/>
      <c r="CL617" s="905">
        <v>1923.22</v>
      </c>
      <c r="CM617" s="226">
        <v>43589</v>
      </c>
      <c r="CN617" s="226"/>
      <c r="CO617" s="226"/>
      <c r="CP617" s="959"/>
      <c r="CQ617" s="959"/>
      <c r="CR617" s="959"/>
      <c r="CS617" s="959"/>
      <c r="CT617" s="959"/>
      <c r="CU617" s="912"/>
      <c r="CV617" s="331"/>
      <c r="CW617" s="631"/>
      <c r="CX617" s="331"/>
      <c r="CY617" s="264"/>
      <c r="CZ617" s="331"/>
      <c r="DA617" s="849"/>
      <c r="DB617" s="883"/>
      <c r="DC617" s="766"/>
      <c r="DD617" s="242"/>
      <c r="DE617" s="242"/>
      <c r="DF617" s="242"/>
      <c r="DG617" s="265"/>
      <c r="DH617" s="884"/>
      <c r="DI617" s="265"/>
      <c r="DJ617" s="265"/>
      <c r="DK617" s="265"/>
      <c r="DL617" s="265"/>
      <c r="DM617" s="4"/>
    </row>
    <row r="618" spans="1:130" ht="30" hidden="1" customHeight="1" outlineLevel="1">
      <c r="A618" s="228"/>
      <c r="B618" s="121"/>
      <c r="C618" s="155"/>
      <c r="D618" s="757"/>
      <c r="E618" s="757"/>
      <c r="F618" s="757"/>
      <c r="G618" s="948" t="s">
        <v>1945</v>
      </c>
      <c r="H618" s="949" t="s">
        <v>3184</v>
      </c>
      <c r="I618" s="207" t="s">
        <v>3185</v>
      </c>
      <c r="J618" s="121" t="str">
        <f t="shared" si="52"/>
        <v>Mattia Rinaldo Facchini</v>
      </c>
      <c r="K618" s="224"/>
      <c r="L618" s="131"/>
      <c r="M618" s="131"/>
      <c r="N618" s="289"/>
      <c r="O618" s="567"/>
      <c r="P618" s="131"/>
      <c r="Q618" s="131"/>
      <c r="R618" s="131" t="s">
        <v>921</v>
      </c>
      <c r="S618" s="131"/>
      <c r="T618" s="131"/>
      <c r="U618" s="131"/>
      <c r="V618" s="131"/>
      <c r="W618" s="131"/>
      <c r="X618" s="131"/>
      <c r="Y618" s="131"/>
      <c r="Z618" s="131"/>
      <c r="AA618" s="131"/>
      <c r="AB618" s="255"/>
      <c r="AC618" s="131"/>
      <c r="AD618" s="155"/>
      <c r="AE618" s="131" t="s">
        <v>3186</v>
      </c>
      <c r="AF618" s="515"/>
      <c r="AG618" s="406"/>
      <c r="AH618" s="406"/>
      <c r="AI618" s="515"/>
      <c r="AJ618" s="258"/>
      <c r="AK618" s="258"/>
      <c r="AL618" s="258"/>
      <c r="AM618" s="627"/>
      <c r="AN618" s="155"/>
      <c r="AO618" s="155"/>
      <c r="AP618" s="155"/>
      <c r="AQ618" s="515"/>
      <c r="AR618" s="154"/>
      <c r="AS618" s="154"/>
      <c r="AT618" s="154"/>
      <c r="AU618" s="568"/>
      <c r="AV618" s="121"/>
      <c r="AW618" s="121"/>
      <c r="AX618" s="121"/>
      <c r="AY618" s="568"/>
      <c r="AZ618" s="362"/>
      <c r="BA618" s="362"/>
      <c r="BB618" s="362"/>
      <c r="BC618" s="568"/>
      <c r="BD618" s="362"/>
      <c r="BE618" s="362"/>
      <c r="BF618" s="362"/>
      <c r="BG618" s="568"/>
      <c r="BH618" s="889">
        <f t="shared" si="111"/>
        <v>0</v>
      </c>
      <c r="BI618" s="902">
        <f>CH618+CK618+CN618+CQ618+CT618</f>
        <v>0</v>
      </c>
      <c r="BJ618" s="761">
        <f t="shared" si="55"/>
        <v>0</v>
      </c>
      <c r="BK618" s="110"/>
      <c r="BL618" s="242"/>
      <c r="BM618" s="203"/>
      <c r="BN618" s="203"/>
      <c r="BO618" s="203"/>
      <c r="BP618" s="529" t="s">
        <v>3187</v>
      </c>
      <c r="BQ618" s="145">
        <v>0.05</v>
      </c>
      <c r="BR618" s="110"/>
      <c r="BS618" s="242"/>
      <c r="BT618" s="203"/>
      <c r="BU618" s="203"/>
      <c r="BV618" s="203"/>
      <c r="BW618" s="843" t="s">
        <v>3188</v>
      </c>
      <c r="BX618" s="529" t="s">
        <v>3187</v>
      </c>
      <c r="BY618" s="145">
        <v>0.15</v>
      </c>
      <c r="BZ618" s="110">
        <v>0</v>
      </c>
      <c r="CA618" s="242">
        <f t="shared" si="96"/>
        <v>0</v>
      </c>
      <c r="CB618" s="764"/>
      <c r="CC618" s="764"/>
      <c r="CD618" s="764"/>
      <c r="CE618" s="882"/>
      <c r="CF618" s="338"/>
      <c r="CG618" s="338"/>
      <c r="CH618" s="338"/>
      <c r="CI618" s="338"/>
      <c r="CJ618" s="338"/>
      <c r="CK618" s="338"/>
      <c r="CL618" s="338"/>
      <c r="CM618" s="338"/>
      <c r="CN618" s="338"/>
      <c r="CO618" s="338"/>
      <c r="CP618" s="338"/>
      <c r="CQ618" s="338"/>
      <c r="CR618" s="338"/>
      <c r="CS618" s="338"/>
      <c r="CT618" s="338"/>
      <c r="CU618" s="245" t="s">
        <v>2612</v>
      </c>
      <c r="CV618" s="181"/>
      <c r="CW618" s="369"/>
      <c r="CX618" s="181"/>
      <c r="CY618" s="121"/>
      <c r="CZ618" s="121"/>
      <c r="DA618" s="131"/>
      <c r="DB618" s="115"/>
      <c r="DC618" s="766"/>
      <c r="DD618" s="242"/>
      <c r="DE618" s="242"/>
      <c r="DF618" s="242"/>
      <c r="DG618" s="729"/>
      <c r="DH618" s="799"/>
      <c r="DI618" s="779"/>
      <c r="DJ618" s="779"/>
      <c r="DK618" s="779"/>
      <c r="DL618" s="779"/>
      <c r="DM618" s="4"/>
    </row>
    <row r="619" spans="1:130" ht="30" hidden="1" customHeight="1" outlineLevel="1">
      <c r="A619" s="228"/>
      <c r="B619" s="121"/>
      <c r="C619" s="155"/>
      <c r="D619" s="757"/>
      <c r="E619" s="757"/>
      <c r="F619" s="757"/>
      <c r="G619" s="948" t="s">
        <v>2199</v>
      </c>
      <c r="H619" s="949" t="s">
        <v>3189</v>
      </c>
      <c r="I619" s="294" t="s">
        <v>3190</v>
      </c>
      <c r="J619" s="121" t="str">
        <f t="shared" si="52"/>
        <v>Maurizio Colnaghi</v>
      </c>
      <c r="K619" s="224"/>
      <c r="L619" s="131"/>
      <c r="M619" s="131"/>
      <c r="N619" s="289"/>
      <c r="O619" s="567"/>
      <c r="P619" s="131"/>
      <c r="Q619" s="131"/>
      <c r="R619" s="131" t="s">
        <v>3191</v>
      </c>
      <c r="S619" s="131"/>
      <c r="T619" s="131"/>
      <c r="U619" s="131"/>
      <c r="V619" s="131"/>
      <c r="W619" s="131"/>
      <c r="X619" s="131"/>
      <c r="Y619" s="131"/>
      <c r="Z619" s="131"/>
      <c r="AA619" s="131"/>
      <c r="AB619" s="255"/>
      <c r="AC619" s="131"/>
      <c r="AD619" s="155"/>
      <c r="AE619" s="131"/>
      <c r="AF619" s="515"/>
      <c r="AG619" s="155"/>
      <c r="AH619" s="155"/>
      <c r="AI619" s="515"/>
      <c r="AJ619" s="155" t="s">
        <v>115</v>
      </c>
      <c r="AK619" s="155" t="s">
        <v>115</v>
      </c>
      <c r="AL619" s="155"/>
      <c r="AM619" s="198"/>
      <c r="AN619" s="565" t="s">
        <v>165</v>
      </c>
      <c r="AO619" s="565" t="s">
        <v>165</v>
      </c>
      <c r="AP619" s="565" t="s">
        <v>165</v>
      </c>
      <c r="AQ619" s="515"/>
      <c r="AR619" s="121"/>
      <c r="AS619" s="121"/>
      <c r="AT619" s="121"/>
      <c r="AU619" s="568"/>
      <c r="AV619" s="121"/>
      <c r="AW619" s="121"/>
      <c r="AX619" s="121"/>
      <c r="AY619" s="568"/>
      <c r="AZ619" s="362"/>
      <c r="BA619" s="362"/>
      <c r="BB619" s="362"/>
      <c r="BC619" s="568"/>
      <c r="BD619" s="362"/>
      <c r="BE619" s="362"/>
      <c r="BF619" s="362"/>
      <c r="BG619" s="568"/>
      <c r="BH619" s="889"/>
      <c r="BI619" s="902"/>
      <c r="BJ619" s="761">
        <f t="shared" si="55"/>
        <v>0</v>
      </c>
      <c r="BK619" s="110"/>
      <c r="BL619" s="242"/>
      <c r="BM619" s="764"/>
      <c r="BN619" s="764"/>
      <c r="BO619" s="764"/>
      <c r="BP619" s="960" t="s">
        <v>117</v>
      </c>
      <c r="BQ619" s="795">
        <v>0</v>
      </c>
      <c r="BR619" s="110"/>
      <c r="BS619" s="242"/>
      <c r="BT619" s="764"/>
      <c r="BU619" s="764"/>
      <c r="BV619" s="764"/>
      <c r="BW619" s="784" t="s">
        <v>118</v>
      </c>
      <c r="BX619" s="389" t="s">
        <v>152</v>
      </c>
      <c r="BY619" s="795">
        <v>0.05</v>
      </c>
      <c r="BZ619" s="110">
        <v>0</v>
      </c>
      <c r="CA619" s="242">
        <f t="shared" si="96"/>
        <v>0</v>
      </c>
      <c r="CB619" s="764"/>
      <c r="CC619" s="764"/>
      <c r="CD619" s="764"/>
      <c r="CE619" s="882"/>
      <c r="CF619" s="301"/>
      <c r="CG619" s="226"/>
      <c r="CH619" s="110"/>
      <c r="CI619" s="110"/>
      <c r="CJ619" s="226"/>
      <c r="CK619" s="110"/>
      <c r="CL619" s="110"/>
      <c r="CM619" s="226"/>
      <c r="CN619" s="349"/>
      <c r="CO619" s="110"/>
      <c r="CP619" s="226"/>
      <c r="CQ619" s="110"/>
      <c r="CR619" s="110"/>
      <c r="CS619" s="226"/>
      <c r="CT619" s="110"/>
      <c r="CU619" s="245" t="s">
        <v>2612</v>
      </c>
      <c r="CV619" s="181"/>
      <c r="CW619" s="369"/>
      <c r="CX619" s="181"/>
      <c r="CY619" s="121"/>
      <c r="CZ619" s="121"/>
      <c r="DA619" s="131"/>
      <c r="DB619" s="115"/>
      <c r="DC619" s="766"/>
      <c r="DD619" s="242"/>
      <c r="DE619" s="242"/>
      <c r="DF619" s="242"/>
      <c r="DG619" s="729"/>
      <c r="DH619" s="799"/>
      <c r="DI619" s="779"/>
      <c r="DJ619" s="779"/>
      <c r="DK619" s="779"/>
      <c r="DL619" s="779"/>
      <c r="DM619" s="4"/>
    </row>
    <row r="620" spans="1:130" ht="30" hidden="1" outlineLevel="1">
      <c r="A620" s="228"/>
      <c r="B620" s="121"/>
      <c r="C620" s="155"/>
      <c r="D620" s="757"/>
      <c r="E620" s="757"/>
      <c r="F620" s="757"/>
      <c r="G620" s="939" t="s">
        <v>730</v>
      </c>
      <c r="H620" s="940" t="s">
        <v>3192</v>
      </c>
      <c r="I620" s="207"/>
      <c r="J620" s="121" t="str">
        <f t="shared" si="52"/>
        <v>Mauro Belotti</v>
      </c>
      <c r="K620" s="898"/>
      <c r="L620" s="876" t="s">
        <v>2983</v>
      </c>
      <c r="M620" s="183"/>
      <c r="N620" s="289"/>
      <c r="O620" s="567"/>
      <c r="P620" s="131"/>
      <c r="Q620" s="131"/>
      <c r="R620" s="131" t="s">
        <v>2984</v>
      </c>
      <c r="S620" s="224"/>
      <c r="T620" s="255"/>
      <c r="U620" s="255"/>
      <c r="V620" s="131"/>
      <c r="W620" s="131"/>
      <c r="X620" s="131"/>
      <c r="Y620" s="131"/>
      <c r="Z620" s="131"/>
      <c r="AA620" s="514"/>
      <c r="AB620" s="255"/>
      <c r="AC620" s="131"/>
      <c r="AD620" s="255" t="s">
        <v>2985</v>
      </c>
      <c r="AE620" s="626"/>
      <c r="AF620" s="627"/>
      <c r="AG620" s="628"/>
      <c r="AH620" s="629"/>
      <c r="AI620" s="515"/>
      <c r="AJ620" s="155"/>
      <c r="AK620" s="155"/>
      <c r="AL620" s="155"/>
      <c r="AM620" s="198"/>
      <c r="AN620" s="878" t="s">
        <v>245</v>
      </c>
      <c r="AO620" s="878" t="s">
        <v>245</v>
      </c>
      <c r="AP620" s="878" t="s">
        <v>245</v>
      </c>
      <c r="AQ620" s="515"/>
      <c r="AR620" s="304" t="s">
        <v>245</v>
      </c>
      <c r="AS620" s="304" t="s">
        <v>245</v>
      </c>
      <c r="AT620" s="304" t="s">
        <v>245</v>
      </c>
      <c r="AU620" s="568"/>
      <c r="AV620" s="304"/>
      <c r="AW620" s="304"/>
      <c r="AX620" s="304"/>
      <c r="AY620" s="568"/>
      <c r="AZ620" s="888"/>
      <c r="BA620" s="888"/>
      <c r="BB620" s="888"/>
      <c r="BC620" s="568"/>
      <c r="BD620" s="888"/>
      <c r="BE620" s="888"/>
      <c r="BF620" s="888"/>
      <c r="BG620" s="568"/>
      <c r="BH620" s="889">
        <f>CF620+CI620+CL620+CO620+CR620</f>
        <v>3496.9700000000003</v>
      </c>
      <c r="BI620" s="808">
        <f>CH620</f>
        <v>163.93</v>
      </c>
      <c r="BJ620" s="808">
        <f t="shared" si="55"/>
        <v>3333.0400000000004</v>
      </c>
      <c r="BK620" s="262">
        <v>0</v>
      </c>
      <c r="BL620" s="242">
        <f>BH620-BK620</f>
        <v>3496.9700000000003</v>
      </c>
      <c r="BM620" s="764"/>
      <c r="BN620" s="764"/>
      <c r="BO620" s="764"/>
      <c r="BP620" s="899"/>
      <c r="BQ620" s="900"/>
      <c r="BR620" s="110">
        <f>BH620*BQ620</f>
        <v>0</v>
      </c>
      <c r="BS620" s="242"/>
      <c r="BT620" s="764"/>
      <c r="BU620" s="764"/>
      <c r="BV620" s="764"/>
      <c r="BW620" s="160"/>
      <c r="BX620" s="131"/>
      <c r="BY620" s="207"/>
      <c r="BZ620" s="110">
        <v>0</v>
      </c>
      <c r="CA620" s="242">
        <f t="shared" si="96"/>
        <v>0</v>
      </c>
      <c r="CB620" s="764"/>
      <c r="CC620" s="764"/>
      <c r="CD620" s="764"/>
      <c r="CE620" s="882"/>
      <c r="CF620" s="961">
        <v>163.93</v>
      </c>
      <c r="CG620" s="962">
        <v>44092</v>
      </c>
      <c r="CH620" s="961">
        <v>163.93</v>
      </c>
      <c r="CI620" s="961">
        <v>1409.82</v>
      </c>
      <c r="CJ620" s="962">
        <v>44112</v>
      </c>
      <c r="CK620" s="961"/>
      <c r="CL620" s="961">
        <v>1923.22</v>
      </c>
      <c r="CM620" s="226">
        <v>44169</v>
      </c>
      <c r="CN620" s="226"/>
      <c r="CO620" s="226"/>
      <c r="CP620" s="871"/>
      <c r="CQ620" s="871"/>
      <c r="CR620" s="871"/>
      <c r="CS620" s="871"/>
      <c r="CT620" s="871"/>
      <c r="CU620" s="912"/>
      <c r="CV620" s="331"/>
      <c r="CW620" s="631"/>
      <c r="CX620" s="331"/>
      <c r="CY620" s="264"/>
      <c r="CZ620" s="331"/>
      <c r="DA620" s="849"/>
      <c r="DB620" s="883"/>
      <c r="DC620" s="766"/>
      <c r="DD620" s="242"/>
      <c r="DE620" s="242"/>
      <c r="DF620" s="242"/>
      <c r="DG620" s="265"/>
      <c r="DH620" s="884"/>
      <c r="DI620" s="265"/>
      <c r="DJ620" s="265"/>
      <c r="DK620" s="265"/>
      <c r="DL620" s="265"/>
      <c r="DM620" s="4"/>
    </row>
    <row r="621" spans="1:130" ht="30" hidden="1" customHeight="1" outlineLevel="1">
      <c r="A621" s="228"/>
      <c r="B621" s="121"/>
      <c r="C621" s="155"/>
      <c r="D621" s="757"/>
      <c r="E621" s="757"/>
      <c r="F621" s="757"/>
      <c r="G621" s="846" t="s">
        <v>730</v>
      </c>
      <c r="H621" s="847" t="s">
        <v>3193</v>
      </c>
      <c r="I621" s="207" t="s">
        <v>3194</v>
      </c>
      <c r="J621" s="121" t="str">
        <f t="shared" si="52"/>
        <v>Mauro Munaretti</v>
      </c>
      <c r="K621" s="848"/>
      <c r="L621" s="849"/>
      <c r="M621" s="828"/>
      <c r="N621" s="828"/>
      <c r="O621" s="622"/>
      <c r="P621" s="850" t="s">
        <v>2913</v>
      </c>
      <c r="Q621" s="850" t="s">
        <v>2913</v>
      </c>
      <c r="R621" s="828" t="s">
        <v>2914</v>
      </c>
      <c r="S621" s="828" t="s">
        <v>2915</v>
      </c>
      <c r="T621" s="828"/>
      <c r="U621" s="828"/>
      <c r="V621" s="828"/>
      <c r="W621" s="850"/>
      <c r="X621" s="558" t="s">
        <v>2916</v>
      </c>
      <c r="Y621" s="850"/>
      <c r="Z621" s="850"/>
      <c r="AA621" s="850"/>
      <c r="AB621" s="850" t="s">
        <v>2917</v>
      </c>
      <c r="AC621" s="558" t="s">
        <v>2918</v>
      </c>
      <c r="AD621" s="850"/>
      <c r="AE621" s="828"/>
      <c r="AF621" s="851"/>
      <c r="AG621" s="852" t="s">
        <v>115</v>
      </c>
      <c r="AH621" s="852" t="s">
        <v>115</v>
      </c>
      <c r="AI621" s="515"/>
      <c r="AJ621" s="258"/>
      <c r="AK621" s="258"/>
      <c r="AL621" s="258"/>
      <c r="AM621" s="627"/>
      <c r="AN621" s="815"/>
      <c r="AO621" s="815" t="s">
        <v>2404</v>
      </c>
      <c r="AP621" s="815" t="s">
        <v>2404</v>
      </c>
      <c r="AQ621" s="515"/>
      <c r="AR621" s="609"/>
      <c r="AS621" s="609"/>
      <c r="AT621" s="609"/>
      <c r="AU621" s="568"/>
      <c r="AV621" s="609"/>
      <c r="AW621" s="609"/>
      <c r="AX621" s="609"/>
      <c r="AY621" s="568"/>
      <c r="AZ621" s="913"/>
      <c r="BA621" s="913"/>
      <c r="BB621" s="913"/>
      <c r="BC621" s="568"/>
      <c r="BD621" s="913"/>
      <c r="BE621" s="913"/>
      <c r="BF621" s="913"/>
      <c r="BG621" s="568"/>
      <c r="BH621" s="889"/>
      <c r="BI621" s="902"/>
      <c r="BJ621" s="761">
        <f t="shared" si="55"/>
        <v>0</v>
      </c>
      <c r="BK621" s="110"/>
      <c r="BL621" s="242"/>
      <c r="BM621" s="203"/>
      <c r="BN621" s="203"/>
      <c r="BO621" s="203"/>
      <c r="BP621" s="828" t="s">
        <v>2919</v>
      </c>
      <c r="BQ621" s="856">
        <v>0.15</v>
      </c>
      <c r="BR621" s="110"/>
      <c r="BS621" s="242"/>
      <c r="BT621" s="203"/>
      <c r="BU621" s="203"/>
      <c r="BV621" s="203"/>
      <c r="BW621" s="160"/>
      <c r="BX621" s="828" t="s">
        <v>2920</v>
      </c>
      <c r="BY621" s="856">
        <v>0.05</v>
      </c>
      <c r="BZ621" s="110">
        <v>0</v>
      </c>
      <c r="CA621" s="242">
        <f t="shared" si="96"/>
        <v>0</v>
      </c>
      <c r="CB621" s="773"/>
      <c r="CC621" s="773"/>
      <c r="CD621" s="773"/>
      <c r="CE621" s="963"/>
      <c r="CF621" s="858"/>
      <c r="CG621" s="859"/>
      <c r="CH621" s="858"/>
      <c r="CI621" s="858"/>
      <c r="CJ621" s="860"/>
      <c r="CK621" s="861"/>
      <c r="CL621" s="862"/>
      <c r="CM621" s="862"/>
      <c r="CN621" s="862"/>
      <c r="CO621" s="871"/>
      <c r="CP621" s="871"/>
      <c r="CQ621" s="871"/>
      <c r="CR621" s="871"/>
      <c r="CS621" s="871"/>
      <c r="CT621" s="871"/>
      <c r="CU621" s="964"/>
      <c r="CV621" s="875"/>
      <c r="CW621" s="354"/>
      <c r="CX621" s="207"/>
      <c r="CY621" s="155"/>
      <c r="CZ621" s="155"/>
      <c r="DA621" s="849"/>
      <c r="DB621" s="115"/>
      <c r="DC621" s="766"/>
      <c r="DD621" s="242"/>
      <c r="DE621" s="242"/>
      <c r="DF621" s="242"/>
      <c r="DG621" s="729"/>
      <c r="DH621" s="730"/>
      <c r="DI621" s="729"/>
      <c r="DJ621" s="729"/>
      <c r="DK621" s="729"/>
      <c r="DL621" s="729"/>
      <c r="DM621" s="4"/>
    </row>
    <row r="622" spans="1:130" ht="30" hidden="1" customHeight="1" outlineLevel="1">
      <c r="A622" s="228"/>
      <c r="B622" s="121"/>
      <c r="C622" s="155"/>
      <c r="D622" s="757"/>
      <c r="E622" s="757"/>
      <c r="F622" s="757"/>
      <c r="G622" s="840" t="s">
        <v>741</v>
      </c>
      <c r="H622" s="621" t="s">
        <v>3195</v>
      </c>
      <c r="I622" s="207" t="s">
        <v>3196</v>
      </c>
      <c r="J622" s="121" t="str">
        <f t="shared" si="52"/>
        <v>Michele Virgili</v>
      </c>
      <c r="K622" s="224">
        <v>3314513078</v>
      </c>
      <c r="L622" s="131"/>
      <c r="M622" s="131"/>
      <c r="N622" s="289"/>
      <c r="O622" s="567"/>
      <c r="P622" s="155" t="s">
        <v>3197</v>
      </c>
      <c r="Q622" s="155" t="s">
        <v>3198</v>
      </c>
      <c r="R622" s="131" t="s">
        <v>3199</v>
      </c>
      <c r="S622" s="131" t="s">
        <v>3200</v>
      </c>
      <c r="T622" s="131"/>
      <c r="U622" s="131"/>
      <c r="V622" s="131"/>
      <c r="W622" s="258"/>
      <c r="X622" s="131" t="s">
        <v>3196</v>
      </c>
      <c r="Y622" s="258"/>
      <c r="Z622" s="258"/>
      <c r="AA622" s="258"/>
      <c r="AB622" s="255" t="s">
        <v>2412</v>
      </c>
      <c r="AC622" s="131"/>
      <c r="AD622" s="255"/>
      <c r="AE622" s="131"/>
      <c r="AF622" s="515"/>
      <c r="AG622" s="516" t="s">
        <v>115</v>
      </c>
      <c r="AH622" s="516" t="s">
        <v>115</v>
      </c>
      <c r="AI622" s="515"/>
      <c r="AJ622" s="815"/>
      <c r="AK622" s="815"/>
      <c r="AL622" s="815"/>
      <c r="AM622" s="851"/>
      <c r="AN622" s="155"/>
      <c r="AO622" s="155"/>
      <c r="AP622" s="155" t="s">
        <v>2404</v>
      </c>
      <c r="AQ622" s="515"/>
      <c r="AR622" s="121"/>
      <c r="AS622" s="121"/>
      <c r="AT622" s="121"/>
      <c r="AU622" s="568"/>
      <c r="AV622" s="121"/>
      <c r="AW622" s="121"/>
      <c r="AX622" s="121"/>
      <c r="AY622" s="568"/>
      <c r="AZ622" s="362"/>
      <c r="BA622" s="362"/>
      <c r="BB622" s="362"/>
      <c r="BC622" s="568"/>
      <c r="BD622" s="362"/>
      <c r="BE622" s="362"/>
      <c r="BF622" s="362"/>
      <c r="BG622" s="568"/>
      <c r="BH622" s="889"/>
      <c r="BI622" s="902"/>
      <c r="BJ622" s="761">
        <f t="shared" si="55"/>
        <v>0</v>
      </c>
      <c r="BK622" s="110"/>
      <c r="BL622" s="242"/>
      <c r="BM622" s="203"/>
      <c r="BN622" s="203"/>
      <c r="BO622" s="203"/>
      <c r="BP622" s="529" t="s">
        <v>3201</v>
      </c>
      <c r="BQ622" s="145">
        <v>0.15</v>
      </c>
      <c r="BR622" s="110"/>
      <c r="BS622" s="242"/>
      <c r="BT622" s="203"/>
      <c r="BU622" s="203"/>
      <c r="BV622" s="203"/>
      <c r="BW622" s="160"/>
      <c r="BX622" s="529" t="s">
        <v>3202</v>
      </c>
      <c r="BY622" s="145">
        <v>0.05</v>
      </c>
      <c r="BZ622" s="110">
        <v>0</v>
      </c>
      <c r="CA622" s="242">
        <f t="shared" si="96"/>
        <v>0</v>
      </c>
      <c r="CB622" s="773"/>
      <c r="CC622" s="773"/>
      <c r="CD622" s="773"/>
      <c r="CE622" s="963"/>
      <c r="CF622" s="301"/>
      <c r="CG622" s="206"/>
      <c r="CH622" s="301"/>
      <c r="CI622" s="110"/>
      <c r="CJ622" s="226"/>
      <c r="CK622" s="110"/>
      <c r="CL622" s="110"/>
      <c r="CM622" s="226"/>
      <c r="CN622" s="110"/>
      <c r="CO622" s="110"/>
      <c r="CP622" s="226"/>
      <c r="CQ622" s="110"/>
      <c r="CR622" s="110"/>
      <c r="CS622" s="226"/>
      <c r="CT622" s="110"/>
      <c r="CU622" s="353" t="s">
        <v>2612</v>
      </c>
      <c r="CV622" s="181"/>
      <c r="CW622" s="369"/>
      <c r="CX622" s="181"/>
      <c r="CY622" s="121"/>
      <c r="CZ622" s="121"/>
      <c r="DA622" s="131"/>
      <c r="DB622" s="115"/>
      <c r="DC622" s="766"/>
      <c r="DD622" s="242"/>
      <c r="DE622" s="242"/>
      <c r="DF622" s="242"/>
      <c r="DG622" s="729"/>
      <c r="DH622" s="799"/>
      <c r="DI622" s="779"/>
      <c r="DJ622" s="779"/>
      <c r="DK622" s="779"/>
      <c r="DL622" s="779"/>
      <c r="DM622" s="4"/>
    </row>
    <row r="623" spans="1:130" ht="30" hidden="1" customHeight="1" outlineLevel="1">
      <c r="A623" s="228"/>
      <c r="B623" s="121"/>
      <c r="C623" s="155"/>
      <c r="D623" s="757"/>
      <c r="E623" s="757"/>
      <c r="F623" s="757"/>
      <c r="G623" s="369" t="s">
        <v>3203</v>
      </c>
      <c r="H623" s="672" t="s">
        <v>3192</v>
      </c>
      <c r="I623" s="207" t="s">
        <v>3204</v>
      </c>
      <c r="J623" s="121" t="str">
        <f t="shared" si="52"/>
        <v>Michelle Belotti</v>
      </c>
      <c r="K623" s="224">
        <v>3208592025</v>
      </c>
      <c r="L623" s="131"/>
      <c r="M623" s="131"/>
      <c r="N623" s="289"/>
      <c r="O623" s="965"/>
      <c r="P623" s="255" t="s">
        <v>3205</v>
      </c>
      <c r="Q623" s="564" t="s">
        <v>3205</v>
      </c>
      <c r="R623" s="131" t="s">
        <v>3206</v>
      </c>
      <c r="S623" s="131" t="s">
        <v>3207</v>
      </c>
      <c r="T623" s="131"/>
      <c r="U623" s="131"/>
      <c r="V623" s="131"/>
      <c r="W623" s="258"/>
      <c r="X623" s="131"/>
      <c r="Y623" s="258"/>
      <c r="Z623" s="258"/>
      <c r="AA623" s="258"/>
      <c r="AB623" s="255" t="s">
        <v>2412</v>
      </c>
      <c r="AC623" s="131" t="s">
        <v>3208</v>
      </c>
      <c r="AD623" s="255"/>
      <c r="AE623" s="131"/>
      <c r="AF623" s="515"/>
      <c r="AG623" s="516" t="s">
        <v>115</v>
      </c>
      <c r="AH623" s="516" t="s">
        <v>115</v>
      </c>
      <c r="AI623" s="515"/>
      <c r="AJ623" s="155"/>
      <c r="AK623" s="155" t="s">
        <v>2992</v>
      </c>
      <c r="AL623" s="155"/>
      <c r="AM623" s="515"/>
      <c r="AN623" s="155"/>
      <c r="AO623" s="155" t="s">
        <v>2404</v>
      </c>
      <c r="AP623" s="155" t="s">
        <v>2404</v>
      </c>
      <c r="AQ623" s="515"/>
      <c r="AR623" s="121"/>
      <c r="AS623" s="121"/>
      <c r="AT623" s="121"/>
      <c r="AU623" s="568"/>
      <c r="AV623" s="121"/>
      <c r="AW623" s="121"/>
      <c r="AX623" s="121"/>
      <c r="AY623" s="568"/>
      <c r="AZ623" s="362"/>
      <c r="BA623" s="362"/>
      <c r="BB623" s="362"/>
      <c r="BC623" s="568"/>
      <c r="BD623" s="362"/>
      <c r="BE623" s="362"/>
      <c r="BF623" s="362"/>
      <c r="BG623" s="568"/>
      <c r="BH623" s="889"/>
      <c r="BI623" s="902"/>
      <c r="BJ623" s="761">
        <f t="shared" si="55"/>
        <v>0</v>
      </c>
      <c r="BK623" s="110"/>
      <c r="BL623" s="242"/>
      <c r="BM623" s="203"/>
      <c r="BN623" s="821"/>
      <c r="BO623" s="821"/>
      <c r="BP623" s="966" t="s">
        <v>3000</v>
      </c>
      <c r="BQ623" s="604">
        <v>0</v>
      </c>
      <c r="BR623" s="110"/>
      <c r="BS623" s="242"/>
      <c r="BT623" s="203"/>
      <c r="BU623" s="892"/>
      <c r="BV623" s="892"/>
      <c r="BW623" s="804"/>
      <c r="BX623" s="966" t="s">
        <v>3001</v>
      </c>
      <c r="BY623" s="604">
        <v>0.05</v>
      </c>
      <c r="BZ623" s="110">
        <v>0</v>
      </c>
      <c r="CA623" s="242">
        <f t="shared" si="96"/>
        <v>0</v>
      </c>
      <c r="CB623" s="773"/>
      <c r="CC623" s="773"/>
      <c r="CD623" s="773"/>
      <c r="CE623" s="963"/>
      <c r="CF623" s="301"/>
      <c r="CG623" s="206"/>
      <c r="CH623" s="301"/>
      <c r="CI623" s="110"/>
      <c r="CJ623" s="226"/>
      <c r="CK623" s="110"/>
      <c r="CL623" s="110"/>
      <c r="CM623" s="226"/>
      <c r="CN623" s="110"/>
      <c r="CO623" s="110"/>
      <c r="CP623" s="226"/>
      <c r="CQ623" s="110"/>
      <c r="CR623" s="110"/>
      <c r="CS623" s="226"/>
      <c r="CT623" s="110"/>
      <c r="CU623" s="228" t="s">
        <v>2612</v>
      </c>
      <c r="CV623" s="967"/>
      <c r="CW623" s="968"/>
      <c r="CX623" s="969"/>
      <c r="CY623" s="121"/>
      <c r="CZ623" s="121"/>
      <c r="DA623" s="131"/>
      <c r="DB623" s="115"/>
      <c r="DC623" s="766"/>
      <c r="DD623" s="242"/>
      <c r="DE623" s="242"/>
      <c r="DF623" s="242"/>
      <c r="DG623" s="729"/>
      <c r="DH623" s="799"/>
      <c r="DI623" s="779"/>
      <c r="DJ623" s="779"/>
      <c r="DK623" s="779"/>
      <c r="DL623" s="779"/>
      <c r="DM623" s="4"/>
    </row>
    <row r="624" spans="1:130" ht="45" hidden="1" outlineLevel="1">
      <c r="A624" s="228"/>
      <c r="B624" s="121"/>
      <c r="C624" s="155"/>
      <c r="D624" s="757"/>
      <c r="E624" s="757"/>
      <c r="F624" s="757"/>
      <c r="G624" s="896" t="s">
        <v>3209</v>
      </c>
      <c r="H624" s="903" t="s">
        <v>3210</v>
      </c>
      <c r="I624" s="207"/>
      <c r="J624" s="121" t="str">
        <f t="shared" si="52"/>
        <v>Niccolò  Piccin</v>
      </c>
      <c r="K624" s="848"/>
      <c r="L624" s="876" t="s">
        <v>3211</v>
      </c>
      <c r="M624" s="131"/>
      <c r="N624" s="289"/>
      <c r="O624" s="965"/>
      <c r="P624" s="623"/>
      <c r="Q624" s="623"/>
      <c r="R624" s="624" t="s">
        <v>3212</v>
      </c>
      <c r="S624" s="625"/>
      <c r="T624" s="255"/>
      <c r="U624" s="255"/>
      <c r="V624" s="131"/>
      <c r="W624" s="131"/>
      <c r="X624" s="131"/>
      <c r="Y624" s="131"/>
      <c r="Z624" s="131"/>
      <c r="AA624" s="514"/>
      <c r="AB624" s="255"/>
      <c r="AC624" s="131"/>
      <c r="AD624" s="255" t="s">
        <v>3213</v>
      </c>
      <c r="AE624" s="626"/>
      <c r="AF624" s="627"/>
      <c r="AG624" s="628"/>
      <c r="AH624" s="629"/>
      <c r="AI624" s="515"/>
      <c r="AJ624" s="155"/>
      <c r="AK624" s="155"/>
      <c r="AL624" s="155"/>
      <c r="AM624" s="515"/>
      <c r="AN624" s="207"/>
      <c r="AO624" s="207"/>
      <c r="AP624" s="207"/>
      <c r="AQ624" s="515"/>
      <c r="AR624" s="304" t="s">
        <v>245</v>
      </c>
      <c r="AS624" s="304" t="s">
        <v>245</v>
      </c>
      <c r="AT624" s="304" t="s">
        <v>245</v>
      </c>
      <c r="AU624" s="568"/>
      <c r="AV624" s="304"/>
      <c r="AW624" s="304"/>
      <c r="AX624" s="304"/>
      <c r="AY624" s="568"/>
      <c r="AZ624" s="888"/>
      <c r="BA624" s="888"/>
      <c r="BB624" s="888"/>
      <c r="BC624" s="568"/>
      <c r="BD624" s="888"/>
      <c r="BE624" s="888"/>
      <c r="BF624" s="888"/>
      <c r="BG624" s="568"/>
      <c r="BH624" s="889">
        <v>3496.98</v>
      </c>
      <c r="BI624" s="808">
        <f>CH624</f>
        <v>163.93</v>
      </c>
      <c r="BJ624" s="902">
        <f t="shared" si="55"/>
        <v>3333.05</v>
      </c>
      <c r="BK624" s="262">
        <v>0</v>
      </c>
      <c r="BL624" s="242">
        <f>BH624-BK624</f>
        <v>3496.98</v>
      </c>
      <c r="BM624" s="764"/>
      <c r="BN624" s="764"/>
      <c r="BO624" s="764"/>
      <c r="BP624" s="899"/>
      <c r="BQ624" s="904"/>
      <c r="BR624" s="349">
        <f>BH624*BQ624</f>
        <v>0</v>
      </c>
      <c r="BS624" s="242"/>
      <c r="BT624" s="764"/>
      <c r="BU624" s="764"/>
      <c r="BV624" s="764"/>
      <c r="BW624" s="160"/>
      <c r="BX624" s="970"/>
      <c r="BY624" s="875"/>
      <c r="BZ624" s="110">
        <v>0</v>
      </c>
      <c r="CA624" s="242">
        <f t="shared" si="96"/>
        <v>0</v>
      </c>
      <c r="CB624" s="764"/>
      <c r="CC624" s="764"/>
      <c r="CD624" s="764"/>
      <c r="CE624" s="882"/>
      <c r="CF624" s="961">
        <v>163.93</v>
      </c>
      <c r="CG624" s="962">
        <v>43726</v>
      </c>
      <c r="CH624" s="961">
        <v>163.93</v>
      </c>
      <c r="CI624" s="961">
        <v>1409.82</v>
      </c>
      <c r="CJ624" s="962">
        <v>43746</v>
      </c>
      <c r="CK624" s="961"/>
      <c r="CL624" s="961">
        <v>1923.22</v>
      </c>
      <c r="CM624" s="226">
        <v>43803</v>
      </c>
      <c r="CN624" s="226"/>
      <c r="CO624" s="226"/>
      <c r="CP624" s="226"/>
      <c r="CQ624" s="110"/>
      <c r="CR624" s="349"/>
      <c r="CS624" s="226"/>
      <c r="CT624" s="110"/>
      <c r="CU624" s="264"/>
      <c r="CV624" s="331"/>
      <c r="CW624" s="971"/>
      <c r="CX624" s="972"/>
      <c r="CY624" s="264"/>
      <c r="CZ624" s="331"/>
      <c r="DA624" s="849"/>
      <c r="DB624" s="883"/>
      <c r="DC624" s="766"/>
      <c r="DD624" s="242"/>
      <c r="DE624" s="242"/>
      <c r="DF624" s="242"/>
      <c r="DG624" s="265"/>
      <c r="DH624" s="884"/>
      <c r="DI624" s="265"/>
      <c r="DJ624" s="265"/>
      <c r="DK624" s="265"/>
      <c r="DL624" s="265"/>
      <c r="DM624" s="4"/>
    </row>
    <row r="625" spans="1:117" ht="30" hidden="1" customHeight="1" outlineLevel="1">
      <c r="A625" s="228"/>
      <c r="B625" s="121"/>
      <c r="C625" s="155"/>
      <c r="D625" s="757"/>
      <c r="E625" s="757"/>
      <c r="F625" s="757"/>
      <c r="G625" s="369" t="s">
        <v>127</v>
      </c>
      <c r="H625" s="672" t="s">
        <v>3214</v>
      </c>
      <c r="I625" s="207" t="s">
        <v>3215</v>
      </c>
      <c r="J625" s="121" t="str">
        <f t="shared" si="52"/>
        <v>Nicola Colucci</v>
      </c>
      <c r="K625" s="224"/>
      <c r="L625" s="598"/>
      <c r="M625" s="598"/>
      <c r="N625" s="131"/>
      <c r="O625" s="599"/>
      <c r="P625" s="255" t="s">
        <v>3216</v>
      </c>
      <c r="Q625" s="255" t="s">
        <v>3216</v>
      </c>
      <c r="R625" s="598" t="s">
        <v>3217</v>
      </c>
      <c r="S625" s="598" t="s">
        <v>3218</v>
      </c>
      <c r="T625" s="598"/>
      <c r="U625" s="598"/>
      <c r="V625" s="598"/>
      <c r="W625" s="258"/>
      <c r="X625" s="131" t="s">
        <v>3219</v>
      </c>
      <c r="Y625" s="258"/>
      <c r="Z625" s="258"/>
      <c r="AA625" s="258"/>
      <c r="AB625" s="255" t="s">
        <v>2300</v>
      </c>
      <c r="AC625" s="131" t="s">
        <v>3220</v>
      </c>
      <c r="AD625" s="255"/>
      <c r="AE625" s="973" t="s">
        <v>3221</v>
      </c>
      <c r="AF625" s="515"/>
      <c r="AG625" s="516"/>
      <c r="AH625" s="516"/>
      <c r="AI625" s="515"/>
      <c r="AJ625" s="258"/>
      <c r="AK625" s="258"/>
      <c r="AL625" s="258"/>
      <c r="AM625" s="627"/>
      <c r="AN625" s="155"/>
      <c r="AO625" s="155"/>
      <c r="AP625" s="155" t="s">
        <v>27</v>
      </c>
      <c r="AQ625" s="515"/>
      <c r="AR625" s="121"/>
      <c r="AS625" s="121"/>
      <c r="AT625" s="121" t="s">
        <v>165</v>
      </c>
      <c r="AU625" s="568"/>
      <c r="AV625" s="121"/>
      <c r="AW625" s="121"/>
      <c r="AX625" s="121"/>
      <c r="AY625" s="568"/>
      <c r="AZ625" s="362"/>
      <c r="BA625" s="362"/>
      <c r="BB625" s="362"/>
      <c r="BC625" s="568"/>
      <c r="BD625" s="362"/>
      <c r="BE625" s="362"/>
      <c r="BF625" s="362"/>
      <c r="BG625" s="568"/>
      <c r="BH625" s="889"/>
      <c r="BI625" s="902"/>
      <c r="BJ625" s="761">
        <f t="shared" si="55"/>
        <v>0</v>
      </c>
      <c r="BK625" s="110"/>
      <c r="BL625" s="242"/>
      <c r="BM625" s="203"/>
      <c r="BN625" s="203"/>
      <c r="BO625" s="203"/>
      <c r="BP625" s="529" t="s">
        <v>3121</v>
      </c>
      <c r="BQ625" s="145">
        <v>0.15</v>
      </c>
      <c r="BR625" s="110"/>
      <c r="BS625" s="242"/>
      <c r="BT625" s="203"/>
      <c r="BU625" s="203"/>
      <c r="BV625" s="203"/>
      <c r="BW625" s="843"/>
      <c r="BX625" s="600" t="s">
        <v>3122</v>
      </c>
      <c r="BY625" s="145">
        <v>0.15</v>
      </c>
      <c r="BZ625" s="110">
        <v>0</v>
      </c>
      <c r="CA625" s="242">
        <f t="shared" si="96"/>
        <v>0</v>
      </c>
      <c r="CB625" s="764"/>
      <c r="CC625" s="764"/>
      <c r="CD625" s="764"/>
      <c r="CE625" s="882"/>
      <c r="CF625" s="301"/>
      <c r="CG625" s="206"/>
      <c r="CH625" s="301"/>
      <c r="CI625" s="110"/>
      <c r="CJ625" s="226"/>
      <c r="CK625" s="110"/>
      <c r="CL625" s="110"/>
      <c r="CM625" s="226"/>
      <c r="CN625" s="110"/>
      <c r="CO625" s="110"/>
      <c r="CP625" s="226"/>
      <c r="CQ625" s="110"/>
      <c r="CR625" s="349"/>
      <c r="CS625" s="226"/>
      <c r="CT625" s="110"/>
      <c r="CU625" s="155"/>
      <c r="CV625" s="181"/>
      <c r="CW625" s="369"/>
      <c r="CX625" s="207"/>
      <c r="CY625" s="155"/>
      <c r="CZ625" s="155"/>
      <c r="DA625" s="598"/>
      <c r="DB625" s="844"/>
      <c r="DC625" s="766"/>
      <c r="DD625" s="242"/>
      <c r="DE625" s="242"/>
      <c r="DF625" s="242"/>
      <c r="DG625" s="729"/>
      <c r="DH625" s="730"/>
      <c r="DI625" s="729"/>
      <c r="DJ625" s="729"/>
      <c r="DK625" s="729"/>
      <c r="DL625" s="729"/>
      <c r="DM625" s="4"/>
    </row>
    <row r="626" spans="1:117" ht="30" hidden="1" customHeight="1" outlineLevel="1">
      <c r="A626" s="228"/>
      <c r="B626" s="121"/>
      <c r="C626" s="155"/>
      <c r="D626" s="757"/>
      <c r="E626" s="757"/>
      <c r="F626" s="757"/>
      <c r="G626" s="846" t="s">
        <v>127</v>
      </c>
      <c r="H626" s="974" t="s">
        <v>3222</v>
      </c>
      <c r="I626" s="875" t="s">
        <v>3223</v>
      </c>
      <c r="J626" s="121" t="str">
        <f t="shared" si="52"/>
        <v>Nicola Tommasini</v>
      </c>
      <c r="K626" s="848"/>
      <c r="L626" s="849"/>
      <c r="M626" s="828"/>
      <c r="N626" s="828"/>
      <c r="O626" s="975"/>
      <c r="P626" s="850" t="s">
        <v>3224</v>
      </c>
      <c r="Q626" s="850" t="s">
        <v>3224</v>
      </c>
      <c r="R626" s="828" t="s">
        <v>3225</v>
      </c>
      <c r="S626" s="828" t="s">
        <v>3226</v>
      </c>
      <c r="T626" s="828"/>
      <c r="U626" s="828"/>
      <c r="V626" s="828"/>
      <c r="W626" s="850"/>
      <c r="X626" s="131"/>
      <c r="Y626" s="850"/>
      <c r="Z626" s="850"/>
      <c r="AA626" s="850"/>
      <c r="AB626" s="850" t="s">
        <v>2300</v>
      </c>
      <c r="AC626" s="558" t="s">
        <v>3227</v>
      </c>
      <c r="AD626" s="850"/>
      <c r="AE626" s="828" t="s">
        <v>3228</v>
      </c>
      <c r="AF626" s="851"/>
      <c r="AG626" s="852" t="s">
        <v>115</v>
      </c>
      <c r="AH626" s="852" t="s">
        <v>115</v>
      </c>
      <c r="AI626" s="515"/>
      <c r="AJ626" s="155"/>
      <c r="AK626" s="155"/>
      <c r="AL626" s="155"/>
      <c r="AM626" s="515"/>
      <c r="AN626" s="815"/>
      <c r="AO626" s="976" t="s">
        <v>2404</v>
      </c>
      <c r="AP626" s="976" t="s">
        <v>2404</v>
      </c>
      <c r="AQ626" s="515"/>
      <c r="AR626" s="609"/>
      <c r="AS626" s="977"/>
      <c r="AT626" s="977"/>
      <c r="AU626" s="568"/>
      <c r="AV626" s="609"/>
      <c r="AW626" s="977"/>
      <c r="AX626" s="977"/>
      <c r="AY626" s="568"/>
      <c r="AZ626" s="978"/>
      <c r="BA626" s="978"/>
      <c r="BB626" s="978"/>
      <c r="BC626" s="568"/>
      <c r="BD626" s="978"/>
      <c r="BE626" s="978"/>
      <c r="BF626" s="978"/>
      <c r="BG626" s="568"/>
      <c r="BH626" s="889"/>
      <c r="BI626" s="902"/>
      <c r="BJ626" s="761">
        <f t="shared" si="55"/>
        <v>0</v>
      </c>
      <c r="BK626" s="110"/>
      <c r="BL626" s="242"/>
      <c r="BM626" s="203"/>
      <c r="BN626" s="821"/>
      <c r="BO626" s="821"/>
      <c r="BP626" s="827" t="s">
        <v>3159</v>
      </c>
      <c r="BQ626" s="979">
        <v>0.15</v>
      </c>
      <c r="BR626" s="110"/>
      <c r="BS626" s="242"/>
      <c r="BT626" s="203"/>
      <c r="BU626" s="203"/>
      <c r="BV626" s="203"/>
      <c r="BW626" s="857"/>
      <c r="BX626" s="363" t="s">
        <v>3159</v>
      </c>
      <c r="BY626" s="856">
        <v>0.15</v>
      </c>
      <c r="BZ626" s="110">
        <v>0</v>
      </c>
      <c r="CA626" s="242">
        <f t="shared" si="96"/>
        <v>0</v>
      </c>
      <c r="CB626" s="764"/>
      <c r="CC626" s="764"/>
      <c r="CD626" s="764"/>
      <c r="CE626" s="882"/>
      <c r="CF626" s="301"/>
      <c r="CG626" s="206"/>
      <c r="CH626" s="301"/>
      <c r="CI626" s="110"/>
      <c r="CJ626" s="226"/>
      <c r="CK626" s="110"/>
      <c r="CL626" s="110"/>
      <c r="CM626" s="226"/>
      <c r="CN626" s="110"/>
      <c r="CO626" s="110"/>
      <c r="CP626" s="226"/>
      <c r="CQ626" s="110"/>
      <c r="CR626" s="349"/>
      <c r="CS626" s="226"/>
      <c r="CT626" s="110"/>
      <c r="CU626" s="155"/>
      <c r="CV626" s="207"/>
      <c r="CW626" s="354"/>
      <c r="CX626" s="207"/>
      <c r="CY626" s="155"/>
      <c r="CZ626" s="155"/>
      <c r="DA626" s="849"/>
      <c r="DB626" s="115"/>
      <c r="DC626" s="766"/>
      <c r="DD626" s="242"/>
      <c r="DE626" s="242"/>
      <c r="DF626" s="242"/>
      <c r="DG626" s="729"/>
      <c r="DH626" s="799"/>
      <c r="DI626" s="779"/>
      <c r="DJ626" s="779"/>
      <c r="DK626" s="779"/>
      <c r="DL626" s="779"/>
      <c r="DM626" s="3"/>
    </row>
    <row r="627" spans="1:117" ht="30" hidden="1" customHeight="1" outlineLevel="1">
      <c r="A627" s="228"/>
      <c r="B627" s="121"/>
      <c r="C627" s="155"/>
      <c r="D627" s="757"/>
      <c r="E627" s="757"/>
      <c r="F627" s="757"/>
      <c r="G627" s="948" t="s">
        <v>950</v>
      </c>
      <c r="H627" s="980" t="s">
        <v>3229</v>
      </c>
      <c r="I627" s="113" t="s">
        <v>3230</v>
      </c>
      <c r="J627" s="121" t="str">
        <f t="shared" si="52"/>
        <v>Paola Porro</v>
      </c>
      <c r="K627" s="224"/>
      <c r="L627" s="131"/>
      <c r="M627" s="131"/>
      <c r="N627" s="289"/>
      <c r="O627" s="562"/>
      <c r="P627" s="131"/>
      <c r="Q627" s="131"/>
      <c r="R627" s="131" t="s">
        <v>3231</v>
      </c>
      <c r="S627" s="131"/>
      <c r="T627" s="131"/>
      <c r="U627" s="131"/>
      <c r="V627" s="131"/>
      <c r="W627" s="131"/>
      <c r="X627" s="131"/>
      <c r="Y627" s="131"/>
      <c r="Z627" s="131"/>
      <c r="AA627" s="131"/>
      <c r="AB627" s="255"/>
      <c r="AC627" s="131"/>
      <c r="AD627" s="155"/>
      <c r="AE627" s="131" t="s">
        <v>3232</v>
      </c>
      <c r="AF627" s="515"/>
      <c r="AG627" s="406"/>
      <c r="AH627" s="406"/>
      <c r="AI627" s="515"/>
      <c r="AJ627" s="359" t="s">
        <v>116</v>
      </c>
      <c r="AK627" s="353" t="s">
        <v>2992</v>
      </c>
      <c r="AL627" s="353" t="s">
        <v>2992</v>
      </c>
      <c r="AM627" s="641"/>
      <c r="AN627" s="155"/>
      <c r="AO627" s="155"/>
      <c r="AP627" s="155"/>
      <c r="AQ627" s="515"/>
      <c r="AR627" s="121"/>
      <c r="AS627" s="121"/>
      <c r="AT627" s="121"/>
      <c r="AU627" s="568"/>
      <c r="AV627" s="177" t="s">
        <v>151</v>
      </c>
      <c r="AW627" s="177" t="s">
        <v>151</v>
      </c>
      <c r="AX627" s="177" t="s">
        <v>151</v>
      </c>
      <c r="AY627" s="568"/>
      <c r="AZ627" s="981"/>
      <c r="BA627" s="981"/>
      <c r="BB627" s="981"/>
      <c r="BC627" s="568"/>
      <c r="BD627" s="981"/>
      <c r="BE627" s="981"/>
      <c r="BF627" s="981"/>
      <c r="BG627" s="568"/>
      <c r="BH627" s="889"/>
      <c r="BI627" s="902"/>
      <c r="BJ627" s="761">
        <f t="shared" si="55"/>
        <v>0</v>
      </c>
      <c r="BK627" s="110"/>
      <c r="BL627" s="242"/>
      <c r="BM627" s="203"/>
      <c r="BN627" s="821"/>
      <c r="BO627" s="821"/>
      <c r="BP627" s="966" t="s">
        <v>3233</v>
      </c>
      <c r="BQ627" s="604">
        <v>0.15</v>
      </c>
      <c r="BR627" s="110"/>
      <c r="BS627" s="242"/>
      <c r="BT627" s="203"/>
      <c r="BU627" s="203"/>
      <c r="BV627" s="203"/>
      <c r="BW627" s="843" t="s">
        <v>3188</v>
      </c>
      <c r="BX627" s="600" t="s">
        <v>3233</v>
      </c>
      <c r="BY627" s="145">
        <v>0.05</v>
      </c>
      <c r="BZ627" s="110">
        <v>0</v>
      </c>
      <c r="CA627" s="242">
        <f t="shared" si="96"/>
        <v>0</v>
      </c>
      <c r="CB627" s="764"/>
      <c r="CC627" s="764"/>
      <c r="CD627" s="764"/>
      <c r="CE627" s="882"/>
      <c r="CF627" s="982"/>
      <c r="CG627" s="983"/>
      <c r="CH627" s="982"/>
      <c r="CI627" s="262"/>
      <c r="CJ627" s="984"/>
      <c r="CK627" s="262"/>
      <c r="CL627" s="262"/>
      <c r="CM627" s="984"/>
      <c r="CN627" s="262"/>
      <c r="CO627" s="262"/>
      <c r="CP627" s="984"/>
      <c r="CQ627" s="262"/>
      <c r="CR627" s="261"/>
      <c r="CS627" s="984"/>
      <c r="CT627" s="262"/>
      <c r="CU627" s="895" t="s">
        <v>2612</v>
      </c>
      <c r="CV627" s="969"/>
      <c r="CW627" s="968"/>
      <c r="CX627" s="969"/>
      <c r="CY627" s="259"/>
      <c r="CZ627" s="259"/>
      <c r="DA627" s="801"/>
      <c r="DB627" s="985"/>
      <c r="DC627" s="766"/>
      <c r="DD627" s="986"/>
      <c r="DE627" s="242"/>
      <c r="DF627" s="242"/>
      <c r="DG627" s="729"/>
      <c r="DH627" s="799"/>
      <c r="DI627" s="779"/>
      <c r="DJ627" s="779"/>
      <c r="DK627" s="779"/>
      <c r="DL627" s="779"/>
      <c r="DM627" s="4"/>
    </row>
    <row r="628" spans="1:117" ht="30" hidden="1" customHeight="1" outlineLevel="1">
      <c r="A628" s="228"/>
      <c r="B628" s="121"/>
      <c r="C628" s="155"/>
      <c r="D628" s="757"/>
      <c r="E628" s="757"/>
      <c r="F628" s="757"/>
      <c r="G628" s="659" t="s">
        <v>2511</v>
      </c>
      <c r="H628" s="660" t="s">
        <v>2301</v>
      </c>
      <c r="I628" s="207" t="s">
        <v>3234</v>
      </c>
      <c r="J628" s="121" t="str">
        <f t="shared" si="52"/>
        <v>Piergiorgio Giovi</v>
      </c>
      <c r="K628" s="224"/>
      <c r="L628" s="598"/>
      <c r="M628" s="598"/>
      <c r="N628" s="131" t="s">
        <v>3058</v>
      </c>
      <c r="O628" s="556"/>
      <c r="P628" s="255"/>
      <c r="Q628" s="255"/>
      <c r="R628" s="598" t="s">
        <v>916</v>
      </c>
      <c r="S628" s="598"/>
      <c r="T628" s="598"/>
      <c r="U628" s="598"/>
      <c r="V628" s="598"/>
      <c r="W628" s="258"/>
      <c r="X628" s="131"/>
      <c r="Y628" s="258"/>
      <c r="Z628" s="258"/>
      <c r="AA628" s="258"/>
      <c r="AB628" s="255"/>
      <c r="AC628" s="131"/>
      <c r="AD628" s="255"/>
      <c r="AE628" s="131"/>
      <c r="AF628" s="515"/>
      <c r="AG628" s="516"/>
      <c r="AH628" s="516"/>
      <c r="AI628" s="515"/>
      <c r="AJ628" s="155"/>
      <c r="AK628" s="155"/>
      <c r="AL628" s="155"/>
      <c r="AM628" s="198"/>
      <c r="AN628" s="155"/>
      <c r="AO628" s="155"/>
      <c r="AP628" s="155"/>
      <c r="AQ628" s="515"/>
      <c r="AR628" s="121"/>
      <c r="AS628" s="124"/>
      <c r="AT628" s="124"/>
      <c r="AU628" s="568"/>
      <c r="AV628" s="121" t="s">
        <v>2369</v>
      </c>
      <c r="AW628" s="121" t="s">
        <v>2369</v>
      </c>
      <c r="AX628" s="121" t="s">
        <v>2369</v>
      </c>
      <c r="AY628" s="568"/>
      <c r="AZ628" s="362"/>
      <c r="BA628" s="362"/>
      <c r="BB628" s="362"/>
      <c r="BC628" s="568"/>
      <c r="BD628" s="362"/>
      <c r="BE628" s="362"/>
      <c r="BF628" s="362"/>
      <c r="BG628" s="568"/>
      <c r="BH628" s="889"/>
      <c r="BI628" s="902"/>
      <c r="BJ628" s="761">
        <f t="shared" si="55"/>
        <v>0</v>
      </c>
      <c r="BK628" s="110"/>
      <c r="BL628" s="242"/>
      <c r="BM628" s="203"/>
      <c r="BN628" s="821"/>
      <c r="BO628" s="821"/>
      <c r="BP628" s="966"/>
      <c r="BQ628" s="604"/>
      <c r="BR628" s="110"/>
      <c r="BS628" s="242"/>
      <c r="BT628" s="203"/>
      <c r="BU628" s="203"/>
      <c r="BV628" s="203"/>
      <c r="BW628" s="843"/>
      <c r="BX628" s="600"/>
      <c r="BY628" s="145"/>
      <c r="BZ628" s="110">
        <v>0</v>
      </c>
      <c r="CA628" s="242">
        <f t="shared" si="96"/>
        <v>0</v>
      </c>
      <c r="CB628" s="773"/>
      <c r="CC628" s="773"/>
      <c r="CD628" s="773"/>
      <c r="CE628" s="963"/>
      <c r="CF628" s="301"/>
      <c r="CG628" s="206"/>
      <c r="CH628" s="301"/>
      <c r="CI628" s="110"/>
      <c r="CJ628" s="226"/>
      <c r="CK628" s="110"/>
      <c r="CL628" s="110"/>
      <c r="CM628" s="226"/>
      <c r="CN628" s="110"/>
      <c r="CO628" s="110"/>
      <c r="CP628" s="226"/>
      <c r="CQ628" s="110"/>
      <c r="CR628" s="110"/>
      <c r="CS628" s="226"/>
      <c r="CT628" s="110"/>
      <c r="CU628" s="155"/>
      <c r="CV628" s="181"/>
      <c r="CW628" s="181"/>
      <c r="CX628" s="207"/>
      <c r="CY628" s="155"/>
      <c r="CZ628" s="155"/>
      <c r="DA628" s="598"/>
      <c r="DB628" s="844"/>
      <c r="DC628" s="766" t="s">
        <v>3058</v>
      </c>
      <c r="DD628" s="242"/>
      <c r="DE628" s="242"/>
      <c r="DF628" s="242"/>
      <c r="DG628" s="729"/>
      <c r="DH628" s="730"/>
      <c r="DI628" s="729"/>
      <c r="DJ628" s="729"/>
      <c r="DK628" s="729"/>
      <c r="DL628" s="729"/>
      <c r="DM628" s="4"/>
    </row>
    <row r="629" spans="1:117" ht="30" hidden="1" customHeight="1" outlineLevel="1">
      <c r="A629" s="228"/>
      <c r="B629" s="121"/>
      <c r="C629" s="155"/>
      <c r="D629" s="757"/>
      <c r="E629" s="757"/>
      <c r="F629" s="757"/>
      <c r="G629" s="846" t="s">
        <v>3235</v>
      </c>
      <c r="H629" s="987" t="s">
        <v>3236</v>
      </c>
      <c r="I629" s="207" t="s">
        <v>3237</v>
      </c>
      <c r="J629" s="121" t="str">
        <f t="shared" si="52"/>
        <v>Pietro Stefano Marilli</v>
      </c>
      <c r="K629" s="848">
        <v>3496795921</v>
      </c>
      <c r="L629" s="849"/>
      <c r="M629" s="828"/>
      <c r="N629" s="828"/>
      <c r="O629" s="975"/>
      <c r="P629" s="850" t="s">
        <v>3238</v>
      </c>
      <c r="Q629" s="850" t="s">
        <v>3238</v>
      </c>
      <c r="R629" s="828" t="s">
        <v>3239</v>
      </c>
      <c r="S629" s="828" t="s">
        <v>3240</v>
      </c>
      <c r="T629" s="828"/>
      <c r="U629" s="828"/>
      <c r="V629" s="828"/>
      <c r="W629" s="850"/>
      <c r="X629" s="131" t="s">
        <v>3237</v>
      </c>
      <c r="Y629" s="850"/>
      <c r="Z629" s="850"/>
      <c r="AA629" s="850"/>
      <c r="AB629" s="850" t="s">
        <v>2412</v>
      </c>
      <c r="AC629" s="558" t="s">
        <v>3241</v>
      </c>
      <c r="AD629" s="850"/>
      <c r="AE629" s="828"/>
      <c r="AF629" s="851"/>
      <c r="AG629" s="852" t="s">
        <v>115</v>
      </c>
      <c r="AH629" s="852" t="s">
        <v>115</v>
      </c>
      <c r="AI629" s="515"/>
      <c r="AJ629" s="155"/>
      <c r="AK629" s="155"/>
      <c r="AL629" s="155"/>
      <c r="AM629" s="515"/>
      <c r="AN629" s="815"/>
      <c r="AO629" s="815" t="s">
        <v>154</v>
      </c>
      <c r="AP629" s="815" t="s">
        <v>2404</v>
      </c>
      <c r="AQ629" s="515"/>
      <c r="AR629" s="609"/>
      <c r="AS629" s="609"/>
      <c r="AT629" s="609"/>
      <c r="AU629" s="568"/>
      <c r="AV629" s="609"/>
      <c r="AW629" s="609"/>
      <c r="AX629" s="609"/>
      <c r="AY629" s="568"/>
      <c r="AZ629" s="913"/>
      <c r="BA629" s="913"/>
      <c r="BB629" s="913"/>
      <c r="BC629" s="568"/>
      <c r="BD629" s="913"/>
      <c r="BE629" s="913"/>
      <c r="BF629" s="913"/>
      <c r="BG629" s="568"/>
      <c r="BH629" s="889"/>
      <c r="BI629" s="902"/>
      <c r="BJ629" s="761">
        <f t="shared" si="55"/>
        <v>0</v>
      </c>
      <c r="BK629" s="110"/>
      <c r="BL629" s="242"/>
      <c r="BM629" s="203"/>
      <c r="BN629" s="821"/>
      <c r="BO629" s="821"/>
      <c r="BP629" s="827" t="s">
        <v>3001</v>
      </c>
      <c r="BQ629" s="979">
        <v>0.15</v>
      </c>
      <c r="BR629" s="110"/>
      <c r="BS629" s="242"/>
      <c r="BT629" s="203"/>
      <c r="BU629" s="203"/>
      <c r="BV629" s="203"/>
      <c r="BW629" s="857"/>
      <c r="BX629" s="363" t="s">
        <v>3001</v>
      </c>
      <c r="BY629" s="856">
        <v>0.05</v>
      </c>
      <c r="BZ629" s="110">
        <v>0</v>
      </c>
      <c r="CA629" s="242">
        <f t="shared" si="96"/>
        <v>0</v>
      </c>
      <c r="CB629" s="773"/>
      <c r="CC629" s="773"/>
      <c r="CD629" s="773"/>
      <c r="CE629" s="963"/>
      <c r="CF629" s="301"/>
      <c r="CG629" s="206"/>
      <c r="CH629" s="301"/>
      <c r="CI629" s="110"/>
      <c r="CJ629" s="226"/>
      <c r="CK629" s="110"/>
      <c r="CL629" s="110"/>
      <c r="CM629" s="226"/>
      <c r="CN629" s="110"/>
      <c r="CO629" s="110"/>
      <c r="CP629" s="226"/>
      <c r="CQ629" s="110"/>
      <c r="CR629" s="110"/>
      <c r="CS629" s="226"/>
      <c r="CT629" s="110"/>
      <c r="CU629" s="155"/>
      <c r="CV629" s="207"/>
      <c r="CW629" s="207"/>
      <c r="CX629" s="207"/>
      <c r="CY629" s="155"/>
      <c r="CZ629" s="155"/>
      <c r="DA629" s="849"/>
      <c r="DB629" s="115"/>
      <c r="DC629" s="766"/>
      <c r="DD629" s="242"/>
      <c r="DE629" s="242"/>
      <c r="DF629" s="242"/>
      <c r="DG629" s="729"/>
      <c r="DH629" s="730"/>
      <c r="DI629" s="729"/>
      <c r="DJ629" s="729"/>
      <c r="DK629" s="729"/>
      <c r="DL629" s="729"/>
      <c r="DM629" s="4"/>
    </row>
    <row r="630" spans="1:117" ht="30" hidden="1" customHeight="1" outlineLevel="1">
      <c r="A630" s="228"/>
      <c r="B630" s="121"/>
      <c r="C630" s="155"/>
      <c r="D630" s="757"/>
      <c r="E630" s="757"/>
      <c r="F630" s="757"/>
      <c r="G630" s="846" t="s">
        <v>791</v>
      </c>
      <c r="H630" s="987" t="s">
        <v>3242</v>
      </c>
      <c r="I630" s="207" t="s">
        <v>3243</v>
      </c>
      <c r="J630" s="121" t="str">
        <f t="shared" si="52"/>
        <v>Raffaele Campalani</v>
      </c>
      <c r="K630" s="848">
        <v>3479463909</v>
      </c>
      <c r="L630" s="849"/>
      <c r="M630" s="828"/>
      <c r="N630" s="828"/>
      <c r="O630" s="975"/>
      <c r="P630" s="850" t="s">
        <v>3244</v>
      </c>
      <c r="Q630" s="850" t="s">
        <v>3245</v>
      </c>
      <c r="R630" s="828" t="s">
        <v>3246</v>
      </c>
      <c r="S630" s="828" t="s">
        <v>3247</v>
      </c>
      <c r="T630" s="828"/>
      <c r="U630" s="828"/>
      <c r="V630" s="828"/>
      <c r="W630" s="850"/>
      <c r="X630" s="131" t="s">
        <v>3243</v>
      </c>
      <c r="Y630" s="850"/>
      <c r="Z630" s="850"/>
      <c r="AA630" s="850"/>
      <c r="AB630" s="850" t="s">
        <v>2917</v>
      </c>
      <c r="AC630" s="558" t="s">
        <v>3248</v>
      </c>
      <c r="AD630" s="850"/>
      <c r="AE630" s="828"/>
      <c r="AF630" s="851"/>
      <c r="AG630" s="852" t="s">
        <v>115</v>
      </c>
      <c r="AH630" s="852" t="s">
        <v>115</v>
      </c>
      <c r="AI630" s="515"/>
      <c r="AJ630" s="815"/>
      <c r="AK630" s="815"/>
      <c r="AL630" s="815"/>
      <c r="AM630" s="851"/>
      <c r="AN630" s="815"/>
      <c r="AO630" s="815" t="s">
        <v>154</v>
      </c>
      <c r="AP630" s="815" t="s">
        <v>2404</v>
      </c>
      <c r="AQ630" s="515"/>
      <c r="AR630" s="609"/>
      <c r="AS630" s="609"/>
      <c r="AT630" s="609"/>
      <c r="AU630" s="568"/>
      <c r="AV630" s="609"/>
      <c r="AW630" s="609"/>
      <c r="AX630" s="609"/>
      <c r="AY630" s="568"/>
      <c r="AZ630" s="913"/>
      <c r="BA630" s="913"/>
      <c r="BB630" s="913"/>
      <c r="BC630" s="568"/>
      <c r="BD630" s="913"/>
      <c r="BE630" s="913"/>
      <c r="BF630" s="913"/>
      <c r="BG630" s="568"/>
      <c r="BH630" s="889"/>
      <c r="BI630" s="902"/>
      <c r="BJ630" s="761">
        <f t="shared" si="55"/>
        <v>0</v>
      </c>
      <c r="BK630" s="110"/>
      <c r="BL630" s="242"/>
      <c r="BM630" s="203"/>
      <c r="BN630" s="988"/>
      <c r="BO630" s="988"/>
      <c r="BP630" s="989" t="s">
        <v>2919</v>
      </c>
      <c r="BQ630" s="979">
        <v>0.15</v>
      </c>
      <c r="BR630" s="110"/>
      <c r="BS630" s="242"/>
      <c r="BT630" s="203"/>
      <c r="BU630" s="203"/>
      <c r="BV630" s="203"/>
      <c r="BW630" s="857"/>
      <c r="BX630" s="363" t="s">
        <v>3202</v>
      </c>
      <c r="BY630" s="856">
        <v>0.05</v>
      </c>
      <c r="BZ630" s="110">
        <v>0</v>
      </c>
      <c r="CA630" s="242">
        <f t="shared" si="96"/>
        <v>0</v>
      </c>
      <c r="CB630" s="773"/>
      <c r="CC630" s="773"/>
      <c r="CD630" s="773"/>
      <c r="CE630" s="963"/>
      <c r="CF630" s="301"/>
      <c r="CG630" s="206"/>
      <c r="CH630" s="301"/>
      <c r="CI630" s="110"/>
      <c r="CJ630" s="226"/>
      <c r="CK630" s="110"/>
      <c r="CL630" s="110"/>
      <c r="CM630" s="226"/>
      <c r="CN630" s="110"/>
      <c r="CO630" s="110"/>
      <c r="CP630" s="226"/>
      <c r="CQ630" s="110"/>
      <c r="CR630" s="110"/>
      <c r="CS630" s="226"/>
      <c r="CT630" s="110"/>
      <c r="CU630" s="155"/>
      <c r="CV630" s="207"/>
      <c r="CW630" s="207"/>
      <c r="CX630" s="207"/>
      <c r="CY630" s="155"/>
      <c r="CZ630" s="155"/>
      <c r="DA630" s="849"/>
      <c r="DB630" s="115"/>
      <c r="DC630" s="766"/>
      <c r="DD630" s="242"/>
      <c r="DE630" s="242"/>
      <c r="DF630" s="242"/>
      <c r="DG630" s="729"/>
      <c r="DH630" s="730"/>
      <c r="DI630" s="729"/>
      <c r="DJ630" s="729"/>
      <c r="DK630" s="729"/>
      <c r="DL630" s="729"/>
      <c r="DM630" s="4"/>
    </row>
    <row r="631" spans="1:117" ht="30" hidden="1" customHeight="1" outlineLevel="1">
      <c r="A631" s="228"/>
      <c r="B631" s="121"/>
      <c r="C631" s="155"/>
      <c r="D631" s="757"/>
      <c r="E631" s="757"/>
      <c r="F631" s="757"/>
      <c r="G631" s="948" t="s">
        <v>287</v>
      </c>
      <c r="H631" s="980" t="s">
        <v>3249</v>
      </c>
      <c r="I631" s="294" t="s">
        <v>3250</v>
      </c>
      <c r="J631" s="121" t="str">
        <f t="shared" si="52"/>
        <v>Riccardo Belviso</v>
      </c>
      <c r="K631" s="224"/>
      <c r="L631" s="131"/>
      <c r="M631" s="131"/>
      <c r="N631" s="289"/>
      <c r="O631" s="562"/>
      <c r="P631" s="131"/>
      <c r="Q631" s="131"/>
      <c r="R631" s="131" t="s">
        <v>3251</v>
      </c>
      <c r="S631" s="131"/>
      <c r="T631" s="131"/>
      <c r="U631" s="131"/>
      <c r="V631" s="131"/>
      <c r="W631" s="131"/>
      <c r="X631" s="131"/>
      <c r="Y631" s="131"/>
      <c r="Z631" s="131"/>
      <c r="AA631" s="131"/>
      <c r="AB631" s="255"/>
      <c r="AC631" s="131"/>
      <c r="AD631" s="155"/>
      <c r="AE631" s="131"/>
      <c r="AF631" s="515"/>
      <c r="AG631" s="406"/>
      <c r="AH631" s="406"/>
      <c r="AI631" s="515"/>
      <c r="AJ631" s="815"/>
      <c r="AK631" s="815"/>
      <c r="AL631" s="815"/>
      <c r="AM631" s="851"/>
      <c r="AN631" s="155" t="s">
        <v>245</v>
      </c>
      <c r="AO631" s="155" t="s">
        <v>245</v>
      </c>
      <c r="AP631" s="155" t="s">
        <v>245</v>
      </c>
      <c r="AQ631" s="515"/>
      <c r="AR631" s="304" t="s">
        <v>245</v>
      </c>
      <c r="AS631" s="304" t="s">
        <v>245</v>
      </c>
      <c r="AT631" s="304" t="s">
        <v>245</v>
      </c>
      <c r="AU631" s="568"/>
      <c r="AV631" s="304"/>
      <c r="AW631" s="304"/>
      <c r="AX631" s="304"/>
      <c r="AY631" s="568"/>
      <c r="AZ631" s="888"/>
      <c r="BA631" s="888"/>
      <c r="BB631" s="888"/>
      <c r="BC631" s="568"/>
      <c r="BD631" s="888"/>
      <c r="BE631" s="888"/>
      <c r="BF631" s="888"/>
      <c r="BG631" s="568"/>
      <c r="BH631" s="889"/>
      <c r="BI631" s="902"/>
      <c r="BJ631" s="761">
        <f t="shared" si="55"/>
        <v>0</v>
      </c>
      <c r="BK631" s="110"/>
      <c r="BL631" s="242"/>
      <c r="BM631" s="203"/>
      <c r="BN631" s="203"/>
      <c r="BO631" s="203"/>
      <c r="BP631" s="131" t="s">
        <v>262</v>
      </c>
      <c r="BQ631" s="604">
        <v>0.15</v>
      </c>
      <c r="BR631" s="110"/>
      <c r="BS631" s="242"/>
      <c r="BT631" s="203"/>
      <c r="BU631" s="203"/>
      <c r="BV631" s="203"/>
      <c r="BW631" s="857"/>
      <c r="BX631" s="161" t="s">
        <v>262</v>
      </c>
      <c r="BY631" s="604">
        <v>0.05</v>
      </c>
      <c r="BZ631" s="110">
        <v>0</v>
      </c>
      <c r="CA631" s="242">
        <f t="shared" si="96"/>
        <v>0</v>
      </c>
      <c r="CB631" s="773"/>
      <c r="CC631" s="773"/>
      <c r="CD631" s="773"/>
      <c r="CE631" s="963"/>
      <c r="CF631" s="301"/>
      <c r="CG631" s="206"/>
      <c r="CH631" s="301"/>
      <c r="CI631" s="110"/>
      <c r="CJ631" s="226"/>
      <c r="CK631" s="110"/>
      <c r="CL631" s="110"/>
      <c r="CM631" s="226"/>
      <c r="CN631" s="110"/>
      <c r="CO631" s="110"/>
      <c r="CP631" s="226"/>
      <c r="CQ631" s="110"/>
      <c r="CR631" s="110"/>
      <c r="CS631" s="226"/>
      <c r="CT631" s="110"/>
      <c r="CU631" s="155" t="s">
        <v>3002</v>
      </c>
      <c r="CV631" s="181"/>
      <c r="CW631" s="181"/>
      <c r="CX631" s="181"/>
      <c r="CY631" s="121"/>
      <c r="CZ631" s="121"/>
      <c r="DA631" s="131"/>
      <c r="DB631" s="115"/>
      <c r="DC631" s="766"/>
      <c r="DD631" s="242"/>
      <c r="DE631" s="242"/>
      <c r="DF631" s="242"/>
      <c r="DG631" s="729"/>
      <c r="DH631" s="799"/>
      <c r="DI631" s="779"/>
      <c r="DJ631" s="779"/>
      <c r="DK631" s="779"/>
      <c r="DL631" s="779"/>
      <c r="DM631" s="4"/>
    </row>
    <row r="632" spans="1:117" ht="30" hidden="1" customHeight="1" outlineLevel="1">
      <c r="A632" s="228"/>
      <c r="B632" s="121"/>
      <c r="C632" s="155"/>
      <c r="D632" s="757"/>
      <c r="E632" s="757"/>
      <c r="F632" s="757"/>
      <c r="G632" s="846" t="s">
        <v>287</v>
      </c>
      <c r="H632" s="987" t="s">
        <v>3252</v>
      </c>
      <c r="I632" s="207" t="s">
        <v>3253</v>
      </c>
      <c r="J632" s="121" t="str">
        <f t="shared" si="52"/>
        <v>Riccardo Culici</v>
      </c>
      <c r="K632" s="848"/>
      <c r="L632" s="849"/>
      <c r="M632" s="828"/>
      <c r="N632" s="828"/>
      <c r="O632" s="975"/>
      <c r="P632" s="850" t="s">
        <v>2913</v>
      </c>
      <c r="Q632" s="850" t="s">
        <v>2913</v>
      </c>
      <c r="R632" s="828" t="s">
        <v>2914</v>
      </c>
      <c r="S632" s="828" t="s">
        <v>2915</v>
      </c>
      <c r="T632" s="828"/>
      <c r="U632" s="828"/>
      <c r="V632" s="828"/>
      <c r="W632" s="850"/>
      <c r="X632" s="558" t="s">
        <v>2916</v>
      </c>
      <c r="Y632" s="850"/>
      <c r="Z632" s="850"/>
      <c r="AA632" s="850"/>
      <c r="AB632" s="850" t="s">
        <v>2917</v>
      </c>
      <c r="AC632" s="558" t="s">
        <v>2918</v>
      </c>
      <c r="AD632" s="850"/>
      <c r="AE632" s="828"/>
      <c r="AF632" s="851"/>
      <c r="AG632" s="852" t="s">
        <v>115</v>
      </c>
      <c r="AH632" s="852" t="s">
        <v>115</v>
      </c>
      <c r="AI632" s="515"/>
      <c r="AJ632" s="155"/>
      <c r="AK632" s="155"/>
      <c r="AL632" s="155"/>
      <c r="AM632" s="198"/>
      <c r="AN632" s="815"/>
      <c r="AO632" s="815" t="s">
        <v>2404</v>
      </c>
      <c r="AP632" s="815" t="s">
        <v>2404</v>
      </c>
      <c r="AQ632" s="515"/>
      <c r="AR632" s="609"/>
      <c r="AS632" s="609"/>
      <c r="AT632" s="609"/>
      <c r="AU632" s="568"/>
      <c r="AV632" s="609"/>
      <c r="AW632" s="609"/>
      <c r="AX632" s="609"/>
      <c r="AY632" s="568"/>
      <c r="AZ632" s="913"/>
      <c r="BA632" s="913"/>
      <c r="BB632" s="913"/>
      <c r="BC632" s="568"/>
      <c r="BD632" s="913"/>
      <c r="BE632" s="913"/>
      <c r="BF632" s="913"/>
      <c r="BG632" s="568"/>
      <c r="BH632" s="889"/>
      <c r="BI632" s="902"/>
      <c r="BJ632" s="761">
        <f t="shared" si="55"/>
        <v>0</v>
      </c>
      <c r="BK632" s="110"/>
      <c r="BL632" s="242"/>
      <c r="BM632" s="203"/>
      <c r="BN632" s="892"/>
      <c r="BO632" s="892"/>
      <c r="BP632" s="990" t="s">
        <v>2919</v>
      </c>
      <c r="BQ632" s="991">
        <v>0.15</v>
      </c>
      <c r="BR632" s="110"/>
      <c r="BS632" s="242"/>
      <c r="BT632" s="203"/>
      <c r="BU632" s="892"/>
      <c r="BV632" s="892"/>
      <c r="BW632" s="992"/>
      <c r="BX632" s="989" t="s">
        <v>2920</v>
      </c>
      <c r="BY632" s="991">
        <v>0.05</v>
      </c>
      <c r="BZ632" s="262">
        <v>0</v>
      </c>
      <c r="CA632" s="986">
        <f t="shared" si="96"/>
        <v>0</v>
      </c>
      <c r="CB632" s="993"/>
      <c r="CC632" s="993"/>
      <c r="CD632" s="993"/>
      <c r="CE632" s="994"/>
      <c r="CF632" s="301"/>
      <c r="CG632" s="206"/>
      <c r="CH632" s="301"/>
      <c r="CI632" s="110"/>
      <c r="CJ632" s="226"/>
      <c r="CK632" s="110"/>
      <c r="CL632" s="110"/>
      <c r="CM632" s="226"/>
      <c r="CN632" s="110"/>
      <c r="CO632" s="110"/>
      <c r="CP632" s="226"/>
      <c r="CQ632" s="110"/>
      <c r="CR632" s="110"/>
      <c r="CS632" s="226"/>
      <c r="CT632" s="110"/>
      <c r="CU632" s="155"/>
      <c r="CV632" s="207"/>
      <c r="CW632" s="207"/>
      <c r="CX632" s="207"/>
      <c r="CY632" s="155"/>
      <c r="CZ632" s="155"/>
      <c r="DA632" s="849"/>
      <c r="DB632" s="115"/>
      <c r="DC632" s="766"/>
      <c r="DD632" s="242"/>
      <c r="DE632" s="242"/>
      <c r="DF632" s="242"/>
      <c r="DG632" s="729"/>
      <c r="DH632" s="730"/>
      <c r="DI632" s="729"/>
      <c r="DJ632" s="729"/>
      <c r="DK632" s="729"/>
      <c r="DL632" s="729"/>
      <c r="DM632" s="4"/>
    </row>
    <row r="633" spans="1:117" ht="45" hidden="1" outlineLevel="1">
      <c r="A633" s="228"/>
      <c r="B633" s="121"/>
      <c r="C633" s="155"/>
      <c r="D633" s="757"/>
      <c r="E633" s="757"/>
      <c r="F633" s="757"/>
      <c r="G633" s="939" t="s">
        <v>287</v>
      </c>
      <c r="H633" s="995" t="s">
        <v>3254</v>
      </c>
      <c r="I633" s="207"/>
      <c r="J633" s="121" t="str">
        <f t="shared" si="52"/>
        <v>Riccardo Masnaga</v>
      </c>
      <c r="K633" s="898"/>
      <c r="L633" s="876" t="s">
        <v>3255</v>
      </c>
      <c r="M633" s="828"/>
      <c r="N633" s="828"/>
      <c r="O633" s="975"/>
      <c r="P633" s="131"/>
      <c r="Q633" s="131"/>
      <c r="R633" s="131" t="s">
        <v>3256</v>
      </c>
      <c r="S633" s="224"/>
      <c r="T633" s="255"/>
      <c r="U633" s="255"/>
      <c r="V633" s="131"/>
      <c r="W633" s="131"/>
      <c r="X633" s="131"/>
      <c r="Y633" s="131"/>
      <c r="Z633" s="131"/>
      <c r="AA633" s="514"/>
      <c r="AB633" s="255"/>
      <c r="AC633" s="131"/>
      <c r="AD633" s="255" t="s">
        <v>3257</v>
      </c>
      <c r="AE633" s="626"/>
      <c r="AF633" s="627"/>
      <c r="AG633" s="628"/>
      <c r="AH633" s="629"/>
      <c r="AI633" s="515"/>
      <c r="AJ633" s="815"/>
      <c r="AK633" s="815"/>
      <c r="AL633" s="815"/>
      <c r="AM633" s="851"/>
      <c r="AN633" s="207"/>
      <c r="AO633" s="207"/>
      <c r="AP633" s="207"/>
      <c r="AQ633" s="515"/>
      <c r="AR633" s="304" t="s">
        <v>245</v>
      </c>
      <c r="AS633" s="304" t="s">
        <v>245</v>
      </c>
      <c r="AT633" s="304" t="s">
        <v>245</v>
      </c>
      <c r="AU633" s="568"/>
      <c r="AV633" s="304"/>
      <c r="AW633" s="304"/>
      <c r="AX633" s="304"/>
      <c r="AY633" s="568"/>
      <c r="AZ633" s="888"/>
      <c r="BA633" s="888"/>
      <c r="BB633" s="888"/>
      <c r="BC633" s="568"/>
      <c r="BD633" s="888"/>
      <c r="BE633" s="888"/>
      <c r="BF633" s="888"/>
      <c r="BG633" s="568"/>
      <c r="BH633" s="889">
        <v>3497</v>
      </c>
      <c r="BI633" s="808">
        <f>CH633</f>
        <v>163.93</v>
      </c>
      <c r="BJ633" s="902">
        <f t="shared" si="55"/>
        <v>3333.07</v>
      </c>
      <c r="BK633" s="261">
        <v>0</v>
      </c>
      <c r="BL633" s="986">
        <f>BH633-BK633</f>
        <v>3497</v>
      </c>
      <c r="BM633" s="769"/>
      <c r="BN633" s="769"/>
      <c r="BO633" s="769"/>
      <c r="BP633" s="996"/>
      <c r="BQ633" s="997"/>
      <c r="BR633" s="262">
        <f>BH633*BQ633</f>
        <v>0</v>
      </c>
      <c r="BS633" s="986"/>
      <c r="BT633" s="769"/>
      <c r="BU633" s="769"/>
      <c r="BV633" s="769"/>
      <c r="BW633" s="804"/>
      <c r="BX633" s="998"/>
      <c r="BY633" s="891"/>
      <c r="BZ633" s="262">
        <v>0</v>
      </c>
      <c r="CA633" s="986">
        <f t="shared" si="96"/>
        <v>0</v>
      </c>
      <c r="CB633" s="769"/>
      <c r="CC633" s="769"/>
      <c r="CD633" s="769"/>
      <c r="CE633" s="999"/>
      <c r="CF633" s="961">
        <v>163.93</v>
      </c>
      <c r="CG633" s="962">
        <v>44092</v>
      </c>
      <c r="CH633" s="961">
        <v>163.93</v>
      </c>
      <c r="CI633" s="961">
        <v>1409.82</v>
      </c>
      <c r="CJ633" s="962">
        <v>44112</v>
      </c>
      <c r="CK633" s="262"/>
      <c r="CL633" s="905">
        <v>1923.22</v>
      </c>
      <c r="CM633" s="226">
        <v>44169</v>
      </c>
      <c r="CN633" s="226"/>
      <c r="CO633" s="226"/>
      <c r="CP633" s="263"/>
      <c r="CQ633" s="110"/>
      <c r="CR633" s="110"/>
      <c r="CS633" s="110"/>
      <c r="CT633" s="110"/>
      <c r="CU633" s="264"/>
      <c r="CV633" s="331"/>
      <c r="CW633" s="331"/>
      <c r="CX633" s="331"/>
      <c r="CY633" s="264"/>
      <c r="CZ633" s="331"/>
      <c r="DA633" s="849"/>
      <c r="DB633" s="883"/>
      <c r="DC633" s="766"/>
      <c r="DD633" s="242"/>
      <c r="DE633" s="242"/>
      <c r="DF633" s="242"/>
      <c r="DG633" s="265"/>
      <c r="DH633" s="884"/>
      <c r="DI633" s="265"/>
      <c r="DJ633" s="265"/>
      <c r="DK633" s="265"/>
      <c r="DL633" s="265"/>
      <c r="DM633" s="4"/>
    </row>
    <row r="634" spans="1:117" ht="30" hidden="1" customHeight="1" outlineLevel="1">
      <c r="A634" s="228"/>
      <c r="B634" s="121"/>
      <c r="C634" s="155"/>
      <c r="D634" s="757"/>
      <c r="E634" s="757"/>
      <c r="F634" s="757"/>
      <c r="G634" s="840" t="s">
        <v>287</v>
      </c>
      <c r="H634" s="222" t="s">
        <v>2987</v>
      </c>
      <c r="I634" s="207" t="s">
        <v>3258</v>
      </c>
      <c r="J634" s="121" t="str">
        <f t="shared" si="52"/>
        <v>Riccardo Rossi</v>
      </c>
      <c r="K634" s="224">
        <v>3458397524</v>
      </c>
      <c r="L634" s="131"/>
      <c r="M634" s="131"/>
      <c r="N634" s="289"/>
      <c r="O634" s="562"/>
      <c r="P634" s="564" t="s">
        <v>2989</v>
      </c>
      <c r="Q634" s="564" t="s">
        <v>2989</v>
      </c>
      <c r="R634" s="131" t="s">
        <v>2990</v>
      </c>
      <c r="S634" s="207" t="s">
        <v>2991</v>
      </c>
      <c r="T634" s="207"/>
      <c r="U634" s="207"/>
      <c r="V634" s="207"/>
      <c r="W634" s="258"/>
      <c r="X634" s="558" t="s">
        <v>2988</v>
      </c>
      <c r="Y634" s="258"/>
      <c r="Z634" s="258"/>
      <c r="AA634" s="258"/>
      <c r="AB634" s="255" t="s">
        <v>2968</v>
      </c>
      <c r="AC634" s="131"/>
      <c r="AD634" s="255"/>
      <c r="AE634" s="131" t="s">
        <v>3259</v>
      </c>
      <c r="AF634" s="515"/>
      <c r="AG634" s="516" t="s">
        <v>115</v>
      </c>
      <c r="AH634" s="516" t="s">
        <v>115</v>
      </c>
      <c r="AI634" s="515"/>
      <c r="AJ634" s="258"/>
      <c r="AK634" s="258"/>
      <c r="AL634" s="258"/>
      <c r="AM634" s="627"/>
      <c r="AN634" s="155"/>
      <c r="AO634" s="155" t="s">
        <v>2404</v>
      </c>
      <c r="AP634" s="155" t="s">
        <v>2404</v>
      </c>
      <c r="AQ634" s="515"/>
      <c r="AR634" s="121"/>
      <c r="AS634" s="121"/>
      <c r="AT634" s="121"/>
      <c r="AU634" s="568"/>
      <c r="AV634" s="121"/>
      <c r="AW634" s="121"/>
      <c r="AX634" s="121"/>
      <c r="AY634" s="568"/>
      <c r="AZ634" s="617"/>
      <c r="BA634" s="617"/>
      <c r="BB634" s="617"/>
      <c r="BC634" s="568"/>
      <c r="BD634" s="617"/>
      <c r="BE634" s="617"/>
      <c r="BF634" s="617"/>
      <c r="BG634" s="568"/>
      <c r="BH634" s="760"/>
      <c r="BI634" s="808"/>
      <c r="BJ634" s="761">
        <f t="shared" si="55"/>
        <v>0</v>
      </c>
      <c r="BK634" s="110"/>
      <c r="BL634" s="242"/>
      <c r="BM634" s="203"/>
      <c r="BN634" s="203"/>
      <c r="BO634" s="203"/>
      <c r="BP634" s="529" t="s">
        <v>2920</v>
      </c>
      <c r="BQ634" s="145">
        <v>0.15</v>
      </c>
      <c r="BR634" s="110"/>
      <c r="BS634" s="242"/>
      <c r="BT634" s="203"/>
      <c r="BU634" s="203"/>
      <c r="BV634" s="203"/>
      <c r="BW634" s="160"/>
      <c r="BX634" s="529" t="s">
        <v>2920</v>
      </c>
      <c r="BY634" s="145">
        <v>0.05</v>
      </c>
      <c r="BZ634" s="110">
        <v>0</v>
      </c>
      <c r="CA634" s="242">
        <f t="shared" si="96"/>
        <v>0</v>
      </c>
      <c r="CB634" s="764"/>
      <c r="CC634" s="764"/>
      <c r="CD634" s="764"/>
      <c r="CE634" s="882"/>
      <c r="CF634" s="301"/>
      <c r="CG634" s="206"/>
      <c r="CH634" s="301"/>
      <c r="CI634" s="110"/>
      <c r="CJ634" s="226"/>
      <c r="CK634" s="110"/>
      <c r="CL634" s="110"/>
      <c r="CM634" s="226"/>
      <c r="CN634" s="110"/>
      <c r="CO634" s="110"/>
      <c r="CP634" s="226"/>
      <c r="CQ634" s="110"/>
      <c r="CR634" s="110"/>
      <c r="CS634" s="226"/>
      <c r="CT634" s="110"/>
      <c r="CU634" s="155" t="s">
        <v>2612</v>
      </c>
      <c r="CV634" s="181"/>
      <c r="CW634" s="181"/>
      <c r="CX634" s="181"/>
      <c r="CY634" s="121"/>
      <c r="CZ634" s="121"/>
      <c r="DA634" s="131"/>
      <c r="DB634" s="115"/>
      <c r="DC634" s="766"/>
      <c r="DD634" s="242"/>
      <c r="DE634" s="242"/>
      <c r="DF634" s="242"/>
      <c r="DG634" s="729"/>
      <c r="DH634" s="799"/>
      <c r="DI634" s="779"/>
      <c r="DJ634" s="779"/>
      <c r="DK634" s="779"/>
      <c r="DL634" s="779"/>
      <c r="DM634" s="4"/>
    </row>
    <row r="635" spans="1:117" ht="30" hidden="1" customHeight="1" outlineLevel="1">
      <c r="A635" s="228"/>
      <c r="B635" s="121"/>
      <c r="C635" s="155"/>
      <c r="D635" s="757"/>
      <c r="E635" s="757"/>
      <c r="F635" s="757"/>
      <c r="G635" s="1000" t="s">
        <v>822</v>
      </c>
      <c r="H635" s="1001" t="s">
        <v>3260</v>
      </c>
      <c r="I635" s="207"/>
      <c r="J635" s="121" t="str">
        <f t="shared" si="52"/>
        <v>Roberto Gaddoni</v>
      </c>
      <c r="K635" s="224"/>
      <c r="L635" s="183"/>
      <c r="M635" s="183"/>
      <c r="N635" s="1002"/>
      <c r="O635" s="562"/>
      <c r="P635" s="207"/>
      <c r="Q635" s="207"/>
      <c r="R635" s="131"/>
      <c r="S635" s="207"/>
      <c r="T635" s="207"/>
      <c r="U635" s="207"/>
      <c r="V635" s="207"/>
      <c r="W635" s="207"/>
      <c r="X635" s="131"/>
      <c r="Y635" s="207"/>
      <c r="Z635" s="207"/>
      <c r="AA635" s="207"/>
      <c r="AB635" s="207"/>
      <c r="AC635" s="131"/>
      <c r="AD635" s="155"/>
      <c r="AE635" s="131"/>
      <c r="AF635" s="627"/>
      <c r="AG635" s="629"/>
      <c r="AH635" s="629"/>
      <c r="AI635" s="515"/>
      <c r="AJ635" s="155"/>
      <c r="AK635" s="155"/>
      <c r="AL635" s="155"/>
      <c r="AM635" s="515"/>
      <c r="AN635" s="207"/>
      <c r="AO635" s="207"/>
      <c r="AP635" s="207"/>
      <c r="AQ635" s="515"/>
      <c r="AR635" s="181"/>
      <c r="AS635" s="181"/>
      <c r="AT635" s="121"/>
      <c r="AU635" s="568"/>
      <c r="AV635" s="181"/>
      <c r="AW635" s="181"/>
      <c r="AX635" s="121"/>
      <c r="AY635" s="568"/>
      <c r="AZ635" s="617"/>
      <c r="BA635" s="617"/>
      <c r="BB635" s="617"/>
      <c r="BC635" s="568"/>
      <c r="BD635" s="617"/>
      <c r="BE635" s="617"/>
      <c r="BF635" s="617"/>
      <c r="BG635" s="568"/>
      <c r="BH635" s="760"/>
      <c r="BI635" s="808"/>
      <c r="BJ635" s="761">
        <f t="shared" si="55"/>
        <v>0</v>
      </c>
      <c r="BK635" s="110"/>
      <c r="BL635" s="242"/>
      <c r="BM635" s="203"/>
      <c r="BN635" s="203"/>
      <c r="BO635" s="203"/>
      <c r="BP635" s="131"/>
      <c r="BQ635" s="131"/>
      <c r="BR635" s="110"/>
      <c r="BS635" s="242"/>
      <c r="BT635" s="203"/>
      <c r="BU635" s="203"/>
      <c r="BV635" s="203"/>
      <c r="BW635" s="160"/>
      <c r="BX635" s="131"/>
      <c r="BY635" s="207"/>
      <c r="BZ635" s="110">
        <v>0</v>
      </c>
      <c r="CA635" s="242">
        <f t="shared" si="96"/>
        <v>0</v>
      </c>
      <c r="CB635" s="764"/>
      <c r="CC635" s="764"/>
      <c r="CD635" s="764"/>
      <c r="CE635" s="160"/>
      <c r="CF635" s="301"/>
      <c r="CG635" s="206"/>
      <c r="CH635" s="301"/>
      <c r="CI635" s="110"/>
      <c r="CJ635" s="226"/>
      <c r="CK635" s="110"/>
      <c r="CL635" s="110"/>
      <c r="CM635" s="226"/>
      <c r="CN635" s="110"/>
      <c r="CO635" s="110"/>
      <c r="CP635" s="226"/>
      <c r="CQ635" s="110"/>
      <c r="CR635" s="110"/>
      <c r="CS635" s="226"/>
      <c r="CT635" s="110"/>
      <c r="CU635" s="264"/>
      <c r="CV635" s="331"/>
      <c r="CW635" s="331"/>
      <c r="CX635" s="331"/>
      <c r="CY635" s="264"/>
      <c r="CZ635" s="331"/>
      <c r="DA635" s="849"/>
      <c r="DB635" s="883"/>
      <c r="DC635" s="1003"/>
      <c r="DD635" s="242"/>
      <c r="DE635" s="242"/>
      <c r="DF635" s="242"/>
      <c r="DG635" s="265"/>
      <c r="DH635" s="884"/>
      <c r="DI635" s="265"/>
      <c r="DJ635" s="265"/>
      <c r="DK635" s="265"/>
      <c r="DL635" s="265"/>
      <c r="DM635" s="4"/>
    </row>
    <row r="636" spans="1:117" ht="30" hidden="1" customHeight="1" outlineLevel="1">
      <c r="A636" s="228"/>
      <c r="B636" s="121"/>
      <c r="C636" s="155"/>
      <c r="D636" s="757"/>
      <c r="E636" s="757"/>
      <c r="F636" s="757"/>
      <c r="G636" s="846" t="s">
        <v>822</v>
      </c>
      <c r="H636" s="987" t="s">
        <v>3261</v>
      </c>
      <c r="I636" s="207" t="s">
        <v>3262</v>
      </c>
      <c r="J636" s="121" t="str">
        <f t="shared" si="52"/>
        <v>Roberto Marchini</v>
      </c>
      <c r="K636" s="848">
        <v>3394337434</v>
      </c>
      <c r="L636" s="849"/>
      <c r="M636" s="828"/>
      <c r="N636" s="828"/>
      <c r="O636" s="975"/>
      <c r="P636" s="850" t="s">
        <v>3263</v>
      </c>
      <c r="Q636" s="850" t="s">
        <v>3263</v>
      </c>
      <c r="R636" s="828" t="s">
        <v>3264</v>
      </c>
      <c r="S636" s="828" t="s">
        <v>3265</v>
      </c>
      <c r="T636" s="828"/>
      <c r="U636" s="828"/>
      <c r="V636" s="828"/>
      <c r="W636" s="850"/>
      <c r="X636" s="131" t="s">
        <v>3262</v>
      </c>
      <c r="Y636" s="850"/>
      <c r="Z636" s="850"/>
      <c r="AA636" s="850"/>
      <c r="AB636" s="850" t="s">
        <v>3266</v>
      </c>
      <c r="AC636" s="131"/>
      <c r="AD636" s="850"/>
      <c r="AE636" s="828"/>
      <c r="AF636" s="851"/>
      <c r="AG636" s="852" t="s">
        <v>115</v>
      </c>
      <c r="AH636" s="852" t="s">
        <v>115</v>
      </c>
      <c r="AI636" s="515"/>
      <c r="AJ636" s="207"/>
      <c r="AK636" s="207"/>
      <c r="AL636" s="207"/>
      <c r="AM636" s="627"/>
      <c r="AN636" s="815"/>
      <c r="AO636" s="815" t="s">
        <v>154</v>
      </c>
      <c r="AP636" s="815" t="s">
        <v>2404</v>
      </c>
      <c r="AQ636" s="515"/>
      <c r="AR636" s="609"/>
      <c r="AS636" s="121"/>
      <c r="AT636" s="121"/>
      <c r="AU636" s="568"/>
      <c r="AV636" s="609"/>
      <c r="AW636" s="121"/>
      <c r="AX636" s="121"/>
      <c r="AY636" s="568"/>
      <c r="AZ636" s="617"/>
      <c r="BA636" s="617"/>
      <c r="BB636" s="617"/>
      <c r="BC636" s="568"/>
      <c r="BD636" s="617"/>
      <c r="BE636" s="617"/>
      <c r="BF636" s="617"/>
      <c r="BG636" s="568"/>
      <c r="BH636" s="760"/>
      <c r="BI636" s="808"/>
      <c r="BJ636" s="761">
        <f t="shared" si="55"/>
        <v>0</v>
      </c>
      <c r="BK636" s="110"/>
      <c r="BL636" s="242"/>
      <c r="BM636" s="203"/>
      <c r="BN636" s="203"/>
      <c r="BO636" s="203"/>
      <c r="BP636" s="828" t="s">
        <v>3267</v>
      </c>
      <c r="BQ636" s="856">
        <v>0</v>
      </c>
      <c r="BR636" s="110"/>
      <c r="BS636" s="242"/>
      <c r="BT636" s="203"/>
      <c r="BU636" s="203"/>
      <c r="BV636" s="203"/>
      <c r="BW636" s="857"/>
      <c r="BX636" s="828" t="s">
        <v>3001</v>
      </c>
      <c r="BY636" s="856">
        <v>0.05</v>
      </c>
      <c r="BZ636" s="110">
        <v>0</v>
      </c>
      <c r="CA636" s="242">
        <f t="shared" si="96"/>
        <v>0</v>
      </c>
      <c r="CB636" s="764"/>
      <c r="CC636" s="764"/>
      <c r="CD636" s="764"/>
      <c r="CE636" s="943"/>
      <c r="CF636" s="301"/>
      <c r="CG636" s="206"/>
      <c r="CH636" s="301"/>
      <c r="CI636" s="110"/>
      <c r="CJ636" s="226"/>
      <c r="CK636" s="110"/>
      <c r="CL636" s="110"/>
      <c r="CM636" s="226"/>
      <c r="CN636" s="110"/>
      <c r="CO636" s="110"/>
      <c r="CP636" s="226"/>
      <c r="CQ636" s="110"/>
      <c r="CR636" s="110"/>
      <c r="CS636" s="226"/>
      <c r="CT636" s="110"/>
      <c r="CU636" s="155"/>
      <c r="CV636" s="207"/>
      <c r="CW636" s="207"/>
      <c r="CX636" s="207"/>
      <c r="CY636" s="155"/>
      <c r="CZ636" s="155"/>
      <c r="DA636" s="849"/>
      <c r="DB636" s="115"/>
      <c r="DC636" s="766"/>
      <c r="DD636" s="242"/>
      <c r="DE636" s="242"/>
      <c r="DF636" s="242"/>
      <c r="DG636" s="729"/>
      <c r="DH636" s="730"/>
      <c r="DI636" s="729"/>
      <c r="DJ636" s="729"/>
      <c r="DK636" s="729"/>
      <c r="DL636" s="729"/>
      <c r="DM636" s="4"/>
    </row>
    <row r="637" spans="1:117" ht="30" hidden="1" customHeight="1" outlineLevel="1">
      <c r="A637" s="228"/>
      <c r="B637" s="121"/>
      <c r="C637" s="155"/>
      <c r="D637" s="757"/>
      <c r="E637" s="757"/>
      <c r="F637" s="757"/>
      <c r="G637" s="864" t="s">
        <v>822</v>
      </c>
      <c r="H637" s="865" t="s">
        <v>3268</v>
      </c>
      <c r="I637" s="207" t="s">
        <v>3269</v>
      </c>
      <c r="J637" s="121" t="str">
        <f t="shared" si="52"/>
        <v>Roberto Montella</v>
      </c>
      <c r="K637" s="848">
        <v>3395853364</v>
      </c>
      <c r="L637" s="849"/>
      <c r="M637" s="828"/>
      <c r="N637" s="828"/>
      <c r="O637" s="975"/>
      <c r="P637" s="850" t="s">
        <v>3270</v>
      </c>
      <c r="Q637" s="1004" t="s">
        <v>3270</v>
      </c>
      <c r="R637" s="828" t="s">
        <v>3271</v>
      </c>
      <c r="S637" s="828" t="s">
        <v>3272</v>
      </c>
      <c r="T637" s="828"/>
      <c r="U637" s="828"/>
      <c r="V637" s="828"/>
      <c r="W637" s="850"/>
      <c r="X637" s="131" t="s">
        <v>3269</v>
      </c>
      <c r="Y637" s="850"/>
      <c r="Z637" s="850"/>
      <c r="AA637" s="850"/>
      <c r="AB637" s="1005" t="s">
        <v>3273</v>
      </c>
      <c r="AC637" s="131"/>
      <c r="AD637" s="850"/>
      <c r="AE637" s="828"/>
      <c r="AF637" s="851"/>
      <c r="AG637" s="852" t="s">
        <v>115</v>
      </c>
      <c r="AH637" s="852" t="s">
        <v>115</v>
      </c>
      <c r="AI637" s="515"/>
      <c r="AJ637" s="815"/>
      <c r="AK637" s="815"/>
      <c r="AL637" s="815"/>
      <c r="AM637" s="851"/>
      <c r="AN637" s="815"/>
      <c r="AO637" s="976" t="s">
        <v>154</v>
      </c>
      <c r="AP637" s="976" t="s">
        <v>2404</v>
      </c>
      <c r="AQ637" s="515"/>
      <c r="AR637" s="609"/>
      <c r="AS637" s="121"/>
      <c r="AT637" s="121"/>
      <c r="AU637" s="568"/>
      <c r="AV637" s="609"/>
      <c r="AW637" s="121"/>
      <c r="AX637" s="121"/>
      <c r="AY637" s="568"/>
      <c r="AZ637" s="617"/>
      <c r="BA637" s="617"/>
      <c r="BB637" s="617"/>
      <c r="BC637" s="568"/>
      <c r="BD637" s="617"/>
      <c r="BE637" s="617"/>
      <c r="BF637" s="617"/>
      <c r="BG637" s="568"/>
      <c r="BH637" s="760"/>
      <c r="BI637" s="808"/>
      <c r="BJ637" s="761">
        <f t="shared" si="55"/>
        <v>0</v>
      </c>
      <c r="BK637" s="110"/>
      <c r="BL637" s="242"/>
      <c r="BM637" s="203"/>
      <c r="BN637" s="203"/>
      <c r="BO637" s="203"/>
      <c r="BP637" s="828" t="s">
        <v>2919</v>
      </c>
      <c r="BQ637" s="856">
        <v>0.15</v>
      </c>
      <c r="BR637" s="110"/>
      <c r="BS637" s="242"/>
      <c r="BT637" s="203"/>
      <c r="BU637" s="203"/>
      <c r="BV637" s="203"/>
      <c r="BW637" s="857"/>
      <c r="BX637" s="828" t="s">
        <v>2919</v>
      </c>
      <c r="BY637" s="856">
        <v>0.05</v>
      </c>
      <c r="BZ637" s="110">
        <v>0</v>
      </c>
      <c r="CA637" s="242">
        <f t="shared" si="96"/>
        <v>0</v>
      </c>
      <c r="CB637" s="764"/>
      <c r="CC637" s="764"/>
      <c r="CD637" s="764"/>
      <c r="CE637" s="943"/>
      <c r="CF637" s="301"/>
      <c r="CG637" s="206"/>
      <c r="CH637" s="301"/>
      <c r="CI637" s="110"/>
      <c r="CJ637" s="226"/>
      <c r="CK637" s="110"/>
      <c r="CL637" s="110"/>
      <c r="CM637" s="226"/>
      <c r="CN637" s="110"/>
      <c r="CO637" s="110"/>
      <c r="CP637" s="226"/>
      <c r="CQ637" s="110"/>
      <c r="CR637" s="110"/>
      <c r="CS637" s="226"/>
      <c r="CT637" s="110"/>
      <c r="CU637" s="155"/>
      <c r="CV637" s="207"/>
      <c r="CW637" s="207"/>
      <c r="CX637" s="207"/>
      <c r="CY637" s="155"/>
      <c r="CZ637" s="155"/>
      <c r="DA637" s="849"/>
      <c r="DB637" s="115"/>
      <c r="DC637" s="766"/>
      <c r="DD637" s="242"/>
      <c r="DE637" s="242"/>
      <c r="DF637" s="242"/>
      <c r="DG637" s="729"/>
      <c r="DH637" s="730"/>
      <c r="DI637" s="729"/>
      <c r="DJ637" s="729"/>
      <c r="DK637" s="729"/>
      <c r="DL637" s="729"/>
      <c r="DM637" s="4"/>
    </row>
    <row r="638" spans="1:117" ht="30" hidden="1" customHeight="1" outlineLevel="1">
      <c r="A638" s="228"/>
      <c r="B638" s="121"/>
      <c r="C638" s="155"/>
      <c r="D638" s="757"/>
      <c r="E638" s="757"/>
      <c r="F638" s="757"/>
      <c r="G638" s="840" t="s">
        <v>3274</v>
      </c>
      <c r="H638" s="222" t="s">
        <v>3275</v>
      </c>
      <c r="I638" s="207" t="s">
        <v>3276</v>
      </c>
      <c r="J638" s="121" t="str">
        <f t="shared" si="52"/>
        <v>Romina Sabatini</v>
      </c>
      <c r="K638" s="224"/>
      <c r="L638" s="131"/>
      <c r="M638" s="131"/>
      <c r="N638" s="289"/>
      <c r="O638" s="562"/>
      <c r="P638" s="131"/>
      <c r="Q638" s="131"/>
      <c r="R638" s="131" t="s">
        <v>3277</v>
      </c>
      <c r="S638" s="131"/>
      <c r="T638" s="131"/>
      <c r="U638" s="131"/>
      <c r="V638" s="131"/>
      <c r="W638" s="131"/>
      <c r="X638" s="131"/>
      <c r="Y638" s="131"/>
      <c r="Z638" s="131"/>
      <c r="AA638" s="131"/>
      <c r="AB638" s="255"/>
      <c r="AC638" s="131"/>
      <c r="AD638" s="155"/>
      <c r="AE638" s="131" t="s">
        <v>3278</v>
      </c>
      <c r="AF638" s="515"/>
      <c r="AG638" s="155"/>
      <c r="AH638" s="155"/>
      <c r="AI638" s="515"/>
      <c r="AJ638" s="815"/>
      <c r="AK638" s="815"/>
      <c r="AL638" s="815"/>
      <c r="AM638" s="851"/>
      <c r="AN638" s="155"/>
      <c r="AO638" s="155"/>
      <c r="AP638" s="155"/>
      <c r="AQ638" s="515"/>
      <c r="AR638" s="121"/>
      <c r="AS638" s="121"/>
      <c r="AT638" s="121"/>
      <c r="AU638" s="568"/>
      <c r="AV638" s="121"/>
      <c r="AW638" s="121"/>
      <c r="AX638" s="121"/>
      <c r="AY638" s="568"/>
      <c r="AZ638" s="617"/>
      <c r="BA638" s="617"/>
      <c r="BB638" s="617"/>
      <c r="BC638" s="568"/>
      <c r="BD638" s="617"/>
      <c r="BE638" s="617"/>
      <c r="BF638" s="617"/>
      <c r="BG638" s="568"/>
      <c r="BH638" s="760"/>
      <c r="BI638" s="808"/>
      <c r="BJ638" s="761">
        <f t="shared" si="55"/>
        <v>0</v>
      </c>
      <c r="BK638" s="110"/>
      <c r="BL638" s="242"/>
      <c r="BM638" s="203"/>
      <c r="BN638" s="203"/>
      <c r="BO638" s="203"/>
      <c r="BP638" s="529" t="s">
        <v>3279</v>
      </c>
      <c r="BQ638" s="145">
        <v>0.05</v>
      </c>
      <c r="BR638" s="110"/>
      <c r="BS638" s="242"/>
      <c r="BT638" s="203"/>
      <c r="BU638" s="203"/>
      <c r="BV638" s="203"/>
      <c r="BW638" s="843"/>
      <c r="BX638" s="529" t="s">
        <v>3279</v>
      </c>
      <c r="BY638" s="145">
        <v>0.05</v>
      </c>
      <c r="BZ638" s="110">
        <v>0</v>
      </c>
      <c r="CA638" s="242">
        <f t="shared" si="96"/>
        <v>0</v>
      </c>
      <c r="CB638" s="764"/>
      <c r="CC638" s="764"/>
      <c r="CD638" s="764"/>
      <c r="CE638" s="946"/>
      <c r="CF638" s="301"/>
      <c r="CG638" s="206"/>
      <c r="CH638" s="301"/>
      <c r="CI638" s="110"/>
      <c r="CJ638" s="226"/>
      <c r="CK638" s="110"/>
      <c r="CL638" s="110"/>
      <c r="CM638" s="226"/>
      <c r="CN638" s="110"/>
      <c r="CO638" s="110"/>
      <c r="CP638" s="226"/>
      <c r="CQ638" s="110"/>
      <c r="CR638" s="110"/>
      <c r="CS638" s="226"/>
      <c r="CT638" s="110"/>
      <c r="CU638" s="155" t="s">
        <v>3002</v>
      </c>
      <c r="CV638" s="181"/>
      <c r="CW638" s="181"/>
      <c r="CX638" s="181"/>
      <c r="CY638" s="121"/>
      <c r="CZ638" s="121"/>
      <c r="DA638" s="131"/>
      <c r="DB638" s="115"/>
      <c r="DC638" s="766"/>
      <c r="DD638" s="242"/>
      <c r="DE638" s="242"/>
      <c r="DF638" s="242"/>
      <c r="DG638" s="729"/>
      <c r="DH638" s="799"/>
      <c r="DI638" s="779"/>
      <c r="DJ638" s="779"/>
      <c r="DK638" s="779"/>
      <c r="DL638" s="779"/>
      <c r="DM638" s="4"/>
    </row>
    <row r="639" spans="1:117" ht="30" hidden="1" customHeight="1" outlineLevel="1">
      <c r="A639" s="228"/>
      <c r="B639" s="121"/>
      <c r="C639" s="155"/>
      <c r="D639" s="757"/>
      <c r="E639" s="757"/>
      <c r="F639" s="757"/>
      <c r="G639" s="846" t="s">
        <v>3280</v>
      </c>
      <c r="H639" s="987" t="s">
        <v>3281</v>
      </c>
      <c r="I639" s="207" t="s">
        <v>3282</v>
      </c>
      <c r="J639" s="121" t="str">
        <f t="shared" si="52"/>
        <v>Sarah Veronese</v>
      </c>
      <c r="K639" s="848">
        <v>3498873898</v>
      </c>
      <c r="L639" s="849"/>
      <c r="M639" s="828"/>
      <c r="N639" s="828"/>
      <c r="O639" s="975"/>
      <c r="P639" s="850"/>
      <c r="Q639" s="850" t="s">
        <v>3283</v>
      </c>
      <c r="R639" s="828" t="s">
        <v>3284</v>
      </c>
      <c r="S639" s="828" t="s">
        <v>3285</v>
      </c>
      <c r="T639" s="828"/>
      <c r="U639" s="828"/>
      <c r="V639" s="828"/>
      <c r="W639" s="850"/>
      <c r="X639" s="131" t="s">
        <v>3282</v>
      </c>
      <c r="Y639" s="850"/>
      <c r="Z639" s="850"/>
      <c r="AA639" s="850"/>
      <c r="AB639" s="850"/>
      <c r="AC639" s="131"/>
      <c r="AD639" s="850"/>
      <c r="AE639" s="828"/>
      <c r="AF639" s="851"/>
      <c r="AG639" s="852" t="s">
        <v>115</v>
      </c>
      <c r="AH639" s="852" t="s">
        <v>115</v>
      </c>
      <c r="AI639" s="515"/>
      <c r="AJ639" s="565" t="s">
        <v>165</v>
      </c>
      <c r="AK639" s="565" t="s">
        <v>165</v>
      </c>
      <c r="AL639" s="565" t="s">
        <v>165</v>
      </c>
      <c r="AM639" s="198"/>
      <c r="AN639" s="815"/>
      <c r="AO639" s="815" t="s">
        <v>154</v>
      </c>
      <c r="AP639" s="815" t="s">
        <v>2404</v>
      </c>
      <c r="AQ639" s="515"/>
      <c r="AR639" s="609"/>
      <c r="AS639" s="121"/>
      <c r="AT639" s="121"/>
      <c r="AU639" s="568"/>
      <c r="AV639" s="609"/>
      <c r="AW639" s="121"/>
      <c r="AX639" s="121"/>
      <c r="AY639" s="568"/>
      <c r="AZ639" s="617"/>
      <c r="BA639" s="617"/>
      <c r="BB639" s="617"/>
      <c r="BC639" s="568"/>
      <c r="BD639" s="617"/>
      <c r="BE639" s="617"/>
      <c r="BF639" s="617"/>
      <c r="BG639" s="568"/>
      <c r="BH639" s="760"/>
      <c r="BI639" s="808"/>
      <c r="BJ639" s="761">
        <f t="shared" si="55"/>
        <v>0</v>
      </c>
      <c r="BK639" s="110"/>
      <c r="BL639" s="242"/>
      <c r="BM639" s="203"/>
      <c r="BN639" s="203"/>
      <c r="BO639" s="203"/>
      <c r="BP639" s="828" t="s">
        <v>3286</v>
      </c>
      <c r="BQ639" s="856">
        <v>0</v>
      </c>
      <c r="BR639" s="110"/>
      <c r="BS639" s="242"/>
      <c r="BT639" s="203"/>
      <c r="BU639" s="203"/>
      <c r="BV639" s="203"/>
      <c r="BW639" s="857"/>
      <c r="BX639" s="828" t="s">
        <v>3001</v>
      </c>
      <c r="BY639" s="856">
        <v>0.05</v>
      </c>
      <c r="BZ639" s="110">
        <v>0</v>
      </c>
      <c r="CA639" s="242">
        <f t="shared" si="96"/>
        <v>0</v>
      </c>
      <c r="CB639" s="764"/>
      <c r="CC639" s="764"/>
      <c r="CD639" s="764"/>
      <c r="CE639" s="943"/>
      <c r="CF639" s="301"/>
      <c r="CG639" s="206"/>
      <c r="CH639" s="301"/>
      <c r="CI639" s="110"/>
      <c r="CJ639" s="226"/>
      <c r="CK639" s="110"/>
      <c r="CL639" s="110"/>
      <c r="CM639" s="226"/>
      <c r="CN639" s="110"/>
      <c r="CO639" s="110"/>
      <c r="CP639" s="226"/>
      <c r="CQ639" s="110"/>
      <c r="CR639" s="110"/>
      <c r="CS639" s="226"/>
      <c r="CT639" s="110"/>
      <c r="CU639" s="155"/>
      <c r="CV639" s="207"/>
      <c r="CW639" s="207"/>
      <c r="CX639" s="207"/>
      <c r="CY639" s="155"/>
      <c r="CZ639" s="155"/>
      <c r="DA639" s="849"/>
      <c r="DB639" s="115"/>
      <c r="DC639" s="766"/>
      <c r="DD639" s="242"/>
      <c r="DE639" s="242"/>
      <c r="DF639" s="242"/>
      <c r="DG639" s="729"/>
      <c r="DH639" s="730"/>
      <c r="DI639" s="729"/>
      <c r="DJ639" s="729"/>
      <c r="DK639" s="729"/>
      <c r="DL639" s="729"/>
      <c r="DM639" s="4"/>
    </row>
    <row r="640" spans="1:117" ht="30" hidden="1" customHeight="1" outlineLevel="1">
      <c r="A640" s="228"/>
      <c r="B640" s="121"/>
      <c r="C640" s="155"/>
      <c r="D640" s="757"/>
      <c r="E640" s="757"/>
      <c r="F640" s="757"/>
      <c r="G640" s="1006" t="s">
        <v>2115</v>
      </c>
      <c r="H640" s="974" t="s">
        <v>3287</v>
      </c>
      <c r="I640" s="207" t="s">
        <v>3288</v>
      </c>
      <c r="J640" s="259" t="str">
        <f t="shared" si="52"/>
        <v>Serena Conte</v>
      </c>
      <c r="K640" s="848">
        <v>3927686326</v>
      </c>
      <c r="L640" s="849"/>
      <c r="M640" s="828"/>
      <c r="N640" s="828"/>
      <c r="O640" s="975"/>
      <c r="P640" s="850" t="s">
        <v>3289</v>
      </c>
      <c r="Q640" s="850"/>
      <c r="R640" s="828" t="s">
        <v>3290</v>
      </c>
      <c r="S640" s="828" t="s">
        <v>3291</v>
      </c>
      <c r="T640" s="828"/>
      <c r="U640" s="828"/>
      <c r="V640" s="828"/>
      <c r="W640" s="850"/>
      <c r="X640" s="131"/>
      <c r="Y640" s="850"/>
      <c r="Z640" s="850"/>
      <c r="AA640" s="850"/>
      <c r="AB640" s="850"/>
      <c r="AC640" s="131"/>
      <c r="AD640" s="850"/>
      <c r="AE640" s="828"/>
      <c r="AF640" s="851"/>
      <c r="AG640" s="852" t="s">
        <v>115</v>
      </c>
      <c r="AH640" s="852" t="s">
        <v>115</v>
      </c>
      <c r="AI640" s="515"/>
      <c r="AJ640" s="815" t="s">
        <v>154</v>
      </c>
      <c r="AK640" s="815" t="s">
        <v>154</v>
      </c>
      <c r="AL640" s="815" t="s">
        <v>154</v>
      </c>
      <c r="AM640" s="851"/>
      <c r="AN640" s="815"/>
      <c r="AO640" s="815" t="s">
        <v>2404</v>
      </c>
      <c r="AP640" s="815" t="s">
        <v>2404</v>
      </c>
      <c r="AQ640" s="515"/>
      <c r="AR640" s="609"/>
      <c r="AS640" s="121"/>
      <c r="AT640" s="121"/>
      <c r="AU640" s="568"/>
      <c r="AV640" s="609"/>
      <c r="AW640" s="121"/>
      <c r="AX640" s="121"/>
      <c r="AY640" s="568"/>
      <c r="AZ640" s="617"/>
      <c r="BA640" s="617"/>
      <c r="BB640" s="617"/>
      <c r="BC640" s="568"/>
      <c r="BD640" s="617"/>
      <c r="BE640" s="617"/>
      <c r="BF640" s="617"/>
      <c r="BG640" s="568"/>
      <c r="BH640" s="760"/>
      <c r="BI640" s="808"/>
      <c r="BJ640" s="761">
        <f t="shared" si="55"/>
        <v>0</v>
      </c>
      <c r="BK640" s="110"/>
      <c r="BL640" s="242"/>
      <c r="BM640" s="203"/>
      <c r="BN640" s="203"/>
      <c r="BO640" s="203"/>
      <c r="BP640" s="828" t="s">
        <v>3292</v>
      </c>
      <c r="BQ640" s="856">
        <v>0.15</v>
      </c>
      <c r="BR640" s="110"/>
      <c r="BS640" s="242"/>
      <c r="BT640" s="203"/>
      <c r="BU640" s="203"/>
      <c r="BV640" s="203"/>
      <c r="BW640" s="857"/>
      <c r="BX640" s="828" t="s">
        <v>3292</v>
      </c>
      <c r="BY640" s="856">
        <v>0.05</v>
      </c>
      <c r="BZ640" s="110">
        <v>0</v>
      </c>
      <c r="CA640" s="242">
        <f t="shared" si="96"/>
        <v>0</v>
      </c>
      <c r="CB640" s="764"/>
      <c r="CC640" s="764"/>
      <c r="CD640" s="764"/>
      <c r="CE640" s="943"/>
      <c r="CF640" s="301"/>
      <c r="CG640" s="206"/>
      <c r="CH640" s="301"/>
      <c r="CI640" s="110"/>
      <c r="CJ640" s="226"/>
      <c r="CK640" s="110"/>
      <c r="CL640" s="110"/>
      <c r="CM640" s="226"/>
      <c r="CN640" s="110"/>
      <c r="CO640" s="110"/>
      <c r="CP640" s="226"/>
      <c r="CQ640" s="110"/>
      <c r="CR640" s="110"/>
      <c r="CS640" s="226"/>
      <c r="CT640" s="110"/>
      <c r="CU640" s="155"/>
      <c r="CV640" s="207"/>
      <c r="CW640" s="207"/>
      <c r="CX640" s="207"/>
      <c r="CY640" s="155"/>
      <c r="CZ640" s="155"/>
      <c r="DA640" s="849"/>
      <c r="DB640" s="115"/>
      <c r="DC640" s="766"/>
      <c r="DD640" s="242"/>
      <c r="DE640" s="242"/>
      <c r="DF640" s="242"/>
      <c r="DG640" s="729"/>
      <c r="DH640" s="730"/>
      <c r="DI640" s="729"/>
      <c r="DJ640" s="729"/>
      <c r="DK640" s="729"/>
      <c r="DL640" s="729"/>
      <c r="DM640" s="4"/>
    </row>
    <row r="641" spans="1:130" ht="30" hidden="1" customHeight="1" outlineLevel="1">
      <c r="A641" s="228"/>
      <c r="B641" s="121"/>
      <c r="C641" s="155"/>
      <c r="D641" s="757"/>
      <c r="E641" s="757"/>
      <c r="F641" s="757"/>
      <c r="G641" s="181" t="s">
        <v>3293</v>
      </c>
      <c r="H641" s="181" t="s">
        <v>3294</v>
      </c>
      <c r="I641" s="207" t="s">
        <v>3295</v>
      </c>
      <c r="J641" s="121" t="str">
        <f t="shared" si="52"/>
        <v>Serge Rota</v>
      </c>
      <c r="K641" s="224"/>
      <c r="L641" s="131"/>
      <c r="M641" s="131"/>
      <c r="N641" s="131"/>
      <c r="O641" s="556"/>
      <c r="P641" s="37"/>
      <c r="Q641" s="37"/>
      <c r="R641" s="131" t="s">
        <v>3296</v>
      </c>
      <c r="S641" s="160"/>
      <c r="T641" s="160"/>
      <c r="U641" s="160"/>
      <c r="V641" s="160"/>
      <c r="W641" s="233"/>
      <c r="X641" s="131"/>
      <c r="Y641" s="233"/>
      <c r="Z641" s="233"/>
      <c r="AA641" s="233"/>
      <c r="AB641" s="37"/>
      <c r="AC641" s="131"/>
      <c r="AD641" s="37"/>
      <c r="AE641" s="131"/>
      <c r="AF641" s="515"/>
      <c r="AG641" s="406"/>
      <c r="AH641" s="406"/>
      <c r="AI641" s="515"/>
      <c r="AJ641" s="815" t="s">
        <v>154</v>
      </c>
      <c r="AK641" s="815" t="s">
        <v>154</v>
      </c>
      <c r="AL641" s="815" t="s">
        <v>154</v>
      </c>
      <c r="AM641" s="950"/>
      <c r="AN641" s="155"/>
      <c r="AO641" s="155"/>
      <c r="AP641" s="155"/>
      <c r="AQ641" s="515"/>
      <c r="AR641" s="121"/>
      <c r="AS641" s="121"/>
      <c r="AT641" s="121"/>
      <c r="AU641" s="568"/>
      <c r="AV641" s="121" t="s">
        <v>2369</v>
      </c>
      <c r="AW641" s="121" t="s">
        <v>2369</v>
      </c>
      <c r="AX641" s="121" t="s">
        <v>2369</v>
      </c>
      <c r="AY641" s="568"/>
      <c r="AZ641" s="617"/>
      <c r="BA641" s="617"/>
      <c r="BB641" s="617"/>
      <c r="BC641" s="568"/>
      <c r="BD641" s="617"/>
      <c r="BE641" s="617"/>
      <c r="BF641" s="617"/>
      <c r="BG641" s="568"/>
      <c r="BH641" s="760"/>
      <c r="BI641" s="808"/>
      <c r="BJ641" s="761">
        <f t="shared" si="55"/>
        <v>0</v>
      </c>
      <c r="BK641" s="110"/>
      <c r="BL641" s="242"/>
      <c r="BM641" s="203"/>
      <c r="BN641" s="203"/>
      <c r="BO641" s="203"/>
      <c r="BP641" s="131"/>
      <c r="BQ641" s="145"/>
      <c r="BR641" s="110"/>
      <c r="BS641" s="242"/>
      <c r="BT641" s="203"/>
      <c r="BU641" s="203"/>
      <c r="BV641" s="203"/>
      <c r="BW641" s="160"/>
      <c r="BX641" s="529"/>
      <c r="BY641" s="145"/>
      <c r="BZ641" s="110">
        <v>0</v>
      </c>
      <c r="CA641" s="242">
        <f t="shared" si="96"/>
        <v>0</v>
      </c>
      <c r="CB641" s="764"/>
      <c r="CC641" s="764"/>
      <c r="CD641" s="764"/>
      <c r="CE641" s="160"/>
      <c r="CF641" s="110"/>
      <c r="CG641" s="206"/>
      <c r="CH641" s="301"/>
      <c r="CI641" s="206"/>
      <c r="CJ641" s="206"/>
      <c r="CK641" s="206"/>
      <c r="CL641" s="206"/>
      <c r="CM641" s="206"/>
      <c r="CN641" s="206"/>
      <c r="CO641" s="206"/>
      <c r="CP641" s="206"/>
      <c r="CQ641" s="206"/>
      <c r="CR641" s="206"/>
      <c r="CS641" s="206"/>
      <c r="CT641" s="206"/>
      <c r="CU641" s="815" t="s">
        <v>2612</v>
      </c>
      <c r="CV641" s="181"/>
      <c r="CW641" s="181"/>
      <c r="CX641" s="207"/>
      <c r="CY641" s="155"/>
      <c r="CZ641" s="155"/>
      <c r="DA641" s="131"/>
      <c r="DB641" s="115"/>
      <c r="DC641" s="766"/>
      <c r="DD641" s="242"/>
      <c r="DE641" s="242"/>
      <c r="DF641" s="242"/>
      <c r="DG641" s="729"/>
      <c r="DH641" s="730"/>
      <c r="DI641" s="729"/>
      <c r="DJ641" s="729"/>
      <c r="DK641" s="729"/>
      <c r="DL641" s="729"/>
      <c r="DM641" s="4"/>
    </row>
    <row r="642" spans="1:130" ht="30" hidden="1" customHeight="1" outlineLevel="1">
      <c r="A642" s="228"/>
      <c r="B642" s="121"/>
      <c r="C642" s="155"/>
      <c r="D642" s="757"/>
      <c r="E642" s="757"/>
      <c r="F642" s="757"/>
      <c r="G642" s="923" t="s">
        <v>407</v>
      </c>
      <c r="H642" s="923" t="s">
        <v>3297</v>
      </c>
      <c r="I642" s="207" t="s">
        <v>3298</v>
      </c>
      <c r="J642" s="121" t="str">
        <f t="shared" si="52"/>
        <v>Stefano Battistello</v>
      </c>
      <c r="K642" s="848"/>
      <c r="L642" s="849"/>
      <c r="M642" s="828"/>
      <c r="N642" s="828"/>
      <c r="O642" s="1007"/>
      <c r="P642" s="850" t="s">
        <v>2913</v>
      </c>
      <c r="Q642" s="850" t="s">
        <v>2913</v>
      </c>
      <c r="R642" s="828" t="s">
        <v>2914</v>
      </c>
      <c r="S642" s="828" t="s">
        <v>2915</v>
      </c>
      <c r="T642" s="828"/>
      <c r="U642" s="828"/>
      <c r="V642" s="828"/>
      <c r="W642" s="850"/>
      <c r="X642" s="558" t="s">
        <v>2916</v>
      </c>
      <c r="Y642" s="850"/>
      <c r="Z642" s="850"/>
      <c r="AA642" s="850"/>
      <c r="AB642" s="850" t="s">
        <v>2917</v>
      </c>
      <c r="AC642" s="558" t="s">
        <v>2918</v>
      </c>
      <c r="AD642" s="850"/>
      <c r="AE642" s="828"/>
      <c r="AF642" s="851"/>
      <c r="AG642" s="852" t="s">
        <v>115</v>
      </c>
      <c r="AH642" s="852" t="s">
        <v>115</v>
      </c>
      <c r="AI642" s="515"/>
      <c r="AJ642" s="155"/>
      <c r="AK642" s="155"/>
      <c r="AL642" s="155"/>
      <c r="AM642" s="515"/>
      <c r="AN642" s="815"/>
      <c r="AO642" s="815" t="s">
        <v>2404</v>
      </c>
      <c r="AP642" s="815" t="s">
        <v>2404</v>
      </c>
      <c r="AQ642" s="515"/>
      <c r="AR642" s="609"/>
      <c r="AS642" s="609"/>
      <c r="AT642" s="609"/>
      <c r="AU642" s="568"/>
      <c r="AV642" s="609"/>
      <c r="AW642" s="609"/>
      <c r="AX642" s="609"/>
      <c r="AY642" s="568"/>
      <c r="AZ642" s="855"/>
      <c r="BA642" s="855"/>
      <c r="BB642" s="855"/>
      <c r="BC642" s="568"/>
      <c r="BD642" s="855"/>
      <c r="BE642" s="855"/>
      <c r="BF642" s="855"/>
      <c r="BG642" s="568"/>
      <c r="BH642" s="760"/>
      <c r="BI642" s="808"/>
      <c r="BJ642" s="761">
        <f t="shared" si="55"/>
        <v>0</v>
      </c>
      <c r="BK642" s="110"/>
      <c r="BL642" s="242"/>
      <c r="BM642" s="203"/>
      <c r="BN642" s="203"/>
      <c r="BO642" s="203"/>
      <c r="BP642" s="828" t="s">
        <v>2919</v>
      </c>
      <c r="BQ642" s="856">
        <v>0.15</v>
      </c>
      <c r="BR642" s="110"/>
      <c r="BS642" s="242"/>
      <c r="BT642" s="203"/>
      <c r="BU642" s="203"/>
      <c r="BV642" s="203"/>
      <c r="BW642" s="160"/>
      <c r="BX642" s="828" t="s">
        <v>2920</v>
      </c>
      <c r="BY642" s="856">
        <v>0.05</v>
      </c>
      <c r="BZ642" s="110">
        <v>0</v>
      </c>
      <c r="CA642" s="242">
        <f t="shared" si="96"/>
        <v>0</v>
      </c>
      <c r="CB642" s="764"/>
      <c r="CC642" s="764"/>
      <c r="CD642" s="764"/>
      <c r="CE642" s="882"/>
      <c r="CF642" s="110"/>
      <c r="CG642" s="226"/>
      <c r="CH642" s="110"/>
      <c r="CI642" s="110"/>
      <c r="CJ642" s="226"/>
      <c r="CK642" s="110"/>
      <c r="CL642" s="110"/>
      <c r="CM642" s="226"/>
      <c r="CN642" s="110"/>
      <c r="CO642" s="206"/>
      <c r="CP642" s="206"/>
      <c r="CQ642" s="206"/>
      <c r="CR642" s="206"/>
      <c r="CS642" s="206"/>
      <c r="CT642" s="206"/>
      <c r="CU642" s="155"/>
      <c r="CV642" s="207"/>
      <c r="CW642" s="207"/>
      <c r="CX642" s="207"/>
      <c r="CY642" s="155"/>
      <c r="CZ642" s="155"/>
      <c r="DA642" s="849"/>
      <c r="DB642" s="115"/>
      <c r="DC642" s="766"/>
      <c r="DD642" s="242"/>
      <c r="DE642" s="242"/>
      <c r="DF642" s="242"/>
      <c r="DG642" s="729"/>
      <c r="DH642" s="730"/>
      <c r="DI642" s="729"/>
      <c r="DJ642" s="729"/>
      <c r="DK642" s="729"/>
      <c r="DL642" s="729"/>
      <c r="DM642" s="4"/>
    </row>
    <row r="643" spans="1:130" ht="30" hidden="1" customHeight="1" outlineLevel="1">
      <c r="A643" s="228"/>
      <c r="B643" s="121"/>
      <c r="C643" s="155"/>
      <c r="D643" s="757"/>
      <c r="E643" s="757"/>
      <c r="F643" s="757"/>
      <c r="G643" s="181" t="s">
        <v>407</v>
      </c>
      <c r="H643" s="181" t="s">
        <v>3299</v>
      </c>
      <c r="I643" s="207" t="s">
        <v>3300</v>
      </c>
      <c r="J643" s="121" t="str">
        <f t="shared" si="52"/>
        <v>Stefano Ferrè</v>
      </c>
      <c r="K643" s="224"/>
      <c r="L643" s="131"/>
      <c r="M643" s="131"/>
      <c r="N643" s="289"/>
      <c r="O643" s="901"/>
      <c r="P643" s="564" t="s">
        <v>3301</v>
      </c>
      <c r="Q643" s="564" t="s">
        <v>3301</v>
      </c>
      <c r="R643" s="131" t="s">
        <v>3302</v>
      </c>
      <c r="S643" s="131" t="s">
        <v>3303</v>
      </c>
      <c r="T643" s="131"/>
      <c r="U643" s="131"/>
      <c r="V643" s="131"/>
      <c r="W643" s="258"/>
      <c r="X643" s="131" t="s">
        <v>3300</v>
      </c>
      <c r="Y643" s="258"/>
      <c r="Z643" s="258"/>
      <c r="AA643" s="258"/>
      <c r="AB643" s="255" t="s">
        <v>3304</v>
      </c>
      <c r="AC643" s="131"/>
      <c r="AD643" s="255"/>
      <c r="AE643" s="131"/>
      <c r="AF643" s="515"/>
      <c r="AG643" s="516" t="s">
        <v>115</v>
      </c>
      <c r="AH643" s="516" t="s">
        <v>115</v>
      </c>
      <c r="AI643" s="515"/>
      <c r="AJ643" s="815"/>
      <c r="AK643" s="815"/>
      <c r="AL643" s="815"/>
      <c r="AM643" s="851"/>
      <c r="AN643" s="155"/>
      <c r="AO643" s="155"/>
      <c r="AP643" s="155" t="s">
        <v>2404</v>
      </c>
      <c r="AQ643" s="515"/>
      <c r="AR643" s="121"/>
      <c r="AS643" s="121"/>
      <c r="AT643" s="121"/>
      <c r="AU643" s="568"/>
      <c r="AV643" s="121"/>
      <c r="AW643" s="121"/>
      <c r="AX643" s="121"/>
      <c r="AY643" s="568"/>
      <c r="AZ643" s="617"/>
      <c r="BA643" s="617"/>
      <c r="BB643" s="617"/>
      <c r="BC643" s="568"/>
      <c r="BD643" s="617"/>
      <c r="BE643" s="617"/>
      <c r="BF643" s="617"/>
      <c r="BG643" s="568"/>
      <c r="BH643" s="760"/>
      <c r="BI643" s="808"/>
      <c r="BJ643" s="761">
        <f t="shared" si="55"/>
        <v>0</v>
      </c>
      <c r="BK643" s="110"/>
      <c r="BL643" s="242"/>
      <c r="BM643" s="203"/>
      <c r="BN643" s="203"/>
      <c r="BO643" s="203"/>
      <c r="BP643" s="529" t="s">
        <v>3305</v>
      </c>
      <c r="BQ643" s="145">
        <v>0.1</v>
      </c>
      <c r="BR643" s="110"/>
      <c r="BS643" s="242"/>
      <c r="BT643" s="203"/>
      <c r="BU643" s="203"/>
      <c r="BV643" s="203"/>
      <c r="BW643" s="160"/>
      <c r="BX643" s="529" t="s">
        <v>3067</v>
      </c>
      <c r="BY643" s="145">
        <v>0.05</v>
      </c>
      <c r="BZ643" s="110">
        <v>0</v>
      </c>
      <c r="CA643" s="242">
        <f t="shared" si="96"/>
        <v>0</v>
      </c>
      <c r="CB643" s="764"/>
      <c r="CC643" s="764"/>
      <c r="CD643" s="764"/>
      <c r="CE643" s="882"/>
      <c r="CF643" s="110"/>
      <c r="CG643" s="226"/>
      <c r="CH643" s="110"/>
      <c r="CI643" s="110"/>
      <c r="CJ643" s="226"/>
      <c r="CK643" s="110"/>
      <c r="CL643" s="110"/>
      <c r="CM643" s="226"/>
      <c r="CN643" s="110"/>
      <c r="CO643" s="206"/>
      <c r="CP643" s="206"/>
      <c r="CQ643" s="206"/>
      <c r="CR643" s="206"/>
      <c r="CS643" s="206"/>
      <c r="CT643" s="206"/>
      <c r="CU643" s="155" t="s">
        <v>2612</v>
      </c>
      <c r="CV643" s="181"/>
      <c r="CW643" s="181"/>
      <c r="CX643" s="181"/>
      <c r="CY643" s="121"/>
      <c r="CZ643" s="121"/>
      <c r="DA643" s="131"/>
      <c r="DB643" s="115"/>
      <c r="DC643" s="766"/>
      <c r="DD643" s="242"/>
      <c r="DE643" s="242"/>
      <c r="DF643" s="242"/>
      <c r="DG643" s="729"/>
      <c r="DH643" s="799"/>
      <c r="DI643" s="779"/>
      <c r="DJ643" s="779"/>
      <c r="DK643" s="779"/>
      <c r="DL643" s="779"/>
      <c r="DM643" s="4"/>
    </row>
    <row r="644" spans="1:130" ht="45" hidden="1" outlineLevel="1">
      <c r="A644" s="228"/>
      <c r="B644" s="121"/>
      <c r="C644" s="155"/>
      <c r="D644" s="757"/>
      <c r="E644" s="757"/>
      <c r="F644" s="757"/>
      <c r="G644" s="885" t="s">
        <v>407</v>
      </c>
      <c r="H644" s="885" t="s">
        <v>3306</v>
      </c>
      <c r="I644" s="207"/>
      <c r="J644" s="121" t="str">
        <f t="shared" si="52"/>
        <v>Stefano Giordano</v>
      </c>
      <c r="K644" s="671"/>
      <c r="L644" s="876" t="s">
        <v>3307</v>
      </c>
      <c r="M644" s="131"/>
      <c r="N644" s="289"/>
      <c r="O644" s="901"/>
      <c r="P644" s="623"/>
      <c r="Q644" s="623"/>
      <c r="R644" s="624"/>
      <c r="S644" s="625"/>
      <c r="T644" s="255"/>
      <c r="U644" s="255"/>
      <c r="V644" s="131"/>
      <c r="W644" s="131"/>
      <c r="X644" s="131"/>
      <c r="Y644" s="131"/>
      <c r="Z644" s="131"/>
      <c r="AA644" s="514"/>
      <c r="AB644" s="255"/>
      <c r="AC644" s="131"/>
      <c r="AD644" s="255" t="s">
        <v>3308</v>
      </c>
      <c r="AE644" s="626"/>
      <c r="AF644" s="627"/>
      <c r="AG644" s="628"/>
      <c r="AH644" s="629"/>
      <c r="AI644" s="515"/>
      <c r="AJ644" s="155" t="s">
        <v>116</v>
      </c>
      <c r="AK644" s="155" t="s">
        <v>2992</v>
      </c>
      <c r="AL644" s="155"/>
      <c r="AM644" s="515"/>
      <c r="AN644" s="878" t="s">
        <v>245</v>
      </c>
      <c r="AO644" s="878" t="s">
        <v>245</v>
      </c>
      <c r="AP644" s="878" t="s">
        <v>245</v>
      </c>
      <c r="AQ644" s="515"/>
      <c r="AR644" s="304" t="s">
        <v>245</v>
      </c>
      <c r="AS644" s="304" t="s">
        <v>245</v>
      </c>
      <c r="AT644" s="304" t="s">
        <v>245</v>
      </c>
      <c r="AU644" s="568"/>
      <c r="AV644" s="304"/>
      <c r="AW644" s="304"/>
      <c r="AX644" s="304"/>
      <c r="AY644" s="568"/>
      <c r="AZ644" s="759"/>
      <c r="BA644" s="759"/>
      <c r="BB644" s="759"/>
      <c r="BC644" s="568"/>
      <c r="BD644" s="759"/>
      <c r="BE644" s="759"/>
      <c r="BF644" s="759"/>
      <c r="BG644" s="568"/>
      <c r="BH644" s="760">
        <v>2997</v>
      </c>
      <c r="BI644" s="808">
        <f>CH644</f>
        <v>163.93</v>
      </c>
      <c r="BJ644" s="808">
        <f t="shared" si="55"/>
        <v>2833.07</v>
      </c>
      <c r="BK644" s="261">
        <v>0</v>
      </c>
      <c r="BL644" s="986">
        <f>BH644-BK644</f>
        <v>2997</v>
      </c>
      <c r="BM644" s="769"/>
      <c r="BN644" s="769"/>
      <c r="BO644" s="769"/>
      <c r="BP644" s="899"/>
      <c r="BQ644" s="900"/>
      <c r="BR644" s="110">
        <f>BH644*BQ644</f>
        <v>0</v>
      </c>
      <c r="BS644" s="242"/>
      <c r="BT644" s="764"/>
      <c r="BU644" s="764"/>
      <c r="BV644" s="764"/>
      <c r="BW644" s="160"/>
      <c r="BX644" s="131"/>
      <c r="BY644" s="207"/>
      <c r="BZ644" s="110">
        <f>BP644*BY644</f>
        <v>0</v>
      </c>
      <c r="CA644" s="242"/>
      <c r="CB644" s="764"/>
      <c r="CC644" s="764"/>
      <c r="CD644" s="764"/>
      <c r="CE644" s="882"/>
      <c r="CF644" s="961">
        <v>163.93</v>
      </c>
      <c r="CG644" s="962">
        <v>43177</v>
      </c>
      <c r="CH644" s="961">
        <v>163.93</v>
      </c>
      <c r="CI644" s="961">
        <v>1409.82</v>
      </c>
      <c r="CJ644" s="962">
        <v>43198</v>
      </c>
      <c r="CK644" s="262"/>
      <c r="CL644" s="905">
        <v>1923.22</v>
      </c>
      <c r="CM644" s="226">
        <v>43224</v>
      </c>
      <c r="CN644" s="226"/>
      <c r="CO644" s="226"/>
      <c r="CP644" s="206"/>
      <c r="CQ644" s="206"/>
      <c r="CR644" s="206"/>
      <c r="CS644" s="206"/>
      <c r="CT644" s="206"/>
      <c r="CU644" s="264"/>
      <c r="CV644" s="331"/>
      <c r="CW644" s="331"/>
      <c r="CX644" s="331"/>
      <c r="CY644" s="264"/>
      <c r="CZ644" s="331"/>
      <c r="DA644" s="849"/>
      <c r="DB644" s="883"/>
      <c r="DC644" s="766"/>
      <c r="DD644" s="242"/>
      <c r="DE644" s="242"/>
      <c r="DF644" s="242"/>
      <c r="DG644" s="265"/>
      <c r="DH644" s="884"/>
      <c r="DI644" s="265"/>
      <c r="DJ644" s="265"/>
      <c r="DK644" s="265"/>
      <c r="DL644" s="265"/>
      <c r="DM644" s="4"/>
    </row>
    <row r="645" spans="1:130" ht="30" hidden="1" customHeight="1" outlineLevel="1">
      <c r="A645" s="228"/>
      <c r="B645" s="121"/>
      <c r="C645" s="155"/>
      <c r="D645" s="757"/>
      <c r="E645" s="757"/>
      <c r="F645" s="757"/>
      <c r="G645" s="369" t="s">
        <v>407</v>
      </c>
      <c r="H645" s="672" t="s">
        <v>3309</v>
      </c>
      <c r="I645" s="207" t="s">
        <v>3310</v>
      </c>
      <c r="J645" s="121" t="str">
        <f t="shared" si="52"/>
        <v>Stefano Iacomi</v>
      </c>
      <c r="K645" s="224">
        <v>3342830695</v>
      </c>
      <c r="L645" s="131"/>
      <c r="M645" s="131"/>
      <c r="N645" s="289"/>
      <c r="O645" s="901"/>
      <c r="P645" s="255"/>
      <c r="Q645" s="564" t="s">
        <v>3311</v>
      </c>
      <c r="R645" s="131" t="s">
        <v>3312</v>
      </c>
      <c r="S645" s="131" t="s">
        <v>3303</v>
      </c>
      <c r="T645" s="131"/>
      <c r="U645" s="131"/>
      <c r="V645" s="131"/>
      <c r="W645" s="258"/>
      <c r="X645" s="558" t="s">
        <v>3313</v>
      </c>
      <c r="Y645" s="258"/>
      <c r="Z645" s="258"/>
      <c r="AA645" s="258"/>
      <c r="AB645" s="255" t="s">
        <v>2275</v>
      </c>
      <c r="AC645" s="558" t="s">
        <v>3314</v>
      </c>
      <c r="AD645" s="255"/>
      <c r="AE645" s="131"/>
      <c r="AF645" s="515"/>
      <c r="AG645" s="516" t="s">
        <v>115</v>
      </c>
      <c r="AH645" s="516" t="s">
        <v>115</v>
      </c>
      <c r="AI645" s="515"/>
      <c r="AJ645" s="258"/>
      <c r="AK645" s="258"/>
      <c r="AL645" s="258"/>
      <c r="AM645" s="627"/>
      <c r="AN645" s="155"/>
      <c r="AO645" s="155" t="s">
        <v>154</v>
      </c>
      <c r="AP645" s="155" t="s">
        <v>2404</v>
      </c>
      <c r="AQ645" s="515"/>
      <c r="AR645" s="121"/>
      <c r="AS645" s="121"/>
      <c r="AT645" s="121"/>
      <c r="AU645" s="568"/>
      <c r="AV645" s="121"/>
      <c r="AW645" s="121"/>
      <c r="AX645" s="121"/>
      <c r="AY645" s="568"/>
      <c r="AZ645" s="617"/>
      <c r="BA645" s="617"/>
      <c r="BB645" s="617"/>
      <c r="BC645" s="568"/>
      <c r="BD645" s="617"/>
      <c r="BE645" s="617"/>
      <c r="BF645" s="617"/>
      <c r="BG645" s="568"/>
      <c r="BH645" s="760"/>
      <c r="BI645" s="808"/>
      <c r="BJ645" s="761">
        <f t="shared" si="55"/>
        <v>0</v>
      </c>
      <c r="BK645" s="110"/>
      <c r="BL645" s="242"/>
      <c r="BM645" s="203"/>
      <c r="BN645" s="203"/>
      <c r="BO645" s="203"/>
      <c r="BP645" s="529" t="s">
        <v>3315</v>
      </c>
      <c r="BQ645" s="145">
        <v>0</v>
      </c>
      <c r="BR645" s="110"/>
      <c r="BS645" s="242"/>
      <c r="BT645" s="203"/>
      <c r="BU645" s="203"/>
      <c r="BV645" s="203"/>
      <c r="BW645" s="160"/>
      <c r="BX645" s="529" t="s">
        <v>3067</v>
      </c>
      <c r="BY645" s="145">
        <v>0.05</v>
      </c>
      <c r="BZ645" s="110">
        <v>0</v>
      </c>
      <c r="CA645" s="242">
        <f>BL645*BY645</f>
        <v>0</v>
      </c>
      <c r="CB645" s="764"/>
      <c r="CC645" s="764"/>
      <c r="CD645" s="764"/>
      <c r="CE645" s="882"/>
      <c r="CF645" s="110"/>
      <c r="CG645" s="226"/>
      <c r="CH645" s="110"/>
      <c r="CI645" s="110"/>
      <c r="CJ645" s="226"/>
      <c r="CK645" s="110"/>
      <c r="CL645" s="110"/>
      <c r="CM645" s="226"/>
      <c r="CN645" s="110"/>
      <c r="CO645" s="110"/>
      <c r="CP645" s="226"/>
      <c r="CQ645" s="110"/>
      <c r="CR645" s="110"/>
      <c r="CS645" s="226"/>
      <c r="CT645" s="110"/>
      <c r="CU645" s="155" t="s">
        <v>2612</v>
      </c>
      <c r="CV645" s="181"/>
      <c r="CW645" s="181"/>
      <c r="CX645" s="181"/>
      <c r="CY645" s="121"/>
      <c r="CZ645" s="121"/>
      <c r="DA645" s="131"/>
      <c r="DB645" s="115"/>
      <c r="DC645" s="766"/>
      <c r="DD645" s="242"/>
      <c r="DE645" s="242"/>
      <c r="DF645" s="242"/>
      <c r="DG645" s="729"/>
      <c r="DH645" s="799"/>
      <c r="DI645" s="779"/>
      <c r="DJ645" s="779"/>
      <c r="DK645" s="779"/>
      <c r="DL645" s="779"/>
      <c r="DM645" s="4"/>
    </row>
    <row r="646" spans="1:130" ht="30" hidden="1" customHeight="1" outlineLevel="1">
      <c r="A646" s="228"/>
      <c r="B646" s="121"/>
      <c r="C646" s="155"/>
      <c r="D646" s="757"/>
      <c r="E646" s="757"/>
      <c r="F646" s="757"/>
      <c r="G646" s="1008" t="s">
        <v>1661</v>
      </c>
      <c r="H646" s="1008" t="s">
        <v>3316</v>
      </c>
      <c r="I646" s="207" t="s">
        <v>3317</v>
      </c>
      <c r="J646" s="121" t="str">
        <f t="shared" si="52"/>
        <v>Veronica Mirandola</v>
      </c>
      <c r="K646" s="224"/>
      <c r="L646" s="131"/>
      <c r="M646" s="131"/>
      <c r="N646" s="289"/>
      <c r="O646" s="901"/>
      <c r="P646" s="131"/>
      <c r="Q646" s="131"/>
      <c r="R646" s="131" t="s">
        <v>3318</v>
      </c>
      <c r="S646" s="131"/>
      <c r="T646" s="131"/>
      <c r="U646" s="131"/>
      <c r="V646" s="131"/>
      <c r="W646" s="131"/>
      <c r="X646" s="131"/>
      <c r="Y646" s="131"/>
      <c r="Z646" s="131"/>
      <c r="AA646" s="131"/>
      <c r="AB646" s="255"/>
      <c r="AC646" s="131"/>
      <c r="AD646" s="155"/>
      <c r="AE646" s="131" t="s">
        <v>3319</v>
      </c>
      <c r="AF646" s="515"/>
      <c r="AG646" s="155"/>
      <c r="AH646" s="155"/>
      <c r="AI646" s="515"/>
      <c r="AJ646" s="155"/>
      <c r="AK646" s="155"/>
      <c r="AL646" s="155"/>
      <c r="AM646" s="515"/>
      <c r="AN646" s="155"/>
      <c r="AO646" s="155"/>
      <c r="AP646" s="155"/>
      <c r="AQ646" s="515"/>
      <c r="AR646" s="304" t="s">
        <v>245</v>
      </c>
      <c r="AS646" s="304" t="s">
        <v>245</v>
      </c>
      <c r="AT646" s="304" t="s">
        <v>245</v>
      </c>
      <c r="AU646" s="568"/>
      <c r="AV646" s="304"/>
      <c r="AW646" s="304"/>
      <c r="AX646" s="304"/>
      <c r="AY646" s="568"/>
      <c r="AZ646" s="759"/>
      <c r="BA646" s="759"/>
      <c r="BB646" s="759"/>
      <c r="BC646" s="568"/>
      <c r="BD646" s="759"/>
      <c r="BE646" s="759"/>
      <c r="BF646" s="759"/>
      <c r="BG646" s="568"/>
      <c r="BH646" s="760"/>
      <c r="BI646" s="808"/>
      <c r="BJ646" s="761">
        <f t="shared" si="55"/>
        <v>0</v>
      </c>
      <c r="BK646" s="110"/>
      <c r="BL646" s="242"/>
      <c r="BM646" s="203"/>
      <c r="BN646" s="203"/>
      <c r="BO646" s="203"/>
      <c r="BP646" s="389" t="s">
        <v>3320</v>
      </c>
      <c r="BQ646" s="795">
        <v>0.15</v>
      </c>
      <c r="BR646" s="110"/>
      <c r="BS646" s="242"/>
      <c r="BT646" s="203"/>
      <c r="BU646" s="203"/>
      <c r="BV646" s="203"/>
      <c r="BW646" s="160"/>
      <c r="BX646" s="131" t="s">
        <v>184</v>
      </c>
      <c r="BY646" s="145">
        <v>0.05</v>
      </c>
      <c r="BZ646" s="110">
        <f>BH646*BY646</f>
        <v>0</v>
      </c>
      <c r="CA646" s="242"/>
      <c r="CB646" s="764"/>
      <c r="CC646" s="764"/>
      <c r="CD646" s="764"/>
      <c r="CE646" s="882"/>
      <c r="CF646" s="110"/>
      <c r="CG646" s="226"/>
      <c r="CH646" s="110"/>
      <c r="CI646" s="110"/>
      <c r="CJ646" s="226"/>
      <c r="CK646" s="110"/>
      <c r="CL646" s="110"/>
      <c r="CM646" s="226"/>
      <c r="CN646" s="110"/>
      <c r="CO646" s="110"/>
      <c r="CP646" s="226"/>
      <c r="CQ646" s="110"/>
      <c r="CR646" s="110"/>
      <c r="CS646" s="226"/>
      <c r="CT646" s="110"/>
      <c r="CU646" s="155" t="s">
        <v>2612</v>
      </c>
      <c r="CV646" s="181"/>
      <c r="CW646" s="181"/>
      <c r="CX646" s="181"/>
      <c r="CY646" s="121"/>
      <c r="CZ646" s="121"/>
      <c r="DA646" s="131"/>
      <c r="DB646" s="115"/>
      <c r="DC646" s="766"/>
      <c r="DD646" s="242"/>
      <c r="DE646" s="242"/>
      <c r="DF646" s="242"/>
      <c r="DG646" s="729"/>
      <c r="DH646" s="799"/>
      <c r="DI646" s="779"/>
      <c r="DJ646" s="779"/>
      <c r="DK646" s="779"/>
      <c r="DL646" s="779"/>
      <c r="DM646" s="4"/>
    </row>
    <row r="647" spans="1:130" ht="30" hidden="1" customHeight="1" outlineLevel="1">
      <c r="A647" s="228"/>
      <c r="B647" s="121"/>
      <c r="C647" s="155"/>
      <c r="D647" s="757"/>
      <c r="E647" s="757"/>
      <c r="F647" s="757"/>
      <c r="G647" s="923" t="s">
        <v>2175</v>
      </c>
      <c r="H647" s="923" t="s">
        <v>3321</v>
      </c>
      <c r="I647" s="207" t="s">
        <v>3322</v>
      </c>
      <c r="J647" s="121" t="str">
        <f t="shared" si="52"/>
        <v>Vincenzo D'onofrio</v>
      </c>
      <c r="K647" s="848" t="s">
        <v>3323</v>
      </c>
      <c r="L647" s="849"/>
      <c r="M647" s="828"/>
      <c r="N647" s="828"/>
      <c r="O647" s="1007"/>
      <c r="P647" s="850" t="s">
        <v>3324</v>
      </c>
      <c r="Q647" s="850" t="s">
        <v>3325</v>
      </c>
      <c r="R647" s="828" t="s">
        <v>3326</v>
      </c>
      <c r="S647" s="828" t="s">
        <v>3327</v>
      </c>
      <c r="T647" s="828"/>
      <c r="U647" s="828"/>
      <c r="V647" s="828"/>
      <c r="W647" s="850"/>
      <c r="X647" s="131"/>
      <c r="Y647" s="850"/>
      <c r="Z647" s="850"/>
      <c r="AA647" s="850"/>
      <c r="AB647" s="850"/>
      <c r="AC647" s="131"/>
      <c r="AD647" s="850"/>
      <c r="AE647" s="828"/>
      <c r="AF647" s="851"/>
      <c r="AG647" s="852" t="s">
        <v>115</v>
      </c>
      <c r="AH647" s="852" t="s">
        <v>115</v>
      </c>
      <c r="AI647" s="515"/>
      <c r="AJ647" s="155"/>
      <c r="AK647" s="155"/>
      <c r="AL647" s="155"/>
      <c r="AM647" s="198"/>
      <c r="AN647" s="815"/>
      <c r="AO647" s="815" t="s">
        <v>2404</v>
      </c>
      <c r="AP647" s="815" t="s">
        <v>2404</v>
      </c>
      <c r="AQ647" s="515"/>
      <c r="AR647" s="609"/>
      <c r="AS647" s="609"/>
      <c r="AT647" s="609"/>
      <c r="AU647" s="568"/>
      <c r="AV647" s="609"/>
      <c r="AW647" s="609"/>
      <c r="AX647" s="609"/>
      <c r="AY647" s="568"/>
      <c r="AZ647" s="855"/>
      <c r="BA647" s="855"/>
      <c r="BB647" s="855"/>
      <c r="BC647" s="568"/>
      <c r="BD647" s="855"/>
      <c r="BE647" s="855"/>
      <c r="BF647" s="855"/>
      <c r="BG647" s="568"/>
      <c r="BH647" s="760"/>
      <c r="BI647" s="808"/>
      <c r="BJ647" s="761">
        <f t="shared" si="55"/>
        <v>0</v>
      </c>
      <c r="BK647" s="110"/>
      <c r="BL647" s="242"/>
      <c r="BM647" s="203"/>
      <c r="BN647" s="203"/>
      <c r="BO647" s="203"/>
      <c r="BP647" s="828" t="s">
        <v>3159</v>
      </c>
      <c r="BQ647" s="856">
        <v>0.15</v>
      </c>
      <c r="BR647" s="110"/>
      <c r="BS647" s="242"/>
      <c r="BT647" s="203"/>
      <c r="BU647" s="203"/>
      <c r="BV647" s="203"/>
      <c r="BW647" s="160"/>
      <c r="BX647" s="828" t="s">
        <v>3159</v>
      </c>
      <c r="BY647" s="856">
        <v>0.05</v>
      </c>
      <c r="BZ647" s="110">
        <v>0</v>
      </c>
      <c r="CA647" s="242">
        <f t="shared" ref="CA647:CA648" si="112">BL647*BY647</f>
        <v>0</v>
      </c>
      <c r="CB647" s="764"/>
      <c r="CC647" s="764"/>
      <c r="CD647" s="764"/>
      <c r="CE647" s="882"/>
      <c r="CF647" s="110"/>
      <c r="CG647" s="226"/>
      <c r="CH647" s="110"/>
      <c r="CI647" s="110"/>
      <c r="CJ647" s="226"/>
      <c r="CK647" s="110"/>
      <c r="CL647" s="110"/>
      <c r="CM647" s="226"/>
      <c r="CN647" s="110"/>
      <c r="CO647" s="110"/>
      <c r="CP647" s="226"/>
      <c r="CQ647" s="110"/>
      <c r="CR647" s="110"/>
      <c r="CS647" s="226"/>
      <c r="CT647" s="110"/>
      <c r="CU647" s="155"/>
      <c r="CV647" s="207"/>
      <c r="CW647" s="207"/>
      <c r="CX647" s="207"/>
      <c r="CY647" s="155"/>
      <c r="CZ647" s="155"/>
      <c r="DA647" s="849"/>
      <c r="DB647" s="115"/>
      <c r="DC647" s="766"/>
      <c r="DD647" s="242"/>
      <c r="DE647" s="242"/>
      <c r="DF647" s="242"/>
      <c r="DG647" s="729"/>
      <c r="DH647" s="730"/>
      <c r="DI647" s="729"/>
      <c r="DJ647" s="729"/>
      <c r="DK647" s="729"/>
      <c r="DL647" s="729"/>
      <c r="DM647" s="4"/>
    </row>
    <row r="648" spans="1:130" ht="39.75" hidden="1" customHeight="1" outlineLevel="1">
      <c r="A648" s="228"/>
      <c r="B648" s="121"/>
      <c r="C648" s="155"/>
      <c r="D648" s="781"/>
      <c r="E648" s="781"/>
      <c r="F648" s="781"/>
      <c r="G648" s="830" t="s">
        <v>1307</v>
      </c>
      <c r="H648" s="830" t="s">
        <v>3328</v>
      </c>
      <c r="I648" s="294" t="s">
        <v>3329</v>
      </c>
      <c r="J648" s="121" t="str">
        <f t="shared" si="52"/>
        <v>Alberto Malerba</v>
      </c>
      <c r="K648" s="156">
        <v>3394895912</v>
      </c>
      <c r="L648" s="131"/>
      <c r="M648" s="131" t="s">
        <v>514</v>
      </c>
      <c r="N648" s="823" t="s">
        <v>3330</v>
      </c>
      <c r="O648" s="250"/>
      <c r="P648" s="251"/>
      <c r="Q648" s="131"/>
      <c r="R648" s="252"/>
      <c r="S648" s="254"/>
      <c r="T648" s="346"/>
      <c r="U648" s="253"/>
      <c r="V648" s="253"/>
      <c r="W648" s="251"/>
      <c r="X648" s="131"/>
      <c r="Y648" s="251"/>
      <c r="Z648" s="251"/>
      <c r="AA648" s="251"/>
      <c r="AB648" s="255"/>
      <c r="AC648" s="256"/>
      <c r="AD648" s="121"/>
      <c r="AE648" s="80">
        <f>L648</f>
        <v>0</v>
      </c>
      <c r="AF648" s="257"/>
      <c r="AG648" s="155"/>
      <c r="AH648" s="155"/>
      <c r="AI648" s="257"/>
      <c r="AJ648" s="815"/>
      <c r="AK648" s="815"/>
      <c r="AL648" s="815"/>
      <c r="AM648" s="950"/>
      <c r="AN648" s="258"/>
      <c r="AO648" s="258"/>
      <c r="AP648" s="258"/>
      <c r="AQ648" s="211"/>
      <c r="AR648" s="154" t="s">
        <v>165</v>
      </c>
      <c r="AS648" s="154" t="s">
        <v>165</v>
      </c>
      <c r="AT648" s="154" t="s">
        <v>165</v>
      </c>
      <c r="AU648" s="211"/>
      <c r="AV648" s="121"/>
      <c r="AW648" s="121"/>
      <c r="AX648" s="121"/>
      <c r="AY648" s="211"/>
      <c r="AZ648" s="617"/>
      <c r="BA648" s="617"/>
      <c r="BB648" s="617"/>
      <c r="BC648" s="211"/>
      <c r="BD648" s="617"/>
      <c r="BE648" s="617"/>
      <c r="BF648" s="617"/>
      <c r="BG648" s="211"/>
      <c r="BH648" s="760"/>
      <c r="BI648" s="808"/>
      <c r="BJ648" s="761">
        <f t="shared" si="55"/>
        <v>0</v>
      </c>
      <c r="BK648" s="110"/>
      <c r="BL648" s="242"/>
      <c r="BM648" s="203"/>
      <c r="BN648" s="818"/>
      <c r="BO648" s="818"/>
      <c r="BP648" s="363" t="s">
        <v>451</v>
      </c>
      <c r="BQ648" s="145"/>
      <c r="BR648" s="110"/>
      <c r="BS648" s="242"/>
      <c r="BT648" s="203"/>
      <c r="BU648" s="373"/>
      <c r="BV648" s="373"/>
      <c r="BW648" s="774"/>
      <c r="BX648" s="828" t="s">
        <v>184</v>
      </c>
      <c r="BY648" s="145"/>
      <c r="BZ648" s="262"/>
      <c r="CA648" s="242">
        <f t="shared" si="112"/>
        <v>0</v>
      </c>
      <c r="CB648" s="764"/>
      <c r="CC648" s="764"/>
      <c r="CD648" s="764"/>
      <c r="CE648" s="765"/>
      <c r="CF648" s="110"/>
      <c r="CG648" s="226"/>
      <c r="CH648" s="110"/>
      <c r="CI648" s="110"/>
      <c r="CJ648" s="348"/>
      <c r="CK648" s="110"/>
      <c r="CL648" s="110"/>
      <c r="CM648" s="263"/>
      <c r="CN648" s="110"/>
      <c r="CO648" s="110"/>
      <c r="CP648" s="226"/>
      <c r="CQ648" s="110"/>
      <c r="CR648" s="110"/>
      <c r="CS648" s="226"/>
      <c r="CT648" s="110"/>
      <c r="CU648" s="155"/>
      <c r="CV648" s="181"/>
      <c r="CW648" s="181"/>
      <c r="CX648" s="207"/>
      <c r="CY648" s="155"/>
      <c r="CZ648" s="155"/>
      <c r="DA648" s="131" t="s">
        <v>3331</v>
      </c>
      <c r="DB648" s="819" t="str">
        <f>N648</f>
        <v>Leyton</v>
      </c>
      <c r="DC648" s="845" t="s">
        <v>3330</v>
      </c>
      <c r="DD648" s="811"/>
      <c r="DE648" s="811" t="b">
        <f>IF(D648=1,IF(BJ648=0,BL648*BQ648,0))</f>
        <v>0</v>
      </c>
      <c r="DF648" s="811" t="b">
        <f>IF(D648=1,IF(BJ648=0,BL648*BY648,0))</f>
        <v>0</v>
      </c>
      <c r="DG648" s="729"/>
      <c r="DH648" s="799"/>
      <c r="DI648" s="729"/>
      <c r="DJ648" s="729"/>
      <c r="DK648" s="729"/>
      <c r="DL648" s="729"/>
      <c r="DM648" s="17"/>
      <c r="DN648" s="265"/>
      <c r="DO648" s="265"/>
      <c r="DP648" s="265"/>
      <c r="DQ648" s="265"/>
      <c r="DR648" s="265"/>
      <c r="DS648" s="265"/>
      <c r="DT648" s="265"/>
      <c r="DU648" s="265"/>
      <c r="DV648" s="265"/>
      <c r="DW648" s="265"/>
      <c r="DX648" s="265"/>
      <c r="DY648" s="265"/>
      <c r="DZ648" s="265"/>
    </row>
    <row r="649" spans="1:130" ht="24.75" customHeight="1" collapsed="1">
      <c r="A649" s="228"/>
      <c r="B649" s="3"/>
      <c r="C649" s="228"/>
      <c r="D649" s="228"/>
      <c r="E649" s="1009"/>
      <c r="F649" s="3"/>
      <c r="G649" s="729"/>
      <c r="H649" s="729"/>
      <c r="I649" s="729"/>
      <c r="J649" s="3"/>
      <c r="K649" s="1010"/>
      <c r="M649" s="12"/>
      <c r="N649" s="12"/>
      <c r="O649" s="1010"/>
      <c r="P649" s="1011"/>
      <c r="Q649" s="1011"/>
      <c r="R649" s="12"/>
      <c r="S649" s="12"/>
      <c r="T649" s="12"/>
      <c r="U649" s="12"/>
      <c r="V649" s="12"/>
      <c r="W649" s="1012"/>
      <c r="X649" s="1013"/>
      <c r="Y649" s="1012"/>
      <c r="Z649" s="1012"/>
      <c r="AA649" s="1012"/>
      <c r="AB649" s="1011"/>
      <c r="AC649" s="1011"/>
      <c r="AD649" s="1011"/>
      <c r="AE649" s="12"/>
      <c r="AF649" s="729"/>
      <c r="AG649" s="1014"/>
      <c r="AH649" s="1014"/>
      <c r="AI649" s="1014"/>
      <c r="AJ649" s="1014"/>
      <c r="AK649" s="1014"/>
      <c r="AL649" s="1014"/>
      <c r="AM649" s="1014"/>
      <c r="AN649" s="1014"/>
      <c r="AO649" s="729"/>
      <c r="AP649" s="729"/>
      <c r="AQ649" s="729"/>
      <c r="AR649" s="729"/>
      <c r="AS649" s="729"/>
      <c r="AT649" s="729"/>
      <c r="AU649" s="729"/>
      <c r="AV649" s="729"/>
      <c r="AW649" s="729"/>
      <c r="AX649" s="729"/>
      <c r="AY649" s="729"/>
      <c r="AZ649" s="729"/>
      <c r="BA649" s="729"/>
      <c r="BB649" s="729"/>
      <c r="BC649" s="729"/>
      <c r="BD649" s="729"/>
      <c r="BE649" s="729"/>
      <c r="BF649" s="729"/>
      <c r="BG649" s="729"/>
      <c r="BH649" s="729"/>
      <c r="BI649" s="729"/>
      <c r="BJ649" s="729"/>
      <c r="BK649" s="729"/>
      <c r="BL649" s="729"/>
      <c r="BM649" s="779"/>
      <c r="BN649" s="779"/>
      <c r="BO649" s="779"/>
      <c r="BP649" s="12"/>
      <c r="BQ649" s="729"/>
      <c r="BR649" s="729"/>
      <c r="BS649" s="729"/>
      <c r="BT649" s="779"/>
      <c r="BU649" s="779"/>
      <c r="BV649" s="779"/>
      <c r="BW649" s="2"/>
      <c r="BX649" s="12"/>
      <c r="BY649" s="729"/>
      <c r="BZ649" s="729"/>
      <c r="CA649" s="729"/>
      <c r="CB649" s="779"/>
      <c r="CC649" s="779"/>
      <c r="CD649" s="779"/>
      <c r="CE649" s="2"/>
      <c r="CF649" s="1015"/>
      <c r="CG649" s="729"/>
      <c r="CH649" s="729"/>
      <c r="CI649" s="729"/>
      <c r="CJ649" s="228"/>
      <c r="CK649" s="729"/>
      <c r="CL649" s="729"/>
      <c r="CM649" s="228"/>
      <c r="CN649" s="729"/>
      <c r="CO649" s="729"/>
      <c r="CP649" s="729"/>
      <c r="CQ649" s="729"/>
      <c r="CR649" s="729"/>
      <c r="CS649" s="729"/>
      <c r="CT649" s="729"/>
      <c r="CU649" s="228"/>
      <c r="CV649" s="779"/>
      <c r="CW649" s="779"/>
      <c r="CX649" s="729"/>
      <c r="CY649" s="228"/>
      <c r="CZ649" s="228"/>
      <c r="DA649" s="12"/>
      <c r="DB649" s="164"/>
      <c r="DC649" s="14"/>
      <c r="DD649" s="729"/>
      <c r="DE649" s="729"/>
      <c r="DF649" s="729"/>
      <c r="DG649" s="729"/>
      <c r="DH649" s="730"/>
      <c r="DI649" s="729"/>
      <c r="DJ649" s="729"/>
      <c r="DK649" s="729"/>
      <c r="DL649" s="729"/>
      <c r="DM649" s="4"/>
    </row>
    <row r="650" spans="1:130" ht="12.75" customHeight="1">
      <c r="A650" s="228"/>
      <c r="B650" s="3"/>
      <c r="C650" s="228"/>
      <c r="D650" s="228"/>
      <c r="E650" s="1009"/>
      <c r="F650" s="3"/>
      <c r="G650" s="729"/>
      <c r="H650" s="729"/>
      <c r="I650" s="729"/>
      <c r="J650" s="2177"/>
      <c r="K650" s="1010"/>
      <c r="L650" s="12"/>
      <c r="M650" s="12"/>
      <c r="N650" s="12"/>
      <c r="O650" s="1010"/>
      <c r="P650" s="1011"/>
      <c r="Q650" s="1011"/>
      <c r="R650" s="12"/>
      <c r="S650" s="12"/>
      <c r="T650" s="12"/>
      <c r="U650" s="12"/>
      <c r="V650" s="12"/>
      <c r="W650" s="1012"/>
      <c r="X650" s="1013"/>
      <c r="Y650" s="1012"/>
      <c r="Z650" s="1012"/>
      <c r="AA650" s="1012"/>
      <c r="AB650" s="1011"/>
      <c r="AC650" s="1011"/>
      <c r="AD650" s="1012"/>
      <c r="AE650" s="12"/>
      <c r="AF650" s="729"/>
      <c r="AG650" s="1014"/>
      <c r="AH650" s="1014"/>
      <c r="AI650" s="1014"/>
      <c r="AJ650" s="1014"/>
      <c r="AK650" s="1014"/>
      <c r="AL650" s="1014"/>
      <c r="AM650" s="1014"/>
      <c r="AN650" s="1014"/>
      <c r="AO650" s="729"/>
      <c r="AP650" s="729"/>
      <c r="AQ650" s="729"/>
      <c r="AR650" s="729"/>
      <c r="AS650" s="729"/>
      <c r="AT650" s="729"/>
      <c r="AU650" s="729"/>
      <c r="AV650" s="729"/>
      <c r="AW650" s="729"/>
      <c r="AX650" s="729"/>
      <c r="AY650" s="729"/>
      <c r="AZ650" s="729"/>
      <c r="BA650" s="729"/>
      <c r="BB650" s="729"/>
      <c r="BC650" s="729"/>
      <c r="BD650" s="729"/>
      <c r="BE650" s="729"/>
      <c r="BF650" s="729"/>
      <c r="BG650" s="729"/>
      <c r="BH650" s="1016"/>
      <c r="BI650" s="1017"/>
      <c r="BJ650" s="1018"/>
      <c r="BK650" s="729"/>
      <c r="BL650" s="729"/>
      <c r="BM650" s="779"/>
      <c r="BN650" s="779"/>
      <c r="BO650" s="779"/>
      <c r="BP650" s="12"/>
      <c r="BQ650" s="729"/>
      <c r="BR650" s="729"/>
      <c r="BS650" s="729"/>
      <c r="BT650" s="779"/>
      <c r="BU650" s="779"/>
      <c r="BV650" s="779"/>
      <c r="BW650" s="2"/>
      <c r="BX650" s="12"/>
      <c r="BY650" s="729"/>
      <c r="BZ650" s="729"/>
      <c r="CA650" s="729"/>
      <c r="CB650" s="779"/>
      <c r="CC650" s="779"/>
      <c r="CD650" s="779"/>
      <c r="CE650" s="2"/>
      <c r="CF650" s="729"/>
      <c r="CG650" s="729"/>
      <c r="CH650" s="729"/>
      <c r="CI650" s="729"/>
      <c r="CJ650" s="228"/>
      <c r="CK650" s="729"/>
      <c r="CL650" s="729"/>
      <c r="CM650" s="228"/>
      <c r="CN650" s="729"/>
      <c r="CO650" s="729"/>
      <c r="CP650" s="729"/>
      <c r="CQ650" s="729"/>
      <c r="CR650" s="729"/>
      <c r="CS650" s="729"/>
      <c r="CT650" s="729"/>
      <c r="CU650" s="228"/>
      <c r="CV650" s="779"/>
      <c r="CW650" s="779"/>
      <c r="CX650" s="729"/>
      <c r="CY650" s="228"/>
      <c r="CZ650" s="228"/>
      <c r="DA650" s="12"/>
      <c r="DB650" s="164"/>
      <c r="DC650" s="14"/>
      <c r="DD650" s="729"/>
      <c r="DE650" s="729"/>
      <c r="DF650" s="729"/>
      <c r="DG650" s="729"/>
      <c r="DH650" s="730"/>
      <c r="DI650" s="729"/>
      <c r="DJ650" s="729"/>
      <c r="DK650" s="729"/>
      <c r="DL650" s="729"/>
      <c r="DM650" s="4"/>
    </row>
    <row r="651" spans="1:130" ht="12.75" customHeight="1">
      <c r="A651" s="228"/>
      <c r="B651" s="3"/>
      <c r="C651" s="228"/>
      <c r="D651" s="228"/>
      <c r="E651" s="1009"/>
      <c r="F651" s="3"/>
      <c r="G651" s="729"/>
      <c r="H651" s="729"/>
      <c r="I651" s="729"/>
      <c r="J651" s="3"/>
      <c r="K651" s="1010"/>
      <c r="L651" s="12"/>
      <c r="M651" s="12"/>
      <c r="N651" s="12"/>
      <c r="O651" s="1010"/>
      <c r="P651" s="1011"/>
      <c r="Q651" s="1011"/>
      <c r="R651" s="12"/>
      <c r="S651" s="12"/>
      <c r="T651" s="12"/>
      <c r="U651" s="12"/>
      <c r="V651" s="12"/>
      <c r="W651" s="1012"/>
      <c r="X651" s="1013"/>
      <c r="Y651" s="1012"/>
      <c r="Z651" s="1012"/>
      <c r="AA651" s="1012"/>
      <c r="AB651" s="1011"/>
      <c r="AC651" s="1011"/>
      <c r="AD651" s="1012"/>
      <c r="AE651" s="12"/>
      <c r="AF651" s="729"/>
      <c r="AG651" s="1014"/>
      <c r="AH651" s="1014"/>
      <c r="AI651" s="729"/>
      <c r="AJ651" s="729"/>
      <c r="AK651" s="729"/>
      <c r="AL651" s="729"/>
      <c r="AM651" s="729"/>
      <c r="AN651" s="729"/>
      <c r="AO651" s="729"/>
      <c r="AP651" s="729"/>
      <c r="AQ651" s="729"/>
      <c r="AR651" s="729"/>
      <c r="AS651" s="729"/>
      <c r="AT651" s="729"/>
      <c r="AU651" s="729"/>
      <c r="AV651" s="729"/>
      <c r="AW651" s="729"/>
      <c r="AX651" s="729"/>
      <c r="AY651" s="729"/>
      <c r="AZ651" s="729"/>
      <c r="BA651" s="729"/>
      <c r="BB651" s="729"/>
      <c r="BC651" s="729"/>
      <c r="BD651" s="729"/>
      <c r="BE651" s="729"/>
      <c r="BF651" s="729"/>
      <c r="BG651" s="729"/>
      <c r="BH651" s="1016"/>
      <c r="BI651" s="1017"/>
      <c r="BJ651" s="1018"/>
      <c r="BK651" s="729"/>
      <c r="BL651" s="729"/>
      <c r="BM651" s="779"/>
      <c r="BN651" s="779"/>
      <c r="BO651" s="779"/>
      <c r="BP651" s="12"/>
      <c r="BQ651" s="729"/>
      <c r="BR651" s="729"/>
      <c r="BS651" s="729"/>
      <c r="BT651" s="779"/>
      <c r="BU651" s="779"/>
      <c r="BV651" s="779"/>
      <c r="BW651" s="2"/>
      <c r="BX651" s="12"/>
      <c r="BY651" s="729"/>
      <c r="BZ651" s="729"/>
      <c r="CA651" s="729"/>
      <c r="CB651" s="779"/>
      <c r="CC651" s="779"/>
      <c r="CD651" s="779"/>
      <c r="CE651" s="2"/>
      <c r="CF651" s="729"/>
      <c r="CG651" s="729"/>
      <c r="CH651" s="729"/>
      <c r="CI651" s="729"/>
      <c r="CJ651" s="228"/>
      <c r="CK651" s="729"/>
      <c r="CL651" s="729"/>
      <c r="CM651" s="228"/>
      <c r="CN651" s="729"/>
      <c r="CO651" s="729"/>
      <c r="CP651" s="729"/>
      <c r="CQ651" s="729"/>
      <c r="CR651" s="729"/>
      <c r="CS651" s="729"/>
      <c r="CT651" s="729"/>
      <c r="CU651" s="228"/>
      <c r="CV651" s="779"/>
      <c r="CW651" s="779"/>
      <c r="CX651" s="729"/>
      <c r="CY651" s="228"/>
      <c r="CZ651" s="228"/>
      <c r="DA651" s="12"/>
      <c r="DB651" s="164"/>
      <c r="DC651" s="14"/>
      <c r="DD651" s="729"/>
      <c r="DE651" s="729"/>
      <c r="DF651" s="729"/>
      <c r="DG651" s="729"/>
      <c r="DH651" s="730"/>
      <c r="DI651" s="729"/>
      <c r="DJ651" s="729"/>
      <c r="DK651" s="729"/>
      <c r="DL651" s="729"/>
      <c r="DM651" s="4"/>
    </row>
    <row r="652" spans="1:130" ht="12.75" customHeight="1">
      <c r="A652" s="228"/>
      <c r="B652" s="3"/>
      <c r="C652" s="228"/>
      <c r="D652" s="228"/>
      <c r="E652" s="1009"/>
      <c r="F652" s="3"/>
      <c r="G652" s="729"/>
      <c r="H652" s="729"/>
      <c r="J652" s="3"/>
      <c r="K652" s="1010"/>
      <c r="L652" s="12"/>
      <c r="M652" s="12"/>
      <c r="N652" s="12"/>
      <c r="O652" s="1010"/>
      <c r="P652" s="1011"/>
      <c r="Q652" s="1011"/>
      <c r="R652" s="12"/>
      <c r="S652" s="12"/>
      <c r="T652" s="12"/>
      <c r="U652" s="12"/>
      <c r="V652" s="12"/>
      <c r="W652" s="1012"/>
      <c r="X652" s="1013"/>
      <c r="Y652" s="1012"/>
      <c r="Z652" s="1012"/>
      <c r="AA652" s="1012"/>
      <c r="AB652" s="1011"/>
      <c r="AC652" s="1011"/>
      <c r="AD652" s="1012"/>
      <c r="AE652" s="12"/>
      <c r="AF652" s="729"/>
      <c r="AG652" s="1014"/>
      <c r="AH652" s="1014"/>
      <c r="AI652" s="729"/>
      <c r="AJ652" s="729"/>
      <c r="AK652" s="729"/>
      <c r="AL652" s="729"/>
      <c r="AM652" s="729"/>
      <c r="AN652" s="729"/>
      <c r="AO652" s="729"/>
      <c r="AP652" s="729"/>
      <c r="AQ652" s="729"/>
      <c r="AR652" s="729"/>
      <c r="AS652" s="729"/>
      <c r="AT652" s="729"/>
      <c r="AU652" s="729"/>
      <c r="AV652" s="729"/>
      <c r="AW652" s="729"/>
      <c r="AX652" s="729"/>
      <c r="AY652" s="729"/>
      <c r="AZ652" s="729"/>
      <c r="BA652" s="729"/>
      <c r="BB652" s="729"/>
      <c r="BC652" s="729"/>
      <c r="BD652" s="729"/>
      <c r="BE652" s="729"/>
      <c r="BF652" s="729"/>
      <c r="BG652" s="729"/>
      <c r="BH652" s="1016"/>
      <c r="BI652" s="1017"/>
      <c r="BJ652" s="1018"/>
      <c r="BK652" s="729"/>
      <c r="BL652" s="729"/>
      <c r="BM652" s="779"/>
      <c r="BN652" s="779"/>
      <c r="BO652" s="779"/>
      <c r="BP652" s="12"/>
      <c r="BQ652" s="729"/>
      <c r="BR652" s="729"/>
      <c r="BS652" s="729"/>
      <c r="BT652" s="779"/>
      <c r="BU652" s="779"/>
      <c r="BV652" s="779"/>
      <c r="BW652" s="2"/>
      <c r="BX652" s="12"/>
      <c r="BY652" s="729"/>
      <c r="BZ652" s="729"/>
      <c r="CA652" s="729"/>
      <c r="CB652" s="779"/>
      <c r="CC652" s="779"/>
      <c r="CD652" s="779"/>
      <c r="CE652" s="2"/>
      <c r="CF652" s="729"/>
      <c r="CG652" s="729"/>
      <c r="CH652" s="729"/>
      <c r="CI652" s="729"/>
      <c r="CJ652" s="228"/>
      <c r="CK652" s="729"/>
      <c r="CL652" s="729"/>
      <c r="CM652" s="228"/>
      <c r="CN652" s="729"/>
      <c r="CO652" s="729"/>
      <c r="CP652" s="729"/>
      <c r="CQ652" s="729"/>
      <c r="CR652" s="729"/>
      <c r="CS652" s="729"/>
      <c r="CT652" s="729"/>
      <c r="CU652" s="228"/>
      <c r="CV652" s="779"/>
      <c r="CW652" s="779"/>
      <c r="CX652" s="729"/>
      <c r="CY652" s="228"/>
      <c r="CZ652" s="228"/>
      <c r="DA652" s="12"/>
      <c r="DB652" s="164"/>
      <c r="DC652" s="14"/>
      <c r="DD652" s="729"/>
      <c r="DE652" s="729"/>
      <c r="DF652" s="729"/>
      <c r="DG652" s="729"/>
      <c r="DH652" s="730"/>
      <c r="DI652" s="729"/>
      <c r="DJ652" s="729"/>
      <c r="DK652" s="729"/>
      <c r="DL652" s="729"/>
      <c r="DM652" s="4"/>
    </row>
    <row r="653" spans="1:130" ht="12.75" customHeight="1">
      <c r="A653" s="228"/>
      <c r="B653" s="3"/>
      <c r="C653" s="228"/>
      <c r="D653" s="228"/>
      <c r="E653" s="1009"/>
      <c r="F653" s="3"/>
      <c r="G653" s="3"/>
      <c r="H653" s="729"/>
      <c r="I653" s="1019"/>
      <c r="J653" s="3"/>
      <c r="K653" s="1010"/>
      <c r="L653" s="12"/>
      <c r="M653" s="12"/>
      <c r="N653" s="12"/>
      <c r="O653" s="1010"/>
      <c r="P653" s="1011"/>
      <c r="Q653" s="1011"/>
      <c r="R653" s="12"/>
      <c r="S653" s="12"/>
      <c r="T653" s="12"/>
      <c r="U653" s="12"/>
      <c r="V653" s="12"/>
      <c r="W653" s="1012"/>
      <c r="X653" s="1013"/>
      <c r="Y653" s="1012"/>
      <c r="Z653" s="1012"/>
      <c r="AA653" s="1012"/>
      <c r="AB653" s="1011"/>
      <c r="AC653" s="1011"/>
      <c r="AD653" s="1012"/>
      <c r="AE653" s="12"/>
      <c r="AF653" s="729"/>
      <c r="AG653" s="1014"/>
      <c r="AH653" s="1014"/>
      <c r="AI653" s="729"/>
      <c r="AJ653" s="729"/>
      <c r="AK653" s="729"/>
      <c r="AL653" s="729"/>
      <c r="AM653" s="729"/>
      <c r="AN653" s="729"/>
      <c r="AO653" s="729"/>
      <c r="AP653" s="729"/>
      <c r="AQ653" s="729"/>
      <c r="AR653" s="729"/>
      <c r="AS653" s="729"/>
      <c r="AT653" s="729"/>
      <c r="AU653" s="729"/>
      <c r="AV653" s="729"/>
      <c r="AW653" s="729"/>
      <c r="AX653" s="729"/>
      <c r="AY653" s="729"/>
      <c r="AZ653" s="729"/>
      <c r="BA653" s="729"/>
      <c r="BB653" s="729"/>
      <c r="BC653" s="729"/>
      <c r="BD653" s="729"/>
      <c r="BE653" s="729"/>
      <c r="BF653" s="729"/>
      <c r="BG653" s="729"/>
      <c r="BH653" s="1016"/>
      <c r="BI653" s="1017"/>
      <c r="BJ653" s="1018"/>
      <c r="BK653" s="729"/>
      <c r="BL653" s="729"/>
      <c r="BM653" s="779"/>
      <c r="BN653" s="779"/>
      <c r="BO653" s="779"/>
      <c r="BP653" s="12"/>
      <c r="BQ653" s="729"/>
      <c r="BR653" s="729"/>
      <c r="BS653" s="729"/>
      <c r="BT653" s="779"/>
      <c r="BU653" s="779"/>
      <c r="BV653" s="779"/>
      <c r="BW653" s="2"/>
      <c r="BX653" s="12"/>
      <c r="BY653" s="729"/>
      <c r="BZ653" s="729"/>
      <c r="CA653" s="729"/>
      <c r="CB653" s="779"/>
      <c r="CC653" s="779"/>
      <c r="CD653" s="779"/>
      <c r="CE653" s="2"/>
      <c r="CF653" s="729"/>
      <c r="CG653" s="729"/>
      <c r="CH653" s="729"/>
      <c r="CI653" s="729"/>
      <c r="CJ653" s="228"/>
      <c r="CK653" s="729"/>
      <c r="CL653" s="729"/>
      <c r="CM653" s="228"/>
      <c r="CN653" s="729"/>
      <c r="CO653" s="729"/>
      <c r="CP653" s="729"/>
      <c r="CQ653" s="729"/>
      <c r="CR653" s="729"/>
      <c r="CS653" s="729"/>
      <c r="CT653" s="729"/>
      <c r="CU653" s="228"/>
      <c r="CV653" s="779"/>
      <c r="CW653" s="779"/>
      <c r="CX653" s="729"/>
      <c r="CY653" s="228"/>
      <c r="CZ653" s="228"/>
      <c r="DA653" s="12"/>
      <c r="DB653" s="164"/>
      <c r="DC653" s="14"/>
      <c r="DD653" s="729"/>
      <c r="DE653" s="729"/>
      <c r="DF653" s="729"/>
      <c r="DG653" s="729"/>
      <c r="DH653" s="730"/>
      <c r="DI653" s="729"/>
      <c r="DJ653" s="729"/>
      <c r="DK653" s="729"/>
      <c r="DL653" s="729"/>
      <c r="DM653" s="4"/>
    </row>
    <row r="654" spans="1:130" ht="12.75" customHeight="1">
      <c r="A654" s="228"/>
      <c r="B654" s="3"/>
      <c r="C654" s="228"/>
      <c r="D654" s="228"/>
      <c r="E654" s="1009"/>
      <c r="F654" s="3"/>
      <c r="G654" s="3"/>
      <c r="H654" s="729"/>
      <c r="I654" s="729"/>
      <c r="J654" s="3"/>
      <c r="K654" s="1010"/>
      <c r="L654" s="12"/>
      <c r="M654" s="12"/>
      <c r="N654" s="12"/>
      <c r="O654" s="1010"/>
      <c r="P654" s="1011"/>
      <c r="Q654" s="1011"/>
      <c r="R654" s="12"/>
      <c r="S654" s="12"/>
      <c r="T654" s="12"/>
      <c r="U654" s="12"/>
      <c r="V654" s="12"/>
      <c r="W654" s="1012"/>
      <c r="X654" s="1013"/>
      <c r="Y654" s="1012"/>
      <c r="Z654" s="1012"/>
      <c r="AA654" s="1012"/>
      <c r="AB654" s="1011"/>
      <c r="AC654" s="1011"/>
      <c r="AD654" s="1012"/>
      <c r="AE654" s="12"/>
      <c r="AF654" s="729"/>
      <c r="AG654" s="1014"/>
      <c r="AH654" s="1014"/>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1016"/>
      <c r="BI654" s="1020"/>
      <c r="BJ654" s="1021"/>
      <c r="BK654" s="729"/>
      <c r="BL654" s="729"/>
      <c r="BM654" s="779"/>
      <c r="BN654" s="779"/>
      <c r="BO654" s="779"/>
      <c r="BP654" s="12"/>
      <c r="BQ654" s="729"/>
      <c r="BR654" s="729"/>
      <c r="BS654" s="729"/>
      <c r="BT654" s="779"/>
      <c r="BU654" s="779"/>
      <c r="BV654" s="779"/>
      <c r="BW654" s="2"/>
      <c r="BX654" s="12"/>
      <c r="BY654" s="729"/>
      <c r="BZ654" s="729"/>
      <c r="CA654" s="729"/>
      <c r="CB654" s="779"/>
      <c r="CC654" s="779"/>
      <c r="CD654" s="779"/>
      <c r="CE654" s="2"/>
      <c r="CF654" s="729"/>
      <c r="CG654" s="729"/>
      <c r="CH654" s="729"/>
      <c r="CI654" s="729"/>
      <c r="CJ654" s="228"/>
      <c r="CK654" s="729"/>
      <c r="CL654" s="729"/>
      <c r="CM654" s="228"/>
      <c r="CN654" s="729"/>
      <c r="CO654" s="729"/>
      <c r="CP654" s="729"/>
      <c r="CQ654" s="729"/>
      <c r="CR654" s="729"/>
      <c r="CS654" s="729"/>
      <c r="CT654" s="729"/>
      <c r="CU654" s="228"/>
      <c r="CV654" s="779"/>
      <c r="CW654" s="779"/>
      <c r="CX654" s="729"/>
      <c r="CY654" s="228"/>
      <c r="CZ654" s="228"/>
      <c r="DA654" s="228"/>
      <c r="DB654" s="228"/>
      <c r="DC654" s="228"/>
      <c r="DD654" s="228"/>
      <c r="DE654" s="729"/>
      <c r="DF654" s="729"/>
      <c r="DG654" s="729"/>
      <c r="DH654" s="730"/>
      <c r="DI654" s="729"/>
      <c r="DJ654" s="729"/>
      <c r="DK654" s="729"/>
      <c r="DL654" s="729"/>
      <c r="DM654" s="4"/>
    </row>
    <row r="655" spans="1:130" ht="12.75" customHeight="1">
      <c r="A655" s="228"/>
      <c r="B655" s="3"/>
      <c r="C655" s="228"/>
      <c r="D655" s="228"/>
      <c r="E655" s="1009"/>
      <c r="F655" s="3"/>
      <c r="G655" s="3"/>
      <c r="H655" s="729"/>
      <c r="I655" s="729"/>
      <c r="J655" s="3"/>
      <c r="K655" s="1010"/>
      <c r="L655" s="12"/>
      <c r="M655" s="12"/>
      <c r="N655" s="12"/>
      <c r="O655" s="1010"/>
      <c r="P655" s="1011"/>
      <c r="Q655" s="1011"/>
      <c r="R655" s="12"/>
      <c r="S655" s="12"/>
      <c r="T655" s="12"/>
      <c r="U655" s="12"/>
      <c r="V655" s="12"/>
      <c r="W655" s="1012"/>
      <c r="X655" s="1013"/>
      <c r="Y655" s="1012"/>
      <c r="Z655" s="1012"/>
      <c r="AA655" s="1012"/>
      <c r="AB655" s="1011"/>
      <c r="AC655" s="1011"/>
      <c r="AD655" s="1012"/>
      <c r="AE655" s="12"/>
      <c r="AF655" s="729"/>
      <c r="AG655" s="1014"/>
      <c r="AH655" s="1014"/>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1016"/>
      <c r="BI655" s="1016"/>
      <c r="BJ655" s="1022"/>
      <c r="BK655" s="729"/>
      <c r="BL655" s="729"/>
      <c r="BM655" s="779"/>
      <c r="BN655" s="779"/>
      <c r="BO655" s="779"/>
      <c r="BP655" s="12"/>
      <c r="BQ655" s="729"/>
      <c r="BR655" s="729"/>
      <c r="BS655" s="729"/>
      <c r="BT655" s="779"/>
      <c r="BU655" s="779"/>
      <c r="BV655" s="779"/>
      <c r="BW655" s="2"/>
      <c r="BX655" s="12"/>
      <c r="BY655" s="729"/>
      <c r="BZ655" s="729"/>
      <c r="CA655" s="729"/>
      <c r="CB655" s="779"/>
      <c r="CC655" s="779"/>
      <c r="CD655" s="779"/>
      <c r="CE655" s="2"/>
      <c r="CF655" s="729"/>
      <c r="CG655" s="729"/>
      <c r="CH655" s="729"/>
      <c r="CI655" s="729"/>
      <c r="CJ655" s="228"/>
      <c r="CK655" s="729"/>
      <c r="CL655" s="729"/>
      <c r="CM655" s="228"/>
      <c r="CN655" s="729"/>
      <c r="CO655" s="729"/>
      <c r="CP655" s="729"/>
      <c r="CQ655" s="729"/>
      <c r="CR655" s="729"/>
      <c r="CS655" s="729"/>
      <c r="CT655" s="729"/>
      <c r="CU655" s="228"/>
      <c r="CV655" s="779"/>
      <c r="CW655" s="779"/>
      <c r="CX655" s="729"/>
      <c r="CY655" s="228"/>
      <c r="CZ655" s="228"/>
      <c r="DA655" s="228"/>
      <c r="DB655" s="228"/>
      <c r="DC655" s="228"/>
      <c r="DD655" s="228"/>
      <c r="DE655" s="729"/>
      <c r="DF655" s="729"/>
      <c r="DG655" s="729"/>
      <c r="DH655" s="730"/>
      <c r="DI655" s="729"/>
      <c r="DJ655" s="729"/>
      <c r="DK655" s="729"/>
      <c r="DL655" s="729"/>
      <c r="DM655" s="4"/>
    </row>
    <row r="656" spans="1:130" ht="12.75" customHeight="1">
      <c r="A656" s="228"/>
      <c r="B656" s="3"/>
      <c r="C656" s="228"/>
      <c r="D656" s="228"/>
      <c r="E656" s="1009"/>
      <c r="F656" s="3"/>
      <c r="G656" s="3"/>
      <c r="H656" s="729"/>
      <c r="I656" s="729"/>
      <c r="J656" s="3"/>
      <c r="K656" s="1010"/>
      <c r="L656" s="12"/>
      <c r="M656" s="12"/>
      <c r="N656" s="12"/>
      <c r="O656" s="1010"/>
      <c r="P656" s="1011"/>
      <c r="Q656" s="1011"/>
      <c r="R656" s="12"/>
      <c r="S656" s="12"/>
      <c r="T656" s="12"/>
      <c r="U656" s="12"/>
      <c r="V656" s="12"/>
      <c r="W656" s="1012"/>
      <c r="X656" s="1013"/>
      <c r="Y656" s="1012"/>
      <c r="Z656" s="1012"/>
      <c r="AA656" s="1012"/>
      <c r="AB656" s="1011"/>
      <c r="AC656" s="1011"/>
      <c r="AD656" s="1012"/>
      <c r="AE656" s="12"/>
      <c r="AF656" s="729"/>
      <c r="AG656" s="1014"/>
      <c r="AH656" s="1014"/>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1016"/>
      <c r="BI656" s="1016"/>
      <c r="BJ656" s="1022"/>
      <c r="BK656" s="729"/>
      <c r="BL656" s="729"/>
      <c r="BM656" s="779"/>
      <c r="BN656" s="779"/>
      <c r="BO656" s="779"/>
      <c r="BP656" s="12"/>
      <c r="BQ656" s="729"/>
      <c r="BR656" s="729"/>
      <c r="BS656" s="729"/>
      <c r="BT656" s="779"/>
      <c r="BU656" s="779"/>
      <c r="BV656" s="779"/>
      <c r="BW656" s="2"/>
      <c r="BX656" s="12"/>
      <c r="BY656" s="729"/>
      <c r="BZ656" s="729"/>
      <c r="CA656" s="729"/>
      <c r="CB656" s="779"/>
      <c r="CC656" s="779"/>
      <c r="CD656" s="779"/>
      <c r="CE656" s="2"/>
      <c r="CF656" s="729"/>
      <c r="CG656" s="729"/>
      <c r="CH656" s="729"/>
      <c r="CI656" s="729"/>
      <c r="CJ656" s="228"/>
      <c r="CK656" s="729"/>
      <c r="CL656" s="729"/>
      <c r="CM656" s="228"/>
      <c r="CN656" s="729"/>
      <c r="CO656" s="729"/>
      <c r="CP656" s="729"/>
      <c r="CQ656" s="729"/>
      <c r="CR656" s="729"/>
      <c r="CS656" s="729"/>
      <c r="CT656" s="729"/>
      <c r="CU656" s="228"/>
      <c r="CV656" s="779"/>
      <c r="CW656" s="779"/>
      <c r="CX656" s="729"/>
      <c r="CY656" s="228"/>
      <c r="CZ656" s="228"/>
      <c r="DA656" s="228"/>
      <c r="DB656" s="228"/>
      <c r="DC656" s="228"/>
      <c r="DD656" s="228"/>
      <c r="DE656" s="729"/>
      <c r="DF656" s="729"/>
      <c r="DG656" s="729"/>
      <c r="DH656" s="730"/>
      <c r="DI656" s="729"/>
      <c r="DJ656" s="729"/>
      <c r="DK656" s="729"/>
      <c r="DL656" s="729"/>
      <c r="DM656" s="4"/>
    </row>
    <row r="657" spans="1:117" ht="12.75" customHeight="1">
      <c r="A657" s="228"/>
      <c r="B657" s="3"/>
      <c r="C657" s="228"/>
      <c r="D657" s="228"/>
      <c r="E657" s="3"/>
      <c r="F657" s="3"/>
      <c r="G657" s="3"/>
      <c r="H657" s="729"/>
      <c r="I657" s="729"/>
      <c r="J657" s="25"/>
      <c r="K657" s="1010"/>
      <c r="L657" s="12"/>
      <c r="M657" s="12"/>
      <c r="N657" s="12"/>
      <c r="O657" s="1010"/>
      <c r="P657" s="1011"/>
      <c r="Q657" s="1011"/>
      <c r="R657" s="12"/>
      <c r="S657" s="12"/>
      <c r="T657" s="12"/>
      <c r="U657" s="12"/>
      <c r="V657" s="12"/>
      <c r="W657" s="1012"/>
      <c r="X657" s="1013"/>
      <c r="Y657" s="1012"/>
      <c r="Z657" s="1012"/>
      <c r="AA657" s="1012"/>
      <c r="AB657" s="1011"/>
      <c r="AC657" s="1011"/>
      <c r="AD657" s="1012"/>
      <c r="AE657" s="12"/>
      <c r="AF657" s="729"/>
      <c r="AG657" s="1014"/>
      <c r="AH657" s="1014"/>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1016"/>
      <c r="BI657" s="1016"/>
      <c r="BJ657" s="1022"/>
      <c r="BK657" s="729"/>
      <c r="BL657" s="729"/>
      <c r="BM657" s="779"/>
      <c r="BN657" s="779"/>
      <c r="BO657" s="779"/>
      <c r="BP657" s="12"/>
      <c r="BQ657" s="729"/>
      <c r="BR657" s="729"/>
      <c r="BS657" s="729"/>
      <c r="BT657" s="779"/>
      <c r="BU657" s="779"/>
      <c r="BV657" s="779"/>
      <c r="BW657" s="2"/>
      <c r="BX657" s="12"/>
      <c r="BY657" s="729"/>
      <c r="BZ657" s="729"/>
      <c r="CA657" s="729"/>
      <c r="CB657" s="779"/>
      <c r="CC657" s="779"/>
      <c r="CD657" s="779"/>
      <c r="CE657" s="2"/>
      <c r="CF657" s="729"/>
      <c r="CG657" s="729"/>
      <c r="CH657" s="729"/>
      <c r="CI657" s="729"/>
      <c r="CJ657" s="228"/>
      <c r="CK657" s="729"/>
      <c r="CL657" s="729"/>
      <c r="CM657" s="228"/>
      <c r="CN657" s="729"/>
      <c r="CO657" s="729"/>
      <c r="CP657" s="729"/>
      <c r="CQ657" s="729"/>
      <c r="CR657" s="729"/>
      <c r="CS657" s="729"/>
      <c r="CT657" s="729"/>
      <c r="CU657" s="228"/>
      <c r="CV657" s="779"/>
      <c r="CW657" s="779"/>
      <c r="CX657" s="729"/>
      <c r="CY657" s="228"/>
      <c r="CZ657" s="228"/>
      <c r="DA657" s="228"/>
      <c r="DB657" s="228"/>
      <c r="DC657" s="228"/>
      <c r="DD657" s="228"/>
      <c r="DE657" s="729"/>
      <c r="DF657" s="729"/>
      <c r="DG657" s="729"/>
      <c r="DH657" s="730"/>
      <c r="DI657" s="729"/>
      <c r="DJ657" s="729"/>
      <c r="DK657" s="729"/>
      <c r="DL657" s="729"/>
      <c r="DM657" s="4"/>
    </row>
    <row r="658" spans="1:117" ht="12.75" customHeight="1">
      <c r="A658" s="228"/>
      <c r="B658" s="3"/>
      <c r="C658" s="228"/>
      <c r="D658" s="228"/>
      <c r="E658" s="3"/>
      <c r="F658" s="3"/>
      <c r="G658" s="729"/>
      <c r="H658" s="729"/>
      <c r="I658" s="729"/>
      <c r="J658" s="25"/>
      <c r="K658" s="1010"/>
      <c r="L658" s="12"/>
      <c r="M658" s="12"/>
      <c r="N658" s="12"/>
      <c r="O658" s="1010"/>
      <c r="P658" s="1011"/>
      <c r="Q658" s="1011"/>
      <c r="R658" s="12"/>
      <c r="S658" s="12"/>
      <c r="T658" s="12"/>
      <c r="U658" s="12"/>
      <c r="V658" s="12"/>
      <c r="W658" s="1012"/>
      <c r="X658" s="1013"/>
      <c r="Y658" s="1012"/>
      <c r="Z658" s="1012"/>
      <c r="AA658" s="1012"/>
      <c r="AB658" s="1011"/>
      <c r="AC658" s="1011"/>
      <c r="AD658" s="1012"/>
      <c r="AE658" s="12"/>
      <c r="AF658" s="729"/>
      <c r="AG658" s="1014"/>
      <c r="AH658" s="1014"/>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1016"/>
      <c r="BI658" s="1016"/>
      <c r="BJ658" s="1022"/>
      <c r="BK658" s="729"/>
      <c r="BL658" s="729"/>
      <c r="BM658" s="779"/>
      <c r="BN658" s="779"/>
      <c r="BO658" s="779"/>
      <c r="BP658" s="12"/>
      <c r="BQ658" s="729"/>
      <c r="BR658" s="729"/>
      <c r="BS658" s="729"/>
      <c r="BT658" s="779"/>
      <c r="BU658" s="779"/>
      <c r="BV658" s="779"/>
      <c r="BW658" s="2"/>
      <c r="BX658" s="12"/>
      <c r="BY658" s="729"/>
      <c r="BZ658" s="729"/>
      <c r="CA658" s="729"/>
      <c r="CB658" s="779"/>
      <c r="CC658" s="779"/>
      <c r="CD658" s="779"/>
      <c r="CE658" s="2"/>
      <c r="CF658" s="729"/>
      <c r="CG658" s="729"/>
      <c r="CH658" s="729"/>
      <c r="CI658" s="729"/>
      <c r="CJ658" s="228"/>
      <c r="CK658" s="729"/>
      <c r="CL658" s="729"/>
      <c r="CM658" s="228"/>
      <c r="CN658" s="729"/>
      <c r="CO658" s="729"/>
      <c r="CP658" s="729"/>
      <c r="CQ658" s="729"/>
      <c r="CR658" s="729"/>
      <c r="CS658" s="729"/>
      <c r="CT658" s="729"/>
      <c r="CU658" s="228"/>
      <c r="CV658" s="779"/>
      <c r="CW658" s="779"/>
      <c r="CX658" s="729"/>
      <c r="CY658" s="228"/>
      <c r="CZ658" s="228"/>
      <c r="DA658" s="228"/>
      <c r="DB658" s="228"/>
      <c r="DC658" s="228"/>
      <c r="DD658" s="228"/>
      <c r="DE658" s="729"/>
      <c r="DF658" s="729"/>
      <c r="DG658" s="729"/>
      <c r="DH658" s="730"/>
      <c r="DI658" s="729"/>
      <c r="DJ658" s="729"/>
      <c r="DK658" s="729"/>
      <c r="DL658" s="729"/>
      <c r="DM658" s="4"/>
    </row>
    <row r="659" spans="1:117" ht="12.75" customHeight="1">
      <c r="A659" s="228"/>
      <c r="B659" s="3"/>
      <c r="C659" s="228"/>
      <c r="D659" s="228"/>
      <c r="E659" s="3"/>
      <c r="F659" s="3"/>
      <c r="G659" s="729"/>
      <c r="H659" s="729"/>
      <c r="I659" s="729"/>
      <c r="J659" s="3"/>
      <c r="K659" s="1010"/>
      <c r="L659" s="12"/>
      <c r="M659" s="12"/>
      <c r="N659" s="12"/>
      <c r="O659" s="1010"/>
      <c r="P659" s="1011"/>
      <c r="Q659" s="1011"/>
      <c r="R659" s="12"/>
      <c r="S659" s="12"/>
      <c r="T659" s="12"/>
      <c r="U659" s="12"/>
      <c r="V659" s="12"/>
      <c r="W659" s="1012"/>
      <c r="X659" s="1013"/>
      <c r="Y659" s="1012"/>
      <c r="Z659" s="1012"/>
      <c r="AA659" s="1012"/>
      <c r="AB659" s="1011"/>
      <c r="AC659" s="1011"/>
      <c r="AD659" s="1012"/>
      <c r="AE659" s="12"/>
      <c r="AF659" s="729"/>
      <c r="AG659" s="1014"/>
      <c r="AH659" s="1014"/>
      <c r="AI659" s="729"/>
      <c r="AJ659" s="729"/>
      <c r="AK659" s="729"/>
      <c r="AL659" s="729"/>
      <c r="AM659" s="729"/>
      <c r="AN659" s="729"/>
      <c r="AO659" s="729"/>
      <c r="AP659" s="729"/>
      <c r="AQ659" s="729"/>
      <c r="AR659" s="729"/>
      <c r="AS659" s="729"/>
      <c r="AT659" s="729"/>
      <c r="AU659" s="729"/>
      <c r="AV659" s="729"/>
      <c r="AW659" s="729"/>
      <c r="AX659" s="729"/>
      <c r="AY659" s="729"/>
      <c r="AZ659" s="729"/>
      <c r="BA659" s="729"/>
      <c r="BB659" s="729"/>
      <c r="BC659" s="729"/>
      <c r="BD659" s="729"/>
      <c r="BE659" s="729"/>
      <c r="BF659" s="729"/>
      <c r="BG659" s="729"/>
      <c r="BH659" s="1016"/>
      <c r="BI659" s="1016"/>
      <c r="BJ659" s="1022"/>
      <c r="BK659" s="729"/>
      <c r="BL659" s="729"/>
      <c r="BM659" s="779"/>
      <c r="BN659" s="779"/>
      <c r="BO659" s="779"/>
      <c r="BP659" s="12"/>
      <c r="BQ659" s="729"/>
      <c r="BR659" s="729"/>
      <c r="BS659" s="729"/>
      <c r="BT659" s="779"/>
      <c r="BU659" s="779"/>
      <c r="BV659" s="779"/>
      <c r="BW659" s="2"/>
      <c r="BX659" s="12"/>
      <c r="BY659" s="729"/>
      <c r="BZ659" s="729"/>
      <c r="CA659" s="729"/>
      <c r="CB659" s="779"/>
      <c r="CC659" s="779"/>
      <c r="CD659" s="779"/>
      <c r="CE659" s="2"/>
      <c r="CF659" s="729"/>
      <c r="CG659" s="729"/>
      <c r="CH659" s="729"/>
      <c r="CI659" s="729"/>
      <c r="CJ659" s="228"/>
      <c r="CK659" s="729"/>
      <c r="CL659" s="729"/>
      <c r="CM659" s="228"/>
      <c r="CN659" s="729"/>
      <c r="CO659" s="729"/>
      <c r="CP659" s="729"/>
      <c r="CQ659" s="729"/>
      <c r="CR659" s="729"/>
      <c r="CS659" s="729"/>
      <c r="CT659" s="729"/>
      <c r="CU659" s="228"/>
      <c r="CV659" s="779"/>
      <c r="CW659" s="779"/>
      <c r="CX659" s="729"/>
      <c r="CY659" s="228"/>
      <c r="CZ659" s="228"/>
      <c r="DA659" s="228"/>
      <c r="DB659" s="228"/>
      <c r="DC659" s="228"/>
      <c r="DD659" s="228"/>
      <c r="DE659" s="729"/>
      <c r="DF659" s="729"/>
      <c r="DG659" s="729"/>
      <c r="DH659" s="730"/>
      <c r="DI659" s="729"/>
      <c r="DJ659" s="729"/>
      <c r="DK659" s="729"/>
      <c r="DL659" s="729"/>
      <c r="DM659" s="4"/>
    </row>
    <row r="660" spans="1:117" ht="12.75" customHeight="1">
      <c r="A660" s="228"/>
      <c r="B660" s="3"/>
      <c r="C660" s="228"/>
      <c r="D660" s="228"/>
      <c r="E660" s="3"/>
      <c r="F660" s="3"/>
      <c r="G660" s="729"/>
      <c r="H660" s="729"/>
      <c r="I660" s="729"/>
      <c r="J660" s="3"/>
      <c r="K660" s="1010"/>
      <c r="L660" s="12"/>
      <c r="M660" s="12"/>
      <c r="N660" s="12"/>
      <c r="O660" s="1010"/>
      <c r="P660" s="1011"/>
      <c r="Q660" s="1011"/>
      <c r="R660" s="12"/>
      <c r="S660" s="12"/>
      <c r="T660" s="12"/>
      <c r="U660" s="12"/>
      <c r="V660" s="12"/>
      <c r="W660" s="1012"/>
      <c r="X660" s="1013"/>
      <c r="Y660" s="1012"/>
      <c r="Z660" s="1012"/>
      <c r="AA660" s="1012"/>
      <c r="AB660" s="1011"/>
      <c r="AC660" s="1011"/>
      <c r="AD660" s="1012"/>
      <c r="AE660" s="12"/>
      <c r="AF660" s="729"/>
      <c r="AG660" s="1014"/>
      <c r="AH660" s="1014"/>
      <c r="AI660" s="729"/>
      <c r="AJ660" s="729"/>
      <c r="AK660" s="729"/>
      <c r="AL660" s="729"/>
      <c r="AM660" s="729"/>
      <c r="AN660" s="729"/>
      <c r="AO660" s="729"/>
      <c r="AP660" s="729"/>
      <c r="AQ660" s="729"/>
      <c r="AR660" s="729"/>
      <c r="AS660" s="729"/>
      <c r="AT660" s="729"/>
      <c r="AU660" s="729"/>
      <c r="AV660" s="729"/>
      <c r="AW660" s="729"/>
      <c r="AX660" s="729"/>
      <c r="AY660" s="729"/>
      <c r="AZ660" s="729"/>
      <c r="BA660" s="729"/>
      <c r="BB660" s="729"/>
      <c r="BC660" s="729"/>
      <c r="BD660" s="729"/>
      <c r="BE660" s="729"/>
      <c r="BF660" s="729"/>
      <c r="BG660" s="729"/>
      <c r="BH660" s="1016"/>
      <c r="BI660" s="1016"/>
      <c r="BJ660" s="1022"/>
      <c r="BK660" s="729"/>
      <c r="BL660" s="729"/>
      <c r="BM660" s="779"/>
      <c r="BN660" s="779"/>
      <c r="BO660" s="779"/>
      <c r="BP660" s="12"/>
      <c r="BQ660" s="729"/>
      <c r="BR660" s="729"/>
      <c r="BS660" s="729"/>
      <c r="BT660" s="779"/>
      <c r="BU660" s="779"/>
      <c r="BV660" s="779"/>
      <c r="BW660" s="2"/>
      <c r="BX660" s="12"/>
      <c r="BY660" s="729"/>
      <c r="BZ660" s="729"/>
      <c r="CA660" s="729"/>
      <c r="CB660" s="779"/>
      <c r="CC660" s="779"/>
      <c r="CD660" s="779"/>
      <c r="CE660" s="2"/>
      <c r="CF660" s="729"/>
      <c r="CG660" s="729"/>
      <c r="CH660" s="729"/>
      <c r="CI660" s="729"/>
      <c r="CJ660" s="228"/>
      <c r="CK660" s="729"/>
      <c r="CL660" s="729"/>
      <c r="CM660" s="228"/>
      <c r="CN660" s="729"/>
      <c r="CO660" s="729"/>
      <c r="CP660" s="729"/>
      <c r="CQ660" s="729"/>
      <c r="CR660" s="729"/>
      <c r="CS660" s="729"/>
      <c r="CT660" s="729"/>
      <c r="CU660" s="228"/>
      <c r="CV660" s="779"/>
      <c r="CW660" s="779"/>
      <c r="CX660" s="729"/>
      <c r="CY660" s="228"/>
      <c r="CZ660" s="228"/>
      <c r="DA660" s="228"/>
      <c r="DB660" s="228"/>
      <c r="DC660" s="228"/>
      <c r="DD660" s="228"/>
      <c r="DE660" s="729"/>
      <c r="DF660" s="729"/>
      <c r="DG660" s="729"/>
      <c r="DH660" s="730"/>
      <c r="DI660" s="729"/>
      <c r="DJ660" s="729"/>
      <c r="DK660" s="729"/>
      <c r="DL660" s="729"/>
      <c r="DM660" s="4"/>
    </row>
    <row r="661" spans="1:117" ht="12.75" customHeight="1">
      <c r="A661" s="228"/>
      <c r="B661" s="3"/>
      <c r="C661" s="228"/>
      <c r="D661" s="228"/>
      <c r="E661" s="3"/>
      <c r="F661" s="3"/>
      <c r="G661" s="729"/>
      <c r="H661" s="729"/>
      <c r="I661" s="729"/>
      <c r="J661" s="3"/>
      <c r="K661" s="1010"/>
      <c r="L661" s="12"/>
      <c r="M661" s="12"/>
      <c r="N661" s="12"/>
      <c r="O661" s="1010"/>
      <c r="P661" s="1011"/>
      <c r="Q661" s="1011"/>
      <c r="R661" s="12"/>
      <c r="S661" s="12"/>
      <c r="T661" s="12"/>
      <c r="U661" s="12"/>
      <c r="V661" s="12"/>
      <c r="W661" s="1012"/>
      <c r="X661" s="1013"/>
      <c r="Y661" s="1012"/>
      <c r="Z661" s="1012"/>
      <c r="AA661" s="1012"/>
      <c r="AB661" s="1011"/>
      <c r="AC661" s="1011"/>
      <c r="AD661" s="1012"/>
      <c r="AE661" s="12"/>
      <c r="AF661" s="729"/>
      <c r="AG661" s="1014"/>
      <c r="AH661" s="1014"/>
      <c r="AI661" s="729"/>
      <c r="AJ661" s="729"/>
      <c r="AK661" s="729"/>
      <c r="AL661" s="729"/>
      <c r="AM661" s="729"/>
      <c r="AN661" s="729"/>
      <c r="AO661" s="729"/>
      <c r="AP661" s="729"/>
      <c r="AQ661" s="729"/>
      <c r="AR661" s="729"/>
      <c r="AS661" s="729"/>
      <c r="AT661" s="729"/>
      <c r="AU661" s="729"/>
      <c r="AV661" s="729"/>
      <c r="AW661" s="729"/>
      <c r="AX661" s="729"/>
      <c r="AY661" s="729"/>
      <c r="AZ661" s="729"/>
      <c r="BA661" s="729"/>
      <c r="BB661" s="729"/>
      <c r="BC661" s="729"/>
      <c r="BD661" s="729"/>
      <c r="BE661" s="729"/>
      <c r="BF661" s="729"/>
      <c r="BG661" s="729"/>
      <c r="BH661" s="1016"/>
      <c r="BI661" s="1016"/>
      <c r="BJ661" s="1022"/>
      <c r="BK661" s="729"/>
      <c r="BL661" s="729"/>
      <c r="BM661" s="779" t="s">
        <v>3332</v>
      </c>
      <c r="BN661" s="779"/>
      <c r="BO661" s="779"/>
      <c r="BP661" s="12"/>
      <c r="BQ661" s="729"/>
      <c r="BR661" s="729"/>
      <c r="BS661" s="729"/>
      <c r="BT661" s="779"/>
      <c r="BU661" s="779"/>
      <c r="BV661" s="779"/>
      <c r="BW661" s="2"/>
      <c r="BX661" s="12"/>
      <c r="BY661" s="729"/>
      <c r="BZ661" s="729"/>
      <c r="CA661" s="729"/>
      <c r="CB661" s="779"/>
      <c r="CC661" s="779"/>
      <c r="CD661" s="779"/>
      <c r="CE661" s="2"/>
      <c r="CF661" s="729"/>
      <c r="CG661" s="729"/>
      <c r="CH661" s="729"/>
      <c r="CI661" s="729"/>
      <c r="CJ661" s="228"/>
      <c r="CK661" s="729"/>
      <c r="CL661" s="729"/>
      <c r="CM661" s="228"/>
      <c r="CN661" s="729"/>
      <c r="CO661" s="729"/>
      <c r="CP661" s="729"/>
      <c r="CQ661" s="729"/>
      <c r="CR661" s="729"/>
      <c r="CS661" s="729"/>
      <c r="CT661" s="729"/>
      <c r="CU661" s="228"/>
      <c r="CV661" s="779"/>
      <c r="CW661" s="779"/>
      <c r="CX661" s="729"/>
      <c r="CY661" s="228"/>
      <c r="CZ661" s="228"/>
      <c r="DA661" s="228"/>
      <c r="DB661" s="228"/>
      <c r="DC661" s="228"/>
      <c r="DD661" s="228"/>
      <c r="DE661" s="729"/>
      <c r="DF661" s="729"/>
      <c r="DG661" s="729"/>
      <c r="DH661" s="730"/>
      <c r="DI661" s="729"/>
      <c r="DJ661" s="729"/>
      <c r="DK661" s="729"/>
      <c r="DL661" s="729"/>
      <c r="DM661" s="4"/>
    </row>
    <row r="662" spans="1:117" ht="12.75" customHeight="1">
      <c r="A662" s="228"/>
      <c r="B662" s="3"/>
      <c r="C662" s="228"/>
      <c r="D662" s="228"/>
      <c r="E662" s="3"/>
      <c r="F662" s="3"/>
      <c r="G662" s="729"/>
      <c r="H662" s="729"/>
      <c r="I662" s="729"/>
      <c r="J662" s="3"/>
      <c r="K662" s="1010"/>
      <c r="L662" s="12"/>
      <c r="M662" s="12"/>
      <c r="N662" s="12"/>
      <c r="O662" s="1010"/>
      <c r="P662" s="1011"/>
      <c r="Q662" s="1011"/>
      <c r="R662" s="12"/>
      <c r="S662" s="12"/>
      <c r="T662" s="12"/>
      <c r="U662" s="12"/>
      <c r="V662" s="12"/>
      <c r="W662" s="1012"/>
      <c r="X662" s="1013"/>
      <c r="Y662" s="1012"/>
      <c r="Z662" s="1012"/>
      <c r="AA662" s="1012"/>
      <c r="AB662" s="1011"/>
      <c r="AC662" s="1011"/>
      <c r="AD662" s="1012"/>
      <c r="AE662" s="12"/>
      <c r="AF662" s="729"/>
      <c r="AG662" s="1014"/>
      <c r="AH662" s="1014"/>
      <c r="AI662" s="729"/>
      <c r="AJ662" s="729"/>
      <c r="AK662" s="729"/>
      <c r="AL662" s="729"/>
      <c r="AM662" s="729"/>
      <c r="AN662" s="729"/>
      <c r="AO662" s="729"/>
      <c r="AP662" s="729"/>
      <c r="AQ662" s="729"/>
      <c r="AR662" s="729"/>
      <c r="AS662" s="729"/>
      <c r="AT662" s="729"/>
      <c r="AU662" s="729"/>
      <c r="AV662" s="729"/>
      <c r="AW662" s="729"/>
      <c r="AX662" s="729"/>
      <c r="AY662" s="729"/>
      <c r="AZ662" s="729"/>
      <c r="BA662" s="729"/>
      <c r="BB662" s="729"/>
      <c r="BC662" s="729"/>
      <c r="BD662" s="729"/>
      <c r="BE662" s="729"/>
      <c r="BF662" s="729"/>
      <c r="BG662" s="729"/>
      <c r="BH662" s="1016"/>
      <c r="BI662" s="1016"/>
      <c r="BJ662" s="1022"/>
      <c r="BK662" s="729"/>
      <c r="BL662" s="729"/>
      <c r="BM662" s="779"/>
      <c r="BN662" s="779"/>
      <c r="BO662" s="779"/>
      <c r="BP662" s="12"/>
      <c r="BQ662" s="729"/>
      <c r="BR662" s="729"/>
      <c r="BS662" s="729"/>
      <c r="BT662" s="779"/>
      <c r="BU662" s="779"/>
      <c r="BV662" s="779"/>
      <c r="BW662" s="2"/>
      <c r="BX662" s="12"/>
      <c r="BY662" s="729"/>
      <c r="BZ662" s="729"/>
      <c r="CA662" s="729"/>
      <c r="CB662" s="779"/>
      <c r="CC662" s="779"/>
      <c r="CD662" s="779"/>
      <c r="CE662" s="2"/>
      <c r="CF662" s="729"/>
      <c r="CG662" s="729"/>
      <c r="CH662" s="729"/>
      <c r="CI662" s="729"/>
      <c r="CJ662" s="228"/>
      <c r="CK662" s="729"/>
      <c r="CL662" s="729"/>
      <c r="CM662" s="228"/>
      <c r="CN662" s="729"/>
      <c r="CO662" s="729"/>
      <c r="CP662" s="729"/>
      <c r="CQ662" s="729"/>
      <c r="CR662" s="729"/>
      <c r="CS662" s="729"/>
      <c r="CT662" s="729"/>
      <c r="CU662" s="228"/>
      <c r="CV662" s="779"/>
      <c r="CW662" s="779"/>
      <c r="CX662" s="729"/>
      <c r="CY662" s="228"/>
      <c r="CZ662" s="228"/>
      <c r="DA662" s="228"/>
      <c r="DB662" s="228"/>
      <c r="DC662" s="228"/>
      <c r="DD662" s="228"/>
      <c r="DE662" s="729"/>
      <c r="DF662" s="729"/>
      <c r="DG662" s="729"/>
      <c r="DH662" s="730"/>
      <c r="DI662" s="729"/>
      <c r="DJ662" s="729"/>
      <c r="DK662" s="729"/>
      <c r="DL662" s="729"/>
      <c r="DM662" s="4"/>
    </row>
    <row r="663" spans="1:117" ht="12.75" customHeight="1">
      <c r="A663" s="228"/>
      <c r="B663" s="3"/>
      <c r="C663" s="228"/>
      <c r="D663" s="228"/>
      <c r="E663" s="3"/>
      <c r="F663" s="3"/>
      <c r="G663" s="729"/>
      <c r="H663" s="729"/>
      <c r="I663" s="729"/>
      <c r="J663" s="3"/>
      <c r="K663" s="1010"/>
      <c r="L663" s="12"/>
      <c r="M663" s="12"/>
      <c r="N663" s="12"/>
      <c r="O663" s="1010"/>
      <c r="P663" s="1011"/>
      <c r="Q663" s="1011"/>
      <c r="R663" s="12"/>
      <c r="S663" s="12"/>
      <c r="T663" s="12"/>
      <c r="U663" s="12"/>
      <c r="V663" s="12"/>
      <c r="W663" s="1012"/>
      <c r="X663" s="1013"/>
      <c r="Y663" s="1012"/>
      <c r="Z663" s="1012"/>
      <c r="AA663" s="1012"/>
      <c r="AB663" s="1011"/>
      <c r="AC663" s="1011"/>
      <c r="AD663" s="1012"/>
      <c r="AE663" s="12"/>
      <c r="AF663" s="729"/>
      <c r="AG663" s="1014"/>
      <c r="AH663" s="1014"/>
      <c r="AI663" s="729"/>
      <c r="AJ663" s="729"/>
      <c r="AK663" s="729"/>
      <c r="AL663" s="729"/>
      <c r="AM663" s="729"/>
      <c r="AN663" s="729"/>
      <c r="AO663" s="729"/>
      <c r="AP663" s="729"/>
      <c r="AQ663" s="729"/>
      <c r="AR663" s="729"/>
      <c r="AS663" s="729"/>
      <c r="AT663" s="729"/>
      <c r="AU663" s="729"/>
      <c r="AV663" s="729"/>
      <c r="AW663" s="729"/>
      <c r="AX663" s="729"/>
      <c r="AY663" s="729"/>
      <c r="AZ663" s="729"/>
      <c r="BA663" s="729"/>
      <c r="BB663" s="729"/>
      <c r="BC663" s="729"/>
      <c r="BD663" s="729"/>
      <c r="BE663" s="729"/>
      <c r="BF663" s="729"/>
      <c r="BG663" s="729"/>
      <c r="BH663" s="1016"/>
      <c r="BI663" s="1016"/>
      <c r="BJ663" s="1022"/>
      <c r="BK663" s="729"/>
      <c r="BL663" s="729"/>
      <c r="BM663" s="779"/>
      <c r="BN663" s="779"/>
      <c r="BO663" s="779"/>
      <c r="BP663" s="12"/>
      <c r="BQ663" s="729"/>
      <c r="BR663" s="729"/>
      <c r="BS663" s="729"/>
      <c r="BT663" s="779"/>
      <c r="BU663" s="779"/>
      <c r="BV663" s="779"/>
      <c r="BW663" s="2"/>
      <c r="BX663" s="12"/>
      <c r="BY663" s="729"/>
      <c r="BZ663" s="729"/>
      <c r="CA663" s="729"/>
      <c r="CB663" s="779"/>
      <c r="CC663" s="779"/>
      <c r="CD663" s="779"/>
      <c r="CE663" s="2"/>
      <c r="CF663" s="729"/>
      <c r="CG663" s="729"/>
      <c r="CH663" s="729"/>
      <c r="CI663" s="729"/>
      <c r="CJ663" s="228"/>
      <c r="CK663" s="729"/>
      <c r="CL663" s="729"/>
      <c r="CM663" s="228"/>
      <c r="CN663" s="729"/>
      <c r="CO663" s="729"/>
      <c r="CP663" s="729"/>
      <c r="CQ663" s="729"/>
      <c r="CR663" s="729"/>
      <c r="CS663" s="729"/>
      <c r="CT663" s="729"/>
      <c r="CU663" s="228"/>
      <c r="CV663" s="779"/>
      <c r="CW663" s="779"/>
      <c r="CX663" s="729"/>
      <c r="CY663" s="228"/>
      <c r="CZ663" s="228"/>
      <c r="DA663" s="228"/>
      <c r="DB663" s="228"/>
      <c r="DC663" s="228"/>
      <c r="DD663" s="228"/>
      <c r="DE663" s="729"/>
      <c r="DF663" s="729"/>
      <c r="DG663" s="729"/>
      <c r="DH663" s="730"/>
      <c r="DI663" s="729"/>
      <c r="DJ663" s="729"/>
      <c r="DK663" s="729"/>
      <c r="DL663" s="729"/>
      <c r="DM663" s="4"/>
    </row>
    <row r="664" spans="1:117" ht="12.75" customHeight="1">
      <c r="A664" s="228"/>
      <c r="B664" s="3"/>
      <c r="C664" s="228"/>
      <c r="D664" s="228"/>
      <c r="E664" s="3"/>
      <c r="F664" s="3"/>
      <c r="G664" s="729"/>
      <c r="H664" s="729"/>
      <c r="I664" s="729"/>
      <c r="J664" s="3"/>
      <c r="K664" s="1010"/>
      <c r="L664" s="12"/>
      <c r="M664" s="12"/>
      <c r="N664" s="12"/>
      <c r="O664" s="1010"/>
      <c r="P664" s="1011"/>
      <c r="Q664" s="1011"/>
      <c r="R664" s="12"/>
      <c r="S664" s="12"/>
      <c r="T664" s="12"/>
      <c r="U664" s="12"/>
      <c r="V664" s="12"/>
      <c r="W664" s="1012"/>
      <c r="X664" s="1013"/>
      <c r="Y664" s="1012"/>
      <c r="Z664" s="1012"/>
      <c r="AA664" s="1012"/>
      <c r="AB664" s="1011"/>
      <c r="AC664" s="1011"/>
      <c r="AD664" s="1012"/>
      <c r="AE664" s="12"/>
      <c r="AF664" s="729"/>
      <c r="AG664" s="1014"/>
      <c r="AH664" s="1014"/>
      <c r="AI664" s="729"/>
      <c r="AJ664" s="729"/>
      <c r="AK664" s="729"/>
      <c r="AL664" s="729"/>
      <c r="AM664" s="729"/>
      <c r="AN664" s="729"/>
      <c r="AO664" s="729"/>
      <c r="AP664" s="729"/>
      <c r="AQ664" s="729"/>
      <c r="AR664" s="729"/>
      <c r="AS664" s="729"/>
      <c r="AT664" s="729"/>
      <c r="AU664" s="729"/>
      <c r="AV664" s="729"/>
      <c r="AW664" s="729"/>
      <c r="AX664" s="729"/>
      <c r="AY664" s="729"/>
      <c r="AZ664" s="729"/>
      <c r="BA664" s="729"/>
      <c r="BB664" s="729"/>
      <c r="BC664" s="729"/>
      <c r="BD664" s="729"/>
      <c r="BE664" s="729"/>
      <c r="BF664" s="729"/>
      <c r="BG664" s="729"/>
      <c r="BH664" s="1016"/>
      <c r="BI664" s="1016"/>
      <c r="BJ664" s="1022"/>
      <c r="BK664" s="729"/>
      <c r="BL664" s="729"/>
      <c r="BM664" s="779"/>
      <c r="BN664" s="779"/>
      <c r="BO664" s="779"/>
      <c r="BP664" s="12"/>
      <c r="BQ664" s="729"/>
      <c r="BR664" s="729"/>
      <c r="BS664" s="729"/>
      <c r="BT664" s="779"/>
      <c r="BU664" s="779"/>
      <c r="BV664" s="779"/>
      <c r="BW664" s="2"/>
      <c r="BX664" s="12"/>
      <c r="BY664" s="729"/>
      <c r="BZ664" s="729"/>
      <c r="CA664" s="729"/>
      <c r="CB664" s="779"/>
      <c r="CC664" s="779"/>
      <c r="CD664" s="779"/>
      <c r="CE664" s="2"/>
      <c r="CF664" s="729"/>
      <c r="CG664" s="729"/>
      <c r="CH664" s="729"/>
      <c r="CI664" s="729"/>
      <c r="CJ664" s="228"/>
      <c r="CK664" s="729"/>
      <c r="CL664" s="729"/>
      <c r="CM664" s="228"/>
      <c r="CN664" s="729"/>
      <c r="CO664" s="729"/>
      <c r="CP664" s="729"/>
      <c r="CQ664" s="729"/>
      <c r="CR664" s="729"/>
      <c r="CS664" s="729"/>
      <c r="CT664" s="729"/>
      <c r="CU664" s="228"/>
      <c r="CV664" s="779"/>
      <c r="CW664" s="779"/>
      <c r="CX664" s="729"/>
      <c r="CY664" s="228"/>
      <c r="CZ664" s="228"/>
      <c r="DA664" s="228"/>
      <c r="DB664" s="228"/>
      <c r="DC664" s="228"/>
      <c r="DD664" s="228"/>
      <c r="DE664" s="729"/>
      <c r="DF664" s="729"/>
      <c r="DG664" s="729"/>
      <c r="DH664" s="730"/>
      <c r="DI664" s="729"/>
      <c r="DJ664" s="729"/>
      <c r="DK664" s="729"/>
      <c r="DL664" s="729"/>
      <c r="DM664" s="4"/>
    </row>
    <row r="665" spans="1:117" ht="12.75" customHeight="1">
      <c r="A665" s="228"/>
      <c r="B665" s="3"/>
      <c r="C665" s="228"/>
      <c r="D665" s="228"/>
      <c r="E665" s="3"/>
      <c r="F665" s="3"/>
      <c r="G665" s="729"/>
      <c r="H665" s="729"/>
      <c r="I665" s="729"/>
      <c r="J665" s="3"/>
      <c r="K665" s="1010"/>
      <c r="L665" s="12"/>
      <c r="M665" s="12"/>
      <c r="N665" s="12"/>
      <c r="O665" s="1010"/>
      <c r="P665" s="1011"/>
      <c r="Q665" s="1011"/>
      <c r="R665" s="12"/>
      <c r="S665" s="12"/>
      <c r="T665" s="12"/>
      <c r="U665" s="12"/>
      <c r="V665" s="12"/>
      <c r="W665" s="1012"/>
      <c r="X665" s="1013"/>
      <c r="Y665" s="1012"/>
      <c r="Z665" s="1012"/>
      <c r="AA665" s="1012"/>
      <c r="AB665" s="1011"/>
      <c r="AC665" s="1011"/>
      <c r="AD665" s="1012"/>
      <c r="AE665" s="12"/>
      <c r="AF665" s="729"/>
      <c r="AG665" s="1014"/>
      <c r="AH665" s="1014"/>
      <c r="AI665" s="729"/>
      <c r="AJ665" s="729"/>
      <c r="AK665" s="729"/>
      <c r="AL665" s="729"/>
      <c r="AM665" s="729"/>
      <c r="AN665" s="729"/>
      <c r="AO665" s="729"/>
      <c r="AP665" s="729"/>
      <c r="AQ665" s="729"/>
      <c r="AR665" s="729"/>
      <c r="AS665" s="729"/>
      <c r="AT665" s="729"/>
      <c r="AU665" s="729"/>
      <c r="AV665" s="729"/>
      <c r="AW665" s="729"/>
      <c r="AX665" s="729"/>
      <c r="AY665" s="729"/>
      <c r="AZ665" s="729"/>
      <c r="BA665" s="729"/>
      <c r="BB665" s="729"/>
      <c r="BC665" s="729"/>
      <c r="BD665" s="729"/>
      <c r="BE665" s="729"/>
      <c r="BF665" s="729"/>
      <c r="BG665" s="729"/>
      <c r="BH665" s="729"/>
      <c r="BI665" s="729"/>
      <c r="BJ665" s="729"/>
      <c r="BK665" s="729"/>
      <c r="BL665" s="729"/>
      <c r="BM665" s="779"/>
      <c r="BN665" s="779"/>
      <c r="BO665" s="779"/>
      <c r="BP665" s="12"/>
      <c r="BQ665" s="729"/>
      <c r="BR665" s="729"/>
      <c r="BS665" s="729"/>
      <c r="BT665" s="779"/>
      <c r="BU665" s="779"/>
      <c r="BV665" s="779"/>
      <c r="BW665" s="2"/>
      <c r="BX665" s="12"/>
      <c r="BY665" s="729"/>
      <c r="BZ665" s="729"/>
      <c r="CA665" s="729"/>
      <c r="CB665" s="779"/>
      <c r="CC665" s="779"/>
      <c r="CD665" s="779"/>
      <c r="CE665" s="2"/>
      <c r="CF665" s="729"/>
      <c r="CG665" s="729"/>
      <c r="CH665" s="729"/>
      <c r="CI665" s="729"/>
      <c r="CJ665" s="228"/>
      <c r="CK665" s="729"/>
      <c r="CL665" s="729"/>
      <c r="CM665" s="228"/>
      <c r="CN665" s="729"/>
      <c r="CO665" s="729"/>
      <c r="CP665" s="729"/>
      <c r="CQ665" s="729"/>
      <c r="CR665" s="729"/>
      <c r="CS665" s="729"/>
      <c r="CT665" s="729"/>
      <c r="CU665" s="228"/>
      <c r="CV665" s="779"/>
      <c r="CW665" s="779"/>
      <c r="CX665" s="729"/>
      <c r="CY665" s="228"/>
      <c r="CZ665" s="228"/>
      <c r="DA665" s="228"/>
      <c r="DB665" s="228"/>
      <c r="DC665" s="228"/>
      <c r="DD665" s="228"/>
      <c r="DE665" s="729"/>
      <c r="DF665" s="729"/>
      <c r="DG665" s="729"/>
      <c r="DH665" s="730"/>
      <c r="DI665" s="729"/>
      <c r="DJ665" s="729"/>
      <c r="DK665" s="729"/>
      <c r="DL665" s="729"/>
      <c r="DM665" s="4"/>
    </row>
    <row r="666" spans="1:117" ht="12.75" customHeight="1">
      <c r="A666" s="228"/>
      <c r="B666" s="3"/>
      <c r="C666" s="228"/>
      <c r="D666" s="228"/>
      <c r="E666" s="3"/>
      <c r="F666" s="3"/>
      <c r="G666" s="729"/>
      <c r="H666" s="729"/>
      <c r="I666" s="729"/>
      <c r="J666" s="3"/>
      <c r="K666" s="1010"/>
      <c r="L666" s="12"/>
      <c r="M666" s="12"/>
      <c r="N666" s="12"/>
      <c r="O666" s="1010"/>
      <c r="P666" s="1011"/>
      <c r="Q666" s="1011"/>
      <c r="R666" s="12"/>
      <c r="S666" s="12"/>
      <c r="T666" s="12"/>
      <c r="U666" s="12"/>
      <c r="V666" s="12"/>
      <c r="W666" s="1012"/>
      <c r="X666" s="1013"/>
      <c r="Y666" s="1012"/>
      <c r="Z666" s="1012"/>
      <c r="AA666" s="1012"/>
      <c r="AB666" s="1011"/>
      <c r="AC666" s="1011"/>
      <c r="AD666" s="1012"/>
      <c r="AE666" s="12"/>
      <c r="AF666" s="729"/>
      <c r="AG666" s="1014"/>
      <c r="AH666" s="1014"/>
      <c r="AI666" s="729"/>
      <c r="AJ666" s="729"/>
      <c r="AK666" s="729"/>
      <c r="AL666" s="729"/>
      <c r="AM666" s="729"/>
      <c r="AN666" s="729"/>
      <c r="AO666" s="729"/>
      <c r="AP666" s="729"/>
      <c r="AQ666" s="729"/>
      <c r="AR666" s="729"/>
      <c r="AS666" s="729"/>
      <c r="AT666" s="729"/>
      <c r="AU666" s="729"/>
      <c r="AV666" s="729"/>
      <c r="AW666" s="729"/>
      <c r="AX666" s="729"/>
      <c r="AY666" s="729"/>
      <c r="AZ666" s="729"/>
      <c r="BA666" s="729"/>
      <c r="BB666" s="729"/>
      <c r="BC666" s="729"/>
      <c r="BD666" s="729"/>
      <c r="BE666" s="729"/>
      <c r="BF666" s="729"/>
      <c r="BG666" s="729"/>
      <c r="BH666" s="729"/>
      <c r="BI666" s="729"/>
      <c r="BJ666" s="729"/>
      <c r="BK666" s="729"/>
      <c r="BL666" s="729"/>
      <c r="BM666" s="779"/>
      <c r="BN666" s="779"/>
      <c r="BO666" s="779"/>
      <c r="BP666" s="12"/>
      <c r="BQ666" s="729"/>
      <c r="BR666" s="729"/>
      <c r="BS666" s="729"/>
      <c r="BT666" s="779"/>
      <c r="BU666" s="779"/>
      <c r="BV666" s="779"/>
      <c r="BW666" s="2"/>
      <c r="BX666" s="12"/>
      <c r="BY666" s="729"/>
      <c r="BZ666" s="729"/>
      <c r="CA666" s="729"/>
      <c r="CB666" s="779"/>
      <c r="CC666" s="779"/>
      <c r="CD666" s="779"/>
      <c r="CE666" s="2"/>
      <c r="CF666" s="729"/>
      <c r="CG666" s="729"/>
      <c r="CH666" s="729"/>
      <c r="CI666" s="729"/>
      <c r="CJ666" s="228"/>
      <c r="CK666" s="729"/>
      <c r="CL666" s="729"/>
      <c r="CM666" s="228"/>
      <c r="CN666" s="729"/>
      <c r="CO666" s="729"/>
      <c r="CP666" s="729"/>
      <c r="CQ666" s="729"/>
      <c r="CR666" s="729"/>
      <c r="CS666" s="729"/>
      <c r="CT666" s="729"/>
      <c r="CU666" s="228"/>
      <c r="CV666" s="779"/>
      <c r="CW666" s="779"/>
      <c r="CX666" s="729"/>
      <c r="CY666" s="228"/>
      <c r="CZ666" s="228"/>
      <c r="DA666" s="228"/>
      <c r="DB666" s="228"/>
      <c r="DC666" s="228"/>
      <c r="DD666" s="228"/>
      <c r="DE666" s="729"/>
      <c r="DF666" s="729"/>
      <c r="DG666" s="729"/>
      <c r="DH666" s="730"/>
      <c r="DI666" s="729"/>
      <c r="DJ666" s="729"/>
      <c r="DK666" s="729"/>
      <c r="DL666" s="729"/>
      <c r="DM666" s="4"/>
    </row>
    <row r="667" spans="1:117" ht="12.75" customHeight="1">
      <c r="A667" s="228"/>
      <c r="B667" s="3"/>
      <c r="C667" s="228"/>
      <c r="D667" s="228"/>
      <c r="E667" s="3"/>
      <c r="F667" s="3"/>
      <c r="G667" s="729"/>
      <c r="H667" s="729"/>
      <c r="I667" s="729"/>
      <c r="J667" s="3"/>
      <c r="K667" s="1010"/>
      <c r="L667" s="12"/>
      <c r="M667" s="12"/>
      <c r="N667" s="12"/>
      <c r="O667" s="1010"/>
      <c r="P667" s="1011"/>
      <c r="Q667" s="1011"/>
      <c r="R667" s="12"/>
      <c r="S667" s="12"/>
      <c r="T667" s="12"/>
      <c r="U667" s="12"/>
      <c r="V667" s="12"/>
      <c r="W667" s="1012"/>
      <c r="X667" s="1013"/>
      <c r="Y667" s="1012"/>
      <c r="Z667" s="1012"/>
      <c r="AA667" s="1012"/>
      <c r="AB667" s="1011"/>
      <c r="AC667" s="1011"/>
      <c r="AD667" s="1012"/>
      <c r="AE667" s="12"/>
      <c r="AF667" s="729"/>
      <c r="AG667" s="1014"/>
      <c r="AH667" s="1014"/>
      <c r="AI667" s="729"/>
      <c r="AJ667" s="729"/>
      <c r="AK667" s="729"/>
      <c r="AL667" s="729"/>
      <c r="AM667" s="729"/>
      <c r="AN667" s="729"/>
      <c r="AO667" s="729"/>
      <c r="AP667" s="729"/>
      <c r="AQ667" s="729"/>
      <c r="AR667" s="729"/>
      <c r="AS667" s="729"/>
      <c r="AT667" s="729"/>
      <c r="AU667" s="729"/>
      <c r="AV667" s="729"/>
      <c r="AW667" s="729"/>
      <c r="AX667" s="729"/>
      <c r="AY667" s="729"/>
      <c r="AZ667" s="729"/>
      <c r="BA667" s="729"/>
      <c r="BB667" s="729"/>
      <c r="BC667" s="729"/>
      <c r="BD667" s="729"/>
      <c r="BE667" s="729"/>
      <c r="BF667" s="729"/>
      <c r="BG667" s="729"/>
      <c r="BH667" s="729"/>
      <c r="BI667" s="729"/>
      <c r="BJ667" s="729"/>
      <c r="BK667" s="729"/>
      <c r="BL667" s="729"/>
      <c r="BM667" s="779"/>
      <c r="BN667" s="779"/>
      <c r="BO667" s="779"/>
      <c r="BP667" s="12"/>
      <c r="BQ667" s="729"/>
      <c r="BR667" s="729"/>
      <c r="BS667" s="729"/>
      <c r="BT667" s="779"/>
      <c r="BU667" s="779"/>
      <c r="BV667" s="779"/>
      <c r="BW667" s="2"/>
      <c r="BX667" s="12"/>
      <c r="BY667" s="729"/>
      <c r="BZ667" s="729"/>
      <c r="CA667" s="729"/>
      <c r="CB667" s="779"/>
      <c r="CC667" s="779"/>
      <c r="CD667" s="779"/>
      <c r="CE667" s="2"/>
      <c r="CF667" s="729"/>
      <c r="CG667" s="729"/>
      <c r="CH667" s="729"/>
      <c r="CI667" s="729"/>
      <c r="CJ667" s="228"/>
      <c r="CK667" s="729"/>
      <c r="CL667" s="729"/>
      <c r="CM667" s="228"/>
      <c r="CN667" s="729"/>
      <c r="CO667" s="729"/>
      <c r="CP667" s="729"/>
      <c r="CQ667" s="729"/>
      <c r="CR667" s="729"/>
      <c r="CS667" s="729"/>
      <c r="CT667" s="729"/>
      <c r="CU667" s="228"/>
      <c r="CV667" s="779"/>
      <c r="CW667" s="779"/>
      <c r="CX667" s="729"/>
      <c r="CY667" s="228"/>
      <c r="CZ667" s="228"/>
      <c r="DA667" s="12"/>
      <c r="DB667" s="164"/>
      <c r="DC667" s="14"/>
      <c r="DD667" s="729"/>
      <c r="DE667" s="729"/>
      <c r="DF667" s="729"/>
      <c r="DG667" s="729"/>
      <c r="DH667" s="730"/>
      <c r="DI667" s="729"/>
      <c r="DJ667" s="729"/>
      <c r="DK667" s="729"/>
      <c r="DL667" s="729"/>
      <c r="DM667" s="4"/>
    </row>
    <row r="668" spans="1:117" ht="12.75" customHeight="1">
      <c r="A668" s="228"/>
      <c r="B668" s="3"/>
      <c r="C668" s="228"/>
      <c r="D668" s="228"/>
      <c r="E668" s="3"/>
      <c r="F668" s="3"/>
      <c r="G668" s="729"/>
      <c r="H668" s="729"/>
      <c r="I668" s="729"/>
      <c r="J668" s="3"/>
      <c r="K668" s="1010"/>
      <c r="L668" s="12"/>
      <c r="M668" s="12"/>
      <c r="N668" s="12"/>
      <c r="O668" s="1010"/>
      <c r="P668" s="1011"/>
      <c r="Q668" s="1011"/>
      <c r="R668" s="12"/>
      <c r="S668" s="12"/>
      <c r="T668" s="12"/>
      <c r="U668" s="12"/>
      <c r="V668" s="12"/>
      <c r="W668" s="1012"/>
      <c r="X668" s="1013"/>
      <c r="Y668" s="1012"/>
      <c r="Z668" s="1012"/>
      <c r="AA668" s="1012"/>
      <c r="AB668" s="1011"/>
      <c r="AC668" s="1011"/>
      <c r="AD668" s="1012"/>
      <c r="AE668" s="12"/>
      <c r="AF668" s="729"/>
      <c r="AG668" s="1014"/>
      <c r="AH668" s="1014"/>
      <c r="AI668" s="729"/>
      <c r="AJ668" s="729"/>
      <c r="AK668" s="729"/>
      <c r="AL668" s="729"/>
      <c r="AM668" s="729"/>
      <c r="AN668" s="729"/>
      <c r="AO668" s="729"/>
      <c r="AP668" s="729"/>
      <c r="AQ668" s="729"/>
      <c r="AR668" s="729"/>
      <c r="AS668" s="729"/>
      <c r="AT668" s="729"/>
      <c r="AU668" s="729"/>
      <c r="AV668" s="729"/>
      <c r="AW668" s="729"/>
      <c r="AX668" s="729"/>
      <c r="AY668" s="729"/>
      <c r="AZ668" s="729"/>
      <c r="BA668" s="729"/>
      <c r="BB668" s="729"/>
      <c r="BC668" s="729"/>
      <c r="BD668" s="729"/>
      <c r="BE668" s="729"/>
      <c r="BF668" s="729"/>
      <c r="BG668" s="729"/>
      <c r="BH668" s="729"/>
      <c r="BI668" s="729"/>
      <c r="BJ668" s="729"/>
      <c r="BK668" s="729"/>
      <c r="BL668" s="729"/>
      <c r="BM668" s="779"/>
      <c r="BN668" s="779"/>
      <c r="BO668" s="779"/>
      <c r="BP668" s="12"/>
      <c r="BQ668" s="729"/>
      <c r="BR668" s="729"/>
      <c r="BS668" s="729"/>
      <c r="BT668" s="779"/>
      <c r="BU668" s="779"/>
      <c r="BV668" s="779"/>
      <c r="BW668" s="2"/>
      <c r="BX668" s="12"/>
      <c r="BY668" s="729"/>
      <c r="BZ668" s="729"/>
      <c r="CA668" s="729"/>
      <c r="CB668" s="779"/>
      <c r="CC668" s="779"/>
      <c r="CD668" s="779"/>
      <c r="CE668" s="2"/>
      <c r="CF668" s="729"/>
      <c r="CG668" s="729"/>
      <c r="CH668" s="729"/>
      <c r="CI668" s="729"/>
      <c r="CJ668" s="228"/>
      <c r="CK668" s="729"/>
      <c r="CL668" s="729"/>
      <c r="CM668" s="228"/>
      <c r="CN668" s="729"/>
      <c r="CO668" s="729"/>
      <c r="CP668" s="729"/>
      <c r="CQ668" s="729"/>
      <c r="CR668" s="729"/>
      <c r="CS668" s="729"/>
      <c r="CT668" s="729"/>
      <c r="CU668" s="228"/>
      <c r="CV668" s="779"/>
      <c r="CW668" s="779"/>
      <c r="CX668" s="729"/>
      <c r="CY668" s="228"/>
      <c r="CZ668" s="228"/>
      <c r="DA668" s="12"/>
      <c r="DB668" s="164"/>
      <c r="DC668" s="14"/>
      <c r="DD668" s="729"/>
      <c r="DE668" s="729"/>
      <c r="DF668" s="729"/>
      <c r="DG668" s="729"/>
      <c r="DH668" s="730"/>
      <c r="DI668" s="729"/>
      <c r="DJ668" s="729"/>
      <c r="DK668" s="729"/>
      <c r="DL668" s="729"/>
      <c r="DM668" s="4"/>
    </row>
    <row r="669" spans="1:117" ht="12.75" customHeight="1">
      <c r="A669" s="228"/>
      <c r="B669" s="3"/>
      <c r="C669" s="228"/>
      <c r="D669" s="228"/>
      <c r="E669" s="3"/>
      <c r="F669" s="3"/>
      <c r="G669" s="729"/>
      <c r="H669" s="729"/>
      <c r="I669" s="729"/>
      <c r="J669" s="3"/>
      <c r="K669" s="1010"/>
      <c r="L669" s="12"/>
      <c r="M669" s="12"/>
      <c r="N669" s="12"/>
      <c r="O669" s="1010"/>
      <c r="P669" s="1011"/>
      <c r="Q669" s="1011"/>
      <c r="R669" s="12"/>
      <c r="S669" s="12"/>
      <c r="T669" s="12"/>
      <c r="U669" s="12"/>
      <c r="V669" s="12"/>
      <c r="W669" s="1012"/>
      <c r="X669" s="1013"/>
      <c r="Y669" s="1012"/>
      <c r="Z669" s="1012"/>
      <c r="AA669" s="1012"/>
      <c r="AB669" s="1011"/>
      <c r="AC669" s="1011"/>
      <c r="AD669" s="1012"/>
      <c r="AE669" s="12"/>
      <c r="AF669" s="729"/>
      <c r="AG669" s="1014"/>
      <c r="AH669" s="1014"/>
      <c r="AI669" s="729"/>
      <c r="AJ669" s="729"/>
      <c r="AK669" s="729"/>
      <c r="AL669" s="729"/>
      <c r="AM669" s="729"/>
      <c r="AN669" s="729"/>
      <c r="AO669" s="729"/>
      <c r="AP669" s="729"/>
      <c r="AQ669" s="729"/>
      <c r="AR669" s="729"/>
      <c r="AS669" s="729"/>
      <c r="AT669" s="729"/>
      <c r="AU669" s="729"/>
      <c r="AV669" s="729"/>
      <c r="AW669" s="729"/>
      <c r="AX669" s="729"/>
      <c r="AY669" s="729"/>
      <c r="AZ669" s="729"/>
      <c r="BA669" s="729"/>
      <c r="BB669" s="729"/>
      <c r="BC669" s="729"/>
      <c r="BD669" s="729"/>
      <c r="BE669" s="729"/>
      <c r="BF669" s="729"/>
      <c r="BG669" s="729"/>
      <c r="BH669" s="729"/>
      <c r="BI669" s="729"/>
      <c r="BJ669" s="729"/>
      <c r="BK669" s="729"/>
      <c r="BL669" s="729"/>
      <c r="BM669" s="779"/>
      <c r="BN669" s="779"/>
      <c r="BO669" s="779"/>
      <c r="BP669" s="12"/>
      <c r="BQ669" s="729"/>
      <c r="BR669" s="729"/>
      <c r="BS669" s="729"/>
      <c r="BT669" s="779"/>
      <c r="BU669" s="779"/>
      <c r="BV669" s="779"/>
      <c r="BW669" s="2"/>
      <c r="BX669" s="12"/>
      <c r="BY669" s="729"/>
      <c r="BZ669" s="729"/>
      <c r="CA669" s="729"/>
      <c r="CB669" s="779"/>
      <c r="CC669" s="779"/>
      <c r="CD669" s="779"/>
      <c r="CE669" s="2"/>
      <c r="CF669" s="729"/>
      <c r="CG669" s="729"/>
      <c r="CH669" s="729"/>
      <c r="CI669" s="729"/>
      <c r="CJ669" s="228"/>
      <c r="CK669" s="729"/>
      <c r="CL669" s="729"/>
      <c r="CM669" s="228"/>
      <c r="CN669" s="729"/>
      <c r="CO669" s="729"/>
      <c r="CP669" s="729"/>
      <c r="CQ669" s="729"/>
      <c r="CR669" s="729"/>
      <c r="CS669" s="729"/>
      <c r="CT669" s="729"/>
      <c r="CU669" s="228"/>
      <c r="CV669" s="779"/>
      <c r="CW669" s="779"/>
      <c r="CX669" s="729"/>
      <c r="CY669" s="228"/>
      <c r="CZ669" s="228"/>
      <c r="DA669" s="12"/>
      <c r="DB669" s="164"/>
      <c r="DC669" s="14"/>
      <c r="DD669" s="729"/>
      <c r="DE669" s="729"/>
      <c r="DF669" s="729"/>
      <c r="DG669" s="729"/>
      <c r="DH669" s="730"/>
      <c r="DI669" s="729"/>
      <c r="DJ669" s="729"/>
      <c r="DK669" s="729"/>
      <c r="DL669" s="729"/>
      <c r="DM669" s="4"/>
    </row>
    <row r="670" spans="1:117" ht="12.75" customHeight="1">
      <c r="A670" s="228"/>
      <c r="B670" s="3"/>
      <c r="C670" s="228"/>
      <c r="D670" s="228"/>
      <c r="E670" s="3"/>
      <c r="F670" s="3"/>
      <c r="G670" s="729"/>
      <c r="H670" s="729"/>
      <c r="I670" s="729"/>
      <c r="J670" s="3"/>
      <c r="K670" s="1010"/>
      <c r="L670" s="12"/>
      <c r="M670" s="12"/>
      <c r="N670" s="12"/>
      <c r="O670" s="1010"/>
      <c r="P670" s="1011"/>
      <c r="Q670" s="1011"/>
      <c r="R670" s="12"/>
      <c r="S670" s="12"/>
      <c r="T670" s="12"/>
      <c r="U670" s="12"/>
      <c r="V670" s="12"/>
      <c r="W670" s="1012"/>
      <c r="X670" s="1013"/>
      <c r="Y670" s="1012"/>
      <c r="Z670" s="1012"/>
      <c r="AA670" s="1012"/>
      <c r="AB670" s="1011"/>
      <c r="AC670" s="1011"/>
      <c r="AD670" s="1012"/>
      <c r="AE670" s="12"/>
      <c r="AF670" s="729"/>
      <c r="AG670" s="1014"/>
      <c r="AH670" s="1014"/>
      <c r="AI670" s="729"/>
      <c r="AJ670" s="729"/>
      <c r="AK670" s="729"/>
      <c r="AL670" s="729"/>
      <c r="AM670" s="729"/>
      <c r="AN670" s="729"/>
      <c r="AO670" s="729"/>
      <c r="AP670" s="729"/>
      <c r="AQ670" s="729"/>
      <c r="AR670" s="729"/>
      <c r="AS670" s="729"/>
      <c r="AT670" s="729"/>
      <c r="AU670" s="729"/>
      <c r="AV670" s="729"/>
      <c r="AW670" s="729"/>
      <c r="AX670" s="729"/>
      <c r="AY670" s="729"/>
      <c r="AZ670" s="729"/>
      <c r="BA670" s="729"/>
      <c r="BB670" s="729"/>
      <c r="BC670" s="729"/>
      <c r="BD670" s="729"/>
      <c r="BE670" s="729"/>
      <c r="BF670" s="729"/>
      <c r="BG670" s="729"/>
      <c r="BH670" s="729"/>
      <c r="BI670" s="729"/>
      <c r="BJ670" s="729"/>
      <c r="BK670" s="729"/>
      <c r="BL670" s="729"/>
      <c r="BM670" s="779"/>
      <c r="BN670" s="779"/>
      <c r="BO670" s="779"/>
      <c r="BP670" s="12"/>
      <c r="BQ670" s="729"/>
      <c r="BR670" s="729"/>
      <c r="BS670" s="729"/>
      <c r="BT670" s="779"/>
      <c r="BU670" s="779"/>
      <c r="BV670" s="779"/>
      <c r="BW670" s="2"/>
      <c r="BX670" s="12"/>
      <c r="BY670" s="729"/>
      <c r="BZ670" s="729"/>
      <c r="CA670" s="729"/>
      <c r="CB670" s="779"/>
      <c r="CC670" s="779"/>
      <c r="CD670" s="779"/>
      <c r="CE670" s="2"/>
      <c r="CF670" s="729"/>
      <c r="CG670" s="729"/>
      <c r="CH670" s="729"/>
      <c r="CI670" s="729"/>
      <c r="CJ670" s="228"/>
      <c r="CK670" s="729"/>
      <c r="CL670" s="729"/>
      <c r="CM670" s="228"/>
      <c r="CN670" s="729"/>
      <c r="CO670" s="729"/>
      <c r="CP670" s="729"/>
      <c r="CQ670" s="729"/>
      <c r="CR670" s="729"/>
      <c r="CS670" s="729"/>
      <c r="CT670" s="729"/>
      <c r="CU670" s="228"/>
      <c r="CV670" s="779"/>
      <c r="CW670" s="779"/>
      <c r="CX670" s="729"/>
      <c r="CY670" s="228"/>
      <c r="CZ670" s="228"/>
      <c r="DA670" s="12"/>
      <c r="DB670" s="164"/>
      <c r="DC670" s="14"/>
      <c r="DD670" s="729"/>
      <c r="DE670" s="729"/>
      <c r="DF670" s="729"/>
      <c r="DG670" s="729"/>
      <c r="DH670" s="730"/>
      <c r="DI670" s="729"/>
      <c r="DJ670" s="729"/>
      <c r="DK670" s="729"/>
      <c r="DL670" s="729"/>
      <c r="DM670" s="4"/>
    </row>
    <row r="671" spans="1:117" ht="12.75" customHeight="1">
      <c r="A671" s="228"/>
      <c r="B671" s="3"/>
      <c r="C671" s="228"/>
      <c r="D671" s="228"/>
      <c r="E671" s="3"/>
      <c r="F671" s="3"/>
      <c r="G671" s="729"/>
      <c r="H671" s="729"/>
      <c r="I671" s="729"/>
      <c r="J671" s="3"/>
      <c r="K671" s="1010"/>
      <c r="L671" s="12"/>
      <c r="M671" s="12"/>
      <c r="N671" s="12"/>
      <c r="O671" s="1010"/>
      <c r="P671" s="1011"/>
      <c r="Q671" s="1011"/>
      <c r="R671" s="12"/>
      <c r="S671" s="12"/>
      <c r="T671" s="12"/>
      <c r="U671" s="12"/>
      <c r="V671" s="12"/>
      <c r="W671" s="1012"/>
      <c r="X671" s="1013"/>
      <c r="Y671" s="1012"/>
      <c r="Z671" s="1012"/>
      <c r="AA671" s="1012"/>
      <c r="AB671" s="1011"/>
      <c r="AC671" s="1011"/>
      <c r="AD671" s="1012"/>
      <c r="AE671" s="12"/>
      <c r="AF671" s="729"/>
      <c r="AG671" s="1014"/>
      <c r="AH671" s="1014"/>
      <c r="AI671" s="729"/>
      <c r="AJ671" s="729"/>
      <c r="AK671" s="729"/>
      <c r="AL671" s="729"/>
      <c r="AM671" s="729"/>
      <c r="AN671" s="729"/>
      <c r="AO671" s="729"/>
      <c r="AP671" s="729"/>
      <c r="AQ671" s="729"/>
      <c r="AR671" s="729"/>
      <c r="AS671" s="729"/>
      <c r="AT671" s="729"/>
      <c r="AU671" s="729"/>
      <c r="AV671" s="729"/>
      <c r="AW671" s="729"/>
      <c r="AX671" s="729"/>
      <c r="AY671" s="729"/>
      <c r="AZ671" s="729"/>
      <c r="BA671" s="729"/>
      <c r="BB671" s="729"/>
      <c r="BC671" s="729"/>
      <c r="BD671" s="729"/>
      <c r="BE671" s="729"/>
      <c r="BF671" s="729"/>
      <c r="BG671" s="729"/>
      <c r="BH671" s="729"/>
      <c r="BI671" s="729"/>
      <c r="BJ671" s="729"/>
      <c r="BK671" s="729"/>
      <c r="BL671" s="729"/>
      <c r="BM671" s="779"/>
      <c r="BN671" s="779"/>
      <c r="BO671" s="779"/>
      <c r="BP671" s="12"/>
      <c r="BQ671" s="729"/>
      <c r="BR671" s="729"/>
      <c r="BS671" s="729"/>
      <c r="BT671" s="779"/>
      <c r="BU671" s="779"/>
      <c r="BV671" s="779"/>
      <c r="BW671" s="2"/>
      <c r="BX671" s="12"/>
      <c r="BY671" s="729"/>
      <c r="BZ671" s="729"/>
      <c r="CA671" s="729"/>
      <c r="CB671" s="779"/>
      <c r="CC671" s="779"/>
      <c r="CD671" s="779"/>
      <c r="CE671" s="2"/>
      <c r="CF671" s="729"/>
      <c r="CG671" s="729"/>
      <c r="CH671" s="729"/>
      <c r="CI671" s="729"/>
      <c r="CJ671" s="228"/>
      <c r="CK671" s="729"/>
      <c r="CL671" s="729"/>
      <c r="CM671" s="228"/>
      <c r="CN671" s="729"/>
      <c r="CO671" s="729"/>
      <c r="CP671" s="729"/>
      <c r="CQ671" s="729"/>
      <c r="CR671" s="729"/>
      <c r="CS671" s="729"/>
      <c r="CT671" s="729"/>
      <c r="CU671" s="228"/>
      <c r="CV671" s="779"/>
      <c r="CW671" s="779"/>
      <c r="CX671" s="729"/>
      <c r="CY671" s="228"/>
      <c r="CZ671" s="228"/>
      <c r="DA671" s="12"/>
      <c r="DB671" s="164"/>
      <c r="DC671" s="14"/>
      <c r="DD671" s="729"/>
      <c r="DE671" s="729"/>
      <c r="DF671" s="729"/>
      <c r="DG671" s="729"/>
      <c r="DH671" s="730"/>
      <c r="DI671" s="729"/>
      <c r="DJ671" s="729"/>
      <c r="DK671" s="729"/>
      <c r="DL671" s="729"/>
      <c r="DM671" s="4"/>
    </row>
    <row r="672" spans="1:117" ht="12.75" customHeight="1">
      <c r="A672" s="228"/>
      <c r="B672" s="3"/>
      <c r="C672" s="228"/>
      <c r="D672" s="228"/>
      <c r="E672" s="3"/>
      <c r="F672" s="3"/>
      <c r="G672" s="729"/>
      <c r="H672" s="729"/>
      <c r="I672" s="729"/>
      <c r="J672" s="3"/>
      <c r="K672" s="1010"/>
      <c r="L672" s="12"/>
      <c r="M672" s="12"/>
      <c r="N672" s="12"/>
      <c r="O672" s="1010"/>
      <c r="P672" s="1011"/>
      <c r="Q672" s="1011"/>
      <c r="R672" s="12"/>
      <c r="S672" s="12"/>
      <c r="T672" s="12"/>
      <c r="U672" s="12"/>
      <c r="V672" s="12"/>
      <c r="W672" s="1012"/>
      <c r="X672" s="1013"/>
      <c r="Y672" s="1012"/>
      <c r="Z672" s="1012"/>
      <c r="AA672" s="1012"/>
      <c r="AB672" s="1011"/>
      <c r="AC672" s="1011"/>
      <c r="AD672" s="1012"/>
      <c r="AE672" s="12"/>
      <c r="AF672" s="729"/>
      <c r="AG672" s="1014"/>
      <c r="AH672" s="1014"/>
      <c r="AI672" s="729"/>
      <c r="AJ672" s="729"/>
      <c r="AK672" s="729"/>
      <c r="AL672" s="729"/>
      <c r="AM672" s="729"/>
      <c r="AN672" s="729"/>
      <c r="AO672" s="729"/>
      <c r="AP672" s="729"/>
      <c r="AQ672" s="729"/>
      <c r="AR672" s="729"/>
      <c r="AS672" s="729"/>
      <c r="AT672" s="729"/>
      <c r="AU672" s="729"/>
      <c r="AV672" s="729"/>
      <c r="AW672" s="729"/>
      <c r="AX672" s="729"/>
      <c r="AY672" s="729"/>
      <c r="AZ672" s="729"/>
      <c r="BA672" s="729"/>
      <c r="BB672" s="729"/>
      <c r="BC672" s="729"/>
      <c r="BD672" s="729"/>
      <c r="BE672" s="729"/>
      <c r="BF672" s="729"/>
      <c r="BG672" s="729"/>
      <c r="BH672" s="729"/>
      <c r="BI672" s="729"/>
      <c r="BJ672" s="729"/>
      <c r="BK672" s="729"/>
      <c r="BL672" s="729"/>
      <c r="BM672" s="779"/>
      <c r="BN672" s="779"/>
      <c r="BO672" s="779"/>
      <c r="BP672" s="12"/>
      <c r="BQ672" s="729"/>
      <c r="BR672" s="729"/>
      <c r="BS672" s="729"/>
      <c r="BT672" s="779"/>
      <c r="BU672" s="779"/>
      <c r="BV672" s="779"/>
      <c r="BW672" s="2"/>
      <c r="BX672" s="12"/>
      <c r="BY672" s="729"/>
      <c r="BZ672" s="729"/>
      <c r="CA672" s="729"/>
      <c r="CB672" s="779"/>
      <c r="CC672" s="779"/>
      <c r="CD672" s="779"/>
      <c r="CE672" s="2"/>
      <c r="CF672" s="729"/>
      <c r="CG672" s="729"/>
      <c r="CH672" s="729"/>
      <c r="CI672" s="729"/>
      <c r="CJ672" s="228"/>
      <c r="CK672" s="729"/>
      <c r="CL672" s="729"/>
      <c r="CM672" s="228"/>
      <c r="CN672" s="729"/>
      <c r="CO672" s="729"/>
      <c r="CP672" s="729"/>
      <c r="CQ672" s="729"/>
      <c r="CR672" s="729"/>
      <c r="CS672" s="729"/>
      <c r="CT672" s="729"/>
      <c r="CU672" s="228"/>
      <c r="CV672" s="779"/>
      <c r="CW672" s="779"/>
      <c r="CX672" s="729"/>
      <c r="CY672" s="228"/>
      <c r="CZ672" s="228"/>
      <c r="DA672" s="12"/>
      <c r="DB672" s="164"/>
      <c r="DC672" s="14"/>
      <c r="DD672" s="729"/>
      <c r="DE672" s="729"/>
      <c r="DF672" s="729"/>
      <c r="DG672" s="729"/>
      <c r="DH672" s="730"/>
      <c r="DI672" s="729"/>
      <c r="DJ672" s="729"/>
      <c r="DK672" s="729"/>
      <c r="DL672" s="729"/>
      <c r="DM672" s="4"/>
    </row>
    <row r="673" spans="1:117" ht="12.75" customHeight="1">
      <c r="A673" s="228"/>
      <c r="B673" s="3"/>
      <c r="C673" s="228"/>
      <c r="D673" s="228"/>
      <c r="E673" s="3"/>
      <c r="F673" s="3"/>
      <c r="G673" s="729"/>
      <c r="H673" s="729"/>
      <c r="I673" s="729"/>
      <c r="J673" s="3"/>
      <c r="K673" s="1010"/>
      <c r="L673" s="12"/>
      <c r="M673" s="12"/>
      <c r="N673" s="12"/>
      <c r="O673" s="1010"/>
      <c r="P673" s="1011"/>
      <c r="Q673" s="1011"/>
      <c r="R673" s="12"/>
      <c r="S673" s="12"/>
      <c r="T673" s="12"/>
      <c r="U673" s="12"/>
      <c r="V673" s="12"/>
      <c r="W673" s="1012"/>
      <c r="X673" s="1013"/>
      <c r="Y673" s="1012"/>
      <c r="Z673" s="1012"/>
      <c r="AA673" s="1012"/>
      <c r="AB673" s="1011"/>
      <c r="AC673" s="1011"/>
      <c r="AD673" s="1012"/>
      <c r="AE673" s="12"/>
      <c r="AF673" s="729"/>
      <c r="AG673" s="1014"/>
      <c r="AH673" s="1014"/>
      <c r="AI673" s="729"/>
      <c r="AJ673" s="729"/>
      <c r="AK673" s="729"/>
      <c r="AL673" s="729"/>
      <c r="AM673" s="729"/>
      <c r="AN673" s="729"/>
      <c r="AO673" s="729"/>
      <c r="AP673" s="729"/>
      <c r="AQ673" s="729"/>
      <c r="AR673" s="729"/>
      <c r="AS673" s="729"/>
      <c r="AT673" s="729"/>
      <c r="AU673" s="729"/>
      <c r="AV673" s="729"/>
      <c r="AW673" s="729"/>
      <c r="AX673" s="729"/>
      <c r="AY673" s="729"/>
      <c r="AZ673" s="729"/>
      <c r="BA673" s="729"/>
      <c r="BB673" s="729"/>
      <c r="BC673" s="729"/>
      <c r="BD673" s="729"/>
      <c r="BE673" s="729"/>
      <c r="BF673" s="729"/>
      <c r="BG673" s="729"/>
      <c r="BH673" s="729"/>
      <c r="BI673" s="729"/>
      <c r="BJ673" s="729"/>
      <c r="BK673" s="729"/>
      <c r="BL673" s="729"/>
      <c r="BM673" s="779"/>
      <c r="BN673" s="779"/>
      <c r="BO673" s="779"/>
      <c r="BP673" s="12"/>
      <c r="BQ673" s="729"/>
      <c r="BR673" s="729"/>
      <c r="BS673" s="729"/>
      <c r="BT673" s="779"/>
      <c r="BU673" s="779"/>
      <c r="BV673" s="779"/>
      <c r="BW673" s="2"/>
      <c r="BX673" s="12"/>
      <c r="BY673" s="729"/>
      <c r="BZ673" s="729"/>
      <c r="CA673" s="729"/>
      <c r="CB673" s="779"/>
      <c r="CC673" s="779"/>
      <c r="CD673" s="779"/>
      <c r="CE673" s="2"/>
      <c r="CF673" s="729"/>
      <c r="CG673" s="729"/>
      <c r="CH673" s="729"/>
      <c r="CI673" s="729"/>
      <c r="CJ673" s="228"/>
      <c r="CK673" s="729"/>
      <c r="CL673" s="729"/>
      <c r="CM673" s="228"/>
      <c r="CN673" s="729"/>
      <c r="CO673" s="729"/>
      <c r="CP673" s="729"/>
      <c r="CQ673" s="729"/>
      <c r="CR673" s="729"/>
      <c r="CS673" s="729"/>
      <c r="CT673" s="729"/>
      <c r="CU673" s="228"/>
      <c r="CV673" s="779"/>
      <c r="CW673" s="779"/>
      <c r="CX673" s="729"/>
      <c r="CY673" s="228"/>
      <c r="CZ673" s="228"/>
      <c r="DA673" s="12"/>
      <c r="DB673" s="164"/>
      <c r="DC673" s="14"/>
      <c r="DD673" s="729"/>
      <c r="DE673" s="729"/>
      <c r="DF673" s="729"/>
      <c r="DG673" s="729"/>
      <c r="DH673" s="730"/>
      <c r="DI673" s="729"/>
      <c r="DJ673" s="729"/>
      <c r="DK673" s="729"/>
      <c r="DL673" s="729"/>
      <c r="DM673" s="4"/>
    </row>
    <row r="674" spans="1:117" ht="12.75" customHeight="1">
      <c r="A674" s="228"/>
      <c r="B674" s="3"/>
      <c r="C674" s="228"/>
      <c r="D674" s="228"/>
      <c r="E674" s="3"/>
      <c r="F674" s="3"/>
      <c r="G674" s="729"/>
      <c r="H674" s="729"/>
      <c r="I674" s="729"/>
      <c r="J674" s="3"/>
      <c r="K674" s="1010"/>
      <c r="L674" s="12"/>
      <c r="M674" s="12"/>
      <c r="N674" s="12"/>
      <c r="O674" s="1010"/>
      <c r="P674" s="1011"/>
      <c r="Q674" s="1011"/>
      <c r="R674" s="12"/>
      <c r="S674" s="12"/>
      <c r="T674" s="12"/>
      <c r="U674" s="12"/>
      <c r="V674" s="12"/>
      <c r="W674" s="1012"/>
      <c r="X674" s="1013"/>
      <c r="Y674" s="1012"/>
      <c r="Z674" s="1012"/>
      <c r="AA674" s="1012"/>
      <c r="AB674" s="1011"/>
      <c r="AC674" s="1011"/>
      <c r="AD674" s="1012"/>
      <c r="AE674" s="12"/>
      <c r="AF674" s="729"/>
      <c r="AG674" s="1014"/>
      <c r="AH674" s="1014"/>
      <c r="AI674" s="729"/>
      <c r="AJ674" s="729"/>
      <c r="AK674" s="729"/>
      <c r="AL674" s="729"/>
      <c r="AM674" s="729"/>
      <c r="AN674" s="729"/>
      <c r="AO674" s="729"/>
      <c r="AP674" s="729"/>
      <c r="AQ674" s="729"/>
      <c r="AR674" s="729"/>
      <c r="AS674" s="729"/>
      <c r="AT674" s="729"/>
      <c r="AU674" s="729"/>
      <c r="AV674" s="729"/>
      <c r="AW674" s="729"/>
      <c r="AX674" s="729"/>
      <c r="AY674" s="729"/>
      <c r="AZ674" s="729"/>
      <c r="BA674" s="729"/>
      <c r="BB674" s="729"/>
      <c r="BC674" s="729"/>
      <c r="BD674" s="729"/>
      <c r="BE674" s="729"/>
      <c r="BF674" s="729"/>
      <c r="BG674" s="729"/>
      <c r="BH674" s="729"/>
      <c r="BI674" s="729"/>
      <c r="BJ674" s="729"/>
      <c r="BK674" s="729"/>
      <c r="BL674" s="729"/>
      <c r="BM674" s="779"/>
      <c r="BN674" s="779"/>
      <c r="BO674" s="779"/>
      <c r="BP674" s="12"/>
      <c r="BQ674" s="729"/>
      <c r="BR674" s="729"/>
      <c r="BS674" s="729"/>
      <c r="BT674" s="779"/>
      <c r="BU674" s="779"/>
      <c r="BV674" s="779"/>
      <c r="BW674" s="2"/>
      <c r="BX674" s="12"/>
      <c r="BY674" s="729"/>
      <c r="BZ674" s="729"/>
      <c r="CA674" s="729"/>
      <c r="CB674" s="779"/>
      <c r="CC674" s="779"/>
      <c r="CD674" s="779"/>
      <c r="CE674" s="2"/>
      <c r="CF674" s="729"/>
      <c r="CG674" s="729"/>
      <c r="CH674" s="729"/>
      <c r="CI674" s="729"/>
      <c r="CJ674" s="228"/>
      <c r="CK674" s="729"/>
      <c r="CL674" s="729"/>
      <c r="CM674" s="228"/>
      <c r="CN674" s="729"/>
      <c r="CO674" s="729"/>
      <c r="CP674" s="729"/>
      <c r="CQ674" s="729"/>
      <c r="CR674" s="729"/>
      <c r="CS674" s="729"/>
      <c r="CT674" s="729"/>
      <c r="CU674" s="228"/>
      <c r="CV674" s="779"/>
      <c r="CW674" s="779"/>
      <c r="CX674" s="729"/>
      <c r="CY674" s="228"/>
      <c r="CZ674" s="228"/>
      <c r="DA674" s="12"/>
      <c r="DB674" s="164"/>
      <c r="DC674" s="14"/>
      <c r="DD674" s="729"/>
      <c r="DE674" s="729"/>
      <c r="DF674" s="729"/>
      <c r="DG674" s="729"/>
      <c r="DH674" s="730"/>
      <c r="DI674" s="729"/>
      <c r="DJ674" s="729"/>
      <c r="DK674" s="729"/>
      <c r="DL674" s="729"/>
      <c r="DM674" s="4"/>
    </row>
    <row r="675" spans="1:117" ht="12.75" customHeight="1">
      <c r="A675" s="228"/>
      <c r="B675" s="3"/>
      <c r="C675" s="228"/>
      <c r="D675" s="228"/>
      <c r="E675" s="3"/>
      <c r="F675" s="3"/>
      <c r="G675" s="729"/>
      <c r="H675" s="729"/>
      <c r="I675" s="729"/>
      <c r="J675" s="3"/>
      <c r="K675" s="1010"/>
      <c r="L675" s="12"/>
      <c r="M675" s="12"/>
      <c r="N675" s="12"/>
      <c r="O675" s="1010"/>
      <c r="P675" s="1011"/>
      <c r="Q675" s="1011"/>
      <c r="R675" s="12"/>
      <c r="S675" s="12"/>
      <c r="T675" s="12"/>
      <c r="U675" s="12"/>
      <c r="V675" s="12"/>
      <c r="W675" s="1012"/>
      <c r="X675" s="1013"/>
      <c r="Y675" s="1012"/>
      <c r="Z675" s="1012"/>
      <c r="AA675" s="1012"/>
      <c r="AB675" s="1011"/>
      <c r="AC675" s="1011"/>
      <c r="AD675" s="1012"/>
      <c r="AE675" s="12"/>
      <c r="AF675" s="729"/>
      <c r="AG675" s="1014"/>
      <c r="AH675" s="1014"/>
      <c r="AI675" s="729"/>
      <c r="AJ675" s="729"/>
      <c r="AK675" s="729"/>
      <c r="AL675" s="729"/>
      <c r="AM675" s="729"/>
      <c r="AN675" s="729"/>
      <c r="AO675" s="729"/>
      <c r="AP675" s="729"/>
      <c r="AQ675" s="729"/>
      <c r="AR675" s="729"/>
      <c r="AS675" s="729"/>
      <c r="AT675" s="729"/>
      <c r="AU675" s="729"/>
      <c r="AV675" s="729"/>
      <c r="AW675" s="729"/>
      <c r="AX675" s="729"/>
      <c r="AY675" s="729"/>
      <c r="AZ675" s="729"/>
      <c r="BA675" s="729"/>
      <c r="BB675" s="729"/>
      <c r="BC675" s="729"/>
      <c r="BD675" s="729"/>
      <c r="BE675" s="729"/>
      <c r="BF675" s="729"/>
      <c r="BG675" s="729"/>
      <c r="BH675" s="729"/>
      <c r="BI675" s="729"/>
      <c r="BJ675" s="729"/>
      <c r="BK675" s="729"/>
      <c r="BL675" s="729"/>
      <c r="BM675" s="779"/>
      <c r="BN675" s="779"/>
      <c r="BO675" s="779"/>
      <c r="BP675" s="12"/>
      <c r="BQ675" s="729"/>
      <c r="BR675" s="729"/>
      <c r="BS675" s="729"/>
      <c r="BT675" s="779"/>
      <c r="BU675" s="779"/>
      <c r="BV675" s="779"/>
      <c r="BW675" s="2"/>
      <c r="BX675" s="12"/>
      <c r="BY675" s="729"/>
      <c r="BZ675" s="729"/>
      <c r="CA675" s="729"/>
      <c r="CB675" s="779"/>
      <c r="CC675" s="779"/>
      <c r="CD675" s="779"/>
      <c r="CE675" s="2"/>
      <c r="CF675" s="729"/>
      <c r="CG675" s="729"/>
      <c r="CH675" s="729"/>
      <c r="CI675" s="729"/>
      <c r="CJ675" s="228"/>
      <c r="CK675" s="729"/>
      <c r="CL675" s="729"/>
      <c r="CM675" s="228"/>
      <c r="CN675" s="729"/>
      <c r="CO675" s="729"/>
      <c r="CP675" s="729"/>
      <c r="CQ675" s="729"/>
      <c r="CR675" s="729"/>
      <c r="CS675" s="729"/>
      <c r="CT675" s="729"/>
      <c r="CU675" s="228"/>
      <c r="CV675" s="779"/>
      <c r="CW675" s="779"/>
      <c r="CX675" s="729"/>
      <c r="CY675" s="228"/>
      <c r="CZ675" s="228"/>
      <c r="DA675" s="12"/>
      <c r="DB675" s="164"/>
      <c r="DC675" s="14"/>
      <c r="DD675" s="729"/>
      <c r="DE675" s="729"/>
      <c r="DF675" s="729"/>
      <c r="DG675" s="729"/>
      <c r="DH675" s="730"/>
      <c r="DI675" s="729"/>
      <c r="DJ675" s="729"/>
      <c r="DK675" s="729"/>
      <c r="DL675" s="729"/>
      <c r="DM675" s="4"/>
    </row>
    <row r="676" spans="1:117" ht="12.75" customHeight="1">
      <c r="A676" s="228"/>
      <c r="B676" s="3"/>
      <c r="C676" s="228"/>
      <c r="D676" s="228"/>
      <c r="E676" s="3"/>
      <c r="F676" s="3"/>
      <c r="G676" s="729"/>
      <c r="H676" s="729"/>
      <c r="I676" s="729"/>
      <c r="J676" s="3"/>
      <c r="K676" s="1010"/>
      <c r="L676" s="12"/>
      <c r="M676" s="12"/>
      <c r="N676" s="12"/>
      <c r="O676" s="1010"/>
      <c r="P676" s="1011"/>
      <c r="Q676" s="1011"/>
      <c r="R676" s="12"/>
      <c r="S676" s="12"/>
      <c r="T676" s="12"/>
      <c r="U676" s="12"/>
      <c r="V676" s="12"/>
      <c r="W676" s="1012"/>
      <c r="X676" s="1013"/>
      <c r="Y676" s="1012"/>
      <c r="Z676" s="1012"/>
      <c r="AA676" s="1012"/>
      <c r="AB676" s="1011"/>
      <c r="AC676" s="1011"/>
      <c r="AD676" s="1012"/>
      <c r="AE676" s="12"/>
      <c r="AF676" s="729"/>
      <c r="AG676" s="1014"/>
      <c r="AH676" s="1014"/>
      <c r="AI676" s="729"/>
      <c r="AJ676" s="729"/>
      <c r="AK676" s="729"/>
      <c r="AL676" s="729"/>
      <c r="AM676" s="729"/>
      <c r="AN676" s="729"/>
      <c r="AO676" s="729"/>
      <c r="AP676" s="729"/>
      <c r="AQ676" s="729"/>
      <c r="AR676" s="729"/>
      <c r="AS676" s="729"/>
      <c r="AT676" s="729"/>
      <c r="AU676" s="729"/>
      <c r="AV676" s="729"/>
      <c r="AW676" s="729"/>
      <c r="AX676" s="729"/>
      <c r="AY676" s="729"/>
      <c r="AZ676" s="729"/>
      <c r="BA676" s="729"/>
      <c r="BB676" s="729"/>
      <c r="BC676" s="729"/>
      <c r="BD676" s="729"/>
      <c r="BE676" s="729"/>
      <c r="BF676" s="729"/>
      <c r="BG676" s="729"/>
      <c r="BH676" s="729"/>
      <c r="BI676" s="729"/>
      <c r="BJ676" s="729"/>
      <c r="BK676" s="729"/>
      <c r="BL676" s="729"/>
      <c r="BM676" s="779"/>
      <c r="BN676" s="779"/>
      <c r="BO676" s="779"/>
      <c r="BP676" s="12"/>
      <c r="BQ676" s="729"/>
      <c r="BR676" s="729"/>
      <c r="BS676" s="729"/>
      <c r="BT676" s="779"/>
      <c r="BU676" s="779"/>
      <c r="BV676" s="779"/>
      <c r="BW676" s="2"/>
      <c r="BX676" s="12"/>
      <c r="BY676" s="729"/>
      <c r="BZ676" s="729"/>
      <c r="CA676" s="729"/>
      <c r="CB676" s="779"/>
      <c r="CC676" s="779"/>
      <c r="CD676" s="779"/>
      <c r="CE676" s="2"/>
      <c r="CF676" s="729"/>
      <c r="CG676" s="729"/>
      <c r="CH676" s="729"/>
      <c r="CI676" s="729"/>
      <c r="CJ676" s="228"/>
      <c r="CK676" s="729"/>
      <c r="CL676" s="729"/>
      <c r="CM676" s="228"/>
      <c r="CN676" s="729"/>
      <c r="CO676" s="729"/>
      <c r="CP676" s="729"/>
      <c r="CQ676" s="729"/>
      <c r="CR676" s="729"/>
      <c r="CS676" s="729"/>
      <c r="CT676" s="729"/>
      <c r="CU676" s="228"/>
      <c r="CV676" s="779"/>
      <c r="CW676" s="779"/>
      <c r="CX676" s="729"/>
      <c r="CY676" s="228"/>
      <c r="CZ676" s="228"/>
      <c r="DA676" s="12"/>
      <c r="DB676" s="164"/>
      <c r="DC676" s="14"/>
      <c r="DD676" s="729"/>
      <c r="DE676" s="729"/>
      <c r="DF676" s="729"/>
      <c r="DG676" s="729"/>
      <c r="DH676" s="730"/>
      <c r="DI676" s="729"/>
      <c r="DJ676" s="729"/>
      <c r="DK676" s="729"/>
      <c r="DL676" s="729"/>
      <c r="DM676" s="4"/>
    </row>
    <row r="677" spans="1:117" ht="12.75" customHeight="1">
      <c r="A677" s="228"/>
      <c r="B677" s="3"/>
      <c r="C677" s="228"/>
      <c r="D677" s="228"/>
      <c r="E677" s="3"/>
      <c r="F677" s="3"/>
      <c r="G677" s="729"/>
      <c r="H677" s="729"/>
      <c r="I677" s="729"/>
      <c r="J677" s="3"/>
      <c r="K677" s="1010"/>
      <c r="L677" s="12"/>
      <c r="M677" s="12"/>
      <c r="N677" s="12"/>
      <c r="O677" s="1010"/>
      <c r="P677" s="1011"/>
      <c r="Q677" s="1011"/>
      <c r="R677" s="12"/>
      <c r="S677" s="12"/>
      <c r="T677" s="12"/>
      <c r="U677" s="12"/>
      <c r="V677" s="12"/>
      <c r="W677" s="1012"/>
      <c r="X677" s="1013"/>
      <c r="Y677" s="1012"/>
      <c r="Z677" s="1012"/>
      <c r="AA677" s="1012"/>
      <c r="AB677" s="1011"/>
      <c r="AC677" s="1011"/>
      <c r="AD677" s="1012"/>
      <c r="AE677" s="12"/>
      <c r="AF677" s="729"/>
      <c r="AG677" s="1014"/>
      <c r="AH677" s="1014"/>
      <c r="AI677" s="729"/>
      <c r="AJ677" s="729"/>
      <c r="AK677" s="729"/>
      <c r="AL677" s="729"/>
      <c r="AM677" s="729"/>
      <c r="AN677" s="729"/>
      <c r="AO677" s="729"/>
      <c r="AP677" s="729"/>
      <c r="AQ677" s="729"/>
      <c r="AR677" s="729"/>
      <c r="AS677" s="729"/>
      <c r="AT677" s="729"/>
      <c r="AU677" s="729"/>
      <c r="AV677" s="729"/>
      <c r="AW677" s="729"/>
      <c r="AX677" s="729"/>
      <c r="AY677" s="729"/>
      <c r="AZ677" s="729"/>
      <c r="BA677" s="729"/>
      <c r="BB677" s="729"/>
      <c r="BC677" s="729"/>
      <c r="BD677" s="729"/>
      <c r="BE677" s="729"/>
      <c r="BF677" s="729"/>
      <c r="BG677" s="729"/>
      <c r="BH677" s="729"/>
      <c r="BI677" s="729"/>
      <c r="BJ677" s="729"/>
      <c r="BK677" s="729"/>
      <c r="BL677" s="729"/>
      <c r="BM677" s="779"/>
      <c r="BN677" s="779"/>
      <c r="BO677" s="779"/>
      <c r="BP677" s="12"/>
      <c r="BQ677" s="729"/>
      <c r="BR677" s="729"/>
      <c r="BS677" s="729"/>
      <c r="BT677" s="779"/>
      <c r="BU677" s="779"/>
      <c r="BV677" s="779"/>
      <c r="BW677" s="2"/>
      <c r="BX677" s="12"/>
      <c r="BY677" s="729"/>
      <c r="BZ677" s="729"/>
      <c r="CA677" s="729"/>
      <c r="CB677" s="779"/>
      <c r="CC677" s="779"/>
      <c r="CD677" s="779"/>
      <c r="CE677" s="2"/>
      <c r="CF677" s="729"/>
      <c r="CG677" s="729"/>
      <c r="CH677" s="729"/>
      <c r="CI677" s="729"/>
      <c r="CJ677" s="228"/>
      <c r="CK677" s="729"/>
      <c r="CL677" s="729"/>
      <c r="CM677" s="228"/>
      <c r="CN677" s="729"/>
      <c r="CO677" s="729"/>
      <c r="CP677" s="729"/>
      <c r="CQ677" s="729"/>
      <c r="CR677" s="729"/>
      <c r="CS677" s="729"/>
      <c r="CT677" s="729"/>
      <c r="CU677" s="228"/>
      <c r="CV677" s="779"/>
      <c r="CW677" s="779"/>
      <c r="CX677" s="729"/>
      <c r="CY677" s="228"/>
      <c r="CZ677" s="228"/>
      <c r="DA677" s="12"/>
      <c r="DB677" s="164"/>
      <c r="DC677" s="14"/>
      <c r="DD677" s="729"/>
      <c r="DE677" s="729"/>
      <c r="DF677" s="729"/>
      <c r="DG677" s="729"/>
      <c r="DH677" s="730"/>
      <c r="DI677" s="729"/>
      <c r="DJ677" s="729"/>
      <c r="DK677" s="729"/>
      <c r="DL677" s="729"/>
      <c r="DM677" s="4"/>
    </row>
    <row r="678" spans="1:117" ht="12.75" customHeight="1">
      <c r="A678" s="228"/>
      <c r="B678" s="3"/>
      <c r="C678" s="228"/>
      <c r="D678" s="228"/>
      <c r="E678" s="3"/>
      <c r="F678" s="3"/>
      <c r="G678" s="729"/>
      <c r="H678" s="729"/>
      <c r="I678" s="729"/>
      <c r="J678" s="3"/>
      <c r="K678" s="1010"/>
      <c r="L678" s="12"/>
      <c r="M678" s="12"/>
      <c r="N678" s="12"/>
      <c r="O678" s="1010"/>
      <c r="P678" s="1011"/>
      <c r="Q678" s="1011"/>
      <c r="R678" s="12"/>
      <c r="S678" s="12"/>
      <c r="T678" s="12"/>
      <c r="U678" s="12"/>
      <c r="V678" s="12"/>
      <c r="W678" s="1012"/>
      <c r="X678" s="1013"/>
      <c r="Y678" s="1012"/>
      <c r="Z678" s="1012"/>
      <c r="AA678" s="1012"/>
      <c r="AB678" s="1011"/>
      <c r="AC678" s="1011"/>
      <c r="AD678" s="1012"/>
      <c r="AE678" s="12"/>
      <c r="AF678" s="729"/>
      <c r="AG678" s="1014"/>
      <c r="AH678" s="1014"/>
      <c r="AI678" s="729"/>
      <c r="AJ678" s="729"/>
      <c r="AK678" s="729"/>
      <c r="AL678" s="729"/>
      <c r="AM678" s="729"/>
      <c r="AN678" s="729"/>
      <c r="AO678" s="729"/>
      <c r="AP678" s="729"/>
      <c r="AQ678" s="729"/>
      <c r="AR678" s="729"/>
      <c r="AS678" s="729"/>
      <c r="AT678" s="729"/>
      <c r="AU678" s="729"/>
      <c r="AV678" s="729"/>
      <c r="AW678" s="729"/>
      <c r="AX678" s="729"/>
      <c r="AY678" s="729"/>
      <c r="AZ678" s="729"/>
      <c r="BA678" s="729"/>
      <c r="BB678" s="729"/>
      <c r="BC678" s="729"/>
      <c r="BD678" s="729"/>
      <c r="BE678" s="729"/>
      <c r="BF678" s="729"/>
      <c r="BG678" s="729"/>
      <c r="BH678" s="729"/>
      <c r="BI678" s="729"/>
      <c r="BJ678" s="729"/>
      <c r="BK678" s="729"/>
      <c r="BL678" s="729"/>
      <c r="BM678" s="779"/>
      <c r="BN678" s="779"/>
      <c r="BO678" s="779"/>
      <c r="BP678" s="12"/>
      <c r="BQ678" s="729"/>
      <c r="BR678" s="729"/>
      <c r="BS678" s="729"/>
      <c r="BT678" s="779"/>
      <c r="BU678" s="779"/>
      <c r="BV678" s="779"/>
      <c r="BW678" s="2"/>
      <c r="BX678" s="12"/>
      <c r="BY678" s="729"/>
      <c r="BZ678" s="729"/>
      <c r="CA678" s="729"/>
      <c r="CB678" s="779"/>
      <c r="CC678" s="779"/>
      <c r="CD678" s="779"/>
      <c r="CE678" s="2"/>
      <c r="CF678" s="729"/>
      <c r="CG678" s="729"/>
      <c r="CH678" s="729"/>
      <c r="CI678" s="729"/>
      <c r="CJ678" s="228"/>
      <c r="CK678" s="729"/>
      <c r="CL678" s="729"/>
      <c r="CM678" s="228"/>
      <c r="CN678" s="729"/>
      <c r="CO678" s="729"/>
      <c r="CP678" s="729"/>
      <c r="CQ678" s="729"/>
      <c r="CR678" s="729"/>
      <c r="CS678" s="729"/>
      <c r="CT678" s="729"/>
      <c r="CU678" s="228"/>
      <c r="CV678" s="779"/>
      <c r="CW678" s="779"/>
      <c r="CX678" s="729"/>
      <c r="CY678" s="228"/>
      <c r="CZ678" s="228"/>
      <c r="DA678" s="12"/>
      <c r="DB678" s="164"/>
      <c r="DC678" s="14"/>
      <c r="DD678" s="729"/>
      <c r="DE678" s="729"/>
      <c r="DF678" s="729"/>
      <c r="DG678" s="729"/>
      <c r="DH678" s="730"/>
      <c r="DI678" s="729"/>
      <c r="DJ678" s="729"/>
      <c r="DK678" s="729"/>
      <c r="DL678" s="729"/>
      <c r="DM678" s="4"/>
    </row>
    <row r="679" spans="1:117" ht="12.75" customHeight="1">
      <c r="A679" s="228"/>
      <c r="B679" s="3"/>
      <c r="C679" s="228"/>
      <c r="D679" s="228"/>
      <c r="E679" s="3"/>
      <c r="F679" s="3"/>
      <c r="G679" s="729"/>
      <c r="H679" s="729"/>
      <c r="I679" s="729"/>
      <c r="J679" s="3"/>
      <c r="K679" s="1010"/>
      <c r="L679" s="12"/>
      <c r="M679" s="12"/>
      <c r="N679" s="12"/>
      <c r="O679" s="1010"/>
      <c r="P679" s="1011"/>
      <c r="Q679" s="1011"/>
      <c r="R679" s="12"/>
      <c r="S679" s="12"/>
      <c r="T679" s="12"/>
      <c r="U679" s="12"/>
      <c r="V679" s="12"/>
      <c r="W679" s="1012"/>
      <c r="X679" s="1013"/>
      <c r="Y679" s="1012"/>
      <c r="Z679" s="1012"/>
      <c r="AA679" s="1012"/>
      <c r="AB679" s="1011"/>
      <c r="AC679" s="1011"/>
      <c r="AD679" s="1012"/>
      <c r="AE679" s="12"/>
      <c r="AF679" s="729"/>
      <c r="AG679" s="1014"/>
      <c r="AH679" s="1014"/>
      <c r="AI679" s="729"/>
      <c r="AJ679" s="729"/>
      <c r="AK679" s="729"/>
      <c r="AL679" s="729"/>
      <c r="AM679" s="729"/>
      <c r="AN679" s="729"/>
      <c r="AO679" s="729"/>
      <c r="AP679" s="729"/>
      <c r="AQ679" s="729"/>
      <c r="AR679" s="729"/>
      <c r="AS679" s="729"/>
      <c r="AT679" s="729"/>
      <c r="AU679" s="729"/>
      <c r="AV679" s="729"/>
      <c r="AW679" s="729"/>
      <c r="AX679" s="729"/>
      <c r="AY679" s="729"/>
      <c r="AZ679" s="729"/>
      <c r="BA679" s="729"/>
      <c r="BB679" s="729"/>
      <c r="BC679" s="729"/>
      <c r="BD679" s="729"/>
      <c r="BE679" s="729"/>
      <c r="BF679" s="729"/>
      <c r="BG679" s="729"/>
      <c r="BH679" s="729"/>
      <c r="BI679" s="729"/>
      <c r="BJ679" s="729"/>
      <c r="BK679" s="729"/>
      <c r="BL679" s="729"/>
      <c r="BM679" s="779"/>
      <c r="BN679" s="779"/>
      <c r="BO679" s="779"/>
      <c r="BP679" s="12"/>
      <c r="BQ679" s="729"/>
      <c r="BR679" s="729"/>
      <c r="BS679" s="729"/>
      <c r="BT679" s="779"/>
      <c r="BU679" s="779"/>
      <c r="BV679" s="779"/>
      <c r="BW679" s="2"/>
      <c r="BX679" s="12"/>
      <c r="BY679" s="729"/>
      <c r="BZ679" s="729"/>
      <c r="CA679" s="729"/>
      <c r="CB679" s="779"/>
      <c r="CC679" s="779"/>
      <c r="CD679" s="779"/>
      <c r="CE679" s="2"/>
      <c r="CF679" s="729"/>
      <c r="CG679" s="729"/>
      <c r="CH679" s="729"/>
      <c r="CI679" s="729"/>
      <c r="CJ679" s="228"/>
      <c r="CK679" s="729"/>
      <c r="CL679" s="729"/>
      <c r="CM679" s="228"/>
      <c r="CN679" s="729"/>
      <c r="CO679" s="729"/>
      <c r="CP679" s="729"/>
      <c r="CQ679" s="729"/>
      <c r="CR679" s="729"/>
      <c r="CS679" s="729"/>
      <c r="CT679" s="729"/>
      <c r="CU679" s="228"/>
      <c r="CV679" s="779"/>
      <c r="CW679" s="779"/>
      <c r="CX679" s="729"/>
      <c r="CY679" s="228"/>
      <c r="CZ679" s="228"/>
      <c r="DA679" s="12"/>
      <c r="DB679" s="164"/>
      <c r="DC679" s="14"/>
      <c r="DD679" s="729"/>
      <c r="DE679" s="729"/>
      <c r="DF679" s="729"/>
      <c r="DG679" s="729"/>
      <c r="DH679" s="730"/>
      <c r="DI679" s="729"/>
      <c r="DJ679" s="729"/>
      <c r="DK679" s="729"/>
      <c r="DL679" s="729"/>
      <c r="DM679" s="4"/>
    </row>
    <row r="680" spans="1:117" ht="12.75" customHeight="1">
      <c r="A680" s="228"/>
      <c r="B680" s="3"/>
      <c r="C680" s="228"/>
      <c r="D680" s="228"/>
      <c r="E680" s="3"/>
      <c r="F680" s="3"/>
      <c r="G680" s="729"/>
      <c r="H680" s="729"/>
      <c r="I680" s="729"/>
      <c r="J680" s="3"/>
      <c r="K680" s="1010"/>
      <c r="L680" s="12"/>
      <c r="M680" s="12"/>
      <c r="N680" s="12"/>
      <c r="O680" s="1010"/>
      <c r="P680" s="1011"/>
      <c r="Q680" s="1011"/>
      <c r="R680" s="12"/>
      <c r="S680" s="12"/>
      <c r="T680" s="12"/>
      <c r="U680" s="12"/>
      <c r="V680" s="12"/>
      <c r="W680" s="1012"/>
      <c r="X680" s="1023"/>
      <c r="Y680" s="1012"/>
      <c r="Z680" s="1012"/>
      <c r="AA680" s="1012"/>
      <c r="AB680" s="1011"/>
      <c r="AC680" s="1011"/>
      <c r="AD680" s="1012"/>
      <c r="AE680" s="12"/>
      <c r="AF680" s="729"/>
      <c r="AG680" s="1014"/>
      <c r="AH680" s="1014"/>
      <c r="AI680" s="729"/>
      <c r="AJ680" s="729"/>
      <c r="AK680" s="729"/>
      <c r="AL680" s="729"/>
      <c r="AM680" s="729"/>
      <c r="AN680" s="729"/>
      <c r="AO680" s="729"/>
      <c r="AP680" s="729"/>
      <c r="AQ680" s="729"/>
      <c r="AR680" s="729"/>
      <c r="AS680" s="729"/>
      <c r="AT680" s="729"/>
      <c r="AU680" s="729"/>
      <c r="AV680" s="729"/>
      <c r="AW680" s="729"/>
      <c r="AX680" s="729"/>
      <c r="AY680" s="729"/>
      <c r="AZ680" s="729"/>
      <c r="BA680" s="729"/>
      <c r="BB680" s="729"/>
      <c r="BC680" s="729"/>
      <c r="BD680" s="729"/>
      <c r="BE680" s="729"/>
      <c r="BF680" s="729"/>
      <c r="BG680" s="729"/>
      <c r="BH680" s="729"/>
      <c r="BI680" s="729"/>
      <c r="BJ680" s="729"/>
      <c r="BK680" s="729"/>
      <c r="BL680" s="729"/>
      <c r="BM680" s="779"/>
      <c r="BN680" s="779"/>
      <c r="BO680" s="779"/>
      <c r="BP680" s="12"/>
      <c r="BQ680" s="729"/>
      <c r="BR680" s="729"/>
      <c r="BS680" s="729"/>
      <c r="BT680" s="779"/>
      <c r="BU680" s="779"/>
      <c r="BV680" s="779"/>
      <c r="BW680" s="2"/>
      <c r="BX680" s="12"/>
      <c r="BY680" s="729"/>
      <c r="BZ680" s="729"/>
      <c r="CA680" s="729"/>
      <c r="CB680" s="779"/>
      <c r="CC680" s="779"/>
      <c r="CD680" s="779"/>
      <c r="CE680" s="2"/>
      <c r="CF680" s="729"/>
      <c r="CG680" s="729"/>
      <c r="CH680" s="729"/>
      <c r="CI680" s="729"/>
      <c r="CJ680" s="228"/>
      <c r="CK680" s="729"/>
      <c r="CL680" s="729"/>
      <c r="CM680" s="228"/>
      <c r="CN680" s="729"/>
      <c r="CO680" s="729"/>
      <c r="CP680" s="729"/>
      <c r="CQ680" s="729"/>
      <c r="CR680" s="729"/>
      <c r="CS680" s="729"/>
      <c r="CT680" s="729"/>
      <c r="CU680" s="228"/>
      <c r="CV680" s="779"/>
      <c r="CW680" s="779"/>
      <c r="CX680" s="729"/>
      <c r="CY680" s="228"/>
      <c r="CZ680" s="228"/>
      <c r="DA680" s="12"/>
      <c r="DB680" s="164"/>
      <c r="DC680" s="14"/>
      <c r="DD680" s="729"/>
      <c r="DE680" s="729"/>
      <c r="DF680" s="729"/>
      <c r="DG680" s="729"/>
      <c r="DH680" s="730"/>
      <c r="DI680" s="729"/>
      <c r="DJ680" s="729"/>
      <c r="DK680" s="729"/>
      <c r="DL680" s="729"/>
      <c r="DM680" s="4"/>
    </row>
    <row r="681" spans="1:117" ht="12.75" customHeight="1">
      <c r="A681" s="228"/>
      <c r="B681" s="3"/>
      <c r="C681" s="228"/>
      <c r="D681" s="228"/>
      <c r="E681" s="3"/>
      <c r="F681" s="3"/>
      <c r="G681" s="729"/>
      <c r="H681" s="729"/>
      <c r="I681" s="729"/>
      <c r="J681" s="3"/>
      <c r="K681" s="1010"/>
      <c r="L681" s="12"/>
      <c r="M681" s="12"/>
      <c r="N681" s="12"/>
      <c r="O681" s="1010"/>
      <c r="P681" s="1011"/>
      <c r="Q681" s="1011"/>
      <c r="R681" s="12"/>
      <c r="S681" s="12"/>
      <c r="T681" s="12"/>
      <c r="U681" s="12"/>
      <c r="V681" s="12"/>
      <c r="W681" s="1012"/>
      <c r="X681" s="1023"/>
      <c r="Y681" s="1012"/>
      <c r="Z681" s="1012"/>
      <c r="AA681" s="1012"/>
      <c r="AB681" s="1011"/>
      <c r="AC681" s="1011"/>
      <c r="AD681" s="1012"/>
      <c r="AE681" s="12"/>
      <c r="AF681" s="729"/>
      <c r="AG681" s="1014"/>
      <c r="AH681" s="1014"/>
      <c r="AI681" s="729"/>
      <c r="AJ681" s="729"/>
      <c r="AK681" s="729"/>
      <c r="AL681" s="729"/>
      <c r="AM681" s="729"/>
      <c r="AN681" s="729"/>
      <c r="AO681" s="729"/>
      <c r="AP681" s="729"/>
      <c r="AQ681" s="729"/>
      <c r="AR681" s="729"/>
      <c r="AS681" s="729"/>
      <c r="AT681" s="729"/>
      <c r="AU681" s="729"/>
      <c r="AV681" s="729"/>
      <c r="AW681" s="729"/>
      <c r="AX681" s="729"/>
      <c r="AY681" s="729"/>
      <c r="AZ681" s="729"/>
      <c r="BA681" s="729"/>
      <c r="BB681" s="729"/>
      <c r="BC681" s="729"/>
      <c r="BD681" s="729"/>
      <c r="BE681" s="729"/>
      <c r="BF681" s="729"/>
      <c r="BG681" s="729"/>
      <c r="BH681" s="729"/>
      <c r="BI681" s="729"/>
      <c r="BJ681" s="729"/>
      <c r="BK681" s="729"/>
      <c r="BL681" s="729"/>
      <c r="BM681" s="779"/>
      <c r="BN681" s="779"/>
      <c r="BO681" s="779"/>
      <c r="BP681" s="12"/>
      <c r="BQ681" s="729"/>
      <c r="BR681" s="729"/>
      <c r="BS681" s="729"/>
      <c r="BT681" s="779"/>
      <c r="BU681" s="779"/>
      <c r="BV681" s="779"/>
      <c r="BW681" s="2"/>
      <c r="BX681" s="12"/>
      <c r="BY681" s="729"/>
      <c r="BZ681" s="729"/>
      <c r="CA681" s="729"/>
      <c r="CB681" s="779"/>
      <c r="CC681" s="779"/>
      <c r="CD681" s="779"/>
      <c r="CE681" s="2"/>
      <c r="CF681" s="729"/>
      <c r="CG681" s="729"/>
      <c r="CH681" s="729"/>
      <c r="CI681" s="729"/>
      <c r="CJ681" s="228"/>
      <c r="CK681" s="729"/>
      <c r="CL681" s="729"/>
      <c r="CM681" s="228"/>
      <c r="CN681" s="729"/>
      <c r="CO681" s="729"/>
      <c r="CP681" s="729"/>
      <c r="CQ681" s="729"/>
      <c r="CR681" s="729"/>
      <c r="CS681" s="729"/>
      <c r="CT681" s="729"/>
      <c r="CU681" s="228"/>
      <c r="CV681" s="779"/>
      <c r="CW681" s="779"/>
      <c r="CX681" s="729"/>
      <c r="CY681" s="228"/>
      <c r="CZ681" s="228"/>
      <c r="DA681" s="12"/>
      <c r="DB681" s="164"/>
      <c r="DC681" s="14"/>
      <c r="DD681" s="729"/>
      <c r="DE681" s="729"/>
      <c r="DF681" s="729"/>
      <c r="DG681" s="729"/>
      <c r="DH681" s="730"/>
      <c r="DI681" s="729"/>
      <c r="DJ681" s="729"/>
      <c r="DK681" s="729"/>
      <c r="DL681" s="729"/>
      <c r="DM681" s="4"/>
    </row>
    <row r="682" spans="1:117" ht="12.75" customHeight="1">
      <c r="A682" s="228"/>
      <c r="B682" s="3"/>
      <c r="C682" s="228"/>
      <c r="D682" s="228"/>
      <c r="E682" s="3"/>
      <c r="F682" s="3"/>
      <c r="G682" s="729"/>
      <c r="H682" s="729"/>
      <c r="I682" s="729"/>
      <c r="J682" s="3"/>
      <c r="K682" s="1010"/>
      <c r="L682" s="12"/>
      <c r="M682" s="12"/>
      <c r="N682" s="12"/>
      <c r="O682" s="1010"/>
      <c r="P682" s="1011"/>
      <c r="Q682" s="1011"/>
      <c r="R682" s="12"/>
      <c r="S682" s="12"/>
      <c r="T682" s="12"/>
      <c r="U682" s="12"/>
      <c r="V682" s="12"/>
      <c r="W682" s="1012"/>
      <c r="X682" s="1023"/>
      <c r="Y682" s="1012"/>
      <c r="Z682" s="1012"/>
      <c r="AA682" s="1012"/>
      <c r="AB682" s="1011"/>
      <c r="AC682" s="1011"/>
      <c r="AD682" s="1012"/>
      <c r="AE682" s="12"/>
      <c r="AF682" s="729"/>
      <c r="AG682" s="1014"/>
      <c r="AH682" s="1014"/>
      <c r="AI682" s="729"/>
      <c r="AJ682" s="729"/>
      <c r="AK682" s="729"/>
      <c r="AL682" s="729"/>
      <c r="AM682" s="729"/>
      <c r="AN682" s="729"/>
      <c r="AO682" s="729"/>
      <c r="AP682" s="729"/>
      <c r="AQ682" s="729"/>
      <c r="AR682" s="729"/>
      <c r="AS682" s="729"/>
      <c r="AT682" s="729"/>
      <c r="AU682" s="729"/>
      <c r="AV682" s="729"/>
      <c r="AW682" s="729"/>
      <c r="AX682" s="729"/>
      <c r="AY682" s="729"/>
      <c r="AZ682" s="729"/>
      <c r="BA682" s="729"/>
      <c r="BB682" s="729"/>
      <c r="BC682" s="729"/>
      <c r="BD682" s="729"/>
      <c r="BE682" s="729"/>
      <c r="BF682" s="729"/>
      <c r="BG682" s="729"/>
      <c r="BH682" s="729"/>
      <c r="BI682" s="729"/>
      <c r="BJ682" s="729"/>
      <c r="BK682" s="729"/>
      <c r="BL682" s="729"/>
      <c r="BM682" s="779"/>
      <c r="BN682" s="779"/>
      <c r="BO682" s="779"/>
      <c r="BP682" s="12"/>
      <c r="BQ682" s="729"/>
      <c r="BR682" s="729"/>
      <c r="BS682" s="729"/>
      <c r="BT682" s="779"/>
      <c r="BU682" s="779"/>
      <c r="BV682" s="779"/>
      <c r="BW682" s="2"/>
      <c r="BX682" s="12"/>
      <c r="BY682" s="729"/>
      <c r="BZ682" s="729"/>
      <c r="CA682" s="729"/>
      <c r="CB682" s="779"/>
      <c r="CC682" s="779"/>
      <c r="CD682" s="779"/>
      <c r="CE682" s="2"/>
      <c r="CF682" s="729"/>
      <c r="CG682" s="729"/>
      <c r="CH682" s="729"/>
      <c r="CI682" s="729"/>
      <c r="CJ682" s="228"/>
      <c r="CK682" s="729"/>
      <c r="CL682" s="729"/>
      <c r="CM682" s="228"/>
      <c r="CN682" s="729"/>
      <c r="CO682" s="729"/>
      <c r="CP682" s="729"/>
      <c r="CQ682" s="729"/>
      <c r="CR682" s="729"/>
      <c r="CS682" s="729"/>
      <c r="CT682" s="729"/>
      <c r="CU682" s="228"/>
      <c r="CV682" s="779"/>
      <c r="CW682" s="779"/>
      <c r="CX682" s="729"/>
      <c r="CY682" s="228"/>
      <c r="CZ682" s="228"/>
      <c r="DA682" s="12"/>
      <c r="DB682" s="164"/>
      <c r="DC682" s="14"/>
      <c r="DD682" s="729"/>
      <c r="DE682" s="729"/>
      <c r="DF682" s="729"/>
      <c r="DG682" s="729"/>
      <c r="DH682" s="730"/>
      <c r="DI682" s="729"/>
      <c r="DJ682" s="729"/>
      <c r="DK682" s="729"/>
      <c r="DL682" s="729"/>
      <c r="DM682" s="4"/>
    </row>
    <row r="683" spans="1:117" ht="12.75" customHeight="1">
      <c r="A683" s="228"/>
      <c r="B683" s="3"/>
      <c r="C683" s="228"/>
      <c r="D683" s="228"/>
      <c r="E683" s="3"/>
      <c r="F683" s="3"/>
      <c r="G683" s="729"/>
      <c r="H683" s="729"/>
      <c r="I683" s="729"/>
      <c r="J683" s="3"/>
      <c r="K683" s="1010"/>
      <c r="L683" s="12"/>
      <c r="M683" s="12"/>
      <c r="N683" s="12"/>
      <c r="O683" s="1010"/>
      <c r="P683" s="1011"/>
      <c r="Q683" s="1011"/>
      <c r="R683" s="12"/>
      <c r="S683" s="12"/>
      <c r="T683" s="12"/>
      <c r="U683" s="12"/>
      <c r="V683" s="12"/>
      <c r="W683" s="1012"/>
      <c r="X683" s="1023"/>
      <c r="Y683" s="1012"/>
      <c r="Z683" s="1012"/>
      <c r="AA683" s="1012"/>
      <c r="AB683" s="1011"/>
      <c r="AC683" s="1011"/>
      <c r="AD683" s="1012"/>
      <c r="AE683" s="12"/>
      <c r="AF683" s="729"/>
      <c r="AG683" s="1014"/>
      <c r="AH683" s="1014"/>
      <c r="AI683" s="729"/>
      <c r="AJ683" s="729"/>
      <c r="AK683" s="729"/>
      <c r="AL683" s="729"/>
      <c r="AM683" s="729"/>
      <c r="AN683" s="729"/>
      <c r="AO683" s="729"/>
      <c r="AP683" s="729"/>
      <c r="AQ683" s="729"/>
      <c r="AR683" s="729"/>
      <c r="AS683" s="729"/>
      <c r="AT683" s="729"/>
      <c r="AU683" s="729"/>
      <c r="AV683" s="729"/>
      <c r="AW683" s="729"/>
      <c r="AX683" s="729"/>
      <c r="AY683" s="729"/>
      <c r="AZ683" s="729"/>
      <c r="BA683" s="729"/>
      <c r="BB683" s="729"/>
      <c r="BC683" s="729"/>
      <c r="BD683" s="729"/>
      <c r="BE683" s="729"/>
      <c r="BF683" s="729"/>
      <c r="BG683" s="729"/>
      <c r="BH683" s="729"/>
      <c r="BI683" s="729"/>
      <c r="BJ683" s="729"/>
      <c r="BK683" s="729"/>
      <c r="BL683" s="729"/>
      <c r="BM683" s="779"/>
      <c r="BN683" s="779"/>
      <c r="BO683" s="779"/>
      <c r="BP683" s="12"/>
      <c r="BQ683" s="729"/>
      <c r="BR683" s="729"/>
      <c r="BS683" s="729"/>
      <c r="BT683" s="779"/>
      <c r="BU683" s="779"/>
      <c r="BV683" s="779"/>
      <c r="BW683" s="2"/>
      <c r="BX683" s="12"/>
      <c r="BY683" s="729"/>
      <c r="BZ683" s="729"/>
      <c r="CA683" s="729"/>
      <c r="CB683" s="779"/>
      <c r="CC683" s="779"/>
      <c r="CD683" s="779"/>
      <c r="CE683" s="2"/>
      <c r="CF683" s="729"/>
      <c r="CG683" s="729"/>
      <c r="CH683" s="729"/>
      <c r="CI683" s="729"/>
      <c r="CJ683" s="228"/>
      <c r="CK683" s="729"/>
      <c r="CL683" s="729"/>
      <c r="CM683" s="228"/>
      <c r="CN683" s="729"/>
      <c r="CO683" s="729"/>
      <c r="CP683" s="729"/>
      <c r="CQ683" s="729"/>
      <c r="CR683" s="729"/>
      <c r="CS683" s="729"/>
      <c r="CT683" s="729"/>
      <c r="CU683" s="228"/>
      <c r="CV683" s="779"/>
      <c r="CW683" s="779"/>
      <c r="CX683" s="729"/>
      <c r="CY683" s="228"/>
      <c r="CZ683" s="228"/>
      <c r="DA683" s="12"/>
      <c r="DB683" s="164"/>
      <c r="DC683" s="14"/>
      <c r="DD683" s="729"/>
      <c r="DE683" s="729"/>
      <c r="DF683" s="729"/>
      <c r="DG683" s="729"/>
      <c r="DH683" s="730"/>
      <c r="DI683" s="729"/>
      <c r="DJ683" s="729"/>
      <c r="DK683" s="729"/>
      <c r="DL683" s="729"/>
      <c r="DM683" s="4"/>
    </row>
    <row r="684" spans="1:117" ht="12.75" customHeight="1">
      <c r="A684" s="228"/>
      <c r="B684" s="3"/>
      <c r="C684" s="228"/>
      <c r="D684" s="228"/>
      <c r="E684" s="3"/>
      <c r="F684" s="3"/>
      <c r="G684" s="729"/>
      <c r="H684" s="729"/>
      <c r="I684" s="729"/>
      <c r="J684" s="3"/>
      <c r="K684" s="1010"/>
      <c r="L684" s="12"/>
      <c r="M684" s="12"/>
      <c r="N684" s="12"/>
      <c r="O684" s="1010"/>
      <c r="P684" s="1011"/>
      <c r="Q684" s="1011"/>
      <c r="R684" s="12"/>
      <c r="S684" s="12"/>
      <c r="T684" s="12"/>
      <c r="U684" s="12"/>
      <c r="V684" s="12"/>
      <c r="W684" s="1012"/>
      <c r="X684" s="1023"/>
      <c r="Y684" s="1012"/>
      <c r="Z684" s="1012"/>
      <c r="AA684" s="1012"/>
      <c r="AB684" s="1011"/>
      <c r="AC684" s="1011"/>
      <c r="AD684" s="1012"/>
      <c r="AE684" s="12"/>
      <c r="AF684" s="729"/>
      <c r="AG684" s="1014"/>
      <c r="AH684" s="1014"/>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79"/>
      <c r="BN684" s="779"/>
      <c r="BO684" s="779"/>
      <c r="BP684" s="12"/>
      <c r="BQ684" s="729"/>
      <c r="BR684" s="729"/>
      <c r="BS684" s="729"/>
      <c r="BT684" s="779"/>
      <c r="BU684" s="779"/>
      <c r="BV684" s="779"/>
      <c r="BW684" s="2"/>
      <c r="BX684" s="12"/>
      <c r="BY684" s="729"/>
      <c r="BZ684" s="729"/>
      <c r="CA684" s="729"/>
      <c r="CB684" s="779"/>
      <c r="CC684" s="779"/>
      <c r="CD684" s="779"/>
      <c r="CE684" s="2"/>
      <c r="CF684" s="729"/>
      <c r="CG684" s="729"/>
      <c r="CH684" s="729"/>
      <c r="CI684" s="729"/>
      <c r="CJ684" s="228"/>
      <c r="CK684" s="729"/>
      <c r="CL684" s="729"/>
      <c r="CM684" s="228"/>
      <c r="CN684" s="729"/>
      <c r="CO684" s="729"/>
      <c r="CP684" s="729"/>
      <c r="CQ684" s="729"/>
      <c r="CR684" s="729"/>
      <c r="CS684" s="729"/>
      <c r="CT684" s="729"/>
      <c r="CU684" s="228"/>
      <c r="CV684" s="779"/>
      <c r="CW684" s="779"/>
      <c r="CX684" s="729"/>
      <c r="CY684" s="228"/>
      <c r="CZ684" s="228"/>
      <c r="DA684" s="12"/>
      <c r="DB684" s="164"/>
      <c r="DC684" s="14"/>
      <c r="DD684" s="729"/>
      <c r="DE684" s="729"/>
      <c r="DF684" s="729"/>
      <c r="DG684" s="729"/>
      <c r="DH684" s="730"/>
      <c r="DI684" s="729"/>
      <c r="DJ684" s="729"/>
      <c r="DK684" s="729"/>
      <c r="DL684" s="729"/>
      <c r="DM684" s="4"/>
    </row>
    <row r="685" spans="1:117" ht="12.75" customHeight="1">
      <c r="A685" s="228"/>
      <c r="B685" s="3"/>
      <c r="C685" s="228"/>
      <c r="D685" s="228"/>
      <c r="E685" s="3"/>
      <c r="F685" s="3"/>
      <c r="G685" s="729"/>
      <c r="H685" s="729"/>
      <c r="I685" s="729"/>
      <c r="J685" s="3"/>
      <c r="K685" s="1010"/>
      <c r="L685" s="12"/>
      <c r="M685" s="12"/>
      <c r="N685" s="12"/>
      <c r="O685" s="1010"/>
      <c r="P685" s="1011"/>
      <c r="Q685" s="1011"/>
      <c r="R685" s="12"/>
      <c r="S685" s="12"/>
      <c r="T685" s="12"/>
      <c r="U685" s="12"/>
      <c r="V685" s="12"/>
      <c r="W685" s="1012"/>
      <c r="X685" s="1023"/>
      <c r="Y685" s="1012"/>
      <c r="Z685" s="1012"/>
      <c r="AA685" s="1012"/>
      <c r="AB685" s="1011"/>
      <c r="AC685" s="1011"/>
      <c r="AD685" s="1012"/>
      <c r="AE685" s="12"/>
      <c r="AF685" s="729"/>
      <c r="AG685" s="1014"/>
      <c r="AH685" s="1014"/>
      <c r="AI685" s="729"/>
      <c r="AJ685" s="729"/>
      <c r="AK685" s="729"/>
      <c r="AL685" s="729"/>
      <c r="AM685" s="729"/>
      <c r="AN685" s="729"/>
      <c r="AO685" s="729"/>
      <c r="AP685" s="729"/>
      <c r="AQ685" s="729"/>
      <c r="AR685" s="729"/>
      <c r="AS685" s="729"/>
      <c r="AT685" s="729"/>
      <c r="AU685" s="729"/>
      <c r="AV685" s="729"/>
      <c r="AW685" s="729"/>
      <c r="AX685" s="729"/>
      <c r="AY685" s="729"/>
      <c r="AZ685" s="729"/>
      <c r="BA685" s="729"/>
      <c r="BB685" s="729"/>
      <c r="BC685" s="729"/>
      <c r="BD685" s="729"/>
      <c r="BE685" s="729"/>
      <c r="BF685" s="729"/>
      <c r="BG685" s="729"/>
      <c r="BH685" s="729"/>
      <c r="BI685" s="729"/>
      <c r="BJ685" s="729"/>
      <c r="BK685" s="729"/>
      <c r="BL685" s="729"/>
      <c r="BM685" s="779"/>
      <c r="BN685" s="779"/>
      <c r="BO685" s="779"/>
      <c r="BP685" s="12"/>
      <c r="BQ685" s="729"/>
      <c r="BR685" s="729"/>
      <c r="BS685" s="729"/>
      <c r="BT685" s="779"/>
      <c r="BU685" s="779"/>
      <c r="BV685" s="779"/>
      <c r="BW685" s="2"/>
      <c r="BX685" s="12"/>
      <c r="BY685" s="729"/>
      <c r="BZ685" s="729"/>
      <c r="CA685" s="729"/>
      <c r="CB685" s="779"/>
      <c r="CC685" s="779"/>
      <c r="CD685" s="779"/>
      <c r="CE685" s="2"/>
      <c r="CF685" s="729"/>
      <c r="CG685" s="729"/>
      <c r="CH685" s="729"/>
      <c r="CI685" s="729"/>
      <c r="CJ685" s="228"/>
      <c r="CK685" s="729"/>
      <c r="CL685" s="729"/>
      <c r="CM685" s="228"/>
      <c r="CN685" s="729"/>
      <c r="CO685" s="729"/>
      <c r="CP685" s="729"/>
      <c r="CQ685" s="729"/>
      <c r="CR685" s="729"/>
      <c r="CS685" s="729"/>
      <c r="CT685" s="729"/>
      <c r="CU685" s="228"/>
      <c r="CV685" s="779"/>
      <c r="CW685" s="779"/>
      <c r="CX685" s="729"/>
      <c r="CY685" s="228"/>
      <c r="CZ685" s="228"/>
      <c r="DA685" s="12"/>
      <c r="DB685" s="164"/>
      <c r="DC685" s="14"/>
      <c r="DD685" s="729"/>
      <c r="DE685" s="729"/>
      <c r="DF685" s="729"/>
      <c r="DG685" s="729"/>
      <c r="DH685" s="730"/>
      <c r="DI685" s="729"/>
      <c r="DJ685" s="729"/>
      <c r="DK685" s="729"/>
      <c r="DL685" s="729"/>
      <c r="DM685" s="4"/>
    </row>
    <row r="686" spans="1:117" ht="12.75" customHeight="1">
      <c r="A686" s="228"/>
      <c r="B686" s="3"/>
      <c r="C686" s="228"/>
      <c r="D686" s="228"/>
      <c r="E686" s="3"/>
      <c r="F686" s="3"/>
      <c r="G686" s="729"/>
      <c r="H686" s="729"/>
      <c r="I686" s="729"/>
      <c r="J686" s="3"/>
      <c r="K686" s="1010"/>
      <c r="L686" s="12"/>
      <c r="M686" s="12"/>
      <c r="N686" s="12"/>
      <c r="O686" s="1010"/>
      <c r="P686" s="1011"/>
      <c r="Q686" s="1011"/>
      <c r="R686" s="12"/>
      <c r="S686" s="12"/>
      <c r="T686" s="12"/>
      <c r="U686" s="12"/>
      <c r="V686" s="12"/>
      <c r="W686" s="1012"/>
      <c r="X686" s="1023"/>
      <c r="Y686" s="1012"/>
      <c r="Z686" s="1012"/>
      <c r="AA686" s="1012"/>
      <c r="AB686" s="1011"/>
      <c r="AC686" s="1011"/>
      <c r="AD686" s="1012"/>
      <c r="AE686" s="12"/>
      <c r="AF686" s="729"/>
      <c r="AG686" s="1014"/>
      <c r="AH686" s="1014"/>
      <c r="AI686" s="729"/>
      <c r="AJ686" s="729"/>
      <c r="AK686" s="729"/>
      <c r="AL686" s="729"/>
      <c r="AM686" s="729"/>
      <c r="AN686" s="729"/>
      <c r="AO686" s="729"/>
      <c r="AP686" s="729"/>
      <c r="AQ686" s="729"/>
      <c r="AR686" s="729"/>
      <c r="AS686" s="729"/>
      <c r="AT686" s="729"/>
      <c r="AU686" s="729"/>
      <c r="AV686" s="729"/>
      <c r="AW686" s="729"/>
      <c r="AX686" s="729"/>
      <c r="AY686" s="729"/>
      <c r="AZ686" s="729"/>
      <c r="BA686" s="729"/>
      <c r="BB686" s="729"/>
      <c r="BC686" s="729"/>
      <c r="BD686" s="729"/>
      <c r="BE686" s="729"/>
      <c r="BF686" s="729"/>
      <c r="BG686" s="729"/>
      <c r="BH686" s="729"/>
      <c r="BI686" s="729"/>
      <c r="BJ686" s="729"/>
      <c r="BK686" s="729"/>
      <c r="BL686" s="729"/>
      <c r="BM686" s="779"/>
      <c r="BN686" s="779"/>
      <c r="BO686" s="779"/>
      <c r="BP686" s="12"/>
      <c r="BQ686" s="729"/>
      <c r="BR686" s="729"/>
      <c r="BS686" s="729"/>
      <c r="BT686" s="779"/>
      <c r="BU686" s="779"/>
      <c r="BV686" s="779"/>
      <c r="BW686" s="2"/>
      <c r="BX686" s="12"/>
      <c r="BY686" s="729"/>
      <c r="BZ686" s="729"/>
      <c r="CA686" s="729"/>
      <c r="CB686" s="779"/>
      <c r="CC686" s="779"/>
      <c r="CD686" s="779"/>
      <c r="CE686" s="2"/>
      <c r="CF686" s="729"/>
      <c r="CG686" s="729"/>
      <c r="CH686" s="729"/>
      <c r="CI686" s="729"/>
      <c r="CJ686" s="228"/>
      <c r="CK686" s="729"/>
      <c r="CL686" s="729"/>
      <c r="CM686" s="228"/>
      <c r="CN686" s="729"/>
      <c r="CO686" s="729"/>
      <c r="CP686" s="729"/>
      <c r="CQ686" s="729"/>
      <c r="CR686" s="729"/>
      <c r="CS686" s="729"/>
      <c r="CT686" s="729"/>
      <c r="CU686" s="228"/>
      <c r="CV686" s="779"/>
      <c r="CW686" s="779"/>
      <c r="CX686" s="729"/>
      <c r="CY686" s="228"/>
      <c r="CZ686" s="228"/>
      <c r="DA686" s="12"/>
      <c r="DB686" s="164"/>
      <c r="DC686" s="14"/>
      <c r="DD686" s="729"/>
      <c r="DE686" s="729"/>
      <c r="DF686" s="729"/>
      <c r="DG686" s="729"/>
      <c r="DH686" s="730"/>
      <c r="DI686" s="729"/>
      <c r="DJ686" s="729"/>
      <c r="DK686" s="729"/>
      <c r="DL686" s="729"/>
      <c r="DM686" s="4"/>
    </row>
    <row r="687" spans="1:117" ht="12.75" customHeight="1">
      <c r="A687" s="228"/>
      <c r="B687" s="3"/>
      <c r="C687" s="228"/>
      <c r="D687" s="228"/>
      <c r="E687" s="3"/>
      <c r="F687" s="3"/>
      <c r="G687" s="729"/>
      <c r="H687" s="729"/>
      <c r="I687" s="729"/>
      <c r="J687" s="3"/>
      <c r="K687" s="1010"/>
      <c r="L687" s="12"/>
      <c r="M687" s="12"/>
      <c r="N687" s="12"/>
      <c r="O687" s="1010"/>
      <c r="P687" s="1011"/>
      <c r="Q687" s="1011"/>
      <c r="R687" s="12"/>
      <c r="S687" s="12"/>
      <c r="T687" s="12"/>
      <c r="U687" s="12"/>
      <c r="V687" s="12"/>
      <c r="W687" s="1012"/>
      <c r="X687" s="1023"/>
      <c r="Y687" s="1012"/>
      <c r="Z687" s="1012"/>
      <c r="AA687" s="1012"/>
      <c r="AB687" s="1011"/>
      <c r="AC687" s="1011"/>
      <c r="AD687" s="1012"/>
      <c r="AE687" s="12"/>
      <c r="AF687" s="729"/>
      <c r="AG687" s="1014"/>
      <c r="AH687" s="1014"/>
      <c r="AI687" s="729"/>
      <c r="AJ687" s="729"/>
      <c r="AK687" s="729"/>
      <c r="AL687" s="729"/>
      <c r="AM687" s="729"/>
      <c r="AN687" s="729"/>
      <c r="AO687" s="729"/>
      <c r="AP687" s="729"/>
      <c r="AQ687" s="729"/>
      <c r="AR687" s="729"/>
      <c r="AS687" s="729"/>
      <c r="AT687" s="729"/>
      <c r="AU687" s="729"/>
      <c r="AV687" s="729"/>
      <c r="AW687" s="729"/>
      <c r="AX687" s="729"/>
      <c r="AY687" s="729"/>
      <c r="AZ687" s="729"/>
      <c r="BA687" s="729"/>
      <c r="BB687" s="729"/>
      <c r="BC687" s="729"/>
      <c r="BD687" s="729"/>
      <c r="BE687" s="729"/>
      <c r="BF687" s="729"/>
      <c r="BG687" s="729"/>
      <c r="BH687" s="729"/>
      <c r="BI687" s="729"/>
      <c r="BJ687" s="729"/>
      <c r="BK687" s="729"/>
      <c r="BL687" s="729"/>
      <c r="BM687" s="779"/>
      <c r="BN687" s="779"/>
      <c r="BO687" s="779"/>
      <c r="BP687" s="12"/>
      <c r="BQ687" s="729"/>
      <c r="BR687" s="729"/>
      <c r="BS687" s="729"/>
      <c r="BT687" s="779"/>
      <c r="BU687" s="779"/>
      <c r="BV687" s="779"/>
      <c r="BW687" s="2"/>
      <c r="BX687" s="12"/>
      <c r="BY687" s="729"/>
      <c r="BZ687" s="729"/>
      <c r="CA687" s="729"/>
      <c r="CB687" s="779"/>
      <c r="CC687" s="779"/>
      <c r="CD687" s="779"/>
      <c r="CE687" s="2"/>
      <c r="CF687" s="729"/>
      <c r="CG687" s="729"/>
      <c r="CH687" s="729"/>
      <c r="CI687" s="729"/>
      <c r="CJ687" s="228"/>
      <c r="CK687" s="729"/>
      <c r="CL687" s="729"/>
      <c r="CM687" s="228"/>
      <c r="CN687" s="729"/>
      <c r="CO687" s="729"/>
      <c r="CP687" s="729"/>
      <c r="CQ687" s="729"/>
      <c r="CR687" s="729"/>
      <c r="CS687" s="729"/>
      <c r="CT687" s="729"/>
      <c r="CU687" s="228"/>
      <c r="CV687" s="779"/>
      <c r="CW687" s="779"/>
      <c r="CX687" s="729"/>
      <c r="CY687" s="228"/>
      <c r="CZ687" s="228"/>
      <c r="DA687" s="12"/>
      <c r="DB687" s="164"/>
      <c r="DC687" s="14"/>
      <c r="DD687" s="729"/>
      <c r="DE687" s="729"/>
      <c r="DF687" s="729"/>
      <c r="DG687" s="729"/>
      <c r="DH687" s="730"/>
      <c r="DI687" s="729"/>
      <c r="DJ687" s="729"/>
      <c r="DK687" s="729"/>
      <c r="DL687" s="729"/>
      <c r="DM687" s="4"/>
    </row>
    <row r="688" spans="1:117" ht="12.75" customHeight="1">
      <c r="A688" s="228"/>
      <c r="B688" s="3"/>
      <c r="C688" s="228"/>
      <c r="D688" s="228"/>
      <c r="E688" s="3"/>
      <c r="F688" s="3"/>
      <c r="G688" s="729"/>
      <c r="H688" s="729"/>
      <c r="I688" s="729"/>
      <c r="J688" s="3"/>
      <c r="K688" s="1010"/>
      <c r="L688" s="12"/>
      <c r="M688" s="12"/>
      <c r="N688" s="12"/>
      <c r="O688" s="1010"/>
      <c r="P688" s="1011"/>
      <c r="Q688" s="1011"/>
      <c r="R688" s="12"/>
      <c r="S688" s="12"/>
      <c r="T688" s="12"/>
      <c r="U688" s="12"/>
      <c r="V688" s="12"/>
      <c r="W688" s="1012"/>
      <c r="X688" s="1023"/>
      <c r="Y688" s="1012"/>
      <c r="Z688" s="1012"/>
      <c r="AA688" s="1012"/>
      <c r="AB688" s="1011"/>
      <c r="AC688" s="1011"/>
      <c r="AD688" s="1012"/>
      <c r="AE688" s="12"/>
      <c r="AF688" s="729"/>
      <c r="AG688" s="1014"/>
      <c r="AH688" s="1014"/>
      <c r="AI688" s="729"/>
      <c r="AJ688" s="729"/>
      <c r="AK688" s="729"/>
      <c r="AL688" s="729"/>
      <c r="AM688" s="729"/>
      <c r="AN688" s="729"/>
      <c r="AO688" s="729"/>
      <c r="AP688" s="729"/>
      <c r="AQ688" s="729"/>
      <c r="AR688" s="729"/>
      <c r="AS688" s="729"/>
      <c r="AT688" s="729"/>
      <c r="AU688" s="729"/>
      <c r="AV688" s="729"/>
      <c r="AW688" s="729"/>
      <c r="AX688" s="729"/>
      <c r="AY688" s="729"/>
      <c r="AZ688" s="729"/>
      <c r="BA688" s="729"/>
      <c r="BB688" s="729"/>
      <c r="BC688" s="729"/>
      <c r="BD688" s="729"/>
      <c r="BE688" s="729"/>
      <c r="BF688" s="729"/>
      <c r="BG688" s="729"/>
      <c r="BH688" s="729"/>
      <c r="BI688" s="729"/>
      <c r="BJ688" s="729"/>
      <c r="BK688" s="729"/>
      <c r="BL688" s="729"/>
      <c r="BM688" s="779"/>
      <c r="BN688" s="779"/>
      <c r="BO688" s="779"/>
      <c r="BP688" s="12"/>
      <c r="BQ688" s="729"/>
      <c r="BR688" s="729"/>
      <c r="BS688" s="729"/>
      <c r="BT688" s="779"/>
      <c r="BU688" s="779"/>
      <c r="BV688" s="779"/>
      <c r="BW688" s="2"/>
      <c r="BX688" s="12"/>
      <c r="BY688" s="729"/>
      <c r="BZ688" s="729"/>
      <c r="CA688" s="729"/>
      <c r="CB688" s="779"/>
      <c r="CC688" s="779"/>
      <c r="CD688" s="779"/>
      <c r="CE688" s="2"/>
      <c r="CF688" s="729"/>
      <c r="CG688" s="729"/>
      <c r="CH688" s="729"/>
      <c r="CI688" s="729"/>
      <c r="CJ688" s="228"/>
      <c r="CK688" s="729"/>
      <c r="CL688" s="729"/>
      <c r="CM688" s="228"/>
      <c r="CN688" s="729"/>
      <c r="CO688" s="729"/>
      <c r="CP688" s="729"/>
      <c r="CQ688" s="729"/>
      <c r="CR688" s="729"/>
      <c r="CS688" s="729"/>
      <c r="CT688" s="729"/>
      <c r="CU688" s="228"/>
      <c r="CV688" s="779"/>
      <c r="CW688" s="779"/>
      <c r="CX688" s="729"/>
      <c r="CY688" s="228"/>
      <c r="CZ688" s="228"/>
      <c r="DA688" s="12"/>
      <c r="DB688" s="164"/>
      <c r="DC688" s="14"/>
      <c r="DD688" s="729"/>
      <c r="DE688" s="729"/>
      <c r="DF688" s="729"/>
      <c r="DG688" s="729"/>
      <c r="DH688" s="730"/>
      <c r="DI688" s="729"/>
      <c r="DJ688" s="729"/>
      <c r="DK688" s="729"/>
      <c r="DL688" s="729"/>
      <c r="DM688" s="4"/>
    </row>
    <row r="689" spans="1:117" ht="12.75" customHeight="1">
      <c r="A689" s="228"/>
      <c r="B689" s="3"/>
      <c r="C689" s="228"/>
      <c r="D689" s="228"/>
      <c r="E689" s="3"/>
      <c r="F689" s="3"/>
      <c r="G689" s="729"/>
      <c r="H689" s="729"/>
      <c r="I689" s="729"/>
      <c r="J689" s="3"/>
      <c r="K689" s="1010"/>
      <c r="L689" s="12"/>
      <c r="M689" s="12"/>
      <c r="N689" s="12"/>
      <c r="O689" s="1010"/>
      <c r="P689" s="1011"/>
      <c r="Q689" s="1011"/>
      <c r="R689" s="12"/>
      <c r="S689" s="12"/>
      <c r="T689" s="12"/>
      <c r="U689" s="12"/>
      <c r="V689" s="12"/>
      <c r="W689" s="1012"/>
      <c r="X689" s="1023"/>
      <c r="Y689" s="1012"/>
      <c r="Z689" s="1012"/>
      <c r="AA689" s="1012"/>
      <c r="AB689" s="1011"/>
      <c r="AC689" s="1011"/>
      <c r="AD689" s="1012"/>
      <c r="AE689" s="12"/>
      <c r="AF689" s="729"/>
      <c r="AG689" s="1014"/>
      <c r="AH689" s="1014"/>
      <c r="AI689" s="729"/>
      <c r="AJ689" s="729"/>
      <c r="AK689" s="729"/>
      <c r="AL689" s="729"/>
      <c r="AM689" s="729"/>
      <c r="AN689" s="729"/>
      <c r="AO689" s="729"/>
      <c r="AP689" s="729"/>
      <c r="AQ689" s="729"/>
      <c r="AR689" s="729"/>
      <c r="AS689" s="729"/>
      <c r="AT689" s="729"/>
      <c r="AU689" s="729"/>
      <c r="AV689" s="729"/>
      <c r="AW689" s="729"/>
      <c r="AX689" s="729"/>
      <c r="AY689" s="729"/>
      <c r="AZ689" s="729"/>
      <c r="BA689" s="729"/>
      <c r="BB689" s="729"/>
      <c r="BC689" s="729"/>
      <c r="BD689" s="729"/>
      <c r="BE689" s="729"/>
      <c r="BF689" s="729"/>
      <c r="BG689" s="729"/>
      <c r="BH689" s="729"/>
      <c r="BI689" s="729"/>
      <c r="BJ689" s="729"/>
      <c r="BK689" s="729"/>
      <c r="BL689" s="729"/>
      <c r="BM689" s="779"/>
      <c r="BN689" s="779"/>
      <c r="BO689" s="779"/>
      <c r="BP689" s="12"/>
      <c r="BQ689" s="729"/>
      <c r="BR689" s="729"/>
      <c r="BS689" s="729"/>
      <c r="BT689" s="779"/>
      <c r="BU689" s="779"/>
      <c r="BV689" s="779"/>
      <c r="BW689" s="2"/>
      <c r="BX689" s="12"/>
      <c r="BY689" s="729"/>
      <c r="BZ689" s="729"/>
      <c r="CA689" s="729"/>
      <c r="CB689" s="779"/>
      <c r="CC689" s="779"/>
      <c r="CD689" s="779"/>
      <c r="CE689" s="2"/>
      <c r="CF689" s="729"/>
      <c r="CG689" s="729"/>
      <c r="CH689" s="729"/>
      <c r="CI689" s="729"/>
      <c r="CJ689" s="228"/>
      <c r="CK689" s="729"/>
      <c r="CL689" s="729"/>
      <c r="CM689" s="228"/>
      <c r="CN689" s="729"/>
      <c r="CO689" s="729"/>
      <c r="CP689" s="729"/>
      <c r="CQ689" s="729"/>
      <c r="CR689" s="729"/>
      <c r="CS689" s="729"/>
      <c r="CT689" s="729"/>
      <c r="CU689" s="228"/>
      <c r="CV689" s="779"/>
      <c r="CW689" s="779"/>
      <c r="CX689" s="729"/>
      <c r="CY689" s="228"/>
      <c r="CZ689" s="228"/>
      <c r="DA689" s="12"/>
      <c r="DB689" s="164"/>
      <c r="DC689" s="14"/>
      <c r="DD689" s="729"/>
      <c r="DE689" s="729"/>
      <c r="DF689" s="729"/>
      <c r="DG689" s="729"/>
      <c r="DH689" s="730"/>
      <c r="DI689" s="729"/>
      <c r="DJ689" s="729"/>
      <c r="DK689" s="729"/>
      <c r="DL689" s="729"/>
      <c r="DM689" s="4"/>
    </row>
    <row r="690" spans="1:117" ht="12.75" customHeight="1">
      <c r="A690" s="228"/>
      <c r="B690" s="3"/>
      <c r="C690" s="228"/>
      <c r="D690" s="228"/>
      <c r="E690" s="3"/>
      <c r="F690" s="3"/>
      <c r="G690" s="729"/>
      <c r="H690" s="729"/>
      <c r="I690" s="729"/>
      <c r="J690" s="3"/>
      <c r="K690" s="1010"/>
      <c r="L690" s="12"/>
      <c r="M690" s="12"/>
      <c r="N690" s="12"/>
      <c r="O690" s="1010"/>
      <c r="P690" s="1011"/>
      <c r="Q690" s="1011"/>
      <c r="R690" s="12"/>
      <c r="S690" s="12"/>
      <c r="T690" s="12"/>
      <c r="U690" s="12"/>
      <c r="V690" s="12"/>
      <c r="W690" s="1012"/>
      <c r="X690" s="1023"/>
      <c r="Y690" s="1012"/>
      <c r="Z690" s="1012"/>
      <c r="AA690" s="1012"/>
      <c r="AB690" s="1011"/>
      <c r="AC690" s="1011"/>
      <c r="AD690" s="1012"/>
      <c r="AE690" s="12"/>
      <c r="AF690" s="729"/>
      <c r="AG690" s="1014"/>
      <c r="AH690" s="1014"/>
      <c r="AI690" s="729"/>
      <c r="AJ690" s="729"/>
      <c r="AK690" s="729"/>
      <c r="AL690" s="729"/>
      <c r="AM690" s="729"/>
      <c r="AN690" s="729"/>
      <c r="AO690" s="729"/>
      <c r="AP690" s="729"/>
      <c r="AQ690" s="729"/>
      <c r="AR690" s="729"/>
      <c r="AS690" s="729"/>
      <c r="AT690" s="729"/>
      <c r="AU690" s="729"/>
      <c r="AV690" s="729"/>
      <c r="AW690" s="729"/>
      <c r="AX690" s="729"/>
      <c r="AY690" s="729"/>
      <c r="AZ690" s="729"/>
      <c r="BA690" s="729"/>
      <c r="BB690" s="729"/>
      <c r="BC690" s="729"/>
      <c r="BD690" s="729"/>
      <c r="BE690" s="729"/>
      <c r="BF690" s="729"/>
      <c r="BG690" s="729"/>
      <c r="BH690" s="729"/>
      <c r="BI690" s="729"/>
      <c r="BJ690" s="729"/>
      <c r="BK690" s="729"/>
      <c r="BL690" s="729"/>
      <c r="BM690" s="779"/>
      <c r="BN690" s="779"/>
      <c r="BO690" s="779"/>
      <c r="BP690" s="12"/>
      <c r="BQ690" s="729"/>
      <c r="BR690" s="729"/>
      <c r="BS690" s="729"/>
      <c r="BT690" s="779"/>
      <c r="BU690" s="779"/>
      <c r="BV690" s="779"/>
      <c r="BW690" s="2"/>
      <c r="BX690" s="12"/>
      <c r="BY690" s="729"/>
      <c r="BZ690" s="729"/>
      <c r="CA690" s="729"/>
      <c r="CB690" s="779"/>
      <c r="CC690" s="779"/>
      <c r="CD690" s="779"/>
      <c r="CE690" s="2"/>
      <c r="CF690" s="729"/>
      <c r="CG690" s="729"/>
      <c r="CH690" s="729"/>
      <c r="CI690" s="729"/>
      <c r="CJ690" s="228"/>
      <c r="CK690" s="729"/>
      <c r="CL690" s="729"/>
      <c r="CM690" s="228"/>
      <c r="CN690" s="729"/>
      <c r="CO690" s="729"/>
      <c r="CP690" s="729"/>
      <c r="CQ690" s="729"/>
      <c r="CR690" s="729"/>
      <c r="CS690" s="729"/>
      <c r="CT690" s="729"/>
      <c r="CU690" s="228"/>
      <c r="CV690" s="779"/>
      <c r="CW690" s="779"/>
      <c r="CX690" s="729"/>
      <c r="CY690" s="228"/>
      <c r="CZ690" s="228"/>
      <c r="DA690" s="12"/>
      <c r="DB690" s="164"/>
      <c r="DC690" s="14"/>
      <c r="DD690" s="729"/>
      <c r="DE690" s="729"/>
      <c r="DF690" s="729"/>
      <c r="DG690" s="729"/>
      <c r="DH690" s="730"/>
      <c r="DI690" s="729"/>
      <c r="DJ690" s="729"/>
      <c r="DK690" s="729"/>
      <c r="DL690" s="729"/>
      <c r="DM690" s="4"/>
    </row>
    <row r="691" spans="1:117" ht="12.75" customHeight="1">
      <c r="A691" s="228"/>
      <c r="B691" s="3"/>
      <c r="C691" s="228"/>
      <c r="D691" s="228"/>
      <c r="E691" s="3"/>
      <c r="F691" s="3"/>
      <c r="G691" s="729"/>
      <c r="H691" s="729"/>
      <c r="I691" s="729"/>
      <c r="J691" s="3"/>
      <c r="K691" s="1010"/>
      <c r="L691" s="12"/>
      <c r="M691" s="12"/>
      <c r="N691" s="12"/>
      <c r="O691" s="1010"/>
      <c r="P691" s="1011"/>
      <c r="Q691" s="1011"/>
      <c r="R691" s="12"/>
      <c r="S691" s="12"/>
      <c r="T691" s="12"/>
      <c r="U691" s="12"/>
      <c r="V691" s="12"/>
      <c r="W691" s="1012"/>
      <c r="X691" s="1023"/>
      <c r="Y691" s="1012"/>
      <c r="Z691" s="1012"/>
      <c r="AA691" s="1012"/>
      <c r="AB691" s="1011"/>
      <c r="AC691" s="1011"/>
      <c r="AD691" s="1012"/>
      <c r="AE691" s="12"/>
      <c r="AF691" s="729"/>
      <c r="AG691" s="1014"/>
      <c r="AH691" s="1014"/>
      <c r="AI691" s="729"/>
      <c r="AJ691" s="729"/>
      <c r="AK691" s="729"/>
      <c r="AL691" s="729"/>
      <c r="AM691" s="729"/>
      <c r="AN691" s="729"/>
      <c r="AO691" s="729"/>
      <c r="AP691" s="729"/>
      <c r="AQ691" s="729"/>
      <c r="AR691" s="729"/>
      <c r="AS691" s="729"/>
      <c r="AT691" s="729"/>
      <c r="AU691" s="729"/>
      <c r="AV691" s="729"/>
      <c r="AW691" s="729"/>
      <c r="AX691" s="729"/>
      <c r="AY691" s="729"/>
      <c r="AZ691" s="729"/>
      <c r="BA691" s="729"/>
      <c r="BB691" s="729"/>
      <c r="BC691" s="729"/>
      <c r="BD691" s="729"/>
      <c r="BE691" s="729"/>
      <c r="BF691" s="729"/>
      <c r="BG691" s="729"/>
      <c r="BH691" s="729"/>
      <c r="BI691" s="729"/>
      <c r="BJ691" s="729"/>
      <c r="BK691" s="729"/>
      <c r="BL691" s="729"/>
      <c r="BM691" s="779"/>
      <c r="BN691" s="779"/>
      <c r="BO691" s="779"/>
      <c r="BP691" s="12"/>
      <c r="BQ691" s="729"/>
      <c r="BR691" s="729"/>
      <c r="BS691" s="729"/>
      <c r="BT691" s="779"/>
      <c r="BU691" s="779"/>
      <c r="BV691" s="779"/>
      <c r="BW691" s="2"/>
      <c r="BX691" s="12"/>
      <c r="BY691" s="729"/>
      <c r="BZ691" s="729"/>
      <c r="CA691" s="729"/>
      <c r="CB691" s="779"/>
      <c r="CC691" s="779"/>
      <c r="CD691" s="779"/>
      <c r="CE691" s="2"/>
      <c r="CF691" s="729"/>
      <c r="CG691" s="729"/>
      <c r="CH691" s="729"/>
      <c r="CI691" s="729"/>
      <c r="CJ691" s="228"/>
      <c r="CK691" s="729"/>
      <c r="CL691" s="729"/>
      <c r="CM691" s="228"/>
      <c r="CN691" s="729"/>
      <c r="CO691" s="729"/>
      <c r="CP691" s="729"/>
      <c r="CQ691" s="729"/>
      <c r="CR691" s="729"/>
      <c r="CS691" s="729"/>
      <c r="CT691" s="729"/>
      <c r="CU691" s="228"/>
      <c r="CV691" s="779"/>
      <c r="CW691" s="779"/>
      <c r="CX691" s="729"/>
      <c r="CY691" s="228"/>
      <c r="CZ691" s="228"/>
      <c r="DA691" s="12"/>
      <c r="DB691" s="164"/>
      <c r="DC691" s="14"/>
      <c r="DD691" s="729"/>
      <c r="DE691" s="729"/>
      <c r="DF691" s="729"/>
      <c r="DG691" s="729"/>
      <c r="DH691" s="730"/>
      <c r="DI691" s="729"/>
      <c r="DJ691" s="729"/>
      <c r="DK691" s="729"/>
      <c r="DL691" s="729"/>
      <c r="DM691" s="4"/>
    </row>
    <row r="692" spans="1:117" ht="12.75" customHeight="1">
      <c r="A692" s="228"/>
      <c r="B692" s="3"/>
      <c r="C692" s="228"/>
      <c r="D692" s="228"/>
      <c r="E692" s="3"/>
      <c r="F692" s="3"/>
      <c r="G692" s="729"/>
      <c r="H692" s="729"/>
      <c r="I692" s="729"/>
      <c r="J692" s="3"/>
      <c r="K692" s="1010"/>
      <c r="L692" s="12"/>
      <c r="M692" s="12"/>
      <c r="N692" s="12"/>
      <c r="O692" s="1010"/>
      <c r="P692" s="1011"/>
      <c r="Q692" s="1011"/>
      <c r="R692" s="12"/>
      <c r="S692" s="12"/>
      <c r="T692" s="12"/>
      <c r="U692" s="12"/>
      <c r="V692" s="12"/>
      <c r="W692" s="1012"/>
      <c r="X692" s="1023"/>
      <c r="Y692" s="1012"/>
      <c r="Z692" s="1012"/>
      <c r="AA692" s="1012"/>
      <c r="AB692" s="1011"/>
      <c r="AC692" s="1011"/>
      <c r="AD692" s="1012"/>
      <c r="AE692" s="12"/>
      <c r="AF692" s="729"/>
      <c r="AG692" s="1014"/>
      <c r="AH692" s="1014"/>
      <c r="AI692" s="729"/>
      <c r="AJ692" s="729"/>
      <c r="AK692" s="729"/>
      <c r="AL692" s="729"/>
      <c r="AM692" s="729"/>
      <c r="AN692" s="729"/>
      <c r="AO692" s="729"/>
      <c r="AP692" s="729"/>
      <c r="AQ692" s="729"/>
      <c r="AR692" s="729"/>
      <c r="AS692" s="729"/>
      <c r="AT692" s="729"/>
      <c r="AU692" s="729"/>
      <c r="AV692" s="729"/>
      <c r="AW692" s="729"/>
      <c r="AX692" s="729"/>
      <c r="AY692" s="729"/>
      <c r="AZ692" s="729"/>
      <c r="BA692" s="729"/>
      <c r="BB692" s="729"/>
      <c r="BC692" s="729"/>
      <c r="BD692" s="729"/>
      <c r="BE692" s="729"/>
      <c r="BF692" s="729"/>
      <c r="BG692" s="729"/>
      <c r="BH692" s="729"/>
      <c r="BI692" s="729"/>
      <c r="BJ692" s="729"/>
      <c r="BK692" s="729"/>
      <c r="BL692" s="729"/>
      <c r="BM692" s="779"/>
      <c r="BN692" s="779"/>
      <c r="BO692" s="779"/>
      <c r="BP692" s="12"/>
      <c r="BQ692" s="729"/>
      <c r="BR692" s="729"/>
      <c r="BS692" s="729"/>
      <c r="BT692" s="779"/>
      <c r="BU692" s="779"/>
      <c r="BV692" s="779"/>
      <c r="BW692" s="2"/>
      <c r="BX692" s="12"/>
      <c r="BY692" s="729"/>
      <c r="BZ692" s="729"/>
      <c r="CA692" s="729"/>
      <c r="CB692" s="779"/>
      <c r="CC692" s="779"/>
      <c r="CD692" s="779"/>
      <c r="CE692" s="2"/>
      <c r="CF692" s="729"/>
      <c r="CG692" s="729"/>
      <c r="CH692" s="729"/>
      <c r="CI692" s="729"/>
      <c r="CJ692" s="228"/>
      <c r="CK692" s="729"/>
      <c r="CL692" s="729"/>
      <c r="CM692" s="228"/>
      <c r="CN692" s="729"/>
      <c r="CO692" s="729"/>
      <c r="CP692" s="729"/>
      <c r="CQ692" s="729"/>
      <c r="CR692" s="729"/>
      <c r="CS692" s="729"/>
      <c r="CT692" s="729"/>
      <c r="CU692" s="228"/>
      <c r="CV692" s="779"/>
      <c r="CW692" s="779"/>
      <c r="CX692" s="729"/>
      <c r="CY692" s="228"/>
      <c r="CZ692" s="228"/>
      <c r="DA692" s="12"/>
      <c r="DB692" s="164"/>
      <c r="DC692" s="14"/>
      <c r="DD692" s="729"/>
      <c r="DE692" s="729"/>
      <c r="DF692" s="729"/>
      <c r="DG692" s="729"/>
      <c r="DH692" s="730"/>
      <c r="DI692" s="729"/>
      <c r="DJ692" s="729"/>
      <c r="DK692" s="729"/>
      <c r="DL692" s="729"/>
      <c r="DM692" s="4"/>
    </row>
    <row r="693" spans="1:117" ht="12.75" customHeight="1">
      <c r="A693" s="228"/>
      <c r="B693" s="3"/>
      <c r="C693" s="228"/>
      <c r="D693" s="228"/>
      <c r="E693" s="3"/>
      <c r="F693" s="3"/>
      <c r="G693" s="729"/>
      <c r="H693" s="729"/>
      <c r="I693" s="729"/>
      <c r="J693" s="3"/>
      <c r="K693" s="1010"/>
      <c r="L693" s="12"/>
      <c r="M693" s="12"/>
      <c r="N693" s="12"/>
      <c r="O693" s="1010"/>
      <c r="P693" s="1011"/>
      <c r="Q693" s="1011"/>
      <c r="R693" s="12"/>
      <c r="S693" s="12"/>
      <c r="T693" s="12"/>
      <c r="U693" s="12"/>
      <c r="V693" s="12"/>
      <c r="W693" s="1012"/>
      <c r="X693" s="1023"/>
      <c r="Y693" s="1012"/>
      <c r="Z693" s="1012"/>
      <c r="AA693" s="1012"/>
      <c r="AB693" s="1011"/>
      <c r="AC693" s="1011"/>
      <c r="AD693" s="1012"/>
      <c r="AE693" s="12"/>
      <c r="AF693" s="729"/>
      <c r="AG693" s="1014"/>
      <c r="AH693" s="1014"/>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79"/>
      <c r="BN693" s="779"/>
      <c r="BO693" s="779"/>
      <c r="BP693" s="12"/>
      <c r="BQ693" s="729"/>
      <c r="BR693" s="729"/>
      <c r="BS693" s="729"/>
      <c r="BT693" s="779"/>
      <c r="BU693" s="779"/>
      <c r="BV693" s="779"/>
      <c r="BW693" s="2"/>
      <c r="BX693" s="12"/>
      <c r="BY693" s="729"/>
      <c r="BZ693" s="729"/>
      <c r="CA693" s="729"/>
      <c r="CB693" s="779"/>
      <c r="CC693" s="779"/>
      <c r="CD693" s="779"/>
      <c r="CE693" s="2"/>
      <c r="CF693" s="729"/>
      <c r="CG693" s="729"/>
      <c r="CH693" s="729"/>
      <c r="CI693" s="729"/>
      <c r="CJ693" s="228"/>
      <c r="CK693" s="729"/>
      <c r="CL693" s="729"/>
      <c r="CM693" s="228"/>
      <c r="CN693" s="729"/>
      <c r="CO693" s="729"/>
      <c r="CP693" s="729"/>
      <c r="CQ693" s="729"/>
      <c r="CR693" s="729"/>
      <c r="CS693" s="729"/>
      <c r="CT693" s="729"/>
      <c r="CU693" s="228"/>
      <c r="CV693" s="779"/>
      <c r="CW693" s="779"/>
      <c r="CX693" s="729"/>
      <c r="CY693" s="228"/>
      <c r="CZ693" s="228"/>
      <c r="DA693" s="12"/>
      <c r="DB693" s="164"/>
      <c r="DC693" s="14"/>
      <c r="DD693" s="729"/>
      <c r="DE693" s="729"/>
      <c r="DF693" s="729"/>
      <c r="DG693" s="729"/>
      <c r="DH693" s="730"/>
      <c r="DI693" s="729"/>
      <c r="DJ693" s="729"/>
      <c r="DK693" s="729"/>
      <c r="DL693" s="729"/>
      <c r="DM693" s="4"/>
    </row>
    <row r="694" spans="1:117" ht="12.75" customHeight="1">
      <c r="A694" s="228"/>
      <c r="B694" s="3"/>
      <c r="C694" s="228"/>
      <c r="D694" s="228"/>
      <c r="E694" s="3"/>
      <c r="F694" s="3"/>
      <c r="G694" s="729"/>
      <c r="H694" s="729"/>
      <c r="I694" s="729"/>
      <c r="J694" s="3"/>
      <c r="K694" s="1010"/>
      <c r="L694" s="12"/>
      <c r="M694" s="12"/>
      <c r="N694" s="12"/>
      <c r="O694" s="1010"/>
      <c r="P694" s="1011"/>
      <c r="Q694" s="1011"/>
      <c r="R694" s="12"/>
      <c r="S694" s="12"/>
      <c r="T694" s="12"/>
      <c r="U694" s="12"/>
      <c r="V694" s="12"/>
      <c r="W694" s="1012"/>
      <c r="X694" s="1023"/>
      <c r="Y694" s="1012"/>
      <c r="Z694" s="1012"/>
      <c r="AA694" s="1012"/>
      <c r="AB694" s="1011"/>
      <c r="AC694" s="1011"/>
      <c r="AD694" s="1012"/>
      <c r="AE694" s="12"/>
      <c r="AF694" s="729"/>
      <c r="AG694" s="1014"/>
      <c r="AH694" s="1014"/>
      <c r="AI694" s="729"/>
      <c r="AJ694" s="729"/>
      <c r="AK694" s="729"/>
      <c r="AL694" s="729"/>
      <c r="AM694" s="729"/>
      <c r="AN694" s="729"/>
      <c r="AO694" s="729"/>
      <c r="AP694" s="729"/>
      <c r="AQ694" s="729"/>
      <c r="AR694" s="729"/>
      <c r="AS694" s="729"/>
      <c r="AT694" s="729"/>
      <c r="AU694" s="729"/>
      <c r="AV694" s="729"/>
      <c r="AW694" s="729"/>
      <c r="AX694" s="729"/>
      <c r="AY694" s="729"/>
      <c r="AZ694" s="729"/>
      <c r="BA694" s="729"/>
      <c r="BB694" s="729"/>
      <c r="BC694" s="729"/>
      <c r="BD694" s="729"/>
      <c r="BE694" s="729"/>
      <c r="BF694" s="729"/>
      <c r="BG694" s="729"/>
      <c r="BH694" s="729"/>
      <c r="BI694" s="729"/>
      <c r="BJ694" s="729"/>
      <c r="BK694" s="729"/>
      <c r="BL694" s="729"/>
      <c r="BM694" s="779"/>
      <c r="BN694" s="779"/>
      <c r="BO694" s="779"/>
      <c r="BP694" s="12"/>
      <c r="BQ694" s="729"/>
      <c r="BR694" s="729"/>
      <c r="BS694" s="729"/>
      <c r="BT694" s="779"/>
      <c r="BU694" s="779"/>
      <c r="BV694" s="779"/>
      <c r="BW694" s="2"/>
      <c r="BX694" s="12"/>
      <c r="BY694" s="729"/>
      <c r="BZ694" s="729"/>
      <c r="CA694" s="729"/>
      <c r="CB694" s="779"/>
      <c r="CC694" s="779"/>
      <c r="CD694" s="779"/>
      <c r="CE694" s="2"/>
      <c r="CF694" s="729"/>
      <c r="CG694" s="729"/>
      <c r="CH694" s="729"/>
      <c r="CI694" s="729"/>
      <c r="CJ694" s="228"/>
      <c r="CK694" s="729"/>
      <c r="CL694" s="729"/>
      <c r="CM694" s="228"/>
      <c r="CN694" s="729"/>
      <c r="CO694" s="729"/>
      <c r="CP694" s="729"/>
      <c r="CQ694" s="729"/>
      <c r="CR694" s="729"/>
      <c r="CS694" s="729"/>
      <c r="CT694" s="729"/>
      <c r="CU694" s="228"/>
      <c r="CV694" s="779"/>
      <c r="CW694" s="779"/>
      <c r="CX694" s="729"/>
      <c r="CY694" s="228"/>
      <c r="CZ694" s="228"/>
      <c r="DA694" s="12"/>
      <c r="DB694" s="164"/>
      <c r="DC694" s="14"/>
      <c r="DD694" s="729"/>
      <c r="DE694" s="729"/>
      <c r="DF694" s="729"/>
      <c r="DG694" s="729"/>
      <c r="DH694" s="730"/>
      <c r="DI694" s="729"/>
      <c r="DJ694" s="729"/>
      <c r="DK694" s="729"/>
      <c r="DL694" s="729"/>
      <c r="DM694" s="4"/>
    </row>
    <row r="695" spans="1:117" ht="12.75" customHeight="1">
      <c r="A695" s="228"/>
      <c r="B695" s="3"/>
      <c r="C695" s="228"/>
      <c r="D695" s="228"/>
      <c r="E695" s="3"/>
      <c r="F695" s="3"/>
      <c r="G695" s="729"/>
      <c r="H695" s="729"/>
      <c r="I695" s="729"/>
      <c r="J695" s="3"/>
      <c r="K695" s="1010"/>
      <c r="L695" s="12"/>
      <c r="M695" s="12"/>
      <c r="N695" s="12"/>
      <c r="O695" s="1010"/>
      <c r="P695" s="1011"/>
      <c r="Q695" s="1011"/>
      <c r="R695" s="12"/>
      <c r="S695" s="12"/>
      <c r="T695" s="12"/>
      <c r="U695" s="12"/>
      <c r="V695" s="12"/>
      <c r="W695" s="1012"/>
      <c r="X695" s="1023"/>
      <c r="Y695" s="1012"/>
      <c r="Z695" s="1012"/>
      <c r="AA695" s="1012"/>
      <c r="AB695" s="1011"/>
      <c r="AC695" s="1011"/>
      <c r="AD695" s="1012"/>
      <c r="AE695" s="12"/>
      <c r="AF695" s="729"/>
      <c r="AG695" s="1014"/>
      <c r="AH695" s="1014"/>
      <c r="AI695" s="729"/>
      <c r="AJ695" s="729"/>
      <c r="AK695" s="729"/>
      <c r="AL695" s="729"/>
      <c r="AM695" s="729"/>
      <c r="AN695" s="729"/>
      <c r="AO695" s="729"/>
      <c r="AP695" s="729"/>
      <c r="AQ695" s="729"/>
      <c r="AR695" s="729"/>
      <c r="AS695" s="729"/>
      <c r="AT695" s="729"/>
      <c r="AU695" s="729"/>
      <c r="AV695" s="729"/>
      <c r="AW695" s="729"/>
      <c r="AX695" s="729"/>
      <c r="AY695" s="729"/>
      <c r="AZ695" s="729"/>
      <c r="BA695" s="729"/>
      <c r="BB695" s="729"/>
      <c r="BC695" s="729"/>
      <c r="BD695" s="729"/>
      <c r="BE695" s="729"/>
      <c r="BF695" s="729"/>
      <c r="BG695" s="729"/>
      <c r="BH695" s="729"/>
      <c r="BI695" s="729"/>
      <c r="BJ695" s="729"/>
      <c r="BK695" s="729"/>
      <c r="BL695" s="729"/>
      <c r="BM695" s="779"/>
      <c r="BN695" s="779"/>
      <c r="BO695" s="779"/>
      <c r="BP695" s="12"/>
      <c r="BQ695" s="729"/>
      <c r="BR695" s="729"/>
      <c r="BS695" s="729"/>
      <c r="BT695" s="779"/>
      <c r="BU695" s="779"/>
      <c r="BV695" s="779"/>
      <c r="BW695" s="2"/>
      <c r="BX695" s="12"/>
      <c r="BY695" s="729"/>
      <c r="BZ695" s="729"/>
      <c r="CA695" s="729"/>
      <c r="CB695" s="779"/>
      <c r="CC695" s="779"/>
      <c r="CD695" s="779"/>
      <c r="CE695" s="2"/>
      <c r="CF695" s="729"/>
      <c r="CG695" s="729"/>
      <c r="CH695" s="729"/>
      <c r="CI695" s="729"/>
      <c r="CJ695" s="228"/>
      <c r="CK695" s="729"/>
      <c r="CL695" s="729"/>
      <c r="CM695" s="228"/>
      <c r="CN695" s="729"/>
      <c r="CO695" s="729"/>
      <c r="CP695" s="729"/>
      <c r="CQ695" s="729"/>
      <c r="CR695" s="729"/>
      <c r="CS695" s="729"/>
      <c r="CT695" s="729"/>
      <c r="CU695" s="228"/>
      <c r="CV695" s="779"/>
      <c r="CW695" s="779"/>
      <c r="CX695" s="729"/>
      <c r="CY695" s="228"/>
      <c r="CZ695" s="228"/>
      <c r="DA695" s="12"/>
      <c r="DB695" s="164"/>
      <c r="DC695" s="14"/>
      <c r="DD695" s="729"/>
      <c r="DE695" s="729"/>
      <c r="DF695" s="729"/>
      <c r="DG695" s="729"/>
      <c r="DH695" s="730"/>
      <c r="DI695" s="729"/>
      <c r="DJ695" s="729"/>
      <c r="DK695" s="729"/>
      <c r="DL695" s="729"/>
      <c r="DM695" s="4"/>
    </row>
    <row r="696" spans="1:117" ht="12.75" customHeight="1">
      <c r="A696" s="228"/>
      <c r="B696" s="3"/>
      <c r="C696" s="228"/>
      <c r="D696" s="228"/>
      <c r="E696" s="3"/>
      <c r="F696" s="3"/>
      <c r="G696" s="729"/>
      <c r="H696" s="729"/>
      <c r="I696" s="729"/>
      <c r="J696" s="3"/>
      <c r="K696" s="1010"/>
      <c r="L696" s="12"/>
      <c r="M696" s="12"/>
      <c r="N696" s="12"/>
      <c r="O696" s="1010"/>
      <c r="P696" s="1011"/>
      <c r="Q696" s="1011"/>
      <c r="R696" s="12"/>
      <c r="S696" s="12"/>
      <c r="T696" s="12"/>
      <c r="U696" s="12"/>
      <c r="V696" s="12"/>
      <c r="W696" s="1012"/>
      <c r="X696" s="1023"/>
      <c r="Y696" s="1012"/>
      <c r="Z696" s="1012"/>
      <c r="AA696" s="1012"/>
      <c r="AB696" s="1011"/>
      <c r="AC696" s="1011"/>
      <c r="AD696" s="1012"/>
      <c r="AE696" s="12"/>
      <c r="AF696" s="729"/>
      <c r="AG696" s="1014"/>
      <c r="AH696" s="1014"/>
      <c r="AI696" s="729"/>
      <c r="AJ696" s="729"/>
      <c r="AK696" s="729"/>
      <c r="AL696" s="729"/>
      <c r="AM696" s="729"/>
      <c r="AN696" s="729"/>
      <c r="AO696" s="729"/>
      <c r="AP696" s="729"/>
      <c r="AQ696" s="729"/>
      <c r="AR696" s="729"/>
      <c r="AS696" s="729"/>
      <c r="AT696" s="729"/>
      <c r="AU696" s="729"/>
      <c r="AV696" s="729"/>
      <c r="AW696" s="729"/>
      <c r="AX696" s="729"/>
      <c r="AY696" s="729"/>
      <c r="AZ696" s="729"/>
      <c r="BA696" s="729"/>
      <c r="BB696" s="729"/>
      <c r="BC696" s="729"/>
      <c r="BD696" s="729"/>
      <c r="BE696" s="729"/>
      <c r="BF696" s="729"/>
      <c r="BG696" s="729"/>
      <c r="BH696" s="729"/>
      <c r="BI696" s="729"/>
      <c r="BJ696" s="729"/>
      <c r="BK696" s="729"/>
      <c r="BL696" s="729"/>
      <c r="BM696" s="779"/>
      <c r="BN696" s="779"/>
      <c r="BO696" s="779"/>
      <c r="BP696" s="12"/>
      <c r="BQ696" s="729"/>
      <c r="BR696" s="729"/>
      <c r="BS696" s="729"/>
      <c r="BT696" s="779"/>
      <c r="BU696" s="779"/>
      <c r="BV696" s="779"/>
      <c r="BW696" s="2"/>
      <c r="BX696" s="12"/>
      <c r="BY696" s="729"/>
      <c r="BZ696" s="729"/>
      <c r="CA696" s="729"/>
      <c r="CB696" s="779"/>
      <c r="CC696" s="779"/>
      <c r="CD696" s="779"/>
      <c r="CE696" s="2"/>
      <c r="CF696" s="729"/>
      <c r="CG696" s="729"/>
      <c r="CH696" s="729"/>
      <c r="CI696" s="729"/>
      <c r="CJ696" s="228"/>
      <c r="CK696" s="729"/>
      <c r="CL696" s="729"/>
      <c r="CM696" s="228"/>
      <c r="CN696" s="729"/>
      <c r="CO696" s="729"/>
      <c r="CP696" s="729"/>
      <c r="CQ696" s="729"/>
      <c r="CR696" s="729"/>
      <c r="CS696" s="729"/>
      <c r="CT696" s="729"/>
      <c r="CU696" s="228"/>
      <c r="CV696" s="779"/>
      <c r="CW696" s="779"/>
      <c r="CX696" s="729"/>
      <c r="CY696" s="228"/>
      <c r="CZ696" s="228"/>
      <c r="DA696" s="12"/>
      <c r="DB696" s="164"/>
      <c r="DC696" s="14"/>
      <c r="DD696" s="729"/>
      <c r="DE696" s="729"/>
      <c r="DF696" s="729"/>
      <c r="DG696" s="729"/>
      <c r="DH696" s="730"/>
      <c r="DI696" s="729"/>
      <c r="DJ696" s="729"/>
      <c r="DK696" s="729"/>
      <c r="DL696" s="729"/>
      <c r="DM696" s="4"/>
    </row>
    <row r="697" spans="1:117" ht="12.75" customHeight="1">
      <c r="A697" s="228"/>
      <c r="B697" s="3"/>
      <c r="C697" s="228"/>
      <c r="D697" s="228"/>
      <c r="E697" s="3"/>
      <c r="F697" s="3"/>
      <c r="G697" s="729"/>
      <c r="H697" s="729"/>
      <c r="I697" s="729"/>
      <c r="J697" s="3"/>
      <c r="K697" s="1010"/>
      <c r="L697" s="12"/>
      <c r="M697" s="12"/>
      <c r="N697" s="12"/>
      <c r="O697" s="1010"/>
      <c r="P697" s="1011"/>
      <c r="Q697" s="1011"/>
      <c r="R697" s="12"/>
      <c r="S697" s="12"/>
      <c r="T697" s="12"/>
      <c r="U697" s="12"/>
      <c r="V697" s="12"/>
      <c r="W697" s="1012"/>
      <c r="X697" s="1023"/>
      <c r="Y697" s="1012"/>
      <c r="Z697" s="1012"/>
      <c r="AA697" s="1012"/>
      <c r="AB697" s="1011"/>
      <c r="AC697" s="1011"/>
      <c r="AD697" s="1012"/>
      <c r="AE697" s="12"/>
      <c r="AF697" s="729"/>
      <c r="AG697" s="1014"/>
      <c r="AH697" s="1014"/>
      <c r="AI697" s="729"/>
      <c r="AJ697" s="729"/>
      <c r="AK697" s="729"/>
      <c r="AL697" s="729"/>
      <c r="AM697" s="729"/>
      <c r="AN697" s="729"/>
      <c r="AO697" s="729"/>
      <c r="AP697" s="729"/>
      <c r="AQ697" s="729"/>
      <c r="AR697" s="729"/>
      <c r="AS697" s="729"/>
      <c r="AT697" s="729"/>
      <c r="AU697" s="729"/>
      <c r="AV697" s="729"/>
      <c r="AW697" s="729"/>
      <c r="AX697" s="729"/>
      <c r="AY697" s="729"/>
      <c r="AZ697" s="729"/>
      <c r="BA697" s="729"/>
      <c r="BB697" s="729"/>
      <c r="BC697" s="729"/>
      <c r="BD697" s="729"/>
      <c r="BE697" s="729"/>
      <c r="BF697" s="729"/>
      <c r="BG697" s="729"/>
      <c r="BH697" s="729"/>
      <c r="BI697" s="729"/>
      <c r="BJ697" s="729"/>
      <c r="BK697" s="729"/>
      <c r="BL697" s="729"/>
      <c r="BM697" s="779"/>
      <c r="BN697" s="779"/>
      <c r="BO697" s="779"/>
      <c r="BP697" s="12"/>
      <c r="BQ697" s="729"/>
      <c r="BR697" s="729"/>
      <c r="BS697" s="729"/>
      <c r="BT697" s="779"/>
      <c r="BU697" s="779"/>
      <c r="BV697" s="779"/>
      <c r="BW697" s="2"/>
      <c r="BX697" s="12"/>
      <c r="BY697" s="729"/>
      <c r="BZ697" s="729"/>
      <c r="CA697" s="729"/>
      <c r="CB697" s="779"/>
      <c r="CC697" s="779"/>
      <c r="CD697" s="779"/>
      <c r="CE697" s="2"/>
      <c r="CF697" s="729"/>
      <c r="CG697" s="729"/>
      <c r="CH697" s="729"/>
      <c r="CI697" s="729"/>
      <c r="CJ697" s="228"/>
      <c r="CK697" s="729"/>
      <c r="CL697" s="729"/>
      <c r="CM697" s="228"/>
      <c r="CN697" s="729"/>
      <c r="CO697" s="729"/>
      <c r="CP697" s="729"/>
      <c r="CQ697" s="729"/>
      <c r="CR697" s="729"/>
      <c r="CS697" s="729"/>
      <c r="CT697" s="729"/>
      <c r="CU697" s="228"/>
      <c r="CV697" s="779"/>
      <c r="CW697" s="779"/>
      <c r="CX697" s="729"/>
      <c r="CY697" s="228"/>
      <c r="CZ697" s="228"/>
      <c r="DA697" s="12"/>
      <c r="DB697" s="164"/>
      <c r="DC697" s="14"/>
      <c r="DD697" s="729"/>
      <c r="DE697" s="729"/>
      <c r="DF697" s="729"/>
      <c r="DG697" s="729"/>
      <c r="DH697" s="730"/>
      <c r="DI697" s="729"/>
      <c r="DJ697" s="729"/>
      <c r="DK697" s="729"/>
      <c r="DL697" s="729"/>
      <c r="DM697" s="4"/>
    </row>
    <row r="698" spans="1:117" ht="12.75" customHeight="1">
      <c r="A698" s="228"/>
      <c r="B698" s="3"/>
      <c r="C698" s="228"/>
      <c r="D698" s="228"/>
      <c r="E698" s="3"/>
      <c r="F698" s="3"/>
      <c r="G698" s="729"/>
      <c r="H698" s="729"/>
      <c r="I698" s="729"/>
      <c r="J698" s="3"/>
      <c r="K698" s="1010"/>
      <c r="L698" s="12"/>
      <c r="M698" s="12"/>
      <c r="N698" s="12"/>
      <c r="O698" s="1010"/>
      <c r="P698" s="1011"/>
      <c r="Q698" s="1011"/>
      <c r="R698" s="12"/>
      <c r="S698" s="12"/>
      <c r="T698" s="12"/>
      <c r="U698" s="12"/>
      <c r="V698" s="12"/>
      <c r="W698" s="1012"/>
      <c r="X698" s="1023"/>
      <c r="Y698" s="1012"/>
      <c r="Z698" s="1012"/>
      <c r="AA698" s="1012"/>
      <c r="AB698" s="1011"/>
      <c r="AC698" s="1011"/>
      <c r="AD698" s="1012"/>
      <c r="AE698" s="12"/>
      <c r="AF698" s="729"/>
      <c r="AG698" s="1014"/>
      <c r="AH698" s="1014"/>
      <c r="AI698" s="729"/>
      <c r="AJ698" s="729"/>
      <c r="AK698" s="729"/>
      <c r="AL698" s="729"/>
      <c r="AM698" s="729"/>
      <c r="AN698" s="729"/>
      <c r="AO698" s="729"/>
      <c r="AP698" s="729"/>
      <c r="AQ698" s="729"/>
      <c r="AR698" s="729"/>
      <c r="AS698" s="729"/>
      <c r="AT698" s="729"/>
      <c r="AU698" s="729"/>
      <c r="AV698" s="729"/>
      <c r="AW698" s="729"/>
      <c r="AX698" s="729"/>
      <c r="AY698" s="729"/>
      <c r="AZ698" s="729"/>
      <c r="BA698" s="729"/>
      <c r="BB698" s="729"/>
      <c r="BC698" s="729"/>
      <c r="BD698" s="729"/>
      <c r="BE698" s="729"/>
      <c r="BF698" s="729"/>
      <c r="BG698" s="729"/>
      <c r="BH698" s="729"/>
      <c r="BI698" s="729"/>
      <c r="BJ698" s="729"/>
      <c r="BK698" s="729"/>
      <c r="BL698" s="729"/>
      <c r="BM698" s="779"/>
      <c r="BN698" s="779"/>
      <c r="BO698" s="779"/>
      <c r="BP698" s="12"/>
      <c r="BQ698" s="729"/>
      <c r="BR698" s="729"/>
      <c r="BS698" s="729"/>
      <c r="BT698" s="779"/>
      <c r="BU698" s="779"/>
      <c r="BV698" s="779"/>
      <c r="BW698" s="2"/>
      <c r="BX698" s="12"/>
      <c r="BY698" s="729"/>
      <c r="BZ698" s="729"/>
      <c r="CA698" s="729"/>
      <c r="CB698" s="779"/>
      <c r="CC698" s="779"/>
      <c r="CD698" s="779"/>
      <c r="CE698" s="2"/>
      <c r="CF698" s="729"/>
      <c r="CG698" s="729"/>
      <c r="CH698" s="729"/>
      <c r="CI698" s="729"/>
      <c r="CJ698" s="228"/>
      <c r="CK698" s="729"/>
      <c r="CL698" s="729"/>
      <c r="CM698" s="228"/>
      <c r="CN698" s="729"/>
      <c r="CO698" s="729"/>
      <c r="CP698" s="729"/>
      <c r="CQ698" s="729"/>
      <c r="CR698" s="729"/>
      <c r="CS698" s="729"/>
      <c r="CT698" s="729"/>
      <c r="CU698" s="228"/>
      <c r="CV698" s="779"/>
      <c r="CW698" s="779"/>
      <c r="CX698" s="729"/>
      <c r="CY698" s="228"/>
      <c r="CZ698" s="228"/>
      <c r="DA698" s="12"/>
      <c r="DB698" s="164"/>
      <c r="DC698" s="14"/>
      <c r="DD698" s="729"/>
      <c r="DE698" s="729"/>
      <c r="DF698" s="729"/>
      <c r="DG698" s="729"/>
      <c r="DH698" s="730"/>
      <c r="DI698" s="729"/>
      <c r="DJ698" s="729"/>
      <c r="DK698" s="729"/>
      <c r="DL698" s="729"/>
      <c r="DM698" s="4"/>
    </row>
    <row r="699" spans="1:117" ht="12.75" customHeight="1">
      <c r="A699" s="228"/>
      <c r="B699" s="3"/>
      <c r="C699" s="228"/>
      <c r="D699" s="228"/>
      <c r="E699" s="3"/>
      <c r="F699" s="3"/>
      <c r="G699" s="729"/>
      <c r="H699" s="729"/>
      <c r="I699" s="729"/>
      <c r="J699" s="3"/>
      <c r="K699" s="1010"/>
      <c r="L699" s="12"/>
      <c r="M699" s="12"/>
      <c r="N699" s="12"/>
      <c r="O699" s="1010"/>
      <c r="P699" s="1011"/>
      <c r="Q699" s="1011"/>
      <c r="R699" s="12"/>
      <c r="S699" s="12"/>
      <c r="T699" s="12"/>
      <c r="U699" s="12"/>
      <c r="V699" s="12"/>
      <c r="W699" s="1012"/>
      <c r="X699" s="1023"/>
      <c r="Y699" s="1012"/>
      <c r="Z699" s="1012"/>
      <c r="AA699" s="1012"/>
      <c r="AB699" s="1011"/>
      <c r="AC699" s="1011"/>
      <c r="AD699" s="1012"/>
      <c r="AE699" s="12"/>
      <c r="AF699" s="729"/>
      <c r="AG699" s="1014"/>
      <c r="AH699" s="1014"/>
      <c r="AI699" s="729"/>
      <c r="AJ699" s="729"/>
      <c r="AK699" s="729"/>
      <c r="AL699" s="729"/>
      <c r="AM699" s="729"/>
      <c r="AN699" s="729"/>
      <c r="AO699" s="729"/>
      <c r="AP699" s="729"/>
      <c r="AQ699" s="729"/>
      <c r="AR699" s="729"/>
      <c r="AS699" s="729"/>
      <c r="AT699" s="729"/>
      <c r="AU699" s="729"/>
      <c r="AV699" s="729"/>
      <c r="AW699" s="729"/>
      <c r="AX699" s="729"/>
      <c r="AY699" s="729"/>
      <c r="AZ699" s="729"/>
      <c r="BA699" s="729"/>
      <c r="BB699" s="729"/>
      <c r="BC699" s="729"/>
      <c r="BD699" s="729"/>
      <c r="BE699" s="729"/>
      <c r="BF699" s="729"/>
      <c r="BG699" s="729"/>
      <c r="BH699" s="729"/>
      <c r="BI699" s="729"/>
      <c r="BJ699" s="729"/>
      <c r="BK699" s="729"/>
      <c r="BL699" s="729"/>
      <c r="BM699" s="779"/>
      <c r="BN699" s="779"/>
      <c r="BO699" s="779"/>
      <c r="BP699" s="12"/>
      <c r="BQ699" s="729"/>
      <c r="BR699" s="729"/>
      <c r="BS699" s="729"/>
      <c r="BT699" s="779"/>
      <c r="BU699" s="779"/>
      <c r="BV699" s="779"/>
      <c r="BW699" s="2"/>
      <c r="BX699" s="12"/>
      <c r="BY699" s="729"/>
      <c r="BZ699" s="729"/>
      <c r="CA699" s="729"/>
      <c r="CB699" s="779"/>
      <c r="CC699" s="779"/>
      <c r="CD699" s="779"/>
      <c r="CE699" s="2"/>
      <c r="CF699" s="729"/>
      <c r="CG699" s="729"/>
      <c r="CH699" s="729"/>
      <c r="CI699" s="729"/>
      <c r="CJ699" s="228"/>
      <c r="CK699" s="729"/>
      <c r="CL699" s="729"/>
      <c r="CM699" s="228"/>
      <c r="CN699" s="729"/>
      <c r="CO699" s="729"/>
      <c r="CP699" s="729"/>
      <c r="CQ699" s="729"/>
      <c r="CR699" s="729"/>
      <c r="CS699" s="729"/>
      <c r="CT699" s="729"/>
      <c r="CU699" s="228"/>
      <c r="CV699" s="779"/>
      <c r="CW699" s="779"/>
      <c r="CX699" s="729"/>
      <c r="CY699" s="228"/>
      <c r="CZ699" s="228"/>
      <c r="DA699" s="12"/>
      <c r="DB699" s="164"/>
      <c r="DC699" s="14"/>
      <c r="DD699" s="729"/>
      <c r="DE699" s="729"/>
      <c r="DF699" s="729"/>
      <c r="DG699" s="729"/>
      <c r="DH699" s="730"/>
      <c r="DI699" s="729"/>
      <c r="DJ699" s="729"/>
      <c r="DK699" s="729"/>
      <c r="DL699" s="729"/>
      <c r="DM699" s="4"/>
    </row>
    <row r="700" spans="1:117" ht="12.75" customHeight="1">
      <c r="A700" s="228"/>
      <c r="B700" s="3"/>
      <c r="C700" s="228"/>
      <c r="D700" s="228"/>
      <c r="E700" s="3"/>
      <c r="F700" s="3"/>
      <c r="G700" s="729"/>
      <c r="H700" s="729"/>
      <c r="I700" s="729"/>
      <c r="J700" s="3"/>
      <c r="K700" s="1010"/>
      <c r="L700" s="12"/>
      <c r="M700" s="12"/>
      <c r="N700" s="12"/>
      <c r="O700" s="1010"/>
      <c r="P700" s="1011"/>
      <c r="Q700" s="1011"/>
      <c r="R700" s="12"/>
      <c r="S700" s="12"/>
      <c r="T700" s="12"/>
      <c r="U700" s="12"/>
      <c r="V700" s="12"/>
      <c r="W700" s="1012"/>
      <c r="X700" s="1023"/>
      <c r="Y700" s="1012"/>
      <c r="Z700" s="1012"/>
      <c r="AA700" s="1012"/>
      <c r="AB700" s="1011"/>
      <c r="AC700" s="1011"/>
      <c r="AD700" s="1012"/>
      <c r="AE700" s="12"/>
      <c r="AF700" s="729"/>
      <c r="AG700" s="1014"/>
      <c r="AH700" s="1014"/>
      <c r="AI700" s="729"/>
      <c r="AJ700" s="729"/>
      <c r="AK700" s="729"/>
      <c r="AL700" s="729"/>
      <c r="AM700" s="729"/>
      <c r="AN700" s="729"/>
      <c r="AO700" s="729"/>
      <c r="AP700" s="729"/>
      <c r="AQ700" s="729"/>
      <c r="AR700" s="729"/>
      <c r="AS700" s="729"/>
      <c r="AT700" s="729"/>
      <c r="AU700" s="729"/>
      <c r="AV700" s="729"/>
      <c r="AW700" s="729"/>
      <c r="AX700" s="729"/>
      <c r="AY700" s="729"/>
      <c r="AZ700" s="729"/>
      <c r="BA700" s="729"/>
      <c r="BB700" s="729"/>
      <c r="BC700" s="729"/>
      <c r="BD700" s="729"/>
      <c r="BE700" s="729"/>
      <c r="BF700" s="729"/>
      <c r="BG700" s="729"/>
      <c r="BH700" s="729"/>
      <c r="BI700" s="729"/>
      <c r="BJ700" s="729"/>
      <c r="BK700" s="729"/>
      <c r="BL700" s="729"/>
      <c r="BM700" s="779"/>
      <c r="BN700" s="779"/>
      <c r="BO700" s="779"/>
      <c r="BP700" s="12"/>
      <c r="BQ700" s="729"/>
      <c r="BR700" s="729"/>
      <c r="BS700" s="729"/>
      <c r="BT700" s="779"/>
      <c r="BU700" s="779"/>
      <c r="BV700" s="779"/>
      <c r="BW700" s="2"/>
      <c r="BX700" s="12"/>
      <c r="BY700" s="729"/>
      <c r="BZ700" s="729"/>
      <c r="CA700" s="729"/>
      <c r="CB700" s="779"/>
      <c r="CC700" s="779"/>
      <c r="CD700" s="779"/>
      <c r="CE700" s="2"/>
      <c r="CF700" s="729"/>
      <c r="CG700" s="729"/>
      <c r="CH700" s="729"/>
      <c r="CI700" s="729"/>
      <c r="CJ700" s="228"/>
      <c r="CK700" s="729"/>
      <c r="CL700" s="729"/>
      <c r="CM700" s="228"/>
      <c r="CN700" s="729"/>
      <c r="CO700" s="729"/>
      <c r="CP700" s="729"/>
      <c r="CQ700" s="729"/>
      <c r="CR700" s="729"/>
      <c r="CS700" s="729"/>
      <c r="CT700" s="729"/>
      <c r="CU700" s="228"/>
      <c r="CV700" s="779"/>
      <c r="CW700" s="779"/>
      <c r="CX700" s="729"/>
      <c r="CY700" s="228"/>
      <c r="CZ700" s="228"/>
      <c r="DA700" s="12"/>
      <c r="DB700" s="164"/>
      <c r="DC700" s="14"/>
      <c r="DD700" s="729"/>
      <c r="DE700" s="729"/>
      <c r="DF700" s="729"/>
      <c r="DG700" s="729"/>
      <c r="DH700" s="730"/>
      <c r="DI700" s="729"/>
      <c r="DJ700" s="729"/>
      <c r="DK700" s="729"/>
      <c r="DL700" s="729"/>
      <c r="DM700" s="4"/>
    </row>
    <row r="701" spans="1:117" ht="12.75" customHeight="1">
      <c r="A701" s="228"/>
      <c r="B701" s="3"/>
      <c r="C701" s="228"/>
      <c r="D701" s="228"/>
      <c r="E701" s="3"/>
      <c r="F701" s="3"/>
      <c r="G701" s="729"/>
      <c r="H701" s="729"/>
      <c r="I701" s="729"/>
      <c r="J701" s="3"/>
      <c r="K701" s="1010"/>
      <c r="L701" s="12"/>
      <c r="M701" s="12"/>
      <c r="N701" s="12"/>
      <c r="O701" s="1010"/>
      <c r="P701" s="1011"/>
      <c r="Q701" s="1011"/>
      <c r="R701" s="12"/>
      <c r="S701" s="12"/>
      <c r="T701" s="12"/>
      <c r="U701" s="12"/>
      <c r="V701" s="12"/>
      <c r="W701" s="1012"/>
      <c r="X701" s="1023"/>
      <c r="Y701" s="1012"/>
      <c r="Z701" s="1012"/>
      <c r="AA701" s="1012"/>
      <c r="AB701" s="1011"/>
      <c r="AC701" s="1011"/>
      <c r="AD701" s="1012"/>
      <c r="AE701" s="12"/>
      <c r="AF701" s="729"/>
      <c r="AG701" s="1014"/>
      <c r="AH701" s="1014"/>
      <c r="AI701" s="729"/>
      <c r="AJ701" s="729"/>
      <c r="AK701" s="729"/>
      <c r="AL701" s="729"/>
      <c r="AM701" s="729"/>
      <c r="AN701" s="729"/>
      <c r="AO701" s="729"/>
      <c r="AP701" s="729"/>
      <c r="AQ701" s="729"/>
      <c r="AR701" s="729"/>
      <c r="AS701" s="729"/>
      <c r="AT701" s="729"/>
      <c r="AU701" s="729"/>
      <c r="AV701" s="729"/>
      <c r="AW701" s="729"/>
      <c r="AX701" s="729"/>
      <c r="AY701" s="729"/>
      <c r="AZ701" s="729"/>
      <c r="BA701" s="729"/>
      <c r="BB701" s="729"/>
      <c r="BC701" s="729"/>
      <c r="BD701" s="729"/>
      <c r="BE701" s="729"/>
      <c r="BF701" s="729"/>
      <c r="BG701" s="729"/>
      <c r="BH701" s="729"/>
      <c r="BI701" s="729"/>
      <c r="BJ701" s="729"/>
      <c r="BK701" s="729"/>
      <c r="BL701" s="729"/>
      <c r="BM701" s="779"/>
      <c r="BN701" s="779"/>
      <c r="BO701" s="779"/>
      <c r="BP701" s="12"/>
      <c r="BQ701" s="729"/>
      <c r="BR701" s="729"/>
      <c r="BS701" s="729"/>
      <c r="BT701" s="779"/>
      <c r="BU701" s="779"/>
      <c r="BV701" s="779"/>
      <c r="BW701" s="2"/>
      <c r="BX701" s="12"/>
      <c r="BY701" s="729"/>
      <c r="BZ701" s="729"/>
      <c r="CA701" s="729"/>
      <c r="CB701" s="779"/>
      <c r="CC701" s="779"/>
      <c r="CD701" s="779"/>
      <c r="CE701" s="2"/>
      <c r="CF701" s="729"/>
      <c r="CG701" s="729"/>
      <c r="CH701" s="729"/>
      <c r="CI701" s="729"/>
      <c r="CJ701" s="228"/>
      <c r="CK701" s="729"/>
      <c r="CL701" s="729"/>
      <c r="CM701" s="228"/>
      <c r="CN701" s="729"/>
      <c r="CO701" s="729"/>
      <c r="CP701" s="729"/>
      <c r="CQ701" s="729"/>
      <c r="CR701" s="729"/>
      <c r="CS701" s="729"/>
      <c r="CT701" s="729"/>
      <c r="CU701" s="228"/>
      <c r="CV701" s="779"/>
      <c r="CW701" s="779"/>
      <c r="CX701" s="729"/>
      <c r="CY701" s="228"/>
      <c r="CZ701" s="228"/>
      <c r="DA701" s="12"/>
      <c r="DB701" s="164"/>
      <c r="DC701" s="14"/>
      <c r="DD701" s="729"/>
      <c r="DE701" s="729"/>
      <c r="DF701" s="729"/>
      <c r="DG701" s="729"/>
      <c r="DH701" s="730"/>
      <c r="DI701" s="729"/>
      <c r="DJ701" s="729"/>
      <c r="DK701" s="729"/>
      <c r="DL701" s="729"/>
      <c r="DM701" s="4"/>
    </row>
    <row r="702" spans="1:117" ht="12.75" customHeight="1">
      <c r="A702" s="228"/>
      <c r="B702" s="3"/>
      <c r="C702" s="228"/>
      <c r="D702" s="228"/>
      <c r="E702" s="3"/>
      <c r="F702" s="3"/>
      <c r="G702" s="729"/>
      <c r="H702" s="729"/>
      <c r="I702" s="729"/>
      <c r="J702" s="3"/>
      <c r="K702" s="1010"/>
      <c r="L702" s="12"/>
      <c r="M702" s="12"/>
      <c r="N702" s="12"/>
      <c r="O702" s="1010"/>
      <c r="P702" s="1011"/>
      <c r="Q702" s="1011"/>
      <c r="R702" s="12"/>
      <c r="S702" s="12"/>
      <c r="T702" s="12"/>
      <c r="U702" s="12"/>
      <c r="V702" s="12"/>
      <c r="W702" s="1012"/>
      <c r="X702" s="1023"/>
      <c r="Y702" s="1012"/>
      <c r="Z702" s="1012"/>
      <c r="AA702" s="1012"/>
      <c r="AB702" s="1011"/>
      <c r="AC702" s="1011"/>
      <c r="AD702" s="1012"/>
      <c r="AE702" s="12"/>
      <c r="AF702" s="729"/>
      <c r="AG702" s="1014"/>
      <c r="AH702" s="1014"/>
      <c r="AI702" s="729"/>
      <c r="AJ702" s="729"/>
      <c r="AK702" s="729"/>
      <c r="AL702" s="729"/>
      <c r="AM702" s="729"/>
      <c r="AN702" s="729"/>
      <c r="AO702" s="729"/>
      <c r="AP702" s="729"/>
      <c r="AQ702" s="729"/>
      <c r="AR702" s="729"/>
      <c r="AS702" s="729"/>
      <c r="AT702" s="729"/>
      <c r="AU702" s="729"/>
      <c r="AV702" s="729"/>
      <c r="AW702" s="729"/>
      <c r="AX702" s="729"/>
      <c r="AY702" s="729"/>
      <c r="AZ702" s="729"/>
      <c r="BA702" s="729"/>
      <c r="BB702" s="729"/>
      <c r="BC702" s="729"/>
      <c r="BD702" s="729"/>
      <c r="BE702" s="729"/>
      <c r="BF702" s="729"/>
      <c r="BG702" s="729"/>
      <c r="BH702" s="729"/>
      <c r="BI702" s="729"/>
      <c r="BJ702" s="729"/>
      <c r="BK702" s="729"/>
      <c r="BL702" s="729"/>
      <c r="BM702" s="779"/>
      <c r="BN702" s="779"/>
      <c r="BO702" s="779"/>
      <c r="BP702" s="12"/>
      <c r="BQ702" s="729"/>
      <c r="BR702" s="729"/>
      <c r="BS702" s="729"/>
      <c r="BT702" s="779"/>
      <c r="BU702" s="779"/>
      <c r="BV702" s="779"/>
      <c r="BW702" s="2"/>
      <c r="BX702" s="12"/>
      <c r="BY702" s="729"/>
      <c r="BZ702" s="729"/>
      <c r="CA702" s="729"/>
      <c r="CB702" s="779"/>
      <c r="CC702" s="779"/>
      <c r="CD702" s="779"/>
      <c r="CE702" s="2"/>
      <c r="CF702" s="729"/>
      <c r="CG702" s="729"/>
      <c r="CH702" s="729"/>
      <c r="CI702" s="729"/>
      <c r="CJ702" s="228"/>
      <c r="CK702" s="729"/>
      <c r="CL702" s="729"/>
      <c r="CM702" s="228"/>
      <c r="CN702" s="729"/>
      <c r="CO702" s="729"/>
      <c r="CP702" s="729"/>
      <c r="CQ702" s="729"/>
      <c r="CR702" s="729"/>
      <c r="CS702" s="729"/>
      <c r="CT702" s="729"/>
      <c r="CU702" s="228"/>
      <c r="CV702" s="779"/>
      <c r="CW702" s="779"/>
      <c r="CX702" s="729"/>
      <c r="CY702" s="228"/>
      <c r="CZ702" s="228"/>
      <c r="DA702" s="12"/>
      <c r="DB702" s="164"/>
      <c r="DC702" s="14"/>
      <c r="DD702" s="729"/>
      <c r="DE702" s="729"/>
      <c r="DF702" s="729"/>
      <c r="DG702" s="729"/>
      <c r="DH702" s="730"/>
      <c r="DI702" s="729"/>
      <c r="DJ702" s="729"/>
      <c r="DK702" s="729"/>
      <c r="DL702" s="729"/>
      <c r="DM702" s="4"/>
    </row>
    <row r="703" spans="1:117" ht="12.75" customHeight="1">
      <c r="A703" s="228"/>
      <c r="B703" s="3"/>
      <c r="C703" s="228"/>
      <c r="D703" s="228"/>
      <c r="E703" s="3"/>
      <c r="F703" s="3"/>
      <c r="G703" s="729"/>
      <c r="H703" s="729"/>
      <c r="I703" s="729"/>
      <c r="J703" s="3"/>
      <c r="K703" s="1010"/>
      <c r="L703" s="12"/>
      <c r="M703" s="12"/>
      <c r="N703" s="12"/>
      <c r="O703" s="1010"/>
      <c r="P703" s="1011"/>
      <c r="Q703" s="1011"/>
      <c r="R703" s="12"/>
      <c r="S703" s="12"/>
      <c r="T703" s="12"/>
      <c r="U703" s="12"/>
      <c r="V703" s="12"/>
      <c r="W703" s="1012"/>
      <c r="X703" s="1023"/>
      <c r="Y703" s="1012"/>
      <c r="Z703" s="1012"/>
      <c r="AA703" s="1012"/>
      <c r="AB703" s="1011"/>
      <c r="AC703" s="1011"/>
      <c r="AD703" s="1012"/>
      <c r="AE703" s="12"/>
      <c r="AF703" s="729"/>
      <c r="AG703" s="1014"/>
      <c r="AH703" s="1014"/>
      <c r="AI703" s="729"/>
      <c r="AJ703" s="729"/>
      <c r="AK703" s="729"/>
      <c r="AL703" s="729"/>
      <c r="AM703" s="729"/>
      <c r="AN703" s="729"/>
      <c r="AO703" s="729"/>
      <c r="AP703" s="729"/>
      <c r="AQ703" s="729"/>
      <c r="AR703" s="729"/>
      <c r="AS703" s="729"/>
      <c r="AT703" s="729"/>
      <c r="AU703" s="729"/>
      <c r="AV703" s="729"/>
      <c r="AW703" s="729"/>
      <c r="AX703" s="729"/>
      <c r="AY703" s="729"/>
      <c r="AZ703" s="729"/>
      <c r="BA703" s="729"/>
      <c r="BB703" s="729"/>
      <c r="BC703" s="729"/>
      <c r="BD703" s="729"/>
      <c r="BE703" s="729"/>
      <c r="BF703" s="729"/>
      <c r="BG703" s="729"/>
      <c r="BH703" s="729"/>
      <c r="BI703" s="729"/>
      <c r="BJ703" s="729"/>
      <c r="BK703" s="729"/>
      <c r="BL703" s="729"/>
      <c r="BM703" s="779"/>
      <c r="BN703" s="779"/>
      <c r="BO703" s="779"/>
      <c r="BP703" s="12"/>
      <c r="BQ703" s="729"/>
      <c r="BR703" s="729"/>
      <c r="BS703" s="729"/>
      <c r="BT703" s="779"/>
      <c r="BU703" s="779"/>
      <c r="BV703" s="779"/>
      <c r="BW703" s="2"/>
      <c r="BX703" s="12"/>
      <c r="BY703" s="729"/>
      <c r="BZ703" s="729"/>
      <c r="CA703" s="729"/>
      <c r="CB703" s="779"/>
      <c r="CC703" s="779"/>
      <c r="CD703" s="779"/>
      <c r="CE703" s="2"/>
      <c r="CF703" s="729"/>
      <c r="CG703" s="729"/>
      <c r="CH703" s="729"/>
      <c r="CI703" s="729"/>
      <c r="CJ703" s="228"/>
      <c r="CK703" s="729"/>
      <c r="CL703" s="729"/>
      <c r="CM703" s="228"/>
      <c r="CN703" s="729"/>
      <c r="CO703" s="729"/>
      <c r="CP703" s="729"/>
      <c r="CQ703" s="729"/>
      <c r="CR703" s="729"/>
      <c r="CS703" s="729"/>
      <c r="CT703" s="729"/>
      <c r="CU703" s="228"/>
      <c r="CV703" s="779"/>
      <c r="CW703" s="779"/>
      <c r="CX703" s="729"/>
      <c r="CY703" s="228"/>
      <c r="CZ703" s="228"/>
      <c r="DA703" s="12"/>
      <c r="DB703" s="164"/>
      <c r="DC703" s="14"/>
      <c r="DD703" s="729"/>
      <c r="DE703" s="729"/>
      <c r="DF703" s="729"/>
      <c r="DG703" s="729"/>
      <c r="DH703" s="730"/>
      <c r="DI703" s="729"/>
      <c r="DJ703" s="729"/>
      <c r="DK703" s="729"/>
      <c r="DL703" s="729"/>
      <c r="DM703" s="4"/>
    </row>
    <row r="704" spans="1:117" ht="12.75" customHeight="1">
      <c r="A704" s="228"/>
      <c r="B704" s="3"/>
      <c r="C704" s="228"/>
      <c r="D704" s="228"/>
      <c r="E704" s="3"/>
      <c r="F704" s="3"/>
      <c r="G704" s="729"/>
      <c r="H704" s="729"/>
      <c r="I704" s="729"/>
      <c r="J704" s="3"/>
      <c r="K704" s="1010"/>
      <c r="L704" s="12"/>
      <c r="M704" s="12"/>
      <c r="N704" s="12"/>
      <c r="O704" s="1010"/>
      <c r="P704" s="1011"/>
      <c r="Q704" s="1011"/>
      <c r="R704" s="12"/>
      <c r="S704" s="12"/>
      <c r="T704" s="12"/>
      <c r="U704" s="12"/>
      <c r="V704" s="12"/>
      <c r="W704" s="1012"/>
      <c r="X704" s="1023"/>
      <c r="Y704" s="1012"/>
      <c r="Z704" s="1012"/>
      <c r="AA704" s="1012"/>
      <c r="AB704" s="1011"/>
      <c r="AC704" s="1011"/>
      <c r="AD704" s="1012"/>
      <c r="AE704" s="12"/>
      <c r="AF704" s="729"/>
      <c r="AG704" s="1014"/>
      <c r="AH704" s="1014"/>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79"/>
      <c r="BN704" s="779"/>
      <c r="BO704" s="779"/>
      <c r="BP704" s="12"/>
      <c r="BQ704" s="729"/>
      <c r="BR704" s="729"/>
      <c r="BS704" s="729"/>
      <c r="BT704" s="779"/>
      <c r="BU704" s="779"/>
      <c r="BV704" s="779"/>
      <c r="BW704" s="2"/>
      <c r="BX704" s="12"/>
      <c r="BY704" s="729"/>
      <c r="BZ704" s="729"/>
      <c r="CA704" s="729"/>
      <c r="CB704" s="779"/>
      <c r="CC704" s="779"/>
      <c r="CD704" s="779"/>
      <c r="CE704" s="2"/>
      <c r="CF704" s="729"/>
      <c r="CG704" s="729"/>
      <c r="CH704" s="729"/>
      <c r="CI704" s="729"/>
      <c r="CJ704" s="228"/>
      <c r="CK704" s="729"/>
      <c r="CL704" s="729"/>
      <c r="CM704" s="228"/>
      <c r="CN704" s="729"/>
      <c r="CO704" s="729"/>
      <c r="CP704" s="729"/>
      <c r="CQ704" s="729"/>
      <c r="CR704" s="729"/>
      <c r="CS704" s="729"/>
      <c r="CT704" s="729"/>
      <c r="CU704" s="228"/>
      <c r="CV704" s="779"/>
      <c r="CW704" s="779"/>
      <c r="CX704" s="729"/>
      <c r="CY704" s="228"/>
      <c r="CZ704" s="228"/>
      <c r="DA704" s="12"/>
      <c r="DB704" s="164"/>
      <c r="DC704" s="14"/>
      <c r="DD704" s="729"/>
      <c r="DE704" s="729"/>
      <c r="DF704" s="729"/>
      <c r="DG704" s="729"/>
      <c r="DH704" s="730"/>
      <c r="DI704" s="729"/>
      <c r="DJ704" s="729"/>
      <c r="DK704" s="729"/>
      <c r="DL704" s="729"/>
      <c r="DM704" s="4"/>
    </row>
    <row r="705" spans="1:117" ht="12.75" customHeight="1">
      <c r="A705" s="228"/>
      <c r="B705" s="3"/>
      <c r="C705" s="228"/>
      <c r="D705" s="228"/>
      <c r="E705" s="3"/>
      <c r="F705" s="3"/>
      <c r="G705" s="729"/>
      <c r="H705" s="729"/>
      <c r="I705" s="729"/>
      <c r="J705" s="3"/>
      <c r="K705" s="1010"/>
      <c r="L705" s="12"/>
      <c r="M705" s="12"/>
      <c r="N705" s="12"/>
      <c r="O705" s="1010"/>
      <c r="P705" s="1011"/>
      <c r="Q705" s="1011"/>
      <c r="R705" s="12"/>
      <c r="S705" s="12"/>
      <c r="T705" s="12"/>
      <c r="U705" s="12"/>
      <c r="V705" s="12"/>
      <c r="W705" s="1012"/>
      <c r="X705" s="1023"/>
      <c r="Y705" s="1012"/>
      <c r="Z705" s="1012"/>
      <c r="AA705" s="1012"/>
      <c r="AB705" s="1011"/>
      <c r="AC705" s="1011"/>
      <c r="AD705" s="1012"/>
      <c r="AE705" s="12"/>
      <c r="AF705" s="729"/>
      <c r="AG705" s="1014"/>
      <c r="AH705" s="1014"/>
      <c r="AI705" s="729"/>
      <c r="AJ705" s="729"/>
      <c r="AK705" s="729"/>
      <c r="AL705" s="729"/>
      <c r="AM705" s="729"/>
      <c r="AN705" s="729"/>
      <c r="AO705" s="729"/>
      <c r="AP705" s="729"/>
      <c r="AQ705" s="729"/>
      <c r="AR705" s="729"/>
      <c r="AS705" s="729"/>
      <c r="AT705" s="729"/>
      <c r="AU705" s="729"/>
      <c r="AV705" s="729"/>
      <c r="AW705" s="729"/>
      <c r="AX705" s="729"/>
      <c r="AY705" s="729"/>
      <c r="AZ705" s="729"/>
      <c r="BA705" s="729"/>
      <c r="BB705" s="729"/>
      <c r="BC705" s="729"/>
      <c r="BD705" s="729"/>
      <c r="BE705" s="729"/>
      <c r="BF705" s="729"/>
      <c r="BG705" s="729"/>
      <c r="BH705" s="729"/>
      <c r="BI705" s="729"/>
      <c r="BJ705" s="729"/>
      <c r="BK705" s="729"/>
      <c r="BL705" s="729"/>
      <c r="BM705" s="779"/>
      <c r="BN705" s="779"/>
      <c r="BO705" s="779"/>
      <c r="BP705" s="12"/>
      <c r="BQ705" s="729"/>
      <c r="BR705" s="729"/>
      <c r="BS705" s="729"/>
      <c r="BT705" s="779"/>
      <c r="BU705" s="779"/>
      <c r="BV705" s="779"/>
      <c r="BW705" s="2"/>
      <c r="BX705" s="12"/>
      <c r="BY705" s="729"/>
      <c r="BZ705" s="729"/>
      <c r="CA705" s="729"/>
      <c r="CB705" s="779"/>
      <c r="CC705" s="779"/>
      <c r="CD705" s="779"/>
      <c r="CE705" s="2"/>
      <c r="CF705" s="729"/>
      <c r="CG705" s="729"/>
      <c r="CH705" s="729"/>
      <c r="CI705" s="729"/>
      <c r="CJ705" s="228"/>
      <c r="CK705" s="729"/>
      <c r="CL705" s="729"/>
      <c r="CM705" s="228"/>
      <c r="CN705" s="729"/>
      <c r="CO705" s="729"/>
      <c r="CP705" s="729"/>
      <c r="CQ705" s="729"/>
      <c r="CR705" s="729"/>
      <c r="CS705" s="729"/>
      <c r="CT705" s="729"/>
      <c r="CU705" s="228"/>
      <c r="CV705" s="779"/>
      <c r="CW705" s="779"/>
      <c r="CX705" s="729"/>
      <c r="CY705" s="228"/>
      <c r="CZ705" s="228"/>
      <c r="DA705" s="12"/>
      <c r="DB705" s="164"/>
      <c r="DC705" s="14"/>
      <c r="DD705" s="729"/>
      <c r="DE705" s="729"/>
      <c r="DF705" s="729"/>
      <c r="DG705" s="729"/>
      <c r="DH705" s="730"/>
      <c r="DI705" s="729"/>
      <c r="DJ705" s="729"/>
      <c r="DK705" s="729"/>
      <c r="DL705" s="729"/>
      <c r="DM705" s="4"/>
    </row>
    <row r="706" spans="1:117" ht="12.75" customHeight="1">
      <c r="A706" s="228"/>
      <c r="B706" s="3"/>
      <c r="C706" s="228"/>
      <c r="D706" s="228"/>
      <c r="E706" s="3"/>
      <c r="F706" s="3"/>
      <c r="G706" s="729"/>
      <c r="H706" s="729"/>
      <c r="I706" s="729"/>
      <c r="J706" s="3"/>
      <c r="K706" s="1010"/>
      <c r="L706" s="12"/>
      <c r="M706" s="12"/>
      <c r="N706" s="12"/>
      <c r="O706" s="1010"/>
      <c r="P706" s="1011"/>
      <c r="Q706" s="1011"/>
      <c r="R706" s="12"/>
      <c r="S706" s="12"/>
      <c r="T706" s="12"/>
      <c r="U706" s="12"/>
      <c r="V706" s="12"/>
      <c r="W706" s="1012"/>
      <c r="X706" s="1023"/>
      <c r="Y706" s="1012"/>
      <c r="Z706" s="1012"/>
      <c r="AA706" s="1012"/>
      <c r="AB706" s="1011"/>
      <c r="AC706" s="1011"/>
      <c r="AD706" s="1012"/>
      <c r="AE706" s="12"/>
      <c r="AF706" s="729"/>
      <c r="AG706" s="1014"/>
      <c r="AH706" s="1014"/>
      <c r="AI706" s="729"/>
      <c r="AJ706" s="729"/>
      <c r="AK706" s="729"/>
      <c r="AL706" s="729"/>
      <c r="AM706" s="729"/>
      <c r="AN706" s="729"/>
      <c r="AO706" s="729"/>
      <c r="AP706" s="729"/>
      <c r="AQ706" s="729"/>
      <c r="AR706" s="729"/>
      <c r="AS706" s="729"/>
      <c r="AT706" s="729"/>
      <c r="AU706" s="729"/>
      <c r="AV706" s="729"/>
      <c r="AW706" s="729"/>
      <c r="AX706" s="729"/>
      <c r="AY706" s="729"/>
      <c r="AZ706" s="729"/>
      <c r="BA706" s="729"/>
      <c r="BB706" s="729"/>
      <c r="BC706" s="729"/>
      <c r="BD706" s="729"/>
      <c r="BE706" s="729"/>
      <c r="BF706" s="729"/>
      <c r="BG706" s="729"/>
      <c r="BH706" s="729"/>
      <c r="BI706" s="729"/>
      <c r="BJ706" s="729"/>
      <c r="BK706" s="729"/>
      <c r="BL706" s="729"/>
      <c r="BM706" s="779"/>
      <c r="BN706" s="779"/>
      <c r="BO706" s="779"/>
      <c r="BP706" s="12"/>
      <c r="BQ706" s="729"/>
      <c r="BR706" s="729"/>
      <c r="BS706" s="729"/>
      <c r="BT706" s="779"/>
      <c r="BU706" s="779"/>
      <c r="BV706" s="779"/>
      <c r="BW706" s="2"/>
      <c r="BX706" s="12"/>
      <c r="BY706" s="729"/>
      <c r="BZ706" s="729"/>
      <c r="CA706" s="729"/>
      <c r="CB706" s="779"/>
      <c r="CC706" s="779"/>
      <c r="CD706" s="779"/>
      <c r="CE706" s="2"/>
      <c r="CF706" s="729"/>
      <c r="CG706" s="729"/>
      <c r="CH706" s="729"/>
      <c r="CI706" s="729"/>
      <c r="CJ706" s="228"/>
      <c r="CK706" s="729"/>
      <c r="CL706" s="729"/>
      <c r="CM706" s="228"/>
      <c r="CN706" s="729"/>
      <c r="CO706" s="729"/>
      <c r="CP706" s="729"/>
      <c r="CQ706" s="729"/>
      <c r="CR706" s="729"/>
      <c r="CS706" s="729"/>
      <c r="CT706" s="729"/>
      <c r="CU706" s="228"/>
      <c r="CV706" s="779"/>
      <c r="CW706" s="779"/>
      <c r="CX706" s="729"/>
      <c r="CY706" s="228"/>
      <c r="CZ706" s="228"/>
      <c r="DA706" s="12"/>
      <c r="DB706" s="164"/>
      <c r="DC706" s="14"/>
      <c r="DD706" s="729"/>
      <c r="DE706" s="729"/>
      <c r="DF706" s="729"/>
      <c r="DG706" s="729"/>
      <c r="DH706" s="730"/>
      <c r="DI706" s="729"/>
      <c r="DJ706" s="729"/>
      <c r="DK706" s="729"/>
      <c r="DL706" s="729"/>
      <c r="DM706" s="4"/>
    </row>
    <row r="707" spans="1:117" ht="12.75" customHeight="1">
      <c r="A707" s="228"/>
      <c r="B707" s="3"/>
      <c r="C707" s="228"/>
      <c r="D707" s="228"/>
      <c r="E707" s="3"/>
      <c r="F707" s="3"/>
      <c r="G707" s="729"/>
      <c r="H707" s="729"/>
      <c r="I707" s="729"/>
      <c r="J707" s="3"/>
      <c r="K707" s="1010"/>
      <c r="L707" s="12"/>
      <c r="M707" s="12"/>
      <c r="N707" s="12"/>
      <c r="O707" s="1010"/>
      <c r="P707" s="1011"/>
      <c r="Q707" s="1011"/>
      <c r="R707" s="12"/>
      <c r="S707" s="12"/>
      <c r="T707" s="12"/>
      <c r="U707" s="12"/>
      <c r="V707" s="12"/>
      <c r="W707" s="1012"/>
      <c r="X707" s="1023"/>
      <c r="Y707" s="1012"/>
      <c r="Z707" s="1012"/>
      <c r="AA707" s="1012"/>
      <c r="AB707" s="1011"/>
      <c r="AC707" s="1011"/>
      <c r="AD707" s="1012"/>
      <c r="AE707" s="12"/>
      <c r="AF707" s="729"/>
      <c r="AG707" s="1014"/>
      <c r="AH707" s="1014"/>
      <c r="AI707" s="729"/>
      <c r="AJ707" s="729"/>
      <c r="AK707" s="729"/>
      <c r="AL707" s="729"/>
      <c r="AM707" s="729"/>
      <c r="AN707" s="729"/>
      <c r="AO707" s="729"/>
      <c r="AP707" s="729"/>
      <c r="AQ707" s="729"/>
      <c r="AR707" s="729"/>
      <c r="AS707" s="729"/>
      <c r="AT707" s="729"/>
      <c r="AU707" s="729"/>
      <c r="AV707" s="729"/>
      <c r="AW707" s="729"/>
      <c r="AX707" s="729"/>
      <c r="AY707" s="729"/>
      <c r="AZ707" s="729"/>
      <c r="BA707" s="729"/>
      <c r="BB707" s="729"/>
      <c r="BC707" s="729"/>
      <c r="BD707" s="729"/>
      <c r="BE707" s="729"/>
      <c r="BF707" s="729"/>
      <c r="BG707" s="729"/>
      <c r="BH707" s="729"/>
      <c r="BI707" s="729"/>
      <c r="BJ707" s="729"/>
      <c r="BK707" s="729"/>
      <c r="BL707" s="729"/>
      <c r="BM707" s="779"/>
      <c r="BN707" s="779"/>
      <c r="BO707" s="779"/>
      <c r="BP707" s="12"/>
      <c r="BQ707" s="729"/>
      <c r="BR707" s="729"/>
      <c r="BS707" s="729"/>
      <c r="BT707" s="779"/>
      <c r="BU707" s="779"/>
      <c r="BV707" s="779"/>
      <c r="BW707" s="2"/>
      <c r="BX707" s="12"/>
      <c r="BY707" s="729"/>
      <c r="BZ707" s="729"/>
      <c r="CA707" s="729"/>
      <c r="CB707" s="779"/>
      <c r="CC707" s="779"/>
      <c r="CD707" s="779"/>
      <c r="CE707" s="2"/>
      <c r="CF707" s="729"/>
      <c r="CG707" s="729"/>
      <c r="CH707" s="729"/>
      <c r="CI707" s="729"/>
      <c r="CJ707" s="228"/>
      <c r="CK707" s="729"/>
      <c r="CL707" s="729"/>
      <c r="CM707" s="228"/>
      <c r="CN707" s="729"/>
      <c r="CO707" s="729"/>
      <c r="CP707" s="729"/>
      <c r="CQ707" s="729"/>
      <c r="CR707" s="729"/>
      <c r="CS707" s="729"/>
      <c r="CT707" s="729"/>
      <c r="CU707" s="228"/>
      <c r="CV707" s="779"/>
      <c r="CW707" s="779"/>
      <c r="CX707" s="729"/>
      <c r="CY707" s="228"/>
      <c r="CZ707" s="228"/>
      <c r="DA707" s="12"/>
      <c r="DB707" s="164"/>
      <c r="DC707" s="14"/>
      <c r="DD707" s="729"/>
      <c r="DE707" s="729"/>
      <c r="DF707" s="729"/>
      <c r="DG707" s="729"/>
      <c r="DH707" s="730"/>
      <c r="DI707" s="729"/>
      <c r="DJ707" s="729"/>
      <c r="DK707" s="729"/>
      <c r="DL707" s="729"/>
      <c r="DM707" s="4"/>
    </row>
    <row r="708" spans="1:117" ht="12.75" customHeight="1">
      <c r="A708" s="228"/>
      <c r="B708" s="3"/>
      <c r="C708" s="228"/>
      <c r="D708" s="228"/>
      <c r="E708" s="3"/>
      <c r="F708" s="3"/>
      <c r="G708" s="729"/>
      <c r="H708" s="729"/>
      <c r="I708" s="729"/>
      <c r="J708" s="3"/>
      <c r="K708" s="1010"/>
      <c r="L708" s="12"/>
      <c r="M708" s="12"/>
      <c r="N708" s="12"/>
      <c r="O708" s="1010"/>
      <c r="P708" s="1011"/>
      <c r="Q708" s="1011"/>
      <c r="R708" s="12"/>
      <c r="S708" s="12"/>
      <c r="T708" s="12"/>
      <c r="U708" s="12"/>
      <c r="V708" s="12"/>
      <c r="W708" s="1012"/>
      <c r="X708" s="1023"/>
      <c r="Y708" s="1012"/>
      <c r="Z708" s="1012"/>
      <c r="AA708" s="1012"/>
      <c r="AB708" s="1011"/>
      <c r="AC708" s="1011"/>
      <c r="AD708" s="1012"/>
      <c r="AE708" s="12"/>
      <c r="AF708" s="729"/>
      <c r="AG708" s="1014"/>
      <c r="AH708" s="1014"/>
      <c r="AI708" s="729"/>
      <c r="AJ708" s="729"/>
      <c r="AK708" s="729"/>
      <c r="AL708" s="729"/>
      <c r="AM708" s="729"/>
      <c r="AN708" s="729"/>
      <c r="AO708" s="729"/>
      <c r="AP708" s="729"/>
      <c r="AQ708" s="729"/>
      <c r="AR708" s="729"/>
      <c r="AS708" s="729"/>
      <c r="AT708" s="729"/>
      <c r="AU708" s="729"/>
      <c r="AV708" s="729"/>
      <c r="AW708" s="729"/>
      <c r="AX708" s="729"/>
      <c r="AY708" s="729"/>
      <c r="AZ708" s="729"/>
      <c r="BA708" s="729"/>
      <c r="BB708" s="729"/>
      <c r="BC708" s="729"/>
      <c r="BD708" s="729"/>
      <c r="BE708" s="729"/>
      <c r="BF708" s="729"/>
      <c r="BG708" s="729"/>
      <c r="BH708" s="729"/>
      <c r="BI708" s="729"/>
      <c r="BJ708" s="729"/>
      <c r="BK708" s="729"/>
      <c r="BL708" s="729"/>
      <c r="BM708" s="779"/>
      <c r="BN708" s="779"/>
      <c r="BO708" s="779"/>
      <c r="BP708" s="12"/>
      <c r="BQ708" s="729"/>
      <c r="BR708" s="729"/>
      <c r="BS708" s="729"/>
      <c r="BT708" s="779"/>
      <c r="BU708" s="779"/>
      <c r="BV708" s="779"/>
      <c r="BW708" s="2"/>
      <c r="BX708" s="12"/>
      <c r="BY708" s="729"/>
      <c r="BZ708" s="729"/>
      <c r="CA708" s="729"/>
      <c r="CB708" s="779"/>
      <c r="CC708" s="779"/>
      <c r="CD708" s="779"/>
      <c r="CE708" s="2"/>
      <c r="CF708" s="729"/>
      <c r="CG708" s="729"/>
      <c r="CH708" s="729"/>
      <c r="CI708" s="729"/>
      <c r="CJ708" s="228"/>
      <c r="CK708" s="729"/>
      <c r="CL708" s="729"/>
      <c r="CM708" s="228"/>
      <c r="CN708" s="729"/>
      <c r="CO708" s="729"/>
      <c r="CP708" s="729"/>
      <c r="CQ708" s="729"/>
      <c r="CR708" s="729"/>
      <c r="CS708" s="729"/>
      <c r="CT708" s="729"/>
      <c r="CU708" s="228"/>
      <c r="CV708" s="779"/>
      <c r="CW708" s="779"/>
      <c r="CX708" s="729"/>
      <c r="CY708" s="228"/>
      <c r="CZ708" s="228"/>
      <c r="DA708" s="12"/>
      <c r="DB708" s="164"/>
      <c r="DC708" s="14"/>
      <c r="DD708" s="729"/>
      <c r="DE708" s="729"/>
      <c r="DF708" s="729"/>
      <c r="DG708" s="729"/>
      <c r="DH708" s="730"/>
      <c r="DI708" s="729"/>
      <c r="DJ708" s="729"/>
      <c r="DK708" s="729"/>
      <c r="DL708" s="729"/>
      <c r="DM708" s="4"/>
    </row>
    <row r="709" spans="1:117" ht="12.75" customHeight="1">
      <c r="A709" s="228"/>
      <c r="B709" s="3"/>
      <c r="C709" s="228"/>
      <c r="D709" s="228"/>
      <c r="E709" s="3"/>
      <c r="F709" s="3"/>
      <c r="G709" s="729"/>
      <c r="H709" s="729"/>
      <c r="I709" s="729"/>
      <c r="J709" s="3"/>
      <c r="K709" s="1010"/>
      <c r="L709" s="12"/>
      <c r="M709" s="12"/>
      <c r="N709" s="12"/>
      <c r="O709" s="1010"/>
      <c r="P709" s="1011"/>
      <c r="Q709" s="1011"/>
      <c r="R709" s="12"/>
      <c r="S709" s="12"/>
      <c r="T709" s="12"/>
      <c r="U709" s="12"/>
      <c r="V709" s="12"/>
      <c r="W709" s="1012"/>
      <c r="X709" s="1023"/>
      <c r="Y709" s="1012"/>
      <c r="Z709" s="1012"/>
      <c r="AA709" s="1012"/>
      <c r="AB709" s="1011"/>
      <c r="AC709" s="1011"/>
      <c r="AD709" s="1012"/>
      <c r="AE709" s="12"/>
      <c r="AF709" s="729"/>
      <c r="AG709" s="1014"/>
      <c r="AH709" s="1014"/>
      <c r="AI709" s="729"/>
      <c r="AJ709" s="729"/>
      <c r="AK709" s="729"/>
      <c r="AL709" s="729"/>
      <c r="AM709" s="729"/>
      <c r="AN709" s="729"/>
      <c r="AO709" s="729"/>
      <c r="AP709" s="729"/>
      <c r="AQ709" s="729"/>
      <c r="AR709" s="729"/>
      <c r="AS709" s="729"/>
      <c r="AT709" s="729"/>
      <c r="AU709" s="729"/>
      <c r="AV709" s="729"/>
      <c r="AW709" s="729"/>
      <c r="AX709" s="729"/>
      <c r="AY709" s="729"/>
      <c r="AZ709" s="729"/>
      <c r="BA709" s="729"/>
      <c r="BB709" s="729"/>
      <c r="BC709" s="729"/>
      <c r="BD709" s="729"/>
      <c r="BE709" s="729"/>
      <c r="BF709" s="729"/>
      <c r="BG709" s="729"/>
      <c r="BH709" s="729"/>
      <c r="BI709" s="729"/>
      <c r="BJ709" s="729"/>
      <c r="BK709" s="729"/>
      <c r="BL709" s="729"/>
      <c r="BM709" s="779"/>
      <c r="BN709" s="779"/>
      <c r="BO709" s="779"/>
      <c r="BP709" s="12"/>
      <c r="BQ709" s="729"/>
      <c r="BR709" s="729"/>
      <c r="BS709" s="729"/>
      <c r="BT709" s="779"/>
      <c r="BU709" s="779"/>
      <c r="BV709" s="779"/>
      <c r="BW709" s="2"/>
      <c r="BX709" s="12"/>
      <c r="BY709" s="729"/>
      <c r="BZ709" s="729"/>
      <c r="CA709" s="729"/>
      <c r="CB709" s="779"/>
      <c r="CC709" s="779"/>
      <c r="CD709" s="779"/>
      <c r="CE709" s="2"/>
      <c r="CF709" s="729"/>
      <c r="CG709" s="729"/>
      <c r="CH709" s="729"/>
      <c r="CI709" s="729"/>
      <c r="CJ709" s="228"/>
      <c r="CK709" s="729"/>
      <c r="CL709" s="729"/>
      <c r="CM709" s="228"/>
      <c r="CN709" s="729"/>
      <c r="CO709" s="729"/>
      <c r="CP709" s="729"/>
      <c r="CQ709" s="729"/>
      <c r="CR709" s="729"/>
      <c r="CS709" s="729"/>
      <c r="CT709" s="729"/>
      <c r="CU709" s="228"/>
      <c r="CV709" s="779"/>
      <c r="CW709" s="779"/>
      <c r="CX709" s="729"/>
      <c r="CY709" s="228"/>
      <c r="CZ709" s="228"/>
      <c r="DA709" s="12"/>
      <c r="DB709" s="164"/>
      <c r="DC709" s="14"/>
      <c r="DD709" s="729"/>
      <c r="DE709" s="729"/>
      <c r="DF709" s="729"/>
      <c r="DG709" s="729"/>
      <c r="DH709" s="730"/>
      <c r="DI709" s="729"/>
      <c r="DJ709" s="729"/>
      <c r="DK709" s="729"/>
      <c r="DL709" s="729"/>
      <c r="DM709" s="4"/>
    </row>
    <row r="710" spans="1:117" ht="12.75" customHeight="1">
      <c r="A710" s="228"/>
      <c r="B710" s="3"/>
      <c r="C710" s="228"/>
      <c r="D710" s="228"/>
      <c r="E710" s="3"/>
      <c r="F710" s="3"/>
      <c r="G710" s="729"/>
      <c r="H710" s="729"/>
      <c r="I710" s="729"/>
      <c r="J710" s="3"/>
      <c r="K710" s="1010"/>
      <c r="L710" s="12"/>
      <c r="M710" s="12"/>
      <c r="N710" s="12"/>
      <c r="O710" s="1010"/>
      <c r="P710" s="1011"/>
      <c r="Q710" s="1011"/>
      <c r="R710" s="12"/>
      <c r="S710" s="12"/>
      <c r="T710" s="12"/>
      <c r="U710" s="12"/>
      <c r="V710" s="12"/>
      <c r="W710" s="1012"/>
      <c r="X710" s="1023"/>
      <c r="Y710" s="1012"/>
      <c r="Z710" s="1012"/>
      <c r="AA710" s="1012"/>
      <c r="AB710" s="1011"/>
      <c r="AC710" s="1011"/>
      <c r="AD710" s="1012"/>
      <c r="AE710" s="12"/>
      <c r="AF710" s="729"/>
      <c r="AG710" s="1014"/>
      <c r="AH710" s="1014"/>
      <c r="AI710" s="729"/>
      <c r="AJ710" s="729"/>
      <c r="AK710" s="729"/>
      <c r="AL710" s="729"/>
      <c r="AM710" s="729"/>
      <c r="AN710" s="729"/>
      <c r="AO710" s="729"/>
      <c r="AP710" s="729"/>
      <c r="AQ710" s="729"/>
      <c r="AR710" s="729"/>
      <c r="AS710" s="729"/>
      <c r="AT710" s="729"/>
      <c r="AU710" s="729"/>
      <c r="AV710" s="729"/>
      <c r="AW710" s="729"/>
      <c r="AX710" s="729"/>
      <c r="AY710" s="729"/>
      <c r="AZ710" s="729"/>
      <c r="BA710" s="729"/>
      <c r="BB710" s="729"/>
      <c r="BC710" s="729"/>
      <c r="BD710" s="729"/>
      <c r="BE710" s="729"/>
      <c r="BF710" s="729"/>
      <c r="BG710" s="729"/>
      <c r="BH710" s="729"/>
      <c r="BI710" s="729"/>
      <c r="BJ710" s="729"/>
      <c r="BK710" s="729"/>
      <c r="BL710" s="729"/>
      <c r="BM710" s="779"/>
      <c r="BN710" s="779"/>
      <c r="BO710" s="779"/>
      <c r="BP710" s="12"/>
      <c r="BQ710" s="729"/>
      <c r="BR710" s="729"/>
      <c r="BS710" s="729"/>
      <c r="BT710" s="779"/>
      <c r="BU710" s="779"/>
      <c r="BV710" s="779"/>
      <c r="BW710" s="2"/>
      <c r="BX710" s="12"/>
      <c r="BY710" s="729"/>
      <c r="BZ710" s="729"/>
      <c r="CA710" s="729"/>
      <c r="CB710" s="779"/>
      <c r="CC710" s="779"/>
      <c r="CD710" s="779"/>
      <c r="CE710" s="2"/>
      <c r="CF710" s="729"/>
      <c r="CG710" s="729"/>
      <c r="CH710" s="729"/>
      <c r="CI710" s="729"/>
      <c r="CJ710" s="228"/>
      <c r="CK710" s="729"/>
      <c r="CL710" s="729"/>
      <c r="CM710" s="228"/>
      <c r="CN710" s="729"/>
      <c r="CO710" s="729"/>
      <c r="CP710" s="729"/>
      <c r="CQ710" s="729"/>
      <c r="CR710" s="729"/>
      <c r="CS710" s="729"/>
      <c r="CT710" s="729"/>
      <c r="CU710" s="228"/>
      <c r="CV710" s="779"/>
      <c r="CW710" s="779"/>
      <c r="CX710" s="729"/>
      <c r="CY710" s="228"/>
      <c r="CZ710" s="228"/>
      <c r="DA710" s="12"/>
      <c r="DB710" s="164"/>
      <c r="DC710" s="14"/>
      <c r="DD710" s="729"/>
      <c r="DE710" s="729"/>
      <c r="DF710" s="729"/>
      <c r="DG710" s="729"/>
      <c r="DH710" s="730"/>
      <c r="DI710" s="729"/>
      <c r="DJ710" s="729"/>
      <c r="DK710" s="729"/>
      <c r="DL710" s="729"/>
      <c r="DM710" s="4"/>
    </row>
    <row r="711" spans="1:117" ht="12.75" customHeight="1">
      <c r="A711" s="228"/>
      <c r="B711" s="3"/>
      <c r="C711" s="228"/>
      <c r="D711" s="228"/>
      <c r="E711" s="3"/>
      <c r="F711" s="3"/>
      <c r="G711" s="729"/>
      <c r="H711" s="729"/>
      <c r="I711" s="729"/>
      <c r="J711" s="3"/>
      <c r="K711" s="1010"/>
      <c r="L711" s="12"/>
      <c r="M711" s="12"/>
      <c r="N711" s="12"/>
      <c r="O711" s="1010"/>
      <c r="P711" s="1011"/>
      <c r="Q711" s="1011"/>
      <c r="R711" s="12"/>
      <c r="S711" s="12"/>
      <c r="T711" s="12"/>
      <c r="U711" s="12"/>
      <c r="V711" s="12"/>
      <c r="W711" s="1012"/>
      <c r="X711" s="1023"/>
      <c r="Y711" s="1012"/>
      <c r="Z711" s="1012"/>
      <c r="AA711" s="1012"/>
      <c r="AB711" s="1011"/>
      <c r="AC711" s="1011"/>
      <c r="AD711" s="1012"/>
      <c r="AE711" s="12"/>
      <c r="AF711" s="729"/>
      <c r="AG711" s="1014"/>
      <c r="AH711" s="1014"/>
      <c r="AI711" s="729"/>
      <c r="AJ711" s="729"/>
      <c r="AK711" s="729"/>
      <c r="AL711" s="729"/>
      <c r="AM711" s="729"/>
      <c r="AN711" s="729"/>
      <c r="AO711" s="729"/>
      <c r="AP711" s="729"/>
      <c r="AQ711" s="729"/>
      <c r="AR711" s="729"/>
      <c r="AS711" s="729"/>
      <c r="AT711" s="729"/>
      <c r="AU711" s="729"/>
      <c r="AV711" s="729"/>
      <c r="AW711" s="729"/>
      <c r="AX711" s="729"/>
      <c r="AY711" s="729"/>
      <c r="AZ711" s="729"/>
      <c r="BA711" s="729"/>
      <c r="BB711" s="729"/>
      <c r="BC711" s="729"/>
      <c r="BD711" s="729"/>
      <c r="BE711" s="729"/>
      <c r="BF711" s="729"/>
      <c r="BG711" s="729"/>
      <c r="BH711" s="729"/>
      <c r="BI711" s="729"/>
      <c r="BJ711" s="729"/>
      <c r="BK711" s="729"/>
      <c r="BL711" s="729"/>
      <c r="BM711" s="779"/>
      <c r="BN711" s="779"/>
      <c r="BO711" s="779"/>
      <c r="BP711" s="12"/>
      <c r="BQ711" s="729"/>
      <c r="BR711" s="729"/>
      <c r="BS711" s="729"/>
      <c r="BT711" s="779"/>
      <c r="BU711" s="779"/>
      <c r="BV711" s="779"/>
      <c r="BW711" s="2"/>
      <c r="BX711" s="12"/>
      <c r="BY711" s="729"/>
      <c r="BZ711" s="729"/>
      <c r="CA711" s="729"/>
      <c r="CB711" s="779"/>
      <c r="CC711" s="779"/>
      <c r="CD711" s="779"/>
      <c r="CE711" s="2"/>
      <c r="CF711" s="729"/>
      <c r="CG711" s="729"/>
      <c r="CH711" s="729"/>
      <c r="CI711" s="729"/>
      <c r="CJ711" s="228"/>
      <c r="CK711" s="729"/>
      <c r="CL711" s="729"/>
      <c r="CM711" s="228"/>
      <c r="CN711" s="729"/>
      <c r="CO711" s="729"/>
      <c r="CP711" s="729"/>
      <c r="CQ711" s="729"/>
      <c r="CR711" s="729"/>
      <c r="CS711" s="729"/>
      <c r="CT711" s="729"/>
      <c r="CU711" s="228"/>
      <c r="CV711" s="779"/>
      <c r="CW711" s="779"/>
      <c r="CX711" s="729"/>
      <c r="CY711" s="228"/>
      <c r="CZ711" s="228"/>
      <c r="DA711" s="12"/>
      <c r="DB711" s="164"/>
      <c r="DC711" s="14"/>
      <c r="DD711" s="729"/>
      <c r="DE711" s="729"/>
      <c r="DF711" s="729"/>
      <c r="DG711" s="729"/>
      <c r="DH711" s="730"/>
      <c r="DI711" s="729"/>
      <c r="DJ711" s="729"/>
      <c r="DK711" s="729"/>
      <c r="DL711" s="729"/>
      <c r="DM711" s="4"/>
    </row>
    <row r="712" spans="1:117" ht="12.75" customHeight="1">
      <c r="A712" s="228"/>
      <c r="B712" s="3"/>
      <c r="C712" s="228"/>
      <c r="D712" s="228"/>
      <c r="E712" s="3"/>
      <c r="F712" s="3"/>
      <c r="G712" s="729"/>
      <c r="H712" s="729"/>
      <c r="I712" s="729"/>
      <c r="J712" s="3"/>
      <c r="K712" s="1010"/>
      <c r="L712" s="12"/>
      <c r="M712" s="12"/>
      <c r="N712" s="12"/>
      <c r="O712" s="1010"/>
      <c r="P712" s="1011"/>
      <c r="Q712" s="1011"/>
      <c r="R712" s="12"/>
      <c r="S712" s="12"/>
      <c r="T712" s="12"/>
      <c r="U712" s="12"/>
      <c r="V712" s="12"/>
      <c r="W712" s="1012"/>
      <c r="X712" s="1023"/>
      <c r="Y712" s="1012"/>
      <c r="Z712" s="1012"/>
      <c r="AA712" s="1012"/>
      <c r="AB712" s="1011"/>
      <c r="AC712" s="1011"/>
      <c r="AD712" s="1012"/>
      <c r="AE712" s="12"/>
      <c r="AF712" s="729"/>
      <c r="AG712" s="1014"/>
      <c r="AH712" s="1014"/>
      <c r="AI712" s="729"/>
      <c r="AJ712" s="729"/>
      <c r="AK712" s="729"/>
      <c r="AL712" s="729"/>
      <c r="AM712" s="729"/>
      <c r="AN712" s="729"/>
      <c r="AO712" s="729"/>
      <c r="AP712" s="729"/>
      <c r="AQ712" s="729"/>
      <c r="AR712" s="729"/>
      <c r="AS712" s="729"/>
      <c r="AT712" s="729"/>
      <c r="AU712" s="729"/>
      <c r="AV712" s="729"/>
      <c r="AW712" s="729"/>
      <c r="AX712" s="729"/>
      <c r="AY712" s="729"/>
      <c r="AZ712" s="729"/>
      <c r="BA712" s="729"/>
      <c r="BB712" s="729"/>
      <c r="BC712" s="729"/>
      <c r="BD712" s="729"/>
      <c r="BE712" s="729"/>
      <c r="BF712" s="729"/>
      <c r="BG712" s="729"/>
      <c r="BH712" s="729"/>
      <c r="BI712" s="729"/>
      <c r="BJ712" s="729"/>
      <c r="BK712" s="729"/>
      <c r="BL712" s="729"/>
      <c r="BM712" s="779"/>
      <c r="BN712" s="779"/>
      <c r="BO712" s="779"/>
      <c r="BP712" s="12"/>
      <c r="BQ712" s="729"/>
      <c r="BR712" s="729"/>
      <c r="BS712" s="729"/>
      <c r="BT712" s="779"/>
      <c r="BU712" s="779"/>
      <c r="BV712" s="779"/>
      <c r="BW712" s="2"/>
      <c r="BX712" s="12"/>
      <c r="BY712" s="729"/>
      <c r="BZ712" s="729"/>
      <c r="CA712" s="729"/>
      <c r="CB712" s="779"/>
      <c r="CC712" s="779"/>
      <c r="CD712" s="779"/>
      <c r="CE712" s="2"/>
      <c r="CF712" s="729"/>
      <c r="CG712" s="729"/>
      <c r="CH712" s="729"/>
      <c r="CI712" s="729"/>
      <c r="CJ712" s="228"/>
      <c r="CK712" s="729"/>
      <c r="CL712" s="729"/>
      <c r="CM712" s="228"/>
      <c r="CN712" s="729"/>
      <c r="CO712" s="729"/>
      <c r="CP712" s="729"/>
      <c r="CQ712" s="729"/>
      <c r="CR712" s="729"/>
      <c r="CS712" s="729"/>
      <c r="CT712" s="729"/>
      <c r="CU712" s="228"/>
      <c r="CV712" s="779"/>
      <c r="CW712" s="779"/>
      <c r="CX712" s="729"/>
      <c r="CY712" s="228"/>
      <c r="CZ712" s="228"/>
      <c r="DA712" s="12"/>
      <c r="DB712" s="164"/>
      <c r="DC712" s="14"/>
      <c r="DD712" s="729"/>
      <c r="DE712" s="729"/>
      <c r="DF712" s="729"/>
      <c r="DG712" s="729"/>
      <c r="DH712" s="730"/>
      <c r="DI712" s="729"/>
      <c r="DJ712" s="729"/>
      <c r="DK712" s="729"/>
      <c r="DL712" s="729"/>
      <c r="DM712" s="4"/>
    </row>
    <row r="713" spans="1:117" ht="12.75" customHeight="1">
      <c r="A713" s="228"/>
      <c r="B713" s="3"/>
      <c r="C713" s="228"/>
      <c r="D713" s="228"/>
      <c r="E713" s="3"/>
      <c r="F713" s="3"/>
      <c r="G713" s="729"/>
      <c r="H713" s="729"/>
      <c r="I713" s="729"/>
      <c r="J713" s="3"/>
      <c r="K713" s="1010"/>
      <c r="L713" s="12"/>
      <c r="M713" s="12"/>
      <c r="N713" s="12"/>
      <c r="O713" s="1010"/>
      <c r="P713" s="1011"/>
      <c r="Q713" s="1011"/>
      <c r="R713" s="12"/>
      <c r="S713" s="12"/>
      <c r="T713" s="12"/>
      <c r="U713" s="12"/>
      <c r="V713" s="12"/>
      <c r="W713" s="1012"/>
      <c r="X713" s="1023"/>
      <c r="Y713" s="1012"/>
      <c r="Z713" s="1012"/>
      <c r="AA713" s="1012"/>
      <c r="AB713" s="1011"/>
      <c r="AC713" s="1011"/>
      <c r="AD713" s="1012"/>
      <c r="AE713" s="12"/>
      <c r="AF713" s="729"/>
      <c r="AG713" s="1014"/>
      <c r="AH713" s="1014"/>
      <c r="AI713" s="729"/>
      <c r="AJ713" s="729"/>
      <c r="AK713" s="729"/>
      <c r="AL713" s="729"/>
      <c r="AM713" s="729"/>
      <c r="AN713" s="729"/>
      <c r="AO713" s="729"/>
      <c r="AP713" s="729"/>
      <c r="AQ713" s="729"/>
      <c r="AR713" s="729"/>
      <c r="AS713" s="729"/>
      <c r="AT713" s="729"/>
      <c r="AU713" s="729"/>
      <c r="AV713" s="729"/>
      <c r="AW713" s="729"/>
      <c r="AX713" s="729"/>
      <c r="AY713" s="729"/>
      <c r="AZ713" s="729"/>
      <c r="BA713" s="729"/>
      <c r="BB713" s="729"/>
      <c r="BC713" s="729"/>
      <c r="BD713" s="729"/>
      <c r="BE713" s="729"/>
      <c r="BF713" s="729"/>
      <c r="BG713" s="729"/>
      <c r="BH713" s="729"/>
      <c r="BI713" s="729"/>
      <c r="BJ713" s="729"/>
      <c r="BK713" s="729"/>
      <c r="BL713" s="729"/>
      <c r="BM713" s="779"/>
      <c r="BN713" s="779"/>
      <c r="BO713" s="779"/>
      <c r="BP713" s="12"/>
      <c r="BQ713" s="729"/>
      <c r="BR713" s="729"/>
      <c r="BS713" s="729"/>
      <c r="BT713" s="779"/>
      <c r="BU713" s="779"/>
      <c r="BV713" s="779"/>
      <c r="BW713" s="2"/>
      <c r="BX713" s="12"/>
      <c r="BY713" s="729"/>
      <c r="BZ713" s="729"/>
      <c r="CA713" s="729"/>
      <c r="CB713" s="779"/>
      <c r="CC713" s="779"/>
      <c r="CD713" s="779"/>
      <c r="CE713" s="2"/>
      <c r="CF713" s="729"/>
      <c r="CG713" s="729"/>
      <c r="CH713" s="729"/>
      <c r="CI713" s="729"/>
      <c r="CJ713" s="228"/>
      <c r="CK713" s="729"/>
      <c r="CL713" s="729"/>
      <c r="CM713" s="228"/>
      <c r="CN713" s="729"/>
      <c r="CO713" s="729"/>
      <c r="CP713" s="729"/>
      <c r="CQ713" s="729"/>
      <c r="CR713" s="729"/>
      <c r="CS713" s="729"/>
      <c r="CT713" s="729"/>
      <c r="CU713" s="228"/>
      <c r="CV713" s="779"/>
      <c r="CW713" s="779"/>
      <c r="CX713" s="729"/>
      <c r="CY713" s="228"/>
      <c r="CZ713" s="228"/>
      <c r="DA713" s="12"/>
      <c r="DB713" s="164"/>
      <c r="DC713" s="14"/>
      <c r="DD713" s="729"/>
      <c r="DE713" s="729"/>
      <c r="DF713" s="729"/>
      <c r="DG713" s="729"/>
      <c r="DH713" s="730"/>
      <c r="DI713" s="729"/>
      <c r="DJ713" s="729"/>
      <c r="DK713" s="729"/>
      <c r="DL713" s="729"/>
      <c r="DM713" s="4"/>
    </row>
    <row r="714" spans="1:117" ht="12.75" customHeight="1">
      <c r="A714" s="228"/>
      <c r="B714" s="3"/>
      <c r="C714" s="228"/>
      <c r="D714" s="228"/>
      <c r="E714" s="3"/>
      <c r="F714" s="3"/>
      <c r="G714" s="729"/>
      <c r="H714" s="729"/>
      <c r="I714" s="729"/>
      <c r="J714" s="3"/>
      <c r="K714" s="1010"/>
      <c r="L714" s="12"/>
      <c r="M714" s="12"/>
      <c r="N714" s="12"/>
      <c r="O714" s="1010"/>
      <c r="P714" s="1011"/>
      <c r="Q714" s="1011"/>
      <c r="R714" s="12"/>
      <c r="S714" s="12"/>
      <c r="T714" s="12"/>
      <c r="U714" s="12"/>
      <c r="V714" s="12"/>
      <c r="W714" s="1012"/>
      <c r="X714" s="1023"/>
      <c r="Y714" s="1012"/>
      <c r="Z714" s="1012"/>
      <c r="AA714" s="1012"/>
      <c r="AB714" s="1011"/>
      <c r="AC714" s="1011"/>
      <c r="AD714" s="1012"/>
      <c r="AE714" s="12"/>
      <c r="AF714" s="729"/>
      <c r="AG714" s="1014"/>
      <c r="AH714" s="1014"/>
      <c r="AI714" s="729"/>
      <c r="AJ714" s="729"/>
      <c r="AK714" s="729"/>
      <c r="AL714" s="729"/>
      <c r="AM714" s="729"/>
      <c r="AN714" s="729"/>
      <c r="AO714" s="729"/>
      <c r="AP714" s="729"/>
      <c r="AQ714" s="729"/>
      <c r="AR714" s="729"/>
      <c r="AS714" s="729"/>
      <c r="AT714" s="729"/>
      <c r="AU714" s="729"/>
      <c r="AV714" s="729"/>
      <c r="AW714" s="729"/>
      <c r="AX714" s="729"/>
      <c r="AY714" s="729"/>
      <c r="AZ714" s="729"/>
      <c r="BA714" s="729"/>
      <c r="BB714" s="729"/>
      <c r="BC714" s="729"/>
      <c r="BD714" s="729"/>
      <c r="BE714" s="729"/>
      <c r="BF714" s="729"/>
      <c r="BG714" s="729"/>
      <c r="BH714" s="729"/>
      <c r="BI714" s="729"/>
      <c r="BJ714" s="729"/>
      <c r="BK714" s="729"/>
      <c r="BL714" s="729"/>
      <c r="BM714" s="779"/>
      <c r="BN714" s="779"/>
      <c r="BO714" s="779"/>
      <c r="BP714" s="12"/>
      <c r="BQ714" s="729"/>
      <c r="BR714" s="729"/>
      <c r="BS714" s="729"/>
      <c r="BT714" s="779"/>
      <c r="BU714" s="779"/>
      <c r="BV714" s="779"/>
      <c r="BW714" s="2"/>
      <c r="BX714" s="12"/>
      <c r="BY714" s="729"/>
      <c r="BZ714" s="729"/>
      <c r="CA714" s="729"/>
      <c r="CB714" s="779"/>
      <c r="CC714" s="779"/>
      <c r="CD714" s="779"/>
      <c r="CE714" s="2"/>
      <c r="CF714" s="729"/>
      <c r="CG714" s="729"/>
      <c r="CH714" s="729"/>
      <c r="CI714" s="729"/>
      <c r="CJ714" s="228"/>
      <c r="CK714" s="729"/>
      <c r="CL714" s="729"/>
      <c r="CM714" s="228"/>
      <c r="CN714" s="729"/>
      <c r="CO714" s="729"/>
      <c r="CP714" s="729"/>
      <c r="CQ714" s="729"/>
      <c r="CR714" s="729"/>
      <c r="CS714" s="729"/>
      <c r="CT714" s="729"/>
      <c r="CU714" s="228"/>
      <c r="CV714" s="779"/>
      <c r="CW714" s="779"/>
      <c r="CX714" s="729"/>
      <c r="CY714" s="228"/>
      <c r="CZ714" s="228"/>
      <c r="DA714" s="12"/>
      <c r="DB714" s="164"/>
      <c r="DC714" s="14"/>
      <c r="DD714" s="729"/>
      <c r="DE714" s="729"/>
      <c r="DF714" s="729"/>
      <c r="DG714" s="729"/>
      <c r="DH714" s="730"/>
      <c r="DI714" s="729"/>
      <c r="DJ714" s="729"/>
      <c r="DK714" s="729"/>
      <c r="DL714" s="729"/>
      <c r="DM714" s="4"/>
    </row>
    <row r="715" spans="1:117" ht="12.75" customHeight="1">
      <c r="A715" s="228"/>
      <c r="B715" s="3"/>
      <c r="C715" s="228"/>
      <c r="D715" s="228"/>
      <c r="E715" s="3"/>
      <c r="F715" s="3"/>
      <c r="G715" s="729"/>
      <c r="H715" s="729"/>
      <c r="I715" s="729"/>
      <c r="J715" s="3"/>
      <c r="K715" s="1010"/>
      <c r="L715" s="12"/>
      <c r="M715" s="12"/>
      <c r="N715" s="12"/>
      <c r="O715" s="1010"/>
      <c r="P715" s="1011"/>
      <c r="Q715" s="1011"/>
      <c r="R715" s="12"/>
      <c r="S715" s="12"/>
      <c r="T715" s="12"/>
      <c r="U715" s="12"/>
      <c r="V715" s="12"/>
      <c r="W715" s="1012"/>
      <c r="X715" s="1023"/>
      <c r="Y715" s="1012"/>
      <c r="Z715" s="1012"/>
      <c r="AA715" s="1012"/>
      <c r="AB715" s="1011"/>
      <c r="AC715" s="1011"/>
      <c r="AD715" s="1012"/>
      <c r="AE715" s="12"/>
      <c r="AF715" s="729"/>
      <c r="AG715" s="1014"/>
      <c r="AH715" s="1014"/>
      <c r="AI715" s="729"/>
      <c r="AJ715" s="729"/>
      <c r="AK715" s="729"/>
      <c r="AL715" s="729"/>
      <c r="AM715" s="729"/>
      <c r="AN715" s="729"/>
      <c r="AO715" s="729"/>
      <c r="AP715" s="729"/>
      <c r="AQ715" s="729"/>
      <c r="AR715" s="729"/>
      <c r="AS715" s="729"/>
      <c r="AT715" s="729"/>
      <c r="AU715" s="729"/>
      <c r="AV715" s="729"/>
      <c r="AW715" s="729"/>
      <c r="AX715" s="729"/>
      <c r="AY715" s="729"/>
      <c r="AZ715" s="729"/>
      <c r="BA715" s="729"/>
      <c r="BB715" s="729"/>
      <c r="BC715" s="729"/>
      <c r="BD715" s="729"/>
      <c r="BE715" s="729"/>
      <c r="BF715" s="729"/>
      <c r="BG715" s="729"/>
      <c r="BH715" s="729"/>
      <c r="BI715" s="729"/>
      <c r="BJ715" s="729"/>
      <c r="BK715" s="729"/>
      <c r="BL715" s="729"/>
      <c r="BM715" s="779"/>
      <c r="BN715" s="779"/>
      <c r="BO715" s="779"/>
      <c r="BP715" s="12"/>
      <c r="BQ715" s="729"/>
      <c r="BR715" s="729"/>
      <c r="BS715" s="729"/>
      <c r="BT715" s="779"/>
      <c r="BU715" s="779"/>
      <c r="BV715" s="779"/>
      <c r="BW715" s="2"/>
      <c r="BX715" s="12"/>
      <c r="BY715" s="729"/>
      <c r="BZ715" s="729"/>
      <c r="CA715" s="729"/>
      <c r="CB715" s="779"/>
      <c r="CC715" s="779"/>
      <c r="CD715" s="779"/>
      <c r="CE715" s="2"/>
      <c r="CF715" s="729"/>
      <c r="CG715" s="729"/>
      <c r="CH715" s="729"/>
      <c r="CI715" s="729"/>
      <c r="CJ715" s="228"/>
      <c r="CK715" s="729"/>
      <c r="CL715" s="729"/>
      <c r="CM715" s="228"/>
      <c r="CN715" s="729"/>
      <c r="CO715" s="729"/>
      <c r="CP715" s="729"/>
      <c r="CQ715" s="729"/>
      <c r="CR715" s="729"/>
      <c r="CS715" s="729"/>
      <c r="CT715" s="729"/>
      <c r="CU715" s="228"/>
      <c r="CV715" s="779"/>
      <c r="CW715" s="779"/>
      <c r="CX715" s="729"/>
      <c r="CY715" s="228"/>
      <c r="CZ715" s="228"/>
      <c r="DA715" s="12"/>
      <c r="DB715" s="164"/>
      <c r="DC715" s="14"/>
      <c r="DD715" s="729"/>
      <c r="DE715" s="729"/>
      <c r="DF715" s="729"/>
      <c r="DG715" s="729"/>
      <c r="DH715" s="730"/>
      <c r="DI715" s="729"/>
      <c r="DJ715" s="729"/>
      <c r="DK715" s="729"/>
      <c r="DL715" s="729"/>
      <c r="DM715" s="4"/>
    </row>
    <row r="716" spans="1:117" ht="12.75" customHeight="1">
      <c r="A716" s="228"/>
      <c r="B716" s="3"/>
      <c r="C716" s="228"/>
      <c r="D716" s="228"/>
      <c r="E716" s="3"/>
      <c r="F716" s="3"/>
      <c r="G716" s="729"/>
      <c r="H716" s="729"/>
      <c r="I716" s="729"/>
      <c r="J716" s="3"/>
      <c r="K716" s="1010"/>
      <c r="L716" s="12"/>
      <c r="M716" s="12"/>
      <c r="N716" s="12"/>
      <c r="O716" s="1010"/>
      <c r="P716" s="1011"/>
      <c r="Q716" s="1011"/>
      <c r="R716" s="12"/>
      <c r="S716" s="12"/>
      <c r="T716" s="12"/>
      <c r="U716" s="12"/>
      <c r="V716" s="12"/>
      <c r="W716" s="1012"/>
      <c r="X716" s="1023"/>
      <c r="Y716" s="1012"/>
      <c r="Z716" s="1012"/>
      <c r="AA716" s="1012"/>
      <c r="AB716" s="1011"/>
      <c r="AC716" s="1011"/>
      <c r="AD716" s="1012"/>
      <c r="AE716" s="12"/>
      <c r="AF716" s="729"/>
      <c r="AG716" s="1014"/>
      <c r="AH716" s="1014"/>
      <c r="AI716" s="729"/>
      <c r="AJ716" s="729"/>
      <c r="AK716" s="729"/>
      <c r="AL716" s="729"/>
      <c r="AM716" s="729"/>
      <c r="AN716" s="729"/>
      <c r="AO716" s="729"/>
      <c r="AP716" s="729"/>
      <c r="AQ716" s="729"/>
      <c r="AR716" s="729"/>
      <c r="AS716" s="729"/>
      <c r="AT716" s="729"/>
      <c r="AU716" s="729"/>
      <c r="AV716" s="729"/>
      <c r="AW716" s="729"/>
      <c r="AX716" s="729"/>
      <c r="AY716" s="729"/>
      <c r="AZ716" s="729"/>
      <c r="BA716" s="729"/>
      <c r="BB716" s="729"/>
      <c r="BC716" s="729"/>
      <c r="BD716" s="729"/>
      <c r="BE716" s="729"/>
      <c r="BF716" s="729"/>
      <c r="BG716" s="729"/>
      <c r="BH716" s="729"/>
      <c r="BI716" s="729"/>
      <c r="BJ716" s="729"/>
      <c r="BK716" s="729"/>
      <c r="BL716" s="729"/>
      <c r="BM716" s="779"/>
      <c r="BN716" s="779"/>
      <c r="BO716" s="779"/>
      <c r="BP716" s="12"/>
      <c r="BQ716" s="729"/>
      <c r="BR716" s="729"/>
      <c r="BS716" s="729"/>
      <c r="BT716" s="779"/>
      <c r="BU716" s="779"/>
      <c r="BV716" s="779"/>
      <c r="BW716" s="2"/>
      <c r="BX716" s="12"/>
      <c r="BY716" s="729"/>
      <c r="BZ716" s="729"/>
      <c r="CA716" s="729"/>
      <c r="CB716" s="779"/>
      <c r="CC716" s="779"/>
      <c r="CD716" s="779"/>
      <c r="CE716" s="2"/>
      <c r="CF716" s="729"/>
      <c r="CG716" s="729"/>
      <c r="CH716" s="729"/>
      <c r="CI716" s="729"/>
      <c r="CJ716" s="228"/>
      <c r="CK716" s="729"/>
      <c r="CL716" s="729"/>
      <c r="CM716" s="228"/>
      <c r="CN716" s="729"/>
      <c r="CO716" s="729"/>
      <c r="CP716" s="729"/>
      <c r="CQ716" s="729"/>
      <c r="CR716" s="729"/>
      <c r="CS716" s="729"/>
      <c r="CT716" s="729"/>
      <c r="CU716" s="228"/>
      <c r="CV716" s="779"/>
      <c r="CW716" s="779"/>
      <c r="CX716" s="729"/>
      <c r="CY716" s="228"/>
      <c r="CZ716" s="228"/>
      <c r="DA716" s="12"/>
      <c r="DB716" s="164"/>
      <c r="DC716" s="14"/>
      <c r="DD716" s="729"/>
      <c r="DE716" s="729"/>
      <c r="DF716" s="729"/>
      <c r="DG716" s="729"/>
      <c r="DH716" s="730"/>
      <c r="DI716" s="729"/>
      <c r="DJ716" s="729"/>
      <c r="DK716" s="729"/>
      <c r="DL716" s="729"/>
      <c r="DM716" s="4"/>
    </row>
    <row r="717" spans="1:117" ht="12.75" customHeight="1">
      <c r="A717" s="228"/>
      <c r="B717" s="3"/>
      <c r="C717" s="228"/>
      <c r="D717" s="228"/>
      <c r="E717" s="3"/>
      <c r="F717" s="3"/>
      <c r="G717" s="729"/>
      <c r="H717" s="729"/>
      <c r="I717" s="729"/>
      <c r="J717" s="3"/>
      <c r="K717" s="1010"/>
      <c r="L717" s="12"/>
      <c r="M717" s="12"/>
      <c r="N717" s="12"/>
      <c r="O717" s="1010"/>
      <c r="P717" s="1011"/>
      <c r="Q717" s="1011"/>
      <c r="R717" s="12"/>
      <c r="S717" s="12"/>
      <c r="T717" s="12"/>
      <c r="U717" s="12"/>
      <c r="V717" s="12"/>
      <c r="W717" s="1012"/>
      <c r="X717" s="1023"/>
      <c r="Y717" s="1012"/>
      <c r="Z717" s="1012"/>
      <c r="AA717" s="1012"/>
      <c r="AB717" s="1011"/>
      <c r="AC717" s="1011"/>
      <c r="AD717" s="1012"/>
      <c r="AE717" s="12"/>
      <c r="AF717" s="729"/>
      <c r="AG717" s="1014"/>
      <c r="AH717" s="1014"/>
      <c r="AI717" s="729"/>
      <c r="AJ717" s="729"/>
      <c r="AK717" s="729"/>
      <c r="AL717" s="729"/>
      <c r="AM717" s="729"/>
      <c r="AN717" s="729"/>
      <c r="AO717" s="729"/>
      <c r="AP717" s="729"/>
      <c r="AQ717" s="729"/>
      <c r="AR717" s="729"/>
      <c r="AS717" s="729"/>
      <c r="AT717" s="729"/>
      <c r="AU717" s="729"/>
      <c r="AV717" s="729"/>
      <c r="AW717" s="729"/>
      <c r="AX717" s="729"/>
      <c r="AY717" s="729"/>
      <c r="AZ717" s="729"/>
      <c r="BA717" s="729"/>
      <c r="BB717" s="729"/>
      <c r="BC717" s="729"/>
      <c r="BD717" s="729"/>
      <c r="BE717" s="729"/>
      <c r="BF717" s="729"/>
      <c r="BG717" s="729"/>
      <c r="BH717" s="729"/>
      <c r="BI717" s="729"/>
      <c r="BJ717" s="729"/>
      <c r="BK717" s="729"/>
      <c r="BL717" s="729"/>
      <c r="BM717" s="779"/>
      <c r="BN717" s="779"/>
      <c r="BO717" s="779"/>
      <c r="BP717" s="12"/>
      <c r="BQ717" s="729"/>
      <c r="BR717" s="729"/>
      <c r="BS717" s="729"/>
      <c r="BT717" s="779"/>
      <c r="BU717" s="779"/>
      <c r="BV717" s="779"/>
      <c r="BW717" s="2"/>
      <c r="BX717" s="12"/>
      <c r="BY717" s="729"/>
      <c r="BZ717" s="729"/>
      <c r="CA717" s="729"/>
      <c r="CB717" s="779"/>
      <c r="CC717" s="779"/>
      <c r="CD717" s="779"/>
      <c r="CE717" s="2"/>
      <c r="CF717" s="729"/>
      <c r="CG717" s="729"/>
      <c r="CH717" s="729"/>
      <c r="CI717" s="729"/>
      <c r="CJ717" s="228"/>
      <c r="CK717" s="729"/>
      <c r="CL717" s="729"/>
      <c r="CM717" s="228"/>
      <c r="CN717" s="729"/>
      <c r="CO717" s="729"/>
      <c r="CP717" s="729"/>
      <c r="CQ717" s="729"/>
      <c r="CR717" s="729"/>
      <c r="CS717" s="729"/>
      <c r="CT717" s="729"/>
      <c r="CU717" s="228"/>
      <c r="CV717" s="779"/>
      <c r="CW717" s="779"/>
      <c r="CX717" s="729"/>
      <c r="CY717" s="228"/>
      <c r="CZ717" s="228"/>
      <c r="DA717" s="12"/>
      <c r="DB717" s="164"/>
      <c r="DC717" s="14"/>
      <c r="DD717" s="729"/>
      <c r="DE717" s="729"/>
      <c r="DF717" s="729"/>
      <c r="DG717" s="729"/>
      <c r="DH717" s="730"/>
      <c r="DI717" s="729"/>
      <c r="DJ717" s="729"/>
      <c r="DK717" s="729"/>
      <c r="DL717" s="729"/>
      <c r="DM717" s="4"/>
    </row>
    <row r="718" spans="1:117" ht="12.75" customHeight="1">
      <c r="A718" s="228"/>
      <c r="B718" s="3"/>
      <c r="C718" s="228"/>
      <c r="D718" s="228"/>
      <c r="E718" s="3"/>
      <c r="F718" s="3"/>
      <c r="G718" s="729"/>
      <c r="H718" s="729"/>
      <c r="I718" s="729"/>
      <c r="J718" s="3"/>
      <c r="K718" s="1010"/>
      <c r="L718" s="12"/>
      <c r="M718" s="12"/>
      <c r="N718" s="12"/>
      <c r="O718" s="1010"/>
      <c r="P718" s="1011"/>
      <c r="Q718" s="1011"/>
      <c r="R718" s="12"/>
      <c r="S718" s="12"/>
      <c r="T718" s="12"/>
      <c r="U718" s="12"/>
      <c r="V718" s="12"/>
      <c r="W718" s="1012"/>
      <c r="X718" s="1023"/>
      <c r="Y718" s="1012"/>
      <c r="Z718" s="1012"/>
      <c r="AA718" s="1012"/>
      <c r="AB718" s="1011"/>
      <c r="AC718" s="1011"/>
      <c r="AD718" s="1012"/>
      <c r="AE718" s="12"/>
      <c r="AF718" s="729"/>
      <c r="AG718" s="1014"/>
      <c r="AH718" s="1014"/>
      <c r="AI718" s="729"/>
      <c r="AJ718" s="729"/>
      <c r="AK718" s="729"/>
      <c r="AL718" s="729"/>
      <c r="AM718" s="729"/>
      <c r="AN718" s="729"/>
      <c r="AO718" s="729"/>
      <c r="AP718" s="729"/>
      <c r="AQ718" s="729"/>
      <c r="AR718" s="729"/>
      <c r="AS718" s="729"/>
      <c r="AT718" s="729"/>
      <c r="AU718" s="729"/>
      <c r="AV718" s="729"/>
      <c r="AW718" s="729"/>
      <c r="AX718" s="729"/>
      <c r="AY718" s="729"/>
      <c r="AZ718" s="729"/>
      <c r="BA718" s="729"/>
      <c r="BB718" s="729"/>
      <c r="BC718" s="729"/>
      <c r="BD718" s="729"/>
      <c r="BE718" s="729"/>
      <c r="BF718" s="729"/>
      <c r="BG718" s="729"/>
      <c r="BH718" s="729"/>
      <c r="BI718" s="729"/>
      <c r="BJ718" s="729"/>
      <c r="BK718" s="729"/>
      <c r="BL718" s="729"/>
      <c r="BM718" s="779"/>
      <c r="BN718" s="779"/>
      <c r="BO718" s="779"/>
      <c r="BP718" s="12"/>
      <c r="BQ718" s="729"/>
      <c r="BR718" s="729"/>
      <c r="BS718" s="729"/>
      <c r="BT718" s="779"/>
      <c r="BU718" s="779"/>
      <c r="BV718" s="779"/>
      <c r="BW718" s="2"/>
      <c r="BX718" s="12"/>
      <c r="BY718" s="729"/>
      <c r="BZ718" s="729"/>
      <c r="CA718" s="729"/>
      <c r="CB718" s="779"/>
      <c r="CC718" s="779"/>
      <c r="CD718" s="779"/>
      <c r="CE718" s="2"/>
      <c r="CF718" s="729"/>
      <c r="CG718" s="729"/>
      <c r="CH718" s="729"/>
      <c r="CI718" s="729"/>
      <c r="CJ718" s="228"/>
      <c r="CK718" s="729"/>
      <c r="CL718" s="729"/>
      <c r="CM718" s="228"/>
      <c r="CN718" s="729"/>
      <c r="CO718" s="729"/>
      <c r="CP718" s="729"/>
      <c r="CQ718" s="729"/>
      <c r="CR718" s="729"/>
      <c r="CS718" s="729"/>
      <c r="CT718" s="729"/>
      <c r="CU718" s="228"/>
      <c r="CV718" s="779"/>
      <c r="CW718" s="779"/>
      <c r="CX718" s="729"/>
      <c r="CY718" s="228"/>
      <c r="CZ718" s="228"/>
      <c r="DA718" s="12"/>
      <c r="DB718" s="164"/>
      <c r="DC718" s="14"/>
      <c r="DD718" s="729"/>
      <c r="DE718" s="729"/>
      <c r="DF718" s="729"/>
      <c r="DG718" s="729"/>
      <c r="DH718" s="730"/>
      <c r="DI718" s="729"/>
      <c r="DJ718" s="729"/>
      <c r="DK718" s="729"/>
      <c r="DL718" s="729"/>
      <c r="DM718" s="4"/>
    </row>
    <row r="719" spans="1:117" ht="12.75" customHeight="1">
      <c r="A719" s="228"/>
      <c r="B719" s="3"/>
      <c r="C719" s="228"/>
      <c r="D719" s="228"/>
      <c r="E719" s="3"/>
      <c r="F719" s="3"/>
      <c r="G719" s="729"/>
      <c r="H719" s="729"/>
      <c r="I719" s="729"/>
      <c r="J719" s="3"/>
      <c r="K719" s="1010"/>
      <c r="L719" s="12"/>
      <c r="M719" s="12"/>
      <c r="N719" s="12"/>
      <c r="O719" s="1010"/>
      <c r="P719" s="1011"/>
      <c r="Q719" s="1011"/>
      <c r="R719" s="12"/>
      <c r="S719" s="12"/>
      <c r="T719" s="12"/>
      <c r="U719" s="12"/>
      <c r="V719" s="12"/>
      <c r="W719" s="1012"/>
      <c r="X719" s="1023"/>
      <c r="Y719" s="1012"/>
      <c r="Z719" s="1012"/>
      <c r="AA719" s="1012"/>
      <c r="AB719" s="1011"/>
      <c r="AC719" s="1011"/>
      <c r="AD719" s="1012"/>
      <c r="AE719" s="12"/>
      <c r="AF719" s="729"/>
      <c r="AG719" s="1014"/>
      <c r="AH719" s="1014"/>
      <c r="AI719" s="729"/>
      <c r="AJ719" s="729"/>
      <c r="AK719" s="729"/>
      <c r="AL719" s="729"/>
      <c r="AM719" s="729"/>
      <c r="AN719" s="729"/>
      <c r="AO719" s="729"/>
      <c r="AP719" s="729"/>
      <c r="AQ719" s="729"/>
      <c r="AR719" s="729"/>
      <c r="AS719" s="729"/>
      <c r="AT719" s="729"/>
      <c r="AU719" s="729"/>
      <c r="AV719" s="729"/>
      <c r="AW719" s="729"/>
      <c r="AX719" s="729"/>
      <c r="AY719" s="729"/>
      <c r="AZ719" s="729"/>
      <c r="BA719" s="729"/>
      <c r="BB719" s="729"/>
      <c r="BC719" s="729"/>
      <c r="BD719" s="729"/>
      <c r="BE719" s="729"/>
      <c r="BF719" s="729"/>
      <c r="BG719" s="729"/>
      <c r="BH719" s="729"/>
      <c r="BI719" s="729"/>
      <c r="BJ719" s="729"/>
      <c r="BK719" s="729"/>
      <c r="BL719" s="729"/>
      <c r="BM719" s="779"/>
      <c r="BN719" s="779"/>
      <c r="BO719" s="779"/>
      <c r="BP719" s="12"/>
      <c r="BQ719" s="729"/>
      <c r="BR719" s="729"/>
      <c r="BS719" s="729"/>
      <c r="BT719" s="779"/>
      <c r="BU719" s="779"/>
      <c r="BV719" s="779"/>
      <c r="BW719" s="2"/>
      <c r="BX719" s="12"/>
      <c r="BY719" s="729"/>
      <c r="BZ719" s="729"/>
      <c r="CA719" s="729"/>
      <c r="CB719" s="779"/>
      <c r="CC719" s="779"/>
      <c r="CD719" s="779"/>
      <c r="CE719" s="2"/>
      <c r="CF719" s="729"/>
      <c r="CG719" s="729"/>
      <c r="CH719" s="729"/>
      <c r="CI719" s="729"/>
      <c r="CJ719" s="228"/>
      <c r="CK719" s="729"/>
      <c r="CL719" s="729"/>
      <c r="CM719" s="228"/>
      <c r="CN719" s="729"/>
      <c r="CO719" s="729"/>
      <c r="CP719" s="729"/>
      <c r="CQ719" s="729"/>
      <c r="CR719" s="729"/>
      <c r="CS719" s="729"/>
      <c r="CT719" s="729"/>
      <c r="CU719" s="228"/>
      <c r="CV719" s="779"/>
      <c r="CW719" s="779"/>
      <c r="CX719" s="729"/>
      <c r="CY719" s="228"/>
      <c r="CZ719" s="228"/>
      <c r="DA719" s="12"/>
      <c r="DB719" s="164"/>
      <c r="DC719" s="14"/>
      <c r="DD719" s="729"/>
      <c r="DE719" s="729"/>
      <c r="DF719" s="729"/>
      <c r="DG719" s="729"/>
      <c r="DH719" s="730"/>
      <c r="DI719" s="729"/>
      <c r="DJ719" s="729"/>
      <c r="DK719" s="729"/>
      <c r="DL719" s="729"/>
      <c r="DM719" s="4"/>
    </row>
    <row r="720" spans="1:117" ht="12.75" customHeight="1">
      <c r="A720" s="228"/>
      <c r="B720" s="3"/>
      <c r="C720" s="228"/>
      <c r="D720" s="228"/>
      <c r="E720" s="3"/>
      <c r="F720" s="3"/>
      <c r="G720" s="729"/>
      <c r="H720" s="729"/>
      <c r="I720" s="729"/>
      <c r="J720" s="3"/>
      <c r="K720" s="1010"/>
      <c r="L720" s="12"/>
      <c r="M720" s="12"/>
      <c r="N720" s="12"/>
      <c r="O720" s="1010"/>
      <c r="P720" s="1011"/>
      <c r="Q720" s="1011"/>
      <c r="R720" s="12"/>
      <c r="S720" s="12"/>
      <c r="T720" s="12"/>
      <c r="U720" s="12"/>
      <c r="V720" s="12"/>
      <c r="W720" s="1012"/>
      <c r="X720" s="1023"/>
      <c r="Y720" s="1012"/>
      <c r="Z720" s="1012"/>
      <c r="AA720" s="1012"/>
      <c r="AB720" s="1011"/>
      <c r="AC720" s="1011"/>
      <c r="AD720" s="1012"/>
      <c r="AE720" s="12"/>
      <c r="AF720" s="729"/>
      <c r="AG720" s="1014"/>
      <c r="AH720" s="1014"/>
      <c r="AI720" s="729"/>
      <c r="AJ720" s="729"/>
      <c r="AK720" s="729"/>
      <c r="AL720" s="729"/>
      <c r="AM720" s="729"/>
      <c r="AN720" s="729"/>
      <c r="AO720" s="729"/>
      <c r="AP720" s="729"/>
      <c r="AQ720" s="729"/>
      <c r="AR720" s="729"/>
      <c r="AS720" s="729"/>
      <c r="AT720" s="729"/>
      <c r="AU720" s="729"/>
      <c r="AV720" s="729"/>
      <c r="AW720" s="729"/>
      <c r="AX720" s="729"/>
      <c r="AY720" s="729"/>
      <c r="AZ720" s="729"/>
      <c r="BA720" s="729"/>
      <c r="BB720" s="729"/>
      <c r="BC720" s="729"/>
      <c r="BD720" s="729"/>
      <c r="BE720" s="729"/>
      <c r="BF720" s="729"/>
      <c r="BG720" s="729"/>
      <c r="BH720" s="729"/>
      <c r="BI720" s="729"/>
      <c r="BJ720" s="729"/>
      <c r="BK720" s="729"/>
      <c r="BL720" s="729"/>
      <c r="BM720" s="779"/>
      <c r="BN720" s="779"/>
      <c r="BO720" s="779"/>
      <c r="BP720" s="12"/>
      <c r="BQ720" s="729"/>
      <c r="BR720" s="729"/>
      <c r="BS720" s="729"/>
      <c r="BT720" s="779"/>
      <c r="BU720" s="779"/>
      <c r="BV720" s="779"/>
      <c r="BW720" s="2"/>
      <c r="BX720" s="12"/>
      <c r="BY720" s="729"/>
      <c r="BZ720" s="729"/>
      <c r="CA720" s="729"/>
      <c r="CB720" s="779"/>
      <c r="CC720" s="779"/>
      <c r="CD720" s="779"/>
      <c r="CE720" s="2"/>
      <c r="CF720" s="729"/>
      <c r="CG720" s="729"/>
      <c r="CH720" s="729"/>
      <c r="CI720" s="729"/>
      <c r="CJ720" s="228"/>
      <c r="CK720" s="729"/>
      <c r="CL720" s="729"/>
      <c r="CM720" s="228"/>
      <c r="CN720" s="729"/>
      <c r="CO720" s="729"/>
      <c r="CP720" s="729"/>
      <c r="CQ720" s="729"/>
      <c r="CR720" s="729"/>
      <c r="CS720" s="729"/>
      <c r="CT720" s="729"/>
      <c r="CU720" s="228"/>
      <c r="CV720" s="779"/>
      <c r="CW720" s="779"/>
      <c r="CX720" s="729"/>
      <c r="CY720" s="228"/>
      <c r="CZ720" s="228"/>
      <c r="DA720" s="12"/>
      <c r="DB720" s="164"/>
      <c r="DC720" s="14"/>
      <c r="DD720" s="729"/>
      <c r="DE720" s="729"/>
      <c r="DF720" s="729"/>
      <c r="DG720" s="729"/>
      <c r="DH720" s="730"/>
      <c r="DI720" s="729"/>
      <c r="DJ720" s="729"/>
      <c r="DK720" s="729"/>
      <c r="DL720" s="729"/>
      <c r="DM720" s="4"/>
    </row>
    <row r="721" spans="1:117" ht="12.75" customHeight="1">
      <c r="A721" s="228"/>
      <c r="B721" s="3"/>
      <c r="C721" s="228"/>
      <c r="D721" s="228"/>
      <c r="E721" s="3"/>
      <c r="F721" s="3"/>
      <c r="G721" s="729"/>
      <c r="H721" s="729"/>
      <c r="I721" s="729"/>
      <c r="J721" s="3"/>
      <c r="K721" s="1010"/>
      <c r="L721" s="12"/>
      <c r="M721" s="12"/>
      <c r="N721" s="12"/>
      <c r="O721" s="1010"/>
      <c r="P721" s="1011"/>
      <c r="Q721" s="1011"/>
      <c r="R721" s="12"/>
      <c r="S721" s="12"/>
      <c r="T721" s="12"/>
      <c r="U721" s="12"/>
      <c r="V721" s="12"/>
      <c r="W721" s="1012"/>
      <c r="X721" s="1023"/>
      <c r="Y721" s="1012"/>
      <c r="Z721" s="1012"/>
      <c r="AA721" s="1012"/>
      <c r="AB721" s="1011"/>
      <c r="AC721" s="1011"/>
      <c r="AD721" s="1012"/>
      <c r="AE721" s="12"/>
      <c r="AF721" s="729"/>
      <c r="AG721" s="1014"/>
      <c r="AH721" s="1014"/>
      <c r="AI721" s="729"/>
      <c r="AJ721" s="729"/>
      <c r="AK721" s="729"/>
      <c r="AL721" s="729"/>
      <c r="AM721" s="729"/>
      <c r="AN721" s="729"/>
      <c r="AO721" s="729"/>
      <c r="AP721" s="729"/>
      <c r="AQ721" s="729"/>
      <c r="AR721" s="729"/>
      <c r="AS721" s="729"/>
      <c r="AT721" s="729"/>
      <c r="AU721" s="729"/>
      <c r="AV721" s="729"/>
      <c r="AW721" s="729"/>
      <c r="AX721" s="729"/>
      <c r="AY721" s="729"/>
      <c r="AZ721" s="729"/>
      <c r="BA721" s="729"/>
      <c r="BB721" s="729"/>
      <c r="BC721" s="729"/>
      <c r="BD721" s="729"/>
      <c r="BE721" s="729"/>
      <c r="BF721" s="729"/>
      <c r="BG721" s="729"/>
      <c r="BH721" s="729"/>
      <c r="BI721" s="729"/>
      <c r="BJ721" s="729"/>
      <c r="BK721" s="729"/>
      <c r="BL721" s="729"/>
      <c r="BM721" s="779"/>
      <c r="BN721" s="779"/>
      <c r="BO721" s="779"/>
      <c r="BP721" s="12"/>
      <c r="BQ721" s="729"/>
      <c r="BR721" s="729"/>
      <c r="BS721" s="729"/>
      <c r="BT721" s="779"/>
      <c r="BU721" s="779"/>
      <c r="BV721" s="779"/>
      <c r="BW721" s="2"/>
      <c r="BX721" s="12"/>
      <c r="BY721" s="729"/>
      <c r="BZ721" s="729"/>
      <c r="CA721" s="729"/>
      <c r="CB721" s="779"/>
      <c r="CC721" s="779"/>
      <c r="CD721" s="779"/>
      <c r="CE721" s="2"/>
      <c r="CF721" s="729"/>
      <c r="CG721" s="729"/>
      <c r="CH721" s="729"/>
      <c r="CI721" s="729"/>
      <c r="CJ721" s="228"/>
      <c r="CK721" s="729"/>
      <c r="CL721" s="729"/>
      <c r="CM721" s="228"/>
      <c r="CN721" s="729"/>
      <c r="CO721" s="729"/>
      <c r="CP721" s="729"/>
      <c r="CQ721" s="729"/>
      <c r="CR721" s="729"/>
      <c r="CS721" s="729"/>
      <c r="CT721" s="729"/>
      <c r="CU721" s="228"/>
      <c r="CV721" s="779"/>
      <c r="CW721" s="779"/>
      <c r="CX721" s="729"/>
      <c r="CY721" s="228"/>
      <c r="CZ721" s="228"/>
      <c r="DA721" s="12"/>
      <c r="DB721" s="164"/>
      <c r="DC721" s="14"/>
      <c r="DD721" s="729"/>
      <c r="DE721" s="729"/>
      <c r="DF721" s="729"/>
      <c r="DG721" s="729"/>
      <c r="DH721" s="730"/>
      <c r="DI721" s="729"/>
      <c r="DJ721" s="729"/>
      <c r="DK721" s="729"/>
      <c r="DL721" s="729"/>
      <c r="DM721" s="4"/>
    </row>
    <row r="722" spans="1:117" ht="12.75" customHeight="1">
      <c r="A722" s="228"/>
      <c r="B722" s="3"/>
      <c r="C722" s="228"/>
      <c r="D722" s="228"/>
      <c r="E722" s="3"/>
      <c r="F722" s="3"/>
      <c r="G722" s="729"/>
      <c r="H722" s="729"/>
      <c r="I722" s="729"/>
      <c r="J722" s="3"/>
      <c r="K722" s="1010"/>
      <c r="L722" s="12"/>
      <c r="M722" s="12"/>
      <c r="N722" s="12"/>
      <c r="O722" s="1010"/>
      <c r="P722" s="1011"/>
      <c r="Q722" s="1011"/>
      <c r="R722" s="12"/>
      <c r="S722" s="12"/>
      <c r="T722" s="12"/>
      <c r="U722" s="12"/>
      <c r="V722" s="12"/>
      <c r="W722" s="1012"/>
      <c r="X722" s="1023"/>
      <c r="Y722" s="1012"/>
      <c r="Z722" s="1012"/>
      <c r="AA722" s="1012"/>
      <c r="AB722" s="1011"/>
      <c r="AC722" s="1011"/>
      <c r="AD722" s="1012"/>
      <c r="AE722" s="12"/>
      <c r="AF722" s="729"/>
      <c r="AG722" s="1014"/>
      <c r="AH722" s="1014"/>
      <c r="AI722" s="729"/>
      <c r="AJ722" s="729"/>
      <c r="AK722" s="729"/>
      <c r="AL722" s="729"/>
      <c r="AM722" s="729"/>
      <c r="AN722" s="729"/>
      <c r="AO722" s="729"/>
      <c r="AP722" s="729"/>
      <c r="AQ722" s="729"/>
      <c r="AR722" s="729"/>
      <c r="AS722" s="729"/>
      <c r="AT722" s="729"/>
      <c r="AU722" s="729"/>
      <c r="AV722" s="729"/>
      <c r="AW722" s="729"/>
      <c r="AX722" s="729"/>
      <c r="AY722" s="729"/>
      <c r="AZ722" s="729"/>
      <c r="BA722" s="729"/>
      <c r="BB722" s="729"/>
      <c r="BC722" s="729"/>
      <c r="BD722" s="729"/>
      <c r="BE722" s="729"/>
      <c r="BF722" s="729"/>
      <c r="BG722" s="729"/>
      <c r="BH722" s="729"/>
      <c r="BI722" s="729"/>
      <c r="BJ722" s="729"/>
      <c r="BK722" s="729"/>
      <c r="BL722" s="729"/>
      <c r="BM722" s="779"/>
      <c r="BN722" s="779"/>
      <c r="BO722" s="779"/>
      <c r="BP722" s="12"/>
      <c r="BQ722" s="729"/>
      <c r="BR722" s="729"/>
      <c r="BS722" s="729"/>
      <c r="BT722" s="779"/>
      <c r="BU722" s="779"/>
      <c r="BV722" s="779"/>
      <c r="BW722" s="2"/>
      <c r="BX722" s="12"/>
      <c r="BY722" s="729"/>
      <c r="BZ722" s="729"/>
      <c r="CA722" s="729"/>
      <c r="CB722" s="779"/>
      <c r="CC722" s="779"/>
      <c r="CD722" s="779"/>
      <c r="CE722" s="2"/>
      <c r="CF722" s="729"/>
      <c r="CG722" s="729"/>
      <c r="CH722" s="729"/>
      <c r="CI722" s="729"/>
      <c r="CJ722" s="228"/>
      <c r="CK722" s="729"/>
      <c r="CL722" s="729"/>
      <c r="CM722" s="228"/>
      <c r="CN722" s="729"/>
      <c r="CO722" s="729"/>
      <c r="CP722" s="729"/>
      <c r="CQ722" s="729"/>
      <c r="CR722" s="729"/>
      <c r="CS722" s="729"/>
      <c r="CT722" s="729"/>
      <c r="CU722" s="228"/>
      <c r="CV722" s="779"/>
      <c r="CW722" s="779"/>
      <c r="CX722" s="729"/>
      <c r="CY722" s="228"/>
      <c r="CZ722" s="228"/>
      <c r="DA722" s="12"/>
      <c r="DB722" s="164"/>
      <c r="DC722" s="14"/>
      <c r="DD722" s="729"/>
      <c r="DE722" s="729"/>
      <c r="DF722" s="729"/>
      <c r="DG722" s="729"/>
      <c r="DH722" s="730"/>
      <c r="DI722" s="729"/>
      <c r="DJ722" s="729"/>
      <c r="DK722" s="729"/>
      <c r="DL722" s="729"/>
      <c r="DM722" s="4"/>
    </row>
    <row r="723" spans="1:117" ht="12.75" customHeight="1">
      <c r="A723" s="228"/>
      <c r="B723" s="3"/>
      <c r="C723" s="228"/>
      <c r="D723" s="228"/>
      <c r="E723" s="3"/>
      <c r="F723" s="3"/>
      <c r="G723" s="729"/>
      <c r="H723" s="729"/>
      <c r="I723" s="729"/>
      <c r="J723" s="3"/>
      <c r="K723" s="1010"/>
      <c r="L723" s="12"/>
      <c r="M723" s="12"/>
      <c r="N723" s="12"/>
      <c r="O723" s="1010"/>
      <c r="P723" s="1011"/>
      <c r="Q723" s="1011"/>
      <c r="R723" s="12"/>
      <c r="S723" s="12"/>
      <c r="T723" s="12"/>
      <c r="U723" s="12"/>
      <c r="V723" s="12"/>
      <c r="W723" s="1012"/>
      <c r="X723" s="1023"/>
      <c r="Y723" s="1012"/>
      <c r="Z723" s="1012"/>
      <c r="AA723" s="1012"/>
      <c r="AB723" s="1011"/>
      <c r="AC723" s="1011"/>
      <c r="AD723" s="1012"/>
      <c r="AE723" s="12"/>
      <c r="AF723" s="729"/>
      <c r="AG723" s="1014"/>
      <c r="AH723" s="1014"/>
      <c r="AI723" s="729"/>
      <c r="AJ723" s="729"/>
      <c r="AK723" s="729"/>
      <c r="AL723" s="729"/>
      <c r="AM723" s="729"/>
      <c r="AN723" s="729"/>
      <c r="AO723" s="729"/>
      <c r="AP723" s="729"/>
      <c r="AQ723" s="729"/>
      <c r="AR723" s="729"/>
      <c r="AS723" s="729"/>
      <c r="AT723" s="729"/>
      <c r="AU723" s="729"/>
      <c r="AV723" s="729"/>
      <c r="AW723" s="729"/>
      <c r="AX723" s="729"/>
      <c r="AY723" s="729"/>
      <c r="AZ723" s="729"/>
      <c r="BA723" s="729"/>
      <c r="BB723" s="729"/>
      <c r="BC723" s="729"/>
      <c r="BD723" s="729"/>
      <c r="BE723" s="729"/>
      <c r="BF723" s="729"/>
      <c r="BG723" s="729"/>
      <c r="BH723" s="729"/>
      <c r="BI723" s="729"/>
      <c r="BJ723" s="729"/>
      <c r="BK723" s="729"/>
      <c r="BL723" s="729"/>
      <c r="BM723" s="779"/>
      <c r="BN723" s="779"/>
      <c r="BO723" s="779"/>
      <c r="BP723" s="12"/>
      <c r="BQ723" s="729"/>
      <c r="BR723" s="729"/>
      <c r="BS723" s="729"/>
      <c r="BT723" s="779"/>
      <c r="BU723" s="779"/>
      <c r="BV723" s="779"/>
      <c r="BW723" s="2"/>
      <c r="BX723" s="12"/>
      <c r="BY723" s="729"/>
      <c r="BZ723" s="729"/>
      <c r="CA723" s="729"/>
      <c r="CB723" s="779"/>
      <c r="CC723" s="779"/>
      <c r="CD723" s="779"/>
      <c r="CE723" s="2"/>
      <c r="CF723" s="729"/>
      <c r="CG723" s="729"/>
      <c r="CH723" s="729"/>
      <c r="CI723" s="729"/>
      <c r="CJ723" s="228"/>
      <c r="CK723" s="729"/>
      <c r="CL723" s="729"/>
      <c r="CM723" s="228"/>
      <c r="CN723" s="729"/>
      <c r="CO723" s="729"/>
      <c r="CP723" s="729"/>
      <c r="CQ723" s="729"/>
      <c r="CR723" s="729"/>
      <c r="CS723" s="729"/>
      <c r="CT723" s="729"/>
      <c r="CU723" s="228"/>
      <c r="CV723" s="779"/>
      <c r="CW723" s="779"/>
      <c r="CX723" s="729"/>
      <c r="CY723" s="228"/>
      <c r="CZ723" s="228"/>
      <c r="DA723" s="12"/>
      <c r="DB723" s="164"/>
      <c r="DC723" s="14"/>
      <c r="DD723" s="729"/>
      <c r="DE723" s="729"/>
      <c r="DF723" s="729"/>
      <c r="DG723" s="729"/>
      <c r="DH723" s="730"/>
      <c r="DI723" s="729"/>
      <c r="DJ723" s="729"/>
      <c r="DK723" s="729"/>
      <c r="DL723" s="729"/>
      <c r="DM723" s="4"/>
    </row>
    <row r="724" spans="1:117" ht="12.75" customHeight="1">
      <c r="A724" s="228"/>
      <c r="B724" s="3"/>
      <c r="C724" s="228"/>
      <c r="D724" s="228"/>
      <c r="E724" s="3"/>
      <c r="F724" s="3"/>
      <c r="G724" s="729"/>
      <c r="H724" s="729"/>
      <c r="I724" s="729"/>
      <c r="J724" s="3"/>
      <c r="K724" s="1010"/>
      <c r="L724" s="12"/>
      <c r="M724" s="12"/>
      <c r="N724" s="12"/>
      <c r="O724" s="1010"/>
      <c r="P724" s="1011"/>
      <c r="Q724" s="1011"/>
      <c r="R724" s="12"/>
      <c r="S724" s="12"/>
      <c r="T724" s="12"/>
      <c r="U724" s="12"/>
      <c r="V724" s="12"/>
      <c r="W724" s="1012"/>
      <c r="X724" s="1023"/>
      <c r="Y724" s="1012"/>
      <c r="Z724" s="1012"/>
      <c r="AA724" s="1012"/>
      <c r="AB724" s="1011"/>
      <c r="AC724" s="1011"/>
      <c r="AD724" s="1012"/>
      <c r="AE724" s="12"/>
      <c r="AF724" s="729"/>
      <c r="AG724" s="1014"/>
      <c r="AH724" s="1014"/>
      <c r="AI724" s="729"/>
      <c r="AJ724" s="729"/>
      <c r="AK724" s="729"/>
      <c r="AL724" s="729"/>
      <c r="AM724" s="729"/>
      <c r="AN724" s="729"/>
      <c r="AO724" s="729"/>
      <c r="AP724" s="729"/>
      <c r="AQ724" s="729"/>
      <c r="AR724" s="729"/>
      <c r="AS724" s="729"/>
      <c r="AT724" s="729"/>
      <c r="AU724" s="729"/>
      <c r="AV724" s="729"/>
      <c r="AW724" s="729"/>
      <c r="AX724" s="729"/>
      <c r="AY724" s="729"/>
      <c r="AZ724" s="729"/>
      <c r="BA724" s="729"/>
      <c r="BB724" s="729"/>
      <c r="BC724" s="729"/>
      <c r="BD724" s="729"/>
      <c r="BE724" s="729"/>
      <c r="BF724" s="729"/>
      <c r="BG724" s="729"/>
      <c r="BH724" s="729"/>
      <c r="BI724" s="729"/>
      <c r="BJ724" s="729"/>
      <c r="BK724" s="729"/>
      <c r="BL724" s="729"/>
      <c r="BM724" s="779"/>
      <c r="BN724" s="779"/>
      <c r="BO724" s="779"/>
      <c r="BP724" s="12"/>
      <c r="BQ724" s="729"/>
      <c r="BR724" s="729"/>
      <c r="BS724" s="729"/>
      <c r="BT724" s="779"/>
      <c r="BU724" s="779"/>
      <c r="BV724" s="779"/>
      <c r="BW724" s="2"/>
      <c r="BX724" s="12"/>
      <c r="BY724" s="729"/>
      <c r="BZ724" s="729"/>
      <c r="CA724" s="729"/>
      <c r="CB724" s="779"/>
      <c r="CC724" s="779"/>
      <c r="CD724" s="779"/>
      <c r="CE724" s="2"/>
      <c r="CF724" s="729"/>
      <c r="CG724" s="729"/>
      <c r="CH724" s="729"/>
      <c r="CI724" s="729"/>
      <c r="CJ724" s="228"/>
      <c r="CK724" s="729"/>
      <c r="CL724" s="729"/>
      <c r="CM724" s="228"/>
      <c r="CN724" s="729"/>
      <c r="CO724" s="729"/>
      <c r="CP724" s="729"/>
      <c r="CQ724" s="729"/>
      <c r="CR724" s="729"/>
      <c r="CS724" s="729"/>
      <c r="CT724" s="729"/>
      <c r="CU724" s="228"/>
      <c r="CV724" s="779"/>
      <c r="CW724" s="779"/>
      <c r="CX724" s="729"/>
      <c r="CY724" s="228"/>
      <c r="CZ724" s="228"/>
      <c r="DA724" s="12"/>
      <c r="DB724" s="164"/>
      <c r="DC724" s="14"/>
      <c r="DD724" s="729"/>
      <c r="DE724" s="729"/>
      <c r="DF724" s="729"/>
      <c r="DG724" s="729"/>
      <c r="DH724" s="730"/>
      <c r="DI724" s="729"/>
      <c r="DJ724" s="729"/>
      <c r="DK724" s="729"/>
      <c r="DL724" s="729"/>
      <c r="DM724" s="4"/>
    </row>
    <row r="725" spans="1:117" ht="12.75" customHeight="1">
      <c r="A725" s="228"/>
      <c r="B725" s="3"/>
      <c r="C725" s="228"/>
      <c r="D725" s="228"/>
      <c r="E725" s="3"/>
      <c r="F725" s="3"/>
      <c r="G725" s="729"/>
      <c r="H725" s="729"/>
      <c r="I725" s="729"/>
      <c r="J725" s="3"/>
      <c r="K725" s="1010"/>
      <c r="L725" s="12"/>
      <c r="M725" s="12"/>
      <c r="N725" s="12"/>
      <c r="O725" s="1010"/>
      <c r="P725" s="1011"/>
      <c r="Q725" s="1011"/>
      <c r="R725" s="12"/>
      <c r="S725" s="12"/>
      <c r="T725" s="12"/>
      <c r="U725" s="12"/>
      <c r="V725" s="12"/>
      <c r="W725" s="1012"/>
      <c r="X725" s="1023"/>
      <c r="Y725" s="1012"/>
      <c r="Z725" s="1012"/>
      <c r="AA725" s="1012"/>
      <c r="AB725" s="1011"/>
      <c r="AC725" s="1011"/>
      <c r="AD725" s="1012"/>
      <c r="AE725" s="12"/>
      <c r="AF725" s="729"/>
      <c r="AG725" s="1014"/>
      <c r="AH725" s="1014"/>
      <c r="AI725" s="729"/>
      <c r="AJ725" s="729"/>
      <c r="AK725" s="729"/>
      <c r="AL725" s="729"/>
      <c r="AM725" s="729"/>
      <c r="AN725" s="729"/>
      <c r="AO725" s="729"/>
      <c r="AP725" s="729"/>
      <c r="AQ725" s="729"/>
      <c r="AR725" s="729"/>
      <c r="AS725" s="729"/>
      <c r="AT725" s="729"/>
      <c r="AU725" s="729"/>
      <c r="AV725" s="729"/>
      <c r="AW725" s="729"/>
      <c r="AX725" s="729"/>
      <c r="AY725" s="729"/>
      <c r="AZ725" s="729"/>
      <c r="BA725" s="729"/>
      <c r="BB725" s="729"/>
      <c r="BC725" s="729"/>
      <c r="BD725" s="729"/>
      <c r="BE725" s="729"/>
      <c r="BF725" s="729"/>
      <c r="BG725" s="729"/>
      <c r="BH725" s="729"/>
      <c r="BI725" s="729"/>
      <c r="BJ725" s="729"/>
      <c r="BK725" s="729"/>
      <c r="BL725" s="729"/>
      <c r="BM725" s="779"/>
      <c r="BN725" s="779"/>
      <c r="BO725" s="779"/>
      <c r="BP725" s="12"/>
      <c r="BQ725" s="729"/>
      <c r="BR725" s="729"/>
      <c r="BS725" s="729"/>
      <c r="BT725" s="779"/>
      <c r="BU725" s="779"/>
      <c r="BV725" s="779"/>
      <c r="BW725" s="2"/>
      <c r="BX725" s="12"/>
      <c r="BY725" s="729"/>
      <c r="BZ725" s="729"/>
      <c r="CA725" s="729"/>
      <c r="CB725" s="779"/>
      <c r="CC725" s="779"/>
      <c r="CD725" s="779"/>
      <c r="CE725" s="2"/>
      <c r="CF725" s="729"/>
      <c r="CG725" s="729"/>
      <c r="CH725" s="729"/>
      <c r="CI725" s="729"/>
      <c r="CJ725" s="228"/>
      <c r="CK725" s="729"/>
      <c r="CL725" s="729"/>
      <c r="CM725" s="228"/>
      <c r="CN725" s="729"/>
      <c r="CO725" s="729"/>
      <c r="CP725" s="729"/>
      <c r="CQ725" s="729"/>
      <c r="CR725" s="729"/>
      <c r="CS725" s="729"/>
      <c r="CT725" s="729"/>
      <c r="CU725" s="228"/>
      <c r="CV725" s="779"/>
      <c r="CW725" s="779"/>
      <c r="CX725" s="729"/>
      <c r="CY725" s="228"/>
      <c r="CZ725" s="228"/>
      <c r="DA725" s="12"/>
      <c r="DB725" s="164"/>
      <c r="DC725" s="14"/>
      <c r="DD725" s="729"/>
      <c r="DE725" s="729"/>
      <c r="DF725" s="729"/>
      <c r="DG725" s="729"/>
      <c r="DH725" s="730"/>
      <c r="DI725" s="729"/>
      <c r="DJ725" s="729"/>
      <c r="DK725" s="729"/>
      <c r="DL725" s="729"/>
      <c r="DM725" s="4"/>
    </row>
    <row r="726" spans="1:117" ht="12.75" customHeight="1">
      <c r="A726" s="228"/>
      <c r="B726" s="3"/>
      <c r="C726" s="228"/>
      <c r="D726" s="228"/>
      <c r="E726" s="3"/>
      <c r="F726" s="3"/>
      <c r="G726" s="729"/>
      <c r="H726" s="729"/>
      <c r="I726" s="729"/>
      <c r="J726" s="3"/>
      <c r="K726" s="1010"/>
      <c r="L726" s="12"/>
      <c r="M726" s="12"/>
      <c r="N726" s="12"/>
      <c r="O726" s="1010"/>
      <c r="P726" s="1011"/>
      <c r="Q726" s="1011"/>
      <c r="R726" s="12"/>
      <c r="S726" s="12"/>
      <c r="T726" s="12"/>
      <c r="U726" s="12"/>
      <c r="V726" s="12"/>
      <c r="W726" s="1012"/>
      <c r="X726" s="1023"/>
      <c r="Y726" s="1012"/>
      <c r="Z726" s="1012"/>
      <c r="AA726" s="1012"/>
      <c r="AB726" s="1011"/>
      <c r="AC726" s="1011"/>
      <c r="AD726" s="1012"/>
      <c r="AE726" s="12"/>
      <c r="AF726" s="729"/>
      <c r="AG726" s="1014"/>
      <c r="AH726" s="1014"/>
      <c r="AI726" s="729"/>
      <c r="AJ726" s="729"/>
      <c r="AK726" s="729"/>
      <c r="AL726" s="729"/>
      <c r="AM726" s="729"/>
      <c r="AN726" s="729"/>
      <c r="AO726" s="729"/>
      <c r="AP726" s="729"/>
      <c r="AQ726" s="729"/>
      <c r="AR726" s="729"/>
      <c r="AS726" s="729"/>
      <c r="AT726" s="729"/>
      <c r="AU726" s="729"/>
      <c r="AV726" s="729"/>
      <c r="AW726" s="729"/>
      <c r="AX726" s="729"/>
      <c r="AY726" s="729"/>
      <c r="AZ726" s="729"/>
      <c r="BA726" s="729"/>
      <c r="BB726" s="729"/>
      <c r="BC726" s="729"/>
      <c r="BD726" s="729"/>
      <c r="BE726" s="729"/>
      <c r="BF726" s="729"/>
      <c r="BG726" s="729"/>
      <c r="BH726" s="729"/>
      <c r="BI726" s="729"/>
      <c r="BJ726" s="729"/>
      <c r="BK726" s="729"/>
      <c r="BL726" s="729"/>
      <c r="BM726" s="779"/>
      <c r="BN726" s="779"/>
      <c r="BO726" s="779"/>
      <c r="BP726" s="12"/>
      <c r="BQ726" s="729"/>
      <c r="BR726" s="729"/>
      <c r="BS726" s="729"/>
      <c r="BT726" s="779"/>
      <c r="BU726" s="779"/>
      <c r="BV726" s="779"/>
      <c r="BW726" s="2"/>
      <c r="BX726" s="12"/>
      <c r="BY726" s="729"/>
      <c r="BZ726" s="729"/>
      <c r="CA726" s="729"/>
      <c r="CB726" s="779"/>
      <c r="CC726" s="779"/>
      <c r="CD726" s="779"/>
      <c r="CE726" s="2"/>
      <c r="CF726" s="729"/>
      <c r="CG726" s="729"/>
      <c r="CH726" s="729"/>
      <c r="CI726" s="729"/>
      <c r="CJ726" s="228"/>
      <c r="CK726" s="729"/>
      <c r="CL726" s="729"/>
      <c r="CM726" s="228"/>
      <c r="CN726" s="729"/>
      <c r="CO726" s="729"/>
      <c r="CP726" s="729"/>
      <c r="CQ726" s="729"/>
      <c r="CR726" s="729"/>
      <c r="CS726" s="729"/>
      <c r="CT726" s="729"/>
      <c r="CU726" s="228"/>
      <c r="CV726" s="779"/>
      <c r="CW726" s="779"/>
      <c r="CX726" s="729"/>
      <c r="CY726" s="228"/>
      <c r="CZ726" s="228"/>
      <c r="DA726" s="12"/>
      <c r="DB726" s="164"/>
      <c r="DC726" s="14"/>
      <c r="DD726" s="729"/>
      <c r="DE726" s="729"/>
      <c r="DF726" s="729"/>
      <c r="DG726" s="729"/>
      <c r="DH726" s="730"/>
      <c r="DI726" s="729"/>
      <c r="DJ726" s="729"/>
      <c r="DK726" s="729"/>
      <c r="DL726" s="729"/>
      <c r="DM726" s="4"/>
    </row>
    <row r="727" spans="1:117" ht="12.75" customHeight="1">
      <c r="A727" s="228"/>
      <c r="B727" s="3"/>
      <c r="C727" s="228"/>
      <c r="D727" s="228"/>
      <c r="E727" s="3"/>
      <c r="F727" s="3"/>
      <c r="G727" s="729"/>
      <c r="H727" s="729"/>
      <c r="I727" s="729"/>
      <c r="J727" s="3"/>
      <c r="K727" s="1010"/>
      <c r="L727" s="12"/>
      <c r="M727" s="12"/>
      <c r="N727" s="12"/>
      <c r="O727" s="1010"/>
      <c r="P727" s="1011"/>
      <c r="Q727" s="1011"/>
      <c r="R727" s="12"/>
      <c r="S727" s="12"/>
      <c r="T727" s="12"/>
      <c r="U727" s="12"/>
      <c r="V727" s="12"/>
      <c r="W727" s="1012"/>
      <c r="X727" s="1023"/>
      <c r="Y727" s="1012"/>
      <c r="Z727" s="1012"/>
      <c r="AA727" s="1012"/>
      <c r="AB727" s="1011"/>
      <c r="AC727" s="1011"/>
      <c r="AD727" s="1012"/>
      <c r="AE727" s="12"/>
      <c r="AF727" s="729"/>
      <c r="AG727" s="1014"/>
      <c r="AH727" s="1014"/>
      <c r="AI727" s="729"/>
      <c r="AJ727" s="729"/>
      <c r="AK727" s="729"/>
      <c r="AL727" s="729"/>
      <c r="AM727" s="729"/>
      <c r="AN727" s="729"/>
      <c r="AO727" s="729"/>
      <c r="AP727" s="729"/>
      <c r="AQ727" s="729"/>
      <c r="AR727" s="729"/>
      <c r="AS727" s="729"/>
      <c r="AT727" s="729"/>
      <c r="AU727" s="729"/>
      <c r="AV727" s="729"/>
      <c r="AW727" s="729"/>
      <c r="AX727" s="729"/>
      <c r="AY727" s="729"/>
      <c r="AZ727" s="729"/>
      <c r="BA727" s="729"/>
      <c r="BB727" s="729"/>
      <c r="BC727" s="729"/>
      <c r="BD727" s="729"/>
      <c r="BE727" s="729"/>
      <c r="BF727" s="729"/>
      <c r="BG727" s="729"/>
      <c r="BH727" s="729"/>
      <c r="BI727" s="729"/>
      <c r="BJ727" s="729"/>
      <c r="BK727" s="729"/>
      <c r="BL727" s="729"/>
      <c r="BM727" s="779"/>
      <c r="BN727" s="779"/>
      <c r="BO727" s="779"/>
      <c r="BP727" s="12"/>
      <c r="BQ727" s="729"/>
      <c r="BR727" s="729"/>
      <c r="BS727" s="729"/>
      <c r="BT727" s="779"/>
      <c r="BU727" s="779"/>
      <c r="BV727" s="779"/>
      <c r="BW727" s="2"/>
      <c r="BX727" s="12"/>
      <c r="BY727" s="729"/>
      <c r="BZ727" s="729"/>
      <c r="CA727" s="729"/>
      <c r="CB727" s="779"/>
      <c r="CC727" s="779"/>
      <c r="CD727" s="779"/>
      <c r="CE727" s="2"/>
      <c r="CF727" s="729"/>
      <c r="CG727" s="729"/>
      <c r="CH727" s="729"/>
      <c r="CI727" s="729"/>
      <c r="CJ727" s="228"/>
      <c r="CK727" s="729"/>
      <c r="CL727" s="729"/>
      <c r="CM727" s="228"/>
      <c r="CN727" s="729"/>
      <c r="CO727" s="729"/>
      <c r="CP727" s="729"/>
      <c r="CQ727" s="729"/>
      <c r="CR727" s="729"/>
      <c r="CS727" s="729"/>
      <c r="CT727" s="729"/>
      <c r="CU727" s="228"/>
      <c r="CV727" s="779"/>
      <c r="CW727" s="779"/>
      <c r="CX727" s="729"/>
      <c r="CY727" s="228"/>
      <c r="CZ727" s="228"/>
      <c r="DA727" s="12"/>
      <c r="DB727" s="164"/>
      <c r="DC727" s="14"/>
      <c r="DD727" s="729"/>
      <c r="DE727" s="729"/>
      <c r="DF727" s="729"/>
      <c r="DG727" s="729"/>
      <c r="DH727" s="730"/>
      <c r="DI727" s="729"/>
      <c r="DJ727" s="729"/>
      <c r="DK727" s="729"/>
      <c r="DL727" s="729"/>
      <c r="DM727" s="4"/>
    </row>
    <row r="728" spans="1:117" ht="12.75" customHeight="1">
      <c r="A728" s="228"/>
      <c r="B728" s="3"/>
      <c r="C728" s="228"/>
      <c r="D728" s="228"/>
      <c r="E728" s="3"/>
      <c r="F728" s="3"/>
      <c r="G728" s="729"/>
      <c r="H728" s="729"/>
      <c r="I728" s="729"/>
      <c r="J728" s="3"/>
      <c r="K728" s="1010"/>
      <c r="L728" s="12"/>
      <c r="M728" s="12"/>
      <c r="N728" s="12"/>
      <c r="O728" s="1010"/>
      <c r="P728" s="1011"/>
      <c r="Q728" s="1011"/>
      <c r="R728" s="12"/>
      <c r="S728" s="12"/>
      <c r="T728" s="12"/>
      <c r="U728" s="12"/>
      <c r="V728" s="12"/>
      <c r="W728" s="1012"/>
      <c r="X728" s="1023"/>
      <c r="Y728" s="1012"/>
      <c r="Z728" s="1012"/>
      <c r="AA728" s="1012"/>
      <c r="AB728" s="1011"/>
      <c r="AC728" s="1011"/>
      <c r="AD728" s="1012"/>
      <c r="AE728" s="12"/>
      <c r="AF728" s="729"/>
      <c r="AG728" s="1014"/>
      <c r="AH728" s="1014"/>
      <c r="AI728" s="729"/>
      <c r="AJ728" s="729"/>
      <c r="AK728" s="729"/>
      <c r="AL728" s="729"/>
      <c r="AM728" s="729"/>
      <c r="AN728" s="729"/>
      <c r="AO728" s="729"/>
      <c r="AP728" s="729"/>
      <c r="AQ728" s="729"/>
      <c r="AR728" s="729"/>
      <c r="AS728" s="729"/>
      <c r="AT728" s="729"/>
      <c r="AU728" s="729"/>
      <c r="AV728" s="729"/>
      <c r="AW728" s="729"/>
      <c r="AX728" s="729"/>
      <c r="AY728" s="729"/>
      <c r="AZ728" s="729"/>
      <c r="BA728" s="729"/>
      <c r="BB728" s="729"/>
      <c r="BC728" s="729"/>
      <c r="BD728" s="729"/>
      <c r="BE728" s="729"/>
      <c r="BF728" s="729"/>
      <c r="BG728" s="729"/>
      <c r="BH728" s="729"/>
      <c r="BI728" s="729"/>
      <c r="BJ728" s="729"/>
      <c r="BK728" s="729"/>
      <c r="BL728" s="729"/>
      <c r="BM728" s="779"/>
      <c r="BN728" s="779"/>
      <c r="BO728" s="779"/>
      <c r="BP728" s="12"/>
      <c r="BQ728" s="729"/>
      <c r="BR728" s="729"/>
      <c r="BS728" s="729"/>
      <c r="BT728" s="779"/>
      <c r="BU728" s="779"/>
      <c r="BV728" s="779"/>
      <c r="BW728" s="2"/>
      <c r="BX728" s="12"/>
      <c r="BY728" s="729"/>
      <c r="BZ728" s="729"/>
      <c r="CA728" s="729"/>
      <c r="CB728" s="779"/>
      <c r="CC728" s="779"/>
      <c r="CD728" s="779"/>
      <c r="CE728" s="2"/>
      <c r="CF728" s="729"/>
      <c r="CG728" s="729"/>
      <c r="CH728" s="729"/>
      <c r="CI728" s="729"/>
      <c r="CJ728" s="228"/>
      <c r="CK728" s="729"/>
      <c r="CL728" s="729"/>
      <c r="CM728" s="228"/>
      <c r="CN728" s="729"/>
      <c r="CO728" s="729"/>
      <c r="CP728" s="729"/>
      <c r="CQ728" s="729"/>
      <c r="CR728" s="729"/>
      <c r="CS728" s="729"/>
      <c r="CT728" s="729"/>
      <c r="CU728" s="228"/>
      <c r="CV728" s="779"/>
      <c r="CW728" s="779"/>
      <c r="CX728" s="729"/>
      <c r="CY728" s="228"/>
      <c r="CZ728" s="228"/>
      <c r="DA728" s="12"/>
      <c r="DB728" s="164"/>
      <c r="DC728" s="14"/>
      <c r="DD728" s="729"/>
      <c r="DE728" s="729"/>
      <c r="DF728" s="729"/>
      <c r="DG728" s="729"/>
      <c r="DH728" s="730"/>
      <c r="DI728" s="729"/>
      <c r="DJ728" s="729"/>
      <c r="DK728" s="729"/>
      <c r="DL728" s="729"/>
      <c r="DM728" s="4"/>
    </row>
    <row r="729" spans="1:117" ht="12.75" customHeight="1">
      <c r="A729" s="228"/>
      <c r="B729" s="3"/>
      <c r="C729" s="228"/>
      <c r="D729" s="228"/>
      <c r="E729" s="3"/>
      <c r="F729" s="3"/>
      <c r="G729" s="729"/>
      <c r="H729" s="729"/>
      <c r="I729" s="729"/>
      <c r="J729" s="3"/>
      <c r="K729" s="1010"/>
      <c r="L729" s="12"/>
      <c r="M729" s="12"/>
      <c r="N729" s="12"/>
      <c r="O729" s="1010"/>
      <c r="P729" s="1011"/>
      <c r="Q729" s="1011"/>
      <c r="R729" s="12"/>
      <c r="S729" s="12"/>
      <c r="T729" s="12"/>
      <c r="U729" s="12"/>
      <c r="V729" s="12"/>
      <c r="W729" s="1012"/>
      <c r="X729" s="1023"/>
      <c r="Y729" s="1012"/>
      <c r="Z729" s="1012"/>
      <c r="AA729" s="1012"/>
      <c r="AB729" s="1011"/>
      <c r="AC729" s="1011"/>
      <c r="AD729" s="1012"/>
      <c r="AE729" s="12"/>
      <c r="AF729" s="729"/>
      <c r="AG729" s="1014"/>
      <c r="AH729" s="1014"/>
      <c r="AI729" s="729"/>
      <c r="AJ729" s="729"/>
      <c r="AK729" s="729"/>
      <c r="AL729" s="729"/>
      <c r="AM729" s="729"/>
      <c r="AN729" s="729"/>
      <c r="AO729" s="729"/>
      <c r="AP729" s="729"/>
      <c r="AQ729" s="729"/>
      <c r="AR729" s="729"/>
      <c r="AS729" s="729"/>
      <c r="AT729" s="729"/>
      <c r="AU729" s="729"/>
      <c r="AV729" s="729"/>
      <c r="AW729" s="729"/>
      <c r="AX729" s="729"/>
      <c r="AY729" s="729"/>
      <c r="AZ729" s="729"/>
      <c r="BA729" s="729"/>
      <c r="BB729" s="729"/>
      <c r="BC729" s="729"/>
      <c r="BD729" s="729"/>
      <c r="BE729" s="729"/>
      <c r="BF729" s="729"/>
      <c r="BG729" s="729"/>
      <c r="BH729" s="729"/>
      <c r="BI729" s="729"/>
      <c r="BJ729" s="729"/>
      <c r="BK729" s="729"/>
      <c r="BL729" s="729"/>
      <c r="BM729" s="779"/>
      <c r="BN729" s="779"/>
      <c r="BO729" s="779"/>
      <c r="BP729" s="12"/>
      <c r="BQ729" s="729"/>
      <c r="BR729" s="729"/>
      <c r="BS729" s="729"/>
      <c r="BT729" s="779"/>
      <c r="BU729" s="779"/>
      <c r="BV729" s="779"/>
      <c r="BW729" s="2"/>
      <c r="BX729" s="12"/>
      <c r="BY729" s="729"/>
      <c r="BZ729" s="729"/>
      <c r="CA729" s="729"/>
      <c r="CB729" s="779"/>
      <c r="CC729" s="779"/>
      <c r="CD729" s="779"/>
      <c r="CE729" s="2"/>
      <c r="CF729" s="729"/>
      <c r="CG729" s="729"/>
      <c r="CH729" s="729"/>
      <c r="CI729" s="729"/>
      <c r="CJ729" s="228"/>
      <c r="CK729" s="729"/>
      <c r="CL729" s="729"/>
      <c r="CM729" s="228"/>
      <c r="CN729" s="729"/>
      <c r="CO729" s="729"/>
      <c r="CP729" s="729"/>
      <c r="CQ729" s="729"/>
      <c r="CR729" s="729"/>
      <c r="CS729" s="729"/>
      <c r="CT729" s="729"/>
      <c r="CU729" s="228"/>
      <c r="CV729" s="779"/>
      <c r="CW729" s="779"/>
      <c r="CX729" s="729"/>
      <c r="CY729" s="228"/>
      <c r="CZ729" s="228"/>
      <c r="DA729" s="12"/>
      <c r="DB729" s="164"/>
      <c r="DC729" s="14"/>
      <c r="DD729" s="729"/>
      <c r="DE729" s="729"/>
      <c r="DF729" s="729"/>
      <c r="DG729" s="729"/>
      <c r="DH729" s="730"/>
      <c r="DI729" s="729"/>
      <c r="DJ729" s="729"/>
      <c r="DK729" s="729"/>
      <c r="DL729" s="729"/>
      <c r="DM729" s="4"/>
    </row>
    <row r="730" spans="1:117" ht="12.75" customHeight="1">
      <c r="A730" s="228"/>
      <c r="B730" s="3"/>
      <c r="C730" s="228"/>
      <c r="D730" s="228"/>
      <c r="E730" s="3"/>
      <c r="F730" s="3"/>
      <c r="G730" s="729"/>
      <c r="H730" s="729"/>
      <c r="I730" s="729"/>
      <c r="J730" s="3"/>
      <c r="K730" s="1010"/>
      <c r="L730" s="12"/>
      <c r="M730" s="12"/>
      <c r="N730" s="12"/>
      <c r="O730" s="1010"/>
      <c r="P730" s="1011"/>
      <c r="Q730" s="1011"/>
      <c r="R730" s="12"/>
      <c r="S730" s="12"/>
      <c r="T730" s="12"/>
      <c r="U730" s="12"/>
      <c r="V730" s="12"/>
      <c r="W730" s="1012"/>
      <c r="X730" s="1023"/>
      <c r="Y730" s="1012"/>
      <c r="Z730" s="1012"/>
      <c r="AA730" s="1012"/>
      <c r="AB730" s="1011"/>
      <c r="AC730" s="1011"/>
      <c r="AD730" s="1012"/>
      <c r="AE730" s="12"/>
      <c r="AF730" s="729"/>
      <c r="AG730" s="1014"/>
      <c r="AH730" s="1014"/>
      <c r="AI730" s="729"/>
      <c r="AJ730" s="729"/>
      <c r="AK730" s="729"/>
      <c r="AL730" s="729"/>
      <c r="AM730" s="729"/>
      <c r="AN730" s="729"/>
      <c r="AO730" s="729"/>
      <c r="AP730" s="729"/>
      <c r="AQ730" s="729"/>
      <c r="AR730" s="729"/>
      <c r="AS730" s="729"/>
      <c r="AT730" s="729"/>
      <c r="AU730" s="729"/>
      <c r="AV730" s="729"/>
      <c r="AW730" s="729"/>
      <c r="AX730" s="729"/>
      <c r="AY730" s="729"/>
      <c r="AZ730" s="729"/>
      <c r="BA730" s="729"/>
      <c r="BB730" s="729"/>
      <c r="BC730" s="729"/>
      <c r="BD730" s="729"/>
      <c r="BE730" s="729"/>
      <c r="BF730" s="729"/>
      <c r="BG730" s="729"/>
      <c r="BH730" s="729"/>
      <c r="BI730" s="729"/>
      <c r="BJ730" s="729"/>
      <c r="BK730" s="729"/>
      <c r="BL730" s="729"/>
      <c r="BM730" s="779"/>
      <c r="BN730" s="779"/>
      <c r="BO730" s="779"/>
      <c r="BP730" s="12"/>
      <c r="BQ730" s="729"/>
      <c r="BR730" s="729"/>
      <c r="BS730" s="729"/>
      <c r="BT730" s="779"/>
      <c r="BU730" s="779"/>
      <c r="BV730" s="779"/>
      <c r="BW730" s="2"/>
      <c r="BX730" s="12"/>
      <c r="BY730" s="729"/>
      <c r="BZ730" s="729"/>
      <c r="CA730" s="729"/>
      <c r="CB730" s="779"/>
      <c r="CC730" s="779"/>
      <c r="CD730" s="779"/>
      <c r="CE730" s="2"/>
      <c r="CF730" s="729"/>
      <c r="CG730" s="729"/>
      <c r="CH730" s="729"/>
      <c r="CI730" s="729"/>
      <c r="CJ730" s="228"/>
      <c r="CK730" s="729"/>
      <c r="CL730" s="729"/>
      <c r="CM730" s="228"/>
      <c r="CN730" s="729"/>
      <c r="CO730" s="729"/>
      <c r="CP730" s="729"/>
      <c r="CQ730" s="729"/>
      <c r="CR730" s="729"/>
      <c r="CS730" s="729"/>
      <c r="CT730" s="729"/>
      <c r="CU730" s="228"/>
      <c r="CV730" s="779"/>
      <c r="CW730" s="779"/>
      <c r="CX730" s="729"/>
      <c r="CY730" s="228"/>
      <c r="CZ730" s="228"/>
      <c r="DA730" s="12"/>
      <c r="DB730" s="164"/>
      <c r="DC730" s="14"/>
      <c r="DD730" s="729"/>
      <c r="DE730" s="729"/>
      <c r="DF730" s="729"/>
      <c r="DG730" s="729"/>
      <c r="DH730" s="730"/>
      <c r="DI730" s="729"/>
      <c r="DJ730" s="729"/>
      <c r="DK730" s="729"/>
      <c r="DL730" s="729"/>
      <c r="DM730" s="4"/>
    </row>
    <row r="731" spans="1:117" ht="12.75" customHeight="1">
      <c r="A731" s="228"/>
      <c r="B731" s="3"/>
      <c r="C731" s="228"/>
      <c r="D731" s="228"/>
      <c r="E731" s="3"/>
      <c r="F731" s="3"/>
      <c r="G731" s="729"/>
      <c r="H731" s="729"/>
      <c r="I731" s="729"/>
      <c r="J731" s="3"/>
      <c r="K731" s="1010"/>
      <c r="L731" s="12"/>
      <c r="M731" s="12"/>
      <c r="N731" s="12"/>
      <c r="O731" s="1010"/>
      <c r="P731" s="1011"/>
      <c r="Q731" s="1011"/>
      <c r="R731" s="12"/>
      <c r="S731" s="12"/>
      <c r="T731" s="12"/>
      <c r="U731" s="12"/>
      <c r="V731" s="12"/>
      <c r="W731" s="1012"/>
      <c r="X731" s="1023"/>
      <c r="Y731" s="1012"/>
      <c r="Z731" s="1012"/>
      <c r="AA731" s="1012"/>
      <c r="AB731" s="1011"/>
      <c r="AC731" s="1011"/>
      <c r="AD731" s="1012"/>
      <c r="AE731" s="12"/>
      <c r="AF731" s="729"/>
      <c r="AG731" s="1014"/>
      <c r="AH731" s="1014"/>
      <c r="AI731" s="729"/>
      <c r="AJ731" s="729"/>
      <c r="AK731" s="729"/>
      <c r="AL731" s="729"/>
      <c r="AM731" s="729"/>
      <c r="AN731" s="729"/>
      <c r="AO731" s="729"/>
      <c r="AP731" s="729"/>
      <c r="AQ731" s="729"/>
      <c r="AR731" s="729"/>
      <c r="AS731" s="729"/>
      <c r="AT731" s="729"/>
      <c r="AU731" s="729"/>
      <c r="AV731" s="729"/>
      <c r="AW731" s="729"/>
      <c r="AX731" s="729"/>
      <c r="AY731" s="729"/>
      <c r="AZ731" s="729"/>
      <c r="BA731" s="729"/>
      <c r="BB731" s="729"/>
      <c r="BC731" s="729"/>
      <c r="BD731" s="729"/>
      <c r="BE731" s="729"/>
      <c r="BF731" s="729"/>
      <c r="BG731" s="729"/>
      <c r="BH731" s="729"/>
      <c r="BI731" s="729"/>
      <c r="BJ731" s="729"/>
      <c r="BK731" s="729"/>
      <c r="BL731" s="729"/>
      <c r="BM731" s="779"/>
      <c r="BN731" s="779"/>
      <c r="BO731" s="779"/>
      <c r="BP731" s="12"/>
      <c r="BQ731" s="729"/>
      <c r="BR731" s="729"/>
      <c r="BS731" s="729"/>
      <c r="BT731" s="779"/>
      <c r="BU731" s="779"/>
      <c r="BV731" s="779"/>
      <c r="BW731" s="2"/>
      <c r="BX731" s="12"/>
      <c r="BY731" s="729"/>
      <c r="BZ731" s="729"/>
      <c r="CA731" s="729"/>
      <c r="CB731" s="779"/>
      <c r="CC731" s="779"/>
      <c r="CD731" s="779"/>
      <c r="CE731" s="2"/>
      <c r="CF731" s="729"/>
      <c r="CG731" s="729"/>
      <c r="CH731" s="729"/>
      <c r="CI731" s="729"/>
      <c r="CJ731" s="228"/>
      <c r="CK731" s="729"/>
      <c r="CL731" s="729"/>
      <c r="CM731" s="228"/>
      <c r="CN731" s="729"/>
      <c r="CO731" s="729"/>
      <c r="CP731" s="729"/>
      <c r="CQ731" s="729"/>
      <c r="CR731" s="729"/>
      <c r="CS731" s="729"/>
      <c r="CT731" s="729"/>
      <c r="CU731" s="228"/>
      <c r="CV731" s="779"/>
      <c r="CW731" s="779"/>
      <c r="CX731" s="729"/>
      <c r="CY731" s="228"/>
      <c r="CZ731" s="228"/>
      <c r="DA731" s="12"/>
      <c r="DB731" s="164"/>
      <c r="DC731" s="14"/>
      <c r="DD731" s="729"/>
      <c r="DE731" s="729"/>
      <c r="DF731" s="729"/>
      <c r="DG731" s="729"/>
      <c r="DH731" s="730"/>
      <c r="DI731" s="729"/>
      <c r="DJ731" s="729"/>
      <c r="DK731" s="729"/>
      <c r="DL731" s="729"/>
      <c r="DM731" s="4"/>
    </row>
    <row r="732" spans="1:117" ht="12.75" customHeight="1">
      <c r="A732" s="228"/>
      <c r="B732" s="3"/>
      <c r="C732" s="228"/>
      <c r="D732" s="228"/>
      <c r="E732" s="3"/>
      <c r="F732" s="3"/>
      <c r="G732" s="729"/>
      <c r="H732" s="729"/>
      <c r="I732" s="729"/>
      <c r="J732" s="3"/>
      <c r="K732" s="1010"/>
      <c r="L732" s="12"/>
      <c r="M732" s="12"/>
      <c r="N732" s="12"/>
      <c r="O732" s="1010"/>
      <c r="P732" s="1011"/>
      <c r="Q732" s="1011"/>
      <c r="R732" s="12"/>
      <c r="S732" s="12"/>
      <c r="T732" s="12"/>
      <c r="U732" s="12"/>
      <c r="V732" s="12"/>
      <c r="W732" s="1012"/>
      <c r="X732" s="1023"/>
      <c r="Y732" s="1012"/>
      <c r="Z732" s="1012"/>
      <c r="AA732" s="1012"/>
      <c r="AB732" s="1011"/>
      <c r="AC732" s="1011"/>
      <c r="AD732" s="1012"/>
      <c r="AE732" s="12"/>
      <c r="AF732" s="729"/>
      <c r="AG732" s="1014"/>
      <c r="AH732" s="1014"/>
      <c r="AI732" s="729"/>
      <c r="AJ732" s="729"/>
      <c r="AK732" s="729"/>
      <c r="AL732" s="729"/>
      <c r="AM732" s="729"/>
      <c r="AN732" s="729"/>
      <c r="AO732" s="729"/>
      <c r="AP732" s="729"/>
      <c r="AQ732" s="729"/>
      <c r="AR732" s="729"/>
      <c r="AS732" s="729"/>
      <c r="AT732" s="729"/>
      <c r="AU732" s="729"/>
      <c r="AV732" s="729"/>
      <c r="AW732" s="729"/>
      <c r="AX732" s="729"/>
      <c r="AY732" s="729"/>
      <c r="AZ732" s="729"/>
      <c r="BA732" s="729"/>
      <c r="BB732" s="729"/>
      <c r="BC732" s="729"/>
      <c r="BD732" s="729"/>
      <c r="BE732" s="729"/>
      <c r="BF732" s="729"/>
      <c r="BG732" s="729"/>
      <c r="BH732" s="729"/>
      <c r="BI732" s="729"/>
      <c r="BJ732" s="729"/>
      <c r="BK732" s="729"/>
      <c r="BL732" s="729"/>
      <c r="BM732" s="779"/>
      <c r="BN732" s="779"/>
      <c r="BO732" s="779"/>
      <c r="BP732" s="12"/>
      <c r="BQ732" s="729"/>
      <c r="BR732" s="729"/>
      <c r="BS732" s="729"/>
      <c r="BT732" s="779"/>
      <c r="BU732" s="779"/>
      <c r="BV732" s="779"/>
      <c r="BW732" s="2"/>
      <c r="BX732" s="12"/>
      <c r="BY732" s="729"/>
      <c r="BZ732" s="729"/>
      <c r="CA732" s="729"/>
      <c r="CB732" s="779"/>
      <c r="CC732" s="779"/>
      <c r="CD732" s="779"/>
      <c r="CE732" s="2"/>
      <c r="CF732" s="729"/>
      <c r="CG732" s="729"/>
      <c r="CH732" s="729"/>
      <c r="CI732" s="729"/>
      <c r="CJ732" s="228"/>
      <c r="CK732" s="729"/>
      <c r="CL732" s="729"/>
      <c r="CM732" s="228"/>
      <c r="CN732" s="729"/>
      <c r="CO732" s="729"/>
      <c r="CP732" s="729"/>
      <c r="CQ732" s="729"/>
      <c r="CR732" s="729"/>
      <c r="CS732" s="729"/>
      <c r="CT732" s="729"/>
      <c r="CU732" s="228"/>
      <c r="CV732" s="779"/>
      <c r="CW732" s="779"/>
      <c r="CX732" s="729"/>
      <c r="CY732" s="228"/>
      <c r="CZ732" s="228"/>
      <c r="DA732" s="12"/>
      <c r="DB732" s="164"/>
      <c r="DC732" s="14"/>
      <c r="DD732" s="729"/>
      <c r="DE732" s="729"/>
      <c r="DF732" s="729"/>
      <c r="DG732" s="729"/>
      <c r="DH732" s="730"/>
      <c r="DI732" s="729"/>
      <c r="DJ732" s="729"/>
      <c r="DK732" s="729"/>
      <c r="DL732" s="729"/>
      <c r="DM732" s="4"/>
    </row>
    <row r="733" spans="1:117" ht="12.75" customHeight="1">
      <c r="A733" s="228"/>
      <c r="B733" s="3"/>
      <c r="C733" s="228"/>
      <c r="D733" s="228"/>
      <c r="E733" s="3"/>
      <c r="F733" s="3"/>
      <c r="G733" s="729"/>
      <c r="H733" s="729"/>
      <c r="I733" s="729"/>
      <c r="J733" s="3"/>
      <c r="K733" s="1010"/>
      <c r="L733" s="12"/>
      <c r="M733" s="12"/>
      <c r="N733" s="12"/>
      <c r="O733" s="1010"/>
      <c r="P733" s="1011"/>
      <c r="Q733" s="1011"/>
      <c r="R733" s="12"/>
      <c r="S733" s="12"/>
      <c r="T733" s="12"/>
      <c r="U733" s="12"/>
      <c r="V733" s="12"/>
      <c r="W733" s="1012"/>
      <c r="X733" s="1023"/>
      <c r="Y733" s="1012"/>
      <c r="Z733" s="1012"/>
      <c r="AA733" s="1012"/>
      <c r="AB733" s="1011"/>
      <c r="AC733" s="1011"/>
      <c r="AD733" s="1012"/>
      <c r="AE733" s="12"/>
      <c r="AF733" s="729"/>
      <c r="AG733" s="1014"/>
      <c r="AH733" s="1014"/>
      <c r="AI733" s="729"/>
      <c r="AJ733" s="729"/>
      <c r="AK733" s="729"/>
      <c r="AL733" s="729"/>
      <c r="AM733" s="729"/>
      <c r="AN733" s="729"/>
      <c r="AO733" s="729"/>
      <c r="AP733" s="729"/>
      <c r="AQ733" s="729"/>
      <c r="AR733" s="729"/>
      <c r="AS733" s="729"/>
      <c r="AT733" s="729"/>
      <c r="AU733" s="729"/>
      <c r="AV733" s="729"/>
      <c r="AW733" s="729"/>
      <c r="AX733" s="729"/>
      <c r="AY733" s="729"/>
      <c r="AZ733" s="729"/>
      <c r="BA733" s="729"/>
      <c r="BB733" s="729"/>
      <c r="BC733" s="729"/>
      <c r="BD733" s="729"/>
      <c r="BE733" s="729"/>
      <c r="BF733" s="729"/>
      <c r="BG733" s="729"/>
      <c r="BH733" s="729"/>
      <c r="BI733" s="729"/>
      <c r="BJ733" s="729"/>
      <c r="BK733" s="729"/>
      <c r="BL733" s="729"/>
      <c r="BM733" s="779"/>
      <c r="BN733" s="779"/>
      <c r="BO733" s="779"/>
      <c r="BP733" s="12"/>
      <c r="BQ733" s="729"/>
      <c r="BR733" s="729"/>
      <c r="BS733" s="729"/>
      <c r="BT733" s="779"/>
      <c r="BU733" s="779"/>
      <c r="BV733" s="779"/>
      <c r="BW733" s="2"/>
      <c r="BX733" s="12"/>
      <c r="BY733" s="729"/>
      <c r="BZ733" s="729"/>
      <c r="CA733" s="729"/>
      <c r="CB733" s="779"/>
      <c r="CC733" s="779"/>
      <c r="CD733" s="779"/>
      <c r="CE733" s="2"/>
      <c r="CF733" s="729"/>
      <c r="CG733" s="729"/>
      <c r="CH733" s="729"/>
      <c r="CI733" s="729"/>
      <c r="CJ733" s="228"/>
      <c r="CK733" s="729"/>
      <c r="CL733" s="729"/>
      <c r="CM733" s="228"/>
      <c r="CN733" s="729"/>
      <c r="CO733" s="729"/>
      <c r="CP733" s="729"/>
      <c r="CQ733" s="729"/>
      <c r="CR733" s="729"/>
      <c r="CS733" s="729"/>
      <c r="CT733" s="729"/>
      <c r="CU733" s="228"/>
      <c r="CV733" s="779"/>
      <c r="CW733" s="779"/>
      <c r="CX733" s="729"/>
      <c r="CY733" s="228"/>
      <c r="CZ733" s="228"/>
      <c r="DA733" s="12"/>
      <c r="DB733" s="164"/>
      <c r="DC733" s="14"/>
      <c r="DD733" s="729"/>
      <c r="DE733" s="729"/>
      <c r="DF733" s="729"/>
      <c r="DG733" s="729"/>
      <c r="DH733" s="730"/>
      <c r="DI733" s="729"/>
      <c r="DJ733" s="729"/>
      <c r="DK733" s="729"/>
      <c r="DL733" s="729"/>
      <c r="DM733" s="4"/>
    </row>
    <row r="734" spans="1:117" ht="12.75" customHeight="1">
      <c r="A734" s="228"/>
      <c r="B734" s="3"/>
      <c r="C734" s="228"/>
      <c r="D734" s="228"/>
      <c r="E734" s="3"/>
      <c r="F734" s="3"/>
      <c r="G734" s="729"/>
      <c r="H734" s="729"/>
      <c r="I734" s="729"/>
      <c r="J734" s="3"/>
      <c r="K734" s="1010"/>
      <c r="L734" s="12"/>
      <c r="M734" s="12"/>
      <c r="N734" s="12"/>
      <c r="O734" s="1010"/>
      <c r="P734" s="1011"/>
      <c r="Q734" s="1011"/>
      <c r="R734" s="12"/>
      <c r="S734" s="12"/>
      <c r="T734" s="12"/>
      <c r="U734" s="12"/>
      <c r="V734" s="12"/>
      <c r="W734" s="1012"/>
      <c r="X734" s="1023"/>
      <c r="Y734" s="1012"/>
      <c r="Z734" s="1012"/>
      <c r="AA734" s="1012"/>
      <c r="AB734" s="1011"/>
      <c r="AC734" s="1011"/>
      <c r="AD734" s="1012"/>
      <c r="AE734" s="12"/>
      <c r="AF734" s="729"/>
      <c r="AG734" s="1014"/>
      <c r="AH734" s="1014"/>
      <c r="AI734" s="729"/>
      <c r="AJ734" s="729"/>
      <c r="AK734" s="729"/>
      <c r="AL734" s="729"/>
      <c r="AM734" s="729"/>
      <c r="AN734" s="729"/>
      <c r="AO734" s="729"/>
      <c r="AP734" s="729"/>
      <c r="AQ734" s="729"/>
      <c r="AR734" s="729"/>
      <c r="AS734" s="729"/>
      <c r="AT734" s="729"/>
      <c r="AU734" s="729"/>
      <c r="AV734" s="729"/>
      <c r="AW734" s="729"/>
      <c r="AX734" s="729"/>
      <c r="AY734" s="729"/>
      <c r="AZ734" s="729"/>
      <c r="BA734" s="729"/>
      <c r="BB734" s="729"/>
      <c r="BC734" s="729"/>
      <c r="BD734" s="729"/>
      <c r="BE734" s="729"/>
      <c r="BF734" s="729"/>
      <c r="BG734" s="729"/>
      <c r="BH734" s="729"/>
      <c r="BI734" s="729"/>
      <c r="BJ734" s="729"/>
      <c r="BK734" s="729"/>
      <c r="BL734" s="729"/>
      <c r="BM734" s="779"/>
      <c r="BN734" s="779"/>
      <c r="BO734" s="779"/>
      <c r="BP734" s="12"/>
      <c r="BQ734" s="729"/>
      <c r="BR734" s="729"/>
      <c r="BS734" s="729"/>
      <c r="BT734" s="779"/>
      <c r="BU734" s="779"/>
      <c r="BV734" s="779"/>
      <c r="BW734" s="2"/>
      <c r="BX734" s="12"/>
      <c r="BY734" s="729"/>
      <c r="BZ734" s="729"/>
      <c r="CA734" s="729"/>
      <c r="CB734" s="779"/>
      <c r="CC734" s="779"/>
      <c r="CD734" s="779"/>
      <c r="CE734" s="2"/>
      <c r="CF734" s="729"/>
      <c r="CG734" s="729"/>
      <c r="CH734" s="729"/>
      <c r="CI734" s="729"/>
      <c r="CJ734" s="228"/>
      <c r="CK734" s="729"/>
      <c r="CL734" s="729"/>
      <c r="CM734" s="228"/>
      <c r="CN734" s="729"/>
      <c r="CO734" s="729"/>
      <c r="CP734" s="729"/>
      <c r="CQ734" s="729"/>
      <c r="CR734" s="729"/>
      <c r="CS734" s="729"/>
      <c r="CT734" s="729"/>
      <c r="CU734" s="228"/>
      <c r="CV734" s="779"/>
      <c r="CW734" s="779"/>
      <c r="CX734" s="729"/>
      <c r="CY734" s="228"/>
      <c r="CZ734" s="228"/>
      <c r="DA734" s="12"/>
      <c r="DB734" s="164"/>
      <c r="DC734" s="14"/>
      <c r="DD734" s="729"/>
      <c r="DE734" s="729"/>
      <c r="DF734" s="729"/>
      <c r="DG734" s="729"/>
      <c r="DH734" s="730"/>
      <c r="DI734" s="729"/>
      <c r="DJ734" s="729"/>
      <c r="DK734" s="729"/>
      <c r="DL734" s="729"/>
      <c r="DM734" s="4"/>
    </row>
    <row r="735" spans="1:117" ht="12.75" customHeight="1">
      <c r="A735" s="228"/>
      <c r="B735" s="3"/>
      <c r="C735" s="228"/>
      <c r="D735" s="228"/>
      <c r="E735" s="3"/>
      <c r="F735" s="3"/>
      <c r="G735" s="729"/>
      <c r="H735" s="729"/>
      <c r="I735" s="729"/>
      <c r="J735" s="3"/>
      <c r="K735" s="1010"/>
      <c r="L735" s="12"/>
      <c r="M735" s="12"/>
      <c r="N735" s="12"/>
      <c r="O735" s="1010"/>
      <c r="P735" s="1011"/>
      <c r="Q735" s="1011"/>
      <c r="R735" s="12"/>
      <c r="S735" s="12"/>
      <c r="T735" s="12"/>
      <c r="U735" s="12"/>
      <c r="V735" s="12"/>
      <c r="W735" s="1012"/>
      <c r="X735" s="1023"/>
      <c r="Y735" s="1012"/>
      <c r="Z735" s="1012"/>
      <c r="AA735" s="1012"/>
      <c r="AB735" s="1011"/>
      <c r="AC735" s="1011"/>
      <c r="AD735" s="1012"/>
      <c r="AE735" s="12"/>
      <c r="AF735" s="729"/>
      <c r="AG735" s="1014"/>
      <c r="AH735" s="1014"/>
      <c r="AI735" s="729"/>
      <c r="AJ735" s="729"/>
      <c r="AK735" s="729"/>
      <c r="AL735" s="729"/>
      <c r="AM735" s="729"/>
      <c r="AN735" s="729"/>
      <c r="AO735" s="729"/>
      <c r="AP735" s="729"/>
      <c r="AQ735" s="729"/>
      <c r="AR735" s="729"/>
      <c r="AS735" s="729"/>
      <c r="AT735" s="729"/>
      <c r="AU735" s="729"/>
      <c r="AV735" s="729"/>
      <c r="AW735" s="729"/>
      <c r="AX735" s="729"/>
      <c r="AY735" s="729"/>
      <c r="AZ735" s="729"/>
      <c r="BA735" s="729"/>
      <c r="BB735" s="729"/>
      <c r="BC735" s="729"/>
      <c r="BD735" s="729"/>
      <c r="BE735" s="729"/>
      <c r="BF735" s="729"/>
      <c r="BG735" s="729"/>
      <c r="BH735" s="729"/>
      <c r="BI735" s="729"/>
      <c r="BJ735" s="729"/>
      <c r="BK735" s="729"/>
      <c r="BL735" s="729"/>
      <c r="BM735" s="779"/>
      <c r="BN735" s="779"/>
      <c r="BO735" s="779"/>
      <c r="BP735" s="12"/>
      <c r="BQ735" s="729"/>
      <c r="BR735" s="729"/>
      <c r="BS735" s="729"/>
      <c r="BT735" s="779"/>
      <c r="BU735" s="779"/>
      <c r="BV735" s="779"/>
      <c r="BW735" s="2"/>
      <c r="BX735" s="12"/>
      <c r="BY735" s="729"/>
      <c r="BZ735" s="729"/>
      <c r="CA735" s="729"/>
      <c r="CB735" s="779"/>
      <c r="CC735" s="779"/>
      <c r="CD735" s="779"/>
      <c r="CE735" s="2"/>
      <c r="CF735" s="729"/>
      <c r="CG735" s="729"/>
      <c r="CH735" s="729"/>
      <c r="CI735" s="729"/>
      <c r="CJ735" s="228"/>
      <c r="CK735" s="729"/>
      <c r="CL735" s="729"/>
      <c r="CM735" s="228"/>
      <c r="CN735" s="729"/>
      <c r="CO735" s="729"/>
      <c r="CP735" s="729"/>
      <c r="CQ735" s="729"/>
      <c r="CR735" s="729"/>
      <c r="CS735" s="729"/>
      <c r="CT735" s="729"/>
      <c r="CU735" s="228"/>
      <c r="CV735" s="779"/>
      <c r="CW735" s="779"/>
      <c r="CX735" s="729"/>
      <c r="CY735" s="228"/>
      <c r="CZ735" s="228"/>
      <c r="DA735" s="12"/>
      <c r="DB735" s="164"/>
      <c r="DC735" s="14"/>
      <c r="DD735" s="729"/>
      <c r="DE735" s="729"/>
      <c r="DF735" s="729"/>
      <c r="DG735" s="729"/>
      <c r="DH735" s="730"/>
      <c r="DI735" s="729"/>
      <c r="DJ735" s="729"/>
      <c r="DK735" s="729"/>
      <c r="DL735" s="729"/>
      <c r="DM735" s="4"/>
    </row>
    <row r="736" spans="1:117" ht="12.75" customHeight="1">
      <c r="A736" s="228"/>
      <c r="B736" s="3"/>
      <c r="C736" s="228"/>
      <c r="D736" s="228"/>
      <c r="E736" s="3"/>
      <c r="F736" s="3"/>
      <c r="G736" s="729"/>
      <c r="H736" s="729"/>
      <c r="I736" s="729"/>
      <c r="J736" s="3"/>
      <c r="K736" s="1010"/>
      <c r="L736" s="12"/>
      <c r="M736" s="12"/>
      <c r="N736" s="12"/>
      <c r="O736" s="1010"/>
      <c r="P736" s="1011"/>
      <c r="Q736" s="1011"/>
      <c r="R736" s="12"/>
      <c r="S736" s="12"/>
      <c r="T736" s="12"/>
      <c r="U736" s="12"/>
      <c r="V736" s="12"/>
      <c r="W736" s="1012"/>
      <c r="X736" s="1023"/>
      <c r="Y736" s="1012"/>
      <c r="Z736" s="1012"/>
      <c r="AA736" s="1012"/>
      <c r="AB736" s="1011"/>
      <c r="AC736" s="1011"/>
      <c r="AD736" s="1012"/>
      <c r="AE736" s="12"/>
      <c r="AF736" s="729"/>
      <c r="AG736" s="1014"/>
      <c r="AH736" s="1014"/>
      <c r="AI736" s="729"/>
      <c r="AJ736" s="729"/>
      <c r="AK736" s="729"/>
      <c r="AL736" s="729"/>
      <c r="AM736" s="729"/>
      <c r="AN736" s="729"/>
      <c r="AO736" s="729"/>
      <c r="AP736" s="729"/>
      <c r="AQ736" s="729"/>
      <c r="AR736" s="729"/>
      <c r="AS736" s="729"/>
      <c r="AT736" s="729"/>
      <c r="AU736" s="729"/>
      <c r="AV736" s="729"/>
      <c r="AW736" s="729"/>
      <c r="AX736" s="729"/>
      <c r="AY736" s="729"/>
      <c r="AZ736" s="729"/>
      <c r="BA736" s="729"/>
      <c r="BB736" s="729"/>
      <c r="BC736" s="729"/>
      <c r="BD736" s="729"/>
      <c r="BE736" s="729"/>
      <c r="BF736" s="729"/>
      <c r="BG736" s="729"/>
      <c r="BH736" s="729"/>
      <c r="BI736" s="729"/>
      <c r="BJ736" s="729"/>
      <c r="BK736" s="729"/>
      <c r="BL736" s="729"/>
      <c r="BM736" s="779"/>
      <c r="BN736" s="779"/>
      <c r="BO736" s="779"/>
      <c r="BP736" s="12"/>
      <c r="BQ736" s="729"/>
      <c r="BR736" s="729"/>
      <c r="BS736" s="729"/>
      <c r="BT736" s="779"/>
      <c r="BU736" s="779"/>
      <c r="BV736" s="779"/>
      <c r="BW736" s="2"/>
      <c r="BX736" s="12"/>
      <c r="BY736" s="729"/>
      <c r="BZ736" s="729"/>
      <c r="CA736" s="729"/>
      <c r="CB736" s="779"/>
      <c r="CC736" s="779"/>
      <c r="CD736" s="779"/>
      <c r="CE736" s="2"/>
      <c r="CF736" s="729"/>
      <c r="CG736" s="729"/>
      <c r="CH736" s="729"/>
      <c r="CI736" s="729"/>
      <c r="CJ736" s="228"/>
      <c r="CK736" s="729"/>
      <c r="CL736" s="729"/>
      <c r="CM736" s="228"/>
      <c r="CN736" s="729"/>
      <c r="CO736" s="729"/>
      <c r="CP736" s="729"/>
      <c r="CQ736" s="729"/>
      <c r="CR736" s="729"/>
      <c r="CS736" s="729"/>
      <c r="CT736" s="729"/>
      <c r="CU736" s="228"/>
      <c r="CV736" s="779"/>
      <c r="CW736" s="779"/>
      <c r="CX736" s="729"/>
      <c r="CY736" s="228"/>
      <c r="CZ736" s="228"/>
      <c r="DA736" s="12"/>
      <c r="DB736" s="164"/>
      <c r="DC736" s="14"/>
      <c r="DD736" s="729"/>
      <c r="DE736" s="729"/>
      <c r="DF736" s="729"/>
      <c r="DG736" s="729"/>
      <c r="DH736" s="730"/>
      <c r="DI736" s="729"/>
      <c r="DJ736" s="729"/>
      <c r="DK736" s="729"/>
      <c r="DL736" s="729"/>
      <c r="DM736" s="4"/>
    </row>
    <row r="737" spans="1:117" ht="12.75" customHeight="1">
      <c r="A737" s="228"/>
      <c r="B737" s="3"/>
      <c r="C737" s="228"/>
      <c r="D737" s="228"/>
      <c r="E737" s="3"/>
      <c r="F737" s="3"/>
      <c r="G737" s="729"/>
      <c r="H737" s="729"/>
      <c r="I737" s="729"/>
      <c r="J737" s="3"/>
      <c r="K737" s="1010"/>
      <c r="L737" s="12"/>
      <c r="M737" s="12"/>
      <c r="N737" s="12"/>
      <c r="O737" s="1010"/>
      <c r="P737" s="1011"/>
      <c r="Q737" s="1011"/>
      <c r="R737" s="12"/>
      <c r="S737" s="12"/>
      <c r="T737" s="12"/>
      <c r="U737" s="12"/>
      <c r="V737" s="12"/>
      <c r="W737" s="1012"/>
      <c r="X737" s="1023"/>
      <c r="Y737" s="1012"/>
      <c r="Z737" s="1012"/>
      <c r="AA737" s="1012"/>
      <c r="AB737" s="1011"/>
      <c r="AC737" s="1011"/>
      <c r="AD737" s="1012"/>
      <c r="AE737" s="12"/>
      <c r="AF737" s="729"/>
      <c r="AG737" s="1014"/>
      <c r="AH737" s="1014"/>
      <c r="AI737" s="729"/>
      <c r="AJ737" s="729"/>
      <c r="AK737" s="729"/>
      <c r="AL737" s="729"/>
      <c r="AM737" s="729"/>
      <c r="AN737" s="729"/>
      <c r="AO737" s="729"/>
      <c r="AP737" s="729"/>
      <c r="AQ737" s="729"/>
      <c r="AR737" s="729"/>
      <c r="AS737" s="729"/>
      <c r="AT737" s="729"/>
      <c r="AU737" s="729"/>
      <c r="AV737" s="729"/>
      <c r="AW737" s="729"/>
      <c r="AX737" s="729"/>
      <c r="AY737" s="729"/>
      <c r="AZ737" s="729"/>
      <c r="BA737" s="729"/>
      <c r="BB737" s="729"/>
      <c r="BC737" s="729"/>
      <c r="BD737" s="729"/>
      <c r="BE737" s="729"/>
      <c r="BF737" s="729"/>
      <c r="BG737" s="729"/>
      <c r="BH737" s="729"/>
      <c r="BI737" s="729"/>
      <c r="BJ737" s="729"/>
      <c r="BK737" s="729"/>
      <c r="BL737" s="729"/>
      <c r="BM737" s="779"/>
      <c r="BN737" s="779"/>
      <c r="BO737" s="779"/>
      <c r="BP737" s="12"/>
      <c r="BQ737" s="729"/>
      <c r="BR737" s="729"/>
      <c r="BS737" s="729"/>
      <c r="BT737" s="779"/>
      <c r="BU737" s="779"/>
      <c r="BV737" s="779"/>
      <c r="BW737" s="2"/>
      <c r="BX737" s="12"/>
      <c r="BY737" s="729"/>
      <c r="BZ737" s="729"/>
      <c r="CA737" s="729"/>
      <c r="CB737" s="779"/>
      <c r="CC737" s="779"/>
      <c r="CD737" s="779"/>
      <c r="CE737" s="2"/>
      <c r="CF737" s="729"/>
      <c r="CG737" s="729"/>
      <c r="CH737" s="729"/>
      <c r="CI737" s="729"/>
      <c r="CJ737" s="228"/>
      <c r="CK737" s="729"/>
      <c r="CL737" s="729"/>
      <c r="CM737" s="228"/>
      <c r="CN737" s="729"/>
      <c r="CO737" s="729"/>
      <c r="CP737" s="729"/>
      <c r="CQ737" s="729"/>
      <c r="CR737" s="729"/>
      <c r="CS737" s="729"/>
      <c r="CT737" s="729"/>
      <c r="CU737" s="228"/>
      <c r="CV737" s="779"/>
      <c r="CW737" s="779"/>
      <c r="CX737" s="729"/>
      <c r="CY737" s="228"/>
      <c r="CZ737" s="228"/>
      <c r="DA737" s="12"/>
      <c r="DB737" s="164"/>
      <c r="DC737" s="14"/>
      <c r="DD737" s="729"/>
      <c r="DE737" s="729"/>
      <c r="DF737" s="729"/>
      <c r="DG737" s="729"/>
      <c r="DH737" s="730"/>
      <c r="DI737" s="729"/>
      <c r="DJ737" s="729"/>
      <c r="DK737" s="729"/>
      <c r="DL737" s="729"/>
      <c r="DM737" s="4"/>
    </row>
    <row r="738" spans="1:117" ht="12.75" customHeight="1">
      <c r="A738" s="228"/>
      <c r="B738" s="3"/>
      <c r="C738" s="228"/>
      <c r="D738" s="228"/>
      <c r="E738" s="3"/>
      <c r="F738" s="3"/>
      <c r="G738" s="729"/>
      <c r="H738" s="729"/>
      <c r="I738" s="729"/>
      <c r="J738" s="3"/>
      <c r="K738" s="1010"/>
      <c r="L738" s="12"/>
      <c r="M738" s="12"/>
      <c r="N738" s="12"/>
      <c r="O738" s="1010"/>
      <c r="P738" s="1011"/>
      <c r="Q738" s="1011"/>
      <c r="R738" s="12"/>
      <c r="S738" s="12"/>
      <c r="T738" s="12"/>
      <c r="U738" s="12"/>
      <c r="V738" s="12"/>
      <c r="W738" s="1012"/>
      <c r="X738" s="1023"/>
      <c r="Y738" s="1012"/>
      <c r="Z738" s="1012"/>
      <c r="AA738" s="1012"/>
      <c r="AB738" s="1011"/>
      <c r="AC738" s="1011"/>
      <c r="AD738" s="1012"/>
      <c r="AE738" s="12"/>
      <c r="AF738" s="729"/>
      <c r="AG738" s="1014"/>
      <c r="AH738" s="1014"/>
      <c r="AI738" s="729"/>
      <c r="AJ738" s="729"/>
      <c r="AK738" s="729"/>
      <c r="AL738" s="729"/>
      <c r="AM738" s="729"/>
      <c r="AN738" s="729"/>
      <c r="AO738" s="729"/>
      <c r="AP738" s="729"/>
      <c r="AQ738" s="729"/>
      <c r="AR738" s="729"/>
      <c r="AS738" s="729"/>
      <c r="AT738" s="729"/>
      <c r="AU738" s="729"/>
      <c r="AV738" s="729"/>
      <c r="AW738" s="729"/>
      <c r="AX738" s="729"/>
      <c r="AY738" s="729"/>
      <c r="AZ738" s="729"/>
      <c r="BA738" s="729"/>
      <c r="BB738" s="729"/>
      <c r="BC738" s="729"/>
      <c r="BD738" s="729"/>
      <c r="BE738" s="729"/>
      <c r="BF738" s="729"/>
      <c r="BG738" s="729"/>
      <c r="BH738" s="729"/>
      <c r="BI738" s="729"/>
      <c r="BJ738" s="729"/>
      <c r="BK738" s="729"/>
      <c r="BL738" s="729"/>
      <c r="BM738" s="779"/>
      <c r="BN738" s="779"/>
      <c r="BO738" s="779"/>
      <c r="BP738" s="12"/>
      <c r="BQ738" s="729"/>
      <c r="BR738" s="729"/>
      <c r="BS738" s="729"/>
      <c r="BT738" s="779"/>
      <c r="BU738" s="779"/>
      <c r="BV738" s="779"/>
      <c r="BW738" s="2"/>
      <c r="BX738" s="12"/>
      <c r="BY738" s="729"/>
      <c r="BZ738" s="729"/>
      <c r="CA738" s="729"/>
      <c r="CB738" s="779"/>
      <c r="CC738" s="779"/>
      <c r="CD738" s="779"/>
      <c r="CE738" s="2"/>
      <c r="CF738" s="729"/>
      <c r="CG738" s="729"/>
      <c r="CH738" s="729"/>
      <c r="CI738" s="729"/>
      <c r="CJ738" s="228"/>
      <c r="CK738" s="729"/>
      <c r="CL738" s="729"/>
      <c r="CM738" s="228"/>
      <c r="CN738" s="729"/>
      <c r="CO738" s="729"/>
      <c r="CP738" s="729"/>
      <c r="CQ738" s="729"/>
      <c r="CR738" s="729"/>
      <c r="CS738" s="729"/>
      <c r="CT738" s="729"/>
      <c r="CU738" s="228"/>
      <c r="CV738" s="779"/>
      <c r="CW738" s="779"/>
      <c r="CX738" s="729"/>
      <c r="CY738" s="228"/>
      <c r="CZ738" s="228"/>
      <c r="DA738" s="12"/>
      <c r="DB738" s="164"/>
      <c r="DC738" s="14"/>
      <c r="DD738" s="729"/>
      <c r="DE738" s="729"/>
      <c r="DF738" s="729"/>
      <c r="DG738" s="729"/>
      <c r="DH738" s="730"/>
      <c r="DI738" s="729"/>
      <c r="DJ738" s="729"/>
      <c r="DK738" s="729"/>
      <c r="DL738" s="729"/>
      <c r="DM738" s="4"/>
    </row>
    <row r="739" spans="1:117" ht="12.75" customHeight="1">
      <c r="A739" s="228"/>
      <c r="B739" s="3"/>
      <c r="C739" s="228"/>
      <c r="D739" s="228"/>
      <c r="E739" s="3"/>
      <c r="F739" s="3"/>
      <c r="G739" s="729"/>
      <c r="H739" s="729"/>
      <c r="I739" s="729"/>
      <c r="J739" s="3"/>
      <c r="K739" s="1010"/>
      <c r="L739" s="12"/>
      <c r="M739" s="12"/>
      <c r="N739" s="12"/>
      <c r="O739" s="1010"/>
      <c r="P739" s="1011"/>
      <c r="Q739" s="1011"/>
      <c r="R739" s="12"/>
      <c r="S739" s="12"/>
      <c r="T739" s="12"/>
      <c r="U739" s="12"/>
      <c r="V739" s="12"/>
      <c r="W739" s="1012"/>
      <c r="X739" s="1023"/>
      <c r="Y739" s="1012"/>
      <c r="Z739" s="1012"/>
      <c r="AA739" s="1012"/>
      <c r="AB739" s="1011"/>
      <c r="AC739" s="1011"/>
      <c r="AD739" s="1012"/>
      <c r="AE739" s="12"/>
      <c r="AF739" s="729"/>
      <c r="AG739" s="1014"/>
      <c r="AH739" s="1014"/>
      <c r="AI739" s="729"/>
      <c r="AJ739" s="729"/>
      <c r="AK739" s="729"/>
      <c r="AL739" s="729"/>
      <c r="AM739" s="729"/>
      <c r="AN739" s="729"/>
      <c r="AO739" s="729"/>
      <c r="AP739" s="729"/>
      <c r="AQ739" s="729"/>
      <c r="AR739" s="729"/>
      <c r="AS739" s="729"/>
      <c r="AT739" s="729"/>
      <c r="AU739" s="729"/>
      <c r="AV739" s="729"/>
      <c r="AW739" s="729"/>
      <c r="AX739" s="729"/>
      <c r="AY739" s="729"/>
      <c r="AZ739" s="729"/>
      <c r="BA739" s="729"/>
      <c r="BB739" s="729"/>
      <c r="BC739" s="729"/>
      <c r="BD739" s="729"/>
      <c r="BE739" s="729"/>
      <c r="BF739" s="729"/>
      <c r="BG739" s="729"/>
      <c r="BH739" s="729"/>
      <c r="BI739" s="729"/>
      <c r="BJ739" s="729"/>
      <c r="BK739" s="729"/>
      <c r="BL739" s="729"/>
      <c r="BM739" s="779"/>
      <c r="BN739" s="779"/>
      <c r="BO739" s="779"/>
      <c r="BP739" s="12"/>
      <c r="BQ739" s="729"/>
      <c r="BR739" s="729"/>
      <c r="BS739" s="729"/>
      <c r="BT739" s="779"/>
      <c r="BU739" s="779"/>
      <c r="BV739" s="779"/>
      <c r="BW739" s="2"/>
      <c r="BX739" s="12"/>
      <c r="BY739" s="729"/>
      <c r="BZ739" s="729"/>
      <c r="CA739" s="729"/>
      <c r="CB739" s="779"/>
      <c r="CC739" s="779"/>
      <c r="CD739" s="779"/>
      <c r="CE739" s="2"/>
      <c r="CF739" s="729"/>
      <c r="CG739" s="729"/>
      <c r="CH739" s="729"/>
      <c r="CI739" s="729"/>
      <c r="CJ739" s="228"/>
      <c r="CK739" s="729"/>
      <c r="CL739" s="729"/>
      <c r="CM739" s="228"/>
      <c r="CN739" s="729"/>
      <c r="CO739" s="729"/>
      <c r="CP739" s="729"/>
      <c r="CQ739" s="729"/>
      <c r="CR739" s="729"/>
      <c r="CS739" s="729"/>
      <c r="CT739" s="729"/>
      <c r="CU739" s="228"/>
      <c r="CV739" s="779"/>
      <c r="CW739" s="779"/>
      <c r="CX739" s="729"/>
      <c r="CY739" s="228"/>
      <c r="CZ739" s="228"/>
      <c r="DA739" s="12"/>
      <c r="DB739" s="164"/>
      <c r="DC739" s="14"/>
      <c r="DD739" s="729"/>
      <c r="DE739" s="729"/>
      <c r="DF739" s="729"/>
      <c r="DG739" s="729"/>
      <c r="DH739" s="730"/>
      <c r="DI739" s="729"/>
      <c r="DJ739" s="729"/>
      <c r="DK739" s="729"/>
      <c r="DL739" s="729"/>
      <c r="DM739" s="4"/>
    </row>
    <row r="740" spans="1:117" ht="12.75" customHeight="1">
      <c r="A740" s="228"/>
      <c r="B740" s="3"/>
      <c r="C740" s="228"/>
      <c r="D740" s="228"/>
      <c r="E740" s="3"/>
      <c r="F740" s="3"/>
      <c r="G740" s="729"/>
      <c r="H740" s="729"/>
      <c r="I740" s="729"/>
      <c r="J740" s="3"/>
      <c r="K740" s="1010"/>
      <c r="L740" s="12"/>
      <c r="M740" s="12"/>
      <c r="N740" s="12"/>
      <c r="O740" s="1010"/>
      <c r="P740" s="1011"/>
      <c r="Q740" s="1011"/>
      <c r="R740" s="12"/>
      <c r="S740" s="12"/>
      <c r="T740" s="12"/>
      <c r="U740" s="12"/>
      <c r="V740" s="12"/>
      <c r="W740" s="1012"/>
      <c r="X740" s="1023"/>
      <c r="Y740" s="1012"/>
      <c r="Z740" s="1012"/>
      <c r="AA740" s="1012"/>
      <c r="AB740" s="1011"/>
      <c r="AC740" s="1011"/>
      <c r="AD740" s="1012"/>
      <c r="AE740" s="12"/>
      <c r="AF740" s="729"/>
      <c r="AG740" s="1014"/>
      <c r="AH740" s="1014"/>
      <c r="AI740" s="729"/>
      <c r="AJ740" s="729"/>
      <c r="AK740" s="729"/>
      <c r="AL740" s="729"/>
      <c r="AM740" s="729"/>
      <c r="AN740" s="729"/>
      <c r="AO740" s="729"/>
      <c r="AP740" s="729"/>
      <c r="AQ740" s="729"/>
      <c r="AR740" s="729"/>
      <c r="AS740" s="729"/>
      <c r="AT740" s="729"/>
      <c r="AU740" s="729"/>
      <c r="AV740" s="729"/>
      <c r="AW740" s="729"/>
      <c r="AX740" s="729"/>
      <c r="AY740" s="729"/>
      <c r="AZ740" s="729"/>
      <c r="BA740" s="729"/>
      <c r="BB740" s="729"/>
      <c r="BC740" s="729"/>
      <c r="BD740" s="729"/>
      <c r="BE740" s="729"/>
      <c r="BF740" s="729"/>
      <c r="BG740" s="729"/>
      <c r="BH740" s="729"/>
      <c r="BI740" s="729"/>
      <c r="BJ740" s="729"/>
      <c r="BK740" s="729"/>
      <c r="BL740" s="729"/>
      <c r="BM740" s="779"/>
      <c r="BN740" s="779"/>
      <c r="BO740" s="779"/>
      <c r="BP740" s="12"/>
      <c r="BQ740" s="729"/>
      <c r="BR740" s="729"/>
      <c r="BS740" s="729"/>
      <c r="BT740" s="779"/>
      <c r="BU740" s="779"/>
      <c r="BV740" s="779"/>
      <c r="BW740" s="2"/>
      <c r="BX740" s="12"/>
      <c r="BY740" s="729"/>
      <c r="BZ740" s="729"/>
      <c r="CA740" s="729"/>
      <c r="CB740" s="779"/>
      <c r="CC740" s="779"/>
      <c r="CD740" s="779"/>
      <c r="CE740" s="2"/>
      <c r="CF740" s="729"/>
      <c r="CG740" s="729"/>
      <c r="CH740" s="729"/>
      <c r="CI740" s="729"/>
      <c r="CJ740" s="228"/>
      <c r="CK740" s="729"/>
      <c r="CL740" s="729"/>
      <c r="CM740" s="228"/>
      <c r="CN740" s="729"/>
      <c r="CO740" s="729"/>
      <c r="CP740" s="729"/>
      <c r="CQ740" s="729"/>
      <c r="CR740" s="729"/>
      <c r="CS740" s="729"/>
      <c r="CT740" s="729"/>
      <c r="CU740" s="228"/>
      <c r="CV740" s="779"/>
      <c r="CW740" s="779"/>
      <c r="CX740" s="729"/>
      <c r="CY740" s="228"/>
      <c r="CZ740" s="228"/>
      <c r="DA740" s="12"/>
      <c r="DB740" s="164"/>
      <c r="DC740" s="14"/>
      <c r="DD740" s="729"/>
      <c r="DE740" s="729"/>
      <c r="DF740" s="729"/>
      <c r="DG740" s="729"/>
      <c r="DH740" s="730"/>
      <c r="DI740" s="729"/>
      <c r="DJ740" s="729"/>
      <c r="DK740" s="729"/>
      <c r="DL740" s="729"/>
      <c r="DM740" s="4"/>
    </row>
    <row r="741" spans="1:117" ht="12.75" customHeight="1">
      <c r="A741" s="228"/>
      <c r="B741" s="3"/>
      <c r="C741" s="228"/>
      <c r="D741" s="228"/>
      <c r="E741" s="3"/>
      <c r="F741" s="3"/>
      <c r="G741" s="729"/>
      <c r="H741" s="729"/>
      <c r="I741" s="729"/>
      <c r="J741" s="3"/>
      <c r="K741" s="1010"/>
      <c r="L741" s="12"/>
      <c r="M741" s="12"/>
      <c r="N741" s="12"/>
      <c r="O741" s="1010"/>
      <c r="P741" s="1011"/>
      <c r="Q741" s="1011"/>
      <c r="R741" s="12"/>
      <c r="S741" s="12"/>
      <c r="T741" s="12"/>
      <c r="U741" s="12"/>
      <c r="V741" s="12"/>
      <c r="W741" s="1012"/>
      <c r="X741" s="1023"/>
      <c r="Y741" s="1012"/>
      <c r="Z741" s="1012"/>
      <c r="AA741" s="1012"/>
      <c r="AB741" s="1011"/>
      <c r="AC741" s="1011"/>
      <c r="AD741" s="1012"/>
      <c r="AE741" s="12"/>
      <c r="AF741" s="729"/>
      <c r="AG741" s="1014"/>
      <c r="AH741" s="1014"/>
      <c r="AI741" s="729"/>
      <c r="AJ741" s="729"/>
      <c r="AK741" s="729"/>
      <c r="AL741" s="729"/>
      <c r="AM741" s="729"/>
      <c r="AN741" s="729"/>
      <c r="AO741" s="729"/>
      <c r="AP741" s="729"/>
      <c r="AQ741" s="729"/>
      <c r="AR741" s="729"/>
      <c r="AS741" s="729"/>
      <c r="AT741" s="729"/>
      <c r="AU741" s="729"/>
      <c r="AV741" s="729"/>
      <c r="AW741" s="729"/>
      <c r="AX741" s="729"/>
      <c r="AY741" s="729"/>
      <c r="AZ741" s="729"/>
      <c r="BA741" s="729"/>
      <c r="BB741" s="729"/>
      <c r="BC741" s="729"/>
      <c r="BD741" s="729"/>
      <c r="BE741" s="729"/>
      <c r="BF741" s="729"/>
      <c r="BG741" s="729"/>
      <c r="BH741" s="729"/>
      <c r="BI741" s="729"/>
      <c r="BJ741" s="729"/>
      <c r="BK741" s="729"/>
      <c r="BL741" s="729"/>
      <c r="BM741" s="779"/>
      <c r="BN741" s="779"/>
      <c r="BO741" s="779"/>
      <c r="BP741" s="12"/>
      <c r="BQ741" s="729"/>
      <c r="BR741" s="729"/>
      <c r="BS741" s="729"/>
      <c r="BT741" s="779"/>
      <c r="BU741" s="779"/>
      <c r="BV741" s="779"/>
      <c r="BW741" s="2"/>
      <c r="BX741" s="12"/>
      <c r="BY741" s="729"/>
      <c r="BZ741" s="729"/>
      <c r="CA741" s="729"/>
      <c r="CB741" s="779"/>
      <c r="CC741" s="779"/>
      <c r="CD741" s="779"/>
      <c r="CE741" s="2"/>
      <c r="CF741" s="729"/>
      <c r="CG741" s="729"/>
      <c r="CH741" s="729"/>
      <c r="CI741" s="729"/>
      <c r="CJ741" s="228"/>
      <c r="CK741" s="729"/>
      <c r="CL741" s="729"/>
      <c r="CM741" s="228"/>
      <c r="CN741" s="729"/>
      <c r="CO741" s="729"/>
      <c r="CP741" s="729"/>
      <c r="CQ741" s="729"/>
      <c r="CR741" s="729"/>
      <c r="CS741" s="729"/>
      <c r="CT741" s="729"/>
      <c r="CU741" s="228"/>
      <c r="CV741" s="779"/>
      <c r="CW741" s="779"/>
      <c r="CX741" s="729"/>
      <c r="CY741" s="228"/>
      <c r="CZ741" s="228"/>
      <c r="DA741" s="12"/>
      <c r="DB741" s="164"/>
      <c r="DC741" s="14"/>
      <c r="DD741" s="729"/>
      <c r="DE741" s="729"/>
      <c r="DF741" s="729"/>
      <c r="DG741" s="729"/>
      <c r="DH741" s="730"/>
      <c r="DI741" s="729"/>
      <c r="DJ741" s="729"/>
      <c r="DK741" s="729"/>
      <c r="DL741" s="729"/>
      <c r="DM741" s="4"/>
    </row>
    <row r="742" spans="1:117" ht="12.75" customHeight="1">
      <c r="A742" s="228"/>
      <c r="B742" s="3"/>
      <c r="C742" s="228"/>
      <c r="D742" s="228"/>
      <c r="E742" s="3"/>
      <c r="F742" s="3"/>
      <c r="G742" s="729"/>
      <c r="H742" s="729"/>
      <c r="I742" s="729"/>
      <c r="J742" s="3"/>
      <c r="K742" s="1010"/>
      <c r="L742" s="12"/>
      <c r="M742" s="12"/>
      <c r="N742" s="12"/>
      <c r="O742" s="1010"/>
      <c r="P742" s="1011"/>
      <c r="Q742" s="1011"/>
      <c r="R742" s="12"/>
      <c r="S742" s="12"/>
      <c r="T742" s="12"/>
      <c r="U742" s="12"/>
      <c r="V742" s="12"/>
      <c r="W742" s="1012"/>
      <c r="X742" s="1023"/>
      <c r="Y742" s="1012"/>
      <c r="Z742" s="1012"/>
      <c r="AA742" s="1012"/>
      <c r="AB742" s="1011"/>
      <c r="AC742" s="1011"/>
      <c r="AD742" s="1012"/>
      <c r="AE742" s="12"/>
      <c r="AF742" s="729"/>
      <c r="AG742" s="1014"/>
      <c r="AH742" s="1014"/>
      <c r="AI742" s="729"/>
      <c r="AJ742" s="729"/>
      <c r="AK742" s="729"/>
      <c r="AL742" s="729"/>
      <c r="AM742" s="729"/>
      <c r="AN742" s="729"/>
      <c r="AO742" s="729"/>
      <c r="AP742" s="729"/>
      <c r="AQ742" s="729"/>
      <c r="AR742" s="729"/>
      <c r="AS742" s="729"/>
      <c r="AT742" s="729"/>
      <c r="AU742" s="729"/>
      <c r="AV742" s="729"/>
      <c r="AW742" s="729"/>
      <c r="AX742" s="729"/>
      <c r="AY742" s="729"/>
      <c r="AZ742" s="729"/>
      <c r="BA742" s="729"/>
      <c r="BB742" s="729"/>
      <c r="BC742" s="729"/>
      <c r="BD742" s="729"/>
      <c r="BE742" s="729"/>
      <c r="BF742" s="729"/>
      <c r="BG742" s="729"/>
      <c r="BH742" s="729"/>
      <c r="BI742" s="729"/>
      <c r="BJ742" s="729"/>
      <c r="BK742" s="729"/>
      <c r="BL742" s="729"/>
      <c r="BM742" s="779"/>
      <c r="BN742" s="779"/>
      <c r="BO742" s="779"/>
      <c r="BP742" s="12"/>
      <c r="BQ742" s="729"/>
      <c r="BR742" s="729"/>
      <c r="BS742" s="729"/>
      <c r="BT742" s="779"/>
      <c r="BU742" s="779"/>
      <c r="BV742" s="779"/>
      <c r="BW742" s="2"/>
      <c r="BX742" s="12"/>
      <c r="BY742" s="729"/>
      <c r="BZ742" s="729"/>
      <c r="CA742" s="729"/>
      <c r="CB742" s="779"/>
      <c r="CC742" s="779"/>
      <c r="CD742" s="779"/>
      <c r="CE742" s="2"/>
      <c r="CF742" s="729"/>
      <c r="CG742" s="729"/>
      <c r="CH742" s="729"/>
      <c r="CI742" s="729"/>
      <c r="CJ742" s="228"/>
      <c r="CK742" s="729"/>
      <c r="CL742" s="729"/>
      <c r="CM742" s="228"/>
      <c r="CN742" s="729"/>
      <c r="CO742" s="729"/>
      <c r="CP742" s="729"/>
      <c r="CQ742" s="729"/>
      <c r="CR742" s="729"/>
      <c r="CS742" s="729"/>
      <c r="CT742" s="729"/>
      <c r="CU742" s="228"/>
      <c r="CV742" s="779"/>
      <c r="CW742" s="779"/>
      <c r="CX742" s="729"/>
      <c r="CY742" s="228"/>
      <c r="CZ742" s="228"/>
      <c r="DA742" s="12"/>
      <c r="DB742" s="164"/>
      <c r="DC742" s="14"/>
      <c r="DD742" s="729"/>
      <c r="DE742" s="729"/>
      <c r="DF742" s="729"/>
      <c r="DG742" s="729"/>
      <c r="DH742" s="730"/>
      <c r="DI742" s="729"/>
      <c r="DJ742" s="729"/>
      <c r="DK742" s="729"/>
      <c r="DL742" s="729"/>
      <c r="DM742" s="4"/>
    </row>
    <row r="743" spans="1:117" ht="15" customHeight="1">
      <c r="B743" s="10"/>
      <c r="C743" s="17"/>
      <c r="E743" s="25"/>
      <c r="F743" s="35"/>
      <c r="J743" s="20"/>
      <c r="K743" s="1024"/>
      <c r="L743" s="1025"/>
      <c r="M743" s="1026"/>
      <c r="N743" s="1026"/>
      <c r="O743" s="265"/>
      <c r="P743" s="265"/>
      <c r="T743" s="265"/>
      <c r="U743" s="265"/>
      <c r="V743" s="265"/>
      <c r="X743" s="1026"/>
      <c r="Y743" s="265"/>
      <c r="Z743" s="265"/>
      <c r="AA743" s="265"/>
      <c r="AD743" s="1027"/>
      <c r="AE743" s="1026"/>
      <c r="AF743" s="265"/>
      <c r="AJ743" s="729"/>
      <c r="AK743" s="729"/>
      <c r="AL743" s="729"/>
      <c r="AM743" s="729"/>
      <c r="AU743" s="265"/>
      <c r="AV743" s="265"/>
      <c r="AW743" s="265"/>
      <c r="AX743" s="265"/>
      <c r="AY743" s="265"/>
      <c r="AZ743" s="265"/>
      <c r="BA743" s="265"/>
      <c r="BB743" s="265"/>
      <c r="BC743" s="265"/>
      <c r="BD743" s="265"/>
      <c r="BE743" s="265"/>
      <c r="BF743" s="265"/>
      <c r="BG743" s="265"/>
      <c r="BM743" s="6"/>
      <c r="BN743" s="6"/>
      <c r="BO743" s="6"/>
      <c r="BP743" s="1028"/>
      <c r="BT743" s="6"/>
      <c r="BU743" s="6"/>
      <c r="BV743" s="6"/>
      <c r="BW743" s="1029"/>
      <c r="BX743" s="1028"/>
      <c r="CB743" s="6"/>
      <c r="CC743" s="6"/>
      <c r="CD743" s="6"/>
      <c r="CE743" s="1029"/>
      <c r="CJ743" s="11"/>
      <c r="CM743" s="11"/>
      <c r="CU743" s="17"/>
      <c r="CV743" s="265"/>
      <c r="CW743" s="265"/>
      <c r="CY743" s="11"/>
      <c r="DA743" s="12"/>
      <c r="DB743" s="13"/>
      <c r="DC743" s="14"/>
      <c r="DD743" s="265"/>
      <c r="DE743" s="265"/>
      <c r="DF743" s="265"/>
      <c r="DH743" s="15"/>
      <c r="DM743" s="4"/>
    </row>
    <row r="744" spans="1:117" ht="15" customHeight="1">
      <c r="B744" s="10"/>
      <c r="C744" s="17"/>
      <c r="E744" s="25"/>
      <c r="F744" s="35"/>
      <c r="J744" s="20"/>
      <c r="K744" s="1024"/>
      <c r="L744" s="1025"/>
      <c r="M744" s="1026"/>
      <c r="N744" s="1026"/>
      <c r="O744" s="265"/>
      <c r="P744" s="265"/>
      <c r="T744" s="265"/>
      <c r="U744" s="265"/>
      <c r="V744" s="265"/>
      <c r="X744" s="1026"/>
      <c r="Y744" s="265"/>
      <c r="Z744" s="265"/>
      <c r="AA744" s="265"/>
      <c r="AD744" s="4"/>
      <c r="AE744" s="1026"/>
      <c r="AF744" s="265"/>
      <c r="AU744" s="265"/>
      <c r="AV744" s="265"/>
      <c r="AW744" s="265"/>
      <c r="AX744" s="265"/>
      <c r="AY744" s="265"/>
      <c r="AZ744" s="265"/>
      <c r="BA744" s="265"/>
      <c r="BB744" s="265"/>
      <c r="BC744" s="265"/>
      <c r="BD744" s="265"/>
      <c r="BE744" s="265"/>
      <c r="BF744" s="265"/>
      <c r="BG744" s="265"/>
      <c r="BM744" s="6"/>
      <c r="BN744" s="6"/>
      <c r="BO744" s="6"/>
      <c r="BP744" s="1028"/>
      <c r="BT744" s="6"/>
      <c r="BU744" s="6"/>
      <c r="BV744" s="6"/>
      <c r="BW744" s="1029"/>
      <c r="BX744" s="1028"/>
      <c r="CB744" s="6"/>
      <c r="CC744" s="6"/>
      <c r="CD744" s="6"/>
      <c r="CE744" s="1029"/>
      <c r="CJ744" s="11"/>
      <c r="CM744" s="11"/>
      <c r="CU744" s="17"/>
      <c r="CV744" s="265"/>
      <c r="CW744" s="265"/>
      <c r="CY744" s="11"/>
      <c r="DA744" s="12"/>
      <c r="DB744" s="13"/>
      <c r="DC744" s="14"/>
      <c r="DD744" s="265"/>
      <c r="DE744" s="265"/>
      <c r="DF744" s="265"/>
      <c r="DH744" s="15"/>
      <c r="DM744" s="4"/>
    </row>
    <row r="745" spans="1:117" ht="15" customHeight="1">
      <c r="B745" s="10"/>
      <c r="C745" s="17"/>
      <c r="E745" s="25"/>
      <c r="F745" s="35"/>
      <c r="J745" s="20"/>
      <c r="K745" s="1024"/>
      <c r="L745" s="1025"/>
      <c r="M745" s="1026"/>
      <c r="N745" s="1026"/>
      <c r="O745" s="265"/>
      <c r="P745" s="265"/>
      <c r="T745" s="265"/>
      <c r="U745" s="265"/>
      <c r="V745" s="265"/>
      <c r="X745" s="1026"/>
      <c r="Y745" s="265"/>
      <c r="Z745" s="265"/>
      <c r="AA745" s="265"/>
      <c r="AD745" s="4"/>
      <c r="AE745" s="1026"/>
      <c r="AF745" s="265"/>
      <c r="AU745" s="265"/>
      <c r="AV745" s="265"/>
      <c r="AW745" s="265"/>
      <c r="AX745" s="265"/>
      <c r="AY745" s="265"/>
      <c r="AZ745" s="265"/>
      <c r="BA745" s="265"/>
      <c r="BB745" s="265"/>
      <c r="BC745" s="265"/>
      <c r="BD745" s="265"/>
      <c r="BE745" s="265"/>
      <c r="BF745" s="265"/>
      <c r="BG745" s="265"/>
      <c r="BM745" s="6"/>
      <c r="BN745" s="6"/>
      <c r="BO745" s="6"/>
      <c r="BP745" s="1028"/>
      <c r="BT745" s="6"/>
      <c r="BU745" s="6"/>
      <c r="BV745" s="6"/>
      <c r="BW745" s="1029"/>
      <c r="BX745" s="1028"/>
      <c r="CB745" s="6"/>
      <c r="CC745" s="6"/>
      <c r="CD745" s="6"/>
      <c r="CE745" s="1029"/>
      <c r="CJ745" s="11"/>
      <c r="CM745" s="11"/>
      <c r="CU745" s="17"/>
      <c r="CV745" s="265"/>
      <c r="CW745" s="265"/>
      <c r="CY745" s="11"/>
      <c r="DA745" s="12"/>
      <c r="DB745" s="13"/>
      <c r="DC745" s="14"/>
      <c r="DD745" s="265"/>
      <c r="DE745" s="265"/>
      <c r="DF745" s="265"/>
      <c r="DH745" s="15"/>
      <c r="DM745" s="4"/>
    </row>
    <row r="746" spans="1:117" ht="15" customHeight="1">
      <c r="B746" s="10"/>
      <c r="C746" s="17"/>
      <c r="E746" s="25"/>
      <c r="F746" s="35"/>
      <c r="J746" s="20"/>
      <c r="K746" s="1024"/>
      <c r="L746" s="1025"/>
      <c r="M746" s="1026"/>
      <c r="N746" s="1026"/>
      <c r="O746" s="265"/>
      <c r="P746" s="265"/>
      <c r="T746" s="265"/>
      <c r="U746" s="265"/>
      <c r="V746" s="265"/>
      <c r="X746" s="1026"/>
      <c r="Y746" s="265"/>
      <c r="Z746" s="265"/>
      <c r="AA746" s="265"/>
      <c r="AD746" s="4"/>
      <c r="AE746" s="1026"/>
      <c r="AF746" s="265"/>
      <c r="AU746" s="265"/>
      <c r="AV746" s="265"/>
      <c r="AW746" s="265"/>
      <c r="AX746" s="265"/>
      <c r="AY746" s="265"/>
      <c r="AZ746" s="265"/>
      <c r="BA746" s="265"/>
      <c r="BB746" s="265"/>
      <c r="BC746" s="265"/>
      <c r="BD746" s="265"/>
      <c r="BE746" s="265"/>
      <c r="BF746" s="265"/>
      <c r="BG746" s="265"/>
      <c r="BM746" s="6"/>
      <c r="BN746" s="6"/>
      <c r="BO746" s="6"/>
      <c r="BP746" s="1028"/>
      <c r="BT746" s="6"/>
      <c r="BU746" s="6"/>
      <c r="BV746" s="6"/>
      <c r="BW746" s="1029"/>
      <c r="BX746" s="1028"/>
      <c r="CB746" s="6"/>
      <c r="CC746" s="6"/>
      <c r="CD746" s="6"/>
      <c r="CE746" s="1029"/>
      <c r="CJ746" s="11"/>
      <c r="CM746" s="11"/>
      <c r="CU746" s="17"/>
      <c r="CV746" s="265"/>
      <c r="CW746" s="265"/>
      <c r="CY746" s="11"/>
      <c r="DA746" s="12"/>
      <c r="DB746" s="13"/>
      <c r="DC746" s="14"/>
      <c r="DD746" s="265"/>
      <c r="DE746" s="265"/>
      <c r="DF746" s="265"/>
      <c r="DH746" s="15"/>
      <c r="DM746" s="4"/>
    </row>
    <row r="747" spans="1:117" ht="15" customHeight="1">
      <c r="B747" s="10"/>
      <c r="C747" s="17"/>
      <c r="E747" s="25"/>
      <c r="F747" s="35"/>
      <c r="J747" s="20"/>
      <c r="K747" s="1024"/>
      <c r="L747" s="1025"/>
      <c r="M747" s="1026"/>
      <c r="N747" s="1026"/>
      <c r="O747" s="265"/>
      <c r="P747" s="265"/>
      <c r="T747" s="265"/>
      <c r="U747" s="265"/>
      <c r="V747" s="265"/>
      <c r="X747" s="1026"/>
      <c r="Y747" s="265"/>
      <c r="Z747" s="265"/>
      <c r="AA747" s="265"/>
      <c r="AD747" s="4"/>
      <c r="AE747" s="1026"/>
      <c r="AF747" s="265"/>
      <c r="AU747" s="265"/>
      <c r="AV747" s="265"/>
      <c r="AW747" s="265"/>
      <c r="AX747" s="265"/>
      <c r="AY747" s="265"/>
      <c r="AZ747" s="265"/>
      <c r="BA747" s="265"/>
      <c r="BB747" s="265"/>
      <c r="BC747" s="265"/>
      <c r="BD747" s="265"/>
      <c r="BE747" s="265"/>
      <c r="BF747" s="265"/>
      <c r="BG747" s="265"/>
      <c r="BM747" s="6"/>
      <c r="BN747" s="6"/>
      <c r="BO747" s="6"/>
      <c r="BP747" s="1028"/>
      <c r="BT747" s="6"/>
      <c r="BU747" s="6"/>
      <c r="BV747" s="6"/>
      <c r="BW747" s="1029"/>
      <c r="BX747" s="1028"/>
      <c r="CB747" s="6"/>
      <c r="CC747" s="6"/>
      <c r="CD747" s="6"/>
      <c r="CE747" s="1029"/>
      <c r="CJ747" s="11"/>
      <c r="CM747" s="11"/>
      <c r="CU747" s="17"/>
      <c r="CV747" s="265"/>
      <c r="CW747" s="265"/>
      <c r="CY747" s="11"/>
      <c r="DA747" s="12"/>
      <c r="DB747" s="13"/>
      <c r="DC747" s="14"/>
      <c r="DD747" s="265"/>
      <c r="DE747" s="265"/>
      <c r="DF747" s="265"/>
      <c r="DH747" s="15"/>
      <c r="DM747" s="4"/>
    </row>
    <row r="748" spans="1:117" ht="15" customHeight="1">
      <c r="B748" s="10"/>
      <c r="C748" s="17"/>
      <c r="E748" s="25"/>
      <c r="F748" s="35"/>
      <c r="J748" s="20"/>
      <c r="K748" s="1024"/>
      <c r="L748" s="1025"/>
      <c r="M748" s="1026"/>
      <c r="N748" s="1026"/>
      <c r="O748" s="265"/>
      <c r="P748" s="265"/>
      <c r="T748" s="265"/>
      <c r="U748" s="265"/>
      <c r="V748" s="265"/>
      <c r="X748" s="1026"/>
      <c r="Y748" s="265"/>
      <c r="Z748" s="265"/>
      <c r="AA748" s="265"/>
      <c r="AD748" s="4"/>
      <c r="AE748" s="1026"/>
      <c r="AF748" s="265"/>
      <c r="AU748" s="265"/>
      <c r="AV748" s="265"/>
      <c r="AW748" s="265"/>
      <c r="AX748" s="265"/>
      <c r="AY748" s="265"/>
      <c r="AZ748" s="265"/>
      <c r="BA748" s="265"/>
      <c r="BB748" s="265"/>
      <c r="BC748" s="265"/>
      <c r="BD748" s="265"/>
      <c r="BE748" s="265"/>
      <c r="BF748" s="265"/>
      <c r="BG748" s="265"/>
      <c r="BM748" s="6"/>
      <c r="BN748" s="6"/>
      <c r="BO748" s="6"/>
      <c r="BP748" s="1028"/>
      <c r="BT748" s="6"/>
      <c r="BU748" s="6"/>
      <c r="BV748" s="6"/>
      <c r="BW748" s="1029"/>
      <c r="BX748" s="1028"/>
      <c r="CB748" s="6"/>
      <c r="CC748" s="6"/>
      <c r="CD748" s="6"/>
      <c r="CE748" s="1029"/>
      <c r="CJ748" s="11"/>
      <c r="CM748" s="11"/>
      <c r="CU748" s="17"/>
      <c r="CV748" s="265"/>
      <c r="CW748" s="265"/>
      <c r="CY748" s="11"/>
      <c r="DA748" s="12"/>
      <c r="DB748" s="13"/>
      <c r="DC748" s="14"/>
      <c r="DD748" s="265"/>
      <c r="DE748" s="265"/>
      <c r="DF748" s="265"/>
      <c r="DH748" s="15"/>
      <c r="DM748" s="4"/>
    </row>
    <row r="749" spans="1:117" ht="15" customHeight="1">
      <c r="B749" s="10"/>
      <c r="C749" s="17"/>
      <c r="E749" s="25"/>
      <c r="F749" s="35"/>
      <c r="J749" s="20"/>
      <c r="K749" s="1024"/>
      <c r="L749" s="1025"/>
      <c r="M749" s="1026"/>
      <c r="N749" s="1026"/>
      <c r="O749" s="265"/>
      <c r="P749" s="265"/>
      <c r="T749" s="265"/>
      <c r="U749" s="265"/>
      <c r="V749" s="265"/>
      <c r="X749" s="1026"/>
      <c r="Y749" s="265"/>
      <c r="Z749" s="265"/>
      <c r="AA749" s="265"/>
      <c r="AD749" s="4"/>
      <c r="AE749" s="1026"/>
      <c r="AF749" s="265"/>
      <c r="AU749" s="265"/>
      <c r="AV749" s="265"/>
      <c r="AW749" s="265"/>
      <c r="AX749" s="265"/>
      <c r="AY749" s="265"/>
      <c r="AZ749" s="265"/>
      <c r="BA749" s="265"/>
      <c r="BB749" s="265"/>
      <c r="BC749" s="265"/>
      <c r="BD749" s="265"/>
      <c r="BE749" s="265"/>
      <c r="BF749" s="265"/>
      <c r="BG749" s="265"/>
      <c r="BM749" s="6"/>
      <c r="BN749" s="6"/>
      <c r="BO749" s="6"/>
      <c r="BP749" s="1028"/>
      <c r="BT749" s="6"/>
      <c r="BU749" s="6"/>
      <c r="BV749" s="6"/>
      <c r="BW749" s="1029"/>
      <c r="BX749" s="1028"/>
      <c r="CB749" s="6"/>
      <c r="CC749" s="6"/>
      <c r="CD749" s="6"/>
      <c r="CE749" s="1029"/>
      <c r="CJ749" s="11"/>
      <c r="CM749" s="11"/>
      <c r="CU749" s="17"/>
      <c r="CV749" s="265"/>
      <c r="CW749" s="265"/>
      <c r="CY749" s="11"/>
      <c r="DA749" s="12"/>
      <c r="DB749" s="13"/>
      <c r="DC749" s="14"/>
      <c r="DD749" s="265"/>
      <c r="DE749" s="265"/>
      <c r="DF749" s="265"/>
      <c r="DH749" s="15"/>
      <c r="DM749" s="4"/>
    </row>
    <row r="750" spans="1:117" ht="15" customHeight="1">
      <c r="B750" s="10"/>
      <c r="C750" s="17"/>
      <c r="E750" s="25"/>
      <c r="F750" s="35"/>
      <c r="J750" s="20"/>
      <c r="K750" s="1024"/>
      <c r="L750" s="1025"/>
      <c r="M750" s="1026"/>
      <c r="N750" s="1026"/>
      <c r="O750" s="265"/>
      <c r="P750" s="265"/>
      <c r="T750" s="265"/>
      <c r="U750" s="265"/>
      <c r="V750" s="265"/>
      <c r="X750" s="1026"/>
      <c r="Y750" s="265"/>
      <c r="Z750" s="265"/>
      <c r="AA750" s="265"/>
      <c r="AD750" s="4"/>
      <c r="AE750" s="1026"/>
      <c r="AF750" s="265"/>
      <c r="AU750" s="265"/>
      <c r="AV750" s="265"/>
      <c r="AW750" s="265"/>
      <c r="AX750" s="265"/>
      <c r="AY750" s="265"/>
      <c r="AZ750" s="265"/>
      <c r="BA750" s="265"/>
      <c r="BB750" s="265"/>
      <c r="BC750" s="265"/>
      <c r="BD750" s="265"/>
      <c r="BE750" s="265"/>
      <c r="BF750" s="265"/>
      <c r="BG750" s="265"/>
      <c r="BM750" s="6"/>
      <c r="BN750" s="6"/>
      <c r="BO750" s="6"/>
      <c r="BP750" s="1028"/>
      <c r="BT750" s="6"/>
      <c r="BU750" s="6"/>
      <c r="BV750" s="6"/>
      <c r="BW750" s="1029"/>
      <c r="BX750" s="1028"/>
      <c r="CB750" s="6"/>
      <c r="CC750" s="6"/>
      <c r="CD750" s="6"/>
      <c r="CE750" s="1029"/>
      <c r="CJ750" s="11"/>
      <c r="CM750" s="11"/>
      <c r="CU750" s="17"/>
      <c r="CV750" s="265"/>
      <c r="CW750" s="265"/>
      <c r="CY750" s="11"/>
      <c r="DA750" s="12"/>
      <c r="DB750" s="13"/>
      <c r="DC750" s="14"/>
      <c r="DD750" s="265"/>
      <c r="DE750" s="265"/>
      <c r="DF750" s="265"/>
      <c r="DH750" s="15"/>
      <c r="DM750" s="4"/>
    </row>
    <row r="751" spans="1:117" ht="15" customHeight="1">
      <c r="B751" s="10"/>
      <c r="C751" s="17"/>
      <c r="E751" s="25"/>
      <c r="F751" s="35"/>
      <c r="J751" s="20"/>
      <c r="K751" s="1024"/>
      <c r="L751" s="1025"/>
      <c r="M751" s="1026"/>
      <c r="N751" s="1026"/>
      <c r="O751" s="265"/>
      <c r="P751" s="265"/>
      <c r="T751" s="265"/>
      <c r="U751" s="265"/>
      <c r="V751" s="265"/>
      <c r="X751" s="1026"/>
      <c r="Y751" s="265"/>
      <c r="Z751" s="265"/>
      <c r="AA751" s="265"/>
      <c r="AD751" s="4"/>
      <c r="AE751" s="1026"/>
      <c r="AF751" s="265"/>
      <c r="AU751" s="265"/>
      <c r="AV751" s="265"/>
      <c r="AW751" s="265"/>
      <c r="AX751" s="265"/>
      <c r="AY751" s="265"/>
      <c r="AZ751" s="265"/>
      <c r="BA751" s="265"/>
      <c r="BB751" s="265"/>
      <c r="BC751" s="265"/>
      <c r="BD751" s="265"/>
      <c r="BE751" s="265"/>
      <c r="BF751" s="265"/>
      <c r="BG751" s="265"/>
      <c r="BM751" s="6"/>
      <c r="BN751" s="6"/>
      <c r="BO751" s="6"/>
      <c r="BP751" s="1028"/>
      <c r="BT751" s="6"/>
      <c r="BU751" s="6"/>
      <c r="BV751" s="6"/>
      <c r="BW751" s="1029"/>
      <c r="BX751" s="1028"/>
      <c r="CB751" s="6"/>
      <c r="CC751" s="6"/>
      <c r="CD751" s="6"/>
      <c r="CE751" s="1029"/>
      <c r="CJ751" s="11"/>
      <c r="CM751" s="11"/>
      <c r="CU751" s="17"/>
      <c r="CV751" s="265"/>
      <c r="CW751" s="265"/>
      <c r="CY751" s="11"/>
      <c r="DA751" s="12"/>
      <c r="DB751" s="13"/>
      <c r="DC751" s="14"/>
      <c r="DD751" s="265"/>
      <c r="DE751" s="265"/>
      <c r="DF751" s="265"/>
      <c r="DH751" s="15"/>
      <c r="DM751" s="4"/>
    </row>
    <row r="752" spans="1:117" ht="15" customHeight="1">
      <c r="B752" s="10"/>
      <c r="C752" s="17"/>
      <c r="E752" s="25"/>
      <c r="F752" s="35"/>
      <c r="J752" s="20"/>
      <c r="K752" s="1024"/>
      <c r="L752" s="1025"/>
      <c r="M752" s="1026"/>
      <c r="N752" s="1026"/>
      <c r="O752" s="265"/>
      <c r="P752" s="265"/>
      <c r="T752" s="265"/>
      <c r="U752" s="265"/>
      <c r="V752" s="265"/>
      <c r="X752" s="1026"/>
      <c r="Y752" s="265"/>
      <c r="Z752" s="265"/>
      <c r="AA752" s="265"/>
      <c r="AD752" s="4"/>
      <c r="AE752" s="1026"/>
      <c r="AF752" s="265"/>
      <c r="AU752" s="265"/>
      <c r="AV752" s="265"/>
      <c r="AW752" s="265"/>
      <c r="AX752" s="265"/>
      <c r="AY752" s="265"/>
      <c r="AZ752" s="265"/>
      <c r="BA752" s="265"/>
      <c r="BB752" s="265"/>
      <c r="BC752" s="265"/>
      <c r="BD752" s="265"/>
      <c r="BE752" s="265"/>
      <c r="BF752" s="265"/>
      <c r="BG752" s="265"/>
      <c r="BM752" s="6"/>
      <c r="BN752" s="6"/>
      <c r="BO752" s="6"/>
      <c r="BP752" s="1028"/>
      <c r="BT752" s="6"/>
      <c r="BU752" s="6"/>
      <c r="BV752" s="6"/>
      <c r="BW752" s="1029"/>
      <c r="BX752" s="1028"/>
      <c r="CB752" s="6"/>
      <c r="CC752" s="6"/>
      <c r="CD752" s="6"/>
      <c r="CE752" s="1029"/>
      <c r="CJ752" s="11"/>
      <c r="CM752" s="11"/>
      <c r="CU752" s="17"/>
      <c r="CV752" s="265"/>
      <c r="CW752" s="265"/>
      <c r="CY752" s="11"/>
      <c r="DA752" s="12"/>
      <c r="DB752" s="13"/>
      <c r="DC752" s="14"/>
      <c r="DD752" s="265"/>
      <c r="DE752" s="265"/>
      <c r="DF752" s="265"/>
      <c r="DH752" s="15"/>
      <c r="DM752" s="4"/>
    </row>
    <row r="753" spans="2:117" ht="15" customHeight="1">
      <c r="B753" s="10"/>
      <c r="C753" s="17"/>
      <c r="E753" s="25"/>
      <c r="F753" s="35"/>
      <c r="J753" s="20"/>
      <c r="K753" s="1024"/>
      <c r="L753" s="1025"/>
      <c r="M753" s="1026"/>
      <c r="N753" s="1026"/>
      <c r="O753" s="265"/>
      <c r="P753" s="265"/>
      <c r="T753" s="265"/>
      <c r="U753" s="265"/>
      <c r="V753" s="265"/>
      <c r="X753" s="1026"/>
      <c r="Y753" s="265"/>
      <c r="Z753" s="265"/>
      <c r="AA753" s="265"/>
      <c r="AD753" s="4"/>
      <c r="AE753" s="1026"/>
      <c r="AF753" s="265"/>
      <c r="AU753" s="265"/>
      <c r="AV753" s="265"/>
      <c r="AW753" s="265"/>
      <c r="AX753" s="265"/>
      <c r="AY753" s="265"/>
      <c r="AZ753" s="265"/>
      <c r="BA753" s="265"/>
      <c r="BB753" s="265"/>
      <c r="BC753" s="265"/>
      <c r="BD753" s="265"/>
      <c r="BE753" s="265"/>
      <c r="BF753" s="265"/>
      <c r="BG753" s="265"/>
      <c r="BM753" s="6"/>
      <c r="BN753" s="6"/>
      <c r="BO753" s="6"/>
      <c r="BP753" s="1028"/>
      <c r="BT753" s="6"/>
      <c r="BU753" s="6"/>
      <c r="BV753" s="6"/>
      <c r="BW753" s="1029"/>
      <c r="BX753" s="1028"/>
      <c r="CB753" s="6"/>
      <c r="CC753" s="6"/>
      <c r="CD753" s="6"/>
      <c r="CE753" s="1029"/>
      <c r="CJ753" s="11"/>
      <c r="CM753" s="11"/>
      <c r="CU753" s="17"/>
      <c r="CV753" s="265"/>
      <c r="CW753" s="265"/>
      <c r="CY753" s="11"/>
      <c r="DA753" s="12"/>
      <c r="DB753" s="13"/>
      <c r="DC753" s="14"/>
      <c r="DD753" s="265"/>
      <c r="DE753" s="265"/>
      <c r="DF753" s="265"/>
      <c r="DH753" s="15"/>
      <c r="DM753" s="4"/>
    </row>
    <row r="754" spans="2:117" ht="15" customHeight="1">
      <c r="B754" s="10"/>
      <c r="C754" s="17"/>
      <c r="E754" s="25"/>
      <c r="F754" s="35"/>
      <c r="J754" s="20"/>
      <c r="K754" s="1024"/>
      <c r="L754" s="1025"/>
      <c r="M754" s="1026"/>
      <c r="N754" s="1026"/>
      <c r="O754" s="265"/>
      <c r="P754" s="265"/>
      <c r="T754" s="265"/>
      <c r="U754" s="265"/>
      <c r="V754" s="265"/>
      <c r="X754" s="1026"/>
      <c r="Y754" s="265"/>
      <c r="Z754" s="265"/>
      <c r="AA754" s="265"/>
      <c r="AD754" s="4"/>
      <c r="AE754" s="1026"/>
      <c r="AF754" s="265"/>
      <c r="AU754" s="265"/>
      <c r="AV754" s="265"/>
      <c r="AW754" s="265"/>
      <c r="AX754" s="265"/>
      <c r="AY754" s="265"/>
      <c r="AZ754" s="265"/>
      <c r="BA754" s="265"/>
      <c r="BB754" s="265"/>
      <c r="BC754" s="265"/>
      <c r="BD754" s="265"/>
      <c r="BE754" s="265"/>
      <c r="BF754" s="265"/>
      <c r="BG754" s="265"/>
      <c r="BM754" s="6"/>
      <c r="BN754" s="6"/>
      <c r="BO754" s="6"/>
      <c r="BP754" s="1028"/>
      <c r="BT754" s="6"/>
      <c r="BU754" s="6"/>
      <c r="BV754" s="6"/>
      <c r="BW754" s="1029"/>
      <c r="BX754" s="1028"/>
      <c r="CB754" s="6"/>
      <c r="CC754" s="6"/>
      <c r="CD754" s="6"/>
      <c r="CE754" s="1029"/>
      <c r="CJ754" s="11"/>
      <c r="CM754" s="11"/>
      <c r="CU754" s="17"/>
      <c r="CV754" s="265"/>
      <c r="CW754" s="265"/>
      <c r="CY754" s="11"/>
      <c r="DA754" s="12"/>
      <c r="DB754" s="13"/>
      <c r="DC754" s="14"/>
      <c r="DD754" s="265"/>
      <c r="DE754" s="265"/>
      <c r="DF754" s="265"/>
      <c r="DH754" s="15"/>
      <c r="DM754" s="4"/>
    </row>
    <row r="755" spans="2:117" ht="15" customHeight="1">
      <c r="B755" s="10"/>
      <c r="C755" s="17"/>
      <c r="E755" s="25"/>
      <c r="F755" s="35"/>
      <c r="J755" s="20"/>
      <c r="K755" s="1024"/>
      <c r="L755" s="1025"/>
      <c r="M755" s="1026"/>
      <c r="N755" s="1026"/>
      <c r="O755" s="265"/>
      <c r="P755" s="265"/>
      <c r="T755" s="265"/>
      <c r="U755" s="265"/>
      <c r="V755" s="265"/>
      <c r="X755" s="1026"/>
      <c r="Y755" s="265"/>
      <c r="Z755" s="265"/>
      <c r="AA755" s="265"/>
      <c r="AD755" s="4"/>
      <c r="AE755" s="1026"/>
      <c r="AF755" s="265"/>
      <c r="AU755" s="265"/>
      <c r="AV755" s="265"/>
      <c r="AW755" s="265"/>
      <c r="AX755" s="265"/>
      <c r="AY755" s="265"/>
      <c r="AZ755" s="265"/>
      <c r="BA755" s="265"/>
      <c r="BB755" s="265"/>
      <c r="BC755" s="265"/>
      <c r="BD755" s="265"/>
      <c r="BE755" s="265"/>
      <c r="BF755" s="265"/>
      <c r="BG755" s="265"/>
      <c r="BM755" s="6"/>
      <c r="BN755" s="6"/>
      <c r="BO755" s="6"/>
      <c r="BP755" s="1028"/>
      <c r="BT755" s="6"/>
      <c r="BU755" s="6"/>
      <c r="BV755" s="6"/>
      <c r="BW755" s="1029"/>
      <c r="BX755" s="1028"/>
      <c r="CB755" s="6"/>
      <c r="CC755" s="6"/>
      <c r="CD755" s="6"/>
      <c r="CE755" s="1029"/>
      <c r="CJ755" s="11"/>
      <c r="CM755" s="11"/>
      <c r="CU755" s="17"/>
      <c r="CV755" s="265"/>
      <c r="CW755" s="265"/>
      <c r="CY755" s="11"/>
      <c r="DA755" s="12"/>
      <c r="DB755" s="13"/>
      <c r="DC755" s="14"/>
      <c r="DD755" s="265"/>
      <c r="DE755" s="265"/>
      <c r="DF755" s="265"/>
      <c r="DH755" s="15"/>
      <c r="DM755" s="4"/>
    </row>
    <row r="756" spans="2:117" ht="15" customHeight="1">
      <c r="B756" s="10"/>
      <c r="C756" s="17"/>
      <c r="E756" s="25"/>
      <c r="F756" s="35"/>
      <c r="J756" s="20"/>
      <c r="K756" s="1024"/>
      <c r="L756" s="1025"/>
      <c r="M756" s="1026"/>
      <c r="N756" s="1026"/>
      <c r="O756" s="265"/>
      <c r="P756" s="265"/>
      <c r="T756" s="265"/>
      <c r="U756" s="265"/>
      <c r="V756" s="265"/>
      <c r="X756" s="1026"/>
      <c r="Y756" s="265"/>
      <c r="Z756" s="265"/>
      <c r="AA756" s="265"/>
      <c r="AD756" s="4"/>
      <c r="AE756" s="1026"/>
      <c r="AF756" s="265"/>
      <c r="AU756" s="265"/>
      <c r="AV756" s="265"/>
      <c r="AW756" s="265"/>
      <c r="AX756" s="265"/>
      <c r="AY756" s="265"/>
      <c r="AZ756" s="265"/>
      <c r="BA756" s="265"/>
      <c r="BB756" s="265"/>
      <c r="BC756" s="265"/>
      <c r="BD756" s="265"/>
      <c r="BE756" s="265"/>
      <c r="BF756" s="265"/>
      <c r="BG756" s="265"/>
      <c r="BM756" s="6"/>
      <c r="BN756" s="6"/>
      <c r="BO756" s="6"/>
      <c r="BP756" s="1028"/>
      <c r="BT756" s="6"/>
      <c r="BU756" s="6"/>
      <c r="BV756" s="6"/>
      <c r="BW756" s="1029"/>
      <c r="BX756" s="1028"/>
      <c r="CB756" s="6"/>
      <c r="CC756" s="6"/>
      <c r="CD756" s="6"/>
      <c r="CE756" s="1029"/>
      <c r="CJ756" s="11"/>
      <c r="CM756" s="11"/>
      <c r="CU756" s="17"/>
      <c r="CV756" s="265"/>
      <c r="CW756" s="265"/>
      <c r="CY756" s="11"/>
      <c r="DA756" s="12"/>
      <c r="DB756" s="13"/>
      <c r="DC756" s="14"/>
      <c r="DD756" s="265"/>
      <c r="DE756" s="265"/>
      <c r="DF756" s="265"/>
      <c r="DH756" s="15"/>
      <c r="DM756" s="4"/>
    </row>
    <row r="757" spans="2:117" ht="15" customHeight="1">
      <c r="B757" s="10"/>
      <c r="C757" s="17"/>
      <c r="E757" s="25"/>
      <c r="F757" s="35"/>
      <c r="J757" s="20"/>
      <c r="K757" s="1024"/>
      <c r="L757" s="1025"/>
      <c r="M757" s="1026"/>
      <c r="N757" s="1026"/>
      <c r="O757" s="265"/>
      <c r="P757" s="265"/>
      <c r="T757" s="265"/>
      <c r="U757" s="265"/>
      <c r="V757" s="265"/>
      <c r="X757" s="1026"/>
      <c r="Y757" s="265"/>
      <c r="Z757" s="265"/>
      <c r="AA757" s="265"/>
      <c r="AD757" s="4"/>
      <c r="AE757" s="1026"/>
      <c r="AF757" s="265"/>
      <c r="AU757" s="265"/>
      <c r="AV757" s="265"/>
      <c r="AW757" s="265"/>
      <c r="AX757" s="265"/>
      <c r="AY757" s="265"/>
      <c r="AZ757" s="265"/>
      <c r="BA757" s="265"/>
      <c r="BB757" s="265"/>
      <c r="BC757" s="265"/>
      <c r="BD757" s="265"/>
      <c r="BE757" s="265"/>
      <c r="BF757" s="265"/>
      <c r="BG757" s="265"/>
      <c r="BM757" s="6"/>
      <c r="BN757" s="6"/>
      <c r="BO757" s="6"/>
      <c r="BP757" s="1028"/>
      <c r="BT757" s="6"/>
      <c r="BU757" s="6"/>
      <c r="BV757" s="6"/>
      <c r="BW757" s="1029"/>
      <c r="BX757" s="1028"/>
      <c r="CB757" s="6"/>
      <c r="CC757" s="6"/>
      <c r="CD757" s="6"/>
      <c r="CE757" s="1029"/>
      <c r="CJ757" s="11"/>
      <c r="CM757" s="11"/>
      <c r="CU757" s="17"/>
      <c r="CV757" s="265"/>
      <c r="CW757" s="265"/>
      <c r="CY757" s="11"/>
      <c r="DA757" s="12"/>
      <c r="DB757" s="13"/>
      <c r="DC757" s="14"/>
      <c r="DD757" s="265"/>
      <c r="DE757" s="265"/>
      <c r="DF757" s="265"/>
      <c r="DH757" s="15"/>
      <c r="DM757" s="4"/>
    </row>
    <row r="758" spans="2:117" ht="15" customHeight="1">
      <c r="B758" s="10"/>
      <c r="C758" s="17"/>
      <c r="E758" s="25"/>
      <c r="F758" s="35"/>
      <c r="J758" s="20"/>
      <c r="K758" s="1024"/>
      <c r="L758" s="1025"/>
      <c r="M758" s="1026"/>
      <c r="N758" s="1026"/>
      <c r="O758" s="265"/>
      <c r="P758" s="265"/>
      <c r="T758" s="265"/>
      <c r="U758" s="265"/>
      <c r="V758" s="265"/>
      <c r="X758" s="1026"/>
      <c r="Y758" s="265"/>
      <c r="Z758" s="265"/>
      <c r="AA758" s="265"/>
      <c r="AD758" s="4"/>
      <c r="AE758" s="1026"/>
      <c r="AF758" s="265"/>
      <c r="AU758" s="265"/>
      <c r="AV758" s="265"/>
      <c r="AW758" s="265"/>
      <c r="AX758" s="265"/>
      <c r="AY758" s="265"/>
      <c r="AZ758" s="265"/>
      <c r="BA758" s="265"/>
      <c r="BB758" s="265"/>
      <c r="BC758" s="265"/>
      <c r="BD758" s="265"/>
      <c r="BE758" s="265"/>
      <c r="BF758" s="265"/>
      <c r="BG758" s="265"/>
      <c r="BM758" s="6"/>
      <c r="BN758" s="6"/>
      <c r="BO758" s="6"/>
      <c r="BP758" s="1028"/>
      <c r="BT758" s="6"/>
      <c r="BU758" s="6"/>
      <c r="BV758" s="6"/>
      <c r="BW758" s="1029"/>
      <c r="BX758" s="1028"/>
      <c r="CB758" s="6"/>
      <c r="CC758" s="6"/>
      <c r="CD758" s="6"/>
      <c r="CE758" s="1029"/>
      <c r="CJ758" s="11"/>
      <c r="CM758" s="11"/>
      <c r="CU758" s="17"/>
      <c r="CV758" s="265"/>
      <c r="CW758" s="265"/>
      <c r="CY758" s="11"/>
      <c r="DA758" s="12"/>
      <c r="DB758" s="13"/>
      <c r="DC758" s="14"/>
      <c r="DD758" s="265"/>
      <c r="DE758" s="265"/>
      <c r="DF758" s="265"/>
      <c r="DH758" s="15"/>
      <c r="DM758" s="4"/>
    </row>
    <row r="759" spans="2:117" ht="15" customHeight="1">
      <c r="B759" s="10"/>
      <c r="C759" s="17"/>
      <c r="E759" s="25"/>
      <c r="F759" s="35"/>
      <c r="J759" s="20"/>
      <c r="K759" s="1024"/>
      <c r="L759" s="1025"/>
      <c r="M759" s="1026"/>
      <c r="N759" s="1026"/>
      <c r="O759" s="265"/>
      <c r="P759" s="265"/>
      <c r="T759" s="265"/>
      <c r="U759" s="265"/>
      <c r="V759" s="265"/>
      <c r="X759" s="1026"/>
      <c r="Y759" s="265"/>
      <c r="Z759" s="265"/>
      <c r="AA759" s="265"/>
      <c r="AD759" s="4"/>
      <c r="AE759" s="1026"/>
      <c r="AF759" s="265"/>
      <c r="AU759" s="265"/>
      <c r="AV759" s="265"/>
      <c r="AW759" s="265"/>
      <c r="AX759" s="265"/>
      <c r="AY759" s="265"/>
      <c r="AZ759" s="265"/>
      <c r="BA759" s="265"/>
      <c r="BB759" s="265"/>
      <c r="BC759" s="265"/>
      <c r="BD759" s="265"/>
      <c r="BE759" s="265"/>
      <c r="BF759" s="265"/>
      <c r="BG759" s="265"/>
      <c r="BM759" s="6"/>
      <c r="BN759" s="6"/>
      <c r="BO759" s="6"/>
      <c r="BP759" s="1028"/>
      <c r="BT759" s="6"/>
      <c r="BU759" s="6"/>
      <c r="BV759" s="6"/>
      <c r="BW759" s="1029"/>
      <c r="BX759" s="1028"/>
      <c r="CB759" s="6"/>
      <c r="CC759" s="6"/>
      <c r="CD759" s="6"/>
      <c r="CE759" s="1029"/>
      <c r="CJ759" s="11"/>
      <c r="CM759" s="11"/>
      <c r="CU759" s="17"/>
      <c r="CV759" s="265"/>
      <c r="CW759" s="265"/>
      <c r="CY759" s="11"/>
      <c r="DA759" s="12"/>
      <c r="DB759" s="13"/>
      <c r="DC759" s="14"/>
      <c r="DD759" s="265"/>
      <c r="DE759" s="265"/>
      <c r="DF759" s="265"/>
      <c r="DH759" s="15"/>
      <c r="DM759" s="4"/>
    </row>
    <row r="760" spans="2:117" ht="15" customHeight="1">
      <c r="B760" s="10"/>
      <c r="C760" s="17"/>
      <c r="E760" s="25"/>
      <c r="F760" s="35"/>
      <c r="J760" s="20"/>
      <c r="K760" s="1024"/>
      <c r="L760" s="1025"/>
      <c r="M760" s="1026"/>
      <c r="N760" s="1026"/>
      <c r="O760" s="265"/>
      <c r="P760" s="265"/>
      <c r="T760" s="265"/>
      <c r="U760" s="265"/>
      <c r="V760" s="265"/>
      <c r="X760" s="1026"/>
      <c r="Y760" s="265"/>
      <c r="Z760" s="265"/>
      <c r="AA760" s="265"/>
      <c r="AD760" s="4"/>
      <c r="AE760" s="1026"/>
      <c r="AF760" s="265"/>
      <c r="AU760" s="265"/>
      <c r="AV760" s="265"/>
      <c r="AW760" s="265"/>
      <c r="AX760" s="265"/>
      <c r="AY760" s="265"/>
      <c r="AZ760" s="265"/>
      <c r="BA760" s="265"/>
      <c r="BB760" s="265"/>
      <c r="BC760" s="265"/>
      <c r="BD760" s="265"/>
      <c r="BE760" s="265"/>
      <c r="BF760" s="265"/>
      <c r="BG760" s="265"/>
      <c r="BM760" s="6"/>
      <c r="BN760" s="6"/>
      <c r="BO760" s="6"/>
      <c r="BP760" s="1028"/>
      <c r="BT760" s="6"/>
      <c r="BU760" s="6"/>
      <c r="BV760" s="6"/>
      <c r="BW760" s="1029"/>
      <c r="BX760" s="1028"/>
      <c r="CB760" s="6"/>
      <c r="CC760" s="6"/>
      <c r="CD760" s="6"/>
      <c r="CE760" s="1029"/>
      <c r="CJ760" s="11"/>
      <c r="CM760" s="11"/>
      <c r="CU760" s="17"/>
      <c r="CV760" s="265"/>
      <c r="CW760" s="265"/>
      <c r="CY760" s="11"/>
      <c r="DA760" s="12"/>
      <c r="DB760" s="13"/>
      <c r="DC760" s="14"/>
      <c r="DD760" s="265"/>
      <c r="DE760" s="265"/>
      <c r="DF760" s="265"/>
      <c r="DH760" s="15"/>
      <c r="DM760" s="4"/>
    </row>
    <row r="761" spans="2:117" ht="15" customHeight="1">
      <c r="B761" s="10"/>
      <c r="C761" s="17"/>
      <c r="E761" s="25"/>
      <c r="F761" s="35"/>
      <c r="J761" s="20"/>
      <c r="K761" s="1024"/>
      <c r="L761" s="1025"/>
      <c r="M761" s="1026"/>
      <c r="N761" s="1026"/>
      <c r="O761" s="265"/>
      <c r="P761" s="265"/>
      <c r="T761" s="265"/>
      <c r="U761" s="265"/>
      <c r="V761" s="265"/>
      <c r="X761" s="1026"/>
      <c r="Y761" s="265"/>
      <c r="Z761" s="265"/>
      <c r="AA761" s="265"/>
      <c r="AD761" s="4"/>
      <c r="AE761" s="1026"/>
      <c r="AF761" s="265"/>
      <c r="AU761" s="265"/>
      <c r="AV761" s="265"/>
      <c r="AW761" s="265"/>
      <c r="AX761" s="265"/>
      <c r="AY761" s="265"/>
      <c r="AZ761" s="265"/>
      <c r="BA761" s="265"/>
      <c r="BB761" s="265"/>
      <c r="BC761" s="265"/>
      <c r="BD761" s="265"/>
      <c r="BE761" s="265"/>
      <c r="BF761" s="265"/>
      <c r="BG761" s="265"/>
      <c r="BM761" s="6"/>
      <c r="BN761" s="6"/>
      <c r="BO761" s="6"/>
      <c r="BP761" s="1028"/>
      <c r="BT761" s="6"/>
      <c r="BU761" s="6"/>
      <c r="BV761" s="6"/>
      <c r="BW761" s="1029"/>
      <c r="BX761" s="1028"/>
      <c r="CB761" s="6"/>
      <c r="CC761" s="6"/>
      <c r="CD761" s="6"/>
      <c r="CE761" s="1029"/>
      <c r="CJ761" s="11"/>
      <c r="CM761" s="11"/>
      <c r="CU761" s="17"/>
      <c r="CV761" s="265"/>
      <c r="CW761" s="265"/>
      <c r="CY761" s="11"/>
      <c r="DA761" s="12"/>
      <c r="DB761" s="13"/>
      <c r="DC761" s="14"/>
      <c r="DD761" s="265"/>
      <c r="DE761" s="265"/>
      <c r="DF761" s="265"/>
      <c r="DH761" s="15"/>
      <c r="DM761" s="4"/>
    </row>
    <row r="762" spans="2:117" ht="15" customHeight="1">
      <c r="B762" s="10"/>
      <c r="C762" s="17"/>
      <c r="E762" s="25"/>
      <c r="F762" s="35"/>
      <c r="J762" s="20"/>
      <c r="K762" s="1024"/>
      <c r="L762" s="1025"/>
      <c r="M762" s="1026"/>
      <c r="N762" s="1026"/>
      <c r="O762" s="265"/>
      <c r="P762" s="265"/>
      <c r="T762" s="265"/>
      <c r="U762" s="265"/>
      <c r="V762" s="265"/>
      <c r="X762" s="1026"/>
      <c r="Y762" s="265"/>
      <c r="Z762" s="265"/>
      <c r="AA762" s="265"/>
      <c r="AD762" s="4"/>
      <c r="AE762" s="1026"/>
      <c r="AF762" s="265"/>
      <c r="AU762" s="265"/>
      <c r="AV762" s="265"/>
      <c r="AW762" s="265"/>
      <c r="AX762" s="265"/>
      <c r="AY762" s="265"/>
      <c r="AZ762" s="265"/>
      <c r="BA762" s="265"/>
      <c r="BB762" s="265"/>
      <c r="BC762" s="265"/>
      <c r="BD762" s="265"/>
      <c r="BE762" s="265"/>
      <c r="BF762" s="265"/>
      <c r="BG762" s="265"/>
      <c r="BM762" s="6"/>
      <c r="BN762" s="6"/>
      <c r="BO762" s="6"/>
      <c r="BP762" s="1028"/>
      <c r="BT762" s="6"/>
      <c r="BU762" s="6"/>
      <c r="BV762" s="6"/>
      <c r="BW762" s="1029"/>
      <c r="BX762" s="1028"/>
      <c r="CB762" s="6"/>
      <c r="CC762" s="6"/>
      <c r="CD762" s="6"/>
      <c r="CE762" s="1029"/>
      <c r="CJ762" s="11"/>
      <c r="CM762" s="11"/>
      <c r="CU762" s="17"/>
      <c r="CV762" s="265"/>
      <c r="CW762" s="265"/>
      <c r="CY762" s="11"/>
      <c r="DA762" s="12"/>
      <c r="DB762" s="13"/>
      <c r="DC762" s="14"/>
      <c r="DD762" s="265"/>
      <c r="DE762" s="265"/>
      <c r="DF762" s="265"/>
      <c r="DH762" s="15"/>
      <c r="DM762" s="4"/>
    </row>
    <row r="763" spans="2:117" ht="15" customHeight="1">
      <c r="B763" s="10"/>
      <c r="C763" s="17"/>
      <c r="E763" s="25"/>
      <c r="F763" s="35"/>
      <c r="J763" s="20"/>
      <c r="K763" s="1024"/>
      <c r="L763" s="1025"/>
      <c r="M763" s="1026"/>
      <c r="N763" s="1026"/>
      <c r="O763" s="265"/>
      <c r="P763" s="265"/>
      <c r="T763" s="265"/>
      <c r="U763" s="265"/>
      <c r="V763" s="265"/>
      <c r="X763" s="1026"/>
      <c r="Y763" s="265"/>
      <c r="Z763" s="265"/>
      <c r="AA763" s="265"/>
      <c r="AD763" s="4"/>
      <c r="AE763" s="1026"/>
      <c r="AF763" s="265"/>
      <c r="AU763" s="265"/>
      <c r="AV763" s="265"/>
      <c r="AW763" s="265"/>
      <c r="AX763" s="265"/>
      <c r="AY763" s="265"/>
      <c r="AZ763" s="265"/>
      <c r="BA763" s="265"/>
      <c r="BB763" s="265"/>
      <c r="BC763" s="265"/>
      <c r="BD763" s="265"/>
      <c r="BE763" s="265"/>
      <c r="BF763" s="265"/>
      <c r="BG763" s="265"/>
      <c r="BM763" s="6"/>
      <c r="BN763" s="6"/>
      <c r="BO763" s="6"/>
      <c r="BP763" s="1028"/>
      <c r="BT763" s="6"/>
      <c r="BU763" s="6"/>
      <c r="BV763" s="6"/>
      <c r="BW763" s="1029"/>
      <c r="BX763" s="1028"/>
      <c r="CB763" s="6"/>
      <c r="CC763" s="6"/>
      <c r="CD763" s="6"/>
      <c r="CE763" s="1029"/>
      <c r="CJ763" s="11"/>
      <c r="CM763" s="11"/>
      <c r="CU763" s="17"/>
      <c r="CV763" s="265"/>
      <c r="CW763" s="265"/>
      <c r="CY763" s="11"/>
      <c r="DA763" s="12"/>
      <c r="DB763" s="13"/>
      <c r="DC763" s="14"/>
      <c r="DD763" s="265"/>
      <c r="DE763" s="265"/>
      <c r="DF763" s="265"/>
      <c r="DH763" s="15"/>
      <c r="DM763" s="4"/>
    </row>
    <row r="764" spans="2:117" ht="15" customHeight="1">
      <c r="B764" s="10"/>
      <c r="C764" s="17"/>
      <c r="E764" s="25"/>
      <c r="F764" s="35"/>
      <c r="J764" s="20"/>
      <c r="K764" s="1024"/>
      <c r="L764" s="1025"/>
      <c r="M764" s="1026"/>
      <c r="N764" s="1026"/>
      <c r="O764" s="265"/>
      <c r="P764" s="265"/>
      <c r="T764" s="265"/>
      <c r="U764" s="265"/>
      <c r="V764" s="265"/>
      <c r="X764" s="1026"/>
      <c r="Y764" s="265"/>
      <c r="Z764" s="265"/>
      <c r="AA764" s="265"/>
      <c r="AD764" s="4"/>
      <c r="AE764" s="1026"/>
      <c r="AF764" s="265"/>
      <c r="AU764" s="265"/>
      <c r="AV764" s="265"/>
      <c r="AW764" s="265"/>
      <c r="AX764" s="265"/>
      <c r="AY764" s="265"/>
      <c r="AZ764" s="265"/>
      <c r="BA764" s="265"/>
      <c r="BB764" s="265"/>
      <c r="BC764" s="265"/>
      <c r="BD764" s="265"/>
      <c r="BE764" s="265"/>
      <c r="BF764" s="265"/>
      <c r="BG764" s="265"/>
      <c r="BM764" s="6"/>
      <c r="BN764" s="6"/>
      <c r="BO764" s="6"/>
      <c r="BP764" s="1028"/>
      <c r="BT764" s="6"/>
      <c r="BU764" s="6"/>
      <c r="BV764" s="6"/>
      <c r="BW764" s="1029"/>
      <c r="BX764" s="1028"/>
      <c r="CB764" s="6"/>
      <c r="CC764" s="6"/>
      <c r="CD764" s="6"/>
      <c r="CE764" s="1029"/>
      <c r="CJ764" s="11"/>
      <c r="CM764" s="11"/>
      <c r="CU764" s="17"/>
      <c r="CV764" s="265"/>
      <c r="CW764" s="265"/>
      <c r="CY764" s="11"/>
      <c r="DA764" s="12"/>
      <c r="DB764" s="13"/>
      <c r="DC764" s="14"/>
      <c r="DD764" s="265"/>
      <c r="DE764" s="265"/>
      <c r="DF764" s="265"/>
      <c r="DH764" s="15"/>
      <c r="DM764" s="4"/>
    </row>
    <row r="765" spans="2:117" ht="15" customHeight="1">
      <c r="B765" s="10"/>
      <c r="C765" s="17"/>
      <c r="E765" s="25"/>
      <c r="F765" s="35"/>
      <c r="J765" s="20"/>
      <c r="K765" s="1024"/>
      <c r="L765" s="1025"/>
      <c r="M765" s="1026"/>
      <c r="N765" s="1026"/>
      <c r="O765" s="265"/>
      <c r="P765" s="265"/>
      <c r="T765" s="265"/>
      <c r="U765" s="265"/>
      <c r="V765" s="265"/>
      <c r="X765" s="1026"/>
      <c r="Y765" s="265"/>
      <c r="Z765" s="265"/>
      <c r="AA765" s="265"/>
      <c r="AD765" s="4"/>
      <c r="AE765" s="1026"/>
      <c r="AF765" s="265"/>
      <c r="AU765" s="265"/>
      <c r="AV765" s="265"/>
      <c r="AW765" s="265"/>
      <c r="AX765" s="265"/>
      <c r="AY765" s="265"/>
      <c r="AZ765" s="265"/>
      <c r="BA765" s="265"/>
      <c r="BB765" s="265"/>
      <c r="BC765" s="265"/>
      <c r="BD765" s="265"/>
      <c r="BE765" s="265"/>
      <c r="BF765" s="265"/>
      <c r="BG765" s="265"/>
      <c r="BM765" s="6"/>
      <c r="BN765" s="6"/>
      <c r="BO765" s="6"/>
      <c r="BP765" s="1028"/>
      <c r="BT765" s="6"/>
      <c r="BU765" s="6"/>
      <c r="BV765" s="6"/>
      <c r="BW765" s="1029"/>
      <c r="BX765" s="1028"/>
      <c r="CB765" s="6"/>
      <c r="CC765" s="6"/>
      <c r="CD765" s="6"/>
      <c r="CE765" s="1029"/>
      <c r="CJ765" s="11"/>
      <c r="CM765" s="11"/>
      <c r="CU765" s="17"/>
      <c r="CV765" s="265"/>
      <c r="CW765" s="265"/>
      <c r="CY765" s="11"/>
      <c r="DA765" s="12"/>
      <c r="DB765" s="13"/>
      <c r="DC765" s="14"/>
      <c r="DD765" s="265"/>
      <c r="DE765" s="265"/>
      <c r="DF765" s="265"/>
      <c r="DH765" s="15"/>
      <c r="DM765" s="4"/>
    </row>
    <row r="766" spans="2:117" ht="15" customHeight="1">
      <c r="B766" s="10"/>
      <c r="C766" s="17"/>
      <c r="E766" s="25"/>
      <c r="F766" s="35"/>
      <c r="J766" s="20"/>
      <c r="K766" s="1024"/>
      <c r="L766" s="1025"/>
      <c r="M766" s="1026"/>
      <c r="N766" s="1026"/>
      <c r="O766" s="265"/>
      <c r="P766" s="265"/>
      <c r="T766" s="265"/>
      <c r="U766" s="265"/>
      <c r="V766" s="265"/>
      <c r="X766" s="1026"/>
      <c r="Y766" s="265"/>
      <c r="Z766" s="265"/>
      <c r="AA766" s="265"/>
      <c r="AD766" s="4"/>
      <c r="AE766" s="1026"/>
      <c r="AF766" s="265"/>
      <c r="AU766" s="265"/>
      <c r="AV766" s="265"/>
      <c r="AW766" s="265"/>
      <c r="AX766" s="265"/>
      <c r="AY766" s="265"/>
      <c r="AZ766" s="265"/>
      <c r="BA766" s="265"/>
      <c r="BB766" s="265"/>
      <c r="BC766" s="265"/>
      <c r="BD766" s="265"/>
      <c r="BE766" s="265"/>
      <c r="BF766" s="265"/>
      <c r="BG766" s="265"/>
      <c r="BM766" s="6"/>
      <c r="BN766" s="6"/>
      <c r="BO766" s="6"/>
      <c r="BP766" s="1028"/>
      <c r="BT766" s="6"/>
      <c r="BU766" s="6"/>
      <c r="BV766" s="6"/>
      <c r="BW766" s="1029"/>
      <c r="BX766" s="1028"/>
      <c r="CB766" s="6"/>
      <c r="CC766" s="6"/>
      <c r="CD766" s="6"/>
      <c r="CE766" s="1029"/>
      <c r="CJ766" s="11"/>
      <c r="CM766" s="11"/>
      <c r="CU766" s="17"/>
      <c r="CV766" s="265"/>
      <c r="CW766" s="265"/>
      <c r="CY766" s="11"/>
      <c r="DA766" s="12"/>
      <c r="DB766" s="13"/>
      <c r="DC766" s="14"/>
      <c r="DD766" s="265"/>
      <c r="DE766" s="265"/>
      <c r="DF766" s="265"/>
      <c r="DH766" s="15"/>
      <c r="DM766" s="4"/>
    </row>
    <row r="767" spans="2:117" ht="15" customHeight="1">
      <c r="B767" s="10"/>
      <c r="C767" s="17"/>
      <c r="E767" s="25"/>
      <c r="F767" s="35"/>
      <c r="J767" s="20"/>
      <c r="K767" s="1024"/>
      <c r="L767" s="1025"/>
      <c r="M767" s="1026"/>
      <c r="N767" s="1026"/>
      <c r="O767" s="265"/>
      <c r="P767" s="265"/>
      <c r="T767" s="265"/>
      <c r="U767" s="265"/>
      <c r="V767" s="265"/>
      <c r="X767" s="1026"/>
      <c r="Y767" s="265"/>
      <c r="Z767" s="265"/>
      <c r="AA767" s="265"/>
      <c r="AD767" s="4"/>
      <c r="AE767" s="1026"/>
      <c r="AF767" s="265"/>
      <c r="AU767" s="265"/>
      <c r="AV767" s="265"/>
      <c r="AW767" s="265"/>
      <c r="AX767" s="265"/>
      <c r="AY767" s="265"/>
      <c r="AZ767" s="265"/>
      <c r="BA767" s="265"/>
      <c r="BB767" s="265"/>
      <c r="BC767" s="265"/>
      <c r="BD767" s="265"/>
      <c r="BE767" s="265"/>
      <c r="BF767" s="265"/>
      <c r="BG767" s="265"/>
      <c r="BM767" s="6"/>
      <c r="BN767" s="6"/>
      <c r="BO767" s="6"/>
      <c r="BP767" s="1028"/>
      <c r="BT767" s="6"/>
      <c r="BU767" s="6"/>
      <c r="BV767" s="6"/>
      <c r="BW767" s="1029"/>
      <c r="BX767" s="1028"/>
      <c r="CB767" s="6"/>
      <c r="CC767" s="6"/>
      <c r="CD767" s="6"/>
      <c r="CE767" s="1029"/>
      <c r="CJ767" s="11"/>
      <c r="CM767" s="11"/>
      <c r="CU767" s="17"/>
      <c r="CV767" s="265"/>
      <c r="CW767" s="265"/>
      <c r="CY767" s="11"/>
      <c r="DA767" s="12"/>
      <c r="DB767" s="13"/>
      <c r="DC767" s="14"/>
      <c r="DD767" s="265"/>
      <c r="DE767" s="265"/>
      <c r="DF767" s="265"/>
      <c r="DH767" s="15"/>
      <c r="DM767" s="4"/>
    </row>
    <row r="768" spans="2:117" ht="15" customHeight="1">
      <c r="B768" s="10"/>
      <c r="C768" s="17"/>
      <c r="E768" s="25"/>
      <c r="F768" s="35"/>
      <c r="J768" s="20"/>
      <c r="K768" s="1024"/>
      <c r="L768" s="1025"/>
      <c r="M768" s="1026"/>
      <c r="N768" s="1026"/>
      <c r="O768" s="265"/>
      <c r="P768" s="265"/>
      <c r="T768" s="265"/>
      <c r="U768" s="265"/>
      <c r="V768" s="265"/>
      <c r="X768" s="1026"/>
      <c r="Y768" s="265"/>
      <c r="Z768" s="265"/>
      <c r="AA768" s="265"/>
      <c r="AD768" s="4"/>
      <c r="AE768" s="1026"/>
      <c r="AF768" s="265"/>
      <c r="AU768" s="265"/>
      <c r="AV768" s="265"/>
      <c r="AW768" s="265"/>
      <c r="AX768" s="265"/>
      <c r="AY768" s="265"/>
      <c r="AZ768" s="265"/>
      <c r="BA768" s="265"/>
      <c r="BB768" s="265"/>
      <c r="BC768" s="265"/>
      <c r="BD768" s="265"/>
      <c r="BE768" s="265"/>
      <c r="BF768" s="265"/>
      <c r="BG768" s="265"/>
      <c r="BM768" s="6"/>
      <c r="BN768" s="6"/>
      <c r="BO768" s="6"/>
      <c r="BP768" s="1028"/>
      <c r="BT768" s="6"/>
      <c r="BU768" s="6"/>
      <c r="BV768" s="6"/>
      <c r="BW768" s="1029"/>
      <c r="BX768" s="1028"/>
      <c r="CB768" s="6"/>
      <c r="CC768" s="6"/>
      <c r="CD768" s="6"/>
      <c r="CE768" s="1029"/>
      <c r="CJ768" s="11"/>
      <c r="CM768" s="11"/>
      <c r="CU768" s="17"/>
      <c r="CV768" s="265"/>
      <c r="CW768" s="265"/>
      <c r="CY768" s="11"/>
      <c r="DA768" s="12"/>
      <c r="DB768" s="13"/>
      <c r="DC768" s="14"/>
      <c r="DD768" s="265"/>
      <c r="DE768" s="265"/>
      <c r="DF768" s="265"/>
      <c r="DH768" s="15"/>
      <c r="DM768" s="4"/>
    </row>
    <row r="769" spans="2:117" ht="15" customHeight="1">
      <c r="B769" s="10"/>
      <c r="C769" s="17"/>
      <c r="E769" s="25"/>
      <c r="F769" s="35"/>
      <c r="J769" s="20"/>
      <c r="K769" s="1024"/>
      <c r="L769" s="1025"/>
      <c r="M769" s="1026"/>
      <c r="N769" s="1026"/>
      <c r="O769" s="265"/>
      <c r="P769" s="265"/>
      <c r="T769" s="265"/>
      <c r="U769" s="265"/>
      <c r="V769" s="265"/>
      <c r="X769" s="1026"/>
      <c r="Y769" s="265"/>
      <c r="Z769" s="265"/>
      <c r="AA769" s="265"/>
      <c r="AD769" s="4"/>
      <c r="AE769" s="1026"/>
      <c r="AF769" s="265"/>
      <c r="AU769" s="265"/>
      <c r="AV769" s="265"/>
      <c r="AW769" s="265"/>
      <c r="AX769" s="265"/>
      <c r="AY769" s="265"/>
      <c r="AZ769" s="265"/>
      <c r="BA769" s="265"/>
      <c r="BB769" s="265"/>
      <c r="BC769" s="265"/>
      <c r="BD769" s="265"/>
      <c r="BE769" s="265"/>
      <c r="BF769" s="265"/>
      <c r="BG769" s="265"/>
      <c r="BM769" s="6"/>
      <c r="BN769" s="6"/>
      <c r="BO769" s="6"/>
      <c r="BP769" s="1028"/>
      <c r="BT769" s="6"/>
      <c r="BU769" s="6"/>
      <c r="BV769" s="6"/>
      <c r="BW769" s="1029"/>
      <c r="BX769" s="1028"/>
      <c r="CB769" s="6"/>
      <c r="CC769" s="6"/>
      <c r="CD769" s="6"/>
      <c r="CE769" s="1029"/>
      <c r="CJ769" s="11"/>
      <c r="CM769" s="11"/>
      <c r="CU769" s="17"/>
      <c r="CV769" s="265"/>
      <c r="CW769" s="265"/>
      <c r="CY769" s="11"/>
      <c r="DA769" s="12"/>
      <c r="DB769" s="13"/>
      <c r="DC769" s="14"/>
      <c r="DD769" s="265"/>
      <c r="DE769" s="265"/>
      <c r="DF769" s="265"/>
      <c r="DH769" s="15"/>
      <c r="DM769" s="4"/>
    </row>
    <row r="770" spans="2:117" ht="15" customHeight="1">
      <c r="B770" s="10"/>
      <c r="C770" s="17"/>
      <c r="E770" s="25"/>
      <c r="F770" s="35"/>
      <c r="J770" s="20"/>
      <c r="K770" s="1024"/>
      <c r="L770" s="1025"/>
      <c r="M770" s="1026"/>
      <c r="N770" s="1026"/>
      <c r="O770" s="265"/>
      <c r="P770" s="265"/>
      <c r="T770" s="265"/>
      <c r="U770" s="265"/>
      <c r="V770" s="265"/>
      <c r="X770" s="1026"/>
      <c r="Y770" s="265"/>
      <c r="Z770" s="265"/>
      <c r="AA770" s="265"/>
      <c r="AD770" s="4"/>
      <c r="AE770" s="1026"/>
      <c r="AF770" s="265"/>
      <c r="AU770" s="265"/>
      <c r="AV770" s="265"/>
      <c r="AW770" s="265"/>
      <c r="AX770" s="265"/>
      <c r="AY770" s="265"/>
      <c r="AZ770" s="265"/>
      <c r="BA770" s="265"/>
      <c r="BB770" s="265"/>
      <c r="BC770" s="265"/>
      <c r="BD770" s="265"/>
      <c r="BE770" s="265"/>
      <c r="BF770" s="265"/>
      <c r="BG770" s="265"/>
      <c r="BM770" s="6"/>
      <c r="BN770" s="6"/>
      <c r="BO770" s="6"/>
      <c r="BP770" s="1028"/>
      <c r="BT770" s="6"/>
      <c r="BU770" s="6"/>
      <c r="BV770" s="6"/>
      <c r="BW770" s="1029"/>
      <c r="BX770" s="1028"/>
      <c r="CB770" s="6"/>
      <c r="CC770" s="6"/>
      <c r="CD770" s="6"/>
      <c r="CE770" s="1029"/>
      <c r="CJ770" s="11"/>
      <c r="CM770" s="11"/>
      <c r="CU770" s="17"/>
      <c r="CV770" s="265"/>
      <c r="CW770" s="265"/>
      <c r="CY770" s="11"/>
      <c r="DA770" s="12"/>
      <c r="DB770" s="13"/>
      <c r="DC770" s="14"/>
      <c r="DD770" s="265"/>
      <c r="DE770" s="265"/>
      <c r="DF770" s="265"/>
      <c r="DH770" s="15"/>
      <c r="DM770" s="4"/>
    </row>
    <row r="771" spans="2:117" ht="15" customHeight="1">
      <c r="B771" s="10"/>
      <c r="C771" s="17"/>
      <c r="E771" s="25"/>
      <c r="F771" s="35"/>
      <c r="J771" s="20"/>
      <c r="K771" s="1024"/>
      <c r="L771" s="1025"/>
      <c r="M771" s="1026"/>
      <c r="N771" s="1026"/>
      <c r="O771" s="265"/>
      <c r="P771" s="265"/>
      <c r="T771" s="265"/>
      <c r="U771" s="265"/>
      <c r="V771" s="265"/>
      <c r="X771" s="1026"/>
      <c r="Y771" s="265"/>
      <c r="Z771" s="265"/>
      <c r="AA771" s="265"/>
      <c r="AD771" s="4"/>
      <c r="AE771" s="1026"/>
      <c r="AF771" s="265"/>
      <c r="AU771" s="265"/>
      <c r="AV771" s="265"/>
      <c r="AW771" s="265"/>
      <c r="AX771" s="265"/>
      <c r="AY771" s="265"/>
      <c r="AZ771" s="265"/>
      <c r="BA771" s="265"/>
      <c r="BB771" s="265"/>
      <c r="BC771" s="265"/>
      <c r="BD771" s="265"/>
      <c r="BE771" s="265"/>
      <c r="BF771" s="265"/>
      <c r="BG771" s="265"/>
      <c r="BM771" s="6"/>
      <c r="BN771" s="6"/>
      <c r="BO771" s="6"/>
      <c r="BP771" s="1028"/>
      <c r="BT771" s="6"/>
      <c r="BU771" s="6"/>
      <c r="BV771" s="6"/>
      <c r="BW771" s="1029"/>
      <c r="BX771" s="1028"/>
      <c r="CB771" s="6"/>
      <c r="CC771" s="6"/>
      <c r="CD771" s="6"/>
      <c r="CE771" s="1029"/>
      <c r="CJ771" s="11"/>
      <c r="CM771" s="11"/>
      <c r="CU771" s="17"/>
      <c r="CV771" s="265"/>
      <c r="CW771" s="265"/>
      <c r="CY771" s="11"/>
      <c r="DA771" s="12"/>
      <c r="DB771" s="13"/>
      <c r="DC771" s="14"/>
      <c r="DD771" s="265"/>
      <c r="DE771" s="265"/>
      <c r="DF771" s="265"/>
      <c r="DH771" s="15"/>
      <c r="DM771" s="4"/>
    </row>
    <row r="772" spans="2:117" ht="15" customHeight="1">
      <c r="B772" s="10"/>
      <c r="C772" s="17"/>
      <c r="E772" s="25"/>
      <c r="F772" s="35"/>
      <c r="J772" s="20"/>
      <c r="K772" s="1024"/>
      <c r="L772" s="1025"/>
      <c r="M772" s="1026"/>
      <c r="N772" s="1026"/>
      <c r="O772" s="265"/>
      <c r="P772" s="265"/>
      <c r="T772" s="265"/>
      <c r="U772" s="265"/>
      <c r="V772" s="265"/>
      <c r="X772" s="1026"/>
      <c r="Y772" s="265"/>
      <c r="Z772" s="265"/>
      <c r="AA772" s="265"/>
      <c r="AD772" s="4"/>
      <c r="AE772" s="1026"/>
      <c r="AF772" s="265"/>
      <c r="AU772" s="265"/>
      <c r="AV772" s="265"/>
      <c r="AW772" s="265"/>
      <c r="AX772" s="265"/>
      <c r="AY772" s="265"/>
      <c r="AZ772" s="265"/>
      <c r="BA772" s="265"/>
      <c r="BB772" s="265"/>
      <c r="BC772" s="265"/>
      <c r="BD772" s="265"/>
      <c r="BE772" s="265"/>
      <c r="BF772" s="265"/>
      <c r="BG772" s="265"/>
      <c r="BM772" s="6"/>
      <c r="BN772" s="6"/>
      <c r="BO772" s="6"/>
      <c r="BP772" s="1028"/>
      <c r="BT772" s="6"/>
      <c r="BU772" s="6"/>
      <c r="BV772" s="6"/>
      <c r="BW772" s="1029"/>
      <c r="BX772" s="1028"/>
      <c r="CB772" s="6"/>
      <c r="CC772" s="6"/>
      <c r="CD772" s="6"/>
      <c r="CE772" s="1029"/>
      <c r="CJ772" s="11"/>
      <c r="CM772" s="11"/>
      <c r="CU772" s="17"/>
      <c r="CV772" s="265"/>
      <c r="CW772" s="265"/>
      <c r="CY772" s="11"/>
      <c r="DA772" s="12"/>
      <c r="DB772" s="13"/>
      <c r="DC772" s="14"/>
      <c r="DD772" s="265"/>
      <c r="DE772" s="265"/>
      <c r="DF772" s="265"/>
      <c r="DH772" s="15"/>
      <c r="DM772" s="4"/>
    </row>
    <row r="773" spans="2:117" ht="15" customHeight="1">
      <c r="B773" s="10"/>
      <c r="C773" s="17"/>
      <c r="E773" s="25"/>
      <c r="F773" s="35"/>
      <c r="J773" s="20"/>
      <c r="K773" s="1024"/>
      <c r="L773" s="1025"/>
      <c r="M773" s="1026"/>
      <c r="N773" s="1026"/>
      <c r="O773" s="265"/>
      <c r="P773" s="265"/>
      <c r="T773" s="265"/>
      <c r="U773" s="265"/>
      <c r="V773" s="265"/>
      <c r="X773" s="1026"/>
      <c r="Y773" s="265"/>
      <c r="Z773" s="265"/>
      <c r="AA773" s="265"/>
      <c r="AD773" s="4"/>
      <c r="AE773" s="1026"/>
      <c r="AF773" s="265"/>
      <c r="AU773" s="265"/>
      <c r="AV773" s="265"/>
      <c r="AW773" s="265"/>
      <c r="AX773" s="265"/>
      <c r="AY773" s="265"/>
      <c r="AZ773" s="265"/>
      <c r="BA773" s="265"/>
      <c r="BB773" s="265"/>
      <c r="BC773" s="265"/>
      <c r="BD773" s="265"/>
      <c r="BE773" s="265"/>
      <c r="BF773" s="265"/>
      <c r="BG773" s="265"/>
      <c r="BM773" s="6"/>
      <c r="BN773" s="6"/>
      <c r="BO773" s="6"/>
      <c r="BP773" s="1028"/>
      <c r="BT773" s="6"/>
      <c r="BU773" s="6"/>
      <c r="BV773" s="6"/>
      <c r="BW773" s="1029"/>
      <c r="BX773" s="1028"/>
      <c r="CB773" s="6"/>
      <c r="CC773" s="6"/>
      <c r="CD773" s="6"/>
      <c r="CE773" s="1029"/>
      <c r="CJ773" s="11"/>
      <c r="CM773" s="11"/>
      <c r="CU773" s="17"/>
      <c r="CV773" s="265"/>
      <c r="CW773" s="265"/>
      <c r="CY773" s="11"/>
      <c r="DA773" s="12"/>
      <c r="DB773" s="13"/>
      <c r="DC773" s="14"/>
      <c r="DD773" s="265"/>
      <c r="DE773" s="265"/>
      <c r="DF773" s="265"/>
      <c r="DH773" s="15"/>
      <c r="DM773" s="4"/>
    </row>
    <row r="774" spans="2:117" ht="15" customHeight="1">
      <c r="B774" s="10"/>
      <c r="C774" s="17"/>
      <c r="E774" s="25"/>
      <c r="F774" s="35"/>
      <c r="J774" s="20"/>
      <c r="K774" s="1024"/>
      <c r="L774" s="1025"/>
      <c r="M774" s="1026"/>
      <c r="N774" s="1026"/>
      <c r="O774" s="265"/>
      <c r="P774" s="265"/>
      <c r="T774" s="265"/>
      <c r="U774" s="265"/>
      <c r="V774" s="265"/>
      <c r="X774" s="1026"/>
      <c r="Y774" s="265"/>
      <c r="Z774" s="265"/>
      <c r="AA774" s="265"/>
      <c r="AD774" s="4"/>
      <c r="AE774" s="1026"/>
      <c r="AF774" s="265"/>
      <c r="AU774" s="265"/>
      <c r="AV774" s="265"/>
      <c r="AW774" s="265"/>
      <c r="AX774" s="265"/>
      <c r="AY774" s="265"/>
      <c r="AZ774" s="265"/>
      <c r="BA774" s="265"/>
      <c r="BB774" s="265"/>
      <c r="BC774" s="265"/>
      <c r="BD774" s="265"/>
      <c r="BE774" s="265"/>
      <c r="BF774" s="265"/>
      <c r="BG774" s="265"/>
      <c r="BM774" s="6"/>
      <c r="BN774" s="6"/>
      <c r="BO774" s="6"/>
      <c r="BP774" s="1028"/>
      <c r="BT774" s="6"/>
      <c r="BU774" s="6"/>
      <c r="BV774" s="6"/>
      <c r="BW774" s="1029"/>
      <c r="BX774" s="1028"/>
      <c r="CB774" s="6"/>
      <c r="CC774" s="6"/>
      <c r="CD774" s="6"/>
      <c r="CE774" s="1029"/>
      <c r="CJ774" s="11"/>
      <c r="CM774" s="11"/>
      <c r="CU774" s="17"/>
      <c r="CV774" s="265"/>
      <c r="CW774" s="265"/>
      <c r="CY774" s="11"/>
      <c r="DA774" s="12"/>
      <c r="DB774" s="13"/>
      <c r="DC774" s="14"/>
      <c r="DD774" s="265"/>
      <c r="DE774" s="265"/>
      <c r="DF774" s="265"/>
      <c r="DH774" s="15"/>
      <c r="DM774" s="4"/>
    </row>
    <row r="775" spans="2:117" ht="15" customHeight="1">
      <c r="B775" s="10"/>
      <c r="C775" s="17"/>
      <c r="E775" s="25"/>
      <c r="F775" s="35"/>
      <c r="J775" s="20"/>
      <c r="K775" s="1024"/>
      <c r="L775" s="1025"/>
      <c r="M775" s="1026"/>
      <c r="N775" s="1026"/>
      <c r="O775" s="265"/>
      <c r="P775" s="265"/>
      <c r="T775" s="265"/>
      <c r="U775" s="265"/>
      <c r="V775" s="265"/>
      <c r="X775" s="1026"/>
      <c r="Y775" s="265"/>
      <c r="Z775" s="265"/>
      <c r="AA775" s="265"/>
      <c r="AD775" s="4"/>
      <c r="AE775" s="1026"/>
      <c r="AF775" s="265"/>
      <c r="AU775" s="265"/>
      <c r="AV775" s="265"/>
      <c r="AW775" s="265"/>
      <c r="AX775" s="265"/>
      <c r="AY775" s="265"/>
      <c r="AZ775" s="265"/>
      <c r="BA775" s="265"/>
      <c r="BB775" s="265"/>
      <c r="BC775" s="265"/>
      <c r="BD775" s="265"/>
      <c r="BE775" s="265"/>
      <c r="BF775" s="265"/>
      <c r="BG775" s="265"/>
      <c r="BM775" s="6"/>
      <c r="BN775" s="6"/>
      <c r="BO775" s="6"/>
      <c r="BP775" s="1028"/>
      <c r="BT775" s="6"/>
      <c r="BU775" s="6"/>
      <c r="BV775" s="6"/>
      <c r="BW775" s="1029"/>
      <c r="BX775" s="1028"/>
      <c r="CB775" s="6"/>
      <c r="CC775" s="6"/>
      <c r="CD775" s="6"/>
      <c r="CE775" s="1029"/>
      <c r="CJ775" s="11"/>
      <c r="CM775" s="11"/>
      <c r="CU775" s="17"/>
      <c r="CV775" s="265"/>
      <c r="CW775" s="265"/>
      <c r="CY775" s="11"/>
      <c r="DA775" s="12"/>
      <c r="DB775" s="13"/>
      <c r="DC775" s="14"/>
      <c r="DD775" s="265"/>
      <c r="DE775" s="265"/>
      <c r="DF775" s="265"/>
      <c r="DH775" s="15"/>
      <c r="DM775" s="4"/>
    </row>
    <row r="776" spans="2:117" ht="15" customHeight="1">
      <c r="B776" s="10"/>
      <c r="C776" s="17"/>
      <c r="E776" s="25"/>
      <c r="F776" s="35"/>
      <c r="J776" s="20"/>
      <c r="K776" s="1024"/>
      <c r="L776" s="1025"/>
      <c r="M776" s="1026"/>
      <c r="N776" s="1026"/>
      <c r="O776" s="265"/>
      <c r="P776" s="265"/>
      <c r="T776" s="265"/>
      <c r="U776" s="265"/>
      <c r="V776" s="265"/>
      <c r="X776" s="1026"/>
      <c r="Y776" s="265"/>
      <c r="Z776" s="265"/>
      <c r="AA776" s="265"/>
      <c r="AD776" s="4"/>
      <c r="AE776" s="1026"/>
      <c r="AF776" s="265"/>
      <c r="AU776" s="265"/>
      <c r="AV776" s="265"/>
      <c r="AW776" s="265"/>
      <c r="AX776" s="265"/>
      <c r="AY776" s="265"/>
      <c r="AZ776" s="265"/>
      <c r="BA776" s="265"/>
      <c r="BB776" s="265"/>
      <c r="BC776" s="265"/>
      <c r="BD776" s="265"/>
      <c r="BE776" s="265"/>
      <c r="BF776" s="265"/>
      <c r="BG776" s="265"/>
      <c r="BM776" s="6"/>
      <c r="BN776" s="6"/>
      <c r="BO776" s="6"/>
      <c r="BP776" s="1028"/>
      <c r="BT776" s="6"/>
      <c r="BU776" s="6"/>
      <c r="BV776" s="6"/>
      <c r="BW776" s="1029"/>
      <c r="BX776" s="1028"/>
      <c r="CB776" s="6"/>
      <c r="CC776" s="6"/>
      <c r="CD776" s="6"/>
      <c r="CE776" s="1029"/>
      <c r="CJ776" s="11"/>
      <c r="CM776" s="11"/>
      <c r="CU776" s="17"/>
      <c r="CV776" s="265"/>
      <c r="CW776" s="265"/>
      <c r="CY776" s="11"/>
      <c r="DA776" s="12"/>
      <c r="DB776" s="13"/>
      <c r="DC776" s="14"/>
      <c r="DD776" s="265"/>
      <c r="DE776" s="265"/>
      <c r="DF776" s="265"/>
      <c r="DH776" s="15"/>
      <c r="DM776" s="4"/>
    </row>
    <row r="777" spans="2:117" ht="15" customHeight="1">
      <c r="B777" s="10"/>
      <c r="C777" s="17"/>
      <c r="E777" s="25"/>
      <c r="F777" s="35"/>
      <c r="J777" s="20"/>
      <c r="K777" s="1024"/>
      <c r="L777" s="1025"/>
      <c r="M777" s="1026"/>
      <c r="N777" s="1026"/>
      <c r="O777" s="265"/>
      <c r="P777" s="265"/>
      <c r="T777" s="265"/>
      <c r="U777" s="265"/>
      <c r="V777" s="265"/>
      <c r="X777" s="1026"/>
      <c r="Y777" s="265"/>
      <c r="Z777" s="265"/>
      <c r="AA777" s="265"/>
      <c r="AD777" s="4"/>
      <c r="AE777" s="1026"/>
      <c r="AF777" s="265"/>
      <c r="AU777" s="265"/>
      <c r="AV777" s="265"/>
      <c r="AW777" s="265"/>
      <c r="AX777" s="265"/>
      <c r="AY777" s="265"/>
      <c r="AZ777" s="265"/>
      <c r="BA777" s="265"/>
      <c r="BB777" s="265"/>
      <c r="BC777" s="265"/>
      <c r="BD777" s="265"/>
      <c r="BE777" s="265"/>
      <c r="BF777" s="265"/>
      <c r="BG777" s="265"/>
      <c r="BM777" s="6"/>
      <c r="BN777" s="6"/>
      <c r="BO777" s="6"/>
      <c r="BP777" s="1028"/>
      <c r="BT777" s="6"/>
      <c r="BU777" s="6"/>
      <c r="BV777" s="6"/>
      <c r="BW777" s="1029"/>
      <c r="BX777" s="1028"/>
      <c r="CB777" s="6"/>
      <c r="CC777" s="6"/>
      <c r="CD777" s="6"/>
      <c r="CE777" s="1029"/>
      <c r="CJ777" s="11"/>
      <c r="CM777" s="11"/>
      <c r="CU777" s="17"/>
      <c r="CV777" s="265"/>
      <c r="CW777" s="265"/>
      <c r="CY777" s="11"/>
      <c r="DA777" s="12"/>
      <c r="DB777" s="13"/>
      <c r="DC777" s="14"/>
      <c r="DD777" s="265"/>
      <c r="DE777" s="265"/>
      <c r="DF777" s="265"/>
      <c r="DH777" s="15"/>
      <c r="DM777" s="4"/>
    </row>
    <row r="778" spans="2:117" ht="15" customHeight="1">
      <c r="B778" s="10"/>
      <c r="C778" s="17"/>
      <c r="E778" s="25"/>
      <c r="F778" s="35"/>
      <c r="J778" s="20"/>
      <c r="K778" s="1024"/>
      <c r="L778" s="1025"/>
      <c r="M778" s="1026"/>
      <c r="N778" s="1026"/>
      <c r="O778" s="265"/>
      <c r="P778" s="265"/>
      <c r="T778" s="265"/>
      <c r="U778" s="265"/>
      <c r="V778" s="265"/>
      <c r="X778" s="1026"/>
      <c r="Y778" s="265"/>
      <c r="Z778" s="265"/>
      <c r="AA778" s="265"/>
      <c r="AD778" s="4"/>
      <c r="AE778" s="1026"/>
      <c r="AF778" s="265"/>
      <c r="AU778" s="265"/>
      <c r="AV778" s="265"/>
      <c r="AW778" s="265"/>
      <c r="AX778" s="265"/>
      <c r="AY778" s="265"/>
      <c r="AZ778" s="265"/>
      <c r="BA778" s="265"/>
      <c r="BB778" s="265"/>
      <c r="BC778" s="265"/>
      <c r="BD778" s="265"/>
      <c r="BE778" s="265"/>
      <c r="BF778" s="265"/>
      <c r="BG778" s="265"/>
      <c r="BM778" s="6"/>
      <c r="BN778" s="6"/>
      <c r="BO778" s="6"/>
      <c r="BP778" s="1028"/>
      <c r="BT778" s="6"/>
      <c r="BU778" s="6"/>
      <c r="BV778" s="6"/>
      <c r="BW778" s="1029"/>
      <c r="BX778" s="1028"/>
      <c r="CB778" s="6"/>
      <c r="CC778" s="6"/>
      <c r="CD778" s="6"/>
      <c r="CE778" s="1029"/>
      <c r="CJ778" s="11"/>
      <c r="CM778" s="11"/>
      <c r="CU778" s="17"/>
      <c r="CV778" s="265"/>
      <c r="CW778" s="265"/>
      <c r="CY778" s="11"/>
      <c r="DA778" s="12"/>
      <c r="DB778" s="13"/>
      <c r="DC778" s="14"/>
      <c r="DD778" s="265"/>
      <c r="DE778" s="265"/>
      <c r="DF778" s="265"/>
      <c r="DH778" s="15"/>
      <c r="DM778" s="4"/>
    </row>
    <row r="779" spans="2:117" ht="15" customHeight="1">
      <c r="B779" s="10"/>
      <c r="C779" s="17"/>
      <c r="E779" s="25"/>
      <c r="F779" s="35"/>
      <c r="J779" s="20"/>
      <c r="K779" s="1024"/>
      <c r="L779" s="1025"/>
      <c r="M779" s="1026"/>
      <c r="N779" s="1026"/>
      <c r="O779" s="265"/>
      <c r="P779" s="265"/>
      <c r="T779" s="265"/>
      <c r="U779" s="265"/>
      <c r="V779" s="265"/>
      <c r="X779" s="1026"/>
      <c r="Y779" s="265"/>
      <c r="Z779" s="265"/>
      <c r="AA779" s="265"/>
      <c r="AD779" s="4"/>
      <c r="AE779" s="1026"/>
      <c r="AF779" s="265"/>
      <c r="AU779" s="265"/>
      <c r="AV779" s="265"/>
      <c r="AW779" s="265"/>
      <c r="AX779" s="265"/>
      <c r="AY779" s="265"/>
      <c r="AZ779" s="265"/>
      <c r="BA779" s="265"/>
      <c r="BB779" s="265"/>
      <c r="BC779" s="265"/>
      <c r="BD779" s="265"/>
      <c r="BE779" s="265"/>
      <c r="BF779" s="265"/>
      <c r="BG779" s="265"/>
      <c r="BM779" s="6"/>
      <c r="BN779" s="6"/>
      <c r="BO779" s="6"/>
      <c r="BP779" s="1028"/>
      <c r="BT779" s="6"/>
      <c r="BU779" s="6"/>
      <c r="BV779" s="6"/>
      <c r="BW779" s="1029"/>
      <c r="BX779" s="1028"/>
      <c r="CB779" s="6"/>
      <c r="CC779" s="6"/>
      <c r="CD779" s="6"/>
      <c r="CE779" s="1029"/>
      <c r="CJ779" s="11"/>
      <c r="CM779" s="11"/>
      <c r="CU779" s="17"/>
      <c r="CV779" s="265"/>
      <c r="CW779" s="265"/>
      <c r="CY779" s="11"/>
      <c r="DA779" s="12"/>
      <c r="DB779" s="13"/>
      <c r="DC779" s="14"/>
      <c r="DD779" s="265"/>
      <c r="DE779" s="265"/>
      <c r="DF779" s="265"/>
      <c r="DH779" s="15"/>
      <c r="DM779" s="4"/>
    </row>
    <row r="780" spans="2:117" ht="15" customHeight="1">
      <c r="B780" s="10"/>
      <c r="C780" s="17"/>
      <c r="E780" s="25"/>
      <c r="F780" s="35"/>
      <c r="J780" s="20"/>
      <c r="K780" s="1024"/>
      <c r="L780" s="1025"/>
      <c r="M780" s="1026"/>
      <c r="N780" s="1026"/>
      <c r="O780" s="265"/>
      <c r="P780" s="265"/>
      <c r="T780" s="265"/>
      <c r="U780" s="265"/>
      <c r="V780" s="265"/>
      <c r="X780" s="1026"/>
      <c r="Y780" s="265"/>
      <c r="Z780" s="265"/>
      <c r="AA780" s="265"/>
      <c r="AD780" s="4"/>
      <c r="AE780" s="1026"/>
      <c r="AF780" s="265"/>
      <c r="AU780" s="265"/>
      <c r="AV780" s="265"/>
      <c r="AW780" s="265"/>
      <c r="AX780" s="265"/>
      <c r="AY780" s="265"/>
      <c r="AZ780" s="265"/>
      <c r="BA780" s="265"/>
      <c r="BB780" s="265"/>
      <c r="BC780" s="265"/>
      <c r="BD780" s="265"/>
      <c r="BE780" s="265"/>
      <c r="BF780" s="265"/>
      <c r="BG780" s="265"/>
      <c r="BM780" s="6"/>
      <c r="BN780" s="6"/>
      <c r="BO780" s="6"/>
      <c r="BP780" s="1028"/>
      <c r="BT780" s="6"/>
      <c r="BU780" s="6"/>
      <c r="BV780" s="6"/>
      <c r="BW780" s="1029"/>
      <c r="BX780" s="1028"/>
      <c r="CB780" s="6"/>
      <c r="CC780" s="6"/>
      <c r="CD780" s="6"/>
      <c r="CE780" s="1029"/>
      <c r="CJ780" s="11"/>
      <c r="CM780" s="11"/>
      <c r="CU780" s="17"/>
      <c r="CV780" s="265"/>
      <c r="CW780" s="265"/>
      <c r="CY780" s="11"/>
      <c r="DA780" s="12"/>
      <c r="DB780" s="13"/>
      <c r="DC780" s="14"/>
      <c r="DD780" s="265"/>
      <c r="DE780" s="265"/>
      <c r="DF780" s="265"/>
      <c r="DH780" s="15"/>
      <c r="DM780" s="4"/>
    </row>
    <row r="781" spans="2:117" ht="15" customHeight="1">
      <c r="B781" s="10"/>
      <c r="C781" s="17"/>
      <c r="E781" s="25"/>
      <c r="F781" s="35"/>
      <c r="J781" s="20"/>
      <c r="K781" s="1024"/>
      <c r="L781" s="1025"/>
      <c r="M781" s="1026"/>
      <c r="N781" s="1026"/>
      <c r="O781" s="265"/>
      <c r="P781" s="265"/>
      <c r="T781" s="265"/>
      <c r="U781" s="265"/>
      <c r="V781" s="265"/>
      <c r="X781" s="1026"/>
      <c r="Y781" s="265"/>
      <c r="Z781" s="265"/>
      <c r="AA781" s="265"/>
      <c r="AD781" s="4"/>
      <c r="AE781" s="1026"/>
      <c r="AF781" s="265"/>
      <c r="AU781" s="265"/>
      <c r="AV781" s="265"/>
      <c r="AW781" s="265"/>
      <c r="AX781" s="265"/>
      <c r="AY781" s="265"/>
      <c r="AZ781" s="265"/>
      <c r="BA781" s="265"/>
      <c r="BB781" s="265"/>
      <c r="BC781" s="265"/>
      <c r="BD781" s="265"/>
      <c r="BE781" s="265"/>
      <c r="BF781" s="265"/>
      <c r="BG781" s="265"/>
      <c r="BM781" s="6"/>
      <c r="BN781" s="6"/>
      <c r="BO781" s="6"/>
      <c r="BP781" s="1028"/>
      <c r="BT781" s="6"/>
      <c r="BU781" s="6"/>
      <c r="BV781" s="6"/>
      <c r="BW781" s="1029"/>
      <c r="BX781" s="1028"/>
      <c r="CB781" s="6"/>
      <c r="CC781" s="6"/>
      <c r="CD781" s="6"/>
      <c r="CE781" s="1029"/>
      <c r="CJ781" s="11"/>
      <c r="CM781" s="11"/>
      <c r="CU781" s="17"/>
      <c r="CV781" s="265"/>
      <c r="CW781" s="265"/>
      <c r="CY781" s="11"/>
      <c r="DA781" s="12"/>
      <c r="DB781" s="13"/>
      <c r="DC781" s="14"/>
      <c r="DD781" s="265"/>
      <c r="DE781" s="265"/>
      <c r="DF781" s="265"/>
      <c r="DH781" s="15"/>
      <c r="DM781" s="4"/>
    </row>
    <row r="782" spans="2:117" ht="15" customHeight="1">
      <c r="B782" s="10"/>
      <c r="C782" s="17"/>
      <c r="E782" s="25"/>
      <c r="F782" s="35"/>
      <c r="J782" s="20"/>
      <c r="K782" s="1024"/>
      <c r="L782" s="1025"/>
      <c r="M782" s="1026"/>
      <c r="N782" s="1026"/>
      <c r="O782" s="265"/>
      <c r="P782" s="265"/>
      <c r="T782" s="265"/>
      <c r="U782" s="265"/>
      <c r="V782" s="265"/>
      <c r="X782" s="1026"/>
      <c r="Y782" s="265"/>
      <c r="Z782" s="265"/>
      <c r="AA782" s="265"/>
      <c r="AD782" s="4"/>
      <c r="AE782" s="1026"/>
      <c r="AF782" s="265"/>
      <c r="AU782" s="265"/>
      <c r="AV782" s="265"/>
      <c r="AW782" s="265"/>
      <c r="AX782" s="265"/>
      <c r="AY782" s="265"/>
      <c r="AZ782" s="265"/>
      <c r="BA782" s="265"/>
      <c r="BB782" s="265"/>
      <c r="BC782" s="265"/>
      <c r="BD782" s="265"/>
      <c r="BE782" s="265"/>
      <c r="BF782" s="265"/>
      <c r="BG782" s="265"/>
      <c r="BM782" s="6"/>
      <c r="BN782" s="6"/>
      <c r="BO782" s="6"/>
      <c r="BP782" s="1028"/>
      <c r="BT782" s="6"/>
      <c r="BU782" s="6"/>
      <c r="BV782" s="6"/>
      <c r="BW782" s="1029"/>
      <c r="BX782" s="1028"/>
      <c r="CB782" s="6"/>
      <c r="CC782" s="6"/>
      <c r="CD782" s="6"/>
      <c r="CE782" s="1029"/>
      <c r="CJ782" s="11"/>
      <c r="CM782" s="11"/>
      <c r="CU782" s="17"/>
      <c r="CV782" s="265"/>
      <c r="CW782" s="265"/>
      <c r="CY782" s="11"/>
      <c r="DA782" s="12"/>
      <c r="DB782" s="13"/>
      <c r="DC782" s="14"/>
      <c r="DD782" s="265"/>
      <c r="DE782" s="265"/>
      <c r="DF782" s="265"/>
      <c r="DH782" s="15"/>
      <c r="DM782" s="4"/>
    </row>
    <row r="783" spans="2:117" ht="15" customHeight="1">
      <c r="B783" s="10"/>
      <c r="C783" s="17"/>
      <c r="E783" s="25"/>
      <c r="F783" s="35"/>
      <c r="J783" s="20"/>
      <c r="K783" s="1024"/>
      <c r="L783" s="1025"/>
      <c r="M783" s="1026"/>
      <c r="N783" s="1026"/>
      <c r="O783" s="265"/>
      <c r="P783" s="265"/>
      <c r="T783" s="265"/>
      <c r="U783" s="265"/>
      <c r="V783" s="265"/>
      <c r="X783" s="1026"/>
      <c r="Y783" s="265"/>
      <c r="Z783" s="265"/>
      <c r="AA783" s="265"/>
      <c r="AD783" s="4"/>
      <c r="AE783" s="1026"/>
      <c r="AF783" s="265"/>
      <c r="AU783" s="265"/>
      <c r="AV783" s="265"/>
      <c r="AW783" s="265"/>
      <c r="AX783" s="265"/>
      <c r="AY783" s="265"/>
      <c r="AZ783" s="265"/>
      <c r="BA783" s="265"/>
      <c r="BB783" s="265"/>
      <c r="BC783" s="265"/>
      <c r="BD783" s="265"/>
      <c r="BE783" s="265"/>
      <c r="BF783" s="265"/>
      <c r="BG783" s="265"/>
      <c r="BM783" s="6"/>
      <c r="BN783" s="6"/>
      <c r="BO783" s="6"/>
      <c r="BP783" s="1028"/>
      <c r="BT783" s="6"/>
      <c r="BU783" s="6"/>
      <c r="BV783" s="6"/>
      <c r="BW783" s="1029"/>
      <c r="BX783" s="1028"/>
      <c r="CB783" s="6"/>
      <c r="CC783" s="6"/>
      <c r="CD783" s="6"/>
      <c r="CE783" s="1029"/>
      <c r="CJ783" s="11"/>
      <c r="CM783" s="11"/>
      <c r="CU783" s="17"/>
      <c r="CV783" s="265"/>
      <c r="CW783" s="265"/>
      <c r="CY783" s="11"/>
      <c r="DA783" s="12"/>
      <c r="DB783" s="13"/>
      <c r="DC783" s="14"/>
      <c r="DD783" s="265"/>
      <c r="DE783" s="265"/>
      <c r="DF783" s="265"/>
      <c r="DH783" s="15"/>
      <c r="DM783" s="4"/>
    </row>
    <row r="784" spans="2:117" ht="15" customHeight="1">
      <c r="B784" s="10"/>
      <c r="C784" s="17"/>
      <c r="E784" s="25"/>
      <c r="F784" s="35"/>
      <c r="J784" s="20"/>
      <c r="K784" s="1024"/>
      <c r="L784" s="1025"/>
      <c r="M784" s="1026"/>
      <c r="N784" s="1026"/>
      <c r="O784" s="265"/>
      <c r="P784" s="265"/>
      <c r="T784" s="265"/>
      <c r="U784" s="265"/>
      <c r="V784" s="265"/>
      <c r="X784" s="1026"/>
      <c r="Y784" s="265"/>
      <c r="Z784" s="265"/>
      <c r="AA784" s="265"/>
      <c r="AD784" s="4"/>
      <c r="AE784" s="1026"/>
      <c r="AF784" s="265"/>
      <c r="AU784" s="265"/>
      <c r="AV784" s="265"/>
      <c r="AW784" s="265"/>
      <c r="AX784" s="265"/>
      <c r="AY784" s="265"/>
      <c r="AZ784" s="265"/>
      <c r="BA784" s="265"/>
      <c r="BB784" s="265"/>
      <c r="BC784" s="265"/>
      <c r="BD784" s="265"/>
      <c r="BE784" s="265"/>
      <c r="BF784" s="265"/>
      <c r="BG784" s="265"/>
      <c r="BM784" s="6"/>
      <c r="BN784" s="6"/>
      <c r="BO784" s="6"/>
      <c r="BP784" s="1028"/>
      <c r="BT784" s="6"/>
      <c r="BU784" s="6"/>
      <c r="BV784" s="6"/>
      <c r="BW784" s="1029"/>
      <c r="BX784" s="1028"/>
      <c r="CB784" s="6"/>
      <c r="CC784" s="6"/>
      <c r="CD784" s="6"/>
      <c r="CE784" s="1029"/>
      <c r="CJ784" s="11"/>
      <c r="CM784" s="11"/>
      <c r="CU784" s="17"/>
      <c r="CV784" s="265"/>
      <c r="CW784" s="265"/>
      <c r="CY784" s="11"/>
      <c r="DA784" s="12"/>
      <c r="DB784" s="13"/>
      <c r="DC784" s="14"/>
      <c r="DD784" s="265"/>
      <c r="DE784" s="265"/>
      <c r="DF784" s="265"/>
      <c r="DH784" s="15"/>
      <c r="DM784" s="4"/>
    </row>
    <row r="785" spans="2:117" ht="15" customHeight="1">
      <c r="B785" s="10"/>
      <c r="C785" s="17"/>
      <c r="E785" s="25"/>
      <c r="F785" s="35"/>
      <c r="J785" s="20"/>
      <c r="K785" s="1024"/>
      <c r="L785" s="1025"/>
      <c r="M785" s="1026"/>
      <c r="N785" s="1026"/>
      <c r="O785" s="265"/>
      <c r="P785" s="265"/>
      <c r="T785" s="265"/>
      <c r="U785" s="265"/>
      <c r="V785" s="265"/>
      <c r="X785" s="1026"/>
      <c r="Y785" s="265"/>
      <c r="Z785" s="265"/>
      <c r="AA785" s="265"/>
      <c r="AD785" s="4"/>
      <c r="AE785" s="1026"/>
      <c r="AF785" s="265"/>
      <c r="AU785" s="265"/>
      <c r="AV785" s="265"/>
      <c r="AW785" s="265"/>
      <c r="AX785" s="265"/>
      <c r="AY785" s="265"/>
      <c r="AZ785" s="265"/>
      <c r="BA785" s="265"/>
      <c r="BB785" s="265"/>
      <c r="BC785" s="265"/>
      <c r="BD785" s="265"/>
      <c r="BE785" s="265"/>
      <c r="BF785" s="265"/>
      <c r="BG785" s="265"/>
      <c r="BM785" s="6"/>
      <c r="BN785" s="6"/>
      <c r="BO785" s="6"/>
      <c r="BP785" s="1028"/>
      <c r="BT785" s="6"/>
      <c r="BU785" s="6"/>
      <c r="BV785" s="6"/>
      <c r="BW785" s="1029"/>
      <c r="BX785" s="1028"/>
      <c r="CB785" s="6"/>
      <c r="CC785" s="6"/>
      <c r="CD785" s="6"/>
      <c r="CE785" s="1029"/>
      <c r="CJ785" s="11"/>
      <c r="CM785" s="11"/>
      <c r="CU785" s="17"/>
      <c r="CV785" s="265"/>
      <c r="CW785" s="265"/>
      <c r="CY785" s="11"/>
      <c r="DA785" s="12"/>
      <c r="DB785" s="13"/>
      <c r="DC785" s="14"/>
      <c r="DD785" s="265"/>
      <c r="DE785" s="265"/>
      <c r="DF785" s="265"/>
      <c r="DH785" s="15"/>
      <c r="DM785" s="4"/>
    </row>
    <row r="786" spans="2:117" ht="15" customHeight="1">
      <c r="B786" s="10"/>
      <c r="C786" s="17"/>
      <c r="E786" s="25"/>
      <c r="F786" s="35"/>
      <c r="J786" s="20"/>
      <c r="K786" s="1024"/>
      <c r="L786" s="1025"/>
      <c r="M786" s="1026"/>
      <c r="N786" s="1026"/>
      <c r="O786" s="265"/>
      <c r="P786" s="265"/>
      <c r="T786" s="265"/>
      <c r="U786" s="265"/>
      <c r="V786" s="265"/>
      <c r="X786" s="1026"/>
      <c r="Y786" s="265"/>
      <c r="Z786" s="265"/>
      <c r="AA786" s="265"/>
      <c r="AD786" s="4"/>
      <c r="AE786" s="1026"/>
      <c r="AF786" s="265"/>
      <c r="AU786" s="265"/>
      <c r="AV786" s="265"/>
      <c r="AW786" s="265"/>
      <c r="AX786" s="265"/>
      <c r="AY786" s="265"/>
      <c r="AZ786" s="265"/>
      <c r="BA786" s="265"/>
      <c r="BB786" s="265"/>
      <c r="BC786" s="265"/>
      <c r="BD786" s="265"/>
      <c r="BE786" s="265"/>
      <c r="BF786" s="265"/>
      <c r="BG786" s="265"/>
      <c r="BM786" s="6"/>
      <c r="BN786" s="6"/>
      <c r="BO786" s="6"/>
      <c r="BP786" s="1028"/>
      <c r="BT786" s="6"/>
      <c r="BU786" s="6"/>
      <c r="BV786" s="6"/>
      <c r="BW786" s="1029"/>
      <c r="BX786" s="1028"/>
      <c r="CB786" s="6"/>
      <c r="CC786" s="6"/>
      <c r="CD786" s="6"/>
      <c r="CE786" s="1029"/>
      <c r="CJ786" s="11"/>
      <c r="CM786" s="11"/>
      <c r="CU786" s="17"/>
      <c r="CV786" s="265"/>
      <c r="CW786" s="265"/>
      <c r="CY786" s="11"/>
      <c r="DA786" s="12"/>
      <c r="DB786" s="13"/>
      <c r="DC786" s="14"/>
      <c r="DD786" s="265"/>
      <c r="DE786" s="265"/>
      <c r="DF786" s="265"/>
      <c r="DH786" s="15"/>
      <c r="DM786" s="4"/>
    </row>
    <row r="787" spans="2:117" ht="15" customHeight="1">
      <c r="B787" s="10"/>
      <c r="C787" s="17"/>
      <c r="E787" s="25"/>
      <c r="F787" s="35"/>
      <c r="J787" s="20"/>
      <c r="K787" s="1024"/>
      <c r="L787" s="1025"/>
      <c r="M787" s="1026"/>
      <c r="N787" s="1026"/>
      <c r="O787" s="265"/>
      <c r="P787" s="265"/>
      <c r="T787" s="265"/>
      <c r="U787" s="265"/>
      <c r="V787" s="265"/>
      <c r="X787" s="1026"/>
      <c r="Y787" s="265"/>
      <c r="Z787" s="265"/>
      <c r="AA787" s="265"/>
      <c r="AD787" s="4"/>
      <c r="AE787" s="1026"/>
      <c r="AF787" s="265"/>
      <c r="AU787" s="265"/>
      <c r="AV787" s="265"/>
      <c r="AW787" s="265"/>
      <c r="AX787" s="265"/>
      <c r="AY787" s="265"/>
      <c r="AZ787" s="265"/>
      <c r="BA787" s="265"/>
      <c r="BB787" s="265"/>
      <c r="BC787" s="265"/>
      <c r="BD787" s="265"/>
      <c r="BE787" s="265"/>
      <c r="BF787" s="265"/>
      <c r="BG787" s="265"/>
      <c r="BM787" s="6"/>
      <c r="BN787" s="6"/>
      <c r="BO787" s="6"/>
      <c r="BP787" s="1028"/>
      <c r="BT787" s="6"/>
      <c r="BU787" s="6"/>
      <c r="BV787" s="6"/>
      <c r="BW787" s="1029"/>
      <c r="BX787" s="1028"/>
      <c r="CB787" s="6"/>
      <c r="CC787" s="6"/>
      <c r="CD787" s="6"/>
      <c r="CE787" s="1029"/>
      <c r="CJ787" s="11"/>
      <c r="CM787" s="11"/>
      <c r="CU787" s="17"/>
      <c r="CV787" s="265"/>
      <c r="CW787" s="265"/>
      <c r="CY787" s="11"/>
      <c r="DA787" s="12"/>
      <c r="DB787" s="13"/>
      <c r="DC787" s="14"/>
      <c r="DD787" s="265"/>
      <c r="DE787" s="265"/>
      <c r="DF787" s="265"/>
      <c r="DH787" s="15"/>
      <c r="DM787" s="4"/>
    </row>
    <row r="788" spans="2:117" ht="15" customHeight="1">
      <c r="B788" s="10"/>
      <c r="C788" s="17"/>
      <c r="E788" s="25"/>
      <c r="F788" s="35"/>
      <c r="J788" s="20"/>
      <c r="K788" s="1024"/>
      <c r="L788" s="1025"/>
      <c r="M788" s="1026"/>
      <c r="N788" s="1026"/>
      <c r="O788" s="265"/>
      <c r="P788" s="265"/>
      <c r="T788" s="265"/>
      <c r="U788" s="265"/>
      <c r="V788" s="265"/>
      <c r="X788" s="1026"/>
      <c r="Y788" s="265"/>
      <c r="Z788" s="265"/>
      <c r="AA788" s="265"/>
      <c r="AD788" s="4"/>
      <c r="AE788" s="1026"/>
      <c r="AF788" s="265"/>
      <c r="AU788" s="265"/>
      <c r="AV788" s="265"/>
      <c r="AW788" s="265"/>
      <c r="AX788" s="265"/>
      <c r="AY788" s="265"/>
      <c r="AZ788" s="265"/>
      <c r="BA788" s="265"/>
      <c r="BB788" s="265"/>
      <c r="BC788" s="265"/>
      <c r="BD788" s="265"/>
      <c r="BE788" s="265"/>
      <c r="BF788" s="265"/>
      <c r="BG788" s="265"/>
      <c r="BM788" s="6"/>
      <c r="BN788" s="6"/>
      <c r="BO788" s="6"/>
      <c r="BP788" s="1028"/>
      <c r="BT788" s="6"/>
      <c r="BU788" s="6"/>
      <c r="BV788" s="6"/>
      <c r="BW788" s="1029"/>
      <c r="BX788" s="1028"/>
      <c r="CB788" s="6"/>
      <c r="CC788" s="6"/>
      <c r="CD788" s="6"/>
      <c r="CE788" s="1029"/>
      <c r="CJ788" s="11"/>
      <c r="CM788" s="11"/>
      <c r="CU788" s="17"/>
      <c r="CV788" s="265"/>
      <c r="CW788" s="265"/>
      <c r="CY788" s="11"/>
      <c r="DA788" s="12"/>
      <c r="DB788" s="13"/>
      <c r="DC788" s="14"/>
      <c r="DD788" s="265"/>
      <c r="DE788" s="265"/>
      <c r="DF788" s="265"/>
      <c r="DH788" s="15"/>
      <c r="DM788" s="4"/>
    </row>
    <row r="789" spans="2:117" ht="15" customHeight="1">
      <c r="B789" s="10"/>
      <c r="C789" s="17"/>
      <c r="E789" s="25"/>
      <c r="F789" s="35"/>
      <c r="J789" s="20"/>
      <c r="K789" s="1024"/>
      <c r="L789" s="1025"/>
      <c r="M789" s="1026"/>
      <c r="N789" s="1026"/>
      <c r="O789" s="265"/>
      <c r="P789" s="265"/>
      <c r="T789" s="265"/>
      <c r="U789" s="265"/>
      <c r="V789" s="265"/>
      <c r="X789" s="1026"/>
      <c r="Y789" s="265"/>
      <c r="Z789" s="265"/>
      <c r="AA789" s="265"/>
      <c r="AD789" s="4"/>
      <c r="AE789" s="1026"/>
      <c r="AF789" s="265"/>
      <c r="AU789" s="265"/>
      <c r="AV789" s="265"/>
      <c r="AW789" s="265"/>
      <c r="AX789" s="265"/>
      <c r="AY789" s="265"/>
      <c r="AZ789" s="265"/>
      <c r="BA789" s="265"/>
      <c r="BB789" s="265"/>
      <c r="BC789" s="265"/>
      <c r="BD789" s="265"/>
      <c r="BE789" s="265"/>
      <c r="BF789" s="265"/>
      <c r="BG789" s="265"/>
      <c r="BM789" s="6"/>
      <c r="BN789" s="6"/>
      <c r="BO789" s="6"/>
      <c r="BP789" s="1028"/>
      <c r="BT789" s="6"/>
      <c r="BU789" s="6"/>
      <c r="BV789" s="6"/>
      <c r="BW789" s="1029"/>
      <c r="BX789" s="1028"/>
      <c r="CB789" s="6"/>
      <c r="CC789" s="6"/>
      <c r="CD789" s="6"/>
      <c r="CE789" s="1029"/>
      <c r="CJ789" s="11"/>
      <c r="CM789" s="11"/>
      <c r="CU789" s="17"/>
      <c r="CV789" s="265"/>
      <c r="CW789" s="265"/>
      <c r="CY789" s="11"/>
      <c r="DA789" s="12"/>
      <c r="DB789" s="13"/>
      <c r="DC789" s="14"/>
      <c r="DD789" s="265"/>
      <c r="DE789" s="265"/>
      <c r="DF789" s="265"/>
      <c r="DH789" s="15"/>
      <c r="DM789" s="4"/>
    </row>
    <row r="790" spans="2:117" ht="15" customHeight="1">
      <c r="B790" s="10"/>
      <c r="C790" s="17"/>
      <c r="E790" s="25"/>
      <c r="F790" s="35"/>
      <c r="J790" s="20"/>
      <c r="K790" s="1024"/>
      <c r="L790" s="1025"/>
      <c r="M790" s="1026"/>
      <c r="N790" s="1026"/>
      <c r="O790" s="265"/>
      <c r="P790" s="265"/>
      <c r="T790" s="265"/>
      <c r="U790" s="265"/>
      <c r="V790" s="265"/>
      <c r="X790" s="1026"/>
      <c r="Y790" s="265"/>
      <c r="Z790" s="265"/>
      <c r="AA790" s="265"/>
      <c r="AD790" s="4"/>
      <c r="AE790" s="1026"/>
      <c r="AF790" s="265"/>
      <c r="AU790" s="265"/>
      <c r="AV790" s="265"/>
      <c r="AW790" s="265"/>
      <c r="AX790" s="265"/>
      <c r="AY790" s="265"/>
      <c r="AZ790" s="265"/>
      <c r="BA790" s="265"/>
      <c r="BB790" s="265"/>
      <c r="BC790" s="265"/>
      <c r="BD790" s="265"/>
      <c r="BE790" s="265"/>
      <c r="BF790" s="265"/>
      <c r="BG790" s="265"/>
      <c r="BM790" s="6"/>
      <c r="BN790" s="6"/>
      <c r="BO790" s="6"/>
      <c r="BP790" s="1028"/>
      <c r="BT790" s="6"/>
      <c r="BU790" s="6"/>
      <c r="BV790" s="6"/>
      <c r="BW790" s="1029"/>
      <c r="BX790" s="1028"/>
      <c r="CB790" s="6"/>
      <c r="CC790" s="6"/>
      <c r="CD790" s="6"/>
      <c r="CE790" s="1029"/>
      <c r="CJ790" s="11"/>
      <c r="CM790" s="11"/>
      <c r="CU790" s="17"/>
      <c r="CV790" s="265"/>
      <c r="CW790" s="265"/>
      <c r="CY790" s="11"/>
      <c r="DA790" s="12"/>
      <c r="DB790" s="13"/>
      <c r="DC790" s="14"/>
      <c r="DD790" s="265"/>
      <c r="DE790" s="265"/>
      <c r="DF790" s="265"/>
      <c r="DH790" s="15"/>
      <c r="DM790" s="4"/>
    </row>
    <row r="791" spans="2:117" ht="15" customHeight="1">
      <c r="B791" s="10"/>
      <c r="C791" s="17"/>
      <c r="E791" s="25"/>
      <c r="F791" s="35"/>
      <c r="J791" s="20"/>
      <c r="K791" s="1024"/>
      <c r="L791" s="1025"/>
      <c r="M791" s="1026"/>
      <c r="N791" s="1026"/>
      <c r="O791" s="265"/>
      <c r="P791" s="265"/>
      <c r="T791" s="265"/>
      <c r="U791" s="265"/>
      <c r="V791" s="265"/>
      <c r="X791" s="1026"/>
      <c r="Y791" s="265"/>
      <c r="Z791" s="265"/>
      <c r="AA791" s="265"/>
      <c r="AD791" s="4"/>
      <c r="AE791" s="1026"/>
      <c r="AF791" s="265"/>
      <c r="AU791" s="265"/>
      <c r="AV791" s="265"/>
      <c r="AW791" s="265"/>
      <c r="AX791" s="265"/>
      <c r="AY791" s="265"/>
      <c r="AZ791" s="265"/>
      <c r="BA791" s="265"/>
      <c r="BB791" s="265"/>
      <c r="BC791" s="265"/>
      <c r="BD791" s="265"/>
      <c r="BE791" s="265"/>
      <c r="BF791" s="265"/>
      <c r="BG791" s="265"/>
      <c r="BM791" s="6"/>
      <c r="BN791" s="6"/>
      <c r="BO791" s="6"/>
      <c r="BP791" s="1028"/>
      <c r="BT791" s="6"/>
      <c r="BU791" s="6"/>
      <c r="BV791" s="6"/>
      <c r="BW791" s="1029"/>
      <c r="BX791" s="1028"/>
      <c r="CB791" s="6"/>
      <c r="CC791" s="6"/>
      <c r="CD791" s="6"/>
      <c r="CE791" s="1029"/>
      <c r="CJ791" s="11"/>
      <c r="CM791" s="11"/>
      <c r="CU791" s="17"/>
      <c r="CV791" s="265"/>
      <c r="CW791" s="265"/>
      <c r="CY791" s="11"/>
      <c r="DA791" s="12"/>
      <c r="DB791" s="13"/>
      <c r="DC791" s="14"/>
      <c r="DD791" s="265"/>
      <c r="DE791" s="265"/>
      <c r="DF791" s="265"/>
      <c r="DH791" s="15"/>
      <c r="DM791" s="4"/>
    </row>
    <row r="792" spans="2:117" ht="15" customHeight="1">
      <c r="B792" s="10"/>
      <c r="C792" s="17"/>
      <c r="E792" s="25"/>
      <c r="F792" s="35"/>
      <c r="J792" s="20"/>
      <c r="K792" s="1024"/>
      <c r="L792" s="1025"/>
      <c r="M792" s="1026"/>
      <c r="N792" s="1026"/>
      <c r="O792" s="265"/>
      <c r="P792" s="265"/>
      <c r="T792" s="265"/>
      <c r="U792" s="265"/>
      <c r="V792" s="265"/>
      <c r="X792" s="1026"/>
      <c r="Y792" s="265"/>
      <c r="Z792" s="265"/>
      <c r="AA792" s="265"/>
      <c r="AD792" s="4"/>
      <c r="AE792" s="1026"/>
      <c r="AF792" s="265"/>
      <c r="AU792" s="265"/>
      <c r="AV792" s="265"/>
      <c r="AW792" s="265"/>
      <c r="AX792" s="265"/>
      <c r="AY792" s="265"/>
      <c r="AZ792" s="265"/>
      <c r="BA792" s="265"/>
      <c r="BB792" s="265"/>
      <c r="BC792" s="265"/>
      <c r="BD792" s="265"/>
      <c r="BE792" s="265"/>
      <c r="BF792" s="265"/>
      <c r="BG792" s="265"/>
      <c r="BM792" s="6"/>
      <c r="BN792" s="6"/>
      <c r="BO792" s="6"/>
      <c r="BP792" s="1028"/>
      <c r="BT792" s="6"/>
      <c r="BU792" s="6"/>
      <c r="BV792" s="6"/>
      <c r="BW792" s="1029"/>
      <c r="BX792" s="1028"/>
      <c r="CB792" s="6"/>
      <c r="CC792" s="6"/>
      <c r="CD792" s="6"/>
      <c r="CE792" s="1029"/>
      <c r="CJ792" s="11"/>
      <c r="CM792" s="11"/>
      <c r="CU792" s="17"/>
      <c r="CV792" s="265"/>
      <c r="CW792" s="265"/>
      <c r="CY792" s="11"/>
      <c r="DA792" s="12"/>
      <c r="DB792" s="13"/>
      <c r="DC792" s="14"/>
      <c r="DD792" s="265"/>
      <c r="DE792" s="265"/>
      <c r="DF792" s="265"/>
      <c r="DH792" s="15"/>
      <c r="DM792" s="4"/>
    </row>
    <row r="793" spans="2:117" ht="15" customHeight="1">
      <c r="B793" s="10"/>
      <c r="C793" s="17"/>
      <c r="E793" s="25"/>
      <c r="F793" s="35"/>
      <c r="J793" s="20"/>
      <c r="K793" s="1024"/>
      <c r="L793" s="1025"/>
      <c r="M793" s="1026"/>
      <c r="N793" s="1026"/>
      <c r="O793" s="265"/>
      <c r="P793" s="265"/>
      <c r="T793" s="265"/>
      <c r="U793" s="265"/>
      <c r="V793" s="265"/>
      <c r="X793" s="1026"/>
      <c r="Y793" s="265"/>
      <c r="Z793" s="265"/>
      <c r="AA793" s="265"/>
      <c r="AD793" s="4"/>
      <c r="AE793" s="1026"/>
      <c r="AF793" s="265"/>
      <c r="AU793" s="265"/>
      <c r="AV793" s="265"/>
      <c r="AW793" s="265"/>
      <c r="AX793" s="265"/>
      <c r="AY793" s="265"/>
      <c r="AZ793" s="265"/>
      <c r="BA793" s="265"/>
      <c r="BB793" s="265"/>
      <c r="BC793" s="265"/>
      <c r="BD793" s="265"/>
      <c r="BE793" s="265"/>
      <c r="BF793" s="265"/>
      <c r="BG793" s="265"/>
      <c r="BM793" s="6"/>
      <c r="BN793" s="6"/>
      <c r="BO793" s="6"/>
      <c r="BP793" s="1028"/>
      <c r="BT793" s="6"/>
      <c r="BU793" s="6"/>
      <c r="BV793" s="6"/>
      <c r="BW793" s="1029"/>
      <c r="BX793" s="1028"/>
      <c r="CB793" s="6"/>
      <c r="CC793" s="6"/>
      <c r="CD793" s="6"/>
      <c r="CE793" s="1029"/>
      <c r="CJ793" s="11"/>
      <c r="CM793" s="11"/>
      <c r="CU793" s="17"/>
      <c r="CV793" s="265"/>
      <c r="CW793" s="265"/>
      <c r="CY793" s="11"/>
      <c r="DA793" s="12"/>
      <c r="DB793" s="13"/>
      <c r="DC793" s="14"/>
      <c r="DD793" s="265"/>
      <c r="DE793" s="265"/>
      <c r="DF793" s="265"/>
      <c r="DH793" s="15"/>
      <c r="DM793" s="4"/>
    </row>
    <row r="794" spans="2:117" ht="15" customHeight="1">
      <c r="B794" s="10"/>
      <c r="C794" s="17"/>
      <c r="E794" s="25"/>
      <c r="F794" s="35"/>
      <c r="J794" s="20"/>
      <c r="K794" s="1024"/>
      <c r="L794" s="1025"/>
      <c r="M794" s="1026"/>
      <c r="N794" s="1026"/>
      <c r="O794" s="265"/>
      <c r="P794" s="265"/>
      <c r="T794" s="265"/>
      <c r="U794" s="265"/>
      <c r="V794" s="265"/>
      <c r="X794" s="1026"/>
      <c r="Y794" s="265"/>
      <c r="Z794" s="265"/>
      <c r="AA794" s="265"/>
      <c r="AD794" s="4"/>
      <c r="AE794" s="1026"/>
      <c r="AF794" s="265"/>
      <c r="AU794" s="265"/>
      <c r="AV794" s="265"/>
      <c r="AW794" s="265"/>
      <c r="AX794" s="265"/>
      <c r="AY794" s="265"/>
      <c r="AZ794" s="265"/>
      <c r="BA794" s="265"/>
      <c r="BB794" s="265"/>
      <c r="BC794" s="265"/>
      <c r="BD794" s="265"/>
      <c r="BE794" s="265"/>
      <c r="BF794" s="265"/>
      <c r="BG794" s="265"/>
      <c r="BM794" s="6"/>
      <c r="BN794" s="6"/>
      <c r="BO794" s="6"/>
      <c r="BP794" s="1028"/>
      <c r="BT794" s="6"/>
      <c r="BU794" s="6"/>
      <c r="BV794" s="6"/>
      <c r="BW794" s="1029"/>
      <c r="BX794" s="1028"/>
      <c r="CB794" s="6"/>
      <c r="CC794" s="6"/>
      <c r="CD794" s="6"/>
      <c r="CE794" s="1029"/>
      <c r="CJ794" s="11"/>
      <c r="CM794" s="11"/>
      <c r="CU794" s="17"/>
      <c r="CV794" s="265"/>
      <c r="CW794" s="265"/>
      <c r="CY794" s="11"/>
      <c r="DA794" s="12"/>
      <c r="DB794" s="13"/>
      <c r="DC794" s="14"/>
      <c r="DD794" s="265"/>
      <c r="DE794" s="265"/>
      <c r="DF794" s="265"/>
      <c r="DH794" s="15"/>
      <c r="DM794" s="4"/>
    </row>
    <row r="795" spans="2:117" ht="15" customHeight="1">
      <c r="B795" s="10"/>
      <c r="C795" s="17"/>
      <c r="E795" s="25"/>
      <c r="F795" s="35"/>
      <c r="J795" s="20"/>
      <c r="K795" s="1024"/>
      <c r="L795" s="1025"/>
      <c r="M795" s="1026"/>
      <c r="N795" s="1026"/>
      <c r="O795" s="265"/>
      <c r="P795" s="265"/>
      <c r="T795" s="265"/>
      <c r="U795" s="265"/>
      <c r="V795" s="265"/>
      <c r="X795" s="1026"/>
      <c r="Y795" s="265"/>
      <c r="Z795" s="265"/>
      <c r="AA795" s="265"/>
      <c r="AD795" s="4"/>
      <c r="AE795" s="1026"/>
      <c r="AF795" s="265"/>
      <c r="AU795" s="265"/>
      <c r="AV795" s="265"/>
      <c r="AW795" s="265"/>
      <c r="AX795" s="265"/>
      <c r="AY795" s="265"/>
      <c r="AZ795" s="265"/>
      <c r="BA795" s="265"/>
      <c r="BB795" s="265"/>
      <c r="BC795" s="265"/>
      <c r="BD795" s="265"/>
      <c r="BE795" s="265"/>
      <c r="BF795" s="265"/>
      <c r="BG795" s="265"/>
      <c r="BM795" s="6"/>
      <c r="BN795" s="6"/>
      <c r="BO795" s="6"/>
      <c r="BP795" s="1028"/>
      <c r="BT795" s="6"/>
      <c r="BU795" s="6"/>
      <c r="BV795" s="6"/>
      <c r="BW795" s="1029"/>
      <c r="BX795" s="1028"/>
      <c r="CB795" s="6"/>
      <c r="CC795" s="6"/>
      <c r="CD795" s="6"/>
      <c r="CE795" s="1029"/>
      <c r="CJ795" s="11"/>
      <c r="CM795" s="11"/>
      <c r="CU795" s="17"/>
      <c r="CV795" s="265"/>
      <c r="CW795" s="265"/>
      <c r="CY795" s="11"/>
      <c r="DA795" s="12"/>
      <c r="DB795" s="13"/>
      <c r="DC795" s="14"/>
      <c r="DD795" s="265"/>
      <c r="DE795" s="265"/>
      <c r="DF795" s="265"/>
      <c r="DH795" s="15"/>
      <c r="DM795" s="4"/>
    </row>
    <row r="796" spans="2:117" ht="15" customHeight="1">
      <c r="B796" s="10"/>
      <c r="C796" s="17"/>
      <c r="E796" s="25"/>
      <c r="F796" s="35"/>
      <c r="J796" s="20"/>
      <c r="K796" s="1024"/>
      <c r="L796" s="1025"/>
      <c r="M796" s="1026"/>
      <c r="N796" s="1026"/>
      <c r="O796" s="265"/>
      <c r="P796" s="265"/>
      <c r="T796" s="265"/>
      <c r="U796" s="265"/>
      <c r="V796" s="265"/>
      <c r="X796" s="1026"/>
      <c r="Y796" s="265"/>
      <c r="Z796" s="265"/>
      <c r="AA796" s="265"/>
      <c r="AD796" s="4"/>
      <c r="AE796" s="1026"/>
      <c r="AF796" s="265"/>
      <c r="AU796" s="265"/>
      <c r="AV796" s="265"/>
      <c r="AW796" s="265"/>
      <c r="AX796" s="265"/>
      <c r="AY796" s="265"/>
      <c r="AZ796" s="265"/>
      <c r="BA796" s="265"/>
      <c r="BB796" s="265"/>
      <c r="BC796" s="265"/>
      <c r="BD796" s="265"/>
      <c r="BE796" s="265"/>
      <c r="BF796" s="265"/>
      <c r="BG796" s="265"/>
      <c r="BM796" s="6"/>
      <c r="BN796" s="6"/>
      <c r="BO796" s="6"/>
      <c r="BP796" s="1028"/>
      <c r="BT796" s="6"/>
      <c r="BU796" s="6"/>
      <c r="BV796" s="6"/>
      <c r="BW796" s="1029"/>
      <c r="BX796" s="1028"/>
      <c r="CB796" s="6"/>
      <c r="CC796" s="6"/>
      <c r="CD796" s="6"/>
      <c r="CE796" s="1029"/>
      <c r="CJ796" s="11"/>
      <c r="CM796" s="11"/>
      <c r="CU796" s="17"/>
      <c r="CV796" s="265"/>
      <c r="CW796" s="265"/>
      <c r="CY796" s="11"/>
      <c r="DA796" s="12"/>
      <c r="DB796" s="13"/>
      <c r="DC796" s="14"/>
      <c r="DD796" s="265"/>
      <c r="DE796" s="265"/>
      <c r="DF796" s="265"/>
      <c r="DH796" s="15"/>
      <c r="DM796" s="4"/>
    </row>
    <row r="797" spans="2:117" ht="15" customHeight="1">
      <c r="B797" s="10"/>
      <c r="C797" s="17"/>
      <c r="E797" s="25"/>
      <c r="F797" s="35"/>
      <c r="J797" s="20"/>
      <c r="K797" s="1024"/>
      <c r="L797" s="1025"/>
      <c r="M797" s="1026"/>
      <c r="N797" s="1026"/>
      <c r="O797" s="265"/>
      <c r="P797" s="265"/>
      <c r="T797" s="265"/>
      <c r="U797" s="265"/>
      <c r="V797" s="265"/>
      <c r="X797" s="1026"/>
      <c r="Y797" s="265"/>
      <c r="Z797" s="265"/>
      <c r="AA797" s="265"/>
      <c r="AD797" s="4"/>
      <c r="AE797" s="1026"/>
      <c r="AF797" s="265"/>
      <c r="AU797" s="265"/>
      <c r="AV797" s="265"/>
      <c r="AW797" s="265"/>
      <c r="AX797" s="265"/>
      <c r="AY797" s="265"/>
      <c r="AZ797" s="265"/>
      <c r="BA797" s="265"/>
      <c r="BB797" s="265"/>
      <c r="BC797" s="265"/>
      <c r="BD797" s="265"/>
      <c r="BE797" s="265"/>
      <c r="BF797" s="265"/>
      <c r="BG797" s="265"/>
      <c r="BM797" s="6"/>
      <c r="BN797" s="6"/>
      <c r="BO797" s="6"/>
      <c r="BP797" s="1028"/>
      <c r="BT797" s="6"/>
      <c r="BU797" s="6"/>
      <c r="BV797" s="6"/>
      <c r="BW797" s="1029"/>
      <c r="BX797" s="1028"/>
      <c r="CB797" s="6"/>
      <c r="CC797" s="6"/>
      <c r="CD797" s="6"/>
      <c r="CE797" s="1029"/>
      <c r="CJ797" s="11"/>
      <c r="CM797" s="11"/>
      <c r="CU797" s="17"/>
      <c r="CV797" s="265"/>
      <c r="CW797" s="265"/>
      <c r="CY797" s="11"/>
      <c r="DA797" s="12"/>
      <c r="DB797" s="13"/>
      <c r="DC797" s="14"/>
      <c r="DD797" s="265"/>
      <c r="DE797" s="265"/>
      <c r="DF797" s="265"/>
      <c r="DH797" s="15"/>
      <c r="DM797" s="4"/>
    </row>
    <row r="798" spans="2:117" ht="15" customHeight="1">
      <c r="B798" s="10"/>
      <c r="C798" s="17"/>
      <c r="E798" s="25"/>
      <c r="F798" s="35"/>
      <c r="J798" s="20"/>
      <c r="K798" s="1024"/>
      <c r="L798" s="1025"/>
      <c r="M798" s="1026"/>
      <c r="N798" s="1026"/>
      <c r="O798" s="265"/>
      <c r="P798" s="265"/>
      <c r="T798" s="265"/>
      <c r="U798" s="265"/>
      <c r="V798" s="265"/>
      <c r="X798" s="1026"/>
      <c r="Y798" s="265"/>
      <c r="Z798" s="265"/>
      <c r="AA798" s="265"/>
      <c r="AD798" s="4"/>
      <c r="AE798" s="1026"/>
      <c r="AF798" s="265"/>
      <c r="AU798" s="265"/>
      <c r="AV798" s="265"/>
      <c r="AW798" s="265"/>
      <c r="AX798" s="265"/>
      <c r="AY798" s="265"/>
      <c r="AZ798" s="265"/>
      <c r="BA798" s="265"/>
      <c r="BB798" s="265"/>
      <c r="BC798" s="265"/>
      <c r="BD798" s="265"/>
      <c r="BE798" s="265"/>
      <c r="BF798" s="265"/>
      <c r="BG798" s="265"/>
      <c r="BM798" s="6"/>
      <c r="BN798" s="6"/>
      <c r="BO798" s="6"/>
      <c r="BP798" s="1028"/>
      <c r="BT798" s="6"/>
      <c r="BU798" s="6"/>
      <c r="BV798" s="6"/>
      <c r="BW798" s="1029"/>
      <c r="BX798" s="1028"/>
      <c r="CB798" s="6"/>
      <c r="CC798" s="6"/>
      <c r="CD798" s="6"/>
      <c r="CE798" s="1029"/>
      <c r="CJ798" s="11"/>
      <c r="CM798" s="11"/>
      <c r="CU798" s="17"/>
      <c r="CV798" s="265"/>
      <c r="CW798" s="265"/>
      <c r="CY798" s="11"/>
      <c r="DA798" s="12"/>
      <c r="DB798" s="13"/>
      <c r="DC798" s="14"/>
      <c r="DD798" s="265"/>
      <c r="DE798" s="265"/>
      <c r="DF798" s="265"/>
      <c r="DH798" s="15"/>
      <c r="DM798" s="4"/>
    </row>
    <row r="799" spans="2:117" ht="15" customHeight="1">
      <c r="B799" s="10"/>
      <c r="C799" s="17"/>
      <c r="E799" s="25"/>
      <c r="F799" s="35"/>
      <c r="J799" s="20"/>
      <c r="K799" s="1024"/>
      <c r="L799" s="1025"/>
      <c r="M799" s="1026"/>
      <c r="N799" s="1026"/>
      <c r="O799" s="265"/>
      <c r="P799" s="265"/>
      <c r="T799" s="265"/>
      <c r="U799" s="265"/>
      <c r="V799" s="265"/>
      <c r="X799" s="1026"/>
      <c r="Y799" s="265"/>
      <c r="Z799" s="265"/>
      <c r="AA799" s="265"/>
      <c r="AD799" s="4"/>
      <c r="AE799" s="1026"/>
      <c r="AF799" s="265"/>
      <c r="AU799" s="265"/>
      <c r="AV799" s="265"/>
      <c r="AW799" s="265"/>
      <c r="AX799" s="265"/>
      <c r="AY799" s="265"/>
      <c r="AZ799" s="265"/>
      <c r="BA799" s="265"/>
      <c r="BB799" s="265"/>
      <c r="BC799" s="265"/>
      <c r="BD799" s="265"/>
      <c r="BE799" s="265"/>
      <c r="BF799" s="265"/>
      <c r="BG799" s="265"/>
      <c r="BM799" s="6"/>
      <c r="BN799" s="6"/>
      <c r="BO799" s="6"/>
      <c r="BP799" s="1028"/>
      <c r="BT799" s="6"/>
      <c r="BU799" s="6"/>
      <c r="BV799" s="6"/>
      <c r="BW799" s="1029"/>
      <c r="BX799" s="1028"/>
      <c r="CB799" s="6"/>
      <c r="CC799" s="6"/>
      <c r="CD799" s="6"/>
      <c r="CE799" s="1029"/>
      <c r="CJ799" s="11"/>
      <c r="CM799" s="11"/>
      <c r="CU799" s="17"/>
      <c r="CV799" s="265"/>
      <c r="CW799" s="265"/>
      <c r="CY799" s="11"/>
      <c r="DA799" s="12"/>
      <c r="DB799" s="13"/>
      <c r="DC799" s="14"/>
      <c r="DD799" s="265"/>
      <c r="DE799" s="265"/>
      <c r="DF799" s="265"/>
      <c r="DH799" s="15"/>
      <c r="DM799" s="4"/>
    </row>
    <row r="800" spans="2:117" ht="15" customHeight="1">
      <c r="B800" s="10"/>
      <c r="C800" s="17"/>
      <c r="E800" s="25"/>
      <c r="F800" s="35"/>
      <c r="J800" s="20"/>
      <c r="K800" s="1024"/>
      <c r="L800" s="1025"/>
      <c r="M800" s="1026"/>
      <c r="N800" s="1026"/>
      <c r="O800" s="265"/>
      <c r="P800" s="265"/>
      <c r="T800" s="265"/>
      <c r="U800" s="265"/>
      <c r="V800" s="265"/>
      <c r="X800" s="1026"/>
      <c r="Y800" s="265"/>
      <c r="Z800" s="265"/>
      <c r="AA800" s="265"/>
      <c r="AD800" s="4"/>
      <c r="AE800" s="1026"/>
      <c r="AF800" s="265"/>
      <c r="AU800" s="265"/>
      <c r="AV800" s="265"/>
      <c r="AW800" s="265"/>
      <c r="AX800" s="265"/>
      <c r="AY800" s="265"/>
      <c r="AZ800" s="265"/>
      <c r="BA800" s="265"/>
      <c r="BB800" s="265"/>
      <c r="BC800" s="265"/>
      <c r="BD800" s="265"/>
      <c r="BE800" s="265"/>
      <c r="BF800" s="265"/>
      <c r="BG800" s="265"/>
      <c r="BM800" s="6"/>
      <c r="BN800" s="6"/>
      <c r="BO800" s="6"/>
      <c r="BP800" s="1028"/>
      <c r="BT800" s="6"/>
      <c r="BU800" s="6"/>
      <c r="BV800" s="6"/>
      <c r="BW800" s="1029"/>
      <c r="BX800" s="1028"/>
      <c r="CB800" s="6"/>
      <c r="CC800" s="6"/>
      <c r="CD800" s="6"/>
      <c r="CE800" s="1029"/>
      <c r="CJ800" s="11"/>
      <c r="CM800" s="11"/>
      <c r="CU800" s="17"/>
      <c r="CV800" s="265"/>
      <c r="CW800" s="265"/>
      <c r="CY800" s="11"/>
      <c r="DA800" s="12"/>
      <c r="DB800" s="13"/>
      <c r="DC800" s="14"/>
      <c r="DD800" s="265"/>
      <c r="DE800" s="265"/>
      <c r="DF800" s="265"/>
      <c r="DH800" s="15"/>
      <c r="DM800" s="4"/>
    </row>
    <row r="801" spans="2:117" ht="15" customHeight="1">
      <c r="B801" s="10"/>
      <c r="C801" s="17"/>
      <c r="E801" s="25"/>
      <c r="F801" s="35"/>
      <c r="J801" s="20"/>
      <c r="K801" s="1024"/>
      <c r="L801" s="1025"/>
      <c r="M801" s="1026"/>
      <c r="N801" s="1026"/>
      <c r="O801" s="265"/>
      <c r="P801" s="265"/>
      <c r="T801" s="265"/>
      <c r="U801" s="265"/>
      <c r="V801" s="265"/>
      <c r="X801" s="1026"/>
      <c r="Y801" s="265"/>
      <c r="Z801" s="265"/>
      <c r="AA801" s="265"/>
      <c r="AD801" s="4"/>
      <c r="AE801" s="1026"/>
      <c r="AF801" s="265"/>
      <c r="AU801" s="265"/>
      <c r="AV801" s="265"/>
      <c r="AW801" s="265"/>
      <c r="AX801" s="265"/>
      <c r="AY801" s="265"/>
      <c r="AZ801" s="265"/>
      <c r="BA801" s="265"/>
      <c r="BB801" s="265"/>
      <c r="BC801" s="265"/>
      <c r="BD801" s="265"/>
      <c r="BE801" s="265"/>
      <c r="BF801" s="265"/>
      <c r="BG801" s="265"/>
      <c r="BM801" s="6"/>
      <c r="BN801" s="6"/>
      <c r="BO801" s="6"/>
      <c r="BP801" s="1028"/>
      <c r="BT801" s="6"/>
      <c r="BU801" s="6"/>
      <c r="BV801" s="6"/>
      <c r="BW801" s="1029"/>
      <c r="BX801" s="1028"/>
      <c r="CB801" s="6"/>
      <c r="CC801" s="6"/>
      <c r="CD801" s="6"/>
      <c r="CE801" s="1029"/>
      <c r="CJ801" s="11"/>
      <c r="CM801" s="11"/>
      <c r="CU801" s="17"/>
      <c r="CV801" s="265"/>
      <c r="CW801" s="265"/>
      <c r="CY801" s="11"/>
      <c r="DA801" s="12"/>
      <c r="DB801" s="13"/>
      <c r="DC801" s="14"/>
      <c r="DD801" s="265"/>
      <c r="DE801" s="265"/>
      <c r="DF801" s="265"/>
      <c r="DH801" s="15"/>
      <c r="DM801" s="4"/>
    </row>
    <row r="802" spans="2:117" ht="15" customHeight="1">
      <c r="B802" s="10"/>
      <c r="C802" s="17"/>
      <c r="E802" s="25"/>
      <c r="F802" s="35"/>
      <c r="J802" s="20"/>
      <c r="K802" s="1024"/>
      <c r="L802" s="1025"/>
      <c r="M802" s="1026"/>
      <c r="N802" s="1026"/>
      <c r="O802" s="265"/>
      <c r="P802" s="265"/>
      <c r="T802" s="265"/>
      <c r="U802" s="265"/>
      <c r="V802" s="265"/>
      <c r="X802" s="1026"/>
      <c r="Y802" s="265"/>
      <c r="Z802" s="265"/>
      <c r="AA802" s="265"/>
      <c r="AD802" s="4"/>
      <c r="AE802" s="1026"/>
      <c r="AF802" s="265"/>
      <c r="AU802" s="265"/>
      <c r="AV802" s="265"/>
      <c r="AW802" s="265"/>
      <c r="AX802" s="265"/>
      <c r="AY802" s="265"/>
      <c r="AZ802" s="265"/>
      <c r="BA802" s="265"/>
      <c r="BB802" s="265"/>
      <c r="BC802" s="265"/>
      <c r="BD802" s="265"/>
      <c r="BE802" s="265"/>
      <c r="BF802" s="265"/>
      <c r="BG802" s="265"/>
      <c r="BM802" s="6"/>
      <c r="BN802" s="6"/>
      <c r="BO802" s="6"/>
      <c r="BP802" s="1028"/>
      <c r="BT802" s="6"/>
      <c r="BU802" s="6"/>
      <c r="BV802" s="6"/>
      <c r="BW802" s="1029"/>
      <c r="BX802" s="1028"/>
      <c r="CB802" s="6"/>
      <c r="CC802" s="6"/>
      <c r="CD802" s="6"/>
      <c r="CE802" s="1029"/>
      <c r="CJ802" s="11"/>
      <c r="CM802" s="11"/>
      <c r="CU802" s="17"/>
      <c r="CV802" s="265"/>
      <c r="CW802" s="265"/>
      <c r="CY802" s="11"/>
      <c r="DA802" s="12"/>
      <c r="DB802" s="13"/>
      <c r="DC802" s="14"/>
      <c r="DD802" s="265"/>
      <c r="DE802" s="265"/>
      <c r="DF802" s="265"/>
      <c r="DH802" s="15"/>
      <c r="DM802" s="4"/>
    </row>
    <row r="803" spans="2:117" ht="15" customHeight="1">
      <c r="B803" s="10"/>
      <c r="C803" s="17"/>
      <c r="E803" s="25"/>
      <c r="F803" s="35"/>
      <c r="J803" s="20"/>
      <c r="K803" s="1024"/>
      <c r="L803" s="1025"/>
      <c r="M803" s="1026"/>
      <c r="N803" s="1026"/>
      <c r="O803" s="265"/>
      <c r="P803" s="265"/>
      <c r="T803" s="265"/>
      <c r="U803" s="265"/>
      <c r="V803" s="265"/>
      <c r="X803" s="1026"/>
      <c r="Y803" s="265"/>
      <c r="Z803" s="265"/>
      <c r="AA803" s="265"/>
      <c r="AD803" s="4"/>
      <c r="AE803" s="1026"/>
      <c r="AF803" s="265"/>
      <c r="AU803" s="265"/>
      <c r="AV803" s="265"/>
      <c r="AW803" s="265"/>
      <c r="AX803" s="265"/>
      <c r="AY803" s="265"/>
      <c r="AZ803" s="265"/>
      <c r="BA803" s="265"/>
      <c r="BB803" s="265"/>
      <c r="BC803" s="265"/>
      <c r="BD803" s="265"/>
      <c r="BE803" s="265"/>
      <c r="BF803" s="265"/>
      <c r="BG803" s="265"/>
      <c r="BM803" s="6"/>
      <c r="BN803" s="6"/>
      <c r="BO803" s="6"/>
      <c r="BP803" s="1028"/>
      <c r="BT803" s="6"/>
      <c r="BU803" s="6"/>
      <c r="BV803" s="6"/>
      <c r="BW803" s="1029"/>
      <c r="BX803" s="1028"/>
      <c r="CB803" s="6"/>
      <c r="CC803" s="6"/>
      <c r="CD803" s="6"/>
      <c r="CE803" s="1029"/>
      <c r="CJ803" s="11"/>
      <c r="CM803" s="11"/>
      <c r="CU803" s="17"/>
      <c r="CV803" s="265"/>
      <c r="CW803" s="265"/>
      <c r="CY803" s="11"/>
      <c r="DA803" s="12"/>
      <c r="DB803" s="13"/>
      <c r="DC803" s="14"/>
      <c r="DD803" s="265"/>
      <c r="DE803" s="265"/>
      <c r="DF803" s="265"/>
      <c r="DH803" s="15"/>
      <c r="DM803" s="4"/>
    </row>
    <row r="804" spans="2:117" ht="15" customHeight="1">
      <c r="B804" s="10"/>
      <c r="C804" s="17"/>
      <c r="E804" s="25"/>
      <c r="F804" s="35"/>
      <c r="J804" s="20"/>
      <c r="K804" s="1024"/>
      <c r="L804" s="1025"/>
      <c r="M804" s="1026"/>
      <c r="N804" s="1026"/>
      <c r="O804" s="265"/>
      <c r="P804" s="265"/>
      <c r="T804" s="265"/>
      <c r="U804" s="265"/>
      <c r="V804" s="265"/>
      <c r="X804" s="1026"/>
      <c r="Y804" s="265"/>
      <c r="Z804" s="265"/>
      <c r="AA804" s="265"/>
      <c r="AD804" s="4"/>
      <c r="AE804" s="1026"/>
      <c r="AF804" s="265"/>
      <c r="AU804" s="265"/>
      <c r="AV804" s="265"/>
      <c r="AW804" s="265"/>
      <c r="AX804" s="265"/>
      <c r="AY804" s="265"/>
      <c r="AZ804" s="265"/>
      <c r="BA804" s="265"/>
      <c r="BB804" s="265"/>
      <c r="BC804" s="265"/>
      <c r="BD804" s="265"/>
      <c r="BE804" s="265"/>
      <c r="BF804" s="265"/>
      <c r="BG804" s="265"/>
      <c r="BM804" s="6"/>
      <c r="BN804" s="6"/>
      <c r="BO804" s="6"/>
      <c r="BP804" s="1028"/>
      <c r="BT804" s="6"/>
      <c r="BU804" s="6"/>
      <c r="BV804" s="6"/>
      <c r="BW804" s="1029"/>
      <c r="BX804" s="1028"/>
      <c r="CB804" s="6"/>
      <c r="CC804" s="6"/>
      <c r="CD804" s="6"/>
      <c r="CE804" s="1029"/>
      <c r="CJ804" s="11"/>
      <c r="CM804" s="11"/>
      <c r="CU804" s="17"/>
      <c r="CV804" s="265"/>
      <c r="CW804" s="265"/>
      <c r="CY804" s="11"/>
      <c r="DA804" s="12"/>
      <c r="DB804" s="13"/>
      <c r="DC804" s="14"/>
      <c r="DD804" s="265"/>
      <c r="DE804" s="265"/>
      <c r="DF804" s="265"/>
      <c r="DH804" s="15"/>
      <c r="DM804" s="4"/>
    </row>
    <row r="805" spans="2:117" ht="15" customHeight="1">
      <c r="B805" s="10"/>
      <c r="C805" s="17"/>
      <c r="E805" s="25"/>
      <c r="F805" s="35"/>
      <c r="J805" s="20"/>
      <c r="K805" s="1024"/>
      <c r="L805" s="1025"/>
      <c r="M805" s="1026"/>
      <c r="N805" s="1026"/>
      <c r="O805" s="265"/>
      <c r="P805" s="265"/>
      <c r="T805" s="265"/>
      <c r="U805" s="265"/>
      <c r="V805" s="265"/>
      <c r="X805" s="1026"/>
      <c r="Y805" s="265"/>
      <c r="Z805" s="265"/>
      <c r="AA805" s="265"/>
      <c r="AD805" s="4"/>
      <c r="AE805" s="1026"/>
      <c r="AF805" s="265"/>
      <c r="AU805" s="265"/>
      <c r="AV805" s="265"/>
      <c r="AW805" s="265"/>
      <c r="AX805" s="265"/>
      <c r="AY805" s="265"/>
      <c r="AZ805" s="265"/>
      <c r="BA805" s="265"/>
      <c r="BB805" s="265"/>
      <c r="BC805" s="265"/>
      <c r="BD805" s="265"/>
      <c r="BE805" s="265"/>
      <c r="BF805" s="265"/>
      <c r="BG805" s="265"/>
      <c r="BM805" s="6"/>
      <c r="BN805" s="6"/>
      <c r="BO805" s="6"/>
      <c r="BP805" s="1028"/>
      <c r="BT805" s="6"/>
      <c r="BU805" s="6"/>
      <c r="BV805" s="6"/>
      <c r="BW805" s="1029"/>
      <c r="BX805" s="1028"/>
      <c r="CB805" s="6"/>
      <c r="CC805" s="6"/>
      <c r="CD805" s="6"/>
      <c r="CE805" s="1029"/>
      <c r="CJ805" s="11"/>
      <c r="CM805" s="11"/>
      <c r="CU805" s="17"/>
      <c r="CV805" s="265"/>
      <c r="CW805" s="265"/>
      <c r="CY805" s="11"/>
      <c r="DA805" s="12"/>
      <c r="DB805" s="13"/>
      <c r="DC805" s="14"/>
      <c r="DD805" s="265"/>
      <c r="DE805" s="265"/>
      <c r="DF805" s="265"/>
      <c r="DH805" s="15"/>
      <c r="DM805" s="4"/>
    </row>
    <row r="806" spans="2:117" ht="15" customHeight="1">
      <c r="B806" s="10"/>
      <c r="C806" s="17"/>
      <c r="E806" s="25"/>
      <c r="F806" s="35"/>
      <c r="J806" s="20"/>
      <c r="K806" s="1024"/>
      <c r="L806" s="1025"/>
      <c r="M806" s="1026"/>
      <c r="N806" s="1026"/>
      <c r="O806" s="265"/>
      <c r="P806" s="265"/>
      <c r="T806" s="265"/>
      <c r="U806" s="265"/>
      <c r="V806" s="265"/>
      <c r="X806" s="1026"/>
      <c r="Y806" s="265"/>
      <c r="Z806" s="265"/>
      <c r="AA806" s="265"/>
      <c r="AD806" s="4"/>
      <c r="AE806" s="1026"/>
      <c r="AF806" s="265"/>
      <c r="AU806" s="265"/>
      <c r="AV806" s="265"/>
      <c r="AW806" s="265"/>
      <c r="AX806" s="265"/>
      <c r="AY806" s="265"/>
      <c r="AZ806" s="265"/>
      <c r="BA806" s="265"/>
      <c r="BB806" s="265"/>
      <c r="BC806" s="265"/>
      <c r="BD806" s="265"/>
      <c r="BE806" s="265"/>
      <c r="BF806" s="265"/>
      <c r="BG806" s="265"/>
      <c r="BM806" s="6"/>
      <c r="BN806" s="6"/>
      <c r="BO806" s="6"/>
      <c r="BP806" s="1028"/>
      <c r="BT806" s="6"/>
      <c r="BU806" s="6"/>
      <c r="BV806" s="6"/>
      <c r="BW806" s="1029"/>
      <c r="BX806" s="1028"/>
      <c r="CB806" s="6"/>
      <c r="CC806" s="6"/>
      <c r="CD806" s="6"/>
      <c r="CE806" s="1029"/>
      <c r="CJ806" s="11"/>
      <c r="CM806" s="11"/>
      <c r="CU806" s="17"/>
      <c r="CV806" s="265"/>
      <c r="CW806" s="265"/>
      <c r="CY806" s="11"/>
      <c r="DA806" s="12"/>
      <c r="DB806" s="13"/>
      <c r="DC806" s="14"/>
      <c r="DD806" s="265"/>
      <c r="DE806" s="265"/>
      <c r="DF806" s="265"/>
      <c r="DH806" s="15"/>
      <c r="DM806" s="4"/>
    </row>
    <row r="807" spans="2:117" ht="15" customHeight="1">
      <c r="B807" s="10"/>
      <c r="C807" s="17"/>
      <c r="E807" s="25"/>
      <c r="F807" s="35"/>
      <c r="J807" s="20"/>
      <c r="K807" s="1024"/>
      <c r="L807" s="1025"/>
      <c r="M807" s="1026"/>
      <c r="N807" s="1026"/>
      <c r="O807" s="265"/>
      <c r="P807" s="265"/>
      <c r="T807" s="265"/>
      <c r="U807" s="265"/>
      <c r="V807" s="265"/>
      <c r="X807" s="1026"/>
      <c r="Y807" s="265"/>
      <c r="Z807" s="265"/>
      <c r="AA807" s="265"/>
      <c r="AD807" s="4"/>
      <c r="AE807" s="1026"/>
      <c r="AF807" s="265"/>
      <c r="AU807" s="265"/>
      <c r="AV807" s="265"/>
      <c r="AW807" s="265"/>
      <c r="AX807" s="265"/>
      <c r="AY807" s="265"/>
      <c r="AZ807" s="265"/>
      <c r="BA807" s="265"/>
      <c r="BB807" s="265"/>
      <c r="BC807" s="265"/>
      <c r="BD807" s="265"/>
      <c r="BE807" s="265"/>
      <c r="BF807" s="265"/>
      <c r="BG807" s="265"/>
      <c r="BM807" s="6"/>
      <c r="BN807" s="6"/>
      <c r="BO807" s="6"/>
      <c r="BP807" s="1028"/>
      <c r="BT807" s="6"/>
      <c r="BU807" s="6"/>
      <c r="BV807" s="6"/>
      <c r="BW807" s="1029"/>
      <c r="BX807" s="1028"/>
      <c r="CB807" s="6"/>
      <c r="CC807" s="6"/>
      <c r="CD807" s="6"/>
      <c r="CE807" s="1029"/>
      <c r="CJ807" s="11"/>
      <c r="CM807" s="11"/>
      <c r="CU807" s="17"/>
      <c r="CV807" s="265"/>
      <c r="CW807" s="265"/>
      <c r="CY807" s="11"/>
      <c r="DA807" s="12"/>
      <c r="DB807" s="13"/>
      <c r="DC807" s="14"/>
      <c r="DD807" s="265"/>
      <c r="DE807" s="265"/>
      <c r="DF807" s="265"/>
      <c r="DH807" s="15"/>
      <c r="DM807" s="4"/>
    </row>
    <row r="808" spans="2:117" ht="15" customHeight="1">
      <c r="B808" s="10"/>
      <c r="C808" s="17"/>
      <c r="E808" s="25"/>
      <c r="F808" s="35"/>
      <c r="J808" s="20"/>
      <c r="K808" s="1024"/>
      <c r="L808" s="1025"/>
      <c r="M808" s="1026"/>
      <c r="N808" s="1026"/>
      <c r="O808" s="265"/>
      <c r="P808" s="265"/>
      <c r="T808" s="265"/>
      <c r="U808" s="265"/>
      <c r="V808" s="265"/>
      <c r="X808" s="1026"/>
      <c r="Y808" s="265"/>
      <c r="Z808" s="265"/>
      <c r="AA808" s="265"/>
      <c r="AD808" s="4"/>
      <c r="AE808" s="1026"/>
      <c r="AF808" s="265"/>
      <c r="AU808" s="265"/>
      <c r="AV808" s="265"/>
      <c r="AW808" s="265"/>
      <c r="AX808" s="265"/>
      <c r="AY808" s="265"/>
      <c r="AZ808" s="265"/>
      <c r="BA808" s="265"/>
      <c r="BB808" s="265"/>
      <c r="BC808" s="265"/>
      <c r="BD808" s="265"/>
      <c r="BE808" s="265"/>
      <c r="BF808" s="265"/>
      <c r="BG808" s="265"/>
      <c r="BM808" s="6"/>
      <c r="BN808" s="6"/>
      <c r="BO808" s="6"/>
      <c r="BP808" s="1028"/>
      <c r="BT808" s="6"/>
      <c r="BU808" s="6"/>
      <c r="BV808" s="6"/>
      <c r="BW808" s="1029"/>
      <c r="BX808" s="1028"/>
      <c r="CB808" s="6"/>
      <c r="CC808" s="6"/>
      <c r="CD808" s="6"/>
      <c r="CE808" s="1029"/>
      <c r="CJ808" s="11"/>
      <c r="CM808" s="11"/>
      <c r="CU808" s="17"/>
      <c r="CV808" s="265"/>
      <c r="CW808" s="265"/>
      <c r="CY808" s="11"/>
      <c r="DA808" s="12"/>
      <c r="DB808" s="13"/>
      <c r="DC808" s="14"/>
      <c r="DD808" s="265"/>
      <c r="DE808" s="265"/>
      <c r="DF808" s="265"/>
      <c r="DH808" s="15"/>
      <c r="DM808" s="4"/>
    </row>
    <row r="809" spans="2:117" ht="15" customHeight="1">
      <c r="B809" s="10"/>
      <c r="C809" s="17"/>
      <c r="E809" s="25"/>
      <c r="F809" s="35"/>
      <c r="J809" s="20"/>
      <c r="K809" s="1024"/>
      <c r="L809" s="1025"/>
      <c r="M809" s="1026"/>
      <c r="N809" s="1026"/>
      <c r="O809" s="265"/>
      <c r="P809" s="265"/>
      <c r="T809" s="265"/>
      <c r="U809" s="265"/>
      <c r="V809" s="265"/>
      <c r="X809" s="1026"/>
      <c r="Y809" s="265"/>
      <c r="Z809" s="265"/>
      <c r="AA809" s="265"/>
      <c r="AD809" s="4"/>
      <c r="AE809" s="1026"/>
      <c r="AF809" s="265"/>
      <c r="AU809" s="265"/>
      <c r="AV809" s="265"/>
      <c r="AW809" s="265"/>
      <c r="AX809" s="265"/>
      <c r="AY809" s="265"/>
      <c r="AZ809" s="265"/>
      <c r="BA809" s="265"/>
      <c r="BB809" s="265"/>
      <c r="BC809" s="265"/>
      <c r="BD809" s="265"/>
      <c r="BE809" s="265"/>
      <c r="BF809" s="265"/>
      <c r="BG809" s="265"/>
      <c r="BM809" s="6"/>
      <c r="BN809" s="6"/>
      <c r="BO809" s="6"/>
      <c r="BP809" s="1028"/>
      <c r="BT809" s="6"/>
      <c r="BU809" s="6"/>
      <c r="BV809" s="6"/>
      <c r="BW809" s="1029"/>
      <c r="BX809" s="1028"/>
      <c r="CB809" s="6"/>
      <c r="CC809" s="6"/>
      <c r="CD809" s="6"/>
      <c r="CE809" s="1029"/>
      <c r="CJ809" s="11"/>
      <c r="CM809" s="11"/>
      <c r="CU809" s="17"/>
      <c r="CV809" s="265"/>
      <c r="CW809" s="265"/>
      <c r="CY809" s="11"/>
      <c r="DA809" s="12"/>
      <c r="DB809" s="13"/>
      <c r="DC809" s="14"/>
      <c r="DD809" s="265"/>
      <c r="DE809" s="265"/>
      <c r="DF809" s="265"/>
      <c r="DH809" s="15"/>
      <c r="DM809" s="4"/>
    </row>
    <row r="810" spans="2:117" ht="15" customHeight="1">
      <c r="B810" s="10"/>
      <c r="C810" s="17"/>
      <c r="E810" s="25"/>
      <c r="F810" s="35"/>
      <c r="J810" s="20"/>
      <c r="K810" s="1024"/>
      <c r="L810" s="1025"/>
      <c r="M810" s="1026"/>
      <c r="N810" s="1026"/>
      <c r="O810" s="265"/>
      <c r="P810" s="265"/>
      <c r="T810" s="265"/>
      <c r="U810" s="265"/>
      <c r="V810" s="265"/>
      <c r="X810" s="1026"/>
      <c r="Y810" s="265"/>
      <c r="Z810" s="265"/>
      <c r="AA810" s="265"/>
      <c r="AD810" s="4"/>
      <c r="AE810" s="1026"/>
      <c r="AF810" s="265"/>
      <c r="AU810" s="265"/>
      <c r="AV810" s="265"/>
      <c r="AW810" s="265"/>
      <c r="AX810" s="265"/>
      <c r="AY810" s="265"/>
      <c r="AZ810" s="265"/>
      <c r="BA810" s="265"/>
      <c r="BB810" s="265"/>
      <c r="BC810" s="265"/>
      <c r="BD810" s="265"/>
      <c r="BE810" s="265"/>
      <c r="BF810" s="265"/>
      <c r="BG810" s="265"/>
      <c r="BM810" s="6"/>
      <c r="BN810" s="6"/>
      <c r="BO810" s="6"/>
      <c r="BP810" s="1028"/>
      <c r="BT810" s="6"/>
      <c r="BU810" s="6"/>
      <c r="BV810" s="6"/>
      <c r="BW810" s="1029"/>
      <c r="BX810" s="1028"/>
      <c r="CB810" s="6"/>
      <c r="CC810" s="6"/>
      <c r="CD810" s="6"/>
      <c r="CE810" s="1029"/>
      <c r="CJ810" s="11"/>
      <c r="CM810" s="11"/>
      <c r="CU810" s="17"/>
      <c r="CV810" s="265"/>
      <c r="CW810" s="265"/>
      <c r="CY810" s="11"/>
      <c r="DA810" s="12"/>
      <c r="DB810" s="13"/>
      <c r="DC810" s="14"/>
      <c r="DD810" s="265"/>
      <c r="DE810" s="265"/>
      <c r="DF810" s="265"/>
      <c r="DH810" s="15"/>
      <c r="DM810" s="4"/>
    </row>
    <row r="811" spans="2:117" ht="15" customHeight="1">
      <c r="B811" s="10"/>
      <c r="C811" s="17"/>
      <c r="E811" s="25"/>
      <c r="F811" s="35"/>
      <c r="J811" s="20"/>
      <c r="K811" s="1024"/>
      <c r="L811" s="1025"/>
      <c r="M811" s="1026"/>
      <c r="N811" s="1026"/>
      <c r="O811" s="265"/>
      <c r="P811" s="265"/>
      <c r="T811" s="265"/>
      <c r="U811" s="265"/>
      <c r="V811" s="265"/>
      <c r="X811" s="1026"/>
      <c r="Y811" s="265"/>
      <c r="Z811" s="265"/>
      <c r="AA811" s="265"/>
      <c r="AD811" s="4"/>
      <c r="AE811" s="1026"/>
      <c r="AF811" s="265"/>
      <c r="AU811" s="265"/>
      <c r="AV811" s="265"/>
      <c r="AW811" s="265"/>
      <c r="AX811" s="265"/>
      <c r="AY811" s="265"/>
      <c r="AZ811" s="265"/>
      <c r="BA811" s="265"/>
      <c r="BB811" s="265"/>
      <c r="BC811" s="265"/>
      <c r="BD811" s="265"/>
      <c r="BE811" s="265"/>
      <c r="BF811" s="265"/>
      <c r="BG811" s="265"/>
      <c r="BM811" s="6"/>
      <c r="BN811" s="6"/>
      <c r="BO811" s="6"/>
      <c r="BP811" s="1028"/>
      <c r="BT811" s="6"/>
      <c r="BU811" s="6"/>
      <c r="BV811" s="6"/>
      <c r="BW811" s="1029"/>
      <c r="BX811" s="1028"/>
      <c r="CB811" s="6"/>
      <c r="CC811" s="6"/>
      <c r="CD811" s="6"/>
      <c r="CE811" s="1029"/>
      <c r="CJ811" s="11"/>
      <c r="CM811" s="11"/>
      <c r="CU811" s="17"/>
      <c r="CV811" s="265"/>
      <c r="CW811" s="265"/>
      <c r="CY811" s="11"/>
      <c r="DA811" s="12"/>
      <c r="DB811" s="13"/>
      <c r="DC811" s="14"/>
      <c r="DD811" s="265"/>
      <c r="DE811" s="265"/>
      <c r="DF811" s="265"/>
      <c r="DH811" s="15"/>
      <c r="DM811" s="4"/>
    </row>
    <row r="812" spans="2:117" ht="15" customHeight="1">
      <c r="B812" s="10"/>
      <c r="C812" s="17"/>
      <c r="E812" s="25"/>
      <c r="F812" s="35"/>
      <c r="J812" s="20"/>
      <c r="K812" s="1024"/>
      <c r="L812" s="1025"/>
      <c r="M812" s="1026"/>
      <c r="N812" s="1026"/>
      <c r="O812" s="265"/>
      <c r="P812" s="265"/>
      <c r="T812" s="265"/>
      <c r="U812" s="265"/>
      <c r="V812" s="265"/>
      <c r="X812" s="1026"/>
      <c r="Y812" s="265"/>
      <c r="Z812" s="265"/>
      <c r="AA812" s="265"/>
      <c r="AD812" s="4"/>
      <c r="AE812" s="1026"/>
      <c r="AF812" s="265"/>
      <c r="AU812" s="265"/>
      <c r="AV812" s="265"/>
      <c r="AW812" s="265"/>
      <c r="AX812" s="265"/>
      <c r="AY812" s="265"/>
      <c r="AZ812" s="265"/>
      <c r="BA812" s="265"/>
      <c r="BB812" s="265"/>
      <c r="BC812" s="265"/>
      <c r="BD812" s="265"/>
      <c r="BE812" s="265"/>
      <c r="BF812" s="265"/>
      <c r="BG812" s="265"/>
      <c r="BM812" s="6"/>
      <c r="BN812" s="6"/>
      <c r="BO812" s="6"/>
      <c r="BP812" s="1028"/>
      <c r="BT812" s="6"/>
      <c r="BU812" s="6"/>
      <c r="BV812" s="6"/>
      <c r="BW812" s="1029"/>
      <c r="BX812" s="1028"/>
      <c r="CB812" s="6"/>
      <c r="CC812" s="6"/>
      <c r="CD812" s="6"/>
      <c r="CE812" s="1029"/>
      <c r="CJ812" s="11"/>
      <c r="CM812" s="11"/>
      <c r="CU812" s="17"/>
      <c r="CV812" s="265"/>
      <c r="CW812" s="265"/>
      <c r="CY812" s="11"/>
      <c r="DA812" s="12"/>
      <c r="DB812" s="13"/>
      <c r="DC812" s="14"/>
      <c r="DD812" s="265"/>
      <c r="DE812" s="265"/>
      <c r="DF812" s="265"/>
      <c r="DH812" s="15"/>
      <c r="DM812" s="4"/>
    </row>
    <row r="813" spans="2:117" ht="15" customHeight="1">
      <c r="B813" s="10"/>
      <c r="C813" s="17"/>
      <c r="E813" s="25"/>
      <c r="F813" s="35"/>
      <c r="J813" s="20"/>
      <c r="K813" s="1024"/>
      <c r="L813" s="1025"/>
      <c r="M813" s="1026"/>
      <c r="N813" s="1026"/>
      <c r="O813" s="265"/>
      <c r="P813" s="265"/>
      <c r="T813" s="265"/>
      <c r="U813" s="265"/>
      <c r="V813" s="265"/>
      <c r="X813" s="1026"/>
      <c r="Y813" s="265"/>
      <c r="Z813" s="265"/>
      <c r="AA813" s="265"/>
      <c r="AD813" s="4"/>
      <c r="AE813" s="1026"/>
      <c r="AF813" s="265"/>
      <c r="AU813" s="265"/>
      <c r="AV813" s="265"/>
      <c r="AW813" s="265"/>
      <c r="AX813" s="265"/>
      <c r="AY813" s="265"/>
      <c r="AZ813" s="265"/>
      <c r="BA813" s="265"/>
      <c r="BB813" s="265"/>
      <c r="BC813" s="265"/>
      <c r="BD813" s="265"/>
      <c r="BE813" s="265"/>
      <c r="BF813" s="265"/>
      <c r="BG813" s="265"/>
      <c r="BM813" s="6"/>
      <c r="BN813" s="6"/>
      <c r="BO813" s="6"/>
      <c r="BP813" s="1028"/>
      <c r="BT813" s="6"/>
      <c r="BU813" s="6"/>
      <c r="BV813" s="6"/>
      <c r="BW813" s="1029"/>
      <c r="BX813" s="1028"/>
      <c r="CB813" s="6"/>
      <c r="CC813" s="6"/>
      <c r="CD813" s="6"/>
      <c r="CE813" s="1029"/>
      <c r="CJ813" s="11"/>
      <c r="CM813" s="11"/>
      <c r="CU813" s="17"/>
      <c r="CV813" s="265"/>
      <c r="CW813" s="265"/>
      <c r="CY813" s="11"/>
      <c r="DA813" s="12"/>
      <c r="DB813" s="13"/>
      <c r="DC813" s="14"/>
      <c r="DD813" s="265"/>
      <c r="DE813" s="265"/>
      <c r="DF813" s="265"/>
      <c r="DH813" s="15"/>
      <c r="DM813" s="4"/>
    </row>
    <row r="814" spans="2:117" ht="15" customHeight="1">
      <c r="B814" s="10"/>
      <c r="C814" s="17"/>
      <c r="E814" s="25"/>
      <c r="F814" s="35"/>
      <c r="J814" s="20"/>
      <c r="K814" s="1024"/>
      <c r="L814" s="1025"/>
      <c r="M814" s="1026"/>
      <c r="N814" s="1026"/>
      <c r="O814" s="265"/>
      <c r="P814" s="265"/>
      <c r="T814" s="265"/>
      <c r="U814" s="265"/>
      <c r="V814" s="265"/>
      <c r="X814" s="1026"/>
      <c r="Y814" s="265"/>
      <c r="Z814" s="265"/>
      <c r="AA814" s="265"/>
      <c r="AD814" s="4"/>
      <c r="AE814" s="1026"/>
      <c r="AF814" s="265"/>
      <c r="AU814" s="265"/>
      <c r="AV814" s="265"/>
      <c r="AW814" s="265"/>
      <c r="AX814" s="265"/>
      <c r="AY814" s="265"/>
      <c r="AZ814" s="265"/>
      <c r="BA814" s="265"/>
      <c r="BB814" s="265"/>
      <c r="BC814" s="265"/>
      <c r="BD814" s="265"/>
      <c r="BE814" s="265"/>
      <c r="BF814" s="265"/>
      <c r="BG814" s="265"/>
      <c r="BM814" s="6"/>
      <c r="BN814" s="6"/>
      <c r="BO814" s="6"/>
      <c r="BP814" s="1028"/>
      <c r="BT814" s="6"/>
      <c r="BU814" s="6"/>
      <c r="BV814" s="6"/>
      <c r="BW814" s="1029"/>
      <c r="BX814" s="1028"/>
      <c r="CB814" s="6"/>
      <c r="CC814" s="6"/>
      <c r="CD814" s="6"/>
      <c r="CE814" s="1029"/>
      <c r="CJ814" s="11"/>
      <c r="CM814" s="11"/>
      <c r="CU814" s="17"/>
      <c r="CV814" s="265"/>
      <c r="CW814" s="265"/>
      <c r="CY814" s="11"/>
      <c r="DA814" s="12"/>
      <c r="DB814" s="13"/>
      <c r="DC814" s="14"/>
      <c r="DD814" s="265"/>
      <c r="DE814" s="265"/>
      <c r="DF814" s="265"/>
      <c r="DH814" s="15"/>
      <c r="DM814" s="4"/>
    </row>
    <row r="815" spans="2:117" ht="15" customHeight="1">
      <c r="B815" s="10"/>
      <c r="C815" s="17"/>
      <c r="E815" s="25"/>
      <c r="F815" s="35"/>
      <c r="J815" s="20"/>
      <c r="K815" s="1024"/>
      <c r="L815" s="1025"/>
      <c r="M815" s="1026"/>
      <c r="N815" s="1026"/>
      <c r="O815" s="265"/>
      <c r="P815" s="265"/>
      <c r="T815" s="265"/>
      <c r="U815" s="265"/>
      <c r="V815" s="265"/>
      <c r="X815" s="1026"/>
      <c r="Y815" s="265"/>
      <c r="Z815" s="265"/>
      <c r="AA815" s="265"/>
      <c r="AD815" s="4"/>
      <c r="AE815" s="1026"/>
      <c r="AF815" s="265"/>
      <c r="AU815" s="265"/>
      <c r="AV815" s="265"/>
      <c r="AW815" s="265"/>
      <c r="AX815" s="265"/>
      <c r="AY815" s="265"/>
      <c r="AZ815" s="265"/>
      <c r="BA815" s="265"/>
      <c r="BB815" s="265"/>
      <c r="BC815" s="265"/>
      <c r="BD815" s="265"/>
      <c r="BE815" s="265"/>
      <c r="BF815" s="265"/>
      <c r="BG815" s="265"/>
      <c r="BM815" s="6"/>
      <c r="BN815" s="6"/>
      <c r="BO815" s="6"/>
      <c r="BP815" s="1028"/>
      <c r="BT815" s="6"/>
      <c r="BU815" s="6"/>
      <c r="BV815" s="6"/>
      <c r="BW815" s="1029"/>
      <c r="BX815" s="1028"/>
      <c r="CB815" s="6"/>
      <c r="CC815" s="6"/>
      <c r="CD815" s="6"/>
      <c r="CE815" s="1029"/>
      <c r="CJ815" s="11"/>
      <c r="CM815" s="11"/>
      <c r="CU815" s="17"/>
      <c r="CV815" s="265"/>
      <c r="CW815" s="265"/>
      <c r="CY815" s="11"/>
      <c r="DA815" s="12"/>
      <c r="DB815" s="13"/>
      <c r="DC815" s="14"/>
      <c r="DD815" s="265"/>
      <c r="DE815" s="265"/>
      <c r="DF815" s="265"/>
      <c r="DH815" s="15"/>
      <c r="DM815" s="4"/>
    </row>
    <row r="816" spans="2:117" ht="15" customHeight="1">
      <c r="B816" s="10"/>
      <c r="C816" s="17"/>
      <c r="E816" s="25"/>
      <c r="F816" s="35"/>
      <c r="J816" s="20"/>
      <c r="K816" s="1024"/>
      <c r="L816" s="1025"/>
      <c r="M816" s="1026"/>
      <c r="N816" s="1026"/>
      <c r="O816" s="265"/>
      <c r="P816" s="265"/>
      <c r="T816" s="265"/>
      <c r="U816" s="265"/>
      <c r="V816" s="265"/>
      <c r="X816" s="1026"/>
      <c r="Y816" s="265"/>
      <c r="Z816" s="265"/>
      <c r="AA816" s="265"/>
      <c r="AD816" s="4"/>
      <c r="AE816" s="1026"/>
      <c r="AF816" s="265"/>
      <c r="AU816" s="265"/>
      <c r="AV816" s="265"/>
      <c r="AW816" s="265"/>
      <c r="AX816" s="265"/>
      <c r="AY816" s="265"/>
      <c r="AZ816" s="265"/>
      <c r="BA816" s="265"/>
      <c r="BB816" s="265"/>
      <c r="BC816" s="265"/>
      <c r="BD816" s="265"/>
      <c r="BE816" s="265"/>
      <c r="BF816" s="265"/>
      <c r="BG816" s="265"/>
      <c r="BM816" s="6"/>
      <c r="BN816" s="6"/>
      <c r="BO816" s="6"/>
      <c r="BP816" s="1028"/>
      <c r="BT816" s="6"/>
      <c r="BU816" s="6"/>
      <c r="BV816" s="6"/>
      <c r="BW816" s="1029"/>
      <c r="BX816" s="1028"/>
      <c r="CB816" s="6"/>
      <c r="CC816" s="6"/>
      <c r="CD816" s="6"/>
      <c r="CE816" s="1029"/>
      <c r="CJ816" s="11"/>
      <c r="CM816" s="11"/>
      <c r="CU816" s="17"/>
      <c r="CV816" s="265"/>
      <c r="CW816" s="265"/>
      <c r="CY816" s="11"/>
      <c r="DA816" s="12"/>
      <c r="DB816" s="13"/>
      <c r="DC816" s="14"/>
      <c r="DD816" s="265"/>
      <c r="DE816" s="265"/>
      <c r="DF816" s="265"/>
      <c r="DH816" s="15"/>
      <c r="DM816" s="4"/>
    </row>
    <row r="817" spans="2:117" ht="15" customHeight="1">
      <c r="B817" s="10"/>
      <c r="C817" s="17"/>
      <c r="E817" s="25"/>
      <c r="F817" s="35"/>
      <c r="J817" s="20"/>
      <c r="K817" s="1024"/>
      <c r="L817" s="1025"/>
      <c r="M817" s="1026"/>
      <c r="N817" s="1026"/>
      <c r="O817" s="265"/>
      <c r="P817" s="265"/>
      <c r="T817" s="265"/>
      <c r="U817" s="265"/>
      <c r="V817" s="265"/>
      <c r="X817" s="1026"/>
      <c r="Y817" s="265"/>
      <c r="Z817" s="265"/>
      <c r="AA817" s="265"/>
      <c r="AD817" s="4"/>
      <c r="AE817" s="1026"/>
      <c r="AF817" s="265"/>
      <c r="AU817" s="265"/>
      <c r="AV817" s="265"/>
      <c r="AW817" s="265"/>
      <c r="AX817" s="265"/>
      <c r="AY817" s="265"/>
      <c r="AZ817" s="265"/>
      <c r="BA817" s="265"/>
      <c r="BB817" s="265"/>
      <c r="BC817" s="265"/>
      <c r="BD817" s="265"/>
      <c r="BE817" s="265"/>
      <c r="BF817" s="265"/>
      <c r="BG817" s="265"/>
      <c r="BM817" s="6"/>
      <c r="BN817" s="6"/>
      <c r="BO817" s="6"/>
      <c r="BP817" s="1028"/>
      <c r="BT817" s="6"/>
      <c r="BU817" s="6"/>
      <c r="BV817" s="6"/>
      <c r="BW817" s="1029"/>
      <c r="BX817" s="1028"/>
      <c r="CB817" s="6"/>
      <c r="CC817" s="6"/>
      <c r="CD817" s="6"/>
      <c r="CE817" s="1029"/>
      <c r="CJ817" s="11"/>
      <c r="CM817" s="11"/>
      <c r="CU817" s="17"/>
      <c r="CV817" s="265"/>
      <c r="CW817" s="265"/>
      <c r="CY817" s="11"/>
      <c r="DA817" s="12"/>
      <c r="DB817" s="13"/>
      <c r="DC817" s="14"/>
      <c r="DD817" s="265"/>
      <c r="DE817" s="265"/>
      <c r="DF817" s="265"/>
      <c r="DH817" s="15"/>
      <c r="DM817" s="4"/>
    </row>
    <row r="818" spans="2:117" ht="15" customHeight="1">
      <c r="B818" s="10"/>
      <c r="C818" s="17"/>
      <c r="E818" s="25"/>
      <c r="F818" s="35"/>
      <c r="J818" s="20"/>
      <c r="K818" s="1024"/>
      <c r="L818" s="1025"/>
      <c r="M818" s="1026"/>
      <c r="N818" s="1026"/>
      <c r="O818" s="265"/>
      <c r="P818" s="265"/>
      <c r="T818" s="265"/>
      <c r="U818" s="265"/>
      <c r="V818" s="265"/>
      <c r="X818" s="1026"/>
      <c r="Y818" s="265"/>
      <c r="Z818" s="265"/>
      <c r="AA818" s="265"/>
      <c r="AD818" s="4"/>
      <c r="AE818" s="1026"/>
      <c r="AF818" s="265"/>
      <c r="AU818" s="265"/>
      <c r="AV818" s="265"/>
      <c r="AW818" s="265"/>
      <c r="AX818" s="265"/>
      <c r="AY818" s="265"/>
      <c r="AZ818" s="265"/>
      <c r="BA818" s="265"/>
      <c r="BB818" s="265"/>
      <c r="BC818" s="265"/>
      <c r="BD818" s="265"/>
      <c r="BE818" s="265"/>
      <c r="BF818" s="265"/>
      <c r="BG818" s="265"/>
      <c r="BM818" s="6"/>
      <c r="BN818" s="6"/>
      <c r="BO818" s="6"/>
      <c r="BP818" s="1028"/>
      <c r="BT818" s="6"/>
      <c r="BU818" s="6"/>
      <c r="BV818" s="6"/>
      <c r="BW818" s="1029"/>
      <c r="BX818" s="1028"/>
      <c r="CB818" s="6"/>
      <c r="CC818" s="6"/>
      <c r="CD818" s="6"/>
      <c r="CE818" s="1029"/>
      <c r="CJ818" s="11"/>
      <c r="CM818" s="11"/>
      <c r="CU818" s="17"/>
      <c r="CV818" s="265"/>
      <c r="CW818" s="265"/>
      <c r="CY818" s="11"/>
      <c r="DA818" s="12"/>
      <c r="DB818" s="13"/>
      <c r="DC818" s="14"/>
      <c r="DD818" s="265"/>
      <c r="DE818" s="265"/>
      <c r="DF818" s="265"/>
      <c r="DH818" s="15"/>
      <c r="DM818" s="4"/>
    </row>
    <row r="819" spans="2:117" ht="15" customHeight="1">
      <c r="B819" s="10"/>
      <c r="C819" s="17"/>
      <c r="E819" s="25"/>
      <c r="F819" s="35"/>
      <c r="J819" s="20"/>
      <c r="K819" s="1024"/>
      <c r="L819" s="1025"/>
      <c r="M819" s="1026"/>
      <c r="N819" s="1026"/>
      <c r="O819" s="265"/>
      <c r="P819" s="265"/>
      <c r="T819" s="265"/>
      <c r="U819" s="265"/>
      <c r="V819" s="265"/>
      <c r="X819" s="1026"/>
      <c r="Y819" s="265"/>
      <c r="Z819" s="265"/>
      <c r="AA819" s="265"/>
      <c r="AD819" s="4"/>
      <c r="AE819" s="1026"/>
      <c r="AF819" s="265"/>
      <c r="AU819" s="265"/>
      <c r="AV819" s="265"/>
      <c r="AW819" s="265"/>
      <c r="AX819" s="265"/>
      <c r="AY819" s="265"/>
      <c r="AZ819" s="265"/>
      <c r="BA819" s="265"/>
      <c r="BB819" s="265"/>
      <c r="BC819" s="265"/>
      <c r="BD819" s="265"/>
      <c r="BE819" s="265"/>
      <c r="BF819" s="265"/>
      <c r="BG819" s="265"/>
      <c r="BM819" s="6"/>
      <c r="BN819" s="6"/>
      <c r="BO819" s="6"/>
      <c r="BP819" s="1028"/>
      <c r="BT819" s="6"/>
      <c r="BU819" s="6"/>
      <c r="BV819" s="6"/>
      <c r="BW819" s="1029"/>
      <c r="BX819" s="1028"/>
      <c r="CB819" s="6"/>
      <c r="CC819" s="6"/>
      <c r="CD819" s="6"/>
      <c r="CE819" s="1029"/>
      <c r="CJ819" s="11"/>
      <c r="CM819" s="11"/>
      <c r="CU819" s="17"/>
      <c r="CV819" s="265"/>
      <c r="CW819" s="265"/>
      <c r="CY819" s="11"/>
      <c r="DA819" s="12"/>
      <c r="DB819" s="13"/>
      <c r="DC819" s="14"/>
      <c r="DD819" s="265"/>
      <c r="DE819" s="265"/>
      <c r="DF819" s="265"/>
      <c r="DH819" s="15"/>
      <c r="DM819" s="4"/>
    </row>
    <row r="820" spans="2:117" ht="15" customHeight="1">
      <c r="B820" s="10"/>
      <c r="C820" s="17"/>
      <c r="E820" s="25"/>
      <c r="F820" s="35"/>
      <c r="J820" s="20"/>
      <c r="K820" s="1024"/>
      <c r="L820" s="1025"/>
      <c r="M820" s="1026"/>
      <c r="N820" s="1026"/>
      <c r="O820" s="265"/>
      <c r="P820" s="265"/>
      <c r="T820" s="265"/>
      <c r="U820" s="265"/>
      <c r="V820" s="265"/>
      <c r="X820" s="1026"/>
      <c r="Y820" s="265"/>
      <c r="Z820" s="265"/>
      <c r="AA820" s="265"/>
      <c r="AD820" s="4"/>
      <c r="AE820" s="1026"/>
      <c r="AF820" s="265"/>
      <c r="AU820" s="265"/>
      <c r="AV820" s="265"/>
      <c r="AW820" s="265"/>
      <c r="AX820" s="265"/>
      <c r="AY820" s="265"/>
      <c r="AZ820" s="265"/>
      <c r="BA820" s="265"/>
      <c r="BB820" s="265"/>
      <c r="BC820" s="265"/>
      <c r="BD820" s="265"/>
      <c r="BE820" s="265"/>
      <c r="BF820" s="265"/>
      <c r="BG820" s="265"/>
      <c r="BM820" s="6"/>
      <c r="BN820" s="6"/>
      <c r="BO820" s="6"/>
      <c r="BP820" s="1028"/>
      <c r="BT820" s="6"/>
      <c r="BU820" s="6"/>
      <c r="BV820" s="6"/>
      <c r="BW820" s="1029"/>
      <c r="BX820" s="1028"/>
      <c r="CB820" s="6"/>
      <c r="CC820" s="6"/>
      <c r="CD820" s="6"/>
      <c r="CE820" s="1029"/>
      <c r="CJ820" s="11"/>
      <c r="CM820" s="11"/>
      <c r="CU820" s="17"/>
      <c r="CV820" s="265"/>
      <c r="CW820" s="265"/>
      <c r="CY820" s="11"/>
      <c r="DA820" s="12"/>
      <c r="DB820" s="13"/>
      <c r="DC820" s="14"/>
      <c r="DD820" s="265"/>
      <c r="DE820" s="265"/>
      <c r="DF820" s="265"/>
      <c r="DH820" s="15"/>
      <c r="DM820" s="4"/>
    </row>
    <row r="821" spans="2:117" ht="15" customHeight="1">
      <c r="B821" s="10"/>
      <c r="C821" s="17"/>
      <c r="E821" s="25"/>
      <c r="F821" s="35"/>
      <c r="J821" s="20"/>
      <c r="K821" s="1024"/>
      <c r="L821" s="1025"/>
      <c r="M821" s="1026"/>
      <c r="N821" s="1026"/>
      <c r="O821" s="265"/>
      <c r="P821" s="265"/>
      <c r="T821" s="265"/>
      <c r="U821" s="265"/>
      <c r="V821" s="265"/>
      <c r="X821" s="1026"/>
      <c r="Y821" s="265"/>
      <c r="Z821" s="265"/>
      <c r="AA821" s="265"/>
      <c r="AD821" s="4"/>
      <c r="AE821" s="1026"/>
      <c r="AF821" s="265"/>
      <c r="AU821" s="265"/>
      <c r="AV821" s="265"/>
      <c r="AW821" s="265"/>
      <c r="AX821" s="265"/>
      <c r="AY821" s="265"/>
      <c r="AZ821" s="265"/>
      <c r="BA821" s="265"/>
      <c r="BB821" s="265"/>
      <c r="BC821" s="265"/>
      <c r="BD821" s="265"/>
      <c r="BE821" s="265"/>
      <c r="BF821" s="265"/>
      <c r="BG821" s="265"/>
      <c r="BM821" s="6"/>
      <c r="BN821" s="6"/>
      <c r="BO821" s="6"/>
      <c r="BP821" s="1028"/>
      <c r="BT821" s="6"/>
      <c r="BU821" s="6"/>
      <c r="BV821" s="6"/>
      <c r="BW821" s="1029"/>
      <c r="BX821" s="1028"/>
      <c r="CB821" s="6"/>
      <c r="CC821" s="6"/>
      <c r="CD821" s="6"/>
      <c r="CE821" s="1029"/>
      <c r="CJ821" s="11"/>
      <c r="CM821" s="11"/>
      <c r="CU821" s="17"/>
      <c r="CV821" s="265"/>
      <c r="CW821" s="265"/>
      <c r="CY821" s="11"/>
      <c r="DA821" s="12"/>
      <c r="DB821" s="13"/>
      <c r="DC821" s="14"/>
      <c r="DD821" s="265"/>
      <c r="DE821" s="265"/>
      <c r="DF821" s="265"/>
      <c r="DH821" s="15"/>
      <c r="DM821" s="4"/>
    </row>
    <row r="822" spans="2:117" ht="15" customHeight="1">
      <c r="B822" s="10"/>
      <c r="C822" s="17"/>
      <c r="E822" s="25"/>
      <c r="F822" s="35"/>
      <c r="J822" s="20"/>
      <c r="K822" s="1024"/>
      <c r="L822" s="1025"/>
      <c r="M822" s="1026"/>
      <c r="N822" s="1026"/>
      <c r="O822" s="265"/>
      <c r="P822" s="265"/>
      <c r="T822" s="265"/>
      <c r="U822" s="265"/>
      <c r="V822" s="265"/>
      <c r="X822" s="1026"/>
      <c r="Y822" s="265"/>
      <c r="Z822" s="265"/>
      <c r="AA822" s="265"/>
      <c r="AD822" s="4"/>
      <c r="AE822" s="1026"/>
      <c r="AF822" s="265"/>
      <c r="AU822" s="265"/>
      <c r="AV822" s="265"/>
      <c r="AW822" s="265"/>
      <c r="AX822" s="265"/>
      <c r="AY822" s="265"/>
      <c r="AZ822" s="265"/>
      <c r="BA822" s="265"/>
      <c r="BB822" s="265"/>
      <c r="BC822" s="265"/>
      <c r="BD822" s="265"/>
      <c r="BE822" s="265"/>
      <c r="BF822" s="265"/>
      <c r="BG822" s="265"/>
      <c r="BM822" s="6"/>
      <c r="BN822" s="6"/>
      <c r="BO822" s="6"/>
      <c r="BP822" s="1028"/>
      <c r="BT822" s="6"/>
      <c r="BU822" s="6"/>
      <c r="BV822" s="6"/>
      <c r="BW822" s="1029"/>
      <c r="BX822" s="1028"/>
      <c r="CB822" s="6"/>
      <c r="CC822" s="6"/>
      <c r="CD822" s="6"/>
      <c r="CE822" s="1029"/>
      <c r="CJ822" s="11"/>
      <c r="CM822" s="11"/>
      <c r="CU822" s="17"/>
      <c r="CV822" s="265"/>
      <c r="CW822" s="265"/>
      <c r="CY822" s="11"/>
      <c r="DA822" s="12"/>
      <c r="DB822" s="13"/>
      <c r="DC822" s="14"/>
      <c r="DD822" s="265"/>
      <c r="DE822" s="265"/>
      <c r="DF822" s="265"/>
      <c r="DH822" s="15"/>
      <c r="DM822" s="4"/>
    </row>
    <row r="823" spans="2:117" ht="15" customHeight="1">
      <c r="B823" s="10"/>
      <c r="C823" s="17"/>
      <c r="E823" s="25"/>
      <c r="F823" s="35"/>
      <c r="J823" s="20"/>
      <c r="K823" s="1024"/>
      <c r="L823" s="1025"/>
      <c r="M823" s="1026"/>
      <c r="N823" s="1026"/>
      <c r="O823" s="265"/>
      <c r="P823" s="265"/>
      <c r="T823" s="265"/>
      <c r="U823" s="265"/>
      <c r="V823" s="265"/>
      <c r="X823" s="1026"/>
      <c r="Y823" s="265"/>
      <c r="Z823" s="265"/>
      <c r="AA823" s="265"/>
      <c r="AD823" s="4"/>
      <c r="AE823" s="1026"/>
      <c r="AF823" s="265"/>
      <c r="AU823" s="265"/>
      <c r="AV823" s="265"/>
      <c r="AW823" s="265"/>
      <c r="AX823" s="265"/>
      <c r="AY823" s="265"/>
      <c r="AZ823" s="265"/>
      <c r="BA823" s="265"/>
      <c r="BB823" s="265"/>
      <c r="BC823" s="265"/>
      <c r="BD823" s="265"/>
      <c r="BE823" s="265"/>
      <c r="BF823" s="265"/>
      <c r="BG823" s="265"/>
      <c r="BM823" s="6"/>
      <c r="BN823" s="6"/>
      <c r="BO823" s="6"/>
      <c r="BP823" s="1028"/>
      <c r="BT823" s="6"/>
      <c r="BU823" s="6"/>
      <c r="BV823" s="6"/>
      <c r="BW823" s="1029"/>
      <c r="BX823" s="1028"/>
      <c r="CB823" s="6"/>
      <c r="CC823" s="6"/>
      <c r="CD823" s="6"/>
      <c r="CE823" s="1029"/>
      <c r="CJ823" s="11"/>
      <c r="CM823" s="11"/>
      <c r="CU823" s="17"/>
      <c r="CV823" s="265"/>
      <c r="CW823" s="265"/>
      <c r="CY823" s="11"/>
      <c r="DA823" s="12"/>
      <c r="DB823" s="13"/>
      <c r="DC823" s="14"/>
      <c r="DD823" s="265"/>
      <c r="DE823" s="265"/>
      <c r="DF823" s="265"/>
      <c r="DH823" s="15"/>
      <c r="DM823" s="4"/>
    </row>
    <row r="824" spans="2:117" ht="15" customHeight="1">
      <c r="B824" s="10"/>
      <c r="C824" s="17"/>
      <c r="E824" s="25"/>
      <c r="F824" s="35"/>
      <c r="J824" s="20"/>
      <c r="K824" s="1024"/>
      <c r="L824" s="1025"/>
      <c r="M824" s="1026"/>
      <c r="N824" s="1026"/>
      <c r="O824" s="265"/>
      <c r="P824" s="265"/>
      <c r="T824" s="265"/>
      <c r="U824" s="265"/>
      <c r="V824" s="265"/>
      <c r="X824" s="1026"/>
      <c r="Y824" s="265"/>
      <c r="Z824" s="265"/>
      <c r="AA824" s="265"/>
      <c r="AD824" s="4"/>
      <c r="AE824" s="1026"/>
      <c r="AF824" s="265"/>
      <c r="AU824" s="265"/>
      <c r="AV824" s="265"/>
      <c r="AW824" s="265"/>
      <c r="AX824" s="265"/>
      <c r="AY824" s="265"/>
      <c r="AZ824" s="265"/>
      <c r="BA824" s="265"/>
      <c r="BB824" s="265"/>
      <c r="BC824" s="265"/>
      <c r="BD824" s="265"/>
      <c r="BE824" s="265"/>
      <c r="BF824" s="265"/>
      <c r="BG824" s="265"/>
      <c r="BM824" s="6"/>
      <c r="BN824" s="6"/>
      <c r="BO824" s="6"/>
      <c r="BP824" s="1028"/>
      <c r="BT824" s="6"/>
      <c r="BU824" s="6"/>
      <c r="BV824" s="6"/>
      <c r="BW824" s="1029"/>
      <c r="BX824" s="1028"/>
      <c r="CB824" s="6"/>
      <c r="CC824" s="6"/>
      <c r="CD824" s="6"/>
      <c r="CE824" s="1029"/>
      <c r="CJ824" s="11"/>
      <c r="CM824" s="11"/>
      <c r="CU824" s="17"/>
      <c r="CV824" s="265"/>
      <c r="CW824" s="265"/>
      <c r="CY824" s="11"/>
      <c r="DA824" s="12"/>
      <c r="DB824" s="13"/>
      <c r="DC824" s="14"/>
      <c r="DD824" s="265"/>
      <c r="DE824" s="265"/>
      <c r="DF824" s="265"/>
      <c r="DH824" s="15"/>
      <c r="DM824" s="4"/>
    </row>
    <row r="825" spans="2:117" ht="15" customHeight="1">
      <c r="B825" s="10"/>
      <c r="C825" s="17"/>
      <c r="E825" s="25"/>
      <c r="F825" s="35"/>
      <c r="J825" s="20"/>
      <c r="K825" s="1024"/>
      <c r="L825" s="1025"/>
      <c r="M825" s="1026"/>
      <c r="N825" s="1026"/>
      <c r="O825" s="265"/>
      <c r="P825" s="265"/>
      <c r="T825" s="265"/>
      <c r="U825" s="265"/>
      <c r="V825" s="265"/>
      <c r="X825" s="1026"/>
      <c r="Y825" s="265"/>
      <c r="Z825" s="265"/>
      <c r="AA825" s="265"/>
      <c r="AD825" s="4"/>
      <c r="AE825" s="1026"/>
      <c r="AF825" s="265"/>
      <c r="AU825" s="265"/>
      <c r="AV825" s="265"/>
      <c r="AW825" s="265"/>
      <c r="AX825" s="265"/>
      <c r="AY825" s="265"/>
      <c r="AZ825" s="265"/>
      <c r="BA825" s="265"/>
      <c r="BB825" s="265"/>
      <c r="BC825" s="265"/>
      <c r="BD825" s="265"/>
      <c r="BE825" s="265"/>
      <c r="BF825" s="265"/>
      <c r="BG825" s="265"/>
      <c r="BM825" s="6"/>
      <c r="BN825" s="6"/>
      <c r="BO825" s="6"/>
      <c r="BP825" s="1028"/>
      <c r="BT825" s="6"/>
      <c r="BU825" s="6"/>
      <c r="BV825" s="6"/>
      <c r="BW825" s="1029"/>
      <c r="BX825" s="1028"/>
      <c r="CB825" s="6"/>
      <c r="CC825" s="6"/>
      <c r="CD825" s="6"/>
      <c r="CE825" s="1029"/>
      <c r="CJ825" s="11"/>
      <c r="CM825" s="11"/>
      <c r="CU825" s="17"/>
      <c r="CV825" s="265"/>
      <c r="CW825" s="265"/>
      <c r="CY825" s="11"/>
      <c r="DA825" s="12"/>
      <c r="DB825" s="13"/>
      <c r="DC825" s="14"/>
      <c r="DD825" s="265"/>
      <c r="DE825" s="265"/>
      <c r="DF825" s="265"/>
      <c r="DH825" s="15"/>
      <c r="DM825" s="4"/>
    </row>
    <row r="826" spans="2:117" ht="15" customHeight="1">
      <c r="B826" s="10"/>
      <c r="C826" s="17"/>
      <c r="E826" s="25"/>
      <c r="F826" s="35"/>
      <c r="J826" s="20"/>
      <c r="K826" s="1024"/>
      <c r="L826" s="1025"/>
      <c r="M826" s="1026"/>
      <c r="N826" s="1026"/>
      <c r="O826" s="265"/>
      <c r="P826" s="265"/>
      <c r="T826" s="265"/>
      <c r="U826" s="265"/>
      <c r="V826" s="265"/>
      <c r="X826" s="1026"/>
      <c r="Y826" s="265"/>
      <c r="Z826" s="265"/>
      <c r="AA826" s="265"/>
      <c r="AD826" s="4"/>
      <c r="AE826" s="1026"/>
      <c r="AF826" s="265"/>
      <c r="AU826" s="265"/>
      <c r="AV826" s="265"/>
      <c r="AW826" s="265"/>
      <c r="AX826" s="265"/>
      <c r="AY826" s="265"/>
      <c r="AZ826" s="265"/>
      <c r="BA826" s="265"/>
      <c r="BB826" s="265"/>
      <c r="BC826" s="265"/>
      <c r="BD826" s="265"/>
      <c r="BE826" s="265"/>
      <c r="BF826" s="265"/>
      <c r="BG826" s="265"/>
      <c r="BM826" s="6"/>
      <c r="BN826" s="6"/>
      <c r="BO826" s="6"/>
      <c r="BP826" s="1028"/>
      <c r="BT826" s="6"/>
      <c r="BU826" s="6"/>
      <c r="BV826" s="6"/>
      <c r="BW826" s="1029"/>
      <c r="BX826" s="1028"/>
      <c r="CB826" s="6"/>
      <c r="CC826" s="6"/>
      <c r="CD826" s="6"/>
      <c r="CE826" s="1029"/>
      <c r="CJ826" s="11"/>
      <c r="CM826" s="11"/>
      <c r="CU826" s="17"/>
      <c r="CV826" s="265"/>
      <c r="CW826" s="265"/>
      <c r="CY826" s="11"/>
      <c r="DA826" s="12"/>
      <c r="DB826" s="13"/>
      <c r="DC826" s="14"/>
      <c r="DD826" s="265"/>
      <c r="DE826" s="265"/>
      <c r="DF826" s="265"/>
      <c r="DH826" s="15"/>
      <c r="DM826" s="4"/>
    </row>
    <row r="827" spans="2:117" ht="15" customHeight="1">
      <c r="B827" s="10"/>
      <c r="C827" s="17"/>
      <c r="E827" s="25"/>
      <c r="F827" s="35"/>
      <c r="J827" s="20"/>
      <c r="K827" s="1024"/>
      <c r="L827" s="1025"/>
      <c r="M827" s="1026"/>
      <c r="N827" s="1026"/>
      <c r="O827" s="265"/>
      <c r="P827" s="265"/>
      <c r="T827" s="265"/>
      <c r="U827" s="265"/>
      <c r="V827" s="265"/>
      <c r="X827" s="1026"/>
      <c r="Y827" s="265"/>
      <c r="Z827" s="265"/>
      <c r="AA827" s="265"/>
      <c r="AD827" s="4"/>
      <c r="AE827" s="1026"/>
      <c r="AF827" s="265"/>
      <c r="AU827" s="265"/>
      <c r="AV827" s="265"/>
      <c r="AW827" s="265"/>
      <c r="AX827" s="265"/>
      <c r="AY827" s="265"/>
      <c r="AZ827" s="265"/>
      <c r="BA827" s="265"/>
      <c r="BB827" s="265"/>
      <c r="BC827" s="265"/>
      <c r="BD827" s="265"/>
      <c r="BE827" s="265"/>
      <c r="BF827" s="265"/>
      <c r="BG827" s="265"/>
      <c r="BM827" s="6"/>
      <c r="BN827" s="6"/>
      <c r="BO827" s="6"/>
      <c r="BP827" s="1028"/>
      <c r="BT827" s="6"/>
      <c r="BU827" s="6"/>
      <c r="BV827" s="6"/>
      <c r="BW827" s="1029"/>
      <c r="BX827" s="1028"/>
      <c r="CB827" s="6"/>
      <c r="CC827" s="6"/>
      <c r="CD827" s="6"/>
      <c r="CE827" s="1029"/>
      <c r="CJ827" s="11"/>
      <c r="CM827" s="11"/>
      <c r="CU827" s="17"/>
      <c r="CV827" s="265"/>
      <c r="CW827" s="265"/>
      <c r="CY827" s="11"/>
      <c r="DA827" s="12"/>
      <c r="DB827" s="13"/>
      <c r="DC827" s="14"/>
      <c r="DD827" s="265"/>
      <c r="DE827" s="265"/>
      <c r="DF827" s="265"/>
      <c r="DH827" s="15"/>
      <c r="DM827" s="4"/>
    </row>
    <row r="828" spans="2:117" ht="15" customHeight="1">
      <c r="B828" s="10"/>
      <c r="C828" s="17"/>
      <c r="E828" s="25"/>
      <c r="F828" s="35"/>
      <c r="J828" s="20"/>
      <c r="K828" s="1024"/>
      <c r="L828" s="1025"/>
      <c r="M828" s="1026"/>
      <c r="N828" s="1026"/>
      <c r="O828" s="265"/>
      <c r="P828" s="265"/>
      <c r="T828" s="265"/>
      <c r="U828" s="265"/>
      <c r="V828" s="265"/>
      <c r="X828" s="1026"/>
      <c r="Y828" s="265"/>
      <c r="Z828" s="265"/>
      <c r="AA828" s="265"/>
      <c r="AD828" s="4"/>
      <c r="AE828" s="1026"/>
      <c r="AF828" s="265"/>
      <c r="AU828" s="265"/>
      <c r="AV828" s="265"/>
      <c r="AW828" s="265"/>
      <c r="AX828" s="265"/>
      <c r="AY828" s="265"/>
      <c r="AZ828" s="265"/>
      <c r="BA828" s="265"/>
      <c r="BB828" s="265"/>
      <c r="BC828" s="265"/>
      <c r="BD828" s="265"/>
      <c r="BE828" s="265"/>
      <c r="BF828" s="265"/>
      <c r="BG828" s="265"/>
      <c r="BM828" s="6"/>
      <c r="BN828" s="6"/>
      <c r="BO828" s="6"/>
      <c r="BP828" s="1028"/>
      <c r="BT828" s="6"/>
      <c r="BU828" s="6"/>
      <c r="BV828" s="6"/>
      <c r="BW828" s="1029"/>
      <c r="BX828" s="1028"/>
      <c r="CB828" s="6"/>
      <c r="CC828" s="6"/>
      <c r="CD828" s="6"/>
      <c r="CE828" s="1029"/>
      <c r="CJ828" s="11"/>
      <c r="CM828" s="11"/>
      <c r="CU828" s="17"/>
      <c r="CV828" s="265"/>
      <c r="CW828" s="265"/>
      <c r="CY828" s="11"/>
      <c r="DA828" s="12"/>
      <c r="DB828" s="13"/>
      <c r="DC828" s="14"/>
      <c r="DD828" s="265"/>
      <c r="DE828" s="265"/>
      <c r="DF828" s="265"/>
      <c r="DH828" s="15"/>
      <c r="DM828" s="4"/>
    </row>
    <row r="829" spans="2:117" ht="15" customHeight="1">
      <c r="B829" s="10"/>
      <c r="C829" s="17"/>
      <c r="E829" s="25"/>
      <c r="F829" s="35"/>
      <c r="J829" s="20"/>
      <c r="K829" s="1024"/>
      <c r="L829" s="1025"/>
      <c r="M829" s="1026"/>
      <c r="N829" s="1026"/>
      <c r="O829" s="265"/>
      <c r="P829" s="265"/>
      <c r="T829" s="265"/>
      <c r="U829" s="265"/>
      <c r="V829" s="265"/>
      <c r="X829" s="1026"/>
      <c r="Y829" s="265"/>
      <c r="Z829" s="265"/>
      <c r="AA829" s="265"/>
      <c r="AD829" s="4"/>
      <c r="AE829" s="1026"/>
      <c r="AF829" s="265"/>
      <c r="AU829" s="265"/>
      <c r="AV829" s="265"/>
      <c r="AW829" s="265"/>
      <c r="AX829" s="265"/>
      <c r="AY829" s="265"/>
      <c r="AZ829" s="265"/>
      <c r="BA829" s="265"/>
      <c r="BB829" s="265"/>
      <c r="BC829" s="265"/>
      <c r="BD829" s="265"/>
      <c r="BE829" s="265"/>
      <c r="BF829" s="265"/>
      <c r="BG829" s="265"/>
      <c r="BM829" s="6"/>
      <c r="BN829" s="6"/>
      <c r="BO829" s="6"/>
      <c r="BP829" s="1028"/>
      <c r="BT829" s="6"/>
      <c r="BU829" s="6"/>
      <c r="BV829" s="6"/>
      <c r="BW829" s="1029"/>
      <c r="BX829" s="1028"/>
      <c r="CB829" s="6"/>
      <c r="CC829" s="6"/>
      <c r="CD829" s="6"/>
      <c r="CE829" s="1029"/>
      <c r="CJ829" s="11"/>
      <c r="CM829" s="11"/>
      <c r="CU829" s="17"/>
      <c r="CV829" s="265"/>
      <c r="CW829" s="265"/>
      <c r="CY829" s="11"/>
      <c r="DA829" s="12"/>
      <c r="DB829" s="13"/>
      <c r="DC829" s="14"/>
      <c r="DD829" s="265"/>
      <c r="DE829" s="265"/>
      <c r="DF829" s="265"/>
      <c r="DH829" s="15"/>
      <c r="DM829" s="4"/>
    </row>
    <row r="830" spans="2:117" ht="15" customHeight="1">
      <c r="B830" s="10"/>
      <c r="C830" s="17"/>
      <c r="E830" s="25"/>
      <c r="F830" s="35"/>
      <c r="J830" s="20"/>
      <c r="K830" s="1024"/>
      <c r="L830" s="1025"/>
      <c r="M830" s="1026"/>
      <c r="N830" s="1026"/>
      <c r="O830" s="265"/>
      <c r="P830" s="265"/>
      <c r="T830" s="265"/>
      <c r="U830" s="265"/>
      <c r="V830" s="265"/>
      <c r="X830" s="1026"/>
      <c r="Y830" s="265"/>
      <c r="Z830" s="265"/>
      <c r="AA830" s="265"/>
      <c r="AD830" s="4"/>
      <c r="AE830" s="1026"/>
      <c r="AF830" s="265"/>
      <c r="AU830" s="265"/>
      <c r="AV830" s="265"/>
      <c r="AW830" s="265"/>
      <c r="AX830" s="265"/>
      <c r="AY830" s="265"/>
      <c r="AZ830" s="265"/>
      <c r="BA830" s="265"/>
      <c r="BB830" s="265"/>
      <c r="BC830" s="265"/>
      <c r="BD830" s="265"/>
      <c r="BE830" s="265"/>
      <c r="BF830" s="265"/>
      <c r="BG830" s="265"/>
      <c r="BM830" s="6"/>
      <c r="BN830" s="6"/>
      <c r="BO830" s="6"/>
      <c r="BP830" s="1028"/>
      <c r="BT830" s="6"/>
      <c r="BU830" s="6"/>
      <c r="BV830" s="6"/>
      <c r="BW830" s="1029"/>
      <c r="BX830" s="1028"/>
      <c r="CB830" s="6"/>
      <c r="CC830" s="6"/>
      <c r="CD830" s="6"/>
      <c r="CE830" s="1029"/>
      <c r="CJ830" s="11"/>
      <c r="CM830" s="11"/>
      <c r="CU830" s="17"/>
      <c r="CV830" s="265"/>
      <c r="CW830" s="265"/>
      <c r="CY830" s="11"/>
      <c r="DA830" s="12"/>
      <c r="DB830" s="13"/>
      <c r="DC830" s="14"/>
      <c r="DD830" s="265"/>
      <c r="DE830" s="265"/>
      <c r="DF830" s="265"/>
      <c r="DH830" s="15"/>
      <c r="DM830" s="4"/>
    </row>
    <row r="831" spans="2:117" ht="15" customHeight="1">
      <c r="B831" s="10"/>
      <c r="C831" s="17"/>
      <c r="E831" s="25"/>
      <c r="F831" s="35"/>
      <c r="J831" s="20"/>
      <c r="K831" s="1024"/>
      <c r="L831" s="1025"/>
      <c r="M831" s="1026"/>
      <c r="N831" s="1026"/>
      <c r="O831" s="265"/>
      <c r="P831" s="265"/>
      <c r="T831" s="265"/>
      <c r="U831" s="265"/>
      <c r="V831" s="265"/>
      <c r="X831" s="1026"/>
      <c r="Y831" s="265"/>
      <c r="Z831" s="265"/>
      <c r="AA831" s="265"/>
      <c r="AD831" s="4"/>
      <c r="AE831" s="1026"/>
      <c r="AF831" s="265"/>
      <c r="AU831" s="265"/>
      <c r="AV831" s="265"/>
      <c r="AW831" s="265"/>
      <c r="AX831" s="265"/>
      <c r="AY831" s="265"/>
      <c r="AZ831" s="265"/>
      <c r="BA831" s="265"/>
      <c r="BB831" s="265"/>
      <c r="BC831" s="265"/>
      <c r="BD831" s="265"/>
      <c r="BE831" s="265"/>
      <c r="BF831" s="265"/>
      <c r="BG831" s="265"/>
      <c r="BM831" s="6"/>
      <c r="BN831" s="6"/>
      <c r="BO831" s="6"/>
      <c r="BP831" s="1028"/>
      <c r="BT831" s="6"/>
      <c r="BU831" s="6"/>
      <c r="BV831" s="6"/>
      <c r="BW831" s="1029"/>
      <c r="BX831" s="1028"/>
      <c r="CB831" s="6"/>
      <c r="CC831" s="6"/>
      <c r="CD831" s="6"/>
      <c r="CE831" s="1029"/>
      <c r="CJ831" s="11"/>
      <c r="CM831" s="11"/>
      <c r="CU831" s="17"/>
      <c r="CV831" s="265"/>
      <c r="CW831" s="265"/>
      <c r="CY831" s="11"/>
      <c r="DA831" s="12"/>
      <c r="DB831" s="13"/>
      <c r="DC831" s="14"/>
      <c r="DD831" s="265"/>
      <c r="DE831" s="265"/>
      <c r="DF831" s="265"/>
      <c r="DH831" s="15"/>
      <c r="DM831" s="4"/>
    </row>
    <row r="832" spans="2:117" ht="15" customHeight="1">
      <c r="B832" s="10"/>
      <c r="C832" s="17"/>
      <c r="E832" s="25"/>
      <c r="F832" s="35"/>
      <c r="J832" s="20"/>
      <c r="K832" s="1024"/>
      <c r="L832" s="1025"/>
      <c r="M832" s="1026"/>
      <c r="N832" s="1026"/>
      <c r="O832" s="265"/>
      <c r="P832" s="265"/>
      <c r="T832" s="265"/>
      <c r="U832" s="265"/>
      <c r="V832" s="265"/>
      <c r="X832" s="1026"/>
      <c r="Y832" s="265"/>
      <c r="Z832" s="265"/>
      <c r="AA832" s="265"/>
      <c r="AD832" s="4"/>
      <c r="AE832" s="1026"/>
      <c r="AF832" s="265"/>
      <c r="AU832" s="265"/>
      <c r="AV832" s="265"/>
      <c r="AW832" s="265"/>
      <c r="AX832" s="265"/>
      <c r="AY832" s="265"/>
      <c r="AZ832" s="265"/>
      <c r="BA832" s="265"/>
      <c r="BB832" s="265"/>
      <c r="BC832" s="265"/>
      <c r="BD832" s="265"/>
      <c r="BE832" s="265"/>
      <c r="BF832" s="265"/>
      <c r="BG832" s="265"/>
      <c r="BM832" s="6"/>
      <c r="BN832" s="6"/>
      <c r="BO832" s="6"/>
      <c r="BP832" s="1028"/>
      <c r="BT832" s="6"/>
      <c r="BU832" s="6"/>
      <c r="BV832" s="6"/>
      <c r="BW832" s="1029"/>
      <c r="BX832" s="1028"/>
      <c r="CB832" s="6"/>
      <c r="CC832" s="6"/>
      <c r="CD832" s="6"/>
      <c r="CE832" s="1029"/>
      <c r="CJ832" s="11"/>
      <c r="CM832" s="11"/>
      <c r="CU832" s="17"/>
      <c r="CV832" s="265"/>
      <c r="CW832" s="265"/>
      <c r="CY832" s="11"/>
      <c r="DA832" s="12"/>
      <c r="DB832" s="13"/>
      <c r="DC832" s="14"/>
      <c r="DD832" s="265"/>
      <c r="DE832" s="265"/>
      <c r="DF832" s="265"/>
      <c r="DH832" s="15"/>
      <c r="DM832" s="4"/>
    </row>
    <row r="833" spans="2:117" ht="15" customHeight="1">
      <c r="B833" s="10"/>
      <c r="C833" s="17"/>
      <c r="E833" s="25"/>
      <c r="F833" s="35"/>
      <c r="J833" s="20"/>
      <c r="K833" s="1024"/>
      <c r="L833" s="1025"/>
      <c r="M833" s="1026"/>
      <c r="N833" s="1026"/>
      <c r="O833" s="265"/>
      <c r="P833" s="265"/>
      <c r="T833" s="265"/>
      <c r="U833" s="265"/>
      <c r="V833" s="265"/>
      <c r="X833" s="1026"/>
      <c r="Y833" s="265"/>
      <c r="Z833" s="265"/>
      <c r="AA833" s="265"/>
      <c r="AD833" s="4"/>
      <c r="AE833" s="1026"/>
      <c r="AF833" s="265"/>
      <c r="AU833" s="265"/>
      <c r="AV833" s="265"/>
      <c r="AW833" s="265"/>
      <c r="AX833" s="265"/>
      <c r="AY833" s="265"/>
      <c r="AZ833" s="265"/>
      <c r="BA833" s="265"/>
      <c r="BB833" s="265"/>
      <c r="BC833" s="265"/>
      <c r="BD833" s="265"/>
      <c r="BE833" s="265"/>
      <c r="BF833" s="265"/>
      <c r="BG833" s="265"/>
      <c r="BM833" s="6"/>
      <c r="BN833" s="6"/>
      <c r="BO833" s="6"/>
      <c r="BP833" s="1028"/>
      <c r="BT833" s="6"/>
      <c r="BU833" s="6"/>
      <c r="BV833" s="6"/>
      <c r="BW833" s="1029"/>
      <c r="BX833" s="1028"/>
      <c r="CB833" s="6"/>
      <c r="CC833" s="6"/>
      <c r="CD833" s="6"/>
      <c r="CE833" s="1029"/>
      <c r="CJ833" s="11"/>
      <c r="CM833" s="11"/>
      <c r="CU833" s="17"/>
      <c r="CV833" s="265"/>
      <c r="CW833" s="265"/>
      <c r="CY833" s="11"/>
      <c r="DA833" s="12"/>
      <c r="DB833" s="13"/>
      <c r="DC833" s="14"/>
      <c r="DD833" s="265"/>
      <c r="DE833" s="265"/>
      <c r="DF833" s="265"/>
      <c r="DH833" s="15"/>
      <c r="DM833" s="4"/>
    </row>
    <row r="834" spans="2:117" ht="15" customHeight="1">
      <c r="B834" s="10"/>
      <c r="C834" s="17"/>
      <c r="E834" s="25"/>
      <c r="F834" s="35"/>
      <c r="J834" s="20"/>
      <c r="K834" s="1024"/>
      <c r="L834" s="1025"/>
      <c r="M834" s="1026"/>
      <c r="N834" s="1026"/>
      <c r="O834" s="265"/>
      <c r="P834" s="265"/>
      <c r="T834" s="265"/>
      <c r="U834" s="265"/>
      <c r="V834" s="265"/>
      <c r="X834" s="1026"/>
      <c r="Y834" s="265"/>
      <c r="Z834" s="265"/>
      <c r="AA834" s="265"/>
      <c r="AD834" s="4"/>
      <c r="AE834" s="1026"/>
      <c r="AF834" s="265"/>
      <c r="AU834" s="265"/>
      <c r="AV834" s="265"/>
      <c r="AW834" s="265"/>
      <c r="AX834" s="265"/>
      <c r="AY834" s="265"/>
      <c r="AZ834" s="265"/>
      <c r="BA834" s="265"/>
      <c r="BB834" s="265"/>
      <c r="BC834" s="265"/>
      <c r="BD834" s="265"/>
      <c r="BE834" s="265"/>
      <c r="BF834" s="265"/>
      <c r="BG834" s="265"/>
      <c r="BM834" s="6"/>
      <c r="BN834" s="6"/>
      <c r="BO834" s="6"/>
      <c r="BP834" s="1028"/>
      <c r="BT834" s="6"/>
      <c r="BU834" s="6"/>
      <c r="BV834" s="6"/>
      <c r="BW834" s="1029"/>
      <c r="BX834" s="1028"/>
      <c r="CB834" s="6"/>
      <c r="CC834" s="6"/>
      <c r="CD834" s="6"/>
      <c r="CE834" s="1029"/>
      <c r="CJ834" s="11"/>
      <c r="CM834" s="11"/>
      <c r="CU834" s="17"/>
      <c r="CV834" s="265"/>
      <c r="CW834" s="265"/>
      <c r="CY834" s="11"/>
      <c r="DA834" s="12"/>
      <c r="DB834" s="13"/>
      <c r="DC834" s="14"/>
      <c r="DD834" s="265"/>
      <c r="DE834" s="265"/>
      <c r="DF834" s="265"/>
      <c r="DH834" s="15"/>
      <c r="DM834" s="4"/>
    </row>
    <row r="835" spans="2:117" ht="15" customHeight="1">
      <c r="B835" s="10"/>
      <c r="C835" s="17"/>
      <c r="E835" s="25"/>
      <c r="F835" s="35"/>
      <c r="J835" s="20"/>
      <c r="K835" s="1024"/>
      <c r="L835" s="1025"/>
      <c r="M835" s="1026"/>
      <c r="N835" s="1026"/>
      <c r="O835" s="265"/>
      <c r="P835" s="265"/>
      <c r="T835" s="265"/>
      <c r="U835" s="265"/>
      <c r="V835" s="265"/>
      <c r="X835" s="1026"/>
      <c r="Y835" s="265"/>
      <c r="Z835" s="265"/>
      <c r="AA835" s="265"/>
      <c r="AD835" s="4"/>
      <c r="AE835" s="1026"/>
      <c r="AF835" s="265"/>
      <c r="AU835" s="265"/>
      <c r="AV835" s="265"/>
      <c r="AW835" s="265"/>
      <c r="AX835" s="265"/>
      <c r="AY835" s="265"/>
      <c r="AZ835" s="265"/>
      <c r="BA835" s="265"/>
      <c r="BB835" s="265"/>
      <c r="BC835" s="265"/>
      <c r="BD835" s="265"/>
      <c r="BE835" s="265"/>
      <c r="BF835" s="265"/>
      <c r="BG835" s="265"/>
      <c r="BM835" s="6"/>
      <c r="BN835" s="6"/>
      <c r="BO835" s="6"/>
      <c r="BP835" s="1028"/>
      <c r="BT835" s="6"/>
      <c r="BU835" s="6"/>
      <c r="BV835" s="6"/>
      <c r="BW835" s="1029"/>
      <c r="BX835" s="1028"/>
      <c r="CB835" s="6"/>
      <c r="CC835" s="6"/>
      <c r="CD835" s="6"/>
      <c r="CE835" s="1029"/>
      <c r="CJ835" s="11"/>
      <c r="CM835" s="11"/>
      <c r="CU835" s="17"/>
      <c r="CV835" s="265"/>
      <c r="CW835" s="265"/>
      <c r="CY835" s="11"/>
      <c r="DA835" s="12"/>
      <c r="DB835" s="13"/>
      <c r="DC835" s="14"/>
      <c r="DD835" s="265"/>
      <c r="DE835" s="265"/>
      <c r="DF835" s="265"/>
      <c r="DH835" s="15"/>
      <c r="DM835" s="4"/>
    </row>
    <row r="836" spans="2:117" ht="15" customHeight="1">
      <c r="B836" s="10"/>
      <c r="C836" s="17"/>
      <c r="E836" s="25"/>
      <c r="F836" s="35"/>
      <c r="J836" s="20"/>
      <c r="K836" s="1024"/>
      <c r="L836" s="1025"/>
      <c r="M836" s="1026"/>
      <c r="N836" s="1026"/>
      <c r="O836" s="265"/>
      <c r="P836" s="265"/>
      <c r="T836" s="265"/>
      <c r="U836" s="265"/>
      <c r="V836" s="265"/>
      <c r="X836" s="1026"/>
      <c r="Y836" s="265"/>
      <c r="Z836" s="265"/>
      <c r="AA836" s="265"/>
      <c r="AD836" s="4"/>
      <c r="AE836" s="1026"/>
      <c r="AF836" s="265"/>
      <c r="AU836" s="265"/>
      <c r="AV836" s="265"/>
      <c r="AW836" s="265"/>
      <c r="AX836" s="265"/>
      <c r="AY836" s="265"/>
      <c r="AZ836" s="265"/>
      <c r="BA836" s="265"/>
      <c r="BB836" s="265"/>
      <c r="BC836" s="265"/>
      <c r="BD836" s="265"/>
      <c r="BE836" s="265"/>
      <c r="BF836" s="265"/>
      <c r="BG836" s="265"/>
      <c r="BM836" s="6"/>
      <c r="BN836" s="6"/>
      <c r="BO836" s="6"/>
      <c r="BP836" s="1028"/>
      <c r="BT836" s="6"/>
      <c r="BU836" s="6"/>
      <c r="BV836" s="6"/>
      <c r="BW836" s="1029"/>
      <c r="BX836" s="1028"/>
      <c r="CB836" s="6"/>
      <c r="CC836" s="6"/>
      <c r="CD836" s="6"/>
      <c r="CE836" s="1029"/>
      <c r="CJ836" s="11"/>
      <c r="CM836" s="11"/>
      <c r="CU836" s="17"/>
      <c r="CV836" s="265"/>
      <c r="CW836" s="265"/>
      <c r="CY836" s="11"/>
      <c r="DA836" s="12"/>
      <c r="DB836" s="13"/>
      <c r="DC836" s="14"/>
      <c r="DD836" s="265"/>
      <c r="DE836" s="265"/>
      <c r="DF836" s="265"/>
      <c r="DH836" s="15"/>
      <c r="DM836" s="4"/>
    </row>
    <row r="837" spans="2:117" ht="15" customHeight="1">
      <c r="B837" s="10"/>
      <c r="C837" s="17"/>
      <c r="E837" s="25"/>
      <c r="F837" s="35"/>
      <c r="J837" s="20"/>
      <c r="K837" s="1024"/>
      <c r="L837" s="1025"/>
      <c r="M837" s="1026"/>
      <c r="N837" s="1026"/>
      <c r="O837" s="265"/>
      <c r="P837" s="265"/>
      <c r="T837" s="265"/>
      <c r="U837" s="265"/>
      <c r="V837" s="265"/>
      <c r="X837" s="1026"/>
      <c r="Y837" s="265"/>
      <c r="Z837" s="265"/>
      <c r="AA837" s="265"/>
      <c r="AD837" s="4"/>
      <c r="AE837" s="1026"/>
      <c r="AF837" s="265"/>
      <c r="AU837" s="265"/>
      <c r="AV837" s="265"/>
      <c r="AW837" s="265"/>
      <c r="AX837" s="265"/>
      <c r="AY837" s="265"/>
      <c r="AZ837" s="265"/>
      <c r="BA837" s="265"/>
      <c r="BB837" s="265"/>
      <c r="BC837" s="265"/>
      <c r="BD837" s="265"/>
      <c r="BE837" s="265"/>
      <c r="BF837" s="265"/>
      <c r="BG837" s="265"/>
      <c r="BM837" s="6"/>
      <c r="BN837" s="6"/>
      <c r="BO837" s="6"/>
      <c r="BP837" s="1028"/>
      <c r="BT837" s="6"/>
      <c r="BU837" s="6"/>
      <c r="BV837" s="6"/>
      <c r="BW837" s="1029"/>
      <c r="BX837" s="1028"/>
      <c r="CB837" s="6"/>
      <c r="CC837" s="6"/>
      <c r="CD837" s="6"/>
      <c r="CE837" s="1029"/>
      <c r="CJ837" s="11"/>
      <c r="CM837" s="11"/>
      <c r="CU837" s="17"/>
      <c r="CV837" s="265"/>
      <c r="CW837" s="265"/>
      <c r="CY837" s="11"/>
      <c r="DA837" s="12"/>
      <c r="DB837" s="13"/>
      <c r="DC837" s="14"/>
      <c r="DD837" s="265"/>
      <c r="DE837" s="265"/>
      <c r="DF837" s="265"/>
      <c r="DH837" s="15"/>
      <c r="DM837" s="4"/>
    </row>
    <row r="838" spans="2:117" ht="15" customHeight="1">
      <c r="B838" s="10"/>
      <c r="C838" s="17"/>
      <c r="E838" s="25"/>
      <c r="F838" s="35"/>
      <c r="J838" s="20"/>
      <c r="K838" s="1024"/>
      <c r="L838" s="1025"/>
      <c r="M838" s="1026"/>
      <c r="N838" s="1026"/>
      <c r="O838" s="265"/>
      <c r="P838" s="265"/>
      <c r="T838" s="265"/>
      <c r="U838" s="265"/>
      <c r="V838" s="265"/>
      <c r="X838" s="1026"/>
      <c r="Y838" s="265"/>
      <c r="Z838" s="265"/>
      <c r="AA838" s="265"/>
      <c r="AD838" s="4"/>
      <c r="AE838" s="1026"/>
      <c r="AF838" s="265"/>
      <c r="AU838" s="265"/>
      <c r="AV838" s="265"/>
      <c r="AW838" s="265"/>
      <c r="AX838" s="265"/>
      <c r="AY838" s="265"/>
      <c r="AZ838" s="265"/>
      <c r="BA838" s="265"/>
      <c r="BB838" s="265"/>
      <c r="BC838" s="265"/>
      <c r="BD838" s="265"/>
      <c r="BE838" s="265"/>
      <c r="BF838" s="265"/>
      <c r="BG838" s="265"/>
      <c r="BM838" s="6"/>
      <c r="BN838" s="6"/>
      <c r="BO838" s="6"/>
      <c r="BP838" s="1028"/>
      <c r="BT838" s="6"/>
      <c r="BU838" s="6"/>
      <c r="BV838" s="6"/>
      <c r="BW838" s="1029"/>
      <c r="BX838" s="1028"/>
      <c r="CB838" s="6"/>
      <c r="CC838" s="6"/>
      <c r="CD838" s="6"/>
      <c r="CE838" s="1029"/>
      <c r="CJ838" s="11"/>
      <c r="CM838" s="11"/>
      <c r="CU838" s="17"/>
      <c r="CV838" s="265"/>
      <c r="CW838" s="265"/>
      <c r="CY838" s="11"/>
      <c r="DA838" s="12"/>
      <c r="DB838" s="13"/>
      <c r="DC838" s="14"/>
      <c r="DD838" s="265"/>
      <c r="DE838" s="265"/>
      <c r="DF838" s="265"/>
      <c r="DH838" s="15"/>
      <c r="DM838" s="4"/>
    </row>
    <row r="839" spans="2:117" ht="15" customHeight="1">
      <c r="B839" s="10"/>
      <c r="C839" s="17"/>
      <c r="E839" s="25"/>
      <c r="F839" s="35"/>
      <c r="J839" s="20"/>
      <c r="K839" s="1024"/>
      <c r="L839" s="1025"/>
      <c r="M839" s="1026"/>
      <c r="N839" s="1026"/>
      <c r="O839" s="265"/>
      <c r="P839" s="265"/>
      <c r="T839" s="265"/>
      <c r="U839" s="265"/>
      <c r="V839" s="265"/>
      <c r="X839" s="1026"/>
      <c r="Y839" s="265"/>
      <c r="Z839" s="265"/>
      <c r="AA839" s="265"/>
      <c r="AD839" s="4"/>
      <c r="AE839" s="1026"/>
      <c r="AF839" s="265"/>
      <c r="AU839" s="265"/>
      <c r="AV839" s="265"/>
      <c r="AW839" s="265"/>
      <c r="AX839" s="265"/>
      <c r="AY839" s="265"/>
      <c r="AZ839" s="265"/>
      <c r="BA839" s="265"/>
      <c r="BB839" s="265"/>
      <c r="BC839" s="265"/>
      <c r="BD839" s="265"/>
      <c r="BE839" s="265"/>
      <c r="BF839" s="265"/>
      <c r="BG839" s="265"/>
      <c r="BM839" s="6"/>
      <c r="BN839" s="6"/>
      <c r="BO839" s="6"/>
      <c r="BP839" s="1028"/>
      <c r="BT839" s="6"/>
      <c r="BU839" s="6"/>
      <c r="BV839" s="6"/>
      <c r="BW839" s="1029"/>
      <c r="BX839" s="1028"/>
      <c r="CB839" s="6"/>
      <c r="CC839" s="6"/>
      <c r="CD839" s="6"/>
      <c r="CE839" s="1029"/>
      <c r="CJ839" s="11"/>
      <c r="CM839" s="11"/>
      <c r="CU839" s="17"/>
      <c r="CV839" s="265"/>
      <c r="CW839" s="265"/>
      <c r="CY839" s="11"/>
      <c r="DA839" s="12"/>
      <c r="DB839" s="13"/>
      <c r="DC839" s="14"/>
      <c r="DD839" s="265"/>
      <c r="DE839" s="265"/>
      <c r="DF839" s="265"/>
      <c r="DH839" s="15"/>
      <c r="DM839" s="4"/>
    </row>
    <row r="840" spans="2:117" ht="15" customHeight="1">
      <c r="B840" s="10"/>
      <c r="C840" s="17"/>
      <c r="E840" s="25"/>
      <c r="F840" s="35"/>
      <c r="J840" s="20"/>
      <c r="K840" s="1024"/>
      <c r="L840" s="1025"/>
      <c r="M840" s="1026"/>
      <c r="N840" s="1026"/>
      <c r="O840" s="265"/>
      <c r="P840" s="265"/>
      <c r="T840" s="265"/>
      <c r="U840" s="265"/>
      <c r="V840" s="265"/>
      <c r="X840" s="1026"/>
      <c r="Y840" s="265"/>
      <c r="Z840" s="265"/>
      <c r="AA840" s="265"/>
      <c r="AD840" s="4"/>
      <c r="AE840" s="1026"/>
      <c r="AF840" s="265"/>
      <c r="AU840" s="265"/>
      <c r="AV840" s="265"/>
      <c r="AW840" s="265"/>
      <c r="AX840" s="265"/>
      <c r="AY840" s="265"/>
      <c r="AZ840" s="265"/>
      <c r="BA840" s="265"/>
      <c r="BB840" s="265"/>
      <c r="BC840" s="265"/>
      <c r="BD840" s="265"/>
      <c r="BE840" s="265"/>
      <c r="BF840" s="265"/>
      <c r="BG840" s="265"/>
      <c r="BM840" s="6"/>
      <c r="BN840" s="6"/>
      <c r="BO840" s="6"/>
      <c r="BP840" s="1028"/>
      <c r="BT840" s="6"/>
      <c r="BU840" s="6"/>
      <c r="BV840" s="6"/>
      <c r="BW840" s="1029"/>
      <c r="BX840" s="1028"/>
      <c r="CB840" s="6"/>
      <c r="CC840" s="6"/>
      <c r="CD840" s="6"/>
      <c r="CE840" s="1029"/>
      <c r="CJ840" s="11"/>
      <c r="CM840" s="11"/>
      <c r="CU840" s="17"/>
      <c r="CV840" s="265"/>
      <c r="CW840" s="265"/>
      <c r="CY840" s="11"/>
      <c r="DA840" s="12"/>
      <c r="DB840" s="13"/>
      <c r="DC840" s="14"/>
      <c r="DD840" s="265"/>
      <c r="DE840" s="265"/>
      <c r="DF840" s="265"/>
      <c r="DH840" s="15"/>
      <c r="DM840" s="4"/>
    </row>
    <row r="841" spans="2:117" ht="15" customHeight="1">
      <c r="B841" s="10"/>
      <c r="C841" s="17"/>
      <c r="E841" s="25"/>
      <c r="F841" s="35"/>
      <c r="J841" s="20"/>
      <c r="K841" s="1024"/>
      <c r="L841" s="1025"/>
      <c r="M841" s="1026"/>
      <c r="N841" s="1026"/>
      <c r="O841" s="265"/>
      <c r="P841" s="265"/>
      <c r="T841" s="265"/>
      <c r="U841" s="265"/>
      <c r="V841" s="265"/>
      <c r="X841" s="1026"/>
      <c r="Y841" s="265"/>
      <c r="Z841" s="265"/>
      <c r="AA841" s="265"/>
      <c r="AD841" s="4"/>
      <c r="AE841" s="1026"/>
      <c r="AF841" s="265"/>
      <c r="AU841" s="265"/>
      <c r="AV841" s="265"/>
      <c r="AW841" s="265"/>
      <c r="AX841" s="265"/>
      <c r="AY841" s="265"/>
      <c r="AZ841" s="265"/>
      <c r="BA841" s="265"/>
      <c r="BB841" s="265"/>
      <c r="BC841" s="265"/>
      <c r="BD841" s="265"/>
      <c r="BE841" s="265"/>
      <c r="BF841" s="265"/>
      <c r="BG841" s="265"/>
      <c r="BM841" s="6"/>
      <c r="BN841" s="6"/>
      <c r="BO841" s="6"/>
      <c r="BP841" s="1028"/>
      <c r="BT841" s="6"/>
      <c r="BU841" s="6"/>
      <c r="BV841" s="6"/>
      <c r="BW841" s="1029"/>
      <c r="BX841" s="1028"/>
      <c r="CB841" s="6"/>
      <c r="CC841" s="6"/>
      <c r="CD841" s="6"/>
      <c r="CE841" s="1029"/>
      <c r="CJ841" s="11"/>
      <c r="CM841" s="11"/>
      <c r="CU841" s="17"/>
      <c r="CV841" s="265"/>
      <c r="CW841" s="265"/>
      <c r="CY841" s="11"/>
      <c r="DA841" s="12"/>
      <c r="DB841" s="13"/>
      <c r="DC841" s="14"/>
      <c r="DD841" s="265"/>
      <c r="DE841" s="265"/>
      <c r="DF841" s="265"/>
      <c r="DH841" s="15"/>
      <c r="DM841" s="4"/>
    </row>
    <row r="842" spans="2:117" ht="15" customHeight="1">
      <c r="B842" s="10"/>
      <c r="C842" s="17"/>
      <c r="E842" s="25"/>
      <c r="F842" s="35"/>
      <c r="J842" s="20"/>
      <c r="K842" s="1024"/>
      <c r="L842" s="1025"/>
      <c r="M842" s="1026"/>
      <c r="N842" s="1026"/>
      <c r="O842" s="265"/>
      <c r="P842" s="265"/>
      <c r="T842" s="265"/>
      <c r="U842" s="265"/>
      <c r="V842" s="265"/>
      <c r="X842" s="1026"/>
      <c r="Y842" s="265"/>
      <c r="Z842" s="265"/>
      <c r="AA842" s="265"/>
      <c r="AD842" s="4"/>
      <c r="AE842" s="1026"/>
      <c r="AF842" s="265"/>
      <c r="AU842" s="265"/>
      <c r="AV842" s="265"/>
      <c r="AW842" s="265"/>
      <c r="AX842" s="265"/>
      <c r="AY842" s="265"/>
      <c r="AZ842" s="265"/>
      <c r="BA842" s="265"/>
      <c r="BB842" s="265"/>
      <c r="BC842" s="265"/>
      <c r="BD842" s="265"/>
      <c r="BE842" s="265"/>
      <c r="BF842" s="265"/>
      <c r="BG842" s="265"/>
      <c r="BM842" s="6"/>
      <c r="BN842" s="6"/>
      <c r="BO842" s="6"/>
      <c r="BP842" s="1028"/>
      <c r="BT842" s="6"/>
      <c r="BU842" s="6"/>
      <c r="BV842" s="6"/>
      <c r="BW842" s="1029"/>
      <c r="BX842" s="1028"/>
      <c r="CB842" s="6"/>
      <c r="CC842" s="6"/>
      <c r="CD842" s="6"/>
      <c r="CE842" s="1029"/>
      <c r="CJ842" s="11"/>
      <c r="CM842" s="11"/>
      <c r="CU842" s="17"/>
      <c r="CV842" s="265"/>
      <c r="CW842" s="265"/>
      <c r="CY842" s="11"/>
      <c r="DA842" s="12"/>
      <c r="DB842" s="13"/>
      <c r="DC842" s="14"/>
      <c r="DD842" s="265"/>
      <c r="DE842" s="265"/>
      <c r="DF842" s="265"/>
      <c r="DH842" s="15"/>
      <c r="DM842" s="4"/>
    </row>
    <row r="843" spans="2:117" ht="15" customHeight="1">
      <c r="B843" s="10"/>
      <c r="C843" s="17"/>
      <c r="E843" s="25"/>
      <c r="F843" s="35"/>
      <c r="J843" s="20"/>
      <c r="K843" s="1024"/>
      <c r="L843" s="1025"/>
      <c r="M843" s="1026"/>
      <c r="N843" s="1026"/>
      <c r="O843" s="265"/>
      <c r="P843" s="265"/>
      <c r="T843" s="265"/>
      <c r="U843" s="265"/>
      <c r="V843" s="265"/>
      <c r="X843" s="1026"/>
      <c r="Y843" s="265"/>
      <c r="Z843" s="265"/>
      <c r="AA843" s="265"/>
      <c r="AD843" s="4"/>
      <c r="AE843" s="1026"/>
      <c r="AF843" s="265"/>
      <c r="AU843" s="265"/>
      <c r="AV843" s="265"/>
      <c r="AW843" s="265"/>
      <c r="AX843" s="265"/>
      <c r="AY843" s="265"/>
      <c r="AZ843" s="265"/>
      <c r="BA843" s="265"/>
      <c r="BB843" s="265"/>
      <c r="BC843" s="265"/>
      <c r="BD843" s="265"/>
      <c r="BE843" s="265"/>
      <c r="BF843" s="265"/>
      <c r="BG843" s="265"/>
      <c r="BM843" s="6"/>
      <c r="BN843" s="6"/>
      <c r="BO843" s="6"/>
      <c r="BP843" s="1028"/>
      <c r="BT843" s="6"/>
      <c r="BU843" s="6"/>
      <c r="BV843" s="6"/>
      <c r="BW843" s="1029"/>
      <c r="BX843" s="1028"/>
      <c r="CB843" s="6"/>
      <c r="CC843" s="6"/>
      <c r="CD843" s="6"/>
      <c r="CE843" s="1029"/>
      <c r="CJ843" s="11"/>
      <c r="CM843" s="11"/>
      <c r="CU843" s="17"/>
      <c r="CV843" s="265"/>
      <c r="CW843" s="265"/>
      <c r="CY843" s="11"/>
      <c r="DA843" s="12"/>
      <c r="DB843" s="13"/>
      <c r="DC843" s="14"/>
      <c r="DD843" s="265"/>
      <c r="DE843" s="265"/>
      <c r="DF843" s="265"/>
      <c r="DH843" s="15"/>
      <c r="DM843" s="4"/>
    </row>
    <row r="844" spans="2:117" ht="15" customHeight="1">
      <c r="B844" s="10"/>
      <c r="C844" s="17"/>
      <c r="E844" s="25"/>
      <c r="F844" s="35"/>
      <c r="J844" s="20"/>
      <c r="K844" s="1024"/>
      <c r="L844" s="1025"/>
      <c r="M844" s="1026"/>
      <c r="N844" s="1026"/>
      <c r="O844" s="265"/>
      <c r="P844" s="265"/>
      <c r="T844" s="265"/>
      <c r="U844" s="265"/>
      <c r="V844" s="265"/>
      <c r="X844" s="1026"/>
      <c r="Y844" s="265"/>
      <c r="Z844" s="265"/>
      <c r="AA844" s="265"/>
      <c r="AD844" s="4"/>
      <c r="AE844" s="1026"/>
      <c r="AF844" s="265"/>
      <c r="AU844" s="265"/>
      <c r="AV844" s="265"/>
      <c r="AW844" s="265"/>
      <c r="AX844" s="265"/>
      <c r="AY844" s="265"/>
      <c r="AZ844" s="265"/>
      <c r="BA844" s="265"/>
      <c r="BB844" s="265"/>
      <c r="BC844" s="265"/>
      <c r="BD844" s="265"/>
      <c r="BE844" s="265"/>
      <c r="BF844" s="265"/>
      <c r="BG844" s="265"/>
      <c r="BM844" s="6"/>
      <c r="BN844" s="6"/>
      <c r="BO844" s="6"/>
      <c r="BP844" s="1028"/>
      <c r="BT844" s="6"/>
      <c r="BU844" s="6"/>
      <c r="BV844" s="6"/>
      <c r="BW844" s="1029"/>
      <c r="BX844" s="1028"/>
      <c r="CB844" s="6"/>
      <c r="CC844" s="6"/>
      <c r="CD844" s="6"/>
      <c r="CE844" s="1029"/>
      <c r="CJ844" s="11"/>
      <c r="CM844" s="11"/>
      <c r="CU844" s="17"/>
      <c r="CV844" s="265"/>
      <c r="CW844" s="265"/>
      <c r="CY844" s="11"/>
      <c r="DA844" s="12"/>
      <c r="DB844" s="13"/>
      <c r="DC844" s="14"/>
      <c r="DD844" s="265"/>
      <c r="DE844" s="265"/>
      <c r="DF844" s="265"/>
      <c r="DH844" s="15"/>
      <c r="DM844" s="4"/>
    </row>
    <row r="845" spans="2:117" ht="15" customHeight="1">
      <c r="B845" s="10"/>
      <c r="C845" s="17"/>
      <c r="E845" s="25"/>
      <c r="F845" s="35"/>
      <c r="J845" s="20"/>
      <c r="K845" s="1024"/>
      <c r="L845" s="1025"/>
      <c r="M845" s="1026"/>
      <c r="N845" s="1026"/>
      <c r="O845" s="265"/>
      <c r="P845" s="265"/>
      <c r="T845" s="265"/>
      <c r="U845" s="265"/>
      <c r="V845" s="265"/>
      <c r="X845" s="1026"/>
      <c r="Y845" s="265"/>
      <c r="Z845" s="265"/>
      <c r="AA845" s="265"/>
      <c r="AD845" s="4"/>
      <c r="AE845" s="1026"/>
      <c r="AF845" s="265"/>
      <c r="AU845" s="265"/>
      <c r="AV845" s="265"/>
      <c r="AW845" s="265"/>
      <c r="AX845" s="265"/>
      <c r="AY845" s="265"/>
      <c r="AZ845" s="265"/>
      <c r="BA845" s="265"/>
      <c r="BB845" s="265"/>
      <c r="BC845" s="265"/>
      <c r="BD845" s="265"/>
      <c r="BE845" s="265"/>
      <c r="BF845" s="265"/>
      <c r="BG845" s="265"/>
      <c r="BM845" s="6"/>
      <c r="BN845" s="6"/>
      <c r="BO845" s="6"/>
      <c r="BP845" s="1028"/>
      <c r="BT845" s="6"/>
      <c r="BU845" s="6"/>
      <c r="BV845" s="6"/>
      <c r="BW845" s="1029"/>
      <c r="BX845" s="1028"/>
      <c r="CB845" s="6"/>
      <c r="CC845" s="6"/>
      <c r="CD845" s="6"/>
      <c r="CE845" s="1029"/>
      <c r="CJ845" s="11"/>
      <c r="CM845" s="11"/>
      <c r="CU845" s="17"/>
      <c r="CV845" s="265"/>
      <c r="CW845" s="265"/>
      <c r="CY845" s="11"/>
      <c r="DA845" s="12"/>
      <c r="DB845" s="13"/>
      <c r="DC845" s="14"/>
      <c r="DD845" s="265"/>
      <c r="DE845" s="265"/>
      <c r="DF845" s="265"/>
      <c r="DH845" s="15"/>
      <c r="DM845" s="4"/>
    </row>
    <row r="846" spans="2:117" ht="15" customHeight="1">
      <c r="B846" s="10"/>
      <c r="C846" s="17"/>
      <c r="E846" s="25"/>
      <c r="F846" s="35"/>
      <c r="J846" s="20"/>
      <c r="K846" s="1024"/>
      <c r="L846" s="1025"/>
      <c r="M846" s="1026"/>
      <c r="N846" s="1026"/>
      <c r="O846" s="265"/>
      <c r="P846" s="265"/>
      <c r="T846" s="265"/>
      <c r="U846" s="265"/>
      <c r="V846" s="265"/>
      <c r="X846" s="1026"/>
      <c r="Y846" s="265"/>
      <c r="Z846" s="265"/>
      <c r="AA846" s="265"/>
      <c r="AD846" s="4"/>
      <c r="AE846" s="1026"/>
      <c r="AF846" s="265"/>
      <c r="AU846" s="265"/>
      <c r="AV846" s="265"/>
      <c r="AW846" s="265"/>
      <c r="AX846" s="265"/>
      <c r="AY846" s="265"/>
      <c r="AZ846" s="265"/>
      <c r="BA846" s="265"/>
      <c r="BB846" s="265"/>
      <c r="BC846" s="265"/>
      <c r="BD846" s="265"/>
      <c r="BE846" s="265"/>
      <c r="BF846" s="265"/>
      <c r="BG846" s="265"/>
      <c r="BM846" s="6"/>
      <c r="BN846" s="6"/>
      <c r="BO846" s="6"/>
      <c r="BP846" s="1028"/>
      <c r="BT846" s="6"/>
      <c r="BU846" s="6"/>
      <c r="BV846" s="6"/>
      <c r="BW846" s="1029"/>
      <c r="BX846" s="1028"/>
      <c r="CB846" s="6"/>
      <c r="CC846" s="6"/>
      <c r="CD846" s="6"/>
      <c r="CE846" s="1029"/>
      <c r="CJ846" s="11"/>
      <c r="CM846" s="11"/>
      <c r="CU846" s="17"/>
      <c r="CV846" s="265"/>
      <c r="CW846" s="265"/>
      <c r="CY846" s="11"/>
      <c r="DA846" s="12"/>
      <c r="DB846" s="13"/>
      <c r="DC846" s="14"/>
      <c r="DD846" s="265"/>
      <c r="DE846" s="265"/>
      <c r="DF846" s="265"/>
      <c r="DH846" s="15"/>
      <c r="DM846" s="4"/>
    </row>
    <row r="847" spans="2:117" ht="15" customHeight="1">
      <c r="B847" s="10"/>
      <c r="C847" s="17"/>
      <c r="E847" s="25"/>
      <c r="F847" s="35"/>
      <c r="J847" s="20"/>
      <c r="K847" s="1024"/>
      <c r="L847" s="1025"/>
      <c r="M847" s="1026"/>
      <c r="N847" s="1026"/>
      <c r="O847" s="265"/>
      <c r="P847" s="265"/>
      <c r="T847" s="265"/>
      <c r="U847" s="265"/>
      <c r="V847" s="265"/>
      <c r="X847" s="1026"/>
      <c r="Y847" s="265"/>
      <c r="Z847" s="265"/>
      <c r="AA847" s="265"/>
      <c r="AD847" s="4"/>
      <c r="AE847" s="1026"/>
      <c r="AF847" s="265"/>
      <c r="AU847" s="265"/>
      <c r="AV847" s="265"/>
      <c r="AW847" s="265"/>
      <c r="AX847" s="265"/>
      <c r="AY847" s="265"/>
      <c r="AZ847" s="265"/>
      <c r="BA847" s="265"/>
      <c r="BB847" s="265"/>
      <c r="BC847" s="265"/>
      <c r="BD847" s="265"/>
      <c r="BE847" s="265"/>
      <c r="BF847" s="265"/>
      <c r="BG847" s="265"/>
      <c r="BM847" s="6"/>
      <c r="BN847" s="6"/>
      <c r="BO847" s="6"/>
      <c r="BP847" s="1028"/>
      <c r="BT847" s="6"/>
      <c r="BU847" s="6"/>
      <c r="BV847" s="6"/>
      <c r="BW847" s="1029"/>
      <c r="BX847" s="1028"/>
      <c r="CB847" s="6"/>
      <c r="CC847" s="6"/>
      <c r="CD847" s="6"/>
      <c r="CE847" s="1029"/>
      <c r="CJ847" s="11"/>
      <c r="CM847" s="11"/>
      <c r="CU847" s="17"/>
      <c r="CV847" s="265"/>
      <c r="CW847" s="265"/>
      <c r="CY847" s="11"/>
      <c r="DA847" s="12"/>
      <c r="DB847" s="13"/>
      <c r="DC847" s="14"/>
      <c r="DD847" s="265"/>
      <c r="DE847" s="265"/>
      <c r="DF847" s="265"/>
      <c r="DH847" s="15"/>
      <c r="DM847" s="4"/>
    </row>
    <row r="848" spans="2:117" ht="15" customHeight="1">
      <c r="B848" s="10"/>
      <c r="C848" s="17"/>
      <c r="E848" s="25"/>
      <c r="F848" s="35"/>
      <c r="J848" s="20"/>
      <c r="K848" s="1024"/>
      <c r="L848" s="1025"/>
      <c r="M848" s="1026"/>
      <c r="N848" s="1026"/>
      <c r="O848" s="265"/>
      <c r="P848" s="265"/>
      <c r="T848" s="265"/>
      <c r="U848" s="265"/>
      <c r="V848" s="265"/>
      <c r="X848" s="1026"/>
      <c r="Y848" s="265"/>
      <c r="Z848" s="265"/>
      <c r="AA848" s="265"/>
      <c r="AD848" s="4"/>
      <c r="AE848" s="1026"/>
      <c r="AF848" s="265"/>
      <c r="AU848" s="265"/>
      <c r="AV848" s="265"/>
      <c r="AW848" s="265"/>
      <c r="AX848" s="265"/>
      <c r="AY848" s="265"/>
      <c r="AZ848" s="265"/>
      <c r="BA848" s="265"/>
      <c r="BB848" s="265"/>
      <c r="BC848" s="265"/>
      <c r="BD848" s="265"/>
      <c r="BE848" s="265"/>
      <c r="BF848" s="265"/>
      <c r="BG848" s="265"/>
      <c r="BM848" s="6"/>
      <c r="BN848" s="6"/>
      <c r="BO848" s="6"/>
      <c r="BP848" s="1028"/>
      <c r="BT848" s="6"/>
      <c r="BU848" s="6"/>
      <c r="BV848" s="6"/>
      <c r="BW848" s="1029"/>
      <c r="BX848" s="1028"/>
      <c r="CB848" s="6"/>
      <c r="CC848" s="6"/>
      <c r="CD848" s="6"/>
      <c r="CE848" s="1029"/>
      <c r="CJ848" s="11"/>
      <c r="CM848" s="11"/>
      <c r="CU848" s="17"/>
      <c r="CV848" s="265"/>
      <c r="CW848" s="265"/>
      <c r="CY848" s="11"/>
      <c r="DA848" s="12"/>
      <c r="DB848" s="13"/>
      <c r="DC848" s="14"/>
      <c r="DD848" s="265"/>
      <c r="DE848" s="265"/>
      <c r="DF848" s="265"/>
      <c r="DH848" s="15"/>
      <c r="DM848" s="4"/>
    </row>
    <row r="849" spans="2:117" ht="15" customHeight="1">
      <c r="B849" s="10"/>
      <c r="C849" s="17"/>
      <c r="E849" s="25"/>
      <c r="F849" s="35"/>
      <c r="J849" s="20"/>
      <c r="K849" s="1024"/>
      <c r="L849" s="1025"/>
      <c r="M849" s="1026"/>
      <c r="N849" s="1026"/>
      <c r="O849" s="265"/>
      <c r="P849" s="265"/>
      <c r="T849" s="265"/>
      <c r="U849" s="265"/>
      <c r="V849" s="265"/>
      <c r="X849" s="1026"/>
      <c r="Y849" s="265"/>
      <c r="Z849" s="265"/>
      <c r="AA849" s="265"/>
      <c r="AD849" s="4"/>
      <c r="AE849" s="1026"/>
      <c r="AF849" s="265"/>
      <c r="AU849" s="265"/>
      <c r="AV849" s="265"/>
      <c r="AW849" s="265"/>
      <c r="AX849" s="265"/>
      <c r="AY849" s="265"/>
      <c r="AZ849" s="265"/>
      <c r="BA849" s="265"/>
      <c r="BB849" s="265"/>
      <c r="BC849" s="265"/>
      <c r="BD849" s="265"/>
      <c r="BE849" s="265"/>
      <c r="BF849" s="265"/>
      <c r="BG849" s="265"/>
      <c r="BM849" s="6"/>
      <c r="BN849" s="6"/>
      <c r="BO849" s="6"/>
      <c r="BP849" s="1028"/>
      <c r="BT849" s="6"/>
      <c r="BU849" s="6"/>
      <c r="BV849" s="6"/>
      <c r="BW849" s="1029"/>
      <c r="BX849" s="1028"/>
      <c r="CB849" s="6"/>
      <c r="CC849" s="6"/>
      <c r="CD849" s="6"/>
      <c r="CE849" s="1029"/>
      <c r="CJ849" s="11"/>
      <c r="CM849" s="11"/>
      <c r="CU849" s="17"/>
      <c r="CV849" s="265"/>
      <c r="CW849" s="265"/>
      <c r="CY849" s="11"/>
      <c r="DA849" s="12"/>
      <c r="DB849" s="13"/>
      <c r="DC849" s="14"/>
      <c r="DD849" s="265"/>
      <c r="DE849" s="265"/>
      <c r="DF849" s="265"/>
      <c r="DH849" s="15"/>
      <c r="DM849" s="4"/>
    </row>
    <row r="850" spans="2:117" ht="15" customHeight="1">
      <c r="B850" s="10"/>
      <c r="C850" s="17"/>
      <c r="E850" s="25"/>
      <c r="F850" s="35"/>
      <c r="J850" s="20"/>
      <c r="K850" s="1024"/>
      <c r="L850" s="1025"/>
      <c r="M850" s="1026"/>
      <c r="N850" s="1026"/>
      <c r="O850" s="265"/>
      <c r="P850" s="265"/>
      <c r="T850" s="265"/>
      <c r="U850" s="265"/>
      <c r="V850" s="265"/>
      <c r="X850" s="1026"/>
      <c r="Y850" s="265"/>
      <c r="Z850" s="265"/>
      <c r="AA850" s="265"/>
      <c r="AD850" s="4"/>
      <c r="AE850" s="1026"/>
      <c r="AF850" s="265"/>
      <c r="AU850" s="265"/>
      <c r="AV850" s="265"/>
      <c r="AW850" s="265"/>
      <c r="AX850" s="265"/>
      <c r="AY850" s="265"/>
      <c r="AZ850" s="265"/>
      <c r="BA850" s="265"/>
      <c r="BB850" s="265"/>
      <c r="BC850" s="265"/>
      <c r="BD850" s="265"/>
      <c r="BE850" s="265"/>
      <c r="BF850" s="265"/>
      <c r="BG850" s="265"/>
      <c r="BM850" s="6"/>
      <c r="BN850" s="6"/>
      <c r="BO850" s="6"/>
      <c r="BP850" s="1028"/>
      <c r="BT850" s="6"/>
      <c r="BU850" s="6"/>
      <c r="BV850" s="6"/>
      <c r="BW850" s="1029"/>
      <c r="BX850" s="1028"/>
      <c r="CB850" s="6"/>
      <c r="CC850" s="6"/>
      <c r="CD850" s="6"/>
      <c r="CE850" s="1029"/>
      <c r="CJ850" s="11"/>
      <c r="CM850" s="11"/>
      <c r="CU850" s="17"/>
      <c r="CV850" s="265"/>
      <c r="CW850" s="265"/>
      <c r="CY850" s="11"/>
      <c r="DA850" s="12"/>
      <c r="DB850" s="13"/>
      <c r="DC850" s="14"/>
      <c r="DD850" s="265"/>
      <c r="DE850" s="265"/>
      <c r="DF850" s="265"/>
      <c r="DH850" s="15"/>
      <c r="DM850" s="4"/>
    </row>
    <row r="851" spans="2:117" ht="15" customHeight="1">
      <c r="B851" s="10"/>
      <c r="C851" s="17"/>
      <c r="E851" s="25"/>
      <c r="F851" s="35"/>
      <c r="J851" s="20"/>
      <c r="K851" s="1024"/>
      <c r="L851" s="1025"/>
      <c r="M851" s="1026"/>
      <c r="N851" s="1026"/>
      <c r="O851" s="265"/>
      <c r="P851" s="265"/>
      <c r="T851" s="265"/>
      <c r="U851" s="265"/>
      <c r="V851" s="265"/>
      <c r="X851" s="1026"/>
      <c r="Y851" s="265"/>
      <c r="Z851" s="265"/>
      <c r="AA851" s="265"/>
      <c r="AD851" s="4"/>
      <c r="AE851" s="1026"/>
      <c r="AF851" s="265"/>
      <c r="AU851" s="265"/>
      <c r="AV851" s="265"/>
      <c r="AW851" s="265"/>
      <c r="AX851" s="265"/>
      <c r="AY851" s="265"/>
      <c r="AZ851" s="265"/>
      <c r="BA851" s="265"/>
      <c r="BB851" s="265"/>
      <c r="BC851" s="265"/>
      <c r="BD851" s="265"/>
      <c r="BE851" s="265"/>
      <c r="BF851" s="265"/>
      <c r="BG851" s="265"/>
      <c r="BM851" s="6"/>
      <c r="BN851" s="6"/>
      <c r="BO851" s="6"/>
      <c r="BP851" s="1028"/>
      <c r="BT851" s="6"/>
      <c r="BU851" s="6"/>
      <c r="BV851" s="6"/>
      <c r="BW851" s="1029"/>
      <c r="BX851" s="1028"/>
      <c r="CB851" s="6"/>
      <c r="CC851" s="6"/>
      <c r="CD851" s="6"/>
      <c r="CE851" s="1029"/>
      <c r="CJ851" s="11"/>
      <c r="CM851" s="11"/>
      <c r="CU851" s="17"/>
      <c r="CV851" s="265"/>
      <c r="CW851" s="265"/>
      <c r="CY851" s="11"/>
      <c r="DA851" s="12"/>
      <c r="DB851" s="13"/>
      <c r="DC851" s="14"/>
      <c r="DD851" s="265"/>
      <c r="DE851" s="265"/>
      <c r="DF851" s="265"/>
      <c r="DH851" s="15"/>
      <c r="DM851" s="4"/>
    </row>
    <row r="852" spans="2:117" ht="15" customHeight="1">
      <c r="B852" s="10"/>
      <c r="C852" s="17"/>
      <c r="E852" s="25"/>
      <c r="F852" s="35"/>
      <c r="J852" s="20"/>
      <c r="K852" s="1024"/>
      <c r="L852" s="1025"/>
      <c r="M852" s="1026"/>
      <c r="N852" s="1026"/>
      <c r="O852" s="265"/>
      <c r="P852" s="265"/>
      <c r="T852" s="265"/>
      <c r="U852" s="265"/>
      <c r="V852" s="265"/>
      <c r="X852" s="1026"/>
      <c r="Y852" s="265"/>
      <c r="Z852" s="265"/>
      <c r="AA852" s="265"/>
      <c r="AD852" s="4"/>
      <c r="AE852" s="1026"/>
      <c r="AF852" s="265"/>
      <c r="AU852" s="265"/>
      <c r="AV852" s="265"/>
      <c r="AW852" s="265"/>
      <c r="AX852" s="265"/>
      <c r="AY852" s="265"/>
      <c r="AZ852" s="265"/>
      <c r="BA852" s="265"/>
      <c r="BB852" s="265"/>
      <c r="BC852" s="265"/>
      <c r="BD852" s="265"/>
      <c r="BE852" s="265"/>
      <c r="BF852" s="265"/>
      <c r="BG852" s="265"/>
      <c r="BM852" s="6"/>
      <c r="BN852" s="6"/>
      <c r="BO852" s="6"/>
      <c r="BP852" s="1028"/>
      <c r="BT852" s="6"/>
      <c r="BU852" s="6"/>
      <c r="BV852" s="6"/>
      <c r="BW852" s="1029"/>
      <c r="BX852" s="1028"/>
      <c r="CB852" s="6"/>
      <c r="CC852" s="6"/>
      <c r="CD852" s="6"/>
      <c r="CE852" s="1029"/>
      <c r="CJ852" s="11"/>
      <c r="CM852" s="11"/>
      <c r="CU852" s="17"/>
      <c r="CV852" s="265"/>
      <c r="CW852" s="265"/>
      <c r="CY852" s="11"/>
      <c r="DA852" s="12"/>
      <c r="DB852" s="13"/>
      <c r="DC852" s="14"/>
      <c r="DD852" s="265"/>
      <c r="DE852" s="265"/>
      <c r="DF852" s="265"/>
      <c r="DH852" s="15"/>
      <c r="DM852" s="4"/>
    </row>
    <row r="853" spans="2:117" ht="15" customHeight="1">
      <c r="B853" s="10"/>
      <c r="C853" s="17"/>
      <c r="E853" s="25"/>
      <c r="F853" s="35"/>
      <c r="J853" s="20"/>
      <c r="K853" s="1024"/>
      <c r="L853" s="1025"/>
      <c r="M853" s="1026"/>
      <c r="N853" s="1026"/>
      <c r="O853" s="265"/>
      <c r="P853" s="265"/>
      <c r="T853" s="265"/>
      <c r="U853" s="265"/>
      <c r="V853" s="265"/>
      <c r="X853" s="1026"/>
      <c r="Y853" s="265"/>
      <c r="Z853" s="265"/>
      <c r="AA853" s="265"/>
      <c r="AD853" s="4"/>
      <c r="AE853" s="1026"/>
      <c r="AF853" s="265"/>
      <c r="AU853" s="265"/>
      <c r="AV853" s="265"/>
      <c r="AW853" s="265"/>
      <c r="AX853" s="265"/>
      <c r="AY853" s="265"/>
      <c r="AZ853" s="265"/>
      <c r="BA853" s="265"/>
      <c r="BB853" s="265"/>
      <c r="BC853" s="265"/>
      <c r="BD853" s="265"/>
      <c r="BE853" s="265"/>
      <c r="BF853" s="265"/>
      <c r="BG853" s="265"/>
      <c r="BM853" s="6"/>
      <c r="BN853" s="6"/>
      <c r="BO853" s="6"/>
      <c r="BP853" s="1028"/>
      <c r="BT853" s="6"/>
      <c r="BU853" s="6"/>
      <c r="BV853" s="6"/>
      <c r="BW853" s="1029"/>
      <c r="BX853" s="1028"/>
      <c r="CB853" s="6"/>
      <c r="CC853" s="6"/>
      <c r="CD853" s="6"/>
      <c r="CE853" s="1029"/>
      <c r="CJ853" s="11"/>
      <c r="CM853" s="11"/>
      <c r="CU853" s="17"/>
      <c r="CV853" s="265"/>
      <c r="CW853" s="265"/>
      <c r="CY853" s="11"/>
      <c r="DA853" s="12"/>
      <c r="DB853" s="13"/>
      <c r="DC853" s="14"/>
      <c r="DD853" s="265"/>
      <c r="DE853" s="265"/>
      <c r="DF853" s="265"/>
      <c r="DH853" s="15"/>
      <c r="DM853" s="4"/>
    </row>
    <row r="854" spans="2:117" ht="15" customHeight="1">
      <c r="B854" s="10"/>
      <c r="C854" s="17"/>
      <c r="E854" s="25"/>
      <c r="F854" s="35"/>
      <c r="J854" s="20"/>
      <c r="K854" s="1024"/>
      <c r="L854" s="1025"/>
      <c r="M854" s="1026"/>
      <c r="N854" s="1026"/>
      <c r="O854" s="265"/>
      <c r="P854" s="265"/>
      <c r="T854" s="265"/>
      <c r="U854" s="265"/>
      <c r="V854" s="265"/>
      <c r="X854" s="1026"/>
      <c r="Y854" s="265"/>
      <c r="Z854" s="265"/>
      <c r="AA854" s="265"/>
      <c r="AD854" s="4"/>
      <c r="AE854" s="1026"/>
      <c r="AF854" s="265"/>
      <c r="AU854" s="265"/>
      <c r="AV854" s="265"/>
      <c r="AW854" s="265"/>
      <c r="AX854" s="265"/>
      <c r="AY854" s="265"/>
      <c r="AZ854" s="265"/>
      <c r="BA854" s="265"/>
      <c r="BB854" s="265"/>
      <c r="BC854" s="265"/>
      <c r="BD854" s="265"/>
      <c r="BE854" s="265"/>
      <c r="BF854" s="265"/>
      <c r="BG854" s="265"/>
      <c r="BM854" s="6"/>
      <c r="BN854" s="6"/>
      <c r="BO854" s="6"/>
      <c r="BP854" s="1028"/>
      <c r="BT854" s="6"/>
      <c r="BU854" s="6"/>
      <c r="BV854" s="6"/>
      <c r="BW854" s="1029"/>
      <c r="BX854" s="1028"/>
      <c r="CB854" s="6"/>
      <c r="CC854" s="6"/>
      <c r="CD854" s="6"/>
      <c r="CE854" s="1029"/>
      <c r="CJ854" s="11"/>
      <c r="CM854" s="11"/>
      <c r="CU854" s="17"/>
      <c r="CV854" s="265"/>
      <c r="CW854" s="265"/>
      <c r="CY854" s="11"/>
      <c r="DA854" s="12"/>
      <c r="DB854" s="13"/>
      <c r="DC854" s="14"/>
      <c r="DD854" s="265"/>
      <c r="DE854" s="265"/>
      <c r="DF854" s="265"/>
      <c r="DH854" s="15"/>
      <c r="DM854" s="4"/>
    </row>
    <row r="855" spans="2:117" ht="15" customHeight="1">
      <c r="B855" s="10"/>
      <c r="C855" s="17"/>
      <c r="E855" s="25"/>
      <c r="F855" s="35"/>
      <c r="J855" s="20"/>
      <c r="K855" s="1024"/>
      <c r="L855" s="1025"/>
      <c r="M855" s="1026"/>
      <c r="N855" s="1026"/>
      <c r="O855" s="265"/>
      <c r="P855" s="265"/>
      <c r="T855" s="265"/>
      <c r="U855" s="265"/>
      <c r="V855" s="265"/>
      <c r="X855" s="1026"/>
      <c r="Y855" s="265"/>
      <c r="Z855" s="265"/>
      <c r="AA855" s="265"/>
      <c r="AD855" s="4"/>
      <c r="AE855" s="1026"/>
      <c r="AF855" s="265"/>
      <c r="AU855" s="265"/>
      <c r="AV855" s="265"/>
      <c r="AW855" s="265"/>
      <c r="AX855" s="265"/>
      <c r="AY855" s="265"/>
      <c r="AZ855" s="265"/>
      <c r="BA855" s="265"/>
      <c r="BB855" s="265"/>
      <c r="BC855" s="265"/>
      <c r="BD855" s="265"/>
      <c r="BE855" s="265"/>
      <c r="BF855" s="265"/>
      <c r="BG855" s="265"/>
      <c r="BM855" s="6"/>
      <c r="BN855" s="6"/>
      <c r="BO855" s="6"/>
      <c r="BP855" s="1028"/>
      <c r="BT855" s="6"/>
      <c r="BU855" s="6"/>
      <c r="BV855" s="6"/>
      <c r="BW855" s="1029"/>
      <c r="BX855" s="1028"/>
      <c r="CB855" s="6"/>
      <c r="CC855" s="6"/>
      <c r="CD855" s="6"/>
      <c r="CE855" s="1029"/>
      <c r="CJ855" s="11"/>
      <c r="CM855" s="11"/>
      <c r="CU855" s="17"/>
      <c r="CV855" s="265"/>
      <c r="CW855" s="265"/>
      <c r="CY855" s="11"/>
      <c r="DA855" s="12"/>
      <c r="DB855" s="13"/>
      <c r="DC855" s="14"/>
      <c r="DD855" s="265"/>
      <c r="DE855" s="265"/>
      <c r="DF855" s="265"/>
      <c r="DH855" s="15"/>
      <c r="DM855" s="4"/>
    </row>
    <row r="856" spans="2:117" ht="15" customHeight="1">
      <c r="B856" s="10"/>
      <c r="C856" s="17"/>
      <c r="E856" s="25"/>
      <c r="F856" s="35"/>
      <c r="J856" s="20"/>
      <c r="K856" s="1024"/>
      <c r="L856" s="1025"/>
      <c r="M856" s="1026"/>
      <c r="N856" s="1026"/>
      <c r="O856" s="265"/>
      <c r="P856" s="265"/>
      <c r="T856" s="265"/>
      <c r="U856" s="265"/>
      <c r="V856" s="265"/>
      <c r="X856" s="1026"/>
      <c r="Y856" s="265"/>
      <c r="Z856" s="265"/>
      <c r="AA856" s="265"/>
      <c r="AD856" s="4"/>
      <c r="AE856" s="1026"/>
      <c r="AF856" s="265"/>
      <c r="AU856" s="265"/>
      <c r="AV856" s="265"/>
      <c r="AW856" s="265"/>
      <c r="AX856" s="265"/>
      <c r="AY856" s="265"/>
      <c r="AZ856" s="265"/>
      <c r="BA856" s="265"/>
      <c r="BB856" s="265"/>
      <c r="BC856" s="265"/>
      <c r="BD856" s="265"/>
      <c r="BE856" s="265"/>
      <c r="BF856" s="265"/>
      <c r="BG856" s="265"/>
      <c r="BM856" s="6"/>
      <c r="BN856" s="6"/>
      <c r="BO856" s="6"/>
      <c r="BP856" s="1028"/>
      <c r="BT856" s="6"/>
      <c r="BU856" s="6"/>
      <c r="BV856" s="6"/>
      <c r="BW856" s="1029"/>
      <c r="BX856" s="1028"/>
      <c r="CB856" s="6"/>
      <c r="CC856" s="6"/>
      <c r="CD856" s="6"/>
      <c r="CE856" s="1029"/>
      <c r="CJ856" s="11"/>
      <c r="CM856" s="11"/>
      <c r="CU856" s="17"/>
      <c r="CV856" s="265"/>
      <c r="CW856" s="265"/>
      <c r="CY856" s="11"/>
      <c r="DA856" s="12"/>
      <c r="DB856" s="13"/>
      <c r="DC856" s="14"/>
      <c r="DD856" s="265"/>
      <c r="DE856" s="265"/>
      <c r="DF856" s="265"/>
      <c r="DH856" s="15"/>
      <c r="DM856" s="4"/>
    </row>
    <row r="857" spans="2:117" ht="15" customHeight="1">
      <c r="B857" s="10"/>
      <c r="C857" s="17"/>
      <c r="E857" s="25"/>
      <c r="F857" s="35"/>
      <c r="J857" s="20"/>
      <c r="K857" s="1024"/>
      <c r="L857" s="1025"/>
      <c r="M857" s="1026"/>
      <c r="N857" s="1026"/>
      <c r="O857" s="265"/>
      <c r="P857" s="265"/>
      <c r="T857" s="265"/>
      <c r="U857" s="265"/>
      <c r="V857" s="265"/>
      <c r="X857" s="1026"/>
      <c r="Y857" s="265"/>
      <c r="Z857" s="265"/>
      <c r="AA857" s="265"/>
      <c r="AD857" s="4"/>
      <c r="AE857" s="1026"/>
      <c r="AF857" s="265"/>
      <c r="AU857" s="265"/>
      <c r="AV857" s="265"/>
      <c r="AW857" s="265"/>
      <c r="AX857" s="265"/>
      <c r="AY857" s="265"/>
      <c r="AZ857" s="265"/>
      <c r="BA857" s="265"/>
      <c r="BB857" s="265"/>
      <c r="BC857" s="265"/>
      <c r="BD857" s="265"/>
      <c r="BE857" s="265"/>
      <c r="BF857" s="265"/>
      <c r="BG857" s="265"/>
      <c r="BM857" s="6"/>
      <c r="BN857" s="6"/>
      <c r="BO857" s="6"/>
      <c r="BP857" s="1028"/>
      <c r="BT857" s="6"/>
      <c r="BU857" s="6"/>
      <c r="BV857" s="6"/>
      <c r="BW857" s="1029"/>
      <c r="BX857" s="1028"/>
      <c r="CB857" s="6"/>
      <c r="CC857" s="6"/>
      <c r="CD857" s="6"/>
      <c r="CE857" s="1029"/>
      <c r="CJ857" s="11"/>
      <c r="CM857" s="11"/>
      <c r="CU857" s="17"/>
      <c r="CV857" s="265"/>
      <c r="CW857" s="265"/>
      <c r="CY857" s="11"/>
      <c r="DA857" s="12"/>
      <c r="DB857" s="13"/>
      <c r="DC857" s="14"/>
      <c r="DD857" s="265"/>
      <c r="DE857" s="265"/>
      <c r="DF857" s="265"/>
      <c r="DH857" s="15"/>
      <c r="DM857" s="4"/>
    </row>
    <row r="858" spans="2:117" ht="15" customHeight="1">
      <c r="B858" s="10"/>
      <c r="C858" s="17"/>
      <c r="E858" s="25"/>
      <c r="F858" s="35"/>
      <c r="J858" s="20"/>
      <c r="K858" s="1024"/>
      <c r="L858" s="1025"/>
      <c r="M858" s="1026"/>
      <c r="N858" s="1026"/>
      <c r="O858" s="265"/>
      <c r="P858" s="265"/>
      <c r="T858" s="265"/>
      <c r="U858" s="265"/>
      <c r="V858" s="265"/>
      <c r="X858" s="1026"/>
      <c r="Y858" s="265"/>
      <c r="Z858" s="265"/>
      <c r="AA858" s="265"/>
      <c r="AD858" s="4"/>
      <c r="AE858" s="1026"/>
      <c r="AF858" s="265"/>
      <c r="AU858" s="265"/>
      <c r="AV858" s="265"/>
      <c r="AW858" s="265"/>
      <c r="AX858" s="265"/>
      <c r="AY858" s="265"/>
      <c r="AZ858" s="265"/>
      <c r="BA858" s="265"/>
      <c r="BB858" s="265"/>
      <c r="BC858" s="265"/>
      <c r="BD858" s="265"/>
      <c r="BE858" s="265"/>
      <c r="BF858" s="265"/>
      <c r="BG858" s="265"/>
      <c r="BM858" s="6"/>
      <c r="BN858" s="6"/>
      <c r="BO858" s="6"/>
      <c r="BP858" s="1028"/>
      <c r="BT858" s="6"/>
      <c r="BU858" s="6"/>
      <c r="BV858" s="6"/>
      <c r="BW858" s="1029"/>
      <c r="BX858" s="1028"/>
      <c r="CB858" s="6"/>
      <c r="CC858" s="6"/>
      <c r="CD858" s="6"/>
      <c r="CE858" s="1029"/>
      <c r="CJ858" s="11"/>
      <c r="CM858" s="11"/>
      <c r="CU858" s="17"/>
      <c r="CV858" s="265"/>
      <c r="CW858" s="265"/>
      <c r="CY858" s="11"/>
      <c r="DA858" s="12"/>
      <c r="DB858" s="13"/>
      <c r="DC858" s="14"/>
      <c r="DD858" s="265"/>
      <c r="DE858" s="265"/>
      <c r="DF858" s="265"/>
      <c r="DH858" s="15"/>
      <c r="DM858" s="4"/>
    </row>
    <row r="859" spans="2:117" ht="15" customHeight="1">
      <c r="B859" s="10"/>
      <c r="C859" s="17"/>
      <c r="E859" s="25"/>
      <c r="F859" s="35"/>
      <c r="J859" s="20"/>
      <c r="K859" s="1024"/>
      <c r="L859" s="1025"/>
      <c r="M859" s="1026"/>
      <c r="N859" s="1026"/>
      <c r="O859" s="265"/>
      <c r="P859" s="265"/>
      <c r="T859" s="265"/>
      <c r="U859" s="265"/>
      <c r="V859" s="265"/>
      <c r="X859" s="1026"/>
      <c r="Y859" s="265"/>
      <c r="Z859" s="265"/>
      <c r="AA859" s="265"/>
      <c r="AD859" s="4"/>
      <c r="AE859" s="1026"/>
      <c r="AF859" s="265"/>
      <c r="AU859" s="265"/>
      <c r="AV859" s="265"/>
      <c r="AW859" s="265"/>
      <c r="AX859" s="265"/>
      <c r="AY859" s="265"/>
      <c r="AZ859" s="265"/>
      <c r="BA859" s="265"/>
      <c r="BB859" s="265"/>
      <c r="BC859" s="265"/>
      <c r="BD859" s="265"/>
      <c r="BE859" s="265"/>
      <c r="BF859" s="265"/>
      <c r="BG859" s="265"/>
      <c r="BM859" s="6"/>
      <c r="BN859" s="6"/>
      <c r="BO859" s="6"/>
      <c r="BP859" s="1028"/>
      <c r="BT859" s="6"/>
      <c r="BU859" s="6"/>
      <c r="BV859" s="6"/>
      <c r="BW859" s="1029"/>
      <c r="BX859" s="1028"/>
      <c r="CB859" s="6"/>
      <c r="CC859" s="6"/>
      <c r="CD859" s="6"/>
      <c r="CE859" s="1029"/>
      <c r="CJ859" s="11"/>
      <c r="CM859" s="11"/>
      <c r="CU859" s="17"/>
      <c r="CV859" s="265"/>
      <c r="CW859" s="265"/>
      <c r="CY859" s="11"/>
      <c r="DA859" s="12"/>
      <c r="DB859" s="13"/>
      <c r="DC859" s="14"/>
      <c r="DD859" s="265"/>
      <c r="DE859" s="265"/>
      <c r="DF859" s="265"/>
      <c r="DH859" s="15"/>
      <c r="DM859" s="4"/>
    </row>
    <row r="860" spans="2:117" ht="15" customHeight="1">
      <c r="B860" s="10"/>
      <c r="C860" s="17"/>
      <c r="E860" s="25"/>
      <c r="F860" s="35"/>
      <c r="J860" s="20"/>
      <c r="K860" s="1024"/>
      <c r="L860" s="1025"/>
      <c r="M860" s="1026"/>
      <c r="N860" s="1026"/>
      <c r="O860" s="265"/>
      <c r="P860" s="265"/>
      <c r="T860" s="265"/>
      <c r="U860" s="265"/>
      <c r="V860" s="265"/>
      <c r="X860" s="1026"/>
      <c r="Y860" s="265"/>
      <c r="Z860" s="265"/>
      <c r="AA860" s="265"/>
      <c r="AD860" s="4"/>
      <c r="AE860" s="1026"/>
      <c r="AF860" s="265"/>
      <c r="AU860" s="265"/>
      <c r="AV860" s="265"/>
      <c r="AW860" s="265"/>
      <c r="AX860" s="265"/>
      <c r="AY860" s="265"/>
      <c r="AZ860" s="265"/>
      <c r="BA860" s="265"/>
      <c r="BB860" s="265"/>
      <c r="BC860" s="265"/>
      <c r="BD860" s="265"/>
      <c r="BE860" s="265"/>
      <c r="BF860" s="265"/>
      <c r="BG860" s="265"/>
      <c r="BM860" s="6"/>
      <c r="BN860" s="6"/>
      <c r="BO860" s="6"/>
      <c r="BP860" s="1028"/>
      <c r="BT860" s="6"/>
      <c r="BU860" s="6"/>
      <c r="BV860" s="6"/>
      <c r="BW860" s="1029"/>
      <c r="BX860" s="1028"/>
      <c r="CB860" s="6"/>
      <c r="CC860" s="6"/>
      <c r="CD860" s="6"/>
      <c r="CE860" s="1029"/>
      <c r="CJ860" s="11"/>
      <c r="CM860" s="11"/>
      <c r="CU860" s="17"/>
      <c r="CV860" s="265"/>
      <c r="CW860" s="265"/>
      <c r="CY860" s="11"/>
      <c r="DA860" s="12"/>
      <c r="DB860" s="13"/>
      <c r="DC860" s="14"/>
      <c r="DD860" s="265"/>
      <c r="DE860" s="265"/>
      <c r="DF860" s="265"/>
      <c r="DH860" s="15"/>
      <c r="DM860" s="4"/>
    </row>
    <row r="861" spans="2:117" ht="15" customHeight="1">
      <c r="B861" s="10"/>
      <c r="C861" s="17"/>
      <c r="E861" s="25"/>
      <c r="F861" s="35"/>
      <c r="J861" s="20"/>
      <c r="K861" s="1024"/>
      <c r="L861" s="1025"/>
      <c r="M861" s="1026"/>
      <c r="N861" s="1026"/>
      <c r="O861" s="265"/>
      <c r="P861" s="265"/>
      <c r="T861" s="265"/>
      <c r="U861" s="265"/>
      <c r="V861" s="265"/>
      <c r="X861" s="1026"/>
      <c r="Y861" s="265"/>
      <c r="Z861" s="265"/>
      <c r="AA861" s="265"/>
      <c r="AD861" s="4"/>
      <c r="AE861" s="1026"/>
      <c r="AF861" s="265"/>
      <c r="AU861" s="265"/>
      <c r="AV861" s="265"/>
      <c r="AW861" s="265"/>
      <c r="AX861" s="265"/>
      <c r="AY861" s="265"/>
      <c r="AZ861" s="265"/>
      <c r="BA861" s="265"/>
      <c r="BB861" s="265"/>
      <c r="BC861" s="265"/>
      <c r="BD861" s="265"/>
      <c r="BE861" s="265"/>
      <c r="BF861" s="265"/>
      <c r="BG861" s="265"/>
      <c r="BM861" s="6"/>
      <c r="BN861" s="6"/>
      <c r="BO861" s="6"/>
      <c r="BP861" s="1028"/>
      <c r="BT861" s="6"/>
      <c r="BU861" s="6"/>
      <c r="BV861" s="6"/>
      <c r="BW861" s="1029"/>
      <c r="BX861" s="1028"/>
      <c r="CB861" s="6"/>
      <c r="CC861" s="6"/>
      <c r="CD861" s="6"/>
      <c r="CE861" s="1029"/>
      <c r="CJ861" s="11"/>
      <c r="CM861" s="11"/>
      <c r="CU861" s="17"/>
      <c r="CV861" s="265"/>
      <c r="CW861" s="265"/>
      <c r="CY861" s="11"/>
      <c r="DA861" s="12"/>
      <c r="DB861" s="13"/>
      <c r="DC861" s="14"/>
      <c r="DD861" s="265"/>
      <c r="DE861" s="265"/>
      <c r="DF861" s="265"/>
      <c r="DH861" s="15"/>
      <c r="DM861" s="4"/>
    </row>
    <row r="862" spans="2:117" ht="15" customHeight="1">
      <c r="B862" s="10"/>
      <c r="C862" s="17"/>
      <c r="E862" s="25"/>
      <c r="F862" s="35"/>
      <c r="J862" s="20"/>
      <c r="K862" s="1024"/>
      <c r="L862" s="1025"/>
      <c r="M862" s="1026"/>
      <c r="N862" s="1026"/>
      <c r="O862" s="265"/>
      <c r="P862" s="265"/>
      <c r="T862" s="265"/>
      <c r="U862" s="265"/>
      <c r="V862" s="265"/>
      <c r="X862" s="1026"/>
      <c r="Y862" s="265"/>
      <c r="Z862" s="265"/>
      <c r="AA862" s="265"/>
      <c r="AD862" s="4"/>
      <c r="AE862" s="1026"/>
      <c r="AF862" s="265"/>
      <c r="AU862" s="265"/>
      <c r="AV862" s="265"/>
      <c r="AW862" s="265"/>
      <c r="AX862" s="265"/>
      <c r="AY862" s="265"/>
      <c r="AZ862" s="265"/>
      <c r="BA862" s="265"/>
      <c r="BB862" s="265"/>
      <c r="BC862" s="265"/>
      <c r="BD862" s="265"/>
      <c r="BE862" s="265"/>
      <c r="BF862" s="265"/>
      <c r="BG862" s="265"/>
      <c r="BM862" s="6"/>
      <c r="BN862" s="6"/>
      <c r="BO862" s="6"/>
      <c r="BP862" s="1028"/>
      <c r="BT862" s="6"/>
      <c r="BU862" s="6"/>
      <c r="BV862" s="6"/>
      <c r="BW862" s="1029"/>
      <c r="BX862" s="1028"/>
      <c r="CB862" s="6"/>
      <c r="CC862" s="6"/>
      <c r="CD862" s="6"/>
      <c r="CE862" s="1029"/>
      <c r="CJ862" s="11"/>
      <c r="CM862" s="11"/>
      <c r="CU862" s="17"/>
      <c r="CV862" s="265"/>
      <c r="CW862" s="265"/>
      <c r="CY862" s="11"/>
      <c r="DA862" s="12"/>
      <c r="DB862" s="13"/>
      <c r="DC862" s="14"/>
      <c r="DD862" s="265"/>
      <c r="DE862" s="265"/>
      <c r="DF862" s="265"/>
      <c r="DH862" s="15"/>
      <c r="DM862" s="4"/>
    </row>
    <row r="863" spans="2:117" ht="15" customHeight="1">
      <c r="B863" s="10"/>
      <c r="C863" s="17"/>
      <c r="E863" s="25"/>
      <c r="F863" s="35"/>
      <c r="J863" s="20"/>
      <c r="K863" s="1024"/>
      <c r="L863" s="1025"/>
      <c r="M863" s="1026"/>
      <c r="N863" s="1026"/>
      <c r="O863" s="265"/>
      <c r="P863" s="265"/>
      <c r="T863" s="265"/>
      <c r="U863" s="265"/>
      <c r="V863" s="265"/>
      <c r="X863" s="1026"/>
      <c r="Y863" s="265"/>
      <c r="Z863" s="265"/>
      <c r="AA863" s="265"/>
      <c r="AD863" s="4"/>
      <c r="AE863" s="1026"/>
      <c r="AF863" s="265"/>
      <c r="AU863" s="265"/>
      <c r="AV863" s="265"/>
      <c r="AW863" s="265"/>
      <c r="AX863" s="265"/>
      <c r="AY863" s="265"/>
      <c r="AZ863" s="265"/>
      <c r="BA863" s="265"/>
      <c r="BB863" s="265"/>
      <c r="BC863" s="265"/>
      <c r="BD863" s="265"/>
      <c r="BE863" s="265"/>
      <c r="BF863" s="265"/>
      <c r="BG863" s="265"/>
      <c r="BM863" s="6"/>
      <c r="BN863" s="6"/>
      <c r="BO863" s="6"/>
      <c r="BP863" s="1028"/>
      <c r="BT863" s="6"/>
      <c r="BU863" s="6"/>
      <c r="BV863" s="6"/>
      <c r="BW863" s="1029"/>
      <c r="BX863" s="1028"/>
      <c r="CB863" s="6"/>
      <c r="CC863" s="6"/>
      <c r="CD863" s="6"/>
      <c r="CE863" s="1029"/>
      <c r="CJ863" s="11"/>
      <c r="CM863" s="11"/>
      <c r="CU863" s="17"/>
      <c r="CV863" s="265"/>
      <c r="CW863" s="265"/>
      <c r="CY863" s="11"/>
      <c r="DA863" s="12"/>
      <c r="DB863" s="13"/>
      <c r="DC863" s="14"/>
      <c r="DD863" s="265"/>
      <c r="DE863" s="265"/>
      <c r="DF863" s="265"/>
      <c r="DH863" s="15"/>
      <c r="DM863" s="4"/>
    </row>
    <row r="864" spans="2:117" ht="15" customHeight="1">
      <c r="B864" s="10"/>
      <c r="C864" s="17"/>
      <c r="E864" s="25"/>
      <c r="F864" s="35"/>
      <c r="J864" s="20"/>
      <c r="K864" s="1024"/>
      <c r="L864" s="1025"/>
      <c r="M864" s="1026"/>
      <c r="N864" s="1026"/>
      <c r="O864" s="265"/>
      <c r="P864" s="265"/>
      <c r="T864" s="265"/>
      <c r="U864" s="265"/>
      <c r="V864" s="265"/>
      <c r="X864" s="1026"/>
      <c r="Y864" s="265"/>
      <c r="Z864" s="265"/>
      <c r="AA864" s="265"/>
      <c r="AD864" s="4"/>
      <c r="AE864" s="1026"/>
      <c r="AF864" s="265"/>
      <c r="AU864" s="265"/>
      <c r="AV864" s="265"/>
      <c r="AW864" s="265"/>
      <c r="AX864" s="265"/>
      <c r="AY864" s="265"/>
      <c r="AZ864" s="265"/>
      <c r="BA864" s="265"/>
      <c r="BB864" s="265"/>
      <c r="BC864" s="265"/>
      <c r="BD864" s="265"/>
      <c r="BE864" s="265"/>
      <c r="BF864" s="265"/>
      <c r="BG864" s="265"/>
      <c r="BM864" s="6"/>
      <c r="BN864" s="6"/>
      <c r="BO864" s="6"/>
      <c r="BP864" s="1028"/>
      <c r="BT864" s="6"/>
      <c r="BU864" s="6"/>
      <c r="BV864" s="6"/>
      <c r="BW864" s="1029"/>
      <c r="BX864" s="1028"/>
      <c r="CB864" s="6"/>
      <c r="CC864" s="6"/>
      <c r="CD864" s="6"/>
      <c r="CE864" s="1029"/>
      <c r="CJ864" s="11"/>
      <c r="CM864" s="11"/>
      <c r="CU864" s="17"/>
      <c r="CV864" s="265"/>
      <c r="CW864" s="265"/>
      <c r="CY864" s="11"/>
      <c r="DA864" s="12"/>
      <c r="DB864" s="13"/>
      <c r="DC864" s="14"/>
      <c r="DD864" s="265"/>
      <c r="DE864" s="265"/>
      <c r="DF864" s="265"/>
      <c r="DH864" s="15"/>
      <c r="DM864" s="4"/>
    </row>
    <row r="865" spans="2:117" ht="15" customHeight="1">
      <c r="B865" s="10"/>
      <c r="C865" s="17"/>
      <c r="E865" s="25"/>
      <c r="F865" s="35"/>
      <c r="J865" s="20"/>
      <c r="K865" s="1024"/>
      <c r="L865" s="1025"/>
      <c r="M865" s="1026"/>
      <c r="N865" s="1026"/>
      <c r="O865" s="265"/>
      <c r="P865" s="265"/>
      <c r="T865" s="265"/>
      <c r="U865" s="265"/>
      <c r="V865" s="265"/>
      <c r="X865" s="1026"/>
      <c r="Y865" s="265"/>
      <c r="Z865" s="265"/>
      <c r="AA865" s="265"/>
      <c r="AD865" s="4"/>
      <c r="AE865" s="1026"/>
      <c r="AF865" s="265"/>
      <c r="AU865" s="265"/>
      <c r="AV865" s="265"/>
      <c r="AW865" s="265"/>
      <c r="AX865" s="265"/>
      <c r="AY865" s="265"/>
      <c r="AZ865" s="265"/>
      <c r="BA865" s="265"/>
      <c r="BB865" s="265"/>
      <c r="BC865" s="265"/>
      <c r="BD865" s="265"/>
      <c r="BE865" s="265"/>
      <c r="BF865" s="265"/>
      <c r="BG865" s="265"/>
      <c r="BM865" s="6"/>
      <c r="BN865" s="6"/>
      <c r="BO865" s="6"/>
      <c r="BP865" s="1028"/>
      <c r="BT865" s="6"/>
      <c r="BU865" s="6"/>
      <c r="BV865" s="6"/>
      <c r="BW865" s="1029"/>
      <c r="BX865" s="1028"/>
      <c r="CB865" s="6"/>
      <c r="CC865" s="6"/>
      <c r="CD865" s="6"/>
      <c r="CE865" s="1029"/>
      <c r="CJ865" s="11"/>
      <c r="CM865" s="11"/>
      <c r="CU865" s="17"/>
      <c r="CV865" s="265"/>
      <c r="CW865" s="265"/>
      <c r="CY865" s="11"/>
      <c r="DA865" s="12"/>
      <c r="DB865" s="13"/>
      <c r="DC865" s="14"/>
      <c r="DD865" s="265"/>
      <c r="DE865" s="265"/>
      <c r="DF865" s="265"/>
      <c r="DH865" s="15"/>
      <c r="DM865" s="4"/>
    </row>
    <row r="866" spans="2:117" ht="15" customHeight="1">
      <c r="B866" s="10"/>
      <c r="C866" s="17"/>
      <c r="E866" s="25"/>
      <c r="F866" s="35"/>
      <c r="J866" s="20"/>
      <c r="K866" s="1024"/>
      <c r="L866" s="1025"/>
      <c r="M866" s="1026"/>
      <c r="N866" s="1026"/>
      <c r="O866" s="265"/>
      <c r="P866" s="265"/>
      <c r="T866" s="265"/>
      <c r="U866" s="265"/>
      <c r="V866" s="265"/>
      <c r="X866" s="1026"/>
      <c r="Y866" s="265"/>
      <c r="Z866" s="265"/>
      <c r="AA866" s="265"/>
      <c r="AD866" s="4"/>
      <c r="AE866" s="1026"/>
      <c r="AF866" s="265"/>
      <c r="AU866" s="265"/>
      <c r="AV866" s="265"/>
      <c r="AW866" s="265"/>
      <c r="AX866" s="265"/>
      <c r="AY866" s="265"/>
      <c r="AZ866" s="265"/>
      <c r="BA866" s="265"/>
      <c r="BB866" s="265"/>
      <c r="BC866" s="265"/>
      <c r="BD866" s="265"/>
      <c r="BE866" s="265"/>
      <c r="BF866" s="265"/>
      <c r="BG866" s="265"/>
      <c r="BM866" s="6"/>
      <c r="BN866" s="6"/>
      <c r="BO866" s="6"/>
      <c r="BP866" s="1028"/>
      <c r="BT866" s="6"/>
      <c r="BU866" s="6"/>
      <c r="BV866" s="6"/>
      <c r="BW866" s="1029"/>
      <c r="BX866" s="1028"/>
      <c r="CB866" s="6"/>
      <c r="CC866" s="6"/>
      <c r="CD866" s="6"/>
      <c r="CE866" s="1029"/>
      <c r="CJ866" s="11"/>
      <c r="CM866" s="11"/>
      <c r="CU866" s="17"/>
      <c r="CV866" s="265"/>
      <c r="CW866" s="265"/>
      <c r="CY866" s="11"/>
      <c r="DA866" s="12"/>
      <c r="DB866" s="13"/>
      <c r="DC866" s="14"/>
      <c r="DD866" s="265"/>
      <c r="DE866" s="265"/>
      <c r="DF866" s="265"/>
      <c r="DH866" s="15"/>
      <c r="DM866" s="4"/>
    </row>
    <row r="867" spans="2:117" ht="15" customHeight="1">
      <c r="B867" s="10"/>
      <c r="C867" s="17"/>
      <c r="E867" s="25"/>
      <c r="F867" s="35"/>
      <c r="J867" s="20"/>
      <c r="K867" s="1024"/>
      <c r="L867" s="1025"/>
      <c r="M867" s="1026"/>
      <c r="N867" s="1026"/>
      <c r="O867" s="265"/>
      <c r="P867" s="265"/>
      <c r="T867" s="265"/>
      <c r="U867" s="265"/>
      <c r="V867" s="265"/>
      <c r="X867" s="1026"/>
      <c r="Y867" s="265"/>
      <c r="Z867" s="265"/>
      <c r="AA867" s="265"/>
      <c r="AD867" s="4"/>
      <c r="AE867" s="1026"/>
      <c r="AF867" s="265"/>
      <c r="AU867" s="265"/>
      <c r="AV867" s="265"/>
      <c r="AW867" s="265"/>
      <c r="AX867" s="265"/>
      <c r="AY867" s="265"/>
      <c r="AZ867" s="265"/>
      <c r="BA867" s="265"/>
      <c r="BB867" s="265"/>
      <c r="BC867" s="265"/>
      <c r="BD867" s="265"/>
      <c r="BE867" s="265"/>
      <c r="BF867" s="265"/>
      <c r="BG867" s="265"/>
      <c r="BM867" s="6"/>
      <c r="BN867" s="6"/>
      <c r="BO867" s="6"/>
      <c r="BP867" s="1028"/>
      <c r="BT867" s="6"/>
      <c r="BU867" s="6"/>
      <c r="BV867" s="6"/>
      <c r="BW867" s="1029"/>
      <c r="BX867" s="1028"/>
      <c r="CB867" s="6"/>
      <c r="CC867" s="6"/>
      <c r="CD867" s="6"/>
      <c r="CE867" s="1029"/>
      <c r="CJ867" s="11"/>
      <c r="CM867" s="11"/>
      <c r="CU867" s="17"/>
      <c r="CV867" s="265"/>
      <c r="CW867" s="265"/>
      <c r="CY867" s="11"/>
      <c r="DA867" s="12"/>
      <c r="DB867" s="13"/>
      <c r="DC867" s="14"/>
      <c r="DD867" s="265"/>
      <c r="DE867" s="265"/>
      <c r="DF867" s="265"/>
      <c r="DH867" s="15"/>
      <c r="DM867" s="4"/>
    </row>
    <row r="868" spans="2:117" ht="15" customHeight="1">
      <c r="B868" s="10"/>
      <c r="C868" s="17"/>
      <c r="E868" s="25"/>
      <c r="F868" s="35"/>
      <c r="J868" s="20"/>
      <c r="K868" s="1024"/>
      <c r="L868" s="1025"/>
      <c r="M868" s="1026"/>
      <c r="N868" s="1026"/>
      <c r="O868" s="265"/>
      <c r="P868" s="265"/>
      <c r="T868" s="265"/>
      <c r="U868" s="265"/>
      <c r="V868" s="265"/>
      <c r="X868" s="1026"/>
      <c r="Y868" s="265"/>
      <c r="Z868" s="265"/>
      <c r="AA868" s="265"/>
      <c r="AD868" s="4"/>
      <c r="AE868" s="1026"/>
      <c r="AF868" s="265"/>
      <c r="AU868" s="265"/>
      <c r="AV868" s="265"/>
      <c r="AW868" s="265"/>
      <c r="AX868" s="265"/>
      <c r="AY868" s="265"/>
      <c r="AZ868" s="265"/>
      <c r="BA868" s="265"/>
      <c r="BB868" s="265"/>
      <c r="BC868" s="265"/>
      <c r="BD868" s="265"/>
      <c r="BE868" s="265"/>
      <c r="BF868" s="265"/>
      <c r="BG868" s="265"/>
      <c r="BM868" s="6"/>
      <c r="BN868" s="6"/>
      <c r="BO868" s="6"/>
      <c r="BP868" s="1028"/>
      <c r="BT868" s="6"/>
      <c r="BU868" s="6"/>
      <c r="BV868" s="6"/>
      <c r="BW868" s="1029"/>
      <c r="BX868" s="1028"/>
      <c r="CB868" s="6"/>
      <c r="CC868" s="6"/>
      <c r="CD868" s="6"/>
      <c r="CE868" s="1029"/>
      <c r="CJ868" s="11"/>
      <c r="CM868" s="11"/>
      <c r="CU868" s="17"/>
      <c r="CV868" s="265"/>
      <c r="CW868" s="265"/>
      <c r="CY868" s="11"/>
      <c r="DA868" s="12"/>
      <c r="DB868" s="13"/>
      <c r="DC868" s="14"/>
      <c r="DD868" s="265"/>
      <c r="DE868" s="265"/>
      <c r="DF868" s="265"/>
      <c r="DH868" s="15"/>
      <c r="DM868" s="4"/>
    </row>
    <row r="869" spans="2:117" ht="15" customHeight="1">
      <c r="B869" s="10"/>
      <c r="C869" s="17"/>
      <c r="E869" s="25"/>
      <c r="F869" s="35"/>
      <c r="J869" s="20"/>
      <c r="K869" s="1024"/>
      <c r="L869" s="1025"/>
      <c r="M869" s="1026"/>
      <c r="N869" s="1026"/>
      <c r="O869" s="265"/>
      <c r="P869" s="265"/>
      <c r="T869" s="265"/>
      <c r="U869" s="265"/>
      <c r="V869" s="265"/>
      <c r="X869" s="1026"/>
      <c r="Y869" s="265"/>
      <c r="Z869" s="265"/>
      <c r="AA869" s="265"/>
      <c r="AD869" s="4"/>
      <c r="AE869" s="1026"/>
      <c r="AF869" s="265"/>
      <c r="AU869" s="265"/>
      <c r="AV869" s="265"/>
      <c r="AW869" s="265"/>
      <c r="AX869" s="265"/>
      <c r="AY869" s="265"/>
      <c r="AZ869" s="265"/>
      <c r="BA869" s="265"/>
      <c r="BB869" s="265"/>
      <c r="BC869" s="265"/>
      <c r="BD869" s="265"/>
      <c r="BE869" s="265"/>
      <c r="BF869" s="265"/>
      <c r="BG869" s="265"/>
      <c r="BM869" s="6"/>
      <c r="BN869" s="6"/>
      <c r="BO869" s="6"/>
      <c r="BP869" s="1028"/>
      <c r="BT869" s="6"/>
      <c r="BU869" s="6"/>
      <c r="BV869" s="6"/>
      <c r="BW869" s="1029"/>
      <c r="BX869" s="1028"/>
      <c r="CB869" s="6"/>
      <c r="CC869" s="6"/>
      <c r="CD869" s="6"/>
      <c r="CE869" s="1029"/>
      <c r="CJ869" s="11"/>
      <c r="CM869" s="11"/>
      <c r="CU869" s="17"/>
      <c r="CV869" s="265"/>
      <c r="CW869" s="265"/>
      <c r="CY869" s="11"/>
      <c r="DA869" s="12"/>
      <c r="DB869" s="13"/>
      <c r="DC869" s="14"/>
      <c r="DD869" s="265"/>
      <c r="DE869" s="265"/>
      <c r="DF869" s="265"/>
      <c r="DH869" s="15"/>
      <c r="DM869" s="4"/>
    </row>
    <row r="870" spans="2:117" ht="15" customHeight="1">
      <c r="B870" s="10"/>
      <c r="C870" s="17"/>
      <c r="E870" s="25"/>
      <c r="F870" s="35"/>
      <c r="J870" s="20"/>
      <c r="K870" s="1024"/>
      <c r="L870" s="1025"/>
      <c r="M870" s="1026"/>
      <c r="N870" s="1026"/>
      <c r="O870" s="265"/>
      <c r="P870" s="265"/>
      <c r="T870" s="265"/>
      <c r="U870" s="265"/>
      <c r="V870" s="265"/>
      <c r="X870" s="1026"/>
      <c r="Y870" s="265"/>
      <c r="Z870" s="265"/>
      <c r="AA870" s="265"/>
      <c r="AD870" s="4"/>
      <c r="AE870" s="1026"/>
      <c r="AF870" s="265"/>
      <c r="AU870" s="265"/>
      <c r="AV870" s="265"/>
      <c r="AW870" s="265"/>
      <c r="AX870" s="265"/>
      <c r="AY870" s="265"/>
      <c r="AZ870" s="265"/>
      <c r="BA870" s="265"/>
      <c r="BB870" s="265"/>
      <c r="BC870" s="265"/>
      <c r="BD870" s="265"/>
      <c r="BE870" s="265"/>
      <c r="BF870" s="265"/>
      <c r="BG870" s="265"/>
      <c r="BM870" s="6"/>
      <c r="BN870" s="6"/>
      <c r="BO870" s="6"/>
      <c r="BP870" s="1028"/>
      <c r="BT870" s="6"/>
      <c r="BU870" s="6"/>
      <c r="BV870" s="6"/>
      <c r="BW870" s="1029"/>
      <c r="BX870" s="1028"/>
      <c r="CB870" s="6"/>
      <c r="CC870" s="6"/>
      <c r="CD870" s="6"/>
      <c r="CE870" s="1029"/>
      <c r="CJ870" s="11"/>
      <c r="CM870" s="11"/>
      <c r="CU870" s="17"/>
      <c r="CV870" s="265"/>
      <c r="CW870" s="265"/>
      <c r="CY870" s="11"/>
      <c r="DA870" s="12"/>
      <c r="DB870" s="13"/>
      <c r="DC870" s="14"/>
      <c r="DD870" s="265"/>
      <c r="DE870" s="265"/>
      <c r="DF870" s="265"/>
      <c r="DH870" s="15"/>
      <c r="DM870" s="4"/>
    </row>
    <row r="871" spans="2:117" ht="15" customHeight="1">
      <c r="B871" s="10"/>
      <c r="C871" s="17"/>
      <c r="E871" s="25"/>
      <c r="F871" s="35"/>
      <c r="J871" s="20"/>
      <c r="K871" s="1024"/>
      <c r="L871" s="1025"/>
      <c r="M871" s="1026"/>
      <c r="N871" s="1026"/>
      <c r="O871" s="265"/>
      <c r="P871" s="265"/>
      <c r="T871" s="265"/>
      <c r="U871" s="265"/>
      <c r="V871" s="265"/>
      <c r="X871" s="1026"/>
      <c r="Y871" s="265"/>
      <c r="Z871" s="265"/>
      <c r="AA871" s="265"/>
      <c r="AD871" s="4"/>
      <c r="AE871" s="1026"/>
      <c r="AF871" s="265"/>
      <c r="AU871" s="265"/>
      <c r="AV871" s="265"/>
      <c r="AW871" s="265"/>
      <c r="AX871" s="265"/>
      <c r="AY871" s="265"/>
      <c r="AZ871" s="265"/>
      <c r="BA871" s="265"/>
      <c r="BB871" s="265"/>
      <c r="BC871" s="265"/>
      <c r="BD871" s="265"/>
      <c r="BE871" s="265"/>
      <c r="BF871" s="265"/>
      <c r="BG871" s="265"/>
      <c r="BM871" s="6"/>
      <c r="BN871" s="6"/>
      <c r="BO871" s="6"/>
      <c r="BP871" s="1028"/>
      <c r="BT871" s="6"/>
      <c r="BU871" s="6"/>
      <c r="BV871" s="6"/>
      <c r="BW871" s="1029"/>
      <c r="BX871" s="1028"/>
      <c r="CB871" s="6"/>
      <c r="CC871" s="6"/>
      <c r="CD871" s="6"/>
      <c r="CE871" s="1029"/>
      <c r="CJ871" s="11"/>
      <c r="CM871" s="11"/>
      <c r="CU871" s="17"/>
      <c r="CV871" s="265"/>
      <c r="CW871" s="265"/>
      <c r="CY871" s="11"/>
      <c r="DA871" s="12"/>
      <c r="DB871" s="13"/>
      <c r="DC871" s="14"/>
      <c r="DD871" s="265"/>
      <c r="DE871" s="265"/>
      <c r="DF871" s="265"/>
      <c r="DH871" s="15"/>
      <c r="DM871" s="4"/>
    </row>
    <row r="872" spans="2:117" ht="15" customHeight="1">
      <c r="B872" s="10"/>
      <c r="C872" s="17"/>
      <c r="E872" s="25"/>
      <c r="F872" s="35"/>
      <c r="J872" s="20"/>
      <c r="K872" s="1024"/>
      <c r="L872" s="1025"/>
      <c r="M872" s="1026"/>
      <c r="N872" s="1026"/>
      <c r="O872" s="265"/>
      <c r="P872" s="265"/>
      <c r="T872" s="265"/>
      <c r="U872" s="265"/>
      <c r="V872" s="265"/>
      <c r="X872" s="1026"/>
      <c r="Y872" s="265"/>
      <c r="Z872" s="265"/>
      <c r="AA872" s="265"/>
      <c r="AD872" s="4"/>
      <c r="AE872" s="1026"/>
      <c r="AF872" s="265"/>
      <c r="AU872" s="265"/>
      <c r="AV872" s="265"/>
      <c r="AW872" s="265"/>
      <c r="AX872" s="265"/>
      <c r="AY872" s="265"/>
      <c r="AZ872" s="265"/>
      <c r="BA872" s="265"/>
      <c r="BB872" s="265"/>
      <c r="BC872" s="265"/>
      <c r="BD872" s="265"/>
      <c r="BE872" s="265"/>
      <c r="BF872" s="265"/>
      <c r="BG872" s="265"/>
      <c r="BM872" s="6"/>
      <c r="BN872" s="6"/>
      <c r="BO872" s="6"/>
      <c r="BP872" s="1028"/>
      <c r="BT872" s="6"/>
      <c r="BU872" s="6"/>
      <c r="BV872" s="6"/>
      <c r="BW872" s="1029"/>
      <c r="BX872" s="1028"/>
      <c r="CB872" s="6"/>
      <c r="CC872" s="6"/>
      <c r="CD872" s="6"/>
      <c r="CE872" s="1029"/>
      <c r="CJ872" s="11"/>
      <c r="CM872" s="11"/>
      <c r="CU872" s="17"/>
      <c r="CV872" s="265"/>
      <c r="CW872" s="265"/>
      <c r="CY872" s="11"/>
      <c r="DA872" s="12"/>
      <c r="DB872" s="13"/>
      <c r="DC872" s="14"/>
      <c r="DD872" s="265"/>
      <c r="DE872" s="265"/>
      <c r="DF872" s="265"/>
      <c r="DH872" s="15"/>
      <c r="DM872" s="4"/>
    </row>
    <row r="873" spans="2:117" ht="15" customHeight="1">
      <c r="B873" s="10"/>
      <c r="C873" s="17"/>
      <c r="E873" s="25"/>
      <c r="F873" s="35"/>
      <c r="J873" s="20"/>
      <c r="K873" s="1024"/>
      <c r="L873" s="1025"/>
      <c r="M873" s="1026"/>
      <c r="N873" s="1026"/>
      <c r="O873" s="265"/>
      <c r="P873" s="265"/>
      <c r="T873" s="265"/>
      <c r="U873" s="265"/>
      <c r="V873" s="265"/>
      <c r="X873" s="1026"/>
      <c r="Y873" s="265"/>
      <c r="Z873" s="265"/>
      <c r="AA873" s="265"/>
      <c r="AD873" s="4"/>
      <c r="AE873" s="1026"/>
      <c r="AF873" s="265"/>
      <c r="AU873" s="265"/>
      <c r="AV873" s="265"/>
      <c r="AW873" s="265"/>
      <c r="AX873" s="265"/>
      <c r="AY873" s="265"/>
      <c r="AZ873" s="265"/>
      <c r="BA873" s="265"/>
      <c r="BB873" s="265"/>
      <c r="BC873" s="265"/>
      <c r="BD873" s="265"/>
      <c r="BE873" s="265"/>
      <c r="BF873" s="265"/>
      <c r="BG873" s="265"/>
      <c r="BM873" s="6"/>
      <c r="BN873" s="6"/>
      <c r="BO873" s="6"/>
      <c r="BP873" s="1028"/>
      <c r="BT873" s="6"/>
      <c r="BU873" s="6"/>
      <c r="BV873" s="6"/>
      <c r="BW873" s="1029"/>
      <c r="BX873" s="1028"/>
      <c r="CB873" s="6"/>
      <c r="CC873" s="6"/>
      <c r="CD873" s="6"/>
      <c r="CE873" s="1029"/>
      <c r="CJ873" s="11"/>
      <c r="CM873" s="11"/>
      <c r="CU873" s="17"/>
      <c r="CV873" s="265"/>
      <c r="CW873" s="265"/>
      <c r="CY873" s="11"/>
      <c r="DA873" s="12"/>
      <c r="DB873" s="13"/>
      <c r="DC873" s="14"/>
      <c r="DD873" s="265"/>
      <c r="DE873" s="265"/>
      <c r="DF873" s="265"/>
      <c r="DH873" s="15"/>
      <c r="DM873" s="4"/>
    </row>
    <row r="874" spans="2:117" ht="15" customHeight="1">
      <c r="B874" s="10"/>
      <c r="C874" s="17"/>
      <c r="E874" s="25"/>
      <c r="F874" s="35"/>
      <c r="J874" s="20"/>
      <c r="K874" s="1024"/>
      <c r="L874" s="1025"/>
      <c r="M874" s="1026"/>
      <c r="N874" s="1026"/>
      <c r="O874" s="265"/>
      <c r="P874" s="265"/>
      <c r="T874" s="265"/>
      <c r="U874" s="265"/>
      <c r="V874" s="265"/>
      <c r="X874" s="1026"/>
      <c r="Y874" s="265"/>
      <c r="Z874" s="265"/>
      <c r="AA874" s="265"/>
      <c r="AD874" s="4"/>
      <c r="AE874" s="1026"/>
      <c r="AF874" s="265"/>
      <c r="AU874" s="265"/>
      <c r="AV874" s="265"/>
      <c r="AW874" s="265"/>
      <c r="AX874" s="265"/>
      <c r="AY874" s="265"/>
      <c r="AZ874" s="265"/>
      <c r="BA874" s="265"/>
      <c r="BB874" s="265"/>
      <c r="BC874" s="265"/>
      <c r="BD874" s="265"/>
      <c r="BE874" s="265"/>
      <c r="BF874" s="265"/>
      <c r="BG874" s="265"/>
      <c r="BM874" s="6"/>
      <c r="BN874" s="6"/>
      <c r="BO874" s="6"/>
      <c r="BP874" s="1028"/>
      <c r="BT874" s="6"/>
      <c r="BU874" s="6"/>
      <c r="BV874" s="6"/>
      <c r="BW874" s="1029"/>
      <c r="BX874" s="1028"/>
      <c r="CB874" s="6"/>
      <c r="CC874" s="6"/>
      <c r="CD874" s="6"/>
      <c r="CE874" s="1029"/>
      <c r="CJ874" s="11"/>
      <c r="CM874" s="11"/>
      <c r="CU874" s="17"/>
      <c r="CV874" s="265"/>
      <c r="CW874" s="265"/>
      <c r="CY874" s="11"/>
      <c r="DA874" s="12"/>
      <c r="DB874" s="13"/>
      <c r="DC874" s="14"/>
      <c r="DD874" s="265"/>
      <c r="DE874" s="265"/>
      <c r="DF874" s="265"/>
      <c r="DH874" s="15"/>
      <c r="DM874" s="4"/>
    </row>
    <row r="875" spans="2:117" ht="15" customHeight="1">
      <c r="B875" s="10"/>
      <c r="C875" s="17"/>
      <c r="E875" s="25"/>
      <c r="F875" s="35"/>
      <c r="J875" s="20"/>
      <c r="K875" s="1024"/>
      <c r="L875" s="1025"/>
      <c r="M875" s="1026"/>
      <c r="N875" s="1026"/>
      <c r="O875" s="265"/>
      <c r="P875" s="265"/>
      <c r="T875" s="265"/>
      <c r="U875" s="265"/>
      <c r="V875" s="265"/>
      <c r="X875" s="1026"/>
      <c r="Y875" s="265"/>
      <c r="Z875" s="265"/>
      <c r="AA875" s="265"/>
      <c r="AD875" s="4"/>
      <c r="AE875" s="1026"/>
      <c r="AF875" s="265"/>
      <c r="AU875" s="265"/>
      <c r="AV875" s="265"/>
      <c r="AW875" s="265"/>
      <c r="AX875" s="265"/>
      <c r="AY875" s="265"/>
      <c r="AZ875" s="265"/>
      <c r="BA875" s="265"/>
      <c r="BB875" s="265"/>
      <c r="BC875" s="265"/>
      <c r="BD875" s="265"/>
      <c r="BE875" s="265"/>
      <c r="BF875" s="265"/>
      <c r="BG875" s="265"/>
      <c r="BM875" s="6"/>
      <c r="BN875" s="6"/>
      <c r="BO875" s="6"/>
      <c r="BP875" s="1028"/>
      <c r="BT875" s="6"/>
      <c r="BU875" s="6"/>
      <c r="BV875" s="6"/>
      <c r="BW875" s="1029"/>
      <c r="BX875" s="1028"/>
      <c r="CB875" s="6"/>
      <c r="CC875" s="6"/>
      <c r="CD875" s="6"/>
      <c r="CE875" s="1029"/>
      <c r="CJ875" s="11"/>
      <c r="CM875" s="11"/>
      <c r="CU875" s="17"/>
      <c r="CV875" s="265"/>
      <c r="CW875" s="265"/>
      <c r="CY875" s="11"/>
      <c r="DA875" s="12"/>
      <c r="DB875" s="13"/>
      <c r="DC875" s="14"/>
      <c r="DD875" s="265"/>
      <c r="DE875" s="265"/>
      <c r="DF875" s="265"/>
      <c r="DH875" s="15"/>
      <c r="DM875" s="4"/>
    </row>
    <row r="876" spans="2:117" ht="15" customHeight="1">
      <c r="B876" s="10"/>
      <c r="C876" s="17"/>
      <c r="E876" s="25"/>
      <c r="F876" s="35"/>
      <c r="J876" s="20"/>
      <c r="K876" s="1024"/>
      <c r="L876" s="1025"/>
      <c r="M876" s="1026"/>
      <c r="N876" s="1026"/>
      <c r="O876" s="265"/>
      <c r="P876" s="265"/>
      <c r="T876" s="265"/>
      <c r="U876" s="265"/>
      <c r="V876" s="265"/>
      <c r="X876" s="1026"/>
      <c r="Y876" s="265"/>
      <c r="Z876" s="265"/>
      <c r="AA876" s="265"/>
      <c r="AD876" s="4"/>
      <c r="AE876" s="1026"/>
      <c r="AF876" s="265"/>
      <c r="AU876" s="265"/>
      <c r="AV876" s="265"/>
      <c r="AW876" s="265"/>
      <c r="AX876" s="265"/>
      <c r="AY876" s="265"/>
      <c r="AZ876" s="265"/>
      <c r="BA876" s="265"/>
      <c r="BB876" s="265"/>
      <c r="BC876" s="265"/>
      <c r="BD876" s="265"/>
      <c r="BE876" s="265"/>
      <c r="BF876" s="265"/>
      <c r="BG876" s="265"/>
      <c r="BM876" s="6"/>
      <c r="BN876" s="6"/>
      <c r="BO876" s="6"/>
      <c r="BP876" s="1028"/>
      <c r="BT876" s="6"/>
      <c r="BU876" s="6"/>
      <c r="BV876" s="6"/>
      <c r="BW876" s="1029"/>
      <c r="BX876" s="1028"/>
      <c r="CB876" s="6"/>
      <c r="CC876" s="6"/>
      <c r="CD876" s="6"/>
      <c r="CE876" s="1029"/>
      <c r="CJ876" s="11"/>
      <c r="CM876" s="11"/>
      <c r="CU876" s="17"/>
      <c r="CV876" s="265"/>
      <c r="CW876" s="265"/>
      <c r="CY876" s="11"/>
      <c r="DA876" s="12"/>
      <c r="DB876" s="13"/>
      <c r="DC876" s="14"/>
      <c r="DD876" s="265"/>
      <c r="DE876" s="265"/>
      <c r="DF876" s="265"/>
      <c r="DH876" s="15"/>
      <c r="DM876" s="4"/>
    </row>
    <row r="877" spans="2:117" ht="15" customHeight="1">
      <c r="B877" s="10"/>
      <c r="C877" s="17"/>
      <c r="E877" s="25"/>
      <c r="F877" s="35"/>
      <c r="J877" s="20"/>
      <c r="K877" s="1024"/>
      <c r="L877" s="1025"/>
      <c r="M877" s="1026"/>
      <c r="N877" s="1026"/>
      <c r="O877" s="265"/>
      <c r="P877" s="265"/>
      <c r="T877" s="265"/>
      <c r="U877" s="265"/>
      <c r="V877" s="265"/>
      <c r="X877" s="1026"/>
      <c r="Y877" s="265"/>
      <c r="Z877" s="265"/>
      <c r="AA877" s="265"/>
      <c r="AD877" s="4"/>
      <c r="AE877" s="1026"/>
      <c r="AF877" s="265"/>
      <c r="AU877" s="265"/>
      <c r="AV877" s="265"/>
      <c r="AW877" s="265"/>
      <c r="AX877" s="265"/>
      <c r="AY877" s="265"/>
      <c r="AZ877" s="265"/>
      <c r="BA877" s="265"/>
      <c r="BB877" s="265"/>
      <c r="BC877" s="265"/>
      <c r="BD877" s="265"/>
      <c r="BE877" s="265"/>
      <c r="BF877" s="265"/>
      <c r="BG877" s="265"/>
      <c r="BM877" s="6"/>
      <c r="BN877" s="6"/>
      <c r="BO877" s="6"/>
      <c r="BP877" s="1028"/>
      <c r="BT877" s="6"/>
      <c r="BU877" s="6"/>
      <c r="BV877" s="6"/>
      <c r="BW877" s="1029"/>
      <c r="BX877" s="1028"/>
      <c r="CB877" s="6"/>
      <c r="CC877" s="6"/>
      <c r="CD877" s="6"/>
      <c r="CE877" s="1029"/>
      <c r="CJ877" s="11"/>
      <c r="CM877" s="11"/>
      <c r="CU877" s="17"/>
      <c r="CV877" s="265"/>
      <c r="CW877" s="265"/>
      <c r="CY877" s="11"/>
      <c r="DA877" s="12"/>
      <c r="DB877" s="13"/>
      <c r="DC877" s="14"/>
      <c r="DD877" s="265"/>
      <c r="DE877" s="265"/>
      <c r="DF877" s="265"/>
      <c r="DH877" s="15"/>
      <c r="DM877" s="4"/>
    </row>
    <row r="878" spans="2:117" ht="15" customHeight="1">
      <c r="B878" s="10"/>
      <c r="C878" s="17"/>
      <c r="E878" s="25"/>
      <c r="F878" s="35"/>
      <c r="J878" s="20"/>
      <c r="K878" s="1024"/>
      <c r="L878" s="1025"/>
      <c r="M878" s="1026"/>
      <c r="N878" s="1026"/>
      <c r="O878" s="265"/>
      <c r="P878" s="265"/>
      <c r="T878" s="265"/>
      <c r="U878" s="265"/>
      <c r="V878" s="265"/>
      <c r="X878" s="1026"/>
      <c r="Y878" s="265"/>
      <c r="Z878" s="265"/>
      <c r="AA878" s="265"/>
      <c r="AD878" s="4"/>
      <c r="AE878" s="1026"/>
      <c r="AF878" s="265"/>
      <c r="AU878" s="265"/>
      <c r="AV878" s="265"/>
      <c r="AW878" s="265"/>
      <c r="AX878" s="265"/>
      <c r="AY878" s="265"/>
      <c r="AZ878" s="265"/>
      <c r="BA878" s="265"/>
      <c r="BB878" s="265"/>
      <c r="BC878" s="265"/>
      <c r="BD878" s="265"/>
      <c r="BE878" s="265"/>
      <c r="BF878" s="265"/>
      <c r="BG878" s="265"/>
      <c r="BM878" s="6"/>
      <c r="BN878" s="6"/>
      <c r="BO878" s="6"/>
      <c r="BP878" s="1028"/>
      <c r="BT878" s="6"/>
      <c r="BU878" s="6"/>
      <c r="BV878" s="6"/>
      <c r="BW878" s="1029"/>
      <c r="BX878" s="1028"/>
      <c r="CB878" s="6"/>
      <c r="CC878" s="6"/>
      <c r="CD878" s="6"/>
      <c r="CE878" s="1029"/>
      <c r="CJ878" s="11"/>
      <c r="CM878" s="11"/>
      <c r="CU878" s="17"/>
      <c r="CV878" s="265"/>
      <c r="CW878" s="265"/>
      <c r="CY878" s="11"/>
      <c r="DA878" s="12"/>
      <c r="DB878" s="13"/>
      <c r="DC878" s="14"/>
      <c r="DD878" s="265"/>
      <c r="DE878" s="265"/>
      <c r="DF878" s="265"/>
      <c r="DH878" s="15"/>
      <c r="DM878" s="4"/>
    </row>
    <row r="879" spans="2:117" ht="15" customHeight="1">
      <c r="B879" s="10"/>
      <c r="C879" s="17"/>
      <c r="E879" s="25"/>
      <c r="F879" s="35"/>
      <c r="J879" s="20"/>
      <c r="K879" s="1024"/>
      <c r="L879" s="1025"/>
      <c r="M879" s="1026"/>
      <c r="N879" s="1026"/>
      <c r="O879" s="265"/>
      <c r="P879" s="265"/>
      <c r="T879" s="265"/>
      <c r="U879" s="265"/>
      <c r="V879" s="265"/>
      <c r="X879" s="1026"/>
      <c r="Y879" s="265"/>
      <c r="Z879" s="265"/>
      <c r="AA879" s="265"/>
      <c r="AD879" s="4"/>
      <c r="AE879" s="1026"/>
      <c r="AF879" s="265"/>
      <c r="AU879" s="265"/>
      <c r="AV879" s="265"/>
      <c r="AW879" s="265"/>
      <c r="AX879" s="265"/>
      <c r="AY879" s="265"/>
      <c r="AZ879" s="265"/>
      <c r="BA879" s="265"/>
      <c r="BB879" s="265"/>
      <c r="BC879" s="265"/>
      <c r="BD879" s="265"/>
      <c r="BE879" s="265"/>
      <c r="BF879" s="265"/>
      <c r="BG879" s="265"/>
      <c r="BM879" s="6"/>
      <c r="BN879" s="6"/>
      <c r="BO879" s="6"/>
      <c r="BP879" s="1028"/>
      <c r="BT879" s="6"/>
      <c r="BU879" s="6"/>
      <c r="BV879" s="6"/>
      <c r="BW879" s="1029"/>
      <c r="BX879" s="1028"/>
      <c r="CB879" s="6"/>
      <c r="CC879" s="6"/>
      <c r="CD879" s="6"/>
      <c r="CE879" s="1029"/>
      <c r="CJ879" s="11"/>
      <c r="CM879" s="11"/>
      <c r="CU879" s="17"/>
      <c r="CV879" s="265"/>
      <c r="CW879" s="265"/>
      <c r="CY879" s="11"/>
      <c r="DA879" s="12"/>
      <c r="DB879" s="13"/>
      <c r="DC879" s="14"/>
      <c r="DD879" s="265"/>
      <c r="DE879" s="265"/>
      <c r="DF879" s="265"/>
      <c r="DH879" s="15"/>
      <c r="DM879" s="4"/>
    </row>
    <row r="880" spans="2:117" ht="15" customHeight="1">
      <c r="B880" s="10"/>
      <c r="C880" s="17"/>
      <c r="E880" s="25"/>
      <c r="F880" s="35"/>
      <c r="J880" s="20"/>
      <c r="K880" s="1024"/>
      <c r="L880" s="1025"/>
      <c r="M880" s="1026"/>
      <c r="N880" s="1026"/>
      <c r="O880" s="265"/>
      <c r="P880" s="265"/>
      <c r="T880" s="265"/>
      <c r="U880" s="265"/>
      <c r="V880" s="265"/>
      <c r="X880" s="1026"/>
      <c r="Y880" s="265"/>
      <c r="Z880" s="265"/>
      <c r="AA880" s="265"/>
      <c r="AD880" s="4"/>
      <c r="AE880" s="1026"/>
      <c r="AF880" s="265"/>
      <c r="AU880" s="265"/>
      <c r="AV880" s="265"/>
      <c r="AW880" s="265"/>
      <c r="AX880" s="265"/>
      <c r="AY880" s="265"/>
      <c r="AZ880" s="265"/>
      <c r="BA880" s="265"/>
      <c r="BB880" s="265"/>
      <c r="BC880" s="265"/>
      <c r="BD880" s="265"/>
      <c r="BE880" s="265"/>
      <c r="BF880" s="265"/>
      <c r="BG880" s="265"/>
      <c r="BM880" s="6"/>
      <c r="BN880" s="6"/>
      <c r="BO880" s="6"/>
      <c r="BP880" s="1028"/>
      <c r="BT880" s="6"/>
      <c r="BU880" s="6"/>
      <c r="BV880" s="6"/>
      <c r="BW880" s="1029"/>
      <c r="BX880" s="1028"/>
      <c r="CB880" s="6"/>
      <c r="CC880" s="6"/>
      <c r="CD880" s="6"/>
      <c r="CE880" s="1029"/>
      <c r="CJ880" s="11"/>
      <c r="CM880" s="11"/>
      <c r="CU880" s="17"/>
      <c r="CV880" s="265"/>
      <c r="CW880" s="265"/>
      <c r="CY880" s="11"/>
      <c r="DA880" s="12"/>
      <c r="DB880" s="13"/>
      <c r="DC880" s="14"/>
      <c r="DD880" s="265"/>
      <c r="DE880" s="265"/>
      <c r="DF880" s="265"/>
      <c r="DH880" s="15"/>
      <c r="DM880" s="4"/>
    </row>
    <row r="881" spans="2:117" ht="15" customHeight="1">
      <c r="B881" s="10"/>
      <c r="C881" s="17"/>
      <c r="E881" s="25"/>
      <c r="F881" s="35"/>
      <c r="J881" s="20"/>
      <c r="K881" s="1024"/>
      <c r="L881" s="1025"/>
      <c r="M881" s="1026"/>
      <c r="N881" s="1026"/>
      <c r="O881" s="265"/>
      <c r="P881" s="265"/>
      <c r="T881" s="265"/>
      <c r="U881" s="265"/>
      <c r="V881" s="265"/>
      <c r="X881" s="1026"/>
      <c r="Y881" s="265"/>
      <c r="Z881" s="265"/>
      <c r="AA881" s="265"/>
      <c r="AD881" s="4"/>
      <c r="AE881" s="1026"/>
      <c r="AF881" s="265"/>
      <c r="AU881" s="265"/>
      <c r="AV881" s="265"/>
      <c r="AW881" s="265"/>
      <c r="AX881" s="265"/>
      <c r="AY881" s="265"/>
      <c r="AZ881" s="265"/>
      <c r="BA881" s="265"/>
      <c r="BB881" s="265"/>
      <c r="BC881" s="265"/>
      <c r="BD881" s="265"/>
      <c r="BE881" s="265"/>
      <c r="BF881" s="265"/>
      <c r="BG881" s="265"/>
      <c r="BM881" s="6"/>
      <c r="BN881" s="6"/>
      <c r="BO881" s="6"/>
      <c r="BP881" s="1028"/>
      <c r="BT881" s="6"/>
      <c r="BU881" s="6"/>
      <c r="BV881" s="6"/>
      <c r="BW881" s="1029"/>
      <c r="BX881" s="1028"/>
      <c r="CB881" s="6"/>
      <c r="CC881" s="6"/>
      <c r="CD881" s="6"/>
      <c r="CE881" s="1029"/>
      <c r="CJ881" s="11"/>
      <c r="CM881" s="11"/>
      <c r="CU881" s="17"/>
      <c r="CV881" s="265"/>
      <c r="CW881" s="265"/>
      <c r="CY881" s="11"/>
      <c r="DA881" s="12"/>
      <c r="DB881" s="13"/>
      <c r="DC881" s="14"/>
      <c r="DD881" s="265"/>
      <c r="DE881" s="265"/>
      <c r="DF881" s="265"/>
      <c r="DH881" s="15"/>
      <c r="DM881" s="4"/>
    </row>
    <row r="882" spans="2:117" ht="15" customHeight="1">
      <c r="B882" s="10"/>
      <c r="C882" s="17"/>
      <c r="E882" s="25"/>
      <c r="F882" s="35"/>
      <c r="J882" s="20"/>
      <c r="K882" s="1024"/>
      <c r="L882" s="1025"/>
      <c r="M882" s="1026"/>
      <c r="N882" s="1026"/>
      <c r="O882" s="265"/>
      <c r="P882" s="265"/>
      <c r="T882" s="265"/>
      <c r="U882" s="265"/>
      <c r="V882" s="265"/>
      <c r="X882" s="1026"/>
      <c r="Y882" s="265"/>
      <c r="Z882" s="265"/>
      <c r="AA882" s="265"/>
      <c r="AD882" s="4"/>
      <c r="AE882" s="1026"/>
      <c r="AF882" s="265"/>
      <c r="AU882" s="265"/>
      <c r="AV882" s="265"/>
      <c r="AW882" s="265"/>
      <c r="AX882" s="265"/>
      <c r="AY882" s="265"/>
      <c r="AZ882" s="265"/>
      <c r="BA882" s="265"/>
      <c r="BB882" s="265"/>
      <c r="BC882" s="265"/>
      <c r="BD882" s="265"/>
      <c r="BE882" s="265"/>
      <c r="BF882" s="265"/>
      <c r="BG882" s="265"/>
      <c r="BM882" s="6"/>
      <c r="BN882" s="6"/>
      <c r="BO882" s="6"/>
      <c r="BP882" s="1028"/>
      <c r="BT882" s="6"/>
      <c r="BU882" s="6"/>
      <c r="BV882" s="6"/>
      <c r="BW882" s="1029"/>
      <c r="BX882" s="1028"/>
      <c r="CB882" s="6"/>
      <c r="CC882" s="6"/>
      <c r="CD882" s="6"/>
      <c r="CE882" s="1029"/>
      <c r="CJ882" s="11"/>
      <c r="CM882" s="11"/>
      <c r="CU882" s="17"/>
      <c r="CV882" s="265"/>
      <c r="CW882" s="265"/>
      <c r="CY882" s="11"/>
      <c r="DA882" s="12"/>
      <c r="DB882" s="13"/>
      <c r="DC882" s="14"/>
      <c r="DD882" s="265"/>
      <c r="DE882" s="265"/>
      <c r="DF882" s="265"/>
      <c r="DH882" s="15"/>
      <c r="DM882" s="4"/>
    </row>
    <row r="883" spans="2:117" ht="15" customHeight="1">
      <c r="B883" s="10"/>
      <c r="C883" s="17"/>
      <c r="E883" s="25"/>
      <c r="F883" s="35"/>
      <c r="J883" s="20"/>
      <c r="K883" s="1024"/>
      <c r="L883" s="1025"/>
      <c r="M883" s="1026"/>
      <c r="N883" s="1026"/>
      <c r="O883" s="265"/>
      <c r="P883" s="265"/>
      <c r="T883" s="265"/>
      <c r="U883" s="265"/>
      <c r="V883" s="265"/>
      <c r="X883" s="1026"/>
      <c r="Y883" s="265"/>
      <c r="Z883" s="265"/>
      <c r="AA883" s="265"/>
      <c r="AD883" s="4"/>
      <c r="AE883" s="1026"/>
      <c r="AF883" s="265"/>
      <c r="AU883" s="265"/>
      <c r="AV883" s="265"/>
      <c r="AW883" s="265"/>
      <c r="AX883" s="265"/>
      <c r="AY883" s="265"/>
      <c r="AZ883" s="265"/>
      <c r="BA883" s="265"/>
      <c r="BB883" s="265"/>
      <c r="BC883" s="265"/>
      <c r="BD883" s="265"/>
      <c r="BE883" s="265"/>
      <c r="BF883" s="265"/>
      <c r="BG883" s="265"/>
      <c r="BM883" s="6"/>
      <c r="BN883" s="6"/>
      <c r="BO883" s="6"/>
      <c r="BP883" s="1028"/>
      <c r="BT883" s="6"/>
      <c r="BU883" s="6"/>
      <c r="BV883" s="6"/>
      <c r="BW883" s="1029"/>
      <c r="BX883" s="1028"/>
      <c r="CB883" s="6"/>
      <c r="CC883" s="6"/>
      <c r="CD883" s="6"/>
      <c r="CE883" s="1029"/>
      <c r="CJ883" s="11"/>
      <c r="CM883" s="11"/>
      <c r="CU883" s="17"/>
      <c r="CV883" s="265"/>
      <c r="CW883" s="265"/>
      <c r="CY883" s="11"/>
      <c r="DA883" s="12"/>
      <c r="DB883" s="13"/>
      <c r="DC883" s="14"/>
      <c r="DD883" s="265"/>
      <c r="DE883" s="265"/>
      <c r="DF883" s="265"/>
      <c r="DH883" s="15"/>
      <c r="DM883" s="4"/>
    </row>
    <row r="884" spans="2:117" ht="15" customHeight="1">
      <c r="B884" s="10"/>
      <c r="C884" s="17"/>
      <c r="E884" s="25"/>
      <c r="F884" s="35"/>
      <c r="J884" s="20"/>
      <c r="K884" s="1024"/>
      <c r="L884" s="1025"/>
      <c r="M884" s="1026"/>
      <c r="N884" s="1026"/>
      <c r="O884" s="265"/>
      <c r="P884" s="265"/>
      <c r="T884" s="265"/>
      <c r="U884" s="265"/>
      <c r="V884" s="265"/>
      <c r="X884" s="1026"/>
      <c r="Y884" s="265"/>
      <c r="Z884" s="265"/>
      <c r="AA884" s="265"/>
      <c r="AD884" s="4"/>
      <c r="AE884" s="1026"/>
      <c r="AF884" s="265"/>
      <c r="AU884" s="265"/>
      <c r="AV884" s="265"/>
      <c r="AW884" s="265"/>
      <c r="AX884" s="265"/>
      <c r="AY884" s="265"/>
      <c r="AZ884" s="265"/>
      <c r="BA884" s="265"/>
      <c r="BB884" s="265"/>
      <c r="BC884" s="265"/>
      <c r="BD884" s="265"/>
      <c r="BE884" s="265"/>
      <c r="BF884" s="265"/>
      <c r="BG884" s="265"/>
      <c r="BM884" s="6"/>
      <c r="BN884" s="6"/>
      <c r="BO884" s="6"/>
      <c r="BP884" s="1028"/>
      <c r="BT884" s="6"/>
      <c r="BU884" s="6"/>
      <c r="BV884" s="6"/>
      <c r="BW884" s="1029"/>
      <c r="BX884" s="1028"/>
      <c r="CB884" s="6"/>
      <c r="CC884" s="6"/>
      <c r="CD884" s="6"/>
      <c r="CE884" s="1029"/>
      <c r="CJ884" s="11"/>
      <c r="CM884" s="11"/>
      <c r="CU884" s="17"/>
      <c r="CV884" s="265"/>
      <c r="CW884" s="265"/>
      <c r="CY884" s="11"/>
      <c r="DA884" s="12"/>
      <c r="DB884" s="13"/>
      <c r="DC884" s="14"/>
      <c r="DD884" s="265"/>
      <c r="DE884" s="265"/>
      <c r="DF884" s="265"/>
      <c r="DH884" s="15"/>
      <c r="DM884" s="4"/>
    </row>
    <row r="885" spans="2:117" ht="15" customHeight="1">
      <c r="B885" s="10"/>
      <c r="C885" s="17"/>
      <c r="E885" s="25"/>
      <c r="F885" s="35"/>
      <c r="J885" s="20"/>
      <c r="K885" s="1024"/>
      <c r="L885" s="1025"/>
      <c r="M885" s="1026"/>
      <c r="N885" s="1026"/>
      <c r="O885" s="265"/>
      <c r="P885" s="265"/>
      <c r="T885" s="265"/>
      <c r="U885" s="265"/>
      <c r="V885" s="265"/>
      <c r="X885" s="1026"/>
      <c r="Y885" s="265"/>
      <c r="Z885" s="265"/>
      <c r="AA885" s="265"/>
      <c r="AD885" s="4"/>
      <c r="AE885" s="1026"/>
      <c r="AF885" s="265"/>
      <c r="AU885" s="265"/>
      <c r="AV885" s="265"/>
      <c r="AW885" s="265"/>
      <c r="AX885" s="265"/>
      <c r="AY885" s="265"/>
      <c r="AZ885" s="265"/>
      <c r="BA885" s="265"/>
      <c r="BB885" s="265"/>
      <c r="BC885" s="265"/>
      <c r="BD885" s="265"/>
      <c r="BE885" s="265"/>
      <c r="BF885" s="265"/>
      <c r="BG885" s="265"/>
      <c r="BM885" s="6"/>
      <c r="BN885" s="6"/>
      <c r="BO885" s="6"/>
      <c r="BP885" s="1028"/>
      <c r="BT885" s="6"/>
      <c r="BU885" s="6"/>
      <c r="BV885" s="6"/>
      <c r="BW885" s="1029"/>
      <c r="BX885" s="1028"/>
      <c r="CB885" s="6"/>
      <c r="CC885" s="6"/>
      <c r="CD885" s="6"/>
      <c r="CE885" s="1029"/>
      <c r="CJ885" s="11"/>
      <c r="CM885" s="11"/>
      <c r="CU885" s="17"/>
      <c r="CV885" s="265"/>
      <c r="CW885" s="265"/>
      <c r="CY885" s="11"/>
      <c r="DA885" s="12"/>
      <c r="DB885" s="13"/>
      <c r="DC885" s="14"/>
      <c r="DD885" s="265"/>
      <c r="DE885" s="265"/>
      <c r="DF885" s="265"/>
      <c r="DH885" s="15"/>
      <c r="DM885" s="4"/>
    </row>
    <row r="886" spans="2:117" ht="15" customHeight="1">
      <c r="B886" s="10"/>
      <c r="C886" s="17"/>
      <c r="E886" s="25"/>
      <c r="F886" s="35"/>
      <c r="J886" s="20"/>
      <c r="K886" s="1024"/>
      <c r="L886" s="1025"/>
      <c r="M886" s="1026"/>
      <c r="N886" s="1026"/>
      <c r="O886" s="265"/>
      <c r="P886" s="265"/>
      <c r="T886" s="265"/>
      <c r="U886" s="265"/>
      <c r="V886" s="265"/>
      <c r="X886" s="1026"/>
      <c r="Y886" s="265"/>
      <c r="Z886" s="265"/>
      <c r="AA886" s="265"/>
      <c r="AD886" s="4"/>
      <c r="AE886" s="1026"/>
      <c r="AF886" s="265"/>
      <c r="AU886" s="265"/>
      <c r="AV886" s="265"/>
      <c r="AW886" s="265"/>
      <c r="AX886" s="265"/>
      <c r="AY886" s="265"/>
      <c r="AZ886" s="265"/>
      <c r="BA886" s="265"/>
      <c r="BB886" s="265"/>
      <c r="BC886" s="265"/>
      <c r="BD886" s="265"/>
      <c r="BE886" s="265"/>
      <c r="BF886" s="265"/>
      <c r="BG886" s="265"/>
      <c r="BM886" s="6"/>
      <c r="BN886" s="6"/>
      <c r="BO886" s="6"/>
      <c r="BP886" s="1028"/>
      <c r="BT886" s="6"/>
      <c r="BU886" s="6"/>
      <c r="BV886" s="6"/>
      <c r="BW886" s="1029"/>
      <c r="BX886" s="1028"/>
      <c r="CB886" s="6"/>
      <c r="CC886" s="6"/>
      <c r="CD886" s="6"/>
      <c r="CE886" s="1029"/>
      <c r="CJ886" s="11"/>
      <c r="CM886" s="11"/>
      <c r="CU886" s="17"/>
      <c r="CV886" s="265"/>
      <c r="CW886" s="265"/>
      <c r="CY886" s="11"/>
      <c r="DA886" s="12"/>
      <c r="DB886" s="13"/>
      <c r="DC886" s="14"/>
      <c r="DD886" s="265"/>
      <c r="DE886" s="265"/>
      <c r="DF886" s="265"/>
      <c r="DH886" s="15"/>
      <c r="DM886" s="4"/>
    </row>
    <row r="887" spans="2:117" ht="15" customHeight="1">
      <c r="B887" s="10"/>
      <c r="C887" s="17"/>
      <c r="E887" s="25"/>
      <c r="F887" s="35"/>
      <c r="J887" s="20"/>
      <c r="K887" s="1024"/>
      <c r="L887" s="1025"/>
      <c r="M887" s="1026"/>
      <c r="N887" s="1026"/>
      <c r="O887" s="265"/>
      <c r="P887" s="265"/>
      <c r="T887" s="265"/>
      <c r="U887" s="265"/>
      <c r="V887" s="265"/>
      <c r="X887" s="1026"/>
      <c r="Y887" s="265"/>
      <c r="Z887" s="265"/>
      <c r="AA887" s="265"/>
      <c r="AD887" s="4"/>
      <c r="AE887" s="1026"/>
      <c r="AF887" s="265"/>
      <c r="AU887" s="265"/>
      <c r="AV887" s="265"/>
      <c r="AW887" s="265"/>
      <c r="AX887" s="265"/>
      <c r="AY887" s="265"/>
      <c r="AZ887" s="265"/>
      <c r="BA887" s="265"/>
      <c r="BB887" s="265"/>
      <c r="BC887" s="265"/>
      <c r="BD887" s="265"/>
      <c r="BE887" s="265"/>
      <c r="BF887" s="265"/>
      <c r="BG887" s="265"/>
      <c r="BM887" s="6"/>
      <c r="BN887" s="6"/>
      <c r="BO887" s="6"/>
      <c r="BP887" s="1028"/>
      <c r="BT887" s="6"/>
      <c r="BU887" s="6"/>
      <c r="BV887" s="6"/>
      <c r="BW887" s="1029"/>
      <c r="BX887" s="1028"/>
      <c r="CB887" s="6"/>
      <c r="CC887" s="6"/>
      <c r="CD887" s="6"/>
      <c r="CE887" s="1029"/>
      <c r="CJ887" s="11"/>
      <c r="CM887" s="11"/>
      <c r="CU887" s="17"/>
      <c r="CV887" s="265"/>
      <c r="CW887" s="265"/>
      <c r="CY887" s="11"/>
      <c r="DA887" s="12"/>
      <c r="DB887" s="13"/>
      <c r="DC887" s="14"/>
      <c r="DD887" s="265"/>
      <c r="DE887" s="265"/>
      <c r="DF887" s="265"/>
      <c r="DH887" s="15"/>
      <c r="DM887" s="4"/>
    </row>
    <row r="888" spans="2:117" ht="15" customHeight="1">
      <c r="B888" s="10"/>
      <c r="C888" s="17"/>
      <c r="E888" s="25"/>
      <c r="F888" s="35"/>
      <c r="J888" s="20"/>
      <c r="K888" s="1024"/>
      <c r="L888" s="1025"/>
      <c r="M888" s="1026"/>
      <c r="N888" s="1026"/>
      <c r="O888" s="265"/>
      <c r="P888" s="265"/>
      <c r="T888" s="265"/>
      <c r="U888" s="265"/>
      <c r="V888" s="265"/>
      <c r="X888" s="1026"/>
      <c r="Y888" s="265"/>
      <c r="Z888" s="265"/>
      <c r="AA888" s="265"/>
      <c r="AD888" s="4"/>
      <c r="AE888" s="1026"/>
      <c r="AF888" s="265"/>
      <c r="AU888" s="265"/>
      <c r="AV888" s="265"/>
      <c r="AW888" s="265"/>
      <c r="AX888" s="265"/>
      <c r="AY888" s="265"/>
      <c r="AZ888" s="265"/>
      <c r="BA888" s="265"/>
      <c r="BB888" s="265"/>
      <c r="BC888" s="265"/>
      <c r="BD888" s="265"/>
      <c r="BE888" s="265"/>
      <c r="BF888" s="265"/>
      <c r="BG888" s="265"/>
      <c r="BM888" s="6"/>
      <c r="BN888" s="6"/>
      <c r="BO888" s="6"/>
      <c r="BP888" s="1028"/>
      <c r="BT888" s="6"/>
      <c r="BU888" s="6"/>
      <c r="BV888" s="6"/>
      <c r="BW888" s="1029"/>
      <c r="BX888" s="1028"/>
      <c r="CB888" s="6"/>
      <c r="CC888" s="6"/>
      <c r="CD888" s="6"/>
      <c r="CE888" s="1029"/>
      <c r="CJ888" s="11"/>
      <c r="CM888" s="11"/>
      <c r="CU888" s="17"/>
      <c r="CV888" s="265"/>
      <c r="CW888" s="265"/>
      <c r="CY888" s="11"/>
      <c r="DA888" s="12"/>
      <c r="DB888" s="13"/>
      <c r="DC888" s="14"/>
      <c r="DD888" s="265"/>
      <c r="DE888" s="265"/>
      <c r="DF888" s="265"/>
      <c r="DH888" s="15"/>
      <c r="DM888" s="4"/>
    </row>
    <row r="889" spans="2:117" ht="15" customHeight="1">
      <c r="B889" s="10"/>
      <c r="C889" s="17"/>
      <c r="E889" s="25"/>
      <c r="F889" s="35"/>
      <c r="J889" s="20"/>
      <c r="K889" s="1024"/>
      <c r="L889" s="1025"/>
      <c r="M889" s="1026"/>
      <c r="N889" s="1026"/>
      <c r="O889" s="265"/>
      <c r="P889" s="265"/>
      <c r="T889" s="265"/>
      <c r="U889" s="265"/>
      <c r="V889" s="265"/>
      <c r="X889" s="1026"/>
      <c r="Y889" s="265"/>
      <c r="Z889" s="265"/>
      <c r="AA889" s="265"/>
      <c r="AD889" s="4"/>
      <c r="AE889" s="1026"/>
      <c r="AF889" s="265"/>
      <c r="AU889" s="265"/>
      <c r="AV889" s="265"/>
      <c r="AW889" s="265"/>
      <c r="AX889" s="265"/>
      <c r="AY889" s="265"/>
      <c r="AZ889" s="265"/>
      <c r="BA889" s="265"/>
      <c r="BB889" s="265"/>
      <c r="BC889" s="265"/>
      <c r="BD889" s="265"/>
      <c r="BE889" s="265"/>
      <c r="BF889" s="265"/>
      <c r="BG889" s="265"/>
      <c r="BM889" s="6"/>
      <c r="BN889" s="6"/>
      <c r="BO889" s="6"/>
      <c r="BP889" s="1028"/>
      <c r="BT889" s="6"/>
      <c r="BU889" s="6"/>
      <c r="BV889" s="6"/>
      <c r="BW889" s="1029"/>
      <c r="BX889" s="1028"/>
      <c r="CB889" s="6"/>
      <c r="CC889" s="6"/>
      <c r="CD889" s="6"/>
      <c r="CE889" s="1029"/>
      <c r="CJ889" s="11"/>
      <c r="CM889" s="11"/>
      <c r="CU889" s="17"/>
      <c r="CV889" s="265"/>
      <c r="CW889" s="265"/>
      <c r="CY889" s="11"/>
      <c r="DA889" s="12"/>
      <c r="DB889" s="13"/>
      <c r="DC889" s="14"/>
      <c r="DD889" s="265"/>
      <c r="DE889" s="265"/>
      <c r="DF889" s="265"/>
      <c r="DH889" s="15"/>
      <c r="DM889" s="4"/>
    </row>
    <row r="890" spans="2:117" ht="15" customHeight="1">
      <c r="B890" s="10"/>
      <c r="C890" s="17"/>
      <c r="E890" s="25"/>
      <c r="F890" s="35"/>
      <c r="J890" s="20"/>
      <c r="K890" s="1024"/>
      <c r="L890" s="1025"/>
      <c r="M890" s="1026"/>
      <c r="N890" s="1026"/>
      <c r="O890" s="265"/>
      <c r="P890" s="265"/>
      <c r="T890" s="265"/>
      <c r="U890" s="265"/>
      <c r="V890" s="265"/>
      <c r="X890" s="1026"/>
      <c r="Y890" s="265"/>
      <c r="Z890" s="265"/>
      <c r="AA890" s="265"/>
      <c r="AD890" s="4"/>
      <c r="AE890" s="1026"/>
      <c r="AF890" s="265"/>
      <c r="AU890" s="265"/>
      <c r="AV890" s="265"/>
      <c r="AW890" s="265"/>
      <c r="AX890" s="265"/>
      <c r="AY890" s="265"/>
      <c r="AZ890" s="265"/>
      <c r="BA890" s="265"/>
      <c r="BB890" s="265"/>
      <c r="BC890" s="265"/>
      <c r="BD890" s="265"/>
      <c r="BE890" s="265"/>
      <c r="BF890" s="265"/>
      <c r="BG890" s="265"/>
      <c r="BM890" s="6"/>
      <c r="BN890" s="6"/>
      <c r="BO890" s="6"/>
      <c r="BP890" s="1028"/>
      <c r="BT890" s="6"/>
      <c r="BU890" s="6"/>
      <c r="BV890" s="6"/>
      <c r="BW890" s="1029"/>
      <c r="BX890" s="1028"/>
      <c r="CB890" s="6"/>
      <c r="CC890" s="6"/>
      <c r="CD890" s="6"/>
      <c r="CE890" s="1029"/>
      <c r="CJ890" s="11"/>
      <c r="CM890" s="11"/>
      <c r="CU890" s="17"/>
      <c r="CV890" s="265"/>
      <c r="CW890" s="265"/>
      <c r="CY890" s="11"/>
      <c r="DA890" s="12"/>
      <c r="DB890" s="13"/>
      <c r="DC890" s="14"/>
      <c r="DD890" s="265"/>
      <c r="DE890" s="265"/>
      <c r="DF890" s="265"/>
      <c r="DH890" s="15"/>
      <c r="DM890" s="4"/>
    </row>
    <row r="891" spans="2:117" ht="15" customHeight="1">
      <c r="B891" s="10"/>
      <c r="C891" s="17"/>
      <c r="E891" s="25"/>
      <c r="F891" s="35"/>
      <c r="J891" s="20"/>
      <c r="K891" s="1024"/>
      <c r="L891" s="1025"/>
      <c r="M891" s="1026"/>
      <c r="N891" s="1026"/>
      <c r="O891" s="265"/>
      <c r="P891" s="265"/>
      <c r="T891" s="265"/>
      <c r="U891" s="265"/>
      <c r="V891" s="265"/>
      <c r="X891" s="1026"/>
      <c r="Y891" s="265"/>
      <c r="Z891" s="265"/>
      <c r="AA891" s="265"/>
      <c r="AD891" s="4"/>
      <c r="AE891" s="1026"/>
      <c r="AF891" s="265"/>
      <c r="AU891" s="265"/>
      <c r="AV891" s="265"/>
      <c r="AW891" s="265"/>
      <c r="AX891" s="265"/>
      <c r="AY891" s="265"/>
      <c r="AZ891" s="265"/>
      <c r="BA891" s="265"/>
      <c r="BB891" s="265"/>
      <c r="BC891" s="265"/>
      <c r="BD891" s="265"/>
      <c r="BE891" s="265"/>
      <c r="BF891" s="265"/>
      <c r="BG891" s="265"/>
      <c r="BM891" s="6"/>
      <c r="BN891" s="6"/>
      <c r="BO891" s="6"/>
      <c r="BP891" s="1028"/>
      <c r="BT891" s="6"/>
      <c r="BU891" s="6"/>
      <c r="BV891" s="6"/>
      <c r="BW891" s="1029"/>
      <c r="BX891" s="1028"/>
      <c r="CB891" s="6"/>
      <c r="CC891" s="6"/>
      <c r="CD891" s="6"/>
      <c r="CE891" s="1029"/>
      <c r="CJ891" s="11"/>
      <c r="CM891" s="11"/>
      <c r="CU891" s="17"/>
      <c r="CV891" s="265"/>
      <c r="CW891" s="265"/>
      <c r="CY891" s="11"/>
      <c r="DA891" s="12"/>
      <c r="DB891" s="13"/>
      <c r="DC891" s="14"/>
      <c r="DD891" s="265"/>
      <c r="DE891" s="265"/>
      <c r="DF891" s="265"/>
      <c r="DH891" s="15"/>
      <c r="DM891" s="4"/>
    </row>
    <row r="892" spans="2:117" ht="15" customHeight="1">
      <c r="B892" s="10"/>
      <c r="C892" s="17"/>
      <c r="E892" s="25"/>
      <c r="F892" s="35"/>
      <c r="J892" s="20"/>
      <c r="K892" s="1024"/>
      <c r="L892" s="1025"/>
      <c r="M892" s="1026"/>
      <c r="N892" s="1026"/>
      <c r="O892" s="265"/>
      <c r="P892" s="265"/>
      <c r="T892" s="265"/>
      <c r="U892" s="265"/>
      <c r="V892" s="265"/>
      <c r="X892" s="1026"/>
      <c r="Y892" s="265"/>
      <c r="Z892" s="265"/>
      <c r="AA892" s="265"/>
      <c r="AD892" s="4"/>
      <c r="AE892" s="1026"/>
      <c r="AF892" s="265"/>
      <c r="AU892" s="265"/>
      <c r="AV892" s="265"/>
      <c r="AW892" s="265"/>
      <c r="AX892" s="265"/>
      <c r="AY892" s="265"/>
      <c r="AZ892" s="265"/>
      <c r="BA892" s="265"/>
      <c r="BB892" s="265"/>
      <c r="BC892" s="265"/>
      <c r="BD892" s="265"/>
      <c r="BE892" s="265"/>
      <c r="BF892" s="265"/>
      <c r="BG892" s="265"/>
      <c r="BM892" s="6"/>
      <c r="BN892" s="6"/>
      <c r="BO892" s="6"/>
      <c r="BP892" s="1028"/>
      <c r="BT892" s="6"/>
      <c r="BU892" s="6"/>
      <c r="BV892" s="6"/>
      <c r="BW892" s="1029"/>
      <c r="BX892" s="1028"/>
      <c r="CB892" s="6"/>
      <c r="CC892" s="6"/>
      <c r="CD892" s="6"/>
      <c r="CE892" s="1029"/>
      <c r="CJ892" s="11"/>
      <c r="CM892" s="11"/>
      <c r="CU892" s="17"/>
      <c r="CV892" s="265"/>
      <c r="CW892" s="265"/>
      <c r="CY892" s="11"/>
      <c r="DA892" s="12"/>
      <c r="DB892" s="13"/>
      <c r="DC892" s="14"/>
      <c r="DD892" s="265"/>
      <c r="DE892" s="265"/>
      <c r="DF892" s="265"/>
      <c r="DH892" s="15"/>
      <c r="DM892" s="4"/>
    </row>
    <row r="893" spans="2:117" ht="15" customHeight="1">
      <c r="B893" s="10"/>
      <c r="C893" s="17"/>
      <c r="E893" s="25"/>
      <c r="F893" s="35"/>
      <c r="J893" s="20"/>
      <c r="K893" s="1024"/>
      <c r="L893" s="1025"/>
      <c r="M893" s="1026"/>
      <c r="N893" s="1026"/>
      <c r="O893" s="265"/>
      <c r="P893" s="265"/>
      <c r="T893" s="265"/>
      <c r="U893" s="265"/>
      <c r="V893" s="265"/>
      <c r="X893" s="1026"/>
      <c r="Y893" s="265"/>
      <c r="Z893" s="265"/>
      <c r="AA893" s="265"/>
      <c r="AD893" s="4"/>
      <c r="AE893" s="1026"/>
      <c r="AF893" s="265"/>
      <c r="AU893" s="265"/>
      <c r="AV893" s="265"/>
      <c r="AW893" s="265"/>
      <c r="AX893" s="265"/>
      <c r="AY893" s="265"/>
      <c r="AZ893" s="265"/>
      <c r="BA893" s="265"/>
      <c r="BB893" s="265"/>
      <c r="BC893" s="265"/>
      <c r="BD893" s="265"/>
      <c r="BE893" s="265"/>
      <c r="BF893" s="265"/>
      <c r="BG893" s="265"/>
      <c r="BM893" s="6"/>
      <c r="BN893" s="6"/>
      <c r="BO893" s="6"/>
      <c r="BP893" s="1028"/>
      <c r="BT893" s="6"/>
      <c r="BU893" s="6"/>
      <c r="BV893" s="6"/>
      <c r="BW893" s="1029"/>
      <c r="BX893" s="1028"/>
      <c r="CB893" s="6"/>
      <c r="CC893" s="6"/>
      <c r="CD893" s="6"/>
      <c r="CE893" s="1029"/>
      <c r="CJ893" s="11"/>
      <c r="CM893" s="11"/>
      <c r="CU893" s="17"/>
      <c r="CV893" s="265"/>
      <c r="CW893" s="265"/>
      <c r="CY893" s="11"/>
      <c r="DA893" s="12"/>
      <c r="DB893" s="13"/>
      <c r="DC893" s="14"/>
      <c r="DD893" s="265"/>
      <c r="DE893" s="265"/>
      <c r="DF893" s="265"/>
      <c r="DH893" s="15"/>
      <c r="DM893" s="4"/>
    </row>
    <row r="894" spans="2:117" ht="15" customHeight="1">
      <c r="B894" s="10"/>
      <c r="C894" s="17"/>
      <c r="E894" s="25"/>
      <c r="F894" s="35"/>
      <c r="J894" s="20"/>
      <c r="K894" s="1024"/>
      <c r="L894" s="1025"/>
      <c r="M894" s="1026"/>
      <c r="N894" s="1026"/>
      <c r="O894" s="265"/>
      <c r="P894" s="265"/>
      <c r="T894" s="265"/>
      <c r="U894" s="265"/>
      <c r="V894" s="265"/>
      <c r="X894" s="1026"/>
      <c r="Y894" s="265"/>
      <c r="Z894" s="265"/>
      <c r="AA894" s="265"/>
      <c r="AD894" s="4"/>
      <c r="AE894" s="1026"/>
      <c r="AF894" s="265"/>
      <c r="AU894" s="265"/>
      <c r="AV894" s="265"/>
      <c r="AW894" s="265"/>
      <c r="AX894" s="265"/>
      <c r="AY894" s="265"/>
      <c r="AZ894" s="265"/>
      <c r="BA894" s="265"/>
      <c r="BB894" s="265"/>
      <c r="BC894" s="265"/>
      <c r="BD894" s="265"/>
      <c r="BE894" s="265"/>
      <c r="BF894" s="265"/>
      <c r="BG894" s="265"/>
      <c r="BM894" s="6"/>
      <c r="BN894" s="6"/>
      <c r="BO894" s="6"/>
      <c r="BP894" s="1028"/>
      <c r="BT894" s="6"/>
      <c r="BU894" s="6"/>
      <c r="BV894" s="6"/>
      <c r="BW894" s="1029"/>
      <c r="BX894" s="1028"/>
      <c r="CB894" s="6"/>
      <c r="CC894" s="6"/>
      <c r="CD894" s="6"/>
      <c r="CE894" s="1029"/>
      <c r="CJ894" s="11"/>
      <c r="CM894" s="11"/>
      <c r="CU894" s="17"/>
      <c r="CV894" s="265"/>
      <c r="CW894" s="265"/>
      <c r="CY894" s="11"/>
      <c r="DA894" s="12"/>
      <c r="DB894" s="13"/>
      <c r="DC894" s="14"/>
      <c r="DD894" s="265"/>
      <c r="DE894" s="265"/>
      <c r="DF894" s="265"/>
      <c r="DH894" s="15"/>
      <c r="DM894" s="4"/>
    </row>
    <row r="895" spans="2:117" ht="15" customHeight="1">
      <c r="B895" s="10"/>
      <c r="C895" s="17"/>
      <c r="E895" s="25"/>
      <c r="F895" s="35"/>
      <c r="J895" s="20"/>
      <c r="K895" s="1024"/>
      <c r="L895" s="1025"/>
      <c r="M895" s="1026"/>
      <c r="N895" s="1026"/>
      <c r="O895" s="265"/>
      <c r="P895" s="265"/>
      <c r="T895" s="265"/>
      <c r="U895" s="265"/>
      <c r="V895" s="265"/>
      <c r="X895" s="1026"/>
      <c r="Y895" s="265"/>
      <c r="Z895" s="265"/>
      <c r="AA895" s="265"/>
      <c r="AD895" s="4"/>
      <c r="AE895" s="1026"/>
      <c r="AF895" s="265"/>
      <c r="AU895" s="265"/>
      <c r="AV895" s="265"/>
      <c r="AW895" s="265"/>
      <c r="AX895" s="265"/>
      <c r="AY895" s="265"/>
      <c r="AZ895" s="265"/>
      <c r="BA895" s="265"/>
      <c r="BB895" s="265"/>
      <c r="BC895" s="265"/>
      <c r="BD895" s="265"/>
      <c r="BE895" s="265"/>
      <c r="BF895" s="265"/>
      <c r="BG895" s="265"/>
      <c r="BM895" s="6"/>
      <c r="BN895" s="6"/>
      <c r="BO895" s="6"/>
      <c r="BP895" s="1028"/>
      <c r="BT895" s="6"/>
      <c r="BU895" s="6"/>
      <c r="BV895" s="6"/>
      <c r="BW895" s="1029"/>
      <c r="BX895" s="1028"/>
      <c r="CB895" s="6"/>
      <c r="CC895" s="6"/>
      <c r="CD895" s="6"/>
      <c r="CE895" s="1029"/>
      <c r="CJ895" s="11"/>
      <c r="CM895" s="11"/>
      <c r="CU895" s="17"/>
      <c r="CV895" s="265"/>
      <c r="CW895" s="265"/>
      <c r="CY895" s="11"/>
      <c r="DA895" s="12"/>
      <c r="DB895" s="13"/>
      <c r="DC895" s="14"/>
      <c r="DD895" s="265"/>
      <c r="DE895" s="265"/>
      <c r="DF895" s="265"/>
      <c r="DH895" s="15"/>
      <c r="DM895" s="4"/>
    </row>
    <row r="896" spans="2:117" ht="15" customHeight="1">
      <c r="B896" s="10"/>
      <c r="C896" s="17"/>
      <c r="E896" s="25"/>
      <c r="F896" s="35"/>
      <c r="J896" s="20"/>
      <c r="K896" s="1024"/>
      <c r="L896" s="1025"/>
      <c r="M896" s="1026"/>
      <c r="N896" s="1026"/>
      <c r="O896" s="265"/>
      <c r="P896" s="265"/>
      <c r="T896" s="265"/>
      <c r="U896" s="265"/>
      <c r="V896" s="265"/>
      <c r="X896" s="1026"/>
      <c r="Y896" s="265"/>
      <c r="Z896" s="265"/>
      <c r="AA896" s="265"/>
      <c r="AD896" s="4"/>
      <c r="AE896" s="1026"/>
      <c r="AF896" s="265"/>
      <c r="AU896" s="265"/>
      <c r="AV896" s="265"/>
      <c r="AW896" s="265"/>
      <c r="AX896" s="265"/>
      <c r="AY896" s="265"/>
      <c r="AZ896" s="265"/>
      <c r="BA896" s="265"/>
      <c r="BB896" s="265"/>
      <c r="BC896" s="265"/>
      <c r="BD896" s="265"/>
      <c r="BE896" s="265"/>
      <c r="BF896" s="265"/>
      <c r="BG896" s="265"/>
      <c r="BM896" s="6"/>
      <c r="BN896" s="6"/>
      <c r="BO896" s="6"/>
      <c r="BP896" s="1028"/>
      <c r="BT896" s="6"/>
      <c r="BU896" s="6"/>
      <c r="BV896" s="6"/>
      <c r="BW896" s="1029"/>
      <c r="BX896" s="1028"/>
      <c r="CB896" s="6"/>
      <c r="CC896" s="6"/>
      <c r="CD896" s="6"/>
      <c r="CE896" s="1029"/>
      <c r="CJ896" s="11"/>
      <c r="CM896" s="11"/>
      <c r="CU896" s="17"/>
      <c r="CV896" s="265"/>
      <c r="CW896" s="265"/>
      <c r="CY896" s="11"/>
      <c r="DA896" s="12"/>
      <c r="DB896" s="13"/>
      <c r="DC896" s="14"/>
      <c r="DD896" s="265"/>
      <c r="DE896" s="265"/>
      <c r="DF896" s="265"/>
      <c r="DH896" s="15"/>
      <c r="DM896" s="4"/>
    </row>
    <row r="897" spans="2:117" ht="15" customHeight="1">
      <c r="B897" s="10"/>
      <c r="C897" s="17"/>
      <c r="E897" s="25"/>
      <c r="F897" s="35"/>
      <c r="J897" s="20"/>
      <c r="K897" s="1024"/>
      <c r="L897" s="1025"/>
      <c r="M897" s="1026"/>
      <c r="N897" s="1026"/>
      <c r="O897" s="265"/>
      <c r="P897" s="265"/>
      <c r="T897" s="265"/>
      <c r="U897" s="265"/>
      <c r="V897" s="265"/>
      <c r="X897" s="1026"/>
      <c r="Y897" s="265"/>
      <c r="Z897" s="265"/>
      <c r="AA897" s="265"/>
      <c r="AD897" s="4"/>
      <c r="AE897" s="1026"/>
      <c r="AF897" s="265"/>
      <c r="AU897" s="265"/>
      <c r="AV897" s="265"/>
      <c r="AW897" s="265"/>
      <c r="AX897" s="265"/>
      <c r="AY897" s="265"/>
      <c r="AZ897" s="265"/>
      <c r="BA897" s="265"/>
      <c r="BB897" s="265"/>
      <c r="BC897" s="265"/>
      <c r="BD897" s="265"/>
      <c r="BE897" s="265"/>
      <c r="BF897" s="265"/>
      <c r="BG897" s="265"/>
      <c r="BM897" s="6"/>
      <c r="BN897" s="6"/>
      <c r="BO897" s="6"/>
      <c r="BP897" s="1028"/>
      <c r="BT897" s="6"/>
      <c r="BU897" s="6"/>
      <c r="BV897" s="6"/>
      <c r="BW897" s="1029"/>
      <c r="BX897" s="1028"/>
      <c r="CB897" s="6"/>
      <c r="CC897" s="6"/>
      <c r="CD897" s="6"/>
      <c r="CE897" s="1029"/>
      <c r="CJ897" s="11"/>
      <c r="CM897" s="11"/>
      <c r="CU897" s="17"/>
      <c r="CV897" s="265"/>
      <c r="CW897" s="265"/>
      <c r="CY897" s="11"/>
      <c r="DA897" s="12"/>
      <c r="DB897" s="13"/>
      <c r="DC897" s="14"/>
      <c r="DD897" s="265"/>
      <c r="DE897" s="265"/>
      <c r="DF897" s="265"/>
      <c r="DH897" s="15"/>
      <c r="DM897" s="4"/>
    </row>
    <row r="898" spans="2:117" ht="15" customHeight="1">
      <c r="B898" s="10"/>
      <c r="C898" s="17"/>
      <c r="E898" s="25"/>
      <c r="F898" s="35"/>
      <c r="J898" s="20"/>
      <c r="K898" s="1024"/>
      <c r="L898" s="1025"/>
      <c r="M898" s="1026"/>
      <c r="N898" s="1026"/>
      <c r="O898" s="265"/>
      <c r="P898" s="265"/>
      <c r="T898" s="265"/>
      <c r="U898" s="265"/>
      <c r="V898" s="265"/>
      <c r="X898" s="1026"/>
      <c r="Y898" s="265"/>
      <c r="Z898" s="265"/>
      <c r="AA898" s="265"/>
      <c r="AD898" s="4"/>
      <c r="AE898" s="1026"/>
      <c r="AF898" s="265"/>
      <c r="AU898" s="265"/>
      <c r="AV898" s="265"/>
      <c r="AW898" s="265"/>
      <c r="AX898" s="265"/>
      <c r="AY898" s="265"/>
      <c r="AZ898" s="265"/>
      <c r="BA898" s="265"/>
      <c r="BB898" s="265"/>
      <c r="BC898" s="265"/>
      <c r="BD898" s="265"/>
      <c r="BE898" s="265"/>
      <c r="BF898" s="265"/>
      <c r="BG898" s="265"/>
      <c r="BM898" s="6"/>
      <c r="BN898" s="6"/>
      <c r="BO898" s="6"/>
      <c r="BP898" s="1028"/>
      <c r="BT898" s="6"/>
      <c r="BU898" s="6"/>
      <c r="BV898" s="6"/>
      <c r="BW898" s="1029"/>
      <c r="BX898" s="1028"/>
      <c r="CB898" s="6"/>
      <c r="CC898" s="6"/>
      <c r="CD898" s="6"/>
      <c r="CE898" s="1029"/>
      <c r="CJ898" s="11"/>
      <c r="CM898" s="11"/>
      <c r="CU898" s="17"/>
      <c r="CV898" s="265"/>
      <c r="CW898" s="265"/>
      <c r="CY898" s="11"/>
      <c r="DA898" s="12"/>
      <c r="DB898" s="13"/>
      <c r="DC898" s="14"/>
      <c r="DD898" s="265"/>
      <c r="DE898" s="265"/>
      <c r="DF898" s="265"/>
      <c r="DH898" s="15"/>
      <c r="DM898" s="4"/>
    </row>
    <row r="899" spans="2:117" ht="15" customHeight="1">
      <c r="B899" s="10"/>
      <c r="C899" s="17"/>
      <c r="E899" s="25"/>
      <c r="F899" s="35"/>
      <c r="J899" s="20"/>
      <c r="K899" s="1024"/>
      <c r="L899" s="1025"/>
      <c r="M899" s="1026"/>
      <c r="N899" s="1026"/>
      <c r="O899" s="265"/>
      <c r="P899" s="265"/>
      <c r="T899" s="265"/>
      <c r="U899" s="265"/>
      <c r="V899" s="265"/>
      <c r="X899" s="1026"/>
      <c r="Y899" s="265"/>
      <c r="Z899" s="265"/>
      <c r="AA899" s="265"/>
      <c r="AD899" s="4"/>
      <c r="AE899" s="1026"/>
      <c r="AF899" s="265"/>
      <c r="AU899" s="265"/>
      <c r="AV899" s="265"/>
      <c r="AW899" s="265"/>
      <c r="AX899" s="265"/>
      <c r="AY899" s="265"/>
      <c r="AZ899" s="265"/>
      <c r="BA899" s="265"/>
      <c r="BB899" s="265"/>
      <c r="BC899" s="265"/>
      <c r="BD899" s="265"/>
      <c r="BE899" s="265"/>
      <c r="BF899" s="265"/>
      <c r="BG899" s="265"/>
      <c r="BM899" s="6"/>
      <c r="BN899" s="6"/>
      <c r="BO899" s="6"/>
      <c r="BP899" s="1028"/>
      <c r="BT899" s="6"/>
      <c r="BU899" s="6"/>
      <c r="BV899" s="6"/>
      <c r="BW899" s="1029"/>
      <c r="BX899" s="1028"/>
      <c r="CB899" s="6"/>
      <c r="CC899" s="6"/>
      <c r="CD899" s="6"/>
      <c r="CE899" s="1029"/>
      <c r="CJ899" s="11"/>
      <c r="CM899" s="11"/>
      <c r="CU899" s="17"/>
      <c r="CV899" s="265"/>
      <c r="CW899" s="265"/>
      <c r="CY899" s="11"/>
      <c r="DA899" s="12"/>
      <c r="DB899" s="13"/>
      <c r="DC899" s="14"/>
      <c r="DD899" s="265"/>
      <c r="DE899" s="265"/>
      <c r="DF899" s="265"/>
      <c r="DH899" s="15"/>
      <c r="DM899" s="4"/>
    </row>
    <row r="900" spans="2:117" ht="15" customHeight="1">
      <c r="B900" s="10"/>
      <c r="C900" s="17"/>
      <c r="E900" s="25"/>
      <c r="F900" s="35"/>
      <c r="J900" s="20"/>
      <c r="K900" s="1024"/>
      <c r="L900" s="1025"/>
      <c r="M900" s="1026"/>
      <c r="N900" s="1026"/>
      <c r="O900" s="265"/>
      <c r="P900" s="265"/>
      <c r="T900" s="265"/>
      <c r="U900" s="265"/>
      <c r="V900" s="265"/>
      <c r="X900" s="1026"/>
      <c r="Y900" s="265"/>
      <c r="Z900" s="265"/>
      <c r="AA900" s="265"/>
      <c r="AD900" s="4"/>
      <c r="AE900" s="1026"/>
      <c r="AF900" s="265"/>
      <c r="AU900" s="265"/>
      <c r="AV900" s="265"/>
      <c r="AW900" s="265"/>
      <c r="AX900" s="265"/>
      <c r="AY900" s="265"/>
      <c r="AZ900" s="265"/>
      <c r="BA900" s="265"/>
      <c r="BB900" s="265"/>
      <c r="BC900" s="265"/>
      <c r="BD900" s="265"/>
      <c r="BE900" s="265"/>
      <c r="BF900" s="265"/>
      <c r="BG900" s="265"/>
      <c r="BM900" s="6"/>
      <c r="BN900" s="6"/>
      <c r="BO900" s="6"/>
      <c r="BP900" s="1028"/>
      <c r="BT900" s="6"/>
      <c r="BU900" s="6"/>
      <c r="BV900" s="6"/>
      <c r="BW900" s="1029"/>
      <c r="BX900" s="1028"/>
      <c r="CB900" s="6"/>
      <c r="CC900" s="6"/>
      <c r="CD900" s="6"/>
      <c r="CE900" s="1029"/>
      <c r="CJ900" s="11"/>
      <c r="CM900" s="11"/>
      <c r="CU900" s="17"/>
      <c r="CV900" s="265"/>
      <c r="CW900" s="265"/>
      <c r="CY900" s="11"/>
      <c r="DA900" s="12"/>
      <c r="DB900" s="13"/>
      <c r="DC900" s="14"/>
      <c r="DD900" s="265"/>
      <c r="DE900" s="265"/>
      <c r="DF900" s="265"/>
      <c r="DH900" s="15"/>
      <c r="DM900" s="4"/>
    </row>
    <row r="901" spans="2:117" ht="15" customHeight="1">
      <c r="B901" s="10"/>
      <c r="C901" s="17"/>
      <c r="E901" s="25"/>
      <c r="F901" s="35"/>
      <c r="J901" s="20"/>
      <c r="K901" s="1024"/>
      <c r="L901" s="1025"/>
      <c r="M901" s="1026"/>
      <c r="N901" s="1026"/>
      <c r="O901" s="265"/>
      <c r="P901" s="265"/>
      <c r="T901" s="265"/>
      <c r="U901" s="265"/>
      <c r="V901" s="265"/>
      <c r="X901" s="1026"/>
      <c r="Y901" s="265"/>
      <c r="Z901" s="265"/>
      <c r="AA901" s="265"/>
      <c r="AD901" s="4"/>
      <c r="AE901" s="1026"/>
      <c r="AF901" s="265"/>
      <c r="AU901" s="265"/>
      <c r="AV901" s="265"/>
      <c r="AW901" s="265"/>
      <c r="AX901" s="265"/>
      <c r="AY901" s="265"/>
      <c r="AZ901" s="265"/>
      <c r="BA901" s="265"/>
      <c r="BB901" s="265"/>
      <c r="BC901" s="265"/>
      <c r="BD901" s="265"/>
      <c r="BE901" s="265"/>
      <c r="BF901" s="265"/>
      <c r="BG901" s="265"/>
      <c r="BM901" s="6"/>
      <c r="BN901" s="6"/>
      <c r="BO901" s="6"/>
      <c r="BP901" s="1028"/>
      <c r="BT901" s="6"/>
      <c r="BU901" s="6"/>
      <c r="BV901" s="6"/>
      <c r="BW901" s="1029"/>
      <c r="BX901" s="1028"/>
      <c r="CB901" s="6"/>
      <c r="CC901" s="6"/>
      <c r="CD901" s="6"/>
      <c r="CE901" s="1029"/>
      <c r="CJ901" s="11"/>
      <c r="CM901" s="11"/>
      <c r="CU901" s="17"/>
      <c r="CV901" s="265"/>
      <c r="CW901" s="265"/>
      <c r="CY901" s="11"/>
      <c r="DA901" s="12"/>
      <c r="DB901" s="13"/>
      <c r="DC901" s="14"/>
      <c r="DD901" s="265"/>
      <c r="DE901" s="265"/>
      <c r="DF901" s="265"/>
      <c r="DH901" s="15"/>
      <c r="DM901" s="4"/>
    </row>
    <row r="902" spans="2:117" ht="15" customHeight="1">
      <c r="B902" s="10"/>
      <c r="C902" s="17"/>
      <c r="E902" s="25"/>
      <c r="F902" s="35"/>
      <c r="J902" s="20"/>
      <c r="K902" s="1024"/>
      <c r="L902" s="1025"/>
      <c r="M902" s="1026"/>
      <c r="N902" s="1026"/>
      <c r="O902" s="265"/>
      <c r="P902" s="265"/>
      <c r="T902" s="265"/>
      <c r="U902" s="265"/>
      <c r="V902" s="265"/>
      <c r="X902" s="1026"/>
      <c r="Y902" s="265"/>
      <c r="Z902" s="265"/>
      <c r="AA902" s="265"/>
      <c r="AD902" s="4"/>
      <c r="AE902" s="1026"/>
      <c r="AF902" s="265"/>
      <c r="AU902" s="265"/>
      <c r="AV902" s="265"/>
      <c r="AW902" s="265"/>
      <c r="AX902" s="265"/>
      <c r="AY902" s="265"/>
      <c r="AZ902" s="265"/>
      <c r="BA902" s="265"/>
      <c r="BB902" s="265"/>
      <c r="BC902" s="265"/>
      <c r="BD902" s="265"/>
      <c r="BE902" s="265"/>
      <c r="BF902" s="265"/>
      <c r="BG902" s="265"/>
      <c r="BM902" s="6"/>
      <c r="BN902" s="6"/>
      <c r="BO902" s="6"/>
      <c r="BP902" s="1028"/>
      <c r="BT902" s="6"/>
      <c r="BU902" s="6"/>
      <c r="BV902" s="6"/>
      <c r="BW902" s="1029"/>
      <c r="BX902" s="1028"/>
      <c r="CB902" s="6"/>
      <c r="CC902" s="6"/>
      <c r="CD902" s="6"/>
      <c r="CE902" s="1029"/>
      <c r="CJ902" s="11"/>
      <c r="CM902" s="11"/>
      <c r="CU902" s="17"/>
      <c r="CV902" s="265"/>
      <c r="CW902" s="265"/>
      <c r="CY902" s="11"/>
      <c r="DA902" s="12"/>
      <c r="DB902" s="13"/>
      <c r="DC902" s="14"/>
      <c r="DD902" s="265"/>
      <c r="DE902" s="265"/>
      <c r="DF902" s="265"/>
      <c r="DH902" s="15"/>
      <c r="DM902" s="4"/>
    </row>
    <row r="903" spans="2:117" ht="15" customHeight="1">
      <c r="B903" s="10"/>
      <c r="C903" s="17"/>
      <c r="E903" s="25"/>
      <c r="F903" s="35"/>
      <c r="J903" s="20"/>
      <c r="K903" s="1024"/>
      <c r="L903" s="1025"/>
      <c r="M903" s="1026"/>
      <c r="N903" s="1026"/>
      <c r="O903" s="265"/>
      <c r="P903" s="265"/>
      <c r="T903" s="265"/>
      <c r="U903" s="265"/>
      <c r="V903" s="265"/>
      <c r="X903" s="1026"/>
      <c r="Y903" s="265"/>
      <c r="Z903" s="265"/>
      <c r="AA903" s="265"/>
      <c r="AD903" s="4"/>
      <c r="AE903" s="1026"/>
      <c r="AF903" s="265"/>
      <c r="AU903" s="265"/>
      <c r="AV903" s="265"/>
      <c r="AW903" s="265"/>
      <c r="AX903" s="265"/>
      <c r="AY903" s="265"/>
      <c r="AZ903" s="265"/>
      <c r="BA903" s="265"/>
      <c r="BB903" s="265"/>
      <c r="BC903" s="265"/>
      <c r="BD903" s="265"/>
      <c r="BE903" s="265"/>
      <c r="BF903" s="265"/>
      <c r="BG903" s="265"/>
      <c r="BM903" s="6"/>
      <c r="BN903" s="6"/>
      <c r="BO903" s="6"/>
      <c r="BP903" s="1028"/>
      <c r="BT903" s="6"/>
      <c r="BU903" s="6"/>
      <c r="BV903" s="6"/>
      <c r="BW903" s="1029"/>
      <c r="BX903" s="1028"/>
      <c r="CB903" s="6"/>
      <c r="CC903" s="6"/>
      <c r="CD903" s="6"/>
      <c r="CE903" s="1029"/>
      <c r="CJ903" s="11"/>
      <c r="CM903" s="11"/>
      <c r="CU903" s="17"/>
      <c r="CV903" s="265"/>
      <c r="CW903" s="265"/>
      <c r="CY903" s="11"/>
      <c r="DA903" s="12"/>
      <c r="DB903" s="13"/>
      <c r="DC903" s="14"/>
      <c r="DD903" s="265"/>
      <c r="DE903" s="265"/>
      <c r="DF903" s="265"/>
      <c r="DH903" s="15"/>
      <c r="DM903" s="4"/>
    </row>
    <row r="904" spans="2:117" ht="15" customHeight="1">
      <c r="B904" s="10"/>
      <c r="C904" s="17"/>
      <c r="E904" s="25"/>
      <c r="F904" s="35"/>
      <c r="J904" s="20"/>
      <c r="K904" s="1024"/>
      <c r="L904" s="1025"/>
      <c r="M904" s="1026"/>
      <c r="N904" s="1026"/>
      <c r="O904" s="265"/>
      <c r="P904" s="265"/>
      <c r="T904" s="265"/>
      <c r="U904" s="265"/>
      <c r="V904" s="265"/>
      <c r="X904" s="1026"/>
      <c r="Y904" s="265"/>
      <c r="Z904" s="265"/>
      <c r="AA904" s="265"/>
      <c r="AD904" s="4"/>
      <c r="AE904" s="1026"/>
      <c r="AF904" s="265"/>
      <c r="AU904" s="265"/>
      <c r="AV904" s="265"/>
      <c r="AW904" s="265"/>
      <c r="AX904" s="265"/>
      <c r="AY904" s="265"/>
      <c r="AZ904" s="265"/>
      <c r="BA904" s="265"/>
      <c r="BB904" s="265"/>
      <c r="BC904" s="265"/>
      <c r="BD904" s="265"/>
      <c r="BE904" s="265"/>
      <c r="BF904" s="265"/>
      <c r="BG904" s="265"/>
      <c r="BM904" s="6"/>
      <c r="BN904" s="6"/>
      <c r="BO904" s="6"/>
      <c r="BP904" s="1028"/>
      <c r="BT904" s="6"/>
      <c r="BU904" s="6"/>
      <c r="BV904" s="6"/>
      <c r="BW904" s="1029"/>
      <c r="BX904" s="1028"/>
      <c r="CB904" s="6"/>
      <c r="CC904" s="6"/>
      <c r="CD904" s="6"/>
      <c r="CE904" s="1029"/>
      <c r="CJ904" s="11"/>
      <c r="CM904" s="11"/>
      <c r="CU904" s="17"/>
      <c r="CV904" s="265"/>
      <c r="CW904" s="265"/>
      <c r="CY904" s="11"/>
      <c r="DA904" s="12"/>
      <c r="DB904" s="13"/>
      <c r="DC904" s="14"/>
      <c r="DD904" s="265"/>
      <c r="DE904" s="265"/>
      <c r="DF904" s="265"/>
      <c r="DH904" s="15"/>
      <c r="DM904" s="4"/>
    </row>
    <row r="905" spans="2:117" ht="15" customHeight="1">
      <c r="B905" s="10"/>
      <c r="C905" s="17"/>
      <c r="E905" s="25"/>
      <c r="F905" s="35"/>
      <c r="J905" s="20"/>
      <c r="K905" s="1024"/>
      <c r="L905" s="1025"/>
      <c r="M905" s="1026"/>
      <c r="N905" s="1026"/>
      <c r="O905" s="265"/>
      <c r="P905" s="265"/>
      <c r="T905" s="265"/>
      <c r="U905" s="265"/>
      <c r="V905" s="265"/>
      <c r="X905" s="1026"/>
      <c r="Y905" s="265"/>
      <c r="Z905" s="265"/>
      <c r="AA905" s="265"/>
      <c r="AD905" s="4"/>
      <c r="AE905" s="1026"/>
      <c r="AF905" s="265"/>
      <c r="AU905" s="265"/>
      <c r="AV905" s="265"/>
      <c r="AW905" s="265"/>
      <c r="AX905" s="265"/>
      <c r="AY905" s="265"/>
      <c r="AZ905" s="265"/>
      <c r="BA905" s="265"/>
      <c r="BB905" s="265"/>
      <c r="BC905" s="265"/>
      <c r="BD905" s="265"/>
      <c r="BE905" s="265"/>
      <c r="BF905" s="265"/>
      <c r="BG905" s="265"/>
      <c r="BM905" s="6"/>
      <c r="BN905" s="6"/>
      <c r="BO905" s="6"/>
      <c r="BP905" s="1028"/>
      <c r="BT905" s="6"/>
      <c r="BU905" s="6"/>
      <c r="BV905" s="6"/>
      <c r="BW905" s="1029"/>
      <c r="BX905" s="1028"/>
      <c r="CB905" s="6"/>
      <c r="CC905" s="6"/>
      <c r="CD905" s="6"/>
      <c r="CE905" s="1029"/>
      <c r="CJ905" s="11"/>
      <c r="CM905" s="11"/>
      <c r="CU905" s="17"/>
      <c r="CV905" s="265"/>
      <c r="CW905" s="265"/>
      <c r="CY905" s="11"/>
      <c r="DA905" s="12"/>
      <c r="DB905" s="13"/>
      <c r="DC905" s="14"/>
      <c r="DD905" s="265"/>
      <c r="DE905" s="265"/>
      <c r="DF905" s="265"/>
      <c r="DH905" s="15"/>
      <c r="DM905" s="4"/>
    </row>
    <row r="906" spans="2:117" ht="15" customHeight="1">
      <c r="B906" s="10"/>
      <c r="C906" s="17"/>
      <c r="E906" s="25"/>
      <c r="F906" s="35"/>
      <c r="J906" s="20"/>
      <c r="K906" s="1024"/>
      <c r="L906" s="1025"/>
      <c r="M906" s="1026"/>
      <c r="N906" s="1026"/>
      <c r="O906" s="265"/>
      <c r="P906" s="265"/>
      <c r="T906" s="265"/>
      <c r="U906" s="265"/>
      <c r="V906" s="265"/>
      <c r="X906" s="1026"/>
      <c r="Y906" s="265"/>
      <c r="Z906" s="265"/>
      <c r="AA906" s="265"/>
      <c r="AD906" s="4"/>
      <c r="AE906" s="1026"/>
      <c r="AF906" s="265"/>
      <c r="AU906" s="265"/>
      <c r="AV906" s="265"/>
      <c r="AW906" s="265"/>
      <c r="AX906" s="265"/>
      <c r="AY906" s="265"/>
      <c r="AZ906" s="265"/>
      <c r="BA906" s="265"/>
      <c r="BB906" s="265"/>
      <c r="BC906" s="265"/>
      <c r="BD906" s="265"/>
      <c r="BE906" s="265"/>
      <c r="BF906" s="265"/>
      <c r="BG906" s="265"/>
      <c r="BM906" s="6"/>
      <c r="BN906" s="6"/>
      <c r="BO906" s="6"/>
      <c r="BP906" s="1028"/>
      <c r="BT906" s="6"/>
      <c r="BU906" s="6"/>
      <c r="BV906" s="6"/>
      <c r="BW906" s="1029"/>
      <c r="BX906" s="1028"/>
      <c r="CB906" s="6"/>
      <c r="CC906" s="6"/>
      <c r="CD906" s="6"/>
      <c r="CE906" s="1029"/>
      <c r="CJ906" s="11"/>
      <c r="CM906" s="11"/>
      <c r="CU906" s="17"/>
      <c r="CV906" s="265"/>
      <c r="CW906" s="265"/>
      <c r="CY906" s="11"/>
      <c r="DA906" s="12"/>
      <c r="DB906" s="13"/>
      <c r="DC906" s="14"/>
      <c r="DD906" s="265"/>
      <c r="DE906" s="265"/>
      <c r="DF906" s="265"/>
      <c r="DH906" s="15"/>
      <c r="DM906" s="4"/>
    </row>
    <row r="907" spans="2:117" ht="15" customHeight="1">
      <c r="B907" s="10"/>
      <c r="C907" s="17"/>
      <c r="E907" s="25"/>
      <c r="F907" s="35"/>
      <c r="J907" s="20"/>
      <c r="K907" s="1024"/>
      <c r="L907" s="1025"/>
      <c r="M907" s="1026"/>
      <c r="N907" s="1026"/>
      <c r="O907" s="265"/>
      <c r="P907" s="265"/>
      <c r="T907" s="265"/>
      <c r="U907" s="265"/>
      <c r="V907" s="265"/>
      <c r="X907" s="1026"/>
      <c r="Y907" s="265"/>
      <c r="Z907" s="265"/>
      <c r="AA907" s="265"/>
      <c r="AD907" s="4"/>
      <c r="AE907" s="1026"/>
      <c r="AF907" s="265"/>
      <c r="AU907" s="265"/>
      <c r="AV907" s="265"/>
      <c r="AW907" s="265"/>
      <c r="AX907" s="265"/>
      <c r="AY907" s="265"/>
      <c r="AZ907" s="265"/>
      <c r="BA907" s="265"/>
      <c r="BB907" s="265"/>
      <c r="BC907" s="265"/>
      <c r="BD907" s="265"/>
      <c r="BE907" s="265"/>
      <c r="BF907" s="265"/>
      <c r="BG907" s="265"/>
      <c r="BM907" s="6"/>
      <c r="BN907" s="6"/>
      <c r="BO907" s="6"/>
      <c r="BP907" s="1028"/>
      <c r="BT907" s="6"/>
      <c r="BU907" s="6"/>
      <c r="BV907" s="6"/>
      <c r="BW907" s="1029"/>
      <c r="BX907" s="1028"/>
      <c r="CB907" s="6"/>
      <c r="CC907" s="6"/>
      <c r="CD907" s="6"/>
      <c r="CE907" s="1029"/>
      <c r="CJ907" s="11"/>
      <c r="CM907" s="11"/>
      <c r="CU907" s="17"/>
      <c r="CV907" s="265"/>
      <c r="CW907" s="265"/>
      <c r="CY907" s="11"/>
      <c r="DA907" s="12"/>
      <c r="DB907" s="13"/>
      <c r="DC907" s="14"/>
      <c r="DD907" s="265"/>
      <c r="DE907" s="265"/>
      <c r="DF907" s="265"/>
      <c r="DH907" s="15"/>
      <c r="DM907" s="4"/>
    </row>
    <row r="908" spans="2:117" ht="15" customHeight="1">
      <c r="B908" s="10"/>
      <c r="C908" s="17"/>
      <c r="E908" s="25"/>
      <c r="F908" s="35"/>
      <c r="J908" s="20"/>
      <c r="K908" s="1024"/>
      <c r="L908" s="1025"/>
      <c r="M908" s="1026"/>
      <c r="N908" s="1026"/>
      <c r="O908" s="265"/>
      <c r="P908" s="265"/>
      <c r="T908" s="265"/>
      <c r="U908" s="265"/>
      <c r="V908" s="265"/>
      <c r="X908" s="1026"/>
      <c r="Y908" s="265"/>
      <c r="Z908" s="265"/>
      <c r="AA908" s="265"/>
      <c r="AD908" s="4"/>
      <c r="AE908" s="1026"/>
      <c r="AF908" s="265"/>
      <c r="AU908" s="265"/>
      <c r="AV908" s="265"/>
      <c r="AW908" s="265"/>
      <c r="AX908" s="265"/>
      <c r="AY908" s="265"/>
      <c r="AZ908" s="265"/>
      <c r="BA908" s="265"/>
      <c r="BB908" s="265"/>
      <c r="BC908" s="265"/>
      <c r="BD908" s="265"/>
      <c r="BE908" s="265"/>
      <c r="BF908" s="265"/>
      <c r="BG908" s="265"/>
      <c r="BM908" s="6"/>
      <c r="BN908" s="6"/>
      <c r="BO908" s="6"/>
      <c r="BP908" s="1028"/>
      <c r="BT908" s="6"/>
      <c r="BU908" s="6"/>
      <c r="BV908" s="6"/>
      <c r="BW908" s="1029"/>
      <c r="BX908" s="1028"/>
      <c r="CB908" s="6"/>
      <c r="CC908" s="6"/>
      <c r="CD908" s="6"/>
      <c r="CE908" s="1029"/>
      <c r="CJ908" s="11"/>
      <c r="CM908" s="11"/>
      <c r="CU908" s="17"/>
      <c r="CV908" s="265"/>
      <c r="CW908" s="265"/>
      <c r="CY908" s="11"/>
      <c r="DA908" s="12"/>
      <c r="DB908" s="13"/>
      <c r="DC908" s="14"/>
      <c r="DD908" s="265"/>
      <c r="DE908" s="265"/>
      <c r="DF908" s="265"/>
      <c r="DH908" s="15"/>
      <c r="DM908" s="4"/>
    </row>
    <row r="909" spans="2:117" ht="15" customHeight="1">
      <c r="B909" s="10"/>
      <c r="C909" s="17"/>
      <c r="E909" s="25"/>
      <c r="F909" s="35"/>
      <c r="J909" s="20"/>
      <c r="K909" s="1024"/>
      <c r="L909" s="1025"/>
      <c r="M909" s="1026"/>
      <c r="N909" s="1026"/>
      <c r="O909" s="265"/>
      <c r="P909" s="265"/>
      <c r="T909" s="265"/>
      <c r="U909" s="265"/>
      <c r="V909" s="265"/>
      <c r="X909" s="1026"/>
      <c r="Y909" s="265"/>
      <c r="Z909" s="265"/>
      <c r="AA909" s="265"/>
      <c r="AD909" s="4"/>
      <c r="AE909" s="1026"/>
      <c r="AF909" s="265"/>
      <c r="AU909" s="265"/>
      <c r="AV909" s="265"/>
      <c r="AW909" s="265"/>
      <c r="AX909" s="265"/>
      <c r="AY909" s="265"/>
      <c r="AZ909" s="265"/>
      <c r="BA909" s="265"/>
      <c r="BB909" s="265"/>
      <c r="BC909" s="265"/>
      <c r="BD909" s="265"/>
      <c r="BE909" s="265"/>
      <c r="BF909" s="265"/>
      <c r="BG909" s="265"/>
      <c r="BM909" s="6"/>
      <c r="BN909" s="6"/>
      <c r="BO909" s="6"/>
      <c r="BP909" s="1028"/>
      <c r="BT909" s="6"/>
      <c r="BU909" s="6"/>
      <c r="BV909" s="6"/>
      <c r="BW909" s="1029"/>
      <c r="BX909" s="1028"/>
      <c r="CB909" s="6"/>
      <c r="CC909" s="6"/>
      <c r="CD909" s="6"/>
      <c r="CE909" s="1029"/>
      <c r="CJ909" s="11"/>
      <c r="CM909" s="11"/>
      <c r="CU909" s="17"/>
      <c r="CV909" s="265"/>
      <c r="CW909" s="265"/>
      <c r="CY909" s="11"/>
      <c r="DA909" s="12"/>
      <c r="DB909" s="13"/>
      <c r="DC909" s="14"/>
      <c r="DD909" s="265"/>
      <c r="DE909" s="265"/>
      <c r="DF909" s="265"/>
      <c r="DH909" s="15"/>
      <c r="DM909" s="4"/>
    </row>
    <row r="910" spans="2:117" ht="15" customHeight="1">
      <c r="B910" s="10"/>
      <c r="C910" s="17"/>
      <c r="E910" s="25"/>
      <c r="F910" s="35"/>
      <c r="J910" s="20"/>
      <c r="K910" s="1024"/>
      <c r="L910" s="1025"/>
      <c r="M910" s="1026"/>
      <c r="N910" s="1026"/>
      <c r="O910" s="265"/>
      <c r="P910" s="265"/>
      <c r="T910" s="265"/>
      <c r="U910" s="265"/>
      <c r="V910" s="265"/>
      <c r="X910" s="1026"/>
      <c r="Y910" s="265"/>
      <c r="Z910" s="265"/>
      <c r="AA910" s="265"/>
      <c r="AD910" s="4"/>
      <c r="AE910" s="1026"/>
      <c r="AF910" s="265"/>
      <c r="AU910" s="265"/>
      <c r="AV910" s="265"/>
      <c r="AW910" s="265"/>
      <c r="AX910" s="265"/>
      <c r="AY910" s="265"/>
      <c r="AZ910" s="265"/>
      <c r="BA910" s="265"/>
      <c r="BB910" s="265"/>
      <c r="BC910" s="265"/>
      <c r="BD910" s="265"/>
      <c r="BE910" s="265"/>
      <c r="BF910" s="265"/>
      <c r="BG910" s="265"/>
      <c r="BM910" s="6"/>
      <c r="BN910" s="6"/>
      <c r="BO910" s="6"/>
      <c r="BP910" s="1028"/>
      <c r="BT910" s="6"/>
      <c r="BU910" s="6"/>
      <c r="BV910" s="6"/>
      <c r="BW910" s="1029"/>
      <c r="BX910" s="1028"/>
      <c r="CB910" s="6"/>
      <c r="CC910" s="6"/>
      <c r="CD910" s="6"/>
      <c r="CE910" s="1029"/>
      <c r="CJ910" s="11"/>
      <c r="CM910" s="11"/>
      <c r="CU910" s="17"/>
      <c r="CV910" s="265"/>
      <c r="CW910" s="265"/>
      <c r="CY910" s="11"/>
      <c r="DA910" s="12"/>
      <c r="DB910" s="13"/>
      <c r="DC910" s="14"/>
      <c r="DD910" s="265"/>
      <c r="DE910" s="265"/>
      <c r="DF910" s="265"/>
      <c r="DH910" s="15"/>
      <c r="DM910" s="4"/>
    </row>
    <row r="911" spans="2:117" ht="15" customHeight="1">
      <c r="B911" s="10"/>
      <c r="C911" s="17"/>
      <c r="E911" s="25"/>
      <c r="F911" s="35"/>
      <c r="J911" s="20"/>
      <c r="K911" s="1024"/>
      <c r="L911" s="1025"/>
      <c r="M911" s="1026"/>
      <c r="N911" s="1026"/>
      <c r="O911" s="265"/>
      <c r="P911" s="265"/>
      <c r="T911" s="265"/>
      <c r="U911" s="265"/>
      <c r="V911" s="265"/>
      <c r="X911" s="1026"/>
      <c r="Y911" s="265"/>
      <c r="Z911" s="265"/>
      <c r="AA911" s="265"/>
      <c r="AD911" s="4"/>
      <c r="AE911" s="1026"/>
      <c r="AF911" s="265"/>
      <c r="AU911" s="265"/>
      <c r="AV911" s="265"/>
      <c r="AW911" s="265"/>
      <c r="AX911" s="265"/>
      <c r="AY911" s="265"/>
      <c r="AZ911" s="265"/>
      <c r="BA911" s="265"/>
      <c r="BB911" s="265"/>
      <c r="BC911" s="265"/>
      <c r="BD911" s="265"/>
      <c r="BE911" s="265"/>
      <c r="BF911" s="265"/>
      <c r="BG911" s="265"/>
      <c r="BM911" s="6"/>
      <c r="BN911" s="6"/>
      <c r="BO911" s="6"/>
      <c r="BP911" s="1028"/>
      <c r="BT911" s="6"/>
      <c r="BU911" s="6"/>
      <c r="BV911" s="6"/>
      <c r="BW911" s="1029"/>
      <c r="BX911" s="1028"/>
      <c r="CB911" s="6"/>
      <c r="CC911" s="6"/>
      <c r="CD911" s="6"/>
      <c r="CE911" s="1029"/>
      <c r="CJ911" s="11"/>
      <c r="CM911" s="11"/>
      <c r="CU911" s="17"/>
      <c r="CV911" s="265"/>
      <c r="CW911" s="265"/>
      <c r="CY911" s="11"/>
      <c r="DA911" s="12"/>
      <c r="DB911" s="13"/>
      <c r="DC911" s="14"/>
      <c r="DD911" s="265"/>
      <c r="DE911" s="265"/>
      <c r="DF911" s="265"/>
      <c r="DH911" s="15"/>
      <c r="DM911" s="4"/>
    </row>
    <row r="912" spans="2:117" ht="15" customHeight="1">
      <c r="B912" s="10"/>
      <c r="C912" s="17"/>
      <c r="E912" s="25"/>
      <c r="F912" s="35"/>
      <c r="J912" s="20"/>
      <c r="K912" s="1024"/>
      <c r="L912" s="1025"/>
      <c r="M912" s="1026"/>
      <c r="N912" s="1026"/>
      <c r="O912" s="265"/>
      <c r="P912" s="265"/>
      <c r="T912" s="265"/>
      <c r="U912" s="265"/>
      <c r="V912" s="265"/>
      <c r="X912" s="1026"/>
      <c r="Y912" s="265"/>
      <c r="Z912" s="265"/>
      <c r="AA912" s="265"/>
      <c r="AD912" s="4"/>
      <c r="AE912" s="1026"/>
      <c r="AF912" s="265"/>
      <c r="AU912" s="265"/>
      <c r="AV912" s="265"/>
      <c r="AW912" s="265"/>
      <c r="AX912" s="265"/>
      <c r="AY912" s="265"/>
      <c r="AZ912" s="265"/>
      <c r="BA912" s="265"/>
      <c r="BB912" s="265"/>
      <c r="BC912" s="265"/>
      <c r="BD912" s="265"/>
      <c r="BE912" s="265"/>
      <c r="BF912" s="265"/>
      <c r="BG912" s="265"/>
      <c r="BM912" s="6"/>
      <c r="BN912" s="6"/>
      <c r="BO912" s="6"/>
      <c r="BP912" s="1028"/>
      <c r="BT912" s="6"/>
      <c r="BU912" s="6"/>
      <c r="BV912" s="6"/>
      <c r="BW912" s="1029"/>
      <c r="BX912" s="1028"/>
      <c r="CB912" s="6"/>
      <c r="CC912" s="6"/>
      <c r="CD912" s="6"/>
      <c r="CE912" s="1029"/>
      <c r="CJ912" s="11"/>
      <c r="CM912" s="11"/>
      <c r="CU912" s="17"/>
      <c r="CV912" s="265"/>
      <c r="CW912" s="265"/>
      <c r="CY912" s="11"/>
      <c r="DA912" s="12"/>
      <c r="DB912" s="13"/>
      <c r="DC912" s="14"/>
      <c r="DD912" s="265"/>
      <c r="DE912" s="265"/>
      <c r="DF912" s="265"/>
      <c r="DH912" s="15"/>
      <c r="DM912" s="4"/>
    </row>
    <row r="913" spans="2:117" ht="15" customHeight="1">
      <c r="B913" s="10"/>
      <c r="C913" s="17"/>
      <c r="E913" s="25"/>
      <c r="F913" s="35"/>
      <c r="J913" s="20"/>
      <c r="K913" s="1024"/>
      <c r="L913" s="1025"/>
      <c r="M913" s="1026"/>
      <c r="N913" s="1026"/>
      <c r="O913" s="265"/>
      <c r="P913" s="265"/>
      <c r="T913" s="265"/>
      <c r="U913" s="265"/>
      <c r="V913" s="265"/>
      <c r="X913" s="1026"/>
      <c r="Y913" s="265"/>
      <c r="Z913" s="265"/>
      <c r="AA913" s="265"/>
      <c r="AD913" s="4"/>
      <c r="AE913" s="1026"/>
      <c r="AF913" s="265"/>
      <c r="AU913" s="265"/>
      <c r="AV913" s="265"/>
      <c r="AW913" s="265"/>
      <c r="AX913" s="265"/>
      <c r="AY913" s="265"/>
      <c r="AZ913" s="265"/>
      <c r="BA913" s="265"/>
      <c r="BB913" s="265"/>
      <c r="BC913" s="265"/>
      <c r="BD913" s="265"/>
      <c r="BE913" s="265"/>
      <c r="BF913" s="265"/>
      <c r="BG913" s="265"/>
      <c r="BM913" s="6"/>
      <c r="BN913" s="6"/>
      <c r="BO913" s="6"/>
      <c r="BP913" s="1028"/>
      <c r="BT913" s="6"/>
      <c r="BU913" s="6"/>
      <c r="BV913" s="6"/>
      <c r="BW913" s="1029"/>
      <c r="BX913" s="1028"/>
      <c r="CB913" s="6"/>
      <c r="CC913" s="6"/>
      <c r="CD913" s="6"/>
      <c r="CE913" s="1029"/>
      <c r="CJ913" s="11"/>
      <c r="CM913" s="11"/>
      <c r="CU913" s="17"/>
      <c r="CV913" s="265"/>
      <c r="CW913" s="265"/>
      <c r="CY913" s="11"/>
      <c r="DA913" s="12"/>
      <c r="DB913" s="13"/>
      <c r="DC913" s="14"/>
      <c r="DD913" s="265"/>
      <c r="DE913" s="265"/>
      <c r="DF913" s="265"/>
      <c r="DH913" s="15"/>
      <c r="DM913" s="4"/>
    </row>
    <row r="914" spans="2:117" ht="15" customHeight="1">
      <c r="B914" s="10"/>
      <c r="C914" s="17"/>
      <c r="E914" s="25"/>
      <c r="F914" s="35"/>
      <c r="J914" s="20"/>
      <c r="K914" s="1024"/>
      <c r="L914" s="1025"/>
      <c r="M914" s="1026"/>
      <c r="N914" s="1026"/>
      <c r="O914" s="265"/>
      <c r="P914" s="265"/>
      <c r="T914" s="265"/>
      <c r="U914" s="265"/>
      <c r="V914" s="265"/>
      <c r="X914" s="1026"/>
      <c r="Y914" s="265"/>
      <c r="Z914" s="265"/>
      <c r="AA914" s="265"/>
      <c r="AD914" s="4"/>
      <c r="AE914" s="1026"/>
      <c r="AF914" s="265"/>
      <c r="AU914" s="265"/>
      <c r="AV914" s="265"/>
      <c r="AW914" s="265"/>
      <c r="AX914" s="265"/>
      <c r="AY914" s="265"/>
      <c r="AZ914" s="265"/>
      <c r="BA914" s="265"/>
      <c r="BB914" s="265"/>
      <c r="BC914" s="265"/>
      <c r="BD914" s="265"/>
      <c r="BE914" s="265"/>
      <c r="BF914" s="265"/>
      <c r="BG914" s="265"/>
      <c r="BM914" s="6"/>
      <c r="BN914" s="6"/>
      <c r="BO914" s="6"/>
      <c r="BP914" s="1028"/>
      <c r="BT914" s="6"/>
      <c r="BU914" s="6"/>
      <c r="BV914" s="6"/>
      <c r="BW914" s="1029"/>
      <c r="BX914" s="1028"/>
      <c r="CB914" s="6"/>
      <c r="CC914" s="6"/>
      <c r="CD914" s="6"/>
      <c r="CE914" s="1029"/>
      <c r="CJ914" s="11"/>
      <c r="CM914" s="11"/>
      <c r="CU914" s="17"/>
      <c r="CV914" s="265"/>
      <c r="CW914" s="265"/>
      <c r="CY914" s="11"/>
      <c r="DA914" s="12"/>
      <c r="DB914" s="13"/>
      <c r="DC914" s="14"/>
      <c r="DD914" s="265"/>
      <c r="DE914" s="265"/>
      <c r="DF914" s="265"/>
      <c r="DH914" s="15"/>
      <c r="DM914" s="4"/>
    </row>
    <row r="915" spans="2:117" ht="15" customHeight="1">
      <c r="B915" s="10"/>
      <c r="C915" s="17"/>
      <c r="E915" s="25"/>
      <c r="F915" s="35"/>
      <c r="J915" s="20"/>
      <c r="K915" s="1024"/>
      <c r="L915" s="1025"/>
      <c r="M915" s="1026"/>
      <c r="N915" s="1026"/>
      <c r="O915" s="265"/>
      <c r="P915" s="265"/>
      <c r="T915" s="265"/>
      <c r="U915" s="265"/>
      <c r="V915" s="265"/>
      <c r="X915" s="1026"/>
      <c r="Y915" s="265"/>
      <c r="Z915" s="265"/>
      <c r="AA915" s="265"/>
      <c r="AD915" s="4"/>
      <c r="AE915" s="1026"/>
      <c r="AF915" s="265"/>
      <c r="AU915" s="265"/>
      <c r="AV915" s="265"/>
      <c r="AW915" s="265"/>
      <c r="AX915" s="265"/>
      <c r="AY915" s="265"/>
      <c r="AZ915" s="265"/>
      <c r="BA915" s="265"/>
      <c r="BB915" s="265"/>
      <c r="BC915" s="265"/>
      <c r="BD915" s="265"/>
      <c r="BE915" s="265"/>
      <c r="BF915" s="265"/>
      <c r="BG915" s="265"/>
      <c r="BM915" s="6"/>
      <c r="BN915" s="6"/>
      <c r="BO915" s="6"/>
      <c r="BP915" s="1028"/>
      <c r="BT915" s="6"/>
      <c r="BU915" s="6"/>
      <c r="BV915" s="6"/>
      <c r="BW915" s="1029"/>
      <c r="BX915" s="1028"/>
      <c r="CB915" s="6"/>
      <c r="CC915" s="6"/>
      <c r="CD915" s="6"/>
      <c r="CE915" s="1029"/>
      <c r="CJ915" s="11"/>
      <c r="CM915" s="11"/>
      <c r="CU915" s="17"/>
      <c r="CV915" s="265"/>
      <c r="CW915" s="265"/>
      <c r="CY915" s="11"/>
      <c r="DA915" s="12"/>
      <c r="DB915" s="13"/>
      <c r="DC915" s="14"/>
      <c r="DD915" s="265"/>
      <c r="DE915" s="265"/>
      <c r="DF915" s="265"/>
      <c r="DH915" s="15"/>
      <c r="DM915" s="4"/>
    </row>
    <row r="916" spans="2:117" ht="15" customHeight="1">
      <c r="B916" s="10"/>
      <c r="C916" s="17"/>
      <c r="E916" s="25"/>
      <c r="F916" s="35"/>
      <c r="J916" s="20"/>
      <c r="K916" s="1024"/>
      <c r="L916" s="1025"/>
      <c r="M916" s="1026"/>
      <c r="N916" s="1026"/>
      <c r="O916" s="265"/>
      <c r="P916" s="265"/>
      <c r="T916" s="265"/>
      <c r="U916" s="265"/>
      <c r="V916" s="265"/>
      <c r="X916" s="1026"/>
      <c r="Y916" s="265"/>
      <c r="Z916" s="265"/>
      <c r="AA916" s="265"/>
      <c r="AD916" s="4"/>
      <c r="AE916" s="1026"/>
      <c r="AF916" s="265"/>
      <c r="AU916" s="265"/>
      <c r="AV916" s="265"/>
      <c r="AW916" s="265"/>
      <c r="AX916" s="265"/>
      <c r="AY916" s="265"/>
      <c r="AZ916" s="265"/>
      <c r="BA916" s="265"/>
      <c r="BB916" s="265"/>
      <c r="BC916" s="265"/>
      <c r="BD916" s="265"/>
      <c r="BE916" s="265"/>
      <c r="BF916" s="265"/>
      <c r="BG916" s="265"/>
      <c r="BM916" s="6"/>
      <c r="BN916" s="6"/>
      <c r="BO916" s="6"/>
      <c r="BP916" s="1028"/>
      <c r="BT916" s="6"/>
      <c r="BU916" s="6"/>
      <c r="BV916" s="6"/>
      <c r="BW916" s="1029"/>
      <c r="BX916" s="1028"/>
      <c r="CB916" s="6"/>
      <c r="CC916" s="6"/>
      <c r="CD916" s="6"/>
      <c r="CE916" s="1029"/>
      <c r="CJ916" s="11"/>
      <c r="CM916" s="11"/>
      <c r="CU916" s="17"/>
      <c r="CV916" s="265"/>
      <c r="CW916" s="265"/>
      <c r="CY916" s="11"/>
      <c r="DA916" s="12"/>
      <c r="DB916" s="13"/>
      <c r="DC916" s="14"/>
      <c r="DD916" s="265"/>
      <c r="DE916" s="265"/>
      <c r="DF916" s="265"/>
      <c r="DH916" s="15"/>
      <c r="DM916" s="4"/>
    </row>
    <row r="917" spans="2:117" ht="15" customHeight="1">
      <c r="B917" s="10"/>
      <c r="C917" s="17"/>
      <c r="E917" s="25"/>
      <c r="F917" s="35"/>
      <c r="J917" s="20"/>
      <c r="K917" s="1024"/>
      <c r="L917" s="1025"/>
      <c r="M917" s="1026"/>
      <c r="N917" s="1026"/>
      <c r="O917" s="265"/>
      <c r="P917" s="265"/>
      <c r="T917" s="265"/>
      <c r="U917" s="265"/>
      <c r="V917" s="265"/>
      <c r="X917" s="1026"/>
      <c r="Y917" s="265"/>
      <c r="Z917" s="265"/>
      <c r="AA917" s="265"/>
      <c r="AD917" s="4"/>
      <c r="AE917" s="1026"/>
      <c r="AF917" s="265"/>
      <c r="AU917" s="265"/>
      <c r="AV917" s="265"/>
      <c r="AW917" s="265"/>
      <c r="AX917" s="265"/>
      <c r="AY917" s="265"/>
      <c r="AZ917" s="265"/>
      <c r="BA917" s="265"/>
      <c r="BB917" s="265"/>
      <c r="BC917" s="265"/>
      <c r="BD917" s="265"/>
      <c r="BE917" s="265"/>
      <c r="BF917" s="265"/>
      <c r="BG917" s="265"/>
      <c r="BM917" s="6"/>
      <c r="BN917" s="6"/>
      <c r="BO917" s="6"/>
      <c r="BP917" s="1028"/>
      <c r="BT917" s="6"/>
      <c r="BU917" s="6"/>
      <c r="BV917" s="6"/>
      <c r="BW917" s="1029"/>
      <c r="BX917" s="1028"/>
      <c r="CB917" s="6"/>
      <c r="CC917" s="6"/>
      <c r="CD917" s="6"/>
      <c r="CE917" s="1029"/>
      <c r="CJ917" s="11"/>
      <c r="CM917" s="11"/>
      <c r="CU917" s="17"/>
      <c r="CV917" s="265"/>
      <c r="CW917" s="265"/>
      <c r="CY917" s="11"/>
      <c r="DA917" s="12"/>
      <c r="DB917" s="13"/>
      <c r="DC917" s="14"/>
      <c r="DD917" s="265"/>
      <c r="DE917" s="265"/>
      <c r="DF917" s="265"/>
      <c r="DH917" s="15"/>
      <c r="DM917" s="4"/>
    </row>
    <row r="918" spans="2:117" ht="15" customHeight="1">
      <c r="B918" s="10"/>
      <c r="C918" s="17"/>
      <c r="E918" s="25"/>
      <c r="F918" s="35"/>
      <c r="J918" s="20"/>
      <c r="K918" s="1024"/>
      <c r="L918" s="1025"/>
      <c r="M918" s="1026"/>
      <c r="N918" s="1026"/>
      <c r="O918" s="265"/>
      <c r="P918" s="265"/>
      <c r="T918" s="265"/>
      <c r="U918" s="265"/>
      <c r="V918" s="265"/>
      <c r="X918" s="1026"/>
      <c r="Y918" s="265"/>
      <c r="Z918" s="265"/>
      <c r="AA918" s="265"/>
      <c r="AD918" s="4"/>
      <c r="AE918" s="1026"/>
      <c r="AF918" s="265"/>
      <c r="AU918" s="265"/>
      <c r="AV918" s="265"/>
      <c r="AW918" s="265"/>
      <c r="AX918" s="265"/>
      <c r="AY918" s="265"/>
      <c r="AZ918" s="265"/>
      <c r="BA918" s="265"/>
      <c r="BB918" s="265"/>
      <c r="BC918" s="265"/>
      <c r="BD918" s="265"/>
      <c r="BE918" s="265"/>
      <c r="BF918" s="265"/>
      <c r="BG918" s="265"/>
      <c r="BM918" s="6"/>
      <c r="BN918" s="6"/>
      <c r="BO918" s="6"/>
      <c r="BP918" s="1028"/>
      <c r="BT918" s="6"/>
      <c r="BU918" s="6"/>
      <c r="BV918" s="6"/>
      <c r="BW918" s="1029"/>
      <c r="BX918" s="1028"/>
      <c r="CB918" s="6"/>
      <c r="CC918" s="6"/>
      <c r="CD918" s="6"/>
      <c r="CE918" s="1029"/>
      <c r="CJ918" s="11"/>
      <c r="CM918" s="11"/>
      <c r="CU918" s="17"/>
      <c r="CV918" s="265"/>
      <c r="CW918" s="265"/>
      <c r="CY918" s="11"/>
      <c r="DA918" s="12"/>
      <c r="DB918" s="13"/>
      <c r="DC918" s="14"/>
      <c r="DD918" s="265"/>
      <c r="DE918" s="265"/>
      <c r="DF918" s="265"/>
      <c r="DH918" s="15"/>
      <c r="DM918" s="4"/>
    </row>
    <row r="919" spans="2:117" ht="15" customHeight="1">
      <c r="B919" s="10"/>
      <c r="C919" s="17"/>
      <c r="E919" s="25"/>
      <c r="F919" s="35"/>
      <c r="J919" s="20"/>
      <c r="K919" s="1024"/>
      <c r="L919" s="1025"/>
      <c r="M919" s="1026"/>
      <c r="N919" s="1026"/>
      <c r="O919" s="265"/>
      <c r="P919" s="265"/>
      <c r="T919" s="265"/>
      <c r="U919" s="265"/>
      <c r="V919" s="265"/>
      <c r="X919" s="1026"/>
      <c r="Y919" s="265"/>
      <c r="Z919" s="265"/>
      <c r="AA919" s="265"/>
      <c r="AD919" s="4"/>
      <c r="AE919" s="1026"/>
      <c r="AF919" s="265"/>
      <c r="AU919" s="265"/>
      <c r="AV919" s="265"/>
      <c r="AW919" s="265"/>
      <c r="AX919" s="265"/>
      <c r="AY919" s="265"/>
      <c r="AZ919" s="265"/>
      <c r="BA919" s="265"/>
      <c r="BB919" s="265"/>
      <c r="BC919" s="265"/>
      <c r="BD919" s="265"/>
      <c r="BE919" s="265"/>
      <c r="BF919" s="265"/>
      <c r="BG919" s="265"/>
      <c r="BM919" s="6"/>
      <c r="BN919" s="6"/>
      <c r="BO919" s="6"/>
      <c r="BP919" s="1028"/>
      <c r="BT919" s="6"/>
      <c r="BU919" s="6"/>
      <c r="BV919" s="6"/>
      <c r="BW919" s="1029"/>
      <c r="BX919" s="1028"/>
      <c r="CB919" s="6"/>
      <c r="CC919" s="6"/>
      <c r="CD919" s="6"/>
      <c r="CE919" s="1029"/>
      <c r="CJ919" s="11"/>
      <c r="CM919" s="11"/>
      <c r="CU919" s="17"/>
      <c r="CV919" s="265"/>
      <c r="CW919" s="265"/>
      <c r="CY919" s="11"/>
      <c r="DA919" s="12"/>
      <c r="DB919" s="13"/>
      <c r="DC919" s="14"/>
      <c r="DD919" s="265"/>
      <c r="DE919" s="265"/>
      <c r="DF919" s="265"/>
      <c r="DH919" s="15"/>
      <c r="DM919" s="4"/>
    </row>
    <row r="920" spans="2:117" ht="15" customHeight="1">
      <c r="B920" s="10"/>
      <c r="C920" s="17"/>
      <c r="E920" s="25"/>
      <c r="F920" s="35"/>
      <c r="J920" s="20"/>
      <c r="K920" s="1024"/>
      <c r="L920" s="1025"/>
      <c r="M920" s="1026"/>
      <c r="N920" s="1026"/>
      <c r="O920" s="265"/>
      <c r="P920" s="265"/>
      <c r="T920" s="265"/>
      <c r="U920" s="265"/>
      <c r="V920" s="265"/>
      <c r="X920" s="1026"/>
      <c r="Y920" s="265"/>
      <c r="Z920" s="265"/>
      <c r="AA920" s="265"/>
      <c r="AD920" s="4"/>
      <c r="AE920" s="1026"/>
      <c r="AF920" s="265"/>
      <c r="AU920" s="265"/>
      <c r="AV920" s="265"/>
      <c r="AW920" s="265"/>
      <c r="AX920" s="265"/>
      <c r="AY920" s="265"/>
      <c r="AZ920" s="265"/>
      <c r="BA920" s="265"/>
      <c r="BB920" s="265"/>
      <c r="BC920" s="265"/>
      <c r="BD920" s="265"/>
      <c r="BE920" s="265"/>
      <c r="BF920" s="265"/>
      <c r="BG920" s="265"/>
      <c r="BM920" s="6"/>
      <c r="BN920" s="6"/>
      <c r="BO920" s="6"/>
      <c r="BP920" s="1028"/>
      <c r="BT920" s="6"/>
      <c r="BU920" s="6"/>
      <c r="BV920" s="6"/>
      <c r="BW920" s="1029"/>
      <c r="BX920" s="1028"/>
      <c r="CB920" s="6"/>
      <c r="CC920" s="6"/>
      <c r="CD920" s="6"/>
      <c r="CE920" s="1029"/>
      <c r="CJ920" s="11"/>
      <c r="CM920" s="11"/>
      <c r="CU920" s="17"/>
      <c r="CV920" s="265"/>
      <c r="CW920" s="265"/>
      <c r="CY920" s="11"/>
      <c r="DA920" s="12"/>
      <c r="DB920" s="13"/>
      <c r="DC920" s="14"/>
      <c r="DD920" s="265"/>
      <c r="DE920" s="265"/>
      <c r="DF920" s="265"/>
      <c r="DH920" s="15"/>
      <c r="DM920" s="4"/>
    </row>
    <row r="921" spans="2:117" ht="15" customHeight="1">
      <c r="B921" s="10"/>
      <c r="C921" s="17"/>
      <c r="E921" s="25"/>
      <c r="F921" s="35"/>
      <c r="J921" s="20"/>
      <c r="K921" s="1024"/>
      <c r="L921" s="1025"/>
      <c r="M921" s="1026"/>
      <c r="N921" s="1026"/>
      <c r="O921" s="265"/>
      <c r="P921" s="265"/>
      <c r="T921" s="265"/>
      <c r="U921" s="265"/>
      <c r="V921" s="265"/>
      <c r="X921" s="1026"/>
      <c r="Y921" s="265"/>
      <c r="Z921" s="265"/>
      <c r="AA921" s="265"/>
      <c r="AD921" s="4"/>
      <c r="AE921" s="1026"/>
      <c r="AF921" s="265"/>
      <c r="AU921" s="265"/>
      <c r="AV921" s="265"/>
      <c r="AW921" s="265"/>
      <c r="AX921" s="265"/>
      <c r="AY921" s="265"/>
      <c r="AZ921" s="265"/>
      <c r="BA921" s="265"/>
      <c r="BB921" s="265"/>
      <c r="BC921" s="265"/>
      <c r="BD921" s="265"/>
      <c r="BE921" s="265"/>
      <c r="BF921" s="265"/>
      <c r="BG921" s="265"/>
      <c r="BM921" s="6"/>
      <c r="BN921" s="6"/>
      <c r="BO921" s="6"/>
      <c r="BP921" s="1028"/>
      <c r="BT921" s="6"/>
      <c r="BU921" s="6"/>
      <c r="BV921" s="6"/>
      <c r="BW921" s="1029"/>
      <c r="BX921" s="1028"/>
      <c r="CB921" s="6"/>
      <c r="CC921" s="6"/>
      <c r="CD921" s="6"/>
      <c r="CE921" s="1029"/>
      <c r="CJ921" s="11"/>
      <c r="CM921" s="11"/>
      <c r="CU921" s="17"/>
      <c r="CV921" s="265"/>
      <c r="CW921" s="265"/>
      <c r="CY921" s="11"/>
      <c r="DA921" s="12"/>
      <c r="DB921" s="13"/>
      <c r="DC921" s="14"/>
      <c r="DD921" s="265"/>
      <c r="DE921" s="265"/>
      <c r="DF921" s="265"/>
      <c r="DH921" s="15"/>
      <c r="DM921" s="4"/>
    </row>
    <row r="922" spans="2:117" ht="15" customHeight="1">
      <c r="B922" s="10"/>
      <c r="C922" s="17"/>
      <c r="E922" s="25"/>
      <c r="F922" s="35"/>
      <c r="J922" s="20"/>
      <c r="K922" s="1024"/>
      <c r="L922" s="1025"/>
      <c r="M922" s="1026"/>
      <c r="N922" s="1026"/>
      <c r="O922" s="265"/>
      <c r="P922" s="265"/>
      <c r="T922" s="265"/>
      <c r="U922" s="265"/>
      <c r="V922" s="265"/>
      <c r="X922" s="1026"/>
      <c r="Y922" s="265"/>
      <c r="Z922" s="265"/>
      <c r="AA922" s="265"/>
      <c r="AD922" s="4"/>
      <c r="AE922" s="1026"/>
      <c r="AF922" s="265"/>
      <c r="AU922" s="265"/>
      <c r="AV922" s="265"/>
      <c r="AW922" s="265"/>
      <c r="AX922" s="265"/>
      <c r="AY922" s="265"/>
      <c r="AZ922" s="265"/>
      <c r="BA922" s="265"/>
      <c r="BB922" s="265"/>
      <c r="BC922" s="265"/>
      <c r="BD922" s="265"/>
      <c r="BE922" s="265"/>
      <c r="BF922" s="265"/>
      <c r="BG922" s="265"/>
      <c r="BM922" s="6"/>
      <c r="BN922" s="6"/>
      <c r="BO922" s="6"/>
      <c r="BP922" s="1028"/>
      <c r="BT922" s="6"/>
      <c r="BU922" s="6"/>
      <c r="BV922" s="6"/>
      <c r="BW922" s="1029"/>
      <c r="BX922" s="1028"/>
      <c r="CB922" s="6"/>
      <c r="CC922" s="6"/>
      <c r="CD922" s="6"/>
      <c r="CE922" s="1029"/>
      <c r="CJ922" s="11"/>
      <c r="CM922" s="11"/>
      <c r="CU922" s="17"/>
      <c r="CV922" s="265"/>
      <c r="CW922" s="265"/>
      <c r="CY922" s="11"/>
      <c r="DA922" s="12"/>
      <c r="DB922" s="13"/>
      <c r="DC922" s="14"/>
      <c r="DD922" s="265"/>
      <c r="DE922" s="265"/>
      <c r="DF922" s="265"/>
      <c r="DH922" s="15"/>
      <c r="DM922" s="4"/>
    </row>
    <row r="923" spans="2:117" ht="15" customHeight="1">
      <c r="B923" s="10"/>
      <c r="C923" s="17"/>
      <c r="E923" s="25"/>
      <c r="F923" s="35"/>
      <c r="J923" s="20"/>
      <c r="K923" s="1024"/>
      <c r="L923" s="1025"/>
      <c r="M923" s="1026"/>
      <c r="N923" s="1026"/>
      <c r="O923" s="265"/>
      <c r="P923" s="265"/>
      <c r="T923" s="265"/>
      <c r="U923" s="265"/>
      <c r="V923" s="265"/>
      <c r="X923" s="1026"/>
      <c r="Y923" s="265"/>
      <c r="Z923" s="265"/>
      <c r="AA923" s="265"/>
      <c r="AD923" s="4"/>
      <c r="AE923" s="1026"/>
      <c r="AF923" s="265"/>
      <c r="AU923" s="265"/>
      <c r="AV923" s="265"/>
      <c r="AW923" s="265"/>
      <c r="AX923" s="265"/>
      <c r="AY923" s="265"/>
      <c r="AZ923" s="265"/>
      <c r="BA923" s="265"/>
      <c r="BB923" s="265"/>
      <c r="BC923" s="265"/>
      <c r="BD923" s="265"/>
      <c r="BE923" s="265"/>
      <c r="BF923" s="265"/>
      <c r="BG923" s="265"/>
      <c r="BM923" s="6"/>
      <c r="BN923" s="6"/>
      <c r="BO923" s="6"/>
      <c r="BP923" s="1028"/>
      <c r="BT923" s="6"/>
      <c r="BU923" s="6"/>
      <c r="BV923" s="6"/>
      <c r="BW923" s="1029"/>
      <c r="BX923" s="1028"/>
      <c r="CB923" s="6"/>
      <c r="CC923" s="6"/>
      <c r="CD923" s="6"/>
      <c r="CE923" s="1029"/>
      <c r="CJ923" s="11"/>
      <c r="CM923" s="11"/>
      <c r="CU923" s="17"/>
      <c r="CV923" s="265"/>
      <c r="CW923" s="265"/>
      <c r="CY923" s="11"/>
      <c r="DA923" s="12"/>
      <c r="DB923" s="13"/>
      <c r="DC923" s="14"/>
      <c r="DD923" s="265"/>
      <c r="DE923" s="265"/>
      <c r="DF923" s="265"/>
      <c r="DH923" s="15"/>
      <c r="DM923" s="4"/>
    </row>
    <row r="924" spans="2:117" ht="15" customHeight="1">
      <c r="B924" s="10"/>
      <c r="C924" s="17"/>
      <c r="E924" s="25"/>
      <c r="F924" s="35"/>
      <c r="J924" s="20"/>
      <c r="K924" s="1024"/>
      <c r="L924" s="1025"/>
      <c r="M924" s="1026"/>
      <c r="N924" s="1026"/>
      <c r="O924" s="265"/>
      <c r="P924" s="265"/>
      <c r="T924" s="265"/>
      <c r="U924" s="265"/>
      <c r="V924" s="265"/>
      <c r="X924" s="1026"/>
      <c r="Y924" s="265"/>
      <c r="Z924" s="265"/>
      <c r="AA924" s="265"/>
      <c r="AD924" s="4"/>
      <c r="AE924" s="1026"/>
      <c r="AF924" s="265"/>
      <c r="AU924" s="265"/>
      <c r="AV924" s="265"/>
      <c r="AW924" s="265"/>
      <c r="AX924" s="265"/>
      <c r="AY924" s="265"/>
      <c r="AZ924" s="265"/>
      <c r="BA924" s="265"/>
      <c r="BB924" s="265"/>
      <c r="BC924" s="265"/>
      <c r="BD924" s="265"/>
      <c r="BE924" s="265"/>
      <c r="BF924" s="265"/>
      <c r="BG924" s="265"/>
      <c r="BM924" s="6"/>
      <c r="BN924" s="6"/>
      <c r="BO924" s="6"/>
      <c r="BP924" s="1028"/>
      <c r="BT924" s="6"/>
      <c r="BU924" s="6"/>
      <c r="BV924" s="6"/>
      <c r="BW924" s="1029"/>
      <c r="BX924" s="1028"/>
      <c r="CB924" s="6"/>
      <c r="CC924" s="6"/>
      <c r="CD924" s="6"/>
      <c r="CE924" s="1029"/>
      <c r="CJ924" s="11"/>
      <c r="CM924" s="11"/>
      <c r="CU924" s="17"/>
      <c r="CV924" s="265"/>
      <c r="CW924" s="265"/>
      <c r="CY924" s="11"/>
      <c r="DA924" s="12"/>
      <c r="DB924" s="13"/>
      <c r="DC924" s="14"/>
      <c r="DD924" s="265"/>
      <c r="DE924" s="265"/>
      <c r="DF924" s="265"/>
      <c r="DH924" s="15"/>
      <c r="DM924" s="4"/>
    </row>
    <row r="925" spans="2:117" ht="15" customHeight="1">
      <c r="B925" s="10"/>
      <c r="C925" s="17"/>
      <c r="E925" s="25"/>
      <c r="F925" s="35"/>
      <c r="J925" s="20"/>
      <c r="K925" s="1024"/>
      <c r="L925" s="1025"/>
      <c r="M925" s="1026"/>
      <c r="N925" s="1026"/>
      <c r="O925" s="265"/>
      <c r="P925" s="265"/>
      <c r="T925" s="265"/>
      <c r="U925" s="265"/>
      <c r="V925" s="265"/>
      <c r="X925" s="1026"/>
      <c r="Y925" s="265"/>
      <c r="Z925" s="265"/>
      <c r="AA925" s="265"/>
      <c r="AD925" s="4"/>
      <c r="AE925" s="1026"/>
      <c r="AF925" s="265"/>
      <c r="AU925" s="265"/>
      <c r="AV925" s="265"/>
      <c r="AW925" s="265"/>
      <c r="AX925" s="265"/>
      <c r="AY925" s="265"/>
      <c r="AZ925" s="265"/>
      <c r="BA925" s="265"/>
      <c r="BB925" s="265"/>
      <c r="BC925" s="265"/>
      <c r="BD925" s="265"/>
      <c r="BE925" s="265"/>
      <c r="BF925" s="265"/>
      <c r="BG925" s="265"/>
      <c r="BM925" s="6"/>
      <c r="BN925" s="6"/>
      <c r="BO925" s="6"/>
      <c r="BP925" s="1028"/>
      <c r="BT925" s="6"/>
      <c r="BU925" s="6"/>
      <c r="BV925" s="6"/>
      <c r="BW925" s="1029"/>
      <c r="BX925" s="1028"/>
      <c r="CB925" s="6"/>
      <c r="CC925" s="6"/>
      <c r="CD925" s="6"/>
      <c r="CE925" s="1029"/>
      <c r="CJ925" s="11"/>
      <c r="CM925" s="11"/>
      <c r="CU925" s="17"/>
      <c r="CV925" s="265"/>
      <c r="CW925" s="265"/>
      <c r="CY925" s="11"/>
      <c r="DA925" s="12"/>
      <c r="DB925" s="13"/>
      <c r="DC925" s="14"/>
      <c r="DD925" s="265"/>
      <c r="DE925" s="265"/>
      <c r="DF925" s="265"/>
      <c r="DH925" s="15"/>
      <c r="DM925" s="4"/>
    </row>
    <row r="926" spans="2:117" ht="15" customHeight="1">
      <c r="B926" s="10"/>
      <c r="C926" s="17"/>
      <c r="E926" s="25"/>
      <c r="F926" s="35"/>
      <c r="J926" s="20"/>
      <c r="K926" s="1024"/>
      <c r="L926" s="1025"/>
      <c r="M926" s="1026"/>
      <c r="N926" s="1026"/>
      <c r="O926" s="265"/>
      <c r="P926" s="265"/>
      <c r="T926" s="265"/>
      <c r="U926" s="265"/>
      <c r="V926" s="265"/>
      <c r="X926" s="1026"/>
      <c r="Y926" s="265"/>
      <c r="Z926" s="265"/>
      <c r="AA926" s="265"/>
      <c r="AD926" s="4"/>
      <c r="AE926" s="1026"/>
      <c r="AF926" s="265"/>
      <c r="AU926" s="265"/>
      <c r="AV926" s="265"/>
      <c r="AW926" s="265"/>
      <c r="AX926" s="265"/>
      <c r="AY926" s="265"/>
      <c r="AZ926" s="265"/>
      <c r="BA926" s="265"/>
      <c r="BB926" s="265"/>
      <c r="BC926" s="265"/>
      <c r="BD926" s="265"/>
      <c r="BE926" s="265"/>
      <c r="BF926" s="265"/>
      <c r="BG926" s="265"/>
      <c r="BM926" s="6"/>
      <c r="BN926" s="6"/>
      <c r="BO926" s="6"/>
      <c r="BP926" s="1028"/>
      <c r="BT926" s="6"/>
      <c r="BU926" s="6"/>
      <c r="BV926" s="6"/>
      <c r="BW926" s="1029"/>
      <c r="BX926" s="1028"/>
      <c r="CB926" s="6"/>
      <c r="CC926" s="6"/>
      <c r="CD926" s="6"/>
      <c r="CE926" s="1029"/>
      <c r="CJ926" s="11"/>
      <c r="CM926" s="11"/>
      <c r="CU926" s="17"/>
      <c r="CV926" s="265"/>
      <c r="CW926" s="265"/>
      <c r="CY926" s="11"/>
      <c r="DA926" s="12"/>
      <c r="DB926" s="13"/>
      <c r="DC926" s="14"/>
      <c r="DD926" s="265"/>
      <c r="DE926" s="265"/>
      <c r="DF926" s="265"/>
      <c r="DH926" s="15"/>
      <c r="DM926" s="4"/>
    </row>
    <row r="927" spans="2:117" ht="15" customHeight="1">
      <c r="B927" s="10"/>
      <c r="C927" s="17"/>
      <c r="E927" s="25"/>
      <c r="F927" s="35"/>
      <c r="J927" s="20"/>
      <c r="K927" s="1024"/>
      <c r="L927" s="1025"/>
      <c r="M927" s="1026"/>
      <c r="N927" s="1026"/>
      <c r="O927" s="265"/>
      <c r="P927" s="265"/>
      <c r="T927" s="265"/>
      <c r="U927" s="265"/>
      <c r="V927" s="265"/>
      <c r="X927" s="1026"/>
      <c r="Y927" s="265"/>
      <c r="Z927" s="265"/>
      <c r="AA927" s="265"/>
      <c r="AD927" s="4"/>
      <c r="AE927" s="1026"/>
      <c r="AF927" s="265"/>
      <c r="AU927" s="265"/>
      <c r="AV927" s="265"/>
      <c r="AW927" s="265"/>
      <c r="AX927" s="265"/>
      <c r="AY927" s="265"/>
      <c r="AZ927" s="265"/>
      <c r="BA927" s="265"/>
      <c r="BB927" s="265"/>
      <c r="BC927" s="265"/>
      <c r="BD927" s="265"/>
      <c r="BE927" s="265"/>
      <c r="BF927" s="265"/>
      <c r="BG927" s="265"/>
      <c r="BM927" s="6"/>
      <c r="BN927" s="6"/>
      <c r="BO927" s="6"/>
      <c r="BP927" s="1028"/>
      <c r="BT927" s="6"/>
      <c r="BU927" s="6"/>
      <c r="BV927" s="6"/>
      <c r="BW927" s="1029"/>
      <c r="BX927" s="1028"/>
      <c r="CB927" s="6"/>
      <c r="CC927" s="6"/>
      <c r="CD927" s="6"/>
      <c r="CE927" s="1029"/>
      <c r="CJ927" s="11"/>
      <c r="CM927" s="11"/>
      <c r="CU927" s="17"/>
      <c r="CV927" s="265"/>
      <c r="CW927" s="265"/>
      <c r="CY927" s="11"/>
      <c r="DA927" s="12"/>
      <c r="DB927" s="13"/>
      <c r="DC927" s="14"/>
      <c r="DD927" s="265"/>
      <c r="DE927" s="265"/>
      <c r="DF927" s="265"/>
      <c r="DH927" s="15"/>
      <c r="DM927" s="4"/>
    </row>
    <row r="928" spans="2:117" ht="15" customHeight="1">
      <c r="B928" s="10"/>
      <c r="C928" s="17"/>
      <c r="E928" s="25"/>
      <c r="F928" s="35"/>
      <c r="J928" s="20"/>
      <c r="K928" s="1024"/>
      <c r="L928" s="1025"/>
      <c r="M928" s="1026"/>
      <c r="N928" s="1026"/>
      <c r="O928" s="265"/>
      <c r="P928" s="265"/>
      <c r="T928" s="265"/>
      <c r="U928" s="265"/>
      <c r="V928" s="265"/>
      <c r="X928" s="1026"/>
      <c r="Y928" s="265"/>
      <c r="Z928" s="265"/>
      <c r="AA928" s="265"/>
      <c r="AD928" s="4"/>
      <c r="AE928" s="1026"/>
      <c r="AF928" s="265"/>
      <c r="AU928" s="265"/>
      <c r="AV928" s="265"/>
      <c r="AW928" s="265"/>
      <c r="AX928" s="265"/>
      <c r="AY928" s="265"/>
      <c r="AZ928" s="265"/>
      <c r="BA928" s="265"/>
      <c r="BB928" s="265"/>
      <c r="BC928" s="265"/>
      <c r="BD928" s="265"/>
      <c r="BE928" s="265"/>
      <c r="BF928" s="265"/>
      <c r="BG928" s="265"/>
      <c r="BM928" s="6"/>
      <c r="BN928" s="6"/>
      <c r="BO928" s="6"/>
      <c r="BP928" s="1028"/>
      <c r="BT928" s="6"/>
      <c r="BU928" s="6"/>
      <c r="BV928" s="6"/>
      <c r="BW928" s="1029"/>
      <c r="BX928" s="1028"/>
      <c r="CB928" s="6"/>
      <c r="CC928" s="6"/>
      <c r="CD928" s="6"/>
      <c r="CE928" s="1029"/>
      <c r="CJ928" s="11"/>
      <c r="CM928" s="11"/>
      <c r="CU928" s="17"/>
      <c r="CV928" s="265"/>
      <c r="CW928" s="265"/>
      <c r="CY928" s="11"/>
      <c r="DA928" s="12"/>
      <c r="DB928" s="13"/>
      <c r="DC928" s="14"/>
      <c r="DD928" s="265"/>
      <c r="DE928" s="265"/>
      <c r="DF928" s="265"/>
      <c r="DH928" s="15"/>
      <c r="DM928" s="4"/>
    </row>
    <row r="929" spans="2:117" ht="15" customHeight="1">
      <c r="B929" s="10"/>
      <c r="C929" s="17"/>
      <c r="E929" s="25"/>
      <c r="F929" s="35"/>
      <c r="J929" s="20"/>
      <c r="K929" s="1024"/>
      <c r="L929" s="1025"/>
      <c r="M929" s="1026"/>
      <c r="N929" s="1026"/>
      <c r="O929" s="265"/>
      <c r="P929" s="265"/>
      <c r="T929" s="265"/>
      <c r="U929" s="265"/>
      <c r="V929" s="265"/>
      <c r="X929" s="1026"/>
      <c r="Y929" s="265"/>
      <c r="Z929" s="265"/>
      <c r="AA929" s="265"/>
      <c r="AD929" s="4"/>
      <c r="AE929" s="1026"/>
      <c r="AF929" s="265"/>
      <c r="AU929" s="265"/>
      <c r="AV929" s="265"/>
      <c r="AW929" s="265"/>
      <c r="AX929" s="265"/>
      <c r="AY929" s="265"/>
      <c r="AZ929" s="265"/>
      <c r="BA929" s="265"/>
      <c r="BB929" s="265"/>
      <c r="BC929" s="265"/>
      <c r="BD929" s="265"/>
      <c r="BE929" s="265"/>
      <c r="BF929" s="265"/>
      <c r="BG929" s="265"/>
      <c r="BM929" s="6"/>
      <c r="BN929" s="6"/>
      <c r="BO929" s="6"/>
      <c r="BP929" s="1028"/>
      <c r="BT929" s="6"/>
      <c r="BU929" s="6"/>
      <c r="BV929" s="6"/>
      <c r="BW929" s="1029"/>
      <c r="BX929" s="1028"/>
      <c r="CB929" s="6"/>
      <c r="CC929" s="6"/>
      <c r="CD929" s="6"/>
      <c r="CE929" s="1029"/>
      <c r="CJ929" s="11"/>
      <c r="CM929" s="11"/>
      <c r="CU929" s="17"/>
      <c r="CV929" s="265"/>
      <c r="CW929" s="265"/>
      <c r="CY929" s="11"/>
      <c r="DA929" s="12"/>
      <c r="DB929" s="13"/>
      <c r="DC929" s="14"/>
      <c r="DD929" s="265"/>
      <c r="DE929" s="265"/>
      <c r="DF929" s="265"/>
      <c r="DH929" s="15"/>
      <c r="DM929" s="4"/>
    </row>
    <row r="930" spans="2:117" ht="15" customHeight="1">
      <c r="B930" s="10"/>
      <c r="C930" s="17"/>
      <c r="E930" s="25"/>
      <c r="F930" s="35"/>
      <c r="J930" s="20"/>
      <c r="K930" s="1024"/>
      <c r="L930" s="1025"/>
      <c r="M930" s="1026"/>
      <c r="N930" s="1026"/>
      <c r="O930" s="265"/>
      <c r="P930" s="265"/>
      <c r="T930" s="265"/>
      <c r="U930" s="265"/>
      <c r="V930" s="265"/>
      <c r="X930" s="1026"/>
      <c r="Y930" s="265"/>
      <c r="Z930" s="265"/>
      <c r="AA930" s="265"/>
      <c r="AD930" s="4"/>
      <c r="AE930" s="1026"/>
      <c r="AF930" s="265"/>
      <c r="AU930" s="265"/>
      <c r="AV930" s="265"/>
      <c r="AW930" s="265"/>
      <c r="AX930" s="265"/>
      <c r="AY930" s="265"/>
      <c r="AZ930" s="265"/>
      <c r="BA930" s="265"/>
      <c r="BB930" s="265"/>
      <c r="BC930" s="265"/>
      <c r="BD930" s="265"/>
      <c r="BE930" s="265"/>
      <c r="BF930" s="265"/>
      <c r="BG930" s="265"/>
      <c r="BM930" s="6"/>
      <c r="BN930" s="6"/>
      <c r="BO930" s="6"/>
      <c r="BP930" s="1028"/>
      <c r="BT930" s="6"/>
      <c r="BU930" s="6"/>
      <c r="BV930" s="6"/>
      <c r="BW930" s="1029"/>
      <c r="BX930" s="1028"/>
      <c r="CB930" s="6"/>
      <c r="CC930" s="6"/>
      <c r="CD930" s="6"/>
      <c r="CE930" s="1029"/>
      <c r="CJ930" s="11"/>
      <c r="CM930" s="11"/>
      <c r="CU930" s="17"/>
      <c r="CV930" s="265"/>
      <c r="CW930" s="265"/>
      <c r="CY930" s="11"/>
      <c r="DA930" s="12"/>
      <c r="DB930" s="13"/>
      <c r="DC930" s="14"/>
      <c r="DD930" s="265"/>
      <c r="DE930" s="265"/>
      <c r="DF930" s="265"/>
      <c r="DH930" s="15"/>
      <c r="DM930" s="4"/>
    </row>
    <row r="931" spans="2:117" ht="15" customHeight="1">
      <c r="B931" s="10"/>
      <c r="C931" s="17"/>
      <c r="E931" s="25"/>
      <c r="F931" s="35"/>
      <c r="J931" s="20"/>
      <c r="K931" s="1024"/>
      <c r="L931" s="1025"/>
      <c r="M931" s="1026"/>
      <c r="N931" s="1026"/>
      <c r="O931" s="265"/>
      <c r="P931" s="265"/>
      <c r="T931" s="265"/>
      <c r="U931" s="265"/>
      <c r="V931" s="265"/>
      <c r="X931" s="1026"/>
      <c r="Y931" s="265"/>
      <c r="Z931" s="265"/>
      <c r="AA931" s="265"/>
      <c r="AD931" s="4"/>
      <c r="AE931" s="1026"/>
      <c r="AF931" s="265"/>
      <c r="AU931" s="265"/>
      <c r="AV931" s="265"/>
      <c r="AW931" s="265"/>
      <c r="AX931" s="265"/>
      <c r="AY931" s="265"/>
      <c r="AZ931" s="265"/>
      <c r="BA931" s="265"/>
      <c r="BB931" s="265"/>
      <c r="BC931" s="265"/>
      <c r="BD931" s="265"/>
      <c r="BE931" s="265"/>
      <c r="BF931" s="265"/>
      <c r="BG931" s="265"/>
      <c r="BM931" s="6"/>
      <c r="BN931" s="6"/>
      <c r="BO931" s="6"/>
      <c r="BP931" s="1028"/>
      <c r="BT931" s="6"/>
      <c r="BU931" s="6"/>
      <c r="BV931" s="6"/>
      <c r="BW931" s="1029"/>
      <c r="BX931" s="1028"/>
      <c r="CB931" s="6"/>
      <c r="CC931" s="6"/>
      <c r="CD931" s="6"/>
      <c r="CE931" s="1029"/>
      <c r="CJ931" s="11"/>
      <c r="CM931" s="11"/>
      <c r="CU931" s="17"/>
      <c r="CV931" s="265"/>
      <c r="CW931" s="265"/>
      <c r="CY931" s="11"/>
      <c r="DA931" s="12"/>
      <c r="DB931" s="13"/>
      <c r="DC931" s="14"/>
      <c r="DD931" s="265"/>
      <c r="DE931" s="265"/>
      <c r="DF931" s="265"/>
      <c r="DH931" s="15"/>
      <c r="DM931" s="4"/>
    </row>
    <row r="932" spans="2:117" ht="15" customHeight="1">
      <c r="B932" s="10"/>
      <c r="C932" s="17"/>
      <c r="E932" s="25"/>
      <c r="F932" s="35"/>
      <c r="J932" s="20"/>
      <c r="K932" s="1024"/>
      <c r="L932" s="1025"/>
      <c r="M932" s="1026"/>
      <c r="N932" s="1026"/>
      <c r="O932" s="265"/>
      <c r="P932" s="265"/>
      <c r="T932" s="265"/>
      <c r="U932" s="265"/>
      <c r="V932" s="265"/>
      <c r="X932" s="1026"/>
      <c r="Y932" s="265"/>
      <c r="Z932" s="265"/>
      <c r="AA932" s="265"/>
      <c r="AD932" s="4"/>
      <c r="AE932" s="1026"/>
      <c r="AF932" s="265"/>
      <c r="AU932" s="265"/>
      <c r="AV932" s="265"/>
      <c r="AW932" s="265"/>
      <c r="AX932" s="265"/>
      <c r="AY932" s="265"/>
      <c r="AZ932" s="265"/>
      <c r="BA932" s="265"/>
      <c r="BB932" s="265"/>
      <c r="BC932" s="265"/>
      <c r="BD932" s="265"/>
      <c r="BE932" s="265"/>
      <c r="BF932" s="265"/>
      <c r="BG932" s="265"/>
      <c r="BM932" s="6"/>
      <c r="BN932" s="6"/>
      <c r="BO932" s="6"/>
      <c r="BP932" s="1028"/>
      <c r="BT932" s="6"/>
      <c r="BU932" s="6"/>
      <c r="BV932" s="6"/>
      <c r="BW932" s="1029"/>
      <c r="BX932" s="1028"/>
      <c r="CB932" s="6"/>
      <c r="CC932" s="6"/>
      <c r="CD932" s="6"/>
      <c r="CE932" s="1029"/>
      <c r="CJ932" s="11"/>
      <c r="CM932" s="11"/>
      <c r="CU932" s="17"/>
      <c r="CV932" s="265"/>
      <c r="CW932" s="265"/>
      <c r="CY932" s="11"/>
      <c r="DA932" s="12"/>
      <c r="DB932" s="13"/>
      <c r="DC932" s="14"/>
      <c r="DD932" s="265"/>
      <c r="DE932" s="265"/>
      <c r="DF932" s="265"/>
      <c r="DH932" s="15"/>
      <c r="DM932" s="4"/>
    </row>
    <row r="933" spans="2:117" ht="15" customHeight="1">
      <c r="B933" s="10"/>
      <c r="C933" s="17"/>
      <c r="E933" s="25"/>
      <c r="F933" s="35"/>
      <c r="J933" s="20"/>
      <c r="K933" s="1024"/>
      <c r="L933" s="1025"/>
      <c r="M933" s="1026"/>
      <c r="N933" s="1026"/>
      <c r="O933" s="265"/>
      <c r="P933" s="265"/>
      <c r="T933" s="265"/>
      <c r="U933" s="265"/>
      <c r="V933" s="265"/>
      <c r="X933" s="1026"/>
      <c r="Y933" s="265"/>
      <c r="Z933" s="265"/>
      <c r="AA933" s="265"/>
      <c r="AD933" s="4"/>
      <c r="AE933" s="1026"/>
      <c r="AF933" s="265"/>
      <c r="AU933" s="265"/>
      <c r="AV933" s="265"/>
      <c r="AW933" s="265"/>
      <c r="AX933" s="265"/>
      <c r="AY933" s="265"/>
      <c r="AZ933" s="265"/>
      <c r="BA933" s="265"/>
      <c r="BB933" s="265"/>
      <c r="BC933" s="265"/>
      <c r="BD933" s="265"/>
      <c r="BE933" s="265"/>
      <c r="BF933" s="265"/>
      <c r="BG933" s="265"/>
      <c r="BM933" s="6"/>
      <c r="BN933" s="6"/>
      <c r="BO933" s="6"/>
      <c r="BP933" s="1028"/>
      <c r="BT933" s="6"/>
      <c r="BU933" s="6"/>
      <c r="BV933" s="6"/>
      <c r="BW933" s="1029"/>
      <c r="BX933" s="1028"/>
      <c r="CB933" s="6"/>
      <c r="CC933" s="6"/>
      <c r="CD933" s="6"/>
      <c r="CE933" s="1029"/>
      <c r="CJ933" s="11"/>
      <c r="CM933" s="11"/>
      <c r="CU933" s="17"/>
      <c r="CV933" s="265"/>
      <c r="CW933" s="265"/>
      <c r="CY933" s="11"/>
      <c r="DA933" s="12"/>
      <c r="DB933" s="13"/>
      <c r="DC933" s="14"/>
      <c r="DD933" s="265"/>
      <c r="DE933" s="265"/>
      <c r="DF933" s="265"/>
      <c r="DH933" s="15"/>
      <c r="DM933" s="4"/>
    </row>
    <row r="934" spans="2:117" ht="15" customHeight="1">
      <c r="B934" s="10"/>
      <c r="C934" s="17"/>
      <c r="E934" s="25"/>
      <c r="F934" s="35"/>
      <c r="J934" s="20"/>
      <c r="K934" s="1024"/>
      <c r="L934" s="1025"/>
      <c r="M934" s="1026"/>
      <c r="N934" s="1026"/>
      <c r="O934" s="265"/>
      <c r="P934" s="265"/>
      <c r="T934" s="265"/>
      <c r="U934" s="265"/>
      <c r="V934" s="265"/>
      <c r="X934" s="1026"/>
      <c r="Y934" s="265"/>
      <c r="Z934" s="265"/>
      <c r="AA934" s="265"/>
      <c r="AD934" s="4"/>
      <c r="AE934" s="1026"/>
      <c r="AF934" s="265"/>
      <c r="AU934" s="265"/>
      <c r="AV934" s="265"/>
      <c r="AW934" s="265"/>
      <c r="AX934" s="265"/>
      <c r="AY934" s="265"/>
      <c r="AZ934" s="265"/>
      <c r="BA934" s="265"/>
      <c r="BB934" s="265"/>
      <c r="BC934" s="265"/>
      <c r="BD934" s="265"/>
      <c r="BE934" s="265"/>
      <c r="BF934" s="265"/>
      <c r="BG934" s="265"/>
      <c r="BM934" s="6"/>
      <c r="BN934" s="6"/>
      <c r="BO934" s="6"/>
      <c r="BP934" s="1028"/>
      <c r="BT934" s="6"/>
      <c r="BU934" s="6"/>
      <c r="BV934" s="6"/>
      <c r="BW934" s="1029"/>
      <c r="BX934" s="1028"/>
      <c r="CB934" s="6"/>
      <c r="CC934" s="6"/>
      <c r="CD934" s="6"/>
      <c r="CE934" s="1029"/>
      <c r="CJ934" s="11"/>
      <c r="CM934" s="11"/>
      <c r="CU934" s="17"/>
      <c r="CV934" s="265"/>
      <c r="CW934" s="265"/>
      <c r="CY934" s="11"/>
      <c r="DA934" s="12"/>
      <c r="DB934" s="13"/>
      <c r="DC934" s="14"/>
      <c r="DD934" s="265"/>
      <c r="DE934" s="265"/>
      <c r="DF934" s="265"/>
      <c r="DH934" s="15"/>
      <c r="DM934" s="4"/>
    </row>
    <row r="935" spans="2:117" ht="15" customHeight="1">
      <c r="B935" s="10"/>
      <c r="C935" s="17"/>
      <c r="E935" s="25"/>
      <c r="F935" s="35"/>
      <c r="J935" s="20"/>
      <c r="K935" s="1024"/>
      <c r="L935" s="1025"/>
      <c r="M935" s="1026"/>
      <c r="N935" s="1026"/>
      <c r="O935" s="265"/>
      <c r="P935" s="265"/>
      <c r="T935" s="265"/>
      <c r="U935" s="265"/>
      <c r="V935" s="265"/>
      <c r="X935" s="1026"/>
      <c r="Y935" s="265"/>
      <c r="Z935" s="265"/>
      <c r="AA935" s="265"/>
      <c r="AD935" s="4"/>
      <c r="AE935" s="1026"/>
      <c r="AF935" s="265"/>
      <c r="AU935" s="265"/>
      <c r="AV935" s="265"/>
      <c r="AW935" s="265"/>
      <c r="AX935" s="265"/>
      <c r="AY935" s="265"/>
      <c r="AZ935" s="265"/>
      <c r="BA935" s="265"/>
      <c r="BB935" s="265"/>
      <c r="BC935" s="265"/>
      <c r="BD935" s="265"/>
      <c r="BE935" s="265"/>
      <c r="BF935" s="265"/>
      <c r="BG935" s="265"/>
      <c r="BM935" s="6"/>
      <c r="BN935" s="6"/>
      <c r="BO935" s="6"/>
      <c r="BP935" s="1028"/>
      <c r="BT935" s="6"/>
      <c r="BU935" s="6"/>
      <c r="BV935" s="6"/>
      <c r="BW935" s="1029"/>
      <c r="BX935" s="1028"/>
      <c r="CB935" s="6"/>
      <c r="CC935" s="6"/>
      <c r="CD935" s="6"/>
      <c r="CE935" s="1029"/>
      <c r="CJ935" s="11"/>
      <c r="CM935" s="11"/>
      <c r="CU935" s="17"/>
      <c r="CV935" s="265"/>
      <c r="CW935" s="265"/>
      <c r="CY935" s="11"/>
      <c r="DA935" s="12"/>
      <c r="DB935" s="13"/>
      <c r="DC935" s="14"/>
      <c r="DD935" s="265"/>
      <c r="DE935" s="265"/>
      <c r="DF935" s="265"/>
      <c r="DH935" s="15"/>
      <c r="DM935" s="4"/>
    </row>
    <row r="936" spans="2:117" ht="15" customHeight="1">
      <c r="B936" s="10"/>
      <c r="C936" s="17"/>
      <c r="E936" s="25"/>
      <c r="F936" s="35"/>
      <c r="J936" s="20"/>
      <c r="K936" s="1024"/>
      <c r="L936" s="1025"/>
      <c r="M936" s="1026"/>
      <c r="N936" s="1026"/>
      <c r="O936" s="265"/>
      <c r="P936" s="265"/>
      <c r="T936" s="265"/>
      <c r="U936" s="265"/>
      <c r="V936" s="265"/>
      <c r="X936" s="1026"/>
      <c r="Y936" s="265"/>
      <c r="Z936" s="265"/>
      <c r="AA936" s="265"/>
      <c r="AD936" s="4"/>
      <c r="AE936" s="1026"/>
      <c r="AF936" s="265"/>
      <c r="AU936" s="265"/>
      <c r="AV936" s="265"/>
      <c r="AW936" s="265"/>
      <c r="AX936" s="265"/>
      <c r="AY936" s="265"/>
      <c r="AZ936" s="265"/>
      <c r="BA936" s="265"/>
      <c r="BB936" s="265"/>
      <c r="BC936" s="265"/>
      <c r="BD936" s="265"/>
      <c r="BE936" s="265"/>
      <c r="BF936" s="265"/>
      <c r="BG936" s="265"/>
      <c r="BM936" s="6"/>
      <c r="BN936" s="6"/>
      <c r="BO936" s="6"/>
      <c r="BP936" s="1028"/>
      <c r="BT936" s="6"/>
      <c r="BU936" s="6"/>
      <c r="BV936" s="6"/>
      <c r="BW936" s="1029"/>
      <c r="BX936" s="1028"/>
      <c r="CB936" s="6"/>
      <c r="CC936" s="6"/>
      <c r="CD936" s="6"/>
      <c r="CE936" s="1029"/>
      <c r="CJ936" s="11"/>
      <c r="CM936" s="11"/>
      <c r="CU936" s="17"/>
      <c r="CV936" s="265"/>
      <c r="CW936" s="265"/>
      <c r="CY936" s="11"/>
      <c r="DA936" s="12"/>
      <c r="DB936" s="13"/>
      <c r="DC936" s="14"/>
      <c r="DD936" s="265"/>
      <c r="DE936" s="265"/>
      <c r="DF936" s="265"/>
      <c r="DH936" s="15"/>
      <c r="DM936" s="4"/>
    </row>
    <row r="937" spans="2:117" ht="15" customHeight="1">
      <c r="B937" s="10"/>
      <c r="C937" s="17"/>
      <c r="E937" s="25"/>
      <c r="F937" s="35"/>
      <c r="J937" s="20"/>
      <c r="K937" s="1024"/>
      <c r="L937" s="1025"/>
      <c r="M937" s="1026"/>
      <c r="N937" s="1026"/>
      <c r="O937" s="265"/>
      <c r="P937" s="265"/>
      <c r="T937" s="265"/>
      <c r="U937" s="265"/>
      <c r="V937" s="265"/>
      <c r="X937" s="1026"/>
      <c r="Y937" s="265"/>
      <c r="Z937" s="265"/>
      <c r="AA937" s="265"/>
      <c r="AD937" s="4"/>
      <c r="AE937" s="1026"/>
      <c r="AF937" s="265"/>
      <c r="AU937" s="265"/>
      <c r="AV937" s="265"/>
      <c r="AW937" s="265"/>
      <c r="AX937" s="265"/>
      <c r="AY937" s="265"/>
      <c r="AZ937" s="265"/>
      <c r="BA937" s="265"/>
      <c r="BB937" s="265"/>
      <c r="BC937" s="265"/>
      <c r="BD937" s="265"/>
      <c r="BE937" s="265"/>
      <c r="BF937" s="265"/>
      <c r="BG937" s="265"/>
      <c r="BM937" s="6"/>
      <c r="BN937" s="6"/>
      <c r="BO937" s="6"/>
      <c r="BP937" s="1028"/>
      <c r="BT937" s="6"/>
      <c r="BU937" s="6"/>
      <c r="BV937" s="6"/>
      <c r="BW937" s="1029"/>
      <c r="BX937" s="1028"/>
      <c r="CB937" s="6"/>
      <c r="CC937" s="6"/>
      <c r="CD937" s="6"/>
      <c r="CE937" s="1029"/>
      <c r="CJ937" s="11"/>
      <c r="CM937" s="11"/>
      <c r="CU937" s="17"/>
      <c r="CV937" s="265"/>
      <c r="CW937" s="265"/>
      <c r="CY937" s="11"/>
      <c r="DA937" s="12"/>
      <c r="DB937" s="13"/>
      <c r="DC937" s="14"/>
      <c r="DD937" s="265"/>
      <c r="DE937" s="265"/>
      <c r="DF937" s="265"/>
      <c r="DH937" s="15"/>
      <c r="DM937" s="4"/>
    </row>
    <row r="938" spans="2:117" ht="15" customHeight="1">
      <c r="B938" s="10"/>
      <c r="C938" s="17"/>
      <c r="E938" s="25"/>
      <c r="F938" s="35"/>
      <c r="J938" s="20"/>
      <c r="K938" s="1024"/>
      <c r="L938" s="1025"/>
      <c r="M938" s="1026"/>
      <c r="N938" s="1026"/>
      <c r="O938" s="265"/>
      <c r="P938" s="265"/>
      <c r="T938" s="265"/>
      <c r="U938" s="265"/>
      <c r="V938" s="265"/>
      <c r="X938" s="1026"/>
      <c r="Y938" s="265"/>
      <c r="Z938" s="265"/>
      <c r="AA938" s="265"/>
      <c r="AD938" s="4"/>
      <c r="AE938" s="1026"/>
      <c r="AF938" s="265"/>
      <c r="AU938" s="265"/>
      <c r="AV938" s="265"/>
      <c r="AW938" s="265"/>
      <c r="AX938" s="265"/>
      <c r="AY938" s="265"/>
      <c r="AZ938" s="265"/>
      <c r="BA938" s="265"/>
      <c r="BB938" s="265"/>
      <c r="BC938" s="265"/>
      <c r="BD938" s="265"/>
      <c r="BE938" s="265"/>
      <c r="BF938" s="265"/>
      <c r="BG938" s="265"/>
      <c r="BM938" s="6"/>
      <c r="BN938" s="6"/>
      <c r="BO938" s="6"/>
      <c r="BP938" s="1028"/>
      <c r="BT938" s="6"/>
      <c r="BU938" s="6"/>
      <c r="BV938" s="6"/>
      <c r="BW938" s="1029"/>
      <c r="BX938" s="1028"/>
      <c r="CB938" s="6"/>
      <c r="CC938" s="6"/>
      <c r="CD938" s="6"/>
      <c r="CE938" s="1029"/>
      <c r="CJ938" s="11"/>
      <c r="CM938" s="11"/>
      <c r="CU938" s="17"/>
      <c r="CV938" s="265"/>
      <c r="CW938" s="265"/>
      <c r="CY938" s="11"/>
      <c r="DA938" s="12"/>
      <c r="DB938" s="13"/>
      <c r="DC938" s="14"/>
      <c r="DD938" s="265"/>
      <c r="DE938" s="265"/>
      <c r="DF938" s="265"/>
      <c r="DH938" s="15"/>
      <c r="DM938" s="4"/>
    </row>
    <row r="939" spans="2:117" ht="15" customHeight="1">
      <c r="B939" s="10"/>
      <c r="C939" s="17"/>
      <c r="E939" s="25"/>
      <c r="F939" s="35"/>
      <c r="J939" s="20"/>
      <c r="K939" s="1024"/>
      <c r="L939" s="1025"/>
      <c r="M939" s="1026"/>
      <c r="N939" s="1026"/>
      <c r="O939" s="265"/>
      <c r="P939" s="265"/>
      <c r="T939" s="265"/>
      <c r="U939" s="265"/>
      <c r="V939" s="265"/>
      <c r="X939" s="1026"/>
      <c r="Y939" s="265"/>
      <c r="Z939" s="265"/>
      <c r="AA939" s="265"/>
      <c r="AD939" s="4"/>
      <c r="AE939" s="1026"/>
      <c r="AF939" s="265"/>
      <c r="AU939" s="265"/>
      <c r="AV939" s="265"/>
      <c r="AW939" s="265"/>
      <c r="AX939" s="265"/>
      <c r="AY939" s="265"/>
      <c r="AZ939" s="265"/>
      <c r="BA939" s="265"/>
      <c r="BB939" s="265"/>
      <c r="BC939" s="265"/>
      <c r="BD939" s="265"/>
      <c r="BE939" s="265"/>
      <c r="BF939" s="265"/>
      <c r="BG939" s="265"/>
      <c r="BM939" s="6"/>
      <c r="BN939" s="6"/>
      <c r="BO939" s="6"/>
      <c r="BP939" s="1028"/>
      <c r="BT939" s="6"/>
      <c r="BU939" s="6"/>
      <c r="BV939" s="6"/>
      <c r="BW939" s="1029"/>
      <c r="BX939" s="1028"/>
      <c r="CB939" s="6"/>
      <c r="CC939" s="6"/>
      <c r="CD939" s="6"/>
      <c r="CE939" s="1029"/>
      <c r="CJ939" s="11"/>
      <c r="CM939" s="11"/>
      <c r="CU939" s="17"/>
      <c r="CV939" s="265"/>
      <c r="CW939" s="265"/>
      <c r="CY939" s="11"/>
      <c r="DA939" s="12"/>
      <c r="DB939" s="13"/>
      <c r="DC939" s="14"/>
      <c r="DD939" s="265"/>
      <c r="DE939" s="265"/>
      <c r="DF939" s="265"/>
      <c r="DH939" s="15"/>
      <c r="DM939" s="4"/>
    </row>
    <row r="940" spans="2:117" ht="15" customHeight="1">
      <c r="B940" s="10"/>
      <c r="C940" s="17"/>
      <c r="E940" s="25"/>
      <c r="F940" s="35"/>
      <c r="J940" s="20"/>
      <c r="K940" s="1024"/>
      <c r="L940" s="1025"/>
      <c r="M940" s="1026"/>
      <c r="N940" s="1026"/>
      <c r="O940" s="265"/>
      <c r="P940" s="265"/>
      <c r="T940" s="265"/>
      <c r="U940" s="265"/>
      <c r="V940" s="265"/>
      <c r="X940" s="1026"/>
      <c r="Y940" s="265"/>
      <c r="Z940" s="265"/>
      <c r="AA940" s="265"/>
      <c r="AD940" s="4"/>
      <c r="AE940" s="1026"/>
      <c r="AF940" s="265"/>
      <c r="AU940" s="265"/>
      <c r="AV940" s="265"/>
      <c r="AW940" s="265"/>
      <c r="AX940" s="265"/>
      <c r="AY940" s="265"/>
      <c r="AZ940" s="265"/>
      <c r="BA940" s="265"/>
      <c r="BB940" s="265"/>
      <c r="BC940" s="265"/>
      <c r="BD940" s="265"/>
      <c r="BE940" s="265"/>
      <c r="BF940" s="265"/>
      <c r="BG940" s="265"/>
      <c r="BM940" s="6"/>
      <c r="BN940" s="6"/>
      <c r="BO940" s="6"/>
      <c r="BP940" s="1028"/>
      <c r="BT940" s="6"/>
      <c r="BU940" s="6"/>
      <c r="BV940" s="6"/>
      <c r="BW940" s="1029"/>
      <c r="BX940" s="1028"/>
      <c r="CB940" s="6"/>
      <c r="CC940" s="6"/>
      <c r="CD940" s="6"/>
      <c r="CE940" s="1029"/>
      <c r="CJ940" s="11"/>
      <c r="CM940" s="11"/>
      <c r="CU940" s="17"/>
      <c r="CV940" s="265"/>
      <c r="CW940" s="265"/>
      <c r="CY940" s="11"/>
      <c r="DA940" s="12"/>
      <c r="DB940" s="13"/>
      <c r="DC940" s="14"/>
      <c r="DD940" s="265"/>
      <c r="DE940" s="265"/>
      <c r="DF940" s="265"/>
      <c r="DH940" s="15"/>
      <c r="DM940" s="4"/>
    </row>
    <row r="941" spans="2:117" ht="15" customHeight="1">
      <c r="B941" s="10"/>
      <c r="C941" s="17"/>
      <c r="E941" s="25"/>
      <c r="F941" s="35"/>
      <c r="J941" s="20"/>
      <c r="K941" s="1024"/>
      <c r="L941" s="1025"/>
      <c r="M941" s="1026"/>
      <c r="N941" s="1026"/>
      <c r="O941" s="265"/>
      <c r="P941" s="265"/>
      <c r="T941" s="265"/>
      <c r="U941" s="265"/>
      <c r="V941" s="265"/>
      <c r="X941" s="1026"/>
      <c r="Y941" s="265"/>
      <c r="Z941" s="265"/>
      <c r="AA941" s="265"/>
      <c r="AD941" s="4"/>
      <c r="AE941" s="1026"/>
      <c r="AF941" s="265"/>
      <c r="AU941" s="265"/>
      <c r="AV941" s="265"/>
      <c r="AW941" s="265"/>
      <c r="AX941" s="265"/>
      <c r="AY941" s="265"/>
      <c r="AZ941" s="265"/>
      <c r="BA941" s="265"/>
      <c r="BB941" s="265"/>
      <c r="BC941" s="265"/>
      <c r="BD941" s="265"/>
      <c r="BE941" s="265"/>
      <c r="BF941" s="265"/>
      <c r="BG941" s="265"/>
      <c r="BM941" s="6"/>
      <c r="BN941" s="6"/>
      <c r="BO941" s="6"/>
      <c r="BP941" s="1028"/>
      <c r="BT941" s="6"/>
      <c r="BU941" s="6"/>
      <c r="BV941" s="6"/>
      <c r="BW941" s="1029"/>
      <c r="BX941" s="1028"/>
      <c r="CB941" s="6"/>
      <c r="CC941" s="6"/>
      <c r="CD941" s="6"/>
      <c r="CE941" s="1029"/>
      <c r="CJ941" s="11"/>
      <c r="CM941" s="11"/>
      <c r="CU941" s="17"/>
      <c r="CV941" s="265"/>
      <c r="CW941" s="265"/>
      <c r="CY941" s="11"/>
      <c r="DA941" s="12"/>
      <c r="DB941" s="13"/>
      <c r="DC941" s="14"/>
      <c r="DD941" s="265"/>
      <c r="DE941" s="265"/>
      <c r="DF941" s="265"/>
      <c r="DH941" s="15"/>
      <c r="DM941" s="4"/>
    </row>
    <row r="942" spans="2:117" ht="15" customHeight="1">
      <c r="B942" s="10"/>
      <c r="C942" s="17"/>
      <c r="E942" s="25"/>
      <c r="F942" s="35"/>
      <c r="J942" s="20"/>
      <c r="K942" s="1024"/>
      <c r="L942" s="1025"/>
      <c r="M942" s="1026"/>
      <c r="N942" s="1026"/>
      <c r="O942" s="265"/>
      <c r="P942" s="265"/>
      <c r="T942" s="265"/>
      <c r="U942" s="265"/>
      <c r="V942" s="265"/>
      <c r="X942" s="1026"/>
      <c r="Y942" s="265"/>
      <c r="Z942" s="265"/>
      <c r="AA942" s="265"/>
      <c r="AD942" s="4"/>
      <c r="AE942" s="1026"/>
      <c r="AF942" s="265"/>
      <c r="AU942" s="265"/>
      <c r="AV942" s="265"/>
      <c r="AW942" s="265"/>
      <c r="AX942" s="265"/>
      <c r="AY942" s="265"/>
      <c r="AZ942" s="265"/>
      <c r="BA942" s="265"/>
      <c r="BB942" s="265"/>
      <c r="BC942" s="265"/>
      <c r="BD942" s="265"/>
      <c r="BE942" s="265"/>
      <c r="BF942" s="265"/>
      <c r="BG942" s="265"/>
      <c r="BM942" s="6"/>
      <c r="BN942" s="6"/>
      <c r="BO942" s="6"/>
      <c r="BP942" s="1028"/>
      <c r="BT942" s="6"/>
      <c r="BU942" s="6"/>
      <c r="BV942" s="6"/>
      <c r="BW942" s="1029"/>
      <c r="BX942" s="1028"/>
      <c r="CB942" s="6"/>
      <c r="CC942" s="6"/>
      <c r="CD942" s="6"/>
      <c r="CE942" s="1029"/>
      <c r="CJ942" s="11"/>
      <c r="CM942" s="11"/>
      <c r="CU942" s="17"/>
      <c r="CV942" s="265"/>
      <c r="CW942" s="265"/>
      <c r="CY942" s="11"/>
      <c r="DA942" s="12"/>
      <c r="DB942" s="13"/>
      <c r="DC942" s="14"/>
      <c r="DD942" s="265"/>
      <c r="DE942" s="265"/>
      <c r="DF942" s="265"/>
      <c r="DH942" s="15"/>
      <c r="DM942" s="4"/>
    </row>
    <row r="943" spans="2:117" ht="15" customHeight="1">
      <c r="B943" s="10"/>
      <c r="C943" s="17"/>
      <c r="E943" s="25"/>
      <c r="F943" s="35"/>
      <c r="J943" s="20"/>
      <c r="K943" s="1024"/>
      <c r="L943" s="1025"/>
      <c r="M943" s="1026"/>
      <c r="N943" s="1026"/>
      <c r="O943" s="265"/>
      <c r="P943" s="265"/>
      <c r="T943" s="265"/>
      <c r="U943" s="265"/>
      <c r="V943" s="265"/>
      <c r="X943" s="1026"/>
      <c r="Y943" s="265"/>
      <c r="Z943" s="265"/>
      <c r="AA943" s="265"/>
      <c r="AD943" s="4"/>
      <c r="AE943" s="1026"/>
      <c r="AF943" s="265"/>
      <c r="AU943" s="265"/>
      <c r="AV943" s="265"/>
      <c r="AW943" s="265"/>
      <c r="AX943" s="265"/>
      <c r="AY943" s="265"/>
      <c r="AZ943" s="265"/>
      <c r="BA943" s="265"/>
      <c r="BB943" s="265"/>
      <c r="BC943" s="265"/>
      <c r="BD943" s="265"/>
      <c r="BE943" s="265"/>
      <c r="BF943" s="265"/>
      <c r="BG943" s="265"/>
      <c r="BM943" s="6"/>
      <c r="BN943" s="6"/>
      <c r="BO943" s="6"/>
      <c r="BP943" s="1028"/>
      <c r="BT943" s="6"/>
      <c r="BU943" s="6"/>
      <c r="BV943" s="6"/>
      <c r="BW943" s="1029"/>
      <c r="BX943" s="1028"/>
      <c r="CB943" s="6"/>
      <c r="CC943" s="6"/>
      <c r="CD943" s="6"/>
      <c r="CE943" s="1029"/>
      <c r="CJ943" s="11"/>
      <c r="CM943" s="11"/>
      <c r="CU943" s="17"/>
      <c r="CV943" s="265"/>
      <c r="CW943" s="265"/>
      <c r="CY943" s="11"/>
      <c r="DA943" s="12"/>
      <c r="DB943" s="13"/>
      <c r="DC943" s="14"/>
      <c r="DD943" s="265"/>
      <c r="DE943" s="265"/>
      <c r="DF943" s="265"/>
      <c r="DH943" s="15"/>
      <c r="DM943" s="4"/>
    </row>
    <row r="944" spans="2:117" ht="15" customHeight="1">
      <c r="B944" s="10"/>
      <c r="C944" s="17"/>
      <c r="E944" s="25"/>
      <c r="F944" s="35"/>
      <c r="J944" s="20"/>
      <c r="K944" s="1024"/>
      <c r="L944" s="1025"/>
      <c r="M944" s="1026"/>
      <c r="N944" s="1026"/>
      <c r="O944" s="265"/>
      <c r="P944" s="265"/>
      <c r="T944" s="265"/>
      <c r="U944" s="265"/>
      <c r="V944" s="265"/>
      <c r="X944" s="1026"/>
      <c r="Y944" s="265"/>
      <c r="Z944" s="265"/>
      <c r="AA944" s="265"/>
      <c r="AD944" s="4"/>
      <c r="AE944" s="1026"/>
      <c r="AF944" s="265"/>
      <c r="AU944" s="265"/>
      <c r="AV944" s="265"/>
      <c r="AW944" s="265"/>
      <c r="AX944" s="265"/>
      <c r="AY944" s="265"/>
      <c r="AZ944" s="265"/>
      <c r="BA944" s="265"/>
      <c r="BB944" s="265"/>
      <c r="BC944" s="265"/>
      <c r="BD944" s="265"/>
      <c r="BE944" s="265"/>
      <c r="BF944" s="265"/>
      <c r="BG944" s="265"/>
      <c r="BM944" s="6"/>
      <c r="BN944" s="6"/>
      <c r="BO944" s="6"/>
      <c r="BP944" s="1028"/>
      <c r="BT944" s="6"/>
      <c r="BU944" s="6"/>
      <c r="BV944" s="6"/>
      <c r="BW944" s="1029"/>
      <c r="BX944" s="1028"/>
      <c r="CB944" s="6"/>
      <c r="CC944" s="6"/>
      <c r="CD944" s="6"/>
      <c r="CE944" s="1029"/>
      <c r="CJ944" s="11"/>
      <c r="CM944" s="11"/>
      <c r="CU944" s="17"/>
      <c r="CV944" s="265"/>
      <c r="CW944" s="265"/>
      <c r="CY944" s="11"/>
      <c r="DA944" s="12"/>
      <c r="DB944" s="13"/>
      <c r="DC944" s="14"/>
      <c r="DD944" s="265"/>
      <c r="DE944" s="265"/>
      <c r="DF944" s="265"/>
      <c r="DH944" s="15"/>
      <c r="DM944" s="4"/>
    </row>
    <row r="945" spans="2:117" ht="15" customHeight="1">
      <c r="B945" s="10"/>
      <c r="C945" s="17"/>
      <c r="E945" s="25"/>
      <c r="F945" s="35"/>
      <c r="J945" s="20"/>
      <c r="K945" s="1024"/>
      <c r="L945" s="1025"/>
      <c r="M945" s="1026"/>
      <c r="N945" s="1026"/>
      <c r="O945" s="265"/>
      <c r="P945" s="265"/>
      <c r="T945" s="265"/>
      <c r="U945" s="265"/>
      <c r="V945" s="265"/>
      <c r="X945" s="1026"/>
      <c r="Y945" s="265"/>
      <c r="Z945" s="265"/>
      <c r="AA945" s="265"/>
      <c r="AD945" s="4"/>
      <c r="AE945" s="1026"/>
      <c r="AF945" s="265"/>
      <c r="AU945" s="265"/>
      <c r="AV945" s="265"/>
      <c r="AW945" s="265"/>
      <c r="AX945" s="265"/>
      <c r="AY945" s="265"/>
      <c r="AZ945" s="265"/>
      <c r="BA945" s="265"/>
      <c r="BB945" s="265"/>
      <c r="BC945" s="265"/>
      <c r="BD945" s="265"/>
      <c r="BE945" s="265"/>
      <c r="BF945" s="265"/>
      <c r="BG945" s="265"/>
      <c r="BM945" s="6"/>
      <c r="BN945" s="6"/>
      <c r="BO945" s="6"/>
      <c r="BP945" s="1028"/>
      <c r="BT945" s="6"/>
      <c r="BU945" s="6"/>
      <c r="BV945" s="6"/>
      <c r="BW945" s="1029"/>
      <c r="BX945" s="1028"/>
      <c r="CB945" s="6"/>
      <c r="CC945" s="6"/>
      <c r="CD945" s="6"/>
      <c r="CE945" s="1029"/>
      <c r="CJ945" s="11"/>
      <c r="CM945" s="11"/>
      <c r="CU945" s="17"/>
      <c r="CV945" s="265"/>
      <c r="CW945" s="265"/>
      <c r="CY945" s="11"/>
      <c r="DA945" s="12"/>
      <c r="DB945" s="13"/>
      <c r="DC945" s="14"/>
      <c r="DD945" s="265"/>
      <c r="DE945" s="265"/>
      <c r="DF945" s="265"/>
      <c r="DH945" s="15"/>
      <c r="DM945" s="4"/>
    </row>
    <row r="946" spans="2:117" ht="15" customHeight="1">
      <c r="B946" s="10"/>
      <c r="C946" s="17"/>
      <c r="E946" s="25"/>
      <c r="F946" s="35"/>
      <c r="J946" s="20"/>
      <c r="K946" s="1024"/>
      <c r="L946" s="1025"/>
      <c r="M946" s="1026"/>
      <c r="N946" s="1026"/>
      <c r="O946" s="265"/>
      <c r="P946" s="265"/>
      <c r="T946" s="265"/>
      <c r="U946" s="265"/>
      <c r="V946" s="265"/>
      <c r="X946" s="1026"/>
      <c r="Y946" s="265"/>
      <c r="Z946" s="265"/>
      <c r="AA946" s="265"/>
      <c r="AD946" s="4"/>
      <c r="AE946" s="1026"/>
      <c r="AF946" s="265"/>
      <c r="AU946" s="265"/>
      <c r="AV946" s="265"/>
      <c r="AW946" s="265"/>
      <c r="AX946" s="265"/>
      <c r="AY946" s="265"/>
      <c r="AZ946" s="265"/>
      <c r="BA946" s="265"/>
      <c r="BB946" s="265"/>
      <c r="BC946" s="265"/>
      <c r="BD946" s="265"/>
      <c r="BE946" s="265"/>
      <c r="BF946" s="265"/>
      <c r="BG946" s="265"/>
      <c r="BM946" s="6"/>
      <c r="BN946" s="6"/>
      <c r="BO946" s="6"/>
      <c r="BP946" s="1028"/>
      <c r="BT946" s="6"/>
      <c r="BU946" s="6"/>
      <c r="BV946" s="6"/>
      <c r="BW946" s="1029"/>
      <c r="BX946" s="1028"/>
      <c r="CB946" s="6"/>
      <c r="CC946" s="6"/>
      <c r="CD946" s="6"/>
      <c r="CE946" s="1029"/>
      <c r="CJ946" s="11"/>
      <c r="CM946" s="11"/>
      <c r="CU946" s="17"/>
      <c r="CV946" s="265"/>
      <c r="CW946" s="265"/>
      <c r="CY946" s="11"/>
      <c r="DA946" s="12"/>
      <c r="DB946" s="13"/>
      <c r="DC946" s="14"/>
      <c r="DD946" s="265"/>
      <c r="DE946" s="265"/>
      <c r="DF946" s="265"/>
      <c r="DH946" s="15"/>
      <c r="DM946" s="4"/>
    </row>
    <row r="947" spans="2:117" ht="15" customHeight="1">
      <c r="B947" s="10"/>
      <c r="C947" s="17"/>
      <c r="E947" s="25"/>
      <c r="F947" s="35"/>
      <c r="J947" s="20"/>
      <c r="K947" s="1024"/>
      <c r="L947" s="1025"/>
      <c r="M947" s="1026"/>
      <c r="N947" s="1026"/>
      <c r="O947" s="265"/>
      <c r="P947" s="265"/>
      <c r="T947" s="265"/>
      <c r="U947" s="265"/>
      <c r="V947" s="265"/>
      <c r="X947" s="1026"/>
      <c r="Y947" s="265"/>
      <c r="Z947" s="265"/>
      <c r="AA947" s="265"/>
      <c r="AD947" s="4"/>
      <c r="AE947" s="1026"/>
      <c r="AF947" s="265"/>
      <c r="AU947" s="265"/>
      <c r="AV947" s="265"/>
      <c r="AW947" s="265"/>
      <c r="AX947" s="265"/>
      <c r="AY947" s="265"/>
      <c r="AZ947" s="265"/>
      <c r="BA947" s="265"/>
      <c r="BB947" s="265"/>
      <c r="BC947" s="265"/>
      <c r="BD947" s="265"/>
      <c r="BE947" s="265"/>
      <c r="BF947" s="265"/>
      <c r="BG947" s="265"/>
      <c r="BM947" s="6"/>
      <c r="BN947" s="6"/>
      <c r="BO947" s="6"/>
      <c r="BP947" s="1028"/>
      <c r="BT947" s="6"/>
      <c r="BU947" s="6"/>
      <c r="BV947" s="6"/>
      <c r="BW947" s="1029"/>
      <c r="BX947" s="1028"/>
      <c r="CB947" s="6"/>
      <c r="CC947" s="6"/>
      <c r="CD947" s="6"/>
      <c r="CE947" s="1029"/>
      <c r="CJ947" s="11"/>
      <c r="CM947" s="11"/>
      <c r="CU947" s="17"/>
      <c r="CV947" s="265"/>
      <c r="CW947" s="265"/>
      <c r="CY947" s="11"/>
      <c r="DA947" s="12"/>
      <c r="DB947" s="13"/>
      <c r="DC947" s="14"/>
      <c r="DD947" s="265"/>
      <c r="DE947" s="265"/>
      <c r="DF947" s="265"/>
      <c r="DH947" s="15"/>
      <c r="DM947" s="4"/>
    </row>
    <row r="948" spans="2:117" ht="15" customHeight="1">
      <c r="B948" s="10"/>
      <c r="C948" s="17"/>
      <c r="E948" s="25"/>
      <c r="F948" s="35"/>
      <c r="J948" s="20"/>
      <c r="K948" s="1024"/>
      <c r="L948" s="1025"/>
      <c r="M948" s="1026"/>
      <c r="N948" s="1026"/>
      <c r="O948" s="265"/>
      <c r="P948" s="265"/>
      <c r="T948" s="265"/>
      <c r="U948" s="265"/>
      <c r="V948" s="265"/>
      <c r="X948" s="1026"/>
      <c r="Y948" s="265"/>
      <c r="Z948" s="265"/>
      <c r="AA948" s="265"/>
      <c r="AD948" s="4"/>
      <c r="AE948" s="1026"/>
      <c r="AF948" s="265"/>
      <c r="AU948" s="265"/>
      <c r="AV948" s="265"/>
      <c r="AW948" s="265"/>
      <c r="AX948" s="265"/>
      <c r="AY948" s="265"/>
      <c r="AZ948" s="265"/>
      <c r="BA948" s="265"/>
      <c r="BB948" s="265"/>
      <c r="BC948" s="265"/>
      <c r="BD948" s="265"/>
      <c r="BE948" s="265"/>
      <c r="BF948" s="265"/>
      <c r="BG948" s="265"/>
      <c r="BM948" s="6"/>
      <c r="BN948" s="6"/>
      <c r="BO948" s="6"/>
      <c r="BP948" s="1028"/>
      <c r="BT948" s="6"/>
      <c r="BU948" s="6"/>
      <c r="BV948" s="6"/>
      <c r="BW948" s="1029"/>
      <c r="BX948" s="1028"/>
      <c r="CB948" s="6"/>
      <c r="CC948" s="6"/>
      <c r="CD948" s="6"/>
      <c r="CE948" s="1029"/>
      <c r="CJ948" s="11"/>
      <c r="CM948" s="11"/>
      <c r="CU948" s="17"/>
      <c r="CV948" s="265"/>
      <c r="CW948" s="265"/>
      <c r="CY948" s="11"/>
      <c r="DA948" s="12"/>
      <c r="DB948" s="13"/>
      <c r="DC948" s="14"/>
      <c r="DD948" s="265"/>
      <c r="DE948" s="265"/>
      <c r="DF948" s="265"/>
      <c r="DH948" s="15"/>
      <c r="DM948" s="4"/>
    </row>
    <row r="949" spans="2:117" ht="15" customHeight="1">
      <c r="B949" s="10"/>
      <c r="C949" s="17"/>
      <c r="E949" s="25"/>
      <c r="F949" s="35"/>
      <c r="J949" s="20"/>
      <c r="K949" s="1024"/>
      <c r="L949" s="1025"/>
      <c r="M949" s="1026"/>
      <c r="N949" s="1026"/>
      <c r="O949" s="265"/>
      <c r="P949" s="265"/>
      <c r="T949" s="265"/>
      <c r="U949" s="265"/>
      <c r="V949" s="265"/>
      <c r="X949" s="1026"/>
      <c r="Y949" s="265"/>
      <c r="Z949" s="265"/>
      <c r="AA949" s="265"/>
      <c r="AD949" s="4"/>
      <c r="AE949" s="1026"/>
      <c r="AF949" s="265"/>
      <c r="AU949" s="265"/>
      <c r="AV949" s="265"/>
      <c r="AW949" s="265"/>
      <c r="AX949" s="265"/>
      <c r="AY949" s="265"/>
      <c r="AZ949" s="265"/>
      <c r="BA949" s="265"/>
      <c r="BB949" s="265"/>
      <c r="BC949" s="265"/>
      <c r="BD949" s="265"/>
      <c r="BE949" s="265"/>
      <c r="BF949" s="265"/>
      <c r="BG949" s="265"/>
      <c r="BM949" s="6"/>
      <c r="BN949" s="6"/>
      <c r="BO949" s="6"/>
      <c r="BP949" s="1028"/>
      <c r="BT949" s="6"/>
      <c r="BU949" s="6"/>
      <c r="BV949" s="6"/>
      <c r="BW949" s="1029"/>
      <c r="BX949" s="1028"/>
      <c r="CB949" s="6"/>
      <c r="CC949" s="6"/>
      <c r="CD949" s="6"/>
      <c r="CE949" s="1029"/>
      <c r="CJ949" s="11"/>
      <c r="CM949" s="11"/>
      <c r="CU949" s="17"/>
      <c r="CV949" s="265"/>
      <c r="CW949" s="265"/>
      <c r="CY949" s="11"/>
      <c r="DA949" s="12"/>
      <c r="DB949" s="13"/>
      <c r="DC949" s="14"/>
      <c r="DD949" s="265"/>
      <c r="DE949" s="265"/>
      <c r="DF949" s="265"/>
      <c r="DH949" s="15"/>
      <c r="DM949" s="4"/>
    </row>
    <row r="950" spans="2:117" ht="15" customHeight="1">
      <c r="B950" s="10"/>
      <c r="C950" s="17"/>
      <c r="E950" s="25"/>
      <c r="F950" s="35"/>
      <c r="J950" s="20"/>
      <c r="K950" s="1024"/>
      <c r="L950" s="1025"/>
      <c r="M950" s="1026"/>
      <c r="N950" s="1026"/>
      <c r="O950" s="265"/>
      <c r="P950" s="265"/>
      <c r="T950" s="265"/>
      <c r="U950" s="265"/>
      <c r="V950" s="265"/>
      <c r="X950" s="1026"/>
      <c r="Y950" s="265"/>
      <c r="Z950" s="265"/>
      <c r="AA950" s="265"/>
      <c r="AD950" s="4"/>
      <c r="AE950" s="1026"/>
      <c r="AF950" s="265"/>
      <c r="AU950" s="265"/>
      <c r="AV950" s="265"/>
      <c r="AW950" s="265"/>
      <c r="AX950" s="265"/>
      <c r="AY950" s="265"/>
      <c r="AZ950" s="265"/>
      <c r="BA950" s="265"/>
      <c r="BB950" s="265"/>
      <c r="BC950" s="265"/>
      <c r="BD950" s="265"/>
      <c r="BE950" s="265"/>
      <c r="BF950" s="265"/>
      <c r="BG950" s="265"/>
      <c r="BM950" s="6"/>
      <c r="BN950" s="6"/>
      <c r="BO950" s="6"/>
      <c r="BP950" s="1028"/>
      <c r="BT950" s="6"/>
      <c r="BU950" s="6"/>
      <c r="BV950" s="6"/>
      <c r="BW950" s="1029"/>
      <c r="BX950" s="1028"/>
      <c r="CB950" s="6"/>
      <c r="CC950" s="6"/>
      <c r="CD950" s="6"/>
      <c r="CE950" s="1029"/>
      <c r="CJ950" s="11"/>
      <c r="CM950" s="11"/>
      <c r="CU950" s="17"/>
      <c r="CV950" s="265"/>
      <c r="CW950" s="265"/>
      <c r="CY950" s="11"/>
      <c r="DA950" s="12"/>
      <c r="DB950" s="13"/>
      <c r="DC950" s="14"/>
      <c r="DD950" s="265"/>
      <c r="DE950" s="265"/>
      <c r="DF950" s="265"/>
      <c r="DH950" s="15"/>
      <c r="DM950" s="4"/>
    </row>
    <row r="951" spans="2:117" ht="15" customHeight="1">
      <c r="B951" s="10"/>
      <c r="C951" s="17"/>
      <c r="E951" s="25"/>
      <c r="F951" s="35"/>
      <c r="J951" s="20"/>
      <c r="K951" s="1024"/>
      <c r="L951" s="1025"/>
      <c r="M951" s="1026"/>
      <c r="N951" s="1026"/>
      <c r="O951" s="265"/>
      <c r="P951" s="265"/>
      <c r="T951" s="265"/>
      <c r="U951" s="265"/>
      <c r="V951" s="265"/>
      <c r="X951" s="1026"/>
      <c r="Y951" s="265"/>
      <c r="Z951" s="265"/>
      <c r="AA951" s="265"/>
      <c r="AD951" s="4"/>
      <c r="AE951" s="1026"/>
      <c r="AF951" s="265"/>
      <c r="AU951" s="265"/>
      <c r="AV951" s="265"/>
      <c r="AW951" s="265"/>
      <c r="AX951" s="265"/>
      <c r="AY951" s="265"/>
      <c r="AZ951" s="265"/>
      <c r="BA951" s="265"/>
      <c r="BB951" s="265"/>
      <c r="BC951" s="265"/>
      <c r="BD951" s="265"/>
      <c r="BE951" s="265"/>
      <c r="BF951" s="265"/>
      <c r="BG951" s="265"/>
      <c r="BM951" s="6"/>
      <c r="BN951" s="6"/>
      <c r="BO951" s="6"/>
      <c r="BP951" s="1028"/>
      <c r="BT951" s="6"/>
      <c r="BU951" s="6"/>
      <c r="BV951" s="6"/>
      <c r="BW951" s="1029"/>
      <c r="BX951" s="1028"/>
      <c r="CB951" s="6"/>
      <c r="CC951" s="6"/>
      <c r="CD951" s="6"/>
      <c r="CE951" s="1029"/>
      <c r="CJ951" s="11"/>
      <c r="CM951" s="11"/>
      <c r="CU951" s="17"/>
      <c r="CV951" s="265"/>
      <c r="CW951" s="265"/>
      <c r="CY951" s="11"/>
      <c r="DA951" s="12"/>
      <c r="DB951" s="13"/>
      <c r="DC951" s="14"/>
      <c r="DD951" s="265"/>
      <c r="DE951" s="265"/>
      <c r="DF951" s="265"/>
      <c r="DH951" s="15"/>
      <c r="DM951" s="4"/>
    </row>
    <row r="952" spans="2:117" ht="15" customHeight="1">
      <c r="B952" s="10"/>
      <c r="C952" s="17"/>
      <c r="E952" s="25"/>
      <c r="F952" s="35"/>
      <c r="J952" s="20"/>
      <c r="K952" s="1024"/>
      <c r="L952" s="1025"/>
      <c r="M952" s="1026"/>
      <c r="N952" s="1026"/>
      <c r="O952" s="265"/>
      <c r="P952" s="265"/>
      <c r="T952" s="265"/>
      <c r="U952" s="265"/>
      <c r="V952" s="265"/>
      <c r="X952" s="1026"/>
      <c r="Y952" s="265"/>
      <c r="Z952" s="265"/>
      <c r="AA952" s="265"/>
      <c r="AD952" s="4"/>
      <c r="AE952" s="1026"/>
      <c r="AF952" s="265"/>
      <c r="AU952" s="265"/>
      <c r="AV952" s="265"/>
      <c r="AW952" s="265"/>
      <c r="AX952" s="265"/>
      <c r="AY952" s="265"/>
      <c r="AZ952" s="265"/>
      <c r="BA952" s="265"/>
      <c r="BB952" s="265"/>
      <c r="BC952" s="265"/>
      <c r="BD952" s="265"/>
      <c r="BE952" s="265"/>
      <c r="BF952" s="265"/>
      <c r="BG952" s="265"/>
      <c r="BM952" s="6"/>
      <c r="BN952" s="6"/>
      <c r="BO952" s="6"/>
      <c r="BP952" s="1028"/>
      <c r="BT952" s="6"/>
      <c r="BU952" s="6"/>
      <c r="BV952" s="6"/>
      <c r="BW952" s="1029"/>
      <c r="BX952" s="1028"/>
      <c r="CB952" s="6"/>
      <c r="CC952" s="6"/>
      <c r="CD952" s="6"/>
      <c r="CE952" s="1029"/>
      <c r="CJ952" s="11"/>
      <c r="CM952" s="11"/>
      <c r="CU952" s="17"/>
      <c r="CV952" s="265"/>
      <c r="CW952" s="265"/>
      <c r="CY952" s="11"/>
      <c r="DA952" s="12"/>
      <c r="DB952" s="13"/>
      <c r="DC952" s="14"/>
      <c r="DD952" s="265"/>
      <c r="DE952" s="265"/>
      <c r="DF952" s="265"/>
      <c r="DH952" s="15"/>
      <c r="DM952" s="4"/>
    </row>
    <row r="953" spans="2:117" ht="15" customHeight="1">
      <c r="B953" s="10"/>
      <c r="C953" s="17"/>
      <c r="E953" s="25"/>
      <c r="F953" s="35"/>
      <c r="J953" s="20"/>
      <c r="K953" s="1024"/>
      <c r="L953" s="1025"/>
      <c r="M953" s="1026"/>
      <c r="N953" s="1026"/>
      <c r="O953" s="265"/>
      <c r="P953" s="265"/>
      <c r="T953" s="265"/>
      <c r="U953" s="265"/>
      <c r="V953" s="265"/>
      <c r="X953" s="1026"/>
      <c r="Y953" s="265"/>
      <c r="Z953" s="265"/>
      <c r="AA953" s="265"/>
      <c r="AD953" s="4"/>
      <c r="AE953" s="1026"/>
      <c r="AF953" s="265"/>
      <c r="AU953" s="265"/>
      <c r="AV953" s="265"/>
      <c r="AW953" s="265"/>
      <c r="AX953" s="265"/>
      <c r="AY953" s="265"/>
      <c r="AZ953" s="265"/>
      <c r="BA953" s="265"/>
      <c r="BB953" s="265"/>
      <c r="BC953" s="265"/>
      <c r="BD953" s="265"/>
      <c r="BE953" s="265"/>
      <c r="BF953" s="265"/>
      <c r="BG953" s="265"/>
      <c r="BM953" s="6"/>
      <c r="BN953" s="6"/>
      <c r="BO953" s="6"/>
      <c r="BP953" s="1028"/>
      <c r="BT953" s="6"/>
      <c r="BU953" s="6"/>
      <c r="BV953" s="6"/>
      <c r="BW953" s="1029"/>
      <c r="BX953" s="1028"/>
      <c r="CB953" s="6"/>
      <c r="CC953" s="6"/>
      <c r="CD953" s="6"/>
      <c r="CE953" s="1029"/>
      <c r="CJ953" s="11"/>
      <c r="CM953" s="11"/>
      <c r="CU953" s="17"/>
      <c r="CV953" s="265"/>
      <c r="CW953" s="265"/>
      <c r="CY953" s="11"/>
      <c r="DA953" s="12"/>
      <c r="DB953" s="13"/>
      <c r="DC953" s="14"/>
      <c r="DD953" s="265"/>
      <c r="DE953" s="265"/>
      <c r="DF953" s="265"/>
      <c r="DH953" s="15"/>
      <c r="DM953" s="4"/>
    </row>
    <row r="954" spans="2:117" ht="15" customHeight="1">
      <c r="B954" s="10"/>
      <c r="C954" s="17"/>
      <c r="E954" s="25"/>
      <c r="F954" s="35"/>
      <c r="J954" s="20"/>
      <c r="K954" s="1024"/>
      <c r="L954" s="1025"/>
      <c r="M954" s="1026"/>
      <c r="N954" s="1026"/>
      <c r="O954" s="265"/>
      <c r="P954" s="265"/>
      <c r="T954" s="265"/>
      <c r="U954" s="265"/>
      <c r="V954" s="265"/>
      <c r="X954" s="1026"/>
      <c r="Y954" s="265"/>
      <c r="Z954" s="265"/>
      <c r="AA954" s="265"/>
      <c r="AD954" s="4"/>
      <c r="AE954" s="1026"/>
      <c r="AF954" s="265"/>
      <c r="AU954" s="265"/>
      <c r="AV954" s="265"/>
      <c r="AW954" s="265"/>
      <c r="AX954" s="265"/>
      <c r="AY954" s="265"/>
      <c r="AZ954" s="265"/>
      <c r="BA954" s="265"/>
      <c r="BB954" s="265"/>
      <c r="BC954" s="265"/>
      <c r="BD954" s="265"/>
      <c r="BE954" s="265"/>
      <c r="BF954" s="265"/>
      <c r="BG954" s="265"/>
      <c r="BM954" s="6"/>
      <c r="BN954" s="6"/>
      <c r="BO954" s="6"/>
      <c r="BP954" s="1028"/>
      <c r="BT954" s="6"/>
      <c r="BU954" s="6"/>
      <c r="BV954" s="6"/>
      <c r="BW954" s="1029"/>
      <c r="BX954" s="1028"/>
      <c r="CB954" s="6"/>
      <c r="CC954" s="6"/>
      <c r="CD954" s="6"/>
      <c r="CE954" s="1029"/>
      <c r="CJ954" s="11"/>
      <c r="CM954" s="11"/>
      <c r="CU954" s="17"/>
      <c r="CV954" s="265"/>
      <c r="CW954" s="265"/>
      <c r="CY954" s="11"/>
      <c r="DA954" s="12"/>
      <c r="DB954" s="13"/>
      <c r="DC954" s="14"/>
      <c r="DD954" s="265"/>
      <c r="DE954" s="265"/>
      <c r="DF954" s="265"/>
      <c r="DH954" s="15"/>
      <c r="DM954" s="4"/>
    </row>
    <row r="955" spans="2:117" ht="15" customHeight="1">
      <c r="B955" s="10"/>
      <c r="C955" s="17"/>
      <c r="E955" s="25"/>
      <c r="F955" s="35"/>
      <c r="J955" s="20"/>
      <c r="K955" s="1024"/>
      <c r="L955" s="1025"/>
      <c r="M955" s="1026"/>
      <c r="N955" s="1026"/>
      <c r="O955" s="265"/>
      <c r="P955" s="265"/>
      <c r="T955" s="265"/>
      <c r="U955" s="265"/>
      <c r="V955" s="265"/>
      <c r="X955" s="1026"/>
      <c r="Y955" s="265"/>
      <c r="Z955" s="265"/>
      <c r="AA955" s="265"/>
      <c r="AD955" s="4"/>
      <c r="AE955" s="1026"/>
      <c r="AF955" s="265"/>
      <c r="AU955" s="265"/>
      <c r="AV955" s="265"/>
      <c r="AW955" s="265"/>
      <c r="AX955" s="265"/>
      <c r="AY955" s="265"/>
      <c r="AZ955" s="265"/>
      <c r="BA955" s="265"/>
      <c r="BB955" s="265"/>
      <c r="BC955" s="265"/>
      <c r="BD955" s="265"/>
      <c r="BE955" s="265"/>
      <c r="BF955" s="265"/>
      <c r="BG955" s="265"/>
      <c r="BM955" s="6"/>
      <c r="BN955" s="6"/>
      <c r="BO955" s="6"/>
      <c r="BP955" s="1028"/>
      <c r="BT955" s="6"/>
      <c r="BU955" s="6"/>
      <c r="BV955" s="6"/>
      <c r="BW955" s="1029"/>
      <c r="BX955" s="1028"/>
      <c r="CB955" s="6"/>
      <c r="CC955" s="6"/>
      <c r="CD955" s="6"/>
      <c r="CE955" s="1029"/>
      <c r="CJ955" s="11"/>
      <c r="CM955" s="11"/>
      <c r="CU955" s="17"/>
      <c r="CV955" s="265"/>
      <c r="CW955" s="265"/>
      <c r="CY955" s="11"/>
      <c r="DA955" s="12"/>
      <c r="DB955" s="13"/>
      <c r="DC955" s="14"/>
      <c r="DD955" s="265"/>
      <c r="DE955" s="265"/>
      <c r="DF955" s="265"/>
      <c r="DH955" s="15"/>
      <c r="DM955" s="4"/>
    </row>
    <row r="956" spans="2:117" ht="15" customHeight="1">
      <c r="B956" s="10"/>
      <c r="C956" s="17"/>
      <c r="E956" s="25"/>
      <c r="F956" s="35"/>
      <c r="J956" s="20"/>
      <c r="K956" s="1024"/>
      <c r="L956" s="1025"/>
      <c r="M956" s="1026"/>
      <c r="N956" s="1026"/>
      <c r="O956" s="265"/>
      <c r="P956" s="265"/>
      <c r="T956" s="265"/>
      <c r="U956" s="265"/>
      <c r="V956" s="265"/>
      <c r="X956" s="1026"/>
      <c r="Y956" s="265"/>
      <c r="Z956" s="265"/>
      <c r="AA956" s="265"/>
      <c r="AD956" s="4"/>
      <c r="AE956" s="1026"/>
      <c r="AF956" s="265"/>
      <c r="AU956" s="265"/>
      <c r="AV956" s="265"/>
      <c r="AW956" s="265"/>
      <c r="AX956" s="265"/>
      <c r="AY956" s="265"/>
      <c r="AZ956" s="265"/>
      <c r="BA956" s="265"/>
      <c r="BB956" s="265"/>
      <c r="BC956" s="265"/>
      <c r="BD956" s="265"/>
      <c r="BE956" s="265"/>
      <c r="BF956" s="265"/>
      <c r="BG956" s="265"/>
      <c r="BM956" s="6"/>
      <c r="BN956" s="6"/>
      <c r="BO956" s="6"/>
      <c r="BP956" s="1028"/>
      <c r="BT956" s="6"/>
      <c r="BU956" s="6"/>
      <c r="BV956" s="6"/>
      <c r="BW956" s="1029"/>
      <c r="BX956" s="1028"/>
      <c r="CB956" s="6"/>
      <c r="CC956" s="6"/>
      <c r="CD956" s="6"/>
      <c r="CE956" s="1029"/>
      <c r="CJ956" s="11"/>
      <c r="CM956" s="11"/>
      <c r="CU956" s="17"/>
      <c r="CV956" s="265"/>
      <c r="CW956" s="265"/>
      <c r="CY956" s="11"/>
      <c r="DA956" s="12"/>
      <c r="DB956" s="13"/>
      <c r="DC956" s="14"/>
      <c r="DD956" s="265"/>
      <c r="DE956" s="265"/>
      <c r="DF956" s="265"/>
      <c r="DH956" s="15"/>
      <c r="DM956" s="4"/>
    </row>
    <row r="957" spans="2:117" ht="15" customHeight="1">
      <c r="B957" s="10"/>
      <c r="C957" s="17"/>
      <c r="E957" s="25"/>
      <c r="F957" s="35"/>
      <c r="J957" s="20"/>
      <c r="K957" s="1024"/>
      <c r="L957" s="1025"/>
      <c r="M957" s="1026"/>
      <c r="N957" s="1026"/>
      <c r="O957" s="265"/>
      <c r="P957" s="265"/>
      <c r="T957" s="265"/>
      <c r="U957" s="265"/>
      <c r="V957" s="265"/>
      <c r="X957" s="1026"/>
      <c r="Y957" s="265"/>
      <c r="Z957" s="265"/>
      <c r="AA957" s="265"/>
      <c r="AD957" s="4"/>
      <c r="AE957" s="1026"/>
      <c r="AF957" s="265"/>
      <c r="AU957" s="265"/>
      <c r="AV957" s="265"/>
      <c r="AW957" s="265"/>
      <c r="AX957" s="265"/>
      <c r="AY957" s="265"/>
      <c r="AZ957" s="265"/>
      <c r="BA957" s="265"/>
      <c r="BB957" s="265"/>
      <c r="BC957" s="265"/>
      <c r="BD957" s="265"/>
      <c r="BE957" s="265"/>
      <c r="BF957" s="265"/>
      <c r="BG957" s="265"/>
      <c r="BM957" s="6"/>
      <c r="BN957" s="6"/>
      <c r="BO957" s="6"/>
      <c r="BP957" s="1028"/>
      <c r="BT957" s="6"/>
      <c r="BU957" s="6"/>
      <c r="BV957" s="6"/>
      <c r="BW957" s="1029"/>
      <c r="BX957" s="1028"/>
      <c r="CB957" s="6"/>
      <c r="CC957" s="6"/>
      <c r="CD957" s="6"/>
      <c r="CE957" s="1029"/>
      <c r="CJ957" s="11"/>
      <c r="CM957" s="11"/>
      <c r="CU957" s="17"/>
      <c r="CV957" s="265"/>
      <c r="CW957" s="265"/>
      <c r="CY957" s="11"/>
      <c r="DA957" s="12"/>
      <c r="DB957" s="13"/>
      <c r="DC957" s="14"/>
      <c r="DD957" s="265"/>
      <c r="DE957" s="265"/>
      <c r="DF957" s="265"/>
      <c r="DH957" s="15"/>
      <c r="DM957" s="4"/>
    </row>
    <row r="958" spans="2:117" ht="15" customHeight="1">
      <c r="B958" s="10"/>
      <c r="C958" s="17"/>
      <c r="E958" s="25"/>
      <c r="F958" s="35"/>
      <c r="J958" s="20"/>
      <c r="K958" s="1024"/>
      <c r="L958" s="1025"/>
      <c r="M958" s="1026"/>
      <c r="N958" s="1026"/>
      <c r="O958" s="265"/>
      <c r="P958" s="265"/>
      <c r="T958" s="265"/>
      <c r="U958" s="265"/>
      <c r="V958" s="265"/>
      <c r="X958" s="1026"/>
      <c r="Y958" s="265"/>
      <c r="Z958" s="265"/>
      <c r="AA958" s="265"/>
      <c r="AD958" s="4"/>
      <c r="AE958" s="1026"/>
      <c r="AF958" s="265"/>
      <c r="AU958" s="265"/>
      <c r="AV958" s="265"/>
      <c r="AW958" s="265"/>
      <c r="AX958" s="265"/>
      <c r="AY958" s="265"/>
      <c r="AZ958" s="265"/>
      <c r="BA958" s="265"/>
      <c r="BB958" s="265"/>
      <c r="BC958" s="265"/>
      <c r="BD958" s="265"/>
      <c r="BE958" s="265"/>
      <c r="BF958" s="265"/>
      <c r="BG958" s="265"/>
      <c r="BM958" s="6"/>
      <c r="BN958" s="6"/>
      <c r="BO958" s="6"/>
      <c r="BP958" s="1028"/>
      <c r="BT958" s="6"/>
      <c r="BU958" s="6"/>
      <c r="BV958" s="6"/>
      <c r="BW958" s="1029"/>
      <c r="BX958" s="1028"/>
      <c r="CB958" s="6"/>
      <c r="CC958" s="6"/>
      <c r="CD958" s="6"/>
      <c r="CE958" s="1029"/>
      <c r="CJ958" s="11"/>
      <c r="CM958" s="11"/>
      <c r="CU958" s="17"/>
      <c r="CV958" s="265"/>
      <c r="CW958" s="265"/>
      <c r="CY958" s="11"/>
      <c r="DA958" s="12"/>
      <c r="DB958" s="13"/>
      <c r="DC958" s="14"/>
      <c r="DD958" s="265"/>
      <c r="DE958" s="265"/>
      <c r="DF958" s="265"/>
      <c r="DH958" s="15"/>
      <c r="DM958" s="4"/>
    </row>
    <row r="959" spans="2:117" ht="15" customHeight="1">
      <c r="B959" s="10"/>
      <c r="C959" s="17"/>
      <c r="E959" s="25"/>
      <c r="F959" s="35"/>
      <c r="J959" s="20"/>
      <c r="K959" s="1024"/>
      <c r="L959" s="1025"/>
      <c r="M959" s="1026"/>
      <c r="N959" s="1026"/>
      <c r="O959" s="265"/>
      <c r="P959" s="265"/>
      <c r="T959" s="265"/>
      <c r="U959" s="265"/>
      <c r="V959" s="265"/>
      <c r="X959" s="1026"/>
      <c r="Y959" s="265"/>
      <c r="Z959" s="265"/>
      <c r="AA959" s="265"/>
      <c r="AD959" s="4"/>
      <c r="AE959" s="1026"/>
      <c r="AF959" s="265"/>
      <c r="AU959" s="265"/>
      <c r="AV959" s="265"/>
      <c r="AW959" s="265"/>
      <c r="AX959" s="265"/>
      <c r="AY959" s="265"/>
      <c r="AZ959" s="265"/>
      <c r="BA959" s="265"/>
      <c r="BB959" s="265"/>
      <c r="BC959" s="265"/>
      <c r="BD959" s="265"/>
      <c r="BE959" s="265"/>
      <c r="BF959" s="265"/>
      <c r="BG959" s="265"/>
      <c r="BM959" s="6"/>
      <c r="BN959" s="6"/>
      <c r="BO959" s="6"/>
      <c r="BP959" s="1028"/>
      <c r="BT959" s="6"/>
      <c r="BU959" s="6"/>
      <c r="BV959" s="6"/>
      <c r="BW959" s="1029"/>
      <c r="BX959" s="1028"/>
      <c r="CB959" s="6"/>
      <c r="CC959" s="6"/>
      <c r="CD959" s="6"/>
      <c r="CE959" s="1029"/>
      <c r="CJ959" s="11"/>
      <c r="CM959" s="11"/>
      <c r="CU959" s="17"/>
      <c r="CV959" s="265"/>
      <c r="CW959" s="265"/>
      <c r="CY959" s="11"/>
      <c r="DA959" s="12"/>
      <c r="DB959" s="13"/>
      <c r="DC959" s="14"/>
      <c r="DD959" s="265"/>
      <c r="DE959" s="265"/>
      <c r="DF959" s="265"/>
      <c r="DH959" s="15"/>
      <c r="DM959" s="4"/>
    </row>
    <row r="960" spans="2:117" ht="15" customHeight="1">
      <c r="B960" s="10"/>
      <c r="C960" s="17"/>
      <c r="E960" s="25"/>
      <c r="F960" s="35"/>
      <c r="J960" s="20"/>
      <c r="K960" s="1024"/>
      <c r="L960" s="1025"/>
      <c r="M960" s="1026"/>
      <c r="N960" s="1026"/>
      <c r="O960" s="265"/>
      <c r="P960" s="265"/>
      <c r="T960" s="265"/>
      <c r="U960" s="265"/>
      <c r="V960" s="265"/>
      <c r="X960" s="1026"/>
      <c r="Y960" s="265"/>
      <c r="Z960" s="265"/>
      <c r="AA960" s="265"/>
      <c r="AD960" s="4"/>
      <c r="AE960" s="1026"/>
      <c r="AF960" s="265"/>
      <c r="AU960" s="265"/>
      <c r="AV960" s="265"/>
      <c r="AW960" s="265"/>
      <c r="AX960" s="265"/>
      <c r="AY960" s="265"/>
      <c r="AZ960" s="265"/>
      <c r="BA960" s="265"/>
      <c r="BB960" s="265"/>
      <c r="BC960" s="265"/>
      <c r="BD960" s="265"/>
      <c r="BE960" s="265"/>
      <c r="BF960" s="265"/>
      <c r="BG960" s="265"/>
      <c r="BM960" s="6"/>
      <c r="BN960" s="6"/>
      <c r="BO960" s="6"/>
      <c r="BP960" s="1028"/>
      <c r="BT960" s="6"/>
      <c r="BU960" s="6"/>
      <c r="BV960" s="6"/>
      <c r="BW960" s="1029"/>
      <c r="BX960" s="1028"/>
      <c r="CB960" s="6"/>
      <c r="CC960" s="6"/>
      <c r="CD960" s="6"/>
      <c r="CE960" s="1029"/>
      <c r="CJ960" s="11"/>
      <c r="CM960" s="11"/>
      <c r="CU960" s="17"/>
      <c r="CV960" s="265"/>
      <c r="CW960" s="265"/>
      <c r="CY960" s="11"/>
      <c r="DA960" s="12"/>
      <c r="DB960" s="13"/>
      <c r="DC960" s="14"/>
      <c r="DD960" s="265"/>
      <c r="DE960" s="265"/>
      <c r="DF960" s="265"/>
      <c r="DH960" s="15"/>
      <c r="DM960" s="4"/>
    </row>
    <row r="961" spans="2:117" ht="15" customHeight="1">
      <c r="B961" s="10"/>
      <c r="C961" s="17"/>
      <c r="E961" s="25"/>
      <c r="F961" s="35"/>
      <c r="J961" s="20"/>
      <c r="K961" s="1024"/>
      <c r="L961" s="1025"/>
      <c r="M961" s="1026"/>
      <c r="N961" s="1026"/>
      <c r="O961" s="265"/>
      <c r="P961" s="265"/>
      <c r="T961" s="265"/>
      <c r="U961" s="265"/>
      <c r="V961" s="265"/>
      <c r="X961" s="1026"/>
      <c r="Y961" s="265"/>
      <c r="Z961" s="265"/>
      <c r="AA961" s="265"/>
      <c r="AD961" s="4"/>
      <c r="AE961" s="1026"/>
      <c r="AF961" s="265"/>
      <c r="AU961" s="265"/>
      <c r="AV961" s="265"/>
      <c r="AW961" s="265"/>
      <c r="AX961" s="265"/>
      <c r="AY961" s="265"/>
      <c r="AZ961" s="265"/>
      <c r="BA961" s="265"/>
      <c r="BB961" s="265"/>
      <c r="BC961" s="265"/>
      <c r="BD961" s="265"/>
      <c r="BE961" s="265"/>
      <c r="BF961" s="265"/>
      <c r="BG961" s="265"/>
      <c r="BM961" s="6"/>
      <c r="BN961" s="6"/>
      <c r="BO961" s="6"/>
      <c r="BP961" s="1028"/>
      <c r="BT961" s="6"/>
      <c r="BU961" s="6"/>
      <c r="BV961" s="6"/>
      <c r="BW961" s="1029"/>
      <c r="BX961" s="1028"/>
      <c r="CB961" s="6"/>
      <c r="CC961" s="6"/>
      <c r="CD961" s="6"/>
      <c r="CE961" s="1029"/>
      <c r="CJ961" s="11"/>
      <c r="CM961" s="11"/>
      <c r="CU961" s="17"/>
      <c r="CV961" s="265"/>
      <c r="CW961" s="265"/>
      <c r="CY961" s="11"/>
      <c r="DA961" s="12"/>
      <c r="DB961" s="13"/>
      <c r="DC961" s="14"/>
      <c r="DD961" s="265"/>
      <c r="DE961" s="265"/>
      <c r="DF961" s="265"/>
      <c r="DH961" s="15"/>
      <c r="DM961" s="4"/>
    </row>
    <row r="962" spans="2:117" ht="15" customHeight="1">
      <c r="B962" s="10"/>
      <c r="C962" s="17"/>
      <c r="E962" s="25"/>
      <c r="F962" s="35"/>
      <c r="J962" s="20"/>
      <c r="K962" s="1024"/>
      <c r="L962" s="1025"/>
      <c r="M962" s="1026"/>
      <c r="N962" s="1026"/>
      <c r="O962" s="265"/>
      <c r="P962" s="265"/>
      <c r="T962" s="265"/>
      <c r="U962" s="265"/>
      <c r="V962" s="265"/>
      <c r="X962" s="1026"/>
      <c r="Y962" s="265"/>
      <c r="Z962" s="265"/>
      <c r="AA962" s="265"/>
      <c r="AD962" s="4"/>
      <c r="AE962" s="1026"/>
      <c r="AF962" s="265"/>
      <c r="AU962" s="265"/>
      <c r="AV962" s="265"/>
      <c r="AW962" s="265"/>
      <c r="AX962" s="265"/>
      <c r="AY962" s="265"/>
      <c r="AZ962" s="265"/>
      <c r="BA962" s="265"/>
      <c r="BB962" s="265"/>
      <c r="BC962" s="265"/>
      <c r="BD962" s="265"/>
      <c r="BE962" s="265"/>
      <c r="BF962" s="265"/>
      <c r="BG962" s="265"/>
      <c r="BM962" s="6"/>
      <c r="BN962" s="6"/>
      <c r="BO962" s="6"/>
      <c r="BP962" s="1028"/>
      <c r="BT962" s="6"/>
      <c r="BU962" s="6"/>
      <c r="BV962" s="6"/>
      <c r="BW962" s="1029"/>
      <c r="BX962" s="1028"/>
      <c r="CB962" s="6"/>
      <c r="CC962" s="6"/>
      <c r="CD962" s="6"/>
      <c r="CE962" s="1029"/>
      <c r="CJ962" s="11"/>
      <c r="CM962" s="11"/>
      <c r="CU962" s="17"/>
      <c r="CV962" s="265"/>
      <c r="CW962" s="265"/>
      <c r="CY962" s="11"/>
      <c r="DA962" s="12"/>
      <c r="DB962" s="13"/>
      <c r="DC962" s="14"/>
      <c r="DD962" s="265"/>
      <c r="DE962" s="265"/>
      <c r="DF962" s="265"/>
      <c r="DH962" s="15"/>
      <c r="DM962" s="4"/>
    </row>
    <row r="963" spans="2:117" ht="15" customHeight="1">
      <c r="B963" s="10"/>
      <c r="C963" s="17"/>
      <c r="E963" s="25"/>
      <c r="F963" s="35"/>
      <c r="J963" s="20"/>
      <c r="K963" s="1024"/>
      <c r="L963" s="1025"/>
      <c r="M963" s="1026"/>
      <c r="N963" s="1026"/>
      <c r="O963" s="265"/>
      <c r="P963" s="265"/>
      <c r="T963" s="265"/>
      <c r="U963" s="265"/>
      <c r="V963" s="265"/>
      <c r="X963" s="1026"/>
      <c r="Y963" s="265"/>
      <c r="Z963" s="265"/>
      <c r="AA963" s="265"/>
      <c r="AD963" s="4"/>
      <c r="AE963" s="1026"/>
      <c r="AF963" s="265"/>
      <c r="AU963" s="265"/>
      <c r="AV963" s="265"/>
      <c r="AW963" s="265"/>
      <c r="AX963" s="265"/>
      <c r="AY963" s="265"/>
      <c r="AZ963" s="265"/>
      <c r="BA963" s="265"/>
      <c r="BB963" s="265"/>
      <c r="BC963" s="265"/>
      <c r="BD963" s="265"/>
      <c r="BE963" s="265"/>
      <c r="BF963" s="265"/>
      <c r="BG963" s="265"/>
      <c r="BM963" s="6"/>
      <c r="BN963" s="6"/>
      <c r="BO963" s="6"/>
      <c r="BP963" s="1028"/>
      <c r="BT963" s="6"/>
      <c r="BU963" s="6"/>
      <c r="BV963" s="6"/>
      <c r="BW963" s="1029"/>
      <c r="BX963" s="1028"/>
      <c r="CB963" s="6"/>
      <c r="CC963" s="6"/>
      <c r="CD963" s="6"/>
      <c r="CE963" s="1029"/>
      <c r="CJ963" s="11"/>
      <c r="CM963" s="11"/>
      <c r="CU963" s="17"/>
      <c r="CV963" s="265"/>
      <c r="CW963" s="265"/>
      <c r="CY963" s="11"/>
      <c r="DA963" s="12"/>
      <c r="DB963" s="13"/>
      <c r="DC963" s="14"/>
      <c r="DD963" s="265"/>
      <c r="DE963" s="265"/>
      <c r="DF963" s="265"/>
      <c r="DH963" s="15"/>
      <c r="DM963" s="4"/>
    </row>
    <row r="964" spans="2:117" ht="15" customHeight="1">
      <c r="B964" s="10"/>
      <c r="C964" s="17"/>
      <c r="E964" s="25"/>
      <c r="F964" s="35"/>
      <c r="J964" s="20"/>
      <c r="K964" s="1024"/>
      <c r="L964" s="1025"/>
      <c r="M964" s="1026"/>
      <c r="N964" s="1026"/>
      <c r="O964" s="265"/>
      <c r="P964" s="265"/>
      <c r="T964" s="265"/>
      <c r="U964" s="265"/>
      <c r="V964" s="265"/>
      <c r="X964" s="1026"/>
      <c r="Y964" s="265"/>
      <c r="Z964" s="265"/>
      <c r="AA964" s="265"/>
      <c r="AD964" s="4"/>
      <c r="AE964" s="1026"/>
      <c r="AF964" s="265"/>
      <c r="AU964" s="265"/>
      <c r="AV964" s="265"/>
      <c r="AW964" s="265"/>
      <c r="AX964" s="265"/>
      <c r="AY964" s="265"/>
      <c r="AZ964" s="265"/>
      <c r="BA964" s="265"/>
      <c r="BB964" s="265"/>
      <c r="BC964" s="265"/>
      <c r="BD964" s="265"/>
      <c r="BE964" s="265"/>
      <c r="BF964" s="265"/>
      <c r="BG964" s="265"/>
      <c r="BM964" s="6"/>
      <c r="BN964" s="6"/>
      <c r="BO964" s="6"/>
      <c r="BP964" s="1028"/>
      <c r="BT964" s="6"/>
      <c r="BU964" s="6"/>
      <c r="BV964" s="6"/>
      <c r="BW964" s="1029"/>
      <c r="BX964" s="1028"/>
      <c r="CB964" s="6"/>
      <c r="CC964" s="6"/>
      <c r="CD964" s="6"/>
      <c r="CE964" s="1029"/>
      <c r="CJ964" s="11"/>
      <c r="CM964" s="11"/>
      <c r="CU964" s="17"/>
      <c r="CV964" s="265"/>
      <c r="CW964" s="265"/>
      <c r="CY964" s="11"/>
      <c r="DA964" s="12"/>
      <c r="DB964" s="13"/>
      <c r="DC964" s="14"/>
      <c r="DD964" s="265"/>
      <c r="DE964" s="265"/>
      <c r="DF964" s="265"/>
      <c r="DH964" s="15"/>
      <c r="DM964" s="4"/>
    </row>
    <row r="965" spans="2:117" ht="15" customHeight="1">
      <c r="B965" s="10"/>
      <c r="C965" s="17"/>
      <c r="E965" s="25"/>
      <c r="F965" s="35"/>
      <c r="J965" s="20"/>
      <c r="K965" s="1024"/>
      <c r="L965" s="1025"/>
      <c r="M965" s="1026"/>
      <c r="N965" s="1026"/>
      <c r="O965" s="265"/>
      <c r="P965" s="265"/>
      <c r="T965" s="265"/>
      <c r="U965" s="265"/>
      <c r="V965" s="265"/>
      <c r="X965" s="1026"/>
      <c r="Y965" s="265"/>
      <c r="Z965" s="265"/>
      <c r="AA965" s="265"/>
      <c r="AD965" s="4"/>
      <c r="AE965" s="1026"/>
      <c r="AF965" s="265"/>
      <c r="AU965" s="265"/>
      <c r="AV965" s="265"/>
      <c r="AW965" s="265"/>
      <c r="AX965" s="265"/>
      <c r="AY965" s="265"/>
      <c r="AZ965" s="265"/>
      <c r="BA965" s="265"/>
      <c r="BB965" s="265"/>
      <c r="BC965" s="265"/>
      <c r="BD965" s="265"/>
      <c r="BE965" s="265"/>
      <c r="BF965" s="265"/>
      <c r="BG965" s="265"/>
      <c r="BM965" s="6"/>
      <c r="BN965" s="6"/>
      <c r="BO965" s="6"/>
      <c r="BP965" s="1028"/>
      <c r="BT965" s="6"/>
      <c r="BU965" s="6"/>
      <c r="BV965" s="6"/>
      <c r="BW965" s="1029"/>
      <c r="BX965" s="1028"/>
      <c r="CB965" s="6"/>
      <c r="CC965" s="6"/>
      <c r="CD965" s="6"/>
      <c r="CE965" s="1029"/>
      <c r="CJ965" s="11"/>
      <c r="CM965" s="11"/>
      <c r="CU965" s="17"/>
      <c r="CV965" s="265"/>
      <c r="CW965" s="265"/>
      <c r="CY965" s="11"/>
      <c r="DA965" s="12"/>
      <c r="DB965" s="13"/>
      <c r="DC965" s="14"/>
      <c r="DD965" s="265"/>
      <c r="DE965" s="265"/>
      <c r="DF965" s="265"/>
      <c r="DH965" s="15"/>
      <c r="DM965" s="4"/>
    </row>
    <row r="966" spans="2:117" ht="15" customHeight="1">
      <c r="B966" s="10"/>
      <c r="C966" s="17"/>
      <c r="E966" s="25"/>
      <c r="F966" s="35"/>
      <c r="J966" s="20"/>
      <c r="K966" s="1024"/>
      <c r="L966" s="1025"/>
      <c r="M966" s="1026"/>
      <c r="N966" s="1026"/>
      <c r="O966" s="265"/>
      <c r="P966" s="265"/>
      <c r="T966" s="265"/>
      <c r="U966" s="265"/>
      <c r="V966" s="265"/>
      <c r="X966" s="1026"/>
      <c r="Y966" s="265"/>
      <c r="Z966" s="265"/>
      <c r="AA966" s="265"/>
      <c r="AD966" s="4"/>
      <c r="AE966" s="1026"/>
      <c r="AF966" s="265"/>
      <c r="AU966" s="265"/>
      <c r="AV966" s="265"/>
      <c r="AW966" s="265"/>
      <c r="AX966" s="265"/>
      <c r="AY966" s="265"/>
      <c r="AZ966" s="265"/>
      <c r="BA966" s="265"/>
      <c r="BB966" s="265"/>
      <c r="BC966" s="265"/>
      <c r="BD966" s="265"/>
      <c r="BE966" s="265"/>
      <c r="BF966" s="265"/>
      <c r="BG966" s="265"/>
      <c r="BM966" s="6"/>
      <c r="BN966" s="6"/>
      <c r="BO966" s="6"/>
      <c r="BP966" s="1028"/>
      <c r="BT966" s="6"/>
      <c r="BU966" s="6"/>
      <c r="BV966" s="6"/>
      <c r="BW966" s="1029"/>
      <c r="BX966" s="1028"/>
      <c r="CB966" s="6"/>
      <c r="CC966" s="6"/>
      <c r="CD966" s="6"/>
      <c r="CE966" s="1029"/>
      <c r="CJ966" s="11"/>
      <c r="CM966" s="11"/>
      <c r="CU966" s="17"/>
      <c r="CV966" s="265"/>
      <c r="CW966" s="265"/>
      <c r="CY966" s="11"/>
      <c r="DA966" s="12"/>
      <c r="DB966" s="13"/>
      <c r="DC966" s="14"/>
      <c r="DD966" s="265"/>
      <c r="DE966" s="265"/>
      <c r="DF966" s="265"/>
      <c r="DH966" s="15"/>
      <c r="DM966" s="4"/>
    </row>
    <row r="967" spans="2:117" ht="15" customHeight="1">
      <c r="B967" s="10"/>
      <c r="C967" s="17"/>
      <c r="E967" s="25"/>
      <c r="F967" s="35"/>
      <c r="J967" s="20"/>
      <c r="K967" s="1024"/>
      <c r="L967" s="1025"/>
      <c r="M967" s="1026"/>
      <c r="N967" s="1026"/>
      <c r="O967" s="265"/>
      <c r="P967" s="265"/>
      <c r="T967" s="265"/>
      <c r="U967" s="265"/>
      <c r="V967" s="265"/>
      <c r="X967" s="1026"/>
      <c r="Y967" s="265"/>
      <c r="Z967" s="265"/>
      <c r="AA967" s="265"/>
      <c r="AD967" s="4"/>
      <c r="AE967" s="1026"/>
      <c r="AF967" s="265"/>
      <c r="AU967" s="265"/>
      <c r="AV967" s="265"/>
      <c r="AW967" s="265"/>
      <c r="AX967" s="265"/>
      <c r="AY967" s="265"/>
      <c r="AZ967" s="265"/>
      <c r="BA967" s="265"/>
      <c r="BB967" s="265"/>
      <c r="BC967" s="265"/>
      <c r="BD967" s="265"/>
      <c r="BE967" s="265"/>
      <c r="BF967" s="265"/>
      <c r="BG967" s="265"/>
      <c r="BM967" s="6"/>
      <c r="BN967" s="6"/>
      <c r="BO967" s="6"/>
      <c r="BP967" s="1028"/>
      <c r="BT967" s="6"/>
      <c r="BU967" s="6"/>
      <c r="BV967" s="6"/>
      <c r="BW967" s="1029"/>
      <c r="BX967" s="1028"/>
      <c r="CB967" s="6"/>
      <c r="CC967" s="6"/>
      <c r="CD967" s="6"/>
      <c r="CE967" s="1029"/>
      <c r="CJ967" s="11"/>
      <c r="CM967" s="11"/>
      <c r="CU967" s="17"/>
      <c r="CV967" s="265"/>
      <c r="CW967" s="265"/>
      <c r="CY967" s="11"/>
      <c r="DA967" s="12"/>
      <c r="DB967" s="13"/>
      <c r="DC967" s="14"/>
      <c r="DD967" s="265"/>
      <c r="DE967" s="265"/>
      <c r="DF967" s="265"/>
      <c r="DH967" s="15"/>
      <c r="DM967" s="4"/>
    </row>
    <row r="968" spans="2:117" ht="15" customHeight="1">
      <c r="B968" s="10"/>
      <c r="C968" s="17"/>
      <c r="E968" s="25"/>
      <c r="F968" s="35"/>
      <c r="J968" s="20"/>
      <c r="K968" s="1024"/>
      <c r="L968" s="1025"/>
      <c r="M968" s="1026"/>
      <c r="N968" s="1026"/>
      <c r="O968" s="265"/>
      <c r="P968" s="265"/>
      <c r="T968" s="265"/>
      <c r="U968" s="265"/>
      <c r="V968" s="265"/>
      <c r="X968" s="1026"/>
      <c r="Y968" s="265"/>
      <c r="Z968" s="265"/>
      <c r="AA968" s="265"/>
      <c r="AD968" s="4"/>
      <c r="AE968" s="1026"/>
      <c r="AF968" s="265"/>
      <c r="AU968" s="265"/>
      <c r="AV968" s="265"/>
      <c r="AW968" s="265"/>
      <c r="AX968" s="265"/>
      <c r="AY968" s="265"/>
      <c r="AZ968" s="265"/>
      <c r="BA968" s="265"/>
      <c r="BB968" s="265"/>
      <c r="BC968" s="265"/>
      <c r="BD968" s="265"/>
      <c r="BE968" s="265"/>
      <c r="BF968" s="265"/>
      <c r="BG968" s="265"/>
      <c r="BM968" s="6"/>
      <c r="BN968" s="6"/>
      <c r="BO968" s="6"/>
      <c r="BP968" s="1028"/>
      <c r="BT968" s="6"/>
      <c r="BU968" s="6"/>
      <c r="BV968" s="6"/>
      <c r="BW968" s="1029"/>
      <c r="BX968" s="1028"/>
      <c r="CB968" s="6"/>
      <c r="CC968" s="6"/>
      <c r="CD968" s="6"/>
      <c r="CE968" s="1029"/>
      <c r="CJ968" s="11"/>
      <c r="CM968" s="11"/>
      <c r="CU968" s="17"/>
      <c r="CV968" s="265"/>
      <c r="CW968" s="265"/>
      <c r="CY968" s="11"/>
      <c r="DA968" s="12"/>
      <c r="DB968" s="13"/>
      <c r="DC968" s="14"/>
      <c r="DD968" s="265"/>
      <c r="DE968" s="265"/>
      <c r="DF968" s="265"/>
      <c r="DH968" s="15"/>
      <c r="DM968" s="4"/>
    </row>
    <row r="969" spans="2:117" ht="15" customHeight="1">
      <c r="B969" s="10"/>
      <c r="C969" s="17"/>
      <c r="E969" s="25"/>
      <c r="F969" s="35"/>
      <c r="J969" s="20"/>
      <c r="K969" s="1024"/>
      <c r="L969" s="1025"/>
      <c r="M969" s="1026"/>
      <c r="N969" s="1026"/>
      <c r="O969" s="265"/>
      <c r="P969" s="265"/>
      <c r="T969" s="265"/>
      <c r="U969" s="265"/>
      <c r="V969" s="265"/>
      <c r="X969" s="1026"/>
      <c r="Y969" s="265"/>
      <c r="Z969" s="265"/>
      <c r="AA969" s="265"/>
      <c r="AD969" s="4"/>
      <c r="AE969" s="1026"/>
      <c r="AF969" s="265"/>
      <c r="AU969" s="265"/>
      <c r="AV969" s="265"/>
      <c r="AW969" s="265"/>
      <c r="AX969" s="265"/>
      <c r="AY969" s="265"/>
      <c r="AZ969" s="265"/>
      <c r="BA969" s="265"/>
      <c r="BB969" s="265"/>
      <c r="BC969" s="265"/>
      <c r="BD969" s="265"/>
      <c r="BE969" s="265"/>
      <c r="BF969" s="265"/>
      <c r="BG969" s="265"/>
      <c r="BM969" s="6"/>
      <c r="BN969" s="6"/>
      <c r="BO969" s="6"/>
      <c r="BP969" s="1028"/>
      <c r="BT969" s="6"/>
      <c r="BU969" s="6"/>
      <c r="BV969" s="6"/>
      <c r="BW969" s="1029"/>
      <c r="BX969" s="1028"/>
      <c r="CB969" s="6"/>
      <c r="CC969" s="6"/>
      <c r="CD969" s="6"/>
      <c r="CE969" s="1029"/>
      <c r="CJ969" s="11"/>
      <c r="CM969" s="11"/>
      <c r="CU969" s="17"/>
      <c r="CV969" s="265"/>
      <c r="CW969" s="265"/>
      <c r="CY969" s="11"/>
      <c r="DA969" s="12"/>
      <c r="DB969" s="13"/>
      <c r="DC969" s="14"/>
      <c r="DD969" s="265"/>
      <c r="DE969" s="265"/>
      <c r="DF969" s="265"/>
      <c r="DH969" s="15"/>
      <c r="DM969" s="4"/>
    </row>
    <row r="970" spans="2:117" ht="15" customHeight="1">
      <c r="B970" s="10"/>
      <c r="C970" s="17"/>
      <c r="E970" s="25"/>
      <c r="F970" s="35"/>
      <c r="J970" s="20"/>
      <c r="K970" s="1024"/>
      <c r="L970" s="1025"/>
      <c r="M970" s="1026"/>
      <c r="N970" s="1026"/>
      <c r="O970" s="265"/>
      <c r="P970" s="265"/>
      <c r="T970" s="265"/>
      <c r="U970" s="265"/>
      <c r="V970" s="265"/>
      <c r="X970" s="1026"/>
      <c r="Y970" s="265"/>
      <c r="Z970" s="265"/>
      <c r="AA970" s="265"/>
      <c r="AD970" s="4"/>
      <c r="AE970" s="1026"/>
      <c r="AF970" s="265"/>
      <c r="AU970" s="265"/>
      <c r="AV970" s="265"/>
      <c r="AW970" s="265"/>
      <c r="AX970" s="265"/>
      <c r="AY970" s="265"/>
      <c r="AZ970" s="265"/>
      <c r="BA970" s="265"/>
      <c r="BB970" s="265"/>
      <c r="BC970" s="265"/>
      <c r="BD970" s="265"/>
      <c r="BE970" s="265"/>
      <c r="BF970" s="265"/>
      <c r="BG970" s="265"/>
      <c r="BM970" s="6"/>
      <c r="BN970" s="6"/>
      <c r="BO970" s="6"/>
      <c r="BP970" s="1028"/>
      <c r="BT970" s="6"/>
      <c r="BU970" s="6"/>
      <c r="BV970" s="6"/>
      <c r="BW970" s="1029"/>
      <c r="BX970" s="1028"/>
      <c r="CB970" s="6"/>
      <c r="CC970" s="6"/>
      <c r="CD970" s="6"/>
      <c r="CE970" s="1029"/>
      <c r="CJ970" s="11"/>
      <c r="CM970" s="11"/>
      <c r="CU970" s="17"/>
      <c r="CV970" s="265"/>
      <c r="CW970" s="265"/>
      <c r="CY970" s="11"/>
      <c r="DA970" s="12"/>
      <c r="DB970" s="13"/>
      <c r="DC970" s="14"/>
      <c r="DD970" s="265"/>
      <c r="DE970" s="265"/>
      <c r="DF970" s="265"/>
      <c r="DH970" s="15"/>
      <c r="DM970" s="4"/>
    </row>
    <row r="971" spans="2:117" ht="15" customHeight="1">
      <c r="B971" s="10"/>
      <c r="C971" s="17"/>
      <c r="E971" s="25"/>
      <c r="F971" s="35"/>
      <c r="J971" s="20"/>
      <c r="K971" s="1024"/>
      <c r="L971" s="1025"/>
      <c r="M971" s="1026"/>
      <c r="N971" s="1026"/>
      <c r="O971" s="265"/>
      <c r="P971" s="265"/>
      <c r="T971" s="265"/>
      <c r="U971" s="265"/>
      <c r="V971" s="265"/>
      <c r="X971" s="1026"/>
      <c r="Y971" s="265"/>
      <c r="Z971" s="265"/>
      <c r="AA971" s="265"/>
      <c r="AD971" s="4"/>
      <c r="AE971" s="1026"/>
      <c r="AF971" s="265"/>
      <c r="AU971" s="265"/>
      <c r="AV971" s="265"/>
      <c r="AW971" s="265"/>
      <c r="AX971" s="265"/>
      <c r="AY971" s="265"/>
      <c r="AZ971" s="265"/>
      <c r="BA971" s="265"/>
      <c r="BB971" s="265"/>
      <c r="BC971" s="265"/>
      <c r="BD971" s="265"/>
      <c r="BE971" s="265"/>
      <c r="BF971" s="265"/>
      <c r="BG971" s="265"/>
      <c r="BM971" s="6"/>
      <c r="BN971" s="6"/>
      <c r="BO971" s="6"/>
      <c r="BP971" s="1028"/>
      <c r="BT971" s="6"/>
      <c r="BU971" s="6"/>
      <c r="BV971" s="6"/>
      <c r="BW971" s="1029"/>
      <c r="BX971" s="1028"/>
      <c r="CB971" s="6"/>
      <c r="CC971" s="6"/>
      <c r="CD971" s="6"/>
      <c r="CE971" s="1029"/>
      <c r="CJ971" s="11"/>
      <c r="CM971" s="11"/>
      <c r="CU971" s="17"/>
      <c r="CV971" s="265"/>
      <c r="CW971" s="265"/>
      <c r="CY971" s="11"/>
      <c r="DA971" s="12"/>
      <c r="DB971" s="13"/>
      <c r="DC971" s="14"/>
      <c r="DD971" s="265"/>
      <c r="DE971" s="265"/>
      <c r="DF971" s="265"/>
      <c r="DH971" s="15"/>
      <c r="DM971" s="4"/>
    </row>
    <row r="972" spans="2:117" ht="15" customHeight="1">
      <c r="B972" s="10"/>
      <c r="C972" s="17"/>
      <c r="E972" s="25"/>
      <c r="F972" s="35"/>
      <c r="J972" s="20"/>
      <c r="K972" s="1024"/>
      <c r="L972" s="1025"/>
      <c r="M972" s="1026"/>
      <c r="N972" s="1026"/>
      <c r="O972" s="265"/>
      <c r="P972" s="265"/>
      <c r="T972" s="265"/>
      <c r="U972" s="265"/>
      <c r="V972" s="265"/>
      <c r="X972" s="1026"/>
      <c r="Y972" s="265"/>
      <c r="Z972" s="265"/>
      <c r="AA972" s="265"/>
      <c r="AD972" s="4"/>
      <c r="AE972" s="1026"/>
      <c r="AF972" s="265"/>
      <c r="AU972" s="265"/>
      <c r="AV972" s="265"/>
      <c r="AW972" s="265"/>
      <c r="AX972" s="265"/>
      <c r="AY972" s="265"/>
      <c r="AZ972" s="265"/>
      <c r="BA972" s="265"/>
      <c r="BB972" s="265"/>
      <c r="BC972" s="265"/>
      <c r="BD972" s="265"/>
      <c r="BE972" s="265"/>
      <c r="BF972" s="265"/>
      <c r="BG972" s="265"/>
      <c r="BM972" s="6"/>
      <c r="BN972" s="6"/>
      <c r="BO972" s="6"/>
      <c r="BP972" s="1028"/>
      <c r="BT972" s="6"/>
      <c r="BU972" s="6"/>
      <c r="BV972" s="6"/>
      <c r="BW972" s="1029"/>
      <c r="BX972" s="1028"/>
      <c r="CB972" s="6"/>
      <c r="CC972" s="6"/>
      <c r="CD972" s="6"/>
      <c r="CE972" s="1029"/>
      <c r="CJ972" s="11"/>
      <c r="CM972" s="11"/>
      <c r="CU972" s="17"/>
      <c r="CV972" s="265"/>
      <c r="CW972" s="265"/>
      <c r="CY972" s="11"/>
      <c r="DA972" s="12"/>
      <c r="DB972" s="13"/>
      <c r="DC972" s="14"/>
      <c r="DD972" s="265"/>
      <c r="DE972" s="265"/>
      <c r="DF972" s="265"/>
      <c r="DH972" s="15"/>
      <c r="DM972" s="4"/>
    </row>
    <row r="973" spans="2:117" ht="15" customHeight="1">
      <c r="B973" s="10"/>
      <c r="C973" s="17"/>
      <c r="E973" s="25"/>
      <c r="F973" s="35"/>
      <c r="J973" s="20"/>
      <c r="K973" s="1024"/>
      <c r="L973" s="1025"/>
      <c r="M973" s="1026"/>
      <c r="N973" s="1026"/>
      <c r="O973" s="265"/>
      <c r="P973" s="265"/>
      <c r="T973" s="265"/>
      <c r="U973" s="265"/>
      <c r="V973" s="265"/>
      <c r="X973" s="1026"/>
      <c r="Y973" s="265"/>
      <c r="Z973" s="265"/>
      <c r="AA973" s="265"/>
      <c r="AD973" s="4"/>
      <c r="AE973" s="1026"/>
      <c r="AF973" s="265"/>
      <c r="AU973" s="265"/>
      <c r="AV973" s="265"/>
      <c r="AW973" s="265"/>
      <c r="AX973" s="265"/>
      <c r="AY973" s="265"/>
      <c r="AZ973" s="265"/>
      <c r="BA973" s="265"/>
      <c r="BB973" s="265"/>
      <c r="BC973" s="265"/>
      <c r="BD973" s="265"/>
      <c r="BE973" s="265"/>
      <c r="BF973" s="265"/>
      <c r="BG973" s="265"/>
      <c r="BM973" s="6"/>
      <c r="BN973" s="6"/>
      <c r="BO973" s="6"/>
      <c r="BP973" s="1028"/>
      <c r="BT973" s="6"/>
      <c r="BU973" s="6"/>
      <c r="BV973" s="6"/>
      <c r="BW973" s="1029"/>
      <c r="BX973" s="1028"/>
      <c r="CB973" s="6"/>
      <c r="CC973" s="6"/>
      <c r="CD973" s="6"/>
      <c r="CE973" s="1029"/>
      <c r="CJ973" s="11"/>
      <c r="CM973" s="11"/>
      <c r="CU973" s="17"/>
      <c r="CV973" s="265"/>
      <c r="CW973" s="265"/>
      <c r="CY973" s="11"/>
      <c r="DA973" s="12"/>
      <c r="DB973" s="13"/>
      <c r="DC973" s="14"/>
      <c r="DD973" s="265"/>
      <c r="DE973" s="265"/>
      <c r="DF973" s="265"/>
      <c r="DH973" s="15"/>
      <c r="DM973" s="4"/>
    </row>
    <row r="974" spans="2:117" ht="15" customHeight="1">
      <c r="B974" s="10"/>
      <c r="C974" s="17"/>
      <c r="E974" s="25"/>
      <c r="F974" s="35"/>
      <c r="J974" s="20"/>
      <c r="K974" s="1024"/>
      <c r="L974" s="1025"/>
      <c r="M974" s="1026"/>
      <c r="N974" s="1026"/>
      <c r="O974" s="265"/>
      <c r="P974" s="265"/>
      <c r="T974" s="265"/>
      <c r="U974" s="265"/>
      <c r="V974" s="265"/>
      <c r="X974" s="1026"/>
      <c r="Y974" s="265"/>
      <c r="Z974" s="265"/>
      <c r="AA974" s="265"/>
      <c r="AD974" s="4"/>
      <c r="AE974" s="1026"/>
      <c r="AF974" s="265"/>
      <c r="AU974" s="265"/>
      <c r="AV974" s="265"/>
      <c r="AW974" s="265"/>
      <c r="AX974" s="265"/>
      <c r="AY974" s="265"/>
      <c r="AZ974" s="265"/>
      <c r="BA974" s="265"/>
      <c r="BB974" s="265"/>
      <c r="BC974" s="265"/>
      <c r="BD974" s="265"/>
      <c r="BE974" s="265"/>
      <c r="BF974" s="265"/>
      <c r="BG974" s="265"/>
      <c r="BM974" s="6"/>
      <c r="BN974" s="6"/>
      <c r="BO974" s="6"/>
      <c r="BP974" s="1028"/>
      <c r="BT974" s="6"/>
      <c r="BU974" s="6"/>
      <c r="BV974" s="6"/>
      <c r="BW974" s="1029"/>
      <c r="BX974" s="1028"/>
      <c r="CB974" s="6"/>
      <c r="CC974" s="6"/>
      <c r="CD974" s="6"/>
      <c r="CE974" s="1029"/>
      <c r="CJ974" s="11"/>
      <c r="CM974" s="11"/>
      <c r="CU974" s="17"/>
      <c r="CV974" s="265"/>
      <c r="CW974" s="265"/>
      <c r="CY974" s="11"/>
      <c r="DA974" s="12"/>
      <c r="DB974" s="13"/>
      <c r="DC974" s="14"/>
      <c r="DD974" s="265"/>
      <c r="DE974" s="265"/>
      <c r="DF974" s="265"/>
      <c r="DH974" s="15"/>
      <c r="DM974" s="4"/>
    </row>
    <row r="975" spans="2:117" ht="15" customHeight="1">
      <c r="B975" s="10"/>
      <c r="C975" s="17"/>
      <c r="E975" s="25"/>
      <c r="F975" s="35"/>
      <c r="J975" s="20"/>
      <c r="K975" s="1024"/>
      <c r="L975" s="1025"/>
      <c r="M975" s="1026"/>
      <c r="N975" s="1026"/>
      <c r="O975" s="265"/>
      <c r="P975" s="265"/>
      <c r="T975" s="265"/>
      <c r="U975" s="265"/>
      <c r="V975" s="265"/>
      <c r="X975" s="1026"/>
      <c r="Y975" s="265"/>
      <c r="Z975" s="265"/>
      <c r="AA975" s="265"/>
      <c r="AD975" s="4"/>
      <c r="AE975" s="1026"/>
      <c r="AF975" s="265"/>
      <c r="AU975" s="265"/>
      <c r="AV975" s="265"/>
      <c r="AW975" s="265"/>
      <c r="AX975" s="265"/>
      <c r="AY975" s="265"/>
      <c r="AZ975" s="265"/>
      <c r="BA975" s="265"/>
      <c r="BB975" s="265"/>
      <c r="BC975" s="265"/>
      <c r="BD975" s="265"/>
      <c r="BE975" s="265"/>
      <c r="BF975" s="265"/>
      <c r="BG975" s="265"/>
      <c r="BM975" s="6"/>
      <c r="BN975" s="6"/>
      <c r="BO975" s="6"/>
      <c r="BP975" s="1028"/>
      <c r="BT975" s="6"/>
      <c r="BU975" s="6"/>
      <c r="BV975" s="6"/>
      <c r="BW975" s="1029"/>
      <c r="BX975" s="1028"/>
      <c r="CB975" s="6"/>
      <c r="CC975" s="6"/>
      <c r="CD975" s="6"/>
      <c r="CE975" s="1029"/>
      <c r="CJ975" s="11"/>
      <c r="CM975" s="11"/>
      <c r="CU975" s="17"/>
      <c r="CV975" s="265"/>
      <c r="CW975" s="265"/>
      <c r="CY975" s="11"/>
      <c r="DA975" s="12"/>
      <c r="DB975" s="13"/>
      <c r="DC975" s="14"/>
      <c r="DD975" s="265"/>
      <c r="DE975" s="265"/>
      <c r="DF975" s="265"/>
      <c r="DH975" s="15"/>
      <c r="DM975" s="4"/>
    </row>
    <row r="976" spans="2:117" ht="15" customHeight="1">
      <c r="B976" s="10"/>
      <c r="C976" s="17"/>
      <c r="E976" s="25"/>
      <c r="F976" s="35"/>
      <c r="J976" s="20"/>
      <c r="K976" s="1024"/>
      <c r="L976" s="1025"/>
      <c r="M976" s="1026"/>
      <c r="N976" s="1026"/>
      <c r="O976" s="265"/>
      <c r="P976" s="265"/>
      <c r="T976" s="265"/>
      <c r="U976" s="265"/>
      <c r="V976" s="265"/>
      <c r="X976" s="1026"/>
      <c r="Y976" s="265"/>
      <c r="Z976" s="265"/>
      <c r="AA976" s="265"/>
      <c r="AD976" s="4"/>
      <c r="AE976" s="1026"/>
      <c r="AF976" s="265"/>
      <c r="AU976" s="265"/>
      <c r="AV976" s="265"/>
      <c r="AW976" s="265"/>
      <c r="AX976" s="265"/>
      <c r="AY976" s="265"/>
      <c r="AZ976" s="265"/>
      <c r="BA976" s="265"/>
      <c r="BB976" s="265"/>
      <c r="BC976" s="265"/>
      <c r="BD976" s="265"/>
      <c r="BE976" s="265"/>
      <c r="BF976" s="265"/>
      <c r="BG976" s="265"/>
      <c r="BM976" s="6"/>
      <c r="BN976" s="6"/>
      <c r="BO976" s="6"/>
      <c r="BP976" s="1028"/>
      <c r="BT976" s="6"/>
      <c r="BU976" s="6"/>
      <c r="BV976" s="6"/>
      <c r="BW976" s="1029"/>
      <c r="BX976" s="1028"/>
      <c r="CB976" s="6"/>
      <c r="CC976" s="6"/>
      <c r="CD976" s="6"/>
      <c r="CE976" s="1029"/>
      <c r="CJ976" s="11"/>
      <c r="CM976" s="11"/>
      <c r="CU976" s="17"/>
      <c r="CV976" s="265"/>
      <c r="CW976" s="265"/>
      <c r="CY976" s="11"/>
      <c r="DA976" s="12"/>
      <c r="DB976" s="13"/>
      <c r="DC976" s="14"/>
      <c r="DD976" s="265"/>
      <c r="DE976" s="265"/>
      <c r="DF976" s="265"/>
      <c r="DH976" s="15"/>
      <c r="DM976" s="4"/>
    </row>
    <row r="977" spans="2:117" ht="15" customHeight="1">
      <c r="B977" s="10"/>
      <c r="C977" s="17"/>
      <c r="E977" s="25"/>
      <c r="F977" s="35"/>
      <c r="J977" s="20"/>
      <c r="K977" s="1024"/>
      <c r="L977" s="1025"/>
      <c r="M977" s="1026"/>
      <c r="N977" s="1026"/>
      <c r="O977" s="265"/>
      <c r="P977" s="265"/>
      <c r="T977" s="265"/>
      <c r="U977" s="265"/>
      <c r="V977" s="265"/>
      <c r="X977" s="1026"/>
      <c r="Y977" s="265"/>
      <c r="Z977" s="265"/>
      <c r="AA977" s="265"/>
      <c r="AD977" s="4"/>
      <c r="AE977" s="1026"/>
      <c r="AF977" s="265"/>
      <c r="AU977" s="265"/>
      <c r="AV977" s="265"/>
      <c r="AW977" s="265"/>
      <c r="AX977" s="265"/>
      <c r="AY977" s="265"/>
      <c r="AZ977" s="265"/>
      <c r="BA977" s="265"/>
      <c r="BB977" s="265"/>
      <c r="BC977" s="265"/>
      <c r="BD977" s="265"/>
      <c r="BE977" s="265"/>
      <c r="BF977" s="265"/>
      <c r="BG977" s="265"/>
      <c r="BM977" s="6"/>
      <c r="BN977" s="6"/>
      <c r="BO977" s="6"/>
      <c r="BP977" s="1028"/>
      <c r="BT977" s="6"/>
      <c r="BU977" s="6"/>
      <c r="BV977" s="6"/>
      <c r="BW977" s="1029"/>
      <c r="BX977" s="1028"/>
      <c r="CB977" s="6"/>
      <c r="CC977" s="6"/>
      <c r="CD977" s="6"/>
      <c r="CE977" s="1029"/>
      <c r="CJ977" s="11"/>
      <c r="CM977" s="11"/>
      <c r="CU977" s="17"/>
      <c r="CV977" s="265"/>
      <c r="CW977" s="265"/>
      <c r="CY977" s="11"/>
      <c r="DA977" s="12"/>
      <c r="DB977" s="13"/>
      <c r="DC977" s="14"/>
      <c r="DD977" s="265"/>
      <c r="DE977" s="265"/>
      <c r="DF977" s="265"/>
      <c r="DH977" s="15"/>
      <c r="DM977" s="4"/>
    </row>
    <row r="978" spans="2:117" ht="15" customHeight="1">
      <c r="B978" s="10"/>
      <c r="C978" s="17"/>
      <c r="E978" s="25"/>
      <c r="F978" s="35"/>
      <c r="J978" s="20"/>
      <c r="K978" s="1024"/>
      <c r="L978" s="1025"/>
      <c r="M978" s="1026"/>
      <c r="N978" s="1026"/>
      <c r="O978" s="265"/>
      <c r="P978" s="265"/>
      <c r="T978" s="265"/>
      <c r="U978" s="265"/>
      <c r="V978" s="265"/>
      <c r="X978" s="1026"/>
      <c r="Y978" s="265"/>
      <c r="Z978" s="265"/>
      <c r="AA978" s="265"/>
      <c r="AD978" s="4"/>
      <c r="AE978" s="1026"/>
      <c r="AF978" s="265"/>
      <c r="AU978" s="265"/>
      <c r="AV978" s="265"/>
      <c r="AW978" s="265"/>
      <c r="AX978" s="265"/>
      <c r="AY978" s="265"/>
      <c r="AZ978" s="265"/>
      <c r="BA978" s="265"/>
      <c r="BB978" s="265"/>
      <c r="BC978" s="265"/>
      <c r="BD978" s="265"/>
      <c r="BE978" s="265"/>
      <c r="BF978" s="265"/>
      <c r="BG978" s="265"/>
      <c r="BM978" s="6"/>
      <c r="BN978" s="6"/>
      <c r="BO978" s="6"/>
      <c r="BP978" s="1028"/>
      <c r="BT978" s="6"/>
      <c r="BU978" s="6"/>
      <c r="BV978" s="6"/>
      <c r="BW978" s="1029"/>
      <c r="BX978" s="1028"/>
      <c r="CB978" s="6"/>
      <c r="CC978" s="6"/>
      <c r="CD978" s="6"/>
      <c r="CE978" s="1029"/>
      <c r="CJ978" s="11"/>
      <c r="CM978" s="11"/>
      <c r="CU978" s="17"/>
      <c r="CV978" s="265"/>
      <c r="CW978" s="265"/>
      <c r="CY978" s="11"/>
      <c r="DA978" s="12"/>
      <c r="DB978" s="13"/>
      <c r="DC978" s="14"/>
      <c r="DD978" s="265"/>
      <c r="DE978" s="265"/>
      <c r="DF978" s="265"/>
      <c r="DH978" s="15"/>
      <c r="DM978" s="4"/>
    </row>
    <row r="979" spans="2:117" ht="15" customHeight="1">
      <c r="B979" s="10"/>
      <c r="C979" s="17"/>
      <c r="E979" s="25"/>
      <c r="F979" s="35"/>
      <c r="J979" s="20"/>
      <c r="K979" s="1024"/>
      <c r="L979" s="1025"/>
      <c r="M979" s="1026"/>
      <c r="N979" s="1026"/>
      <c r="O979" s="265"/>
      <c r="P979" s="265"/>
      <c r="T979" s="265"/>
      <c r="U979" s="265"/>
      <c r="V979" s="265"/>
      <c r="X979" s="1026"/>
      <c r="Y979" s="265"/>
      <c r="Z979" s="265"/>
      <c r="AA979" s="265"/>
      <c r="AD979" s="4"/>
      <c r="AE979" s="1026"/>
      <c r="AF979" s="265"/>
      <c r="AU979" s="265"/>
      <c r="AV979" s="265"/>
      <c r="AW979" s="265"/>
      <c r="AX979" s="265"/>
      <c r="AY979" s="265"/>
      <c r="AZ979" s="265"/>
      <c r="BA979" s="265"/>
      <c r="BB979" s="265"/>
      <c r="BC979" s="265"/>
      <c r="BD979" s="265"/>
      <c r="BE979" s="265"/>
      <c r="BF979" s="265"/>
      <c r="BG979" s="265"/>
      <c r="BM979" s="6"/>
      <c r="BN979" s="6"/>
      <c r="BO979" s="6"/>
      <c r="BP979" s="1028"/>
      <c r="BT979" s="6"/>
      <c r="BU979" s="6"/>
      <c r="BV979" s="6"/>
      <c r="BW979" s="1029"/>
      <c r="BX979" s="1028"/>
      <c r="CB979" s="6"/>
      <c r="CC979" s="6"/>
      <c r="CD979" s="6"/>
      <c r="CE979" s="1029"/>
      <c r="CJ979" s="11"/>
      <c r="CM979" s="11"/>
      <c r="CU979" s="17"/>
      <c r="CV979" s="265"/>
      <c r="CW979" s="265"/>
      <c r="CY979" s="11"/>
      <c r="DA979" s="12"/>
      <c r="DB979" s="13"/>
      <c r="DC979" s="14"/>
      <c r="DD979" s="265"/>
      <c r="DE979" s="265"/>
      <c r="DF979" s="265"/>
      <c r="DH979" s="15"/>
      <c r="DM979" s="4"/>
    </row>
    <row r="980" spans="2:117" ht="15" customHeight="1">
      <c r="B980" s="10"/>
      <c r="C980" s="17"/>
      <c r="E980" s="25"/>
      <c r="F980" s="35"/>
      <c r="J980" s="20"/>
      <c r="K980" s="1024"/>
      <c r="L980" s="1025"/>
      <c r="M980" s="1026"/>
      <c r="N980" s="1026"/>
      <c r="O980" s="265"/>
      <c r="P980" s="265"/>
      <c r="T980" s="265"/>
      <c r="U980" s="265"/>
      <c r="V980" s="265"/>
      <c r="X980" s="1026"/>
      <c r="Y980" s="265"/>
      <c r="Z980" s="265"/>
      <c r="AA980" s="265"/>
      <c r="AD980" s="4"/>
      <c r="AE980" s="1026"/>
      <c r="AF980" s="265"/>
      <c r="AU980" s="265"/>
      <c r="AV980" s="265"/>
      <c r="AW980" s="265"/>
      <c r="AX980" s="265"/>
      <c r="AY980" s="265"/>
      <c r="AZ980" s="265"/>
      <c r="BA980" s="265"/>
      <c r="BB980" s="265"/>
      <c r="BC980" s="265"/>
      <c r="BD980" s="265"/>
      <c r="BE980" s="265"/>
      <c r="BF980" s="265"/>
      <c r="BG980" s="265"/>
      <c r="BM980" s="6"/>
      <c r="BN980" s="6"/>
      <c r="BO980" s="6"/>
      <c r="BP980" s="1028"/>
      <c r="BT980" s="6"/>
      <c r="BU980" s="6"/>
      <c r="BV980" s="6"/>
      <c r="BW980" s="1029"/>
      <c r="BX980" s="1028"/>
      <c r="CB980" s="6"/>
      <c r="CC980" s="6"/>
      <c r="CD980" s="6"/>
      <c r="CE980" s="1029"/>
      <c r="CJ980" s="11"/>
      <c r="CM980" s="11"/>
      <c r="CU980" s="17"/>
      <c r="CV980" s="265"/>
      <c r="CW980" s="265"/>
      <c r="CY980" s="11"/>
      <c r="DA980" s="12"/>
      <c r="DB980" s="13"/>
      <c r="DC980" s="14"/>
      <c r="DD980" s="265"/>
      <c r="DE980" s="265"/>
      <c r="DF980" s="265"/>
      <c r="DH980" s="15"/>
      <c r="DM980" s="4"/>
    </row>
    <row r="981" spans="2:117" ht="15" customHeight="1">
      <c r="B981" s="10"/>
      <c r="C981" s="17"/>
      <c r="E981" s="25"/>
      <c r="F981" s="35"/>
      <c r="J981" s="20"/>
      <c r="K981" s="1024"/>
      <c r="L981" s="1025"/>
      <c r="M981" s="1026"/>
      <c r="N981" s="1026"/>
      <c r="O981" s="265"/>
      <c r="P981" s="265"/>
      <c r="T981" s="265"/>
      <c r="U981" s="265"/>
      <c r="V981" s="265"/>
      <c r="X981" s="1026"/>
      <c r="Y981" s="265"/>
      <c r="Z981" s="265"/>
      <c r="AA981" s="265"/>
      <c r="AD981" s="4"/>
      <c r="AE981" s="1026"/>
      <c r="AF981" s="265"/>
      <c r="AU981" s="265"/>
      <c r="AV981" s="265"/>
      <c r="AW981" s="265"/>
      <c r="AX981" s="265"/>
      <c r="AY981" s="265"/>
      <c r="AZ981" s="265"/>
      <c r="BA981" s="265"/>
      <c r="BB981" s="265"/>
      <c r="BC981" s="265"/>
      <c r="BD981" s="265"/>
      <c r="BE981" s="265"/>
      <c r="BF981" s="265"/>
      <c r="BG981" s="265"/>
      <c r="BM981" s="6"/>
      <c r="BN981" s="6"/>
      <c r="BO981" s="6"/>
      <c r="BP981" s="1028"/>
      <c r="BT981" s="6"/>
      <c r="BU981" s="6"/>
      <c r="BV981" s="6"/>
      <c r="BW981" s="1029"/>
      <c r="BX981" s="1028"/>
      <c r="CB981" s="6"/>
      <c r="CC981" s="6"/>
      <c r="CD981" s="6"/>
      <c r="CE981" s="1029"/>
      <c r="CJ981" s="11"/>
      <c r="CM981" s="11"/>
      <c r="CU981" s="17"/>
      <c r="CV981" s="265"/>
      <c r="CW981" s="265"/>
      <c r="CY981" s="11"/>
      <c r="DA981" s="12"/>
      <c r="DB981" s="13"/>
      <c r="DC981" s="14"/>
      <c r="DD981" s="265"/>
      <c r="DE981" s="265"/>
      <c r="DF981" s="265"/>
      <c r="DH981" s="15"/>
      <c r="DM981" s="4"/>
    </row>
    <row r="982" spans="2:117" ht="15" customHeight="1">
      <c r="B982" s="10"/>
      <c r="C982" s="17"/>
      <c r="E982" s="25"/>
      <c r="F982" s="35"/>
      <c r="J982" s="20"/>
      <c r="K982" s="1024"/>
      <c r="L982" s="1025"/>
      <c r="M982" s="1026"/>
      <c r="N982" s="1026"/>
      <c r="O982" s="265"/>
      <c r="P982" s="265"/>
      <c r="T982" s="265"/>
      <c r="U982" s="265"/>
      <c r="V982" s="265"/>
      <c r="X982" s="1026"/>
      <c r="Y982" s="265"/>
      <c r="Z982" s="265"/>
      <c r="AA982" s="265"/>
      <c r="AD982" s="4"/>
      <c r="AE982" s="1026"/>
      <c r="AF982" s="265"/>
      <c r="AU982" s="265"/>
      <c r="AV982" s="265"/>
      <c r="AW982" s="265"/>
      <c r="AX982" s="265"/>
      <c r="AY982" s="265"/>
      <c r="AZ982" s="265"/>
      <c r="BA982" s="265"/>
      <c r="BB982" s="265"/>
      <c r="BC982" s="265"/>
      <c r="BD982" s="265"/>
      <c r="BE982" s="265"/>
      <c r="BF982" s="265"/>
      <c r="BG982" s="265"/>
      <c r="BM982" s="6"/>
      <c r="BN982" s="6"/>
      <c r="BO982" s="6"/>
      <c r="BP982" s="1028"/>
      <c r="BT982" s="6"/>
      <c r="BU982" s="6"/>
      <c r="BV982" s="6"/>
      <c r="BW982" s="1029"/>
      <c r="BX982" s="1028"/>
      <c r="CB982" s="6"/>
      <c r="CC982" s="6"/>
      <c r="CD982" s="6"/>
      <c r="CE982" s="1029"/>
      <c r="CJ982" s="11"/>
      <c r="CM982" s="11"/>
      <c r="CU982" s="17"/>
      <c r="CV982" s="265"/>
      <c r="CW982" s="265"/>
      <c r="CY982" s="11"/>
      <c r="DA982" s="12"/>
      <c r="DB982" s="13"/>
      <c r="DC982" s="14"/>
      <c r="DD982" s="265"/>
      <c r="DE982" s="265"/>
      <c r="DF982" s="265"/>
      <c r="DH982" s="15"/>
      <c r="DM982" s="4"/>
    </row>
    <row r="983" spans="2:117" ht="15" customHeight="1">
      <c r="B983" s="10"/>
      <c r="C983" s="17"/>
      <c r="E983" s="25"/>
      <c r="F983" s="35"/>
      <c r="J983" s="20"/>
      <c r="K983" s="1024"/>
      <c r="L983" s="1025"/>
      <c r="M983" s="1026"/>
      <c r="N983" s="1026"/>
      <c r="O983" s="265"/>
      <c r="P983" s="265"/>
      <c r="T983" s="265"/>
      <c r="U983" s="265"/>
      <c r="V983" s="265"/>
      <c r="X983" s="1026"/>
      <c r="Y983" s="265"/>
      <c r="Z983" s="265"/>
      <c r="AA983" s="265"/>
      <c r="AD983" s="4"/>
      <c r="AE983" s="1026"/>
      <c r="AF983" s="265"/>
      <c r="AU983" s="265"/>
      <c r="AV983" s="265"/>
      <c r="AW983" s="265"/>
      <c r="AX983" s="265"/>
      <c r="AY983" s="265"/>
      <c r="AZ983" s="265"/>
      <c r="BA983" s="265"/>
      <c r="BB983" s="265"/>
      <c r="BC983" s="265"/>
      <c r="BD983" s="265"/>
      <c r="BE983" s="265"/>
      <c r="BF983" s="265"/>
      <c r="BG983" s="265"/>
      <c r="BM983" s="6"/>
      <c r="BN983" s="6"/>
      <c r="BO983" s="6"/>
      <c r="BP983" s="1028"/>
      <c r="BT983" s="6"/>
      <c r="BU983" s="6"/>
      <c r="BV983" s="6"/>
      <c r="BW983" s="1029"/>
      <c r="BX983" s="1028"/>
      <c r="CB983" s="6"/>
      <c r="CC983" s="6"/>
      <c r="CD983" s="6"/>
      <c r="CE983" s="1029"/>
      <c r="CJ983" s="11"/>
      <c r="CM983" s="11"/>
      <c r="CU983" s="17"/>
      <c r="CV983" s="265"/>
      <c r="CW983" s="265"/>
      <c r="CY983" s="11"/>
      <c r="DA983" s="12"/>
      <c r="DB983" s="13"/>
      <c r="DC983" s="14"/>
      <c r="DD983" s="265"/>
      <c r="DE983" s="265"/>
      <c r="DF983" s="265"/>
      <c r="DH983" s="15"/>
      <c r="DM983" s="4"/>
    </row>
    <row r="984" spans="2:117" ht="15" customHeight="1">
      <c r="B984" s="10"/>
      <c r="C984" s="17"/>
      <c r="E984" s="25"/>
      <c r="F984" s="35"/>
      <c r="J984" s="20"/>
      <c r="K984" s="1024"/>
      <c r="L984" s="1025"/>
      <c r="M984" s="1026"/>
      <c r="N984" s="1026"/>
      <c r="O984" s="265"/>
      <c r="P984" s="265"/>
      <c r="T984" s="265"/>
      <c r="U984" s="265"/>
      <c r="V984" s="265"/>
      <c r="X984" s="1026"/>
      <c r="Y984" s="265"/>
      <c r="Z984" s="265"/>
      <c r="AA984" s="265"/>
      <c r="AD984" s="4"/>
      <c r="AE984" s="1026"/>
      <c r="AF984" s="265"/>
      <c r="AU984" s="265"/>
      <c r="AV984" s="265"/>
      <c r="AW984" s="265"/>
      <c r="AX984" s="265"/>
      <c r="AY984" s="265"/>
      <c r="AZ984" s="265"/>
      <c r="BA984" s="265"/>
      <c r="BB984" s="265"/>
      <c r="BC984" s="265"/>
      <c r="BD984" s="265"/>
      <c r="BE984" s="265"/>
      <c r="BF984" s="265"/>
      <c r="BG984" s="265"/>
      <c r="BM984" s="6"/>
      <c r="BN984" s="6"/>
      <c r="BO984" s="6"/>
      <c r="BP984" s="1028"/>
      <c r="BT984" s="6"/>
      <c r="BU984" s="6"/>
      <c r="BV984" s="6"/>
      <c r="BW984" s="1029"/>
      <c r="BX984" s="1028"/>
      <c r="CB984" s="6"/>
      <c r="CC984" s="6"/>
      <c r="CD984" s="6"/>
      <c r="CE984" s="1029"/>
      <c r="CJ984" s="11"/>
      <c r="CM984" s="11"/>
      <c r="CU984" s="17"/>
      <c r="CV984" s="265"/>
      <c r="CW984" s="265"/>
      <c r="CY984" s="11"/>
      <c r="DA984" s="12"/>
      <c r="DB984" s="13"/>
      <c r="DC984" s="14"/>
      <c r="DD984" s="265"/>
      <c r="DE984" s="265"/>
      <c r="DF984" s="265"/>
      <c r="DH984" s="15"/>
      <c r="DM984" s="4"/>
    </row>
    <row r="985" spans="2:117" ht="15" customHeight="1">
      <c r="B985" s="10"/>
      <c r="C985" s="17"/>
      <c r="E985" s="25"/>
      <c r="F985" s="35"/>
      <c r="J985" s="20"/>
      <c r="K985" s="1024"/>
      <c r="L985" s="1025"/>
      <c r="M985" s="1026"/>
      <c r="N985" s="1026"/>
      <c r="O985" s="265"/>
      <c r="P985" s="265"/>
      <c r="T985" s="265"/>
      <c r="U985" s="265"/>
      <c r="V985" s="265"/>
      <c r="X985" s="1026"/>
      <c r="Y985" s="265"/>
      <c r="Z985" s="265"/>
      <c r="AA985" s="265"/>
      <c r="AD985" s="4"/>
      <c r="AE985" s="1026"/>
      <c r="AF985" s="265"/>
      <c r="AU985" s="265"/>
      <c r="AV985" s="265"/>
      <c r="AW985" s="265"/>
      <c r="AX985" s="265"/>
      <c r="AY985" s="265"/>
      <c r="AZ985" s="265"/>
      <c r="BA985" s="265"/>
      <c r="BB985" s="265"/>
      <c r="BC985" s="265"/>
      <c r="BD985" s="265"/>
      <c r="BE985" s="265"/>
      <c r="BF985" s="265"/>
      <c r="BG985" s="265"/>
      <c r="BM985" s="6"/>
      <c r="BN985" s="6"/>
      <c r="BO985" s="6"/>
      <c r="BP985" s="1028"/>
      <c r="BT985" s="6"/>
      <c r="BU985" s="6"/>
      <c r="BV985" s="6"/>
      <c r="BW985" s="1029"/>
      <c r="BX985" s="1028"/>
      <c r="CB985" s="6"/>
      <c r="CC985" s="6"/>
      <c r="CD985" s="6"/>
      <c r="CE985" s="1029"/>
      <c r="CJ985" s="11"/>
      <c r="CM985" s="11"/>
      <c r="CU985" s="17"/>
      <c r="CV985" s="265"/>
      <c r="CW985" s="265"/>
      <c r="CY985" s="11"/>
      <c r="DA985" s="12"/>
      <c r="DB985" s="13"/>
      <c r="DC985" s="14"/>
      <c r="DD985" s="265"/>
      <c r="DE985" s="265"/>
      <c r="DF985" s="265"/>
      <c r="DH985" s="15"/>
      <c r="DM985" s="4"/>
    </row>
    <row r="986" spans="2:117" ht="15" customHeight="1">
      <c r="B986" s="10"/>
      <c r="C986" s="17"/>
      <c r="E986" s="25"/>
      <c r="F986" s="35"/>
      <c r="J986" s="20"/>
      <c r="K986" s="1024"/>
      <c r="L986" s="1025"/>
      <c r="M986" s="1026"/>
      <c r="N986" s="1026"/>
      <c r="O986" s="265"/>
      <c r="P986" s="265"/>
      <c r="T986" s="265"/>
      <c r="U986" s="265"/>
      <c r="V986" s="265"/>
      <c r="X986" s="1026"/>
      <c r="Y986" s="265"/>
      <c r="Z986" s="265"/>
      <c r="AA986" s="265"/>
      <c r="AD986" s="4"/>
      <c r="AE986" s="1026"/>
      <c r="AF986" s="265"/>
      <c r="AU986" s="265"/>
      <c r="AV986" s="265"/>
      <c r="AW986" s="265"/>
      <c r="AX986" s="265"/>
      <c r="AY986" s="265"/>
      <c r="AZ986" s="265"/>
      <c r="BA986" s="265"/>
      <c r="BB986" s="265"/>
      <c r="BC986" s="265"/>
      <c r="BD986" s="265"/>
      <c r="BE986" s="265"/>
      <c r="BF986" s="265"/>
      <c r="BG986" s="265"/>
      <c r="BM986" s="6"/>
      <c r="BN986" s="6"/>
      <c r="BO986" s="6"/>
      <c r="BP986" s="1028"/>
      <c r="BT986" s="6"/>
      <c r="BU986" s="6"/>
      <c r="BV986" s="6"/>
      <c r="BW986" s="1029"/>
      <c r="BX986" s="1028"/>
      <c r="CB986" s="6"/>
      <c r="CC986" s="6"/>
      <c r="CD986" s="6"/>
      <c r="CE986" s="1029"/>
      <c r="CJ986" s="11"/>
      <c r="CM986" s="11"/>
      <c r="CU986" s="17"/>
      <c r="CV986" s="265"/>
      <c r="CW986" s="265"/>
      <c r="CY986" s="11"/>
      <c r="DA986" s="12"/>
      <c r="DB986" s="13"/>
      <c r="DC986" s="14"/>
      <c r="DD986" s="265"/>
      <c r="DE986" s="265"/>
      <c r="DF986" s="265"/>
      <c r="DH986" s="15"/>
      <c r="DM986" s="4"/>
    </row>
    <row r="987" spans="2:117" ht="15" customHeight="1">
      <c r="B987" s="10"/>
      <c r="C987" s="17"/>
      <c r="E987" s="25"/>
      <c r="F987" s="35"/>
      <c r="J987" s="20"/>
      <c r="K987" s="1024"/>
      <c r="L987" s="1025"/>
      <c r="M987" s="1026"/>
      <c r="N987" s="1026"/>
      <c r="O987" s="265"/>
      <c r="P987" s="265"/>
      <c r="T987" s="265"/>
      <c r="U987" s="265"/>
      <c r="V987" s="265"/>
      <c r="X987" s="1026"/>
      <c r="Y987" s="265"/>
      <c r="Z987" s="265"/>
      <c r="AA987" s="265"/>
      <c r="AD987" s="4"/>
      <c r="AE987" s="1026"/>
      <c r="AF987" s="265"/>
      <c r="AU987" s="265"/>
      <c r="AV987" s="265"/>
      <c r="AW987" s="265"/>
      <c r="AX987" s="265"/>
      <c r="AY987" s="265"/>
      <c r="AZ987" s="265"/>
      <c r="BA987" s="265"/>
      <c r="BB987" s="265"/>
      <c r="BC987" s="265"/>
      <c r="BD987" s="265"/>
      <c r="BE987" s="265"/>
      <c r="BF987" s="265"/>
      <c r="BG987" s="265"/>
      <c r="BM987" s="6"/>
      <c r="BN987" s="6"/>
      <c r="BO987" s="6"/>
      <c r="BP987" s="1028"/>
      <c r="BT987" s="6"/>
      <c r="BU987" s="6"/>
      <c r="BV987" s="6"/>
      <c r="BW987" s="1029"/>
      <c r="BX987" s="1028"/>
      <c r="CB987" s="6"/>
      <c r="CC987" s="6"/>
      <c r="CD987" s="6"/>
      <c r="CE987" s="1029"/>
      <c r="CJ987" s="11"/>
      <c r="CM987" s="11"/>
      <c r="CU987" s="17"/>
      <c r="CV987" s="265"/>
      <c r="CW987" s="265"/>
      <c r="CY987" s="11"/>
      <c r="DA987" s="12"/>
      <c r="DB987" s="13"/>
      <c r="DC987" s="14"/>
      <c r="DD987" s="265"/>
      <c r="DE987" s="265"/>
      <c r="DF987" s="265"/>
      <c r="DH987" s="15"/>
      <c r="DM987" s="4"/>
    </row>
    <row r="988" spans="2:117" ht="15" customHeight="1">
      <c r="B988" s="10"/>
      <c r="C988" s="17"/>
      <c r="E988" s="25"/>
      <c r="F988" s="35"/>
      <c r="J988" s="20"/>
      <c r="K988" s="1024"/>
      <c r="L988" s="1025"/>
      <c r="M988" s="1026"/>
      <c r="N988" s="1026"/>
      <c r="O988" s="265"/>
      <c r="P988" s="265"/>
      <c r="T988" s="265"/>
      <c r="U988" s="265"/>
      <c r="V988" s="265"/>
      <c r="X988" s="1026"/>
      <c r="Y988" s="265"/>
      <c r="Z988" s="265"/>
      <c r="AA988" s="265"/>
      <c r="AD988" s="4"/>
      <c r="AE988" s="1026"/>
      <c r="AF988" s="265"/>
      <c r="AU988" s="265"/>
      <c r="AV988" s="265"/>
      <c r="AW988" s="265"/>
      <c r="AX988" s="265"/>
      <c r="AY988" s="265"/>
      <c r="AZ988" s="265"/>
      <c r="BA988" s="265"/>
      <c r="BB988" s="265"/>
      <c r="BC988" s="265"/>
      <c r="BD988" s="265"/>
      <c r="BE988" s="265"/>
      <c r="BF988" s="265"/>
      <c r="BG988" s="265"/>
      <c r="BM988" s="6"/>
      <c r="BN988" s="6"/>
      <c r="BO988" s="6"/>
      <c r="BP988" s="1028"/>
      <c r="BT988" s="6"/>
      <c r="BU988" s="6"/>
      <c r="BV988" s="6"/>
      <c r="BW988" s="1029"/>
      <c r="BX988" s="1028"/>
      <c r="CB988" s="6"/>
      <c r="CC988" s="6"/>
      <c r="CD988" s="6"/>
      <c r="CE988" s="1029"/>
      <c r="CJ988" s="11"/>
      <c r="CM988" s="11"/>
      <c r="CU988" s="17"/>
      <c r="CV988" s="265"/>
      <c r="CW988" s="265"/>
      <c r="CY988" s="11"/>
      <c r="DA988" s="12"/>
      <c r="DB988" s="13"/>
      <c r="DC988" s="14"/>
      <c r="DD988" s="265"/>
      <c r="DE988" s="265"/>
      <c r="DF988" s="265"/>
      <c r="DH988" s="15"/>
      <c r="DM988" s="4"/>
    </row>
    <row r="989" spans="2:117" ht="15" customHeight="1">
      <c r="B989" s="10"/>
      <c r="C989" s="17"/>
      <c r="E989" s="25"/>
      <c r="F989" s="35"/>
      <c r="J989" s="20"/>
      <c r="K989" s="1024"/>
      <c r="L989" s="1025"/>
      <c r="M989" s="1026"/>
      <c r="N989" s="1026"/>
      <c r="O989" s="265"/>
      <c r="P989" s="265"/>
      <c r="T989" s="265"/>
      <c r="U989" s="265"/>
      <c r="V989" s="265"/>
      <c r="X989" s="1026"/>
      <c r="Y989" s="265"/>
      <c r="Z989" s="265"/>
      <c r="AA989" s="265"/>
      <c r="AD989" s="4"/>
      <c r="AE989" s="1026"/>
      <c r="AF989" s="265"/>
      <c r="AU989" s="265"/>
      <c r="AV989" s="265"/>
      <c r="AW989" s="265"/>
      <c r="AX989" s="265"/>
      <c r="AY989" s="265"/>
      <c r="AZ989" s="265"/>
      <c r="BA989" s="265"/>
      <c r="BB989" s="265"/>
      <c r="BC989" s="265"/>
      <c r="BD989" s="265"/>
      <c r="BE989" s="265"/>
      <c r="BF989" s="265"/>
      <c r="BG989" s="265"/>
      <c r="BM989" s="6"/>
      <c r="BN989" s="6"/>
      <c r="BO989" s="6"/>
      <c r="BP989" s="1028"/>
      <c r="BT989" s="6"/>
      <c r="BU989" s="6"/>
      <c r="BV989" s="6"/>
      <c r="BW989" s="1029"/>
      <c r="BX989" s="1028"/>
      <c r="CB989" s="6"/>
      <c r="CC989" s="6"/>
      <c r="CD989" s="6"/>
      <c r="CE989" s="1029"/>
      <c r="CJ989" s="11"/>
      <c r="CM989" s="11"/>
      <c r="CU989" s="17"/>
      <c r="CV989" s="265"/>
      <c r="CW989" s="265"/>
      <c r="CY989" s="11"/>
      <c r="DA989" s="12"/>
      <c r="DB989" s="13"/>
      <c r="DC989" s="14"/>
      <c r="DD989" s="265"/>
      <c r="DE989" s="265"/>
      <c r="DF989" s="265"/>
      <c r="DH989" s="15"/>
      <c r="DM989" s="4"/>
    </row>
    <row r="990" spans="2:117" ht="15" customHeight="1">
      <c r="B990" s="10"/>
      <c r="C990" s="17"/>
      <c r="E990" s="25"/>
      <c r="F990" s="35"/>
      <c r="J990" s="20"/>
      <c r="K990" s="1024"/>
      <c r="L990" s="1025"/>
      <c r="M990" s="1026"/>
      <c r="N990" s="1026"/>
      <c r="O990" s="265"/>
      <c r="P990" s="265"/>
      <c r="T990" s="265"/>
      <c r="U990" s="265"/>
      <c r="V990" s="265"/>
      <c r="X990" s="1026"/>
      <c r="Y990" s="265"/>
      <c r="Z990" s="265"/>
      <c r="AA990" s="265"/>
      <c r="AD990" s="4"/>
      <c r="AE990" s="1026"/>
      <c r="AF990" s="265"/>
      <c r="AU990" s="265"/>
      <c r="AV990" s="265"/>
      <c r="AW990" s="265"/>
      <c r="AX990" s="265"/>
      <c r="AY990" s="265"/>
      <c r="AZ990" s="265"/>
      <c r="BA990" s="265"/>
      <c r="BB990" s="265"/>
      <c r="BC990" s="265"/>
      <c r="BD990" s="265"/>
      <c r="BE990" s="265"/>
      <c r="BF990" s="265"/>
      <c r="BG990" s="265"/>
      <c r="BM990" s="6"/>
      <c r="BN990" s="6"/>
      <c r="BO990" s="6"/>
      <c r="BP990" s="1028"/>
      <c r="BT990" s="6"/>
      <c r="BU990" s="6"/>
      <c r="BV990" s="6"/>
      <c r="BW990" s="1029"/>
      <c r="BX990" s="1028"/>
      <c r="CB990" s="6"/>
      <c r="CC990" s="6"/>
      <c r="CD990" s="6"/>
      <c r="CE990" s="1029"/>
      <c r="CJ990" s="11"/>
      <c r="CM990" s="11"/>
      <c r="CU990" s="17"/>
      <c r="CV990" s="265"/>
      <c r="CW990" s="265"/>
      <c r="CY990" s="11"/>
      <c r="DA990" s="12"/>
      <c r="DB990" s="13"/>
      <c r="DC990" s="14"/>
      <c r="DD990" s="265"/>
      <c r="DE990" s="265"/>
      <c r="DF990" s="265"/>
      <c r="DH990" s="15"/>
      <c r="DM990" s="4"/>
    </row>
    <row r="991" spans="2:117" ht="15" customHeight="1">
      <c r="B991" s="10"/>
      <c r="C991" s="17"/>
      <c r="E991" s="25"/>
      <c r="F991" s="35"/>
      <c r="J991" s="20"/>
      <c r="K991" s="1024"/>
      <c r="L991" s="1025"/>
      <c r="M991" s="1026"/>
      <c r="N991" s="1026"/>
      <c r="O991" s="265"/>
      <c r="P991" s="265"/>
      <c r="T991" s="265"/>
      <c r="U991" s="265"/>
      <c r="V991" s="265"/>
      <c r="X991" s="1026"/>
      <c r="Y991" s="265"/>
      <c r="Z991" s="265"/>
      <c r="AA991" s="265"/>
      <c r="AD991" s="4"/>
      <c r="AE991" s="1026"/>
      <c r="AF991" s="265"/>
      <c r="AU991" s="265"/>
      <c r="AV991" s="265"/>
      <c r="AW991" s="265"/>
      <c r="AX991" s="265"/>
      <c r="AY991" s="265"/>
      <c r="AZ991" s="265"/>
      <c r="BA991" s="265"/>
      <c r="BB991" s="265"/>
      <c r="BC991" s="265"/>
      <c r="BD991" s="265"/>
      <c r="BE991" s="265"/>
      <c r="BF991" s="265"/>
      <c r="BG991" s="265"/>
      <c r="BM991" s="6"/>
      <c r="BN991" s="6"/>
      <c r="BO991" s="6"/>
      <c r="BP991" s="1028"/>
      <c r="BT991" s="6"/>
      <c r="BU991" s="6"/>
      <c r="BV991" s="6"/>
      <c r="BW991" s="1029"/>
      <c r="BX991" s="1028"/>
      <c r="CB991" s="6"/>
      <c r="CC991" s="6"/>
      <c r="CD991" s="6"/>
      <c r="CE991" s="1029"/>
      <c r="CJ991" s="11"/>
      <c r="CM991" s="11"/>
      <c r="CU991" s="17"/>
      <c r="CV991" s="265"/>
      <c r="CW991" s="265"/>
      <c r="CY991" s="11"/>
      <c r="DA991" s="12"/>
      <c r="DB991" s="13"/>
      <c r="DC991" s="14"/>
      <c r="DD991" s="265"/>
      <c r="DE991" s="265"/>
      <c r="DF991" s="265"/>
      <c r="DH991" s="15"/>
      <c r="DM991" s="4"/>
    </row>
    <row r="992" spans="2:117" ht="15" customHeight="1">
      <c r="B992" s="10"/>
      <c r="C992" s="17"/>
      <c r="E992" s="25"/>
      <c r="F992" s="35"/>
      <c r="J992" s="20"/>
      <c r="K992" s="1024"/>
      <c r="L992" s="1025"/>
      <c r="M992" s="1026"/>
      <c r="N992" s="1026"/>
      <c r="O992" s="265"/>
      <c r="P992" s="265"/>
      <c r="T992" s="265"/>
      <c r="U992" s="265"/>
      <c r="V992" s="265"/>
      <c r="X992" s="1026"/>
      <c r="Y992" s="265"/>
      <c r="Z992" s="265"/>
      <c r="AA992" s="265"/>
      <c r="AD992" s="4"/>
      <c r="AE992" s="1026"/>
      <c r="AF992" s="265"/>
      <c r="AU992" s="265"/>
      <c r="AV992" s="265"/>
      <c r="AW992" s="265"/>
      <c r="AX992" s="265"/>
      <c r="AY992" s="265"/>
      <c r="AZ992" s="265"/>
      <c r="BA992" s="265"/>
      <c r="BB992" s="265"/>
      <c r="BC992" s="265"/>
      <c r="BD992" s="265"/>
      <c r="BE992" s="265"/>
      <c r="BF992" s="265"/>
      <c r="BG992" s="265"/>
      <c r="BM992" s="6"/>
      <c r="BN992" s="6"/>
      <c r="BO992" s="6"/>
      <c r="BP992" s="1028"/>
      <c r="BT992" s="6"/>
      <c r="BU992" s="6"/>
      <c r="BV992" s="6"/>
      <c r="BW992" s="1029"/>
      <c r="BX992" s="1028"/>
      <c r="CB992" s="6"/>
      <c r="CC992" s="6"/>
      <c r="CD992" s="6"/>
      <c r="CE992" s="1029"/>
      <c r="CJ992" s="11"/>
      <c r="CM992" s="11"/>
      <c r="CU992" s="17"/>
      <c r="CV992" s="265"/>
      <c r="CW992" s="265"/>
      <c r="CY992" s="11"/>
      <c r="DA992" s="12"/>
      <c r="DB992" s="13"/>
      <c r="DC992" s="14"/>
      <c r="DD992" s="265"/>
      <c r="DE992" s="265"/>
      <c r="DF992" s="265"/>
      <c r="DH992" s="15"/>
      <c r="DM992" s="4"/>
    </row>
    <row r="993" spans="2:117" ht="15" customHeight="1">
      <c r="B993" s="10"/>
      <c r="C993" s="17"/>
      <c r="E993" s="25"/>
      <c r="F993" s="35"/>
      <c r="J993" s="20"/>
      <c r="K993" s="1024"/>
      <c r="L993" s="1025"/>
      <c r="M993" s="1026"/>
      <c r="N993" s="1026"/>
      <c r="O993" s="265"/>
      <c r="P993" s="265"/>
      <c r="T993" s="265"/>
      <c r="U993" s="265"/>
      <c r="V993" s="265"/>
      <c r="X993" s="1026"/>
      <c r="Y993" s="265"/>
      <c r="Z993" s="265"/>
      <c r="AA993" s="265"/>
      <c r="AD993" s="4"/>
      <c r="AE993" s="1026"/>
      <c r="AF993" s="265"/>
      <c r="AU993" s="265"/>
      <c r="AV993" s="265"/>
      <c r="AW993" s="265"/>
      <c r="AX993" s="265"/>
      <c r="AY993" s="265"/>
      <c r="AZ993" s="265"/>
      <c r="BA993" s="265"/>
      <c r="BB993" s="265"/>
      <c r="BC993" s="265"/>
      <c r="BD993" s="265"/>
      <c r="BE993" s="265"/>
      <c r="BF993" s="265"/>
      <c r="BG993" s="265"/>
      <c r="BM993" s="6"/>
      <c r="BN993" s="6"/>
      <c r="BO993" s="6"/>
      <c r="BP993" s="1028"/>
      <c r="BT993" s="6"/>
      <c r="BU993" s="6"/>
      <c r="BV993" s="6"/>
      <c r="BW993" s="1029"/>
      <c r="BX993" s="1028"/>
      <c r="CB993" s="6"/>
      <c r="CC993" s="6"/>
      <c r="CD993" s="6"/>
      <c r="CE993" s="1029"/>
      <c r="CJ993" s="11"/>
      <c r="CM993" s="11"/>
      <c r="CU993" s="17"/>
      <c r="CV993" s="265"/>
      <c r="CW993" s="265"/>
      <c r="CY993" s="11"/>
      <c r="DA993" s="12"/>
      <c r="DB993" s="13"/>
      <c r="DC993" s="14"/>
      <c r="DD993" s="265"/>
      <c r="DE993" s="265"/>
      <c r="DF993" s="265"/>
      <c r="DH993" s="15"/>
      <c r="DM993" s="4"/>
    </row>
    <row r="994" spans="2:117" ht="15" customHeight="1">
      <c r="B994" s="10"/>
      <c r="C994" s="17"/>
      <c r="E994" s="25"/>
      <c r="F994" s="35"/>
      <c r="J994" s="20"/>
      <c r="K994" s="1024"/>
      <c r="L994" s="1025"/>
      <c r="M994" s="1026"/>
      <c r="N994" s="1026"/>
      <c r="O994" s="265"/>
      <c r="P994" s="265"/>
      <c r="T994" s="265"/>
      <c r="U994" s="265"/>
      <c r="V994" s="265"/>
      <c r="X994" s="1026"/>
      <c r="Y994" s="265"/>
      <c r="Z994" s="265"/>
      <c r="AA994" s="265"/>
      <c r="AD994" s="4"/>
      <c r="AE994" s="1026"/>
      <c r="AF994" s="265"/>
      <c r="AU994" s="265"/>
      <c r="AV994" s="265"/>
      <c r="AW994" s="265"/>
      <c r="AX994" s="265"/>
      <c r="AY994" s="265"/>
      <c r="AZ994" s="265"/>
      <c r="BA994" s="265"/>
      <c r="BB994" s="265"/>
      <c r="BC994" s="265"/>
      <c r="BD994" s="265"/>
      <c r="BE994" s="265"/>
      <c r="BF994" s="265"/>
      <c r="BG994" s="265"/>
      <c r="BM994" s="6"/>
      <c r="BN994" s="6"/>
      <c r="BO994" s="6"/>
      <c r="BP994" s="1028"/>
      <c r="BT994" s="6"/>
      <c r="BU994" s="6"/>
      <c r="BV994" s="6"/>
      <c r="BW994" s="1029"/>
      <c r="BX994" s="1028"/>
      <c r="CB994" s="6"/>
      <c r="CC994" s="6"/>
      <c r="CD994" s="6"/>
      <c r="CE994" s="1029"/>
      <c r="CJ994" s="11"/>
      <c r="CM994" s="11"/>
      <c r="CU994" s="17"/>
      <c r="CV994" s="265"/>
      <c r="CW994" s="265"/>
      <c r="CY994" s="11"/>
      <c r="DA994" s="12"/>
      <c r="DB994" s="13"/>
      <c r="DC994" s="14"/>
      <c r="DD994" s="265"/>
      <c r="DE994" s="265"/>
      <c r="DF994" s="265"/>
      <c r="DH994" s="15"/>
      <c r="DM994" s="4"/>
    </row>
    <row r="995" spans="2:117" ht="15" customHeight="1">
      <c r="B995" s="10"/>
      <c r="C995" s="17"/>
      <c r="E995" s="25"/>
      <c r="F995" s="35"/>
      <c r="J995" s="20"/>
      <c r="K995" s="1024"/>
      <c r="L995" s="1025"/>
      <c r="M995" s="1026"/>
      <c r="N995" s="1026"/>
      <c r="O995" s="265"/>
      <c r="P995" s="265"/>
      <c r="T995" s="265"/>
      <c r="U995" s="265"/>
      <c r="V995" s="265"/>
      <c r="X995" s="1026"/>
      <c r="Y995" s="265"/>
      <c r="Z995" s="265"/>
      <c r="AA995" s="265"/>
      <c r="AD995" s="4"/>
      <c r="AE995" s="1026"/>
      <c r="AF995" s="265"/>
      <c r="AU995" s="265"/>
      <c r="AV995" s="265"/>
      <c r="AW995" s="265"/>
      <c r="AX995" s="265"/>
      <c r="AY995" s="265"/>
      <c r="AZ995" s="265"/>
      <c r="BA995" s="265"/>
      <c r="BB995" s="265"/>
      <c r="BC995" s="265"/>
      <c r="BD995" s="265"/>
      <c r="BE995" s="265"/>
      <c r="BF995" s="265"/>
      <c r="BG995" s="265"/>
      <c r="BM995" s="6"/>
      <c r="BN995" s="6"/>
      <c r="BO995" s="6"/>
      <c r="BP995" s="1028"/>
      <c r="BT995" s="6"/>
      <c r="BU995" s="6"/>
      <c r="BV995" s="6"/>
      <c r="BW995" s="1029"/>
      <c r="BX995" s="1028"/>
      <c r="CB995" s="6"/>
      <c r="CC995" s="6"/>
      <c r="CD995" s="6"/>
      <c r="CE995" s="1029"/>
      <c r="CJ995" s="11"/>
      <c r="CM995" s="11"/>
      <c r="CU995" s="17"/>
      <c r="CV995" s="265"/>
      <c r="CW995" s="265"/>
      <c r="CY995" s="11"/>
      <c r="DA995" s="12"/>
      <c r="DB995" s="13"/>
      <c r="DC995" s="14"/>
      <c r="DD995" s="265"/>
      <c r="DE995" s="265"/>
      <c r="DF995" s="265"/>
      <c r="DH995" s="15"/>
      <c r="DM995" s="4"/>
    </row>
    <row r="996" spans="2:117" ht="15" customHeight="1">
      <c r="B996" s="10"/>
      <c r="C996" s="17"/>
      <c r="E996" s="25"/>
      <c r="F996" s="35"/>
      <c r="J996" s="20"/>
      <c r="K996" s="1024"/>
      <c r="L996" s="1025"/>
      <c r="M996" s="1026"/>
      <c r="N996" s="1026"/>
      <c r="O996" s="265"/>
      <c r="P996" s="265"/>
      <c r="T996" s="265"/>
      <c r="U996" s="265"/>
      <c r="V996" s="265"/>
      <c r="X996" s="1026"/>
      <c r="Y996" s="265"/>
      <c r="Z996" s="265"/>
      <c r="AA996" s="265"/>
      <c r="AD996" s="4"/>
      <c r="AE996" s="1026"/>
      <c r="AF996" s="265"/>
      <c r="AU996" s="265"/>
      <c r="AV996" s="265"/>
      <c r="AW996" s="265"/>
      <c r="AX996" s="265"/>
      <c r="AY996" s="265"/>
      <c r="AZ996" s="265"/>
      <c r="BA996" s="265"/>
      <c r="BB996" s="265"/>
      <c r="BC996" s="265"/>
      <c r="BD996" s="265"/>
      <c r="BE996" s="265"/>
      <c r="BF996" s="265"/>
      <c r="BG996" s="265"/>
      <c r="BM996" s="6"/>
      <c r="BN996" s="6"/>
      <c r="BO996" s="6"/>
      <c r="BP996" s="1028"/>
      <c r="BT996" s="6"/>
      <c r="BU996" s="6"/>
      <c r="BV996" s="6"/>
      <c r="BW996" s="1029"/>
      <c r="BX996" s="1028"/>
      <c r="CB996" s="6"/>
      <c r="CC996" s="6"/>
      <c r="CD996" s="6"/>
      <c r="CE996" s="1029"/>
      <c r="CJ996" s="11"/>
      <c r="CM996" s="11"/>
      <c r="CU996" s="17"/>
      <c r="CV996" s="265"/>
      <c r="CW996" s="265"/>
      <c r="CY996" s="11"/>
      <c r="DA996" s="12"/>
      <c r="DB996" s="13"/>
      <c r="DC996" s="14"/>
      <c r="DD996" s="265"/>
      <c r="DE996" s="265"/>
      <c r="DF996" s="265"/>
      <c r="DH996" s="15"/>
      <c r="DM996" s="4"/>
    </row>
    <row r="997" spans="2:117" ht="15" customHeight="1">
      <c r="B997" s="10"/>
      <c r="C997" s="17"/>
      <c r="E997" s="25"/>
      <c r="F997" s="35"/>
      <c r="J997" s="20"/>
      <c r="K997" s="1024"/>
      <c r="L997" s="1025"/>
      <c r="M997" s="1026"/>
      <c r="N997" s="1026"/>
      <c r="O997" s="265"/>
      <c r="P997" s="265"/>
      <c r="T997" s="265"/>
      <c r="U997" s="265"/>
      <c r="V997" s="265"/>
      <c r="X997" s="1026"/>
      <c r="Y997" s="265"/>
      <c r="Z997" s="265"/>
      <c r="AA997" s="265"/>
      <c r="AD997" s="4"/>
      <c r="AE997" s="1026"/>
      <c r="AF997" s="265"/>
      <c r="AU997" s="265"/>
      <c r="AV997" s="265"/>
      <c r="AW997" s="265"/>
      <c r="AX997" s="265"/>
      <c r="AY997" s="265"/>
      <c r="AZ997" s="265"/>
      <c r="BA997" s="265"/>
      <c r="BB997" s="265"/>
      <c r="BC997" s="265"/>
      <c r="BD997" s="265"/>
      <c r="BE997" s="265"/>
      <c r="BF997" s="265"/>
      <c r="BG997" s="265"/>
      <c r="BM997" s="6"/>
      <c r="BN997" s="6"/>
      <c r="BO997" s="6"/>
      <c r="BP997" s="1028"/>
      <c r="BT997" s="6"/>
      <c r="BU997" s="6"/>
      <c r="BV997" s="6"/>
      <c r="BW997" s="1029"/>
      <c r="BX997" s="1028"/>
      <c r="CB997" s="6"/>
      <c r="CC997" s="6"/>
      <c r="CD997" s="6"/>
      <c r="CE997" s="1029"/>
      <c r="CJ997" s="11"/>
      <c r="CM997" s="11"/>
      <c r="CU997" s="17"/>
      <c r="CV997" s="265"/>
      <c r="CW997" s="265"/>
      <c r="CY997" s="11"/>
      <c r="DA997" s="12"/>
      <c r="DB997" s="13"/>
      <c r="DC997" s="14"/>
      <c r="DD997" s="265"/>
      <c r="DE997" s="265"/>
      <c r="DF997" s="265"/>
      <c r="DH997" s="15"/>
      <c r="DM997" s="4"/>
    </row>
    <row r="998" spans="2:117" ht="15" customHeight="1">
      <c r="B998" s="10"/>
      <c r="C998" s="17"/>
      <c r="E998" s="25"/>
      <c r="F998" s="35"/>
      <c r="J998" s="20"/>
      <c r="K998" s="1024"/>
      <c r="L998" s="1025"/>
      <c r="M998" s="1026"/>
      <c r="N998" s="1026"/>
      <c r="O998" s="265"/>
      <c r="P998" s="265"/>
      <c r="T998" s="265"/>
      <c r="U998" s="265"/>
      <c r="V998" s="265"/>
      <c r="X998" s="1026"/>
      <c r="Y998" s="265"/>
      <c r="Z998" s="265"/>
      <c r="AA998" s="265"/>
      <c r="AD998" s="4"/>
      <c r="AE998" s="1026"/>
      <c r="AF998" s="265"/>
      <c r="AU998" s="265"/>
      <c r="AV998" s="265"/>
      <c r="AW998" s="265"/>
      <c r="AX998" s="265"/>
      <c r="AY998" s="265"/>
      <c r="AZ998" s="265"/>
      <c r="BA998" s="265"/>
      <c r="BB998" s="265"/>
      <c r="BC998" s="265"/>
      <c r="BD998" s="265"/>
      <c r="BE998" s="265"/>
      <c r="BF998" s="265"/>
      <c r="BG998" s="265"/>
      <c r="BM998" s="6"/>
      <c r="BN998" s="6"/>
      <c r="BO998" s="6"/>
      <c r="BP998" s="1028"/>
      <c r="BT998" s="6"/>
      <c r="BU998" s="6"/>
      <c r="BV998" s="6"/>
      <c r="BW998" s="1029"/>
      <c r="BX998" s="1028"/>
      <c r="CB998" s="6"/>
      <c r="CC998" s="6"/>
      <c r="CD998" s="6"/>
      <c r="CE998" s="1029"/>
      <c r="CJ998" s="11"/>
      <c r="CM998" s="11"/>
      <c r="CU998" s="17"/>
      <c r="CV998" s="265"/>
      <c r="CW998" s="265"/>
      <c r="CY998" s="11"/>
      <c r="DA998" s="12"/>
      <c r="DB998" s="13"/>
      <c r="DC998" s="14"/>
      <c r="DD998" s="265"/>
      <c r="DE998" s="265"/>
      <c r="DF998" s="265"/>
      <c r="DH998" s="15"/>
      <c r="DM998" s="4"/>
    </row>
    <row r="999" spans="2:117" ht="15" customHeight="1">
      <c r="B999" s="10"/>
      <c r="C999" s="17"/>
      <c r="E999" s="25"/>
      <c r="F999" s="35"/>
      <c r="J999" s="20"/>
      <c r="K999" s="1024"/>
      <c r="L999" s="1025"/>
      <c r="M999" s="1026"/>
      <c r="N999" s="1026"/>
      <c r="O999" s="265"/>
      <c r="P999" s="265"/>
      <c r="T999" s="265"/>
      <c r="U999" s="265"/>
      <c r="V999" s="265"/>
      <c r="X999" s="1026"/>
      <c r="Y999" s="265"/>
      <c r="Z999" s="265"/>
      <c r="AA999" s="265"/>
      <c r="AD999" s="4"/>
      <c r="AE999" s="1026"/>
      <c r="AF999" s="265"/>
      <c r="AU999" s="265"/>
      <c r="AV999" s="265"/>
      <c r="AW999" s="265"/>
      <c r="AX999" s="265"/>
      <c r="AY999" s="265"/>
      <c r="AZ999" s="265"/>
      <c r="BA999" s="265"/>
      <c r="BB999" s="265"/>
      <c r="BC999" s="265"/>
      <c r="BD999" s="265"/>
      <c r="BE999" s="265"/>
      <c r="BF999" s="265"/>
      <c r="BG999" s="265"/>
      <c r="BM999" s="6"/>
      <c r="BN999" s="6"/>
      <c r="BO999" s="6"/>
      <c r="BP999" s="1028"/>
      <c r="BT999" s="6"/>
      <c r="BU999" s="6"/>
      <c r="BV999" s="6"/>
      <c r="BW999" s="1029"/>
      <c r="BX999" s="1028"/>
      <c r="CB999" s="6"/>
      <c r="CC999" s="6"/>
      <c r="CD999" s="6"/>
      <c r="CE999" s="1029"/>
      <c r="CJ999" s="11"/>
      <c r="CM999" s="11"/>
      <c r="CU999" s="17"/>
      <c r="CV999" s="265"/>
      <c r="CW999" s="265"/>
      <c r="CY999" s="11"/>
      <c r="DA999" s="12"/>
      <c r="DB999" s="13"/>
      <c r="DC999" s="14"/>
      <c r="DD999" s="265"/>
      <c r="DE999" s="265"/>
      <c r="DF999" s="265"/>
      <c r="DH999" s="15"/>
      <c r="DM999" s="4"/>
    </row>
    <row r="1000" spans="2:117" ht="15" customHeight="1">
      <c r="B1000" s="10"/>
      <c r="C1000" s="17"/>
      <c r="E1000" s="25"/>
      <c r="F1000" s="35"/>
      <c r="J1000" s="20"/>
      <c r="K1000" s="1024"/>
      <c r="L1000" s="1025"/>
      <c r="M1000" s="1026"/>
      <c r="N1000" s="1026"/>
      <c r="O1000" s="265"/>
      <c r="P1000" s="265"/>
      <c r="T1000" s="265"/>
      <c r="U1000" s="265"/>
      <c r="V1000" s="265"/>
      <c r="X1000" s="1026"/>
      <c r="Y1000" s="265"/>
      <c r="Z1000" s="265"/>
      <c r="AA1000" s="265"/>
      <c r="AD1000" s="4"/>
      <c r="AE1000" s="1026"/>
      <c r="AF1000" s="265"/>
      <c r="AU1000" s="265"/>
      <c r="AV1000" s="265"/>
      <c r="AW1000" s="265"/>
      <c r="AX1000" s="265"/>
      <c r="AY1000" s="265"/>
      <c r="AZ1000" s="265"/>
      <c r="BA1000" s="265"/>
      <c r="BB1000" s="265"/>
      <c r="BC1000" s="265"/>
      <c r="BD1000" s="265"/>
      <c r="BE1000" s="265"/>
      <c r="BF1000" s="265"/>
      <c r="BG1000" s="265"/>
      <c r="BM1000" s="6"/>
      <c r="BN1000" s="6"/>
      <c r="BO1000" s="6"/>
      <c r="BP1000" s="1028"/>
      <c r="BT1000" s="6"/>
      <c r="BU1000" s="6"/>
      <c r="BV1000" s="6"/>
      <c r="BW1000" s="1029"/>
      <c r="BX1000" s="1028"/>
      <c r="CB1000" s="6"/>
      <c r="CC1000" s="6"/>
      <c r="CD1000" s="6"/>
      <c r="CE1000" s="1029"/>
      <c r="CJ1000" s="11"/>
      <c r="CM1000" s="11"/>
      <c r="CU1000" s="17"/>
      <c r="CV1000" s="265"/>
      <c r="CW1000" s="265"/>
      <c r="CY1000" s="11"/>
      <c r="DA1000" s="12"/>
      <c r="DB1000" s="13"/>
      <c r="DC1000" s="14"/>
      <c r="DD1000" s="265"/>
      <c r="DE1000" s="265"/>
      <c r="DF1000" s="265"/>
      <c r="DH1000" s="15"/>
      <c r="DM1000" s="4"/>
    </row>
    <row r="1001" spans="2:117" ht="15" customHeight="1">
      <c r="B1001" s="10"/>
      <c r="C1001" s="17"/>
      <c r="E1001" s="25"/>
      <c r="F1001" s="35"/>
      <c r="J1001" s="20"/>
      <c r="K1001" s="1024"/>
      <c r="L1001" s="1025"/>
      <c r="M1001" s="1026"/>
      <c r="N1001" s="1026"/>
      <c r="O1001" s="265"/>
      <c r="P1001" s="265"/>
      <c r="T1001" s="265"/>
      <c r="U1001" s="265"/>
      <c r="V1001" s="265"/>
      <c r="X1001" s="1026"/>
      <c r="Y1001" s="265"/>
      <c r="Z1001" s="265"/>
      <c r="AA1001" s="265"/>
      <c r="AD1001" s="4"/>
      <c r="AE1001" s="1026"/>
      <c r="AF1001" s="265"/>
      <c r="AU1001" s="265"/>
      <c r="AV1001" s="265"/>
      <c r="AW1001" s="265"/>
      <c r="AX1001" s="265"/>
      <c r="AY1001" s="265"/>
      <c r="AZ1001" s="265"/>
      <c r="BA1001" s="265"/>
      <c r="BB1001" s="265"/>
      <c r="BC1001" s="265"/>
      <c r="BD1001" s="265"/>
      <c r="BE1001" s="265"/>
      <c r="BF1001" s="265"/>
      <c r="BG1001" s="265"/>
      <c r="BM1001" s="6"/>
      <c r="BN1001" s="6"/>
      <c r="BO1001" s="6"/>
      <c r="BP1001" s="1028"/>
      <c r="BT1001" s="6"/>
      <c r="BU1001" s="6"/>
      <c r="BV1001" s="6"/>
      <c r="BW1001" s="1029"/>
      <c r="BX1001" s="1028"/>
      <c r="CB1001" s="6"/>
      <c r="CC1001" s="6"/>
      <c r="CD1001" s="6"/>
      <c r="CE1001" s="1029"/>
      <c r="CJ1001" s="11"/>
      <c r="CM1001" s="11"/>
      <c r="CU1001" s="17"/>
      <c r="CV1001" s="265"/>
      <c r="CW1001" s="265"/>
      <c r="CY1001" s="11"/>
      <c r="DA1001" s="12"/>
      <c r="DB1001" s="13"/>
      <c r="DC1001" s="14"/>
      <c r="DD1001" s="265"/>
      <c r="DE1001" s="265"/>
      <c r="DF1001" s="265"/>
      <c r="DH1001" s="15"/>
      <c r="DM1001" s="4"/>
    </row>
    <row r="1002" spans="2:117" ht="15" customHeight="1">
      <c r="B1002" s="10"/>
      <c r="C1002" s="17"/>
      <c r="E1002" s="25"/>
      <c r="F1002" s="35"/>
      <c r="J1002" s="20"/>
      <c r="K1002" s="1024"/>
      <c r="L1002" s="1025"/>
      <c r="M1002" s="1026"/>
      <c r="N1002" s="1026"/>
      <c r="O1002" s="265"/>
      <c r="P1002" s="265"/>
      <c r="T1002" s="265"/>
      <c r="U1002" s="265"/>
      <c r="V1002" s="265"/>
      <c r="X1002" s="1026"/>
      <c r="Y1002" s="265"/>
      <c r="Z1002" s="265"/>
      <c r="AA1002" s="265"/>
      <c r="AD1002" s="4"/>
      <c r="AE1002" s="1026"/>
      <c r="AF1002" s="265"/>
      <c r="AU1002" s="265"/>
      <c r="AV1002" s="265"/>
      <c r="AW1002" s="265"/>
      <c r="AX1002" s="265"/>
      <c r="AY1002" s="265"/>
      <c r="AZ1002" s="265"/>
      <c r="BA1002" s="265"/>
      <c r="BB1002" s="265"/>
      <c r="BC1002" s="265"/>
      <c r="BD1002" s="265"/>
      <c r="BE1002" s="265"/>
      <c r="BF1002" s="265"/>
      <c r="BG1002" s="265"/>
      <c r="BM1002" s="6"/>
      <c r="BN1002" s="6"/>
      <c r="BO1002" s="6"/>
      <c r="BP1002" s="1028"/>
      <c r="BT1002" s="6"/>
      <c r="BU1002" s="6"/>
      <c r="BV1002" s="6"/>
      <c r="BW1002" s="1029"/>
      <c r="BX1002" s="1028"/>
      <c r="CB1002" s="6"/>
      <c r="CC1002" s="6"/>
      <c r="CD1002" s="6"/>
      <c r="CE1002" s="1029"/>
      <c r="CJ1002" s="11"/>
      <c r="CM1002" s="11"/>
      <c r="CU1002" s="17"/>
      <c r="CV1002" s="265"/>
      <c r="CW1002" s="265"/>
      <c r="CY1002" s="11"/>
      <c r="DA1002" s="12"/>
      <c r="DB1002" s="13"/>
      <c r="DC1002" s="14"/>
      <c r="DD1002" s="265"/>
      <c r="DE1002" s="265"/>
      <c r="DF1002" s="265"/>
      <c r="DH1002" s="15"/>
      <c r="DM1002" s="4"/>
    </row>
    <row r="1003" spans="2:117" ht="15" customHeight="1">
      <c r="B1003" s="10"/>
      <c r="C1003" s="17"/>
      <c r="E1003" s="25"/>
      <c r="F1003" s="35"/>
      <c r="J1003" s="20"/>
      <c r="K1003" s="1024"/>
      <c r="L1003" s="1025"/>
      <c r="M1003" s="1026"/>
      <c r="N1003" s="1026"/>
      <c r="O1003" s="265"/>
      <c r="P1003" s="265"/>
      <c r="T1003" s="265"/>
      <c r="U1003" s="265"/>
      <c r="V1003" s="265"/>
      <c r="X1003" s="1026"/>
      <c r="Y1003" s="265"/>
      <c r="Z1003" s="265"/>
      <c r="AA1003" s="265"/>
      <c r="AD1003" s="4"/>
      <c r="AE1003" s="1026"/>
      <c r="AF1003" s="265"/>
      <c r="AU1003" s="265"/>
      <c r="AV1003" s="265"/>
      <c r="AW1003" s="265"/>
      <c r="AX1003" s="265"/>
      <c r="AY1003" s="265"/>
      <c r="AZ1003" s="265"/>
      <c r="BA1003" s="265"/>
      <c r="BB1003" s="265"/>
      <c r="BC1003" s="265"/>
      <c r="BD1003" s="265"/>
      <c r="BE1003" s="265"/>
      <c r="BF1003" s="265"/>
      <c r="BG1003" s="265"/>
      <c r="BM1003" s="6"/>
      <c r="BN1003" s="6"/>
      <c r="BO1003" s="6"/>
      <c r="BP1003" s="1028"/>
      <c r="BT1003" s="6"/>
      <c r="BU1003" s="6"/>
      <c r="BV1003" s="6"/>
      <c r="BW1003" s="1029"/>
      <c r="BX1003" s="1028"/>
      <c r="CB1003" s="6"/>
      <c r="CC1003" s="6"/>
      <c r="CD1003" s="6"/>
      <c r="CE1003" s="1029"/>
      <c r="CJ1003" s="11"/>
      <c r="CM1003" s="11"/>
      <c r="CU1003" s="17"/>
      <c r="CV1003" s="265"/>
      <c r="CW1003" s="265"/>
      <c r="CY1003" s="11"/>
      <c r="DA1003" s="12"/>
      <c r="DB1003" s="13"/>
      <c r="DC1003" s="14"/>
      <c r="DD1003" s="265"/>
      <c r="DE1003" s="265"/>
      <c r="DF1003" s="265"/>
      <c r="DH1003" s="15"/>
      <c r="DM1003" s="4"/>
    </row>
    <row r="1004" spans="2:117" ht="15" customHeight="1">
      <c r="B1004" s="10"/>
      <c r="C1004" s="17"/>
      <c r="E1004" s="25"/>
      <c r="F1004" s="35"/>
      <c r="J1004" s="20"/>
      <c r="K1004" s="1024"/>
      <c r="L1004" s="1025"/>
      <c r="M1004" s="1026"/>
      <c r="N1004" s="1026"/>
      <c r="O1004" s="265"/>
      <c r="P1004" s="265"/>
      <c r="T1004" s="265"/>
      <c r="U1004" s="265"/>
      <c r="V1004" s="265"/>
      <c r="X1004" s="1026"/>
      <c r="Y1004" s="265"/>
      <c r="Z1004" s="265"/>
      <c r="AA1004" s="265"/>
      <c r="AD1004" s="4"/>
      <c r="AE1004" s="1026"/>
      <c r="AF1004" s="265"/>
      <c r="AU1004" s="265"/>
      <c r="AV1004" s="265"/>
      <c r="AW1004" s="265"/>
      <c r="AX1004" s="265"/>
      <c r="AY1004" s="265"/>
      <c r="AZ1004" s="265"/>
      <c r="BA1004" s="265"/>
      <c r="BB1004" s="265"/>
      <c r="BC1004" s="265"/>
      <c r="BD1004" s="265"/>
      <c r="BE1004" s="265"/>
      <c r="BF1004" s="265"/>
      <c r="BG1004" s="265"/>
      <c r="BM1004" s="6"/>
      <c r="BN1004" s="6"/>
      <c r="BO1004" s="6"/>
      <c r="BP1004" s="1028"/>
      <c r="BT1004" s="6"/>
      <c r="BU1004" s="6"/>
      <c r="BV1004" s="6"/>
      <c r="BW1004" s="1029"/>
      <c r="BX1004" s="1028"/>
      <c r="CB1004" s="6"/>
      <c r="CC1004" s="6"/>
      <c r="CD1004" s="6"/>
      <c r="CE1004" s="1029"/>
      <c r="CJ1004" s="11"/>
      <c r="CM1004" s="11"/>
      <c r="CU1004" s="17"/>
      <c r="CV1004" s="265"/>
      <c r="CW1004" s="265"/>
      <c r="CY1004" s="11"/>
      <c r="DA1004" s="12"/>
      <c r="DB1004" s="13"/>
      <c r="DC1004" s="14"/>
      <c r="DD1004" s="265"/>
      <c r="DE1004" s="265"/>
      <c r="DF1004" s="265"/>
      <c r="DH1004" s="15"/>
      <c r="DM1004" s="4"/>
    </row>
    <row r="1005" spans="2:117" ht="15" customHeight="1">
      <c r="B1005" s="10"/>
      <c r="C1005" s="17"/>
      <c r="E1005" s="25"/>
      <c r="F1005" s="35"/>
      <c r="J1005" s="20"/>
      <c r="K1005" s="1024"/>
      <c r="L1005" s="1025"/>
      <c r="M1005" s="1026"/>
      <c r="N1005" s="1026"/>
      <c r="O1005" s="265"/>
      <c r="P1005" s="265"/>
      <c r="T1005" s="265"/>
      <c r="U1005" s="265"/>
      <c r="V1005" s="265"/>
      <c r="X1005" s="1026"/>
      <c r="Y1005" s="265"/>
      <c r="Z1005" s="265"/>
      <c r="AA1005" s="265"/>
      <c r="AD1005" s="4"/>
      <c r="AE1005" s="1026"/>
      <c r="AF1005" s="265"/>
      <c r="AU1005" s="265"/>
      <c r="AV1005" s="265"/>
      <c r="AW1005" s="265"/>
      <c r="AX1005" s="265"/>
      <c r="AY1005" s="265"/>
      <c r="AZ1005" s="265"/>
      <c r="BA1005" s="265"/>
      <c r="BB1005" s="265"/>
      <c r="BC1005" s="265"/>
      <c r="BD1005" s="265"/>
      <c r="BE1005" s="265"/>
      <c r="BF1005" s="265"/>
      <c r="BG1005" s="265"/>
      <c r="BM1005" s="6"/>
      <c r="BN1005" s="6"/>
      <c r="BO1005" s="6"/>
      <c r="BP1005" s="1028"/>
      <c r="BT1005" s="6"/>
      <c r="BU1005" s="6"/>
      <c r="BV1005" s="6"/>
      <c r="BW1005" s="1029"/>
      <c r="BX1005" s="1028"/>
      <c r="CB1005" s="6"/>
      <c r="CC1005" s="6"/>
      <c r="CD1005" s="6"/>
      <c r="CE1005" s="1029"/>
      <c r="CJ1005" s="11"/>
      <c r="CM1005" s="11"/>
      <c r="CU1005" s="17"/>
      <c r="CV1005" s="265"/>
      <c r="CW1005" s="265"/>
      <c r="CY1005" s="11"/>
      <c r="DA1005" s="12"/>
      <c r="DB1005" s="13"/>
      <c r="DC1005" s="14"/>
      <c r="DD1005" s="265"/>
      <c r="DE1005" s="265"/>
      <c r="DF1005" s="265"/>
      <c r="DH1005" s="15"/>
      <c r="DM1005" s="4"/>
    </row>
    <row r="1006" spans="2:117" ht="15" customHeight="1">
      <c r="B1006" s="10"/>
      <c r="C1006" s="17"/>
      <c r="E1006" s="25"/>
      <c r="F1006" s="35"/>
      <c r="J1006" s="20"/>
      <c r="K1006" s="1024"/>
      <c r="L1006" s="1025"/>
      <c r="M1006" s="1026"/>
      <c r="N1006" s="1026"/>
      <c r="O1006" s="265"/>
      <c r="P1006" s="265"/>
      <c r="T1006" s="265"/>
      <c r="U1006" s="265"/>
      <c r="V1006" s="265"/>
      <c r="X1006" s="1026"/>
      <c r="Y1006" s="265"/>
      <c r="Z1006" s="265"/>
      <c r="AA1006" s="265"/>
      <c r="AD1006" s="4"/>
      <c r="AE1006" s="1026"/>
      <c r="AF1006" s="265"/>
      <c r="AU1006" s="265"/>
      <c r="AV1006" s="265"/>
      <c r="AW1006" s="265"/>
      <c r="AX1006" s="265"/>
      <c r="AY1006" s="265"/>
      <c r="AZ1006" s="265"/>
      <c r="BA1006" s="265"/>
      <c r="BB1006" s="265"/>
      <c r="BC1006" s="265"/>
      <c r="BD1006" s="265"/>
      <c r="BE1006" s="265"/>
      <c r="BF1006" s="265"/>
      <c r="BG1006" s="265"/>
      <c r="BM1006" s="6"/>
      <c r="BN1006" s="6"/>
      <c r="BO1006" s="6"/>
      <c r="BP1006" s="1028"/>
      <c r="BT1006" s="6"/>
      <c r="BU1006" s="6"/>
      <c r="BV1006" s="6"/>
      <c r="BW1006" s="1029"/>
      <c r="BX1006" s="1028"/>
      <c r="CB1006" s="6"/>
      <c r="CC1006" s="6"/>
      <c r="CD1006" s="6"/>
      <c r="CE1006" s="1029"/>
      <c r="CJ1006" s="11"/>
      <c r="CM1006" s="11"/>
      <c r="CU1006" s="17"/>
      <c r="CV1006" s="265"/>
      <c r="CW1006" s="265"/>
      <c r="CY1006" s="11"/>
      <c r="DA1006" s="12"/>
      <c r="DB1006" s="13"/>
      <c r="DC1006" s="14"/>
      <c r="DD1006" s="265"/>
      <c r="DE1006" s="265"/>
      <c r="DF1006" s="265"/>
      <c r="DH1006" s="15"/>
      <c r="DM1006" s="4"/>
    </row>
    <row r="1007" spans="2:117" ht="15" customHeight="1">
      <c r="B1007" s="10"/>
      <c r="C1007" s="17"/>
      <c r="E1007" s="25"/>
      <c r="F1007" s="35"/>
      <c r="J1007" s="20"/>
      <c r="K1007" s="1024"/>
      <c r="L1007" s="1025"/>
      <c r="M1007" s="1026"/>
      <c r="N1007" s="1026"/>
      <c r="O1007" s="265"/>
      <c r="P1007" s="265"/>
      <c r="T1007" s="265"/>
      <c r="U1007" s="265"/>
      <c r="V1007" s="265"/>
      <c r="X1007" s="1026"/>
      <c r="Y1007" s="265"/>
      <c r="Z1007" s="265"/>
      <c r="AA1007" s="265"/>
      <c r="AD1007" s="4"/>
      <c r="AE1007" s="1026"/>
      <c r="AF1007" s="265"/>
      <c r="AU1007" s="265"/>
      <c r="AV1007" s="265"/>
      <c r="AW1007" s="265"/>
      <c r="AX1007" s="265"/>
      <c r="AY1007" s="265"/>
      <c r="AZ1007" s="265"/>
      <c r="BA1007" s="265"/>
      <c r="BB1007" s="265"/>
      <c r="BC1007" s="265"/>
      <c r="BD1007" s="265"/>
      <c r="BE1007" s="265"/>
      <c r="BF1007" s="265"/>
      <c r="BG1007" s="265"/>
      <c r="BM1007" s="6"/>
      <c r="BN1007" s="6"/>
      <c r="BO1007" s="6"/>
      <c r="BP1007" s="1028"/>
      <c r="BT1007" s="6"/>
      <c r="BU1007" s="6"/>
      <c r="BV1007" s="6"/>
      <c r="BW1007" s="1029"/>
      <c r="BX1007" s="1028"/>
      <c r="CB1007" s="6"/>
      <c r="CC1007" s="6"/>
      <c r="CD1007" s="6"/>
      <c r="CE1007" s="1029"/>
      <c r="CJ1007" s="11"/>
      <c r="CM1007" s="11"/>
      <c r="CU1007" s="17"/>
      <c r="CV1007" s="265"/>
      <c r="CW1007" s="265"/>
      <c r="CY1007" s="11"/>
      <c r="DA1007" s="12"/>
      <c r="DB1007" s="13"/>
      <c r="DC1007" s="14"/>
      <c r="DD1007" s="265"/>
      <c r="DE1007" s="265"/>
      <c r="DF1007" s="265"/>
      <c r="DH1007" s="15"/>
      <c r="DM1007" s="4"/>
    </row>
    <row r="1008" spans="2:117" ht="15" customHeight="1">
      <c r="B1008" s="10"/>
      <c r="C1008" s="17"/>
      <c r="E1008" s="25"/>
      <c r="F1008" s="35"/>
      <c r="J1008" s="20"/>
      <c r="K1008" s="1024"/>
      <c r="L1008" s="1025"/>
      <c r="M1008" s="1026"/>
      <c r="N1008" s="1026"/>
      <c r="O1008" s="265"/>
      <c r="P1008" s="265"/>
      <c r="T1008" s="265"/>
      <c r="U1008" s="265"/>
      <c r="V1008" s="265"/>
      <c r="X1008" s="1026"/>
      <c r="Y1008" s="265"/>
      <c r="Z1008" s="265"/>
      <c r="AA1008" s="265"/>
      <c r="AD1008" s="4"/>
      <c r="AE1008" s="1026"/>
      <c r="AF1008" s="265"/>
      <c r="AU1008" s="265"/>
      <c r="AV1008" s="265"/>
      <c r="AW1008" s="265"/>
      <c r="AX1008" s="265"/>
      <c r="AY1008" s="265"/>
      <c r="AZ1008" s="265"/>
      <c r="BA1008" s="265"/>
      <c r="BB1008" s="265"/>
      <c r="BC1008" s="265"/>
      <c r="BD1008" s="265"/>
      <c r="BE1008" s="265"/>
      <c r="BF1008" s="265"/>
      <c r="BG1008" s="265"/>
      <c r="BM1008" s="6"/>
      <c r="BN1008" s="6"/>
      <c r="BO1008" s="6"/>
      <c r="BP1008" s="1028"/>
      <c r="BT1008" s="6"/>
      <c r="BU1008" s="6"/>
      <c r="BV1008" s="6"/>
      <c r="BW1008" s="1029"/>
      <c r="BX1008" s="1028"/>
      <c r="CB1008" s="6"/>
      <c r="CC1008" s="6"/>
      <c r="CD1008" s="6"/>
      <c r="CE1008" s="1029"/>
      <c r="CJ1008" s="11"/>
      <c r="CM1008" s="11"/>
      <c r="CU1008" s="17"/>
      <c r="CV1008" s="265"/>
      <c r="CW1008" s="265"/>
      <c r="CY1008" s="11"/>
      <c r="DA1008" s="12"/>
      <c r="DB1008" s="13"/>
      <c r="DC1008" s="14"/>
      <c r="DD1008" s="265"/>
      <c r="DE1008" s="265"/>
      <c r="DF1008" s="265"/>
      <c r="DH1008" s="15"/>
      <c r="DM1008" s="4"/>
    </row>
    <row r="1009" spans="2:117" ht="15" customHeight="1">
      <c r="B1009" s="10"/>
      <c r="C1009" s="17"/>
      <c r="E1009" s="25"/>
      <c r="F1009" s="35"/>
      <c r="J1009" s="20"/>
      <c r="K1009" s="1024"/>
      <c r="L1009" s="1025"/>
      <c r="M1009" s="1026"/>
      <c r="N1009" s="1026"/>
      <c r="O1009" s="265"/>
      <c r="P1009" s="265"/>
      <c r="T1009" s="265"/>
      <c r="U1009" s="265"/>
      <c r="V1009" s="265"/>
      <c r="X1009" s="1026"/>
      <c r="Y1009" s="265"/>
      <c r="Z1009" s="265"/>
      <c r="AA1009" s="265"/>
      <c r="AD1009" s="4"/>
      <c r="AE1009" s="1026"/>
      <c r="AF1009" s="265"/>
      <c r="AU1009" s="265"/>
      <c r="AV1009" s="265"/>
      <c r="AW1009" s="265"/>
      <c r="AX1009" s="265"/>
      <c r="AY1009" s="265"/>
      <c r="AZ1009" s="265"/>
      <c r="BA1009" s="265"/>
      <c r="BB1009" s="265"/>
      <c r="BC1009" s="265"/>
      <c r="BD1009" s="265"/>
      <c r="BE1009" s="265"/>
      <c r="BF1009" s="265"/>
      <c r="BG1009" s="265"/>
      <c r="BM1009" s="6"/>
      <c r="BN1009" s="6"/>
      <c r="BO1009" s="6"/>
      <c r="BP1009" s="1028"/>
      <c r="BT1009" s="6"/>
      <c r="BU1009" s="6"/>
      <c r="BV1009" s="6"/>
      <c r="BW1009" s="1029"/>
      <c r="BX1009" s="1028"/>
      <c r="CB1009" s="6"/>
      <c r="CC1009" s="6"/>
      <c r="CD1009" s="6"/>
      <c r="CE1009" s="1029"/>
      <c r="CJ1009" s="11"/>
      <c r="CM1009" s="11"/>
      <c r="CU1009" s="17"/>
      <c r="CV1009" s="265"/>
      <c r="CW1009" s="265"/>
      <c r="CY1009" s="11"/>
      <c r="DA1009" s="12"/>
      <c r="DB1009" s="13"/>
      <c r="DC1009" s="14"/>
      <c r="DD1009" s="265"/>
      <c r="DE1009" s="265"/>
      <c r="DF1009" s="265"/>
      <c r="DH1009" s="15"/>
      <c r="DM1009" s="4"/>
    </row>
    <row r="1010" spans="2:117" ht="15" customHeight="1">
      <c r="B1010" s="10"/>
      <c r="C1010" s="17"/>
      <c r="E1010" s="25"/>
      <c r="F1010" s="35"/>
      <c r="J1010" s="20"/>
      <c r="K1010" s="1024"/>
      <c r="L1010" s="1025"/>
      <c r="M1010" s="1026"/>
      <c r="N1010" s="1026"/>
      <c r="O1010" s="265"/>
      <c r="P1010" s="265"/>
      <c r="T1010" s="265"/>
      <c r="U1010" s="265"/>
      <c r="V1010" s="265"/>
      <c r="X1010" s="1026"/>
      <c r="Y1010" s="265"/>
      <c r="Z1010" s="265"/>
      <c r="AA1010" s="265"/>
      <c r="AD1010" s="4"/>
      <c r="AE1010" s="1026"/>
      <c r="AF1010" s="265"/>
      <c r="AU1010" s="265"/>
      <c r="AV1010" s="265"/>
      <c r="AW1010" s="265"/>
      <c r="AX1010" s="265"/>
      <c r="AY1010" s="265"/>
      <c r="AZ1010" s="265"/>
      <c r="BA1010" s="265"/>
      <c r="BB1010" s="265"/>
      <c r="BC1010" s="265"/>
      <c r="BD1010" s="265"/>
      <c r="BE1010" s="265"/>
      <c r="BF1010" s="265"/>
      <c r="BG1010" s="265"/>
      <c r="BM1010" s="6"/>
      <c r="BN1010" s="6"/>
      <c r="BO1010" s="6"/>
      <c r="BP1010" s="1028"/>
      <c r="BT1010" s="6"/>
      <c r="BU1010" s="6"/>
      <c r="BV1010" s="6"/>
      <c r="BW1010" s="1029"/>
      <c r="BX1010" s="1028"/>
      <c r="CB1010" s="6"/>
      <c r="CC1010" s="6"/>
      <c r="CD1010" s="6"/>
      <c r="CE1010" s="1029"/>
      <c r="CJ1010" s="11"/>
      <c r="CM1010" s="11"/>
      <c r="CU1010" s="17"/>
      <c r="CV1010" s="265"/>
      <c r="CW1010" s="265"/>
      <c r="CY1010" s="11"/>
      <c r="DA1010" s="12"/>
      <c r="DB1010" s="13"/>
      <c r="DC1010" s="14"/>
      <c r="DD1010" s="265"/>
      <c r="DE1010" s="265"/>
      <c r="DF1010" s="265"/>
      <c r="DH1010" s="15"/>
      <c r="DM1010" s="4"/>
    </row>
    <row r="1011" spans="2:117" ht="15" customHeight="1">
      <c r="B1011" s="10"/>
      <c r="C1011" s="17"/>
      <c r="E1011" s="25"/>
      <c r="F1011" s="35"/>
      <c r="J1011" s="20"/>
      <c r="K1011" s="1024"/>
      <c r="L1011" s="1025"/>
      <c r="M1011" s="1026"/>
      <c r="N1011" s="1026"/>
      <c r="O1011" s="265"/>
      <c r="P1011" s="265"/>
      <c r="T1011" s="265"/>
      <c r="U1011" s="265"/>
      <c r="V1011" s="265"/>
      <c r="X1011" s="1026"/>
      <c r="Y1011" s="265"/>
      <c r="Z1011" s="265"/>
      <c r="AA1011" s="265"/>
      <c r="AD1011" s="4"/>
      <c r="AE1011" s="1026"/>
      <c r="AF1011" s="265"/>
      <c r="AU1011" s="265"/>
      <c r="AV1011" s="265"/>
      <c r="AW1011" s="265"/>
      <c r="AX1011" s="265"/>
      <c r="AY1011" s="265"/>
      <c r="AZ1011" s="265"/>
      <c r="BA1011" s="265"/>
      <c r="BB1011" s="265"/>
      <c r="BC1011" s="265"/>
      <c r="BD1011" s="265"/>
      <c r="BE1011" s="265"/>
      <c r="BF1011" s="265"/>
      <c r="BG1011" s="265"/>
      <c r="BM1011" s="6"/>
      <c r="BN1011" s="6"/>
      <c r="BO1011" s="6"/>
      <c r="BP1011" s="1028"/>
      <c r="BT1011" s="6"/>
      <c r="BU1011" s="6"/>
      <c r="BV1011" s="6"/>
      <c r="BW1011" s="1029"/>
      <c r="BX1011" s="1028"/>
      <c r="CB1011" s="6"/>
      <c r="CC1011" s="6"/>
      <c r="CD1011" s="6"/>
      <c r="CE1011" s="1029"/>
      <c r="CJ1011" s="11"/>
      <c r="CM1011" s="11"/>
      <c r="CU1011" s="17"/>
      <c r="CV1011" s="265"/>
      <c r="CW1011" s="265"/>
      <c r="CY1011" s="11"/>
      <c r="DA1011" s="12"/>
      <c r="DB1011" s="13"/>
      <c r="DC1011" s="14"/>
      <c r="DD1011" s="265"/>
      <c r="DE1011" s="265"/>
      <c r="DF1011" s="265"/>
      <c r="DH1011" s="15"/>
      <c r="DM1011" s="4"/>
    </row>
    <row r="1012" spans="2:117" ht="15" customHeight="1">
      <c r="B1012" s="10"/>
      <c r="C1012" s="17"/>
      <c r="E1012" s="25"/>
      <c r="F1012" s="35"/>
      <c r="J1012" s="20"/>
      <c r="K1012" s="1024"/>
      <c r="L1012" s="1025"/>
      <c r="M1012" s="1026"/>
      <c r="N1012" s="1026"/>
      <c r="O1012" s="265"/>
      <c r="P1012" s="265"/>
      <c r="T1012" s="265"/>
      <c r="U1012" s="265"/>
      <c r="V1012" s="265"/>
      <c r="X1012" s="1026"/>
      <c r="Y1012" s="265"/>
      <c r="Z1012" s="265"/>
      <c r="AA1012" s="265"/>
      <c r="AD1012" s="4"/>
      <c r="AE1012" s="1026"/>
      <c r="AF1012" s="265"/>
      <c r="AU1012" s="265"/>
      <c r="AV1012" s="265"/>
      <c r="AW1012" s="265"/>
      <c r="AX1012" s="265"/>
      <c r="AY1012" s="265"/>
      <c r="AZ1012" s="265"/>
      <c r="BA1012" s="265"/>
      <c r="BB1012" s="265"/>
      <c r="BC1012" s="265"/>
      <c r="BD1012" s="265"/>
      <c r="BE1012" s="265"/>
      <c r="BF1012" s="265"/>
      <c r="BG1012" s="265"/>
      <c r="BM1012" s="6"/>
      <c r="BN1012" s="6"/>
      <c r="BO1012" s="6"/>
      <c r="BP1012" s="1028"/>
      <c r="BT1012" s="6"/>
      <c r="BU1012" s="6"/>
      <c r="BV1012" s="6"/>
      <c r="BW1012" s="1029"/>
      <c r="BX1012" s="1028"/>
      <c r="CB1012" s="6"/>
      <c r="CC1012" s="6"/>
      <c r="CD1012" s="6"/>
      <c r="CE1012" s="1029"/>
      <c r="CJ1012" s="11"/>
      <c r="CM1012" s="11"/>
      <c r="CU1012" s="17"/>
      <c r="CV1012" s="265"/>
      <c r="CW1012" s="265"/>
      <c r="CY1012" s="11"/>
      <c r="DA1012" s="12"/>
      <c r="DB1012" s="13"/>
      <c r="DC1012" s="14"/>
      <c r="DD1012" s="265"/>
      <c r="DE1012" s="265"/>
      <c r="DF1012" s="265"/>
      <c r="DH1012" s="15"/>
      <c r="DM1012" s="4"/>
    </row>
    <row r="1013" spans="2:117" ht="15" customHeight="1">
      <c r="B1013" s="10"/>
      <c r="C1013" s="17"/>
      <c r="E1013" s="25"/>
      <c r="F1013" s="35"/>
      <c r="J1013" s="20"/>
      <c r="K1013" s="1024"/>
      <c r="L1013" s="1025"/>
      <c r="M1013" s="1026"/>
      <c r="N1013" s="1026"/>
      <c r="O1013" s="265"/>
      <c r="P1013" s="265"/>
      <c r="T1013" s="265"/>
      <c r="U1013" s="265"/>
      <c r="V1013" s="265"/>
      <c r="X1013" s="1026"/>
      <c r="Y1013" s="265"/>
      <c r="Z1013" s="265"/>
      <c r="AA1013" s="265"/>
      <c r="AD1013" s="4"/>
      <c r="AE1013" s="1026"/>
      <c r="AF1013" s="265"/>
      <c r="AU1013" s="265"/>
      <c r="AV1013" s="265"/>
      <c r="AW1013" s="265"/>
      <c r="AX1013" s="265"/>
      <c r="AY1013" s="265"/>
      <c r="AZ1013" s="265"/>
      <c r="BA1013" s="265"/>
      <c r="BB1013" s="265"/>
      <c r="BC1013" s="265"/>
      <c r="BD1013" s="265"/>
      <c r="BE1013" s="265"/>
      <c r="BF1013" s="265"/>
      <c r="BG1013" s="265"/>
      <c r="BM1013" s="6"/>
      <c r="BN1013" s="6"/>
      <c r="BO1013" s="6"/>
      <c r="BP1013" s="1028"/>
      <c r="BT1013" s="6"/>
      <c r="BU1013" s="6"/>
      <c r="BV1013" s="6"/>
      <c r="BW1013" s="1029"/>
      <c r="BX1013" s="1028"/>
      <c r="CB1013" s="6"/>
      <c r="CC1013" s="6"/>
      <c r="CD1013" s="6"/>
      <c r="CE1013" s="1029"/>
      <c r="CJ1013" s="11"/>
      <c r="CM1013" s="11"/>
      <c r="CU1013" s="17"/>
      <c r="CV1013" s="265"/>
      <c r="CW1013" s="265"/>
      <c r="CY1013" s="11"/>
      <c r="DA1013" s="12"/>
      <c r="DB1013" s="13"/>
      <c r="DC1013" s="14"/>
      <c r="DD1013" s="265"/>
      <c r="DE1013" s="265"/>
      <c r="DF1013" s="265"/>
      <c r="DH1013" s="15"/>
      <c r="DM1013" s="4"/>
    </row>
    <row r="1014" spans="2:117" ht="15" customHeight="1">
      <c r="B1014" s="10"/>
      <c r="C1014" s="17"/>
      <c r="E1014" s="25"/>
      <c r="F1014" s="35"/>
      <c r="J1014" s="20"/>
      <c r="K1014" s="1024"/>
      <c r="L1014" s="1025"/>
      <c r="M1014" s="1026"/>
      <c r="N1014" s="1026"/>
      <c r="O1014" s="265"/>
      <c r="P1014" s="265"/>
      <c r="T1014" s="265"/>
      <c r="U1014" s="265"/>
      <c r="V1014" s="265"/>
      <c r="X1014" s="1026"/>
      <c r="Y1014" s="265"/>
      <c r="Z1014" s="265"/>
      <c r="AA1014" s="265"/>
      <c r="AD1014" s="4"/>
      <c r="AE1014" s="1026"/>
      <c r="AF1014" s="265"/>
      <c r="AU1014" s="265"/>
      <c r="AV1014" s="265"/>
      <c r="AW1014" s="265"/>
      <c r="AX1014" s="265"/>
      <c r="AY1014" s="265"/>
      <c r="AZ1014" s="265"/>
      <c r="BA1014" s="265"/>
      <c r="BB1014" s="265"/>
      <c r="BC1014" s="265"/>
      <c r="BD1014" s="265"/>
      <c r="BE1014" s="265"/>
      <c r="BF1014" s="265"/>
      <c r="BG1014" s="265"/>
      <c r="BM1014" s="6"/>
      <c r="BN1014" s="6"/>
      <c r="BO1014" s="6"/>
      <c r="BP1014" s="1028"/>
      <c r="BT1014" s="6"/>
      <c r="BU1014" s="6"/>
      <c r="BV1014" s="6"/>
      <c r="BW1014" s="1029"/>
      <c r="BX1014" s="1028"/>
      <c r="CB1014" s="6"/>
      <c r="CC1014" s="6"/>
      <c r="CD1014" s="6"/>
      <c r="CE1014" s="1029"/>
      <c r="CJ1014" s="11"/>
      <c r="CM1014" s="11"/>
      <c r="CU1014" s="17"/>
      <c r="CV1014" s="265"/>
      <c r="CW1014" s="265"/>
      <c r="CY1014" s="11"/>
      <c r="DA1014" s="12"/>
      <c r="DB1014" s="13"/>
      <c r="DC1014" s="14"/>
      <c r="DD1014" s="265"/>
      <c r="DE1014" s="265"/>
      <c r="DF1014" s="265"/>
      <c r="DH1014" s="15"/>
      <c r="DM1014" s="4"/>
    </row>
    <row r="1015" spans="2:117" ht="15" customHeight="1">
      <c r="B1015" s="10"/>
      <c r="C1015" s="17"/>
      <c r="E1015" s="25"/>
      <c r="F1015" s="35"/>
      <c r="J1015" s="20"/>
      <c r="K1015" s="1024"/>
      <c r="L1015" s="1025"/>
      <c r="M1015" s="1026"/>
      <c r="N1015" s="1026"/>
      <c r="O1015" s="265"/>
      <c r="P1015" s="265"/>
      <c r="T1015" s="265"/>
      <c r="U1015" s="265"/>
      <c r="V1015" s="265"/>
      <c r="X1015" s="1026"/>
      <c r="Y1015" s="265"/>
      <c r="Z1015" s="265"/>
      <c r="AA1015" s="265"/>
      <c r="AD1015" s="4"/>
      <c r="AE1015" s="1026"/>
      <c r="AF1015" s="265"/>
      <c r="AU1015" s="265"/>
      <c r="AV1015" s="265"/>
      <c r="AW1015" s="265"/>
      <c r="AX1015" s="265"/>
      <c r="AY1015" s="265"/>
      <c r="AZ1015" s="265"/>
      <c r="BA1015" s="265"/>
      <c r="BB1015" s="265"/>
      <c r="BC1015" s="265"/>
      <c r="BD1015" s="265"/>
      <c r="BE1015" s="265"/>
      <c r="BF1015" s="265"/>
      <c r="BG1015" s="265"/>
      <c r="BM1015" s="6"/>
      <c r="BN1015" s="6"/>
      <c r="BO1015" s="6"/>
      <c r="BP1015" s="1028"/>
      <c r="BT1015" s="6"/>
      <c r="BU1015" s="6"/>
      <c r="BV1015" s="6"/>
      <c r="BW1015" s="1029"/>
      <c r="BX1015" s="1028"/>
      <c r="CB1015" s="6"/>
      <c r="CC1015" s="6"/>
      <c r="CD1015" s="6"/>
      <c r="CE1015" s="1029"/>
      <c r="CJ1015" s="11"/>
      <c r="CM1015" s="11"/>
      <c r="CU1015" s="17"/>
      <c r="CV1015" s="265"/>
      <c r="CW1015" s="265"/>
      <c r="CY1015" s="11"/>
      <c r="DA1015" s="12"/>
      <c r="DB1015" s="13"/>
      <c r="DC1015" s="14"/>
      <c r="DD1015" s="265"/>
      <c r="DE1015" s="265"/>
      <c r="DF1015" s="265"/>
      <c r="DH1015" s="15"/>
      <c r="DM1015" s="4"/>
    </row>
    <row r="1016" spans="2:117" ht="15" customHeight="1">
      <c r="B1016" s="10"/>
      <c r="C1016" s="17"/>
      <c r="E1016" s="25"/>
      <c r="F1016" s="35"/>
      <c r="J1016" s="20"/>
      <c r="K1016" s="1024"/>
      <c r="L1016" s="1025"/>
      <c r="M1016" s="1026"/>
      <c r="N1016" s="1026"/>
      <c r="O1016" s="265"/>
      <c r="P1016" s="265"/>
      <c r="T1016" s="265"/>
      <c r="U1016" s="265"/>
      <c r="V1016" s="265"/>
      <c r="X1016" s="1026"/>
      <c r="Y1016" s="265"/>
      <c r="Z1016" s="265"/>
      <c r="AA1016" s="265"/>
      <c r="AD1016" s="4"/>
      <c r="AE1016" s="1026"/>
      <c r="AF1016" s="265"/>
      <c r="AU1016" s="265"/>
      <c r="AV1016" s="265"/>
      <c r="AW1016" s="265"/>
      <c r="AX1016" s="265"/>
      <c r="AY1016" s="265"/>
      <c r="AZ1016" s="265"/>
      <c r="BA1016" s="265"/>
      <c r="BB1016" s="265"/>
      <c r="BC1016" s="265"/>
      <c r="BD1016" s="265"/>
      <c r="BE1016" s="265"/>
      <c r="BF1016" s="265"/>
      <c r="BG1016" s="265"/>
      <c r="BM1016" s="6"/>
      <c r="BN1016" s="6"/>
      <c r="BO1016" s="6"/>
      <c r="BP1016" s="1028"/>
      <c r="BT1016" s="6"/>
      <c r="BU1016" s="6"/>
      <c r="BV1016" s="6"/>
      <c r="BW1016" s="1029"/>
      <c r="BX1016" s="1028"/>
      <c r="CB1016" s="6"/>
      <c r="CC1016" s="6"/>
      <c r="CD1016" s="6"/>
      <c r="CE1016" s="1029"/>
      <c r="CJ1016" s="11"/>
      <c r="CM1016" s="11"/>
      <c r="CU1016" s="17"/>
      <c r="CV1016" s="265"/>
      <c r="CW1016" s="265"/>
      <c r="CY1016" s="11"/>
      <c r="DA1016" s="12"/>
      <c r="DB1016" s="13"/>
      <c r="DC1016" s="14"/>
      <c r="DD1016" s="265"/>
      <c r="DE1016" s="265"/>
      <c r="DF1016" s="265"/>
      <c r="DH1016" s="15"/>
      <c r="DM1016" s="4"/>
    </row>
    <row r="1017" spans="2:117" ht="15" customHeight="1">
      <c r="B1017" s="10"/>
      <c r="C1017" s="17"/>
      <c r="E1017" s="25"/>
      <c r="F1017" s="35"/>
      <c r="J1017" s="20"/>
      <c r="K1017" s="1024"/>
      <c r="L1017" s="1025"/>
      <c r="M1017" s="1026"/>
      <c r="N1017" s="1026"/>
      <c r="O1017" s="265"/>
      <c r="P1017" s="265"/>
      <c r="T1017" s="265"/>
      <c r="U1017" s="265"/>
      <c r="V1017" s="265"/>
      <c r="X1017" s="1026"/>
      <c r="Y1017" s="265"/>
      <c r="Z1017" s="265"/>
      <c r="AA1017" s="265"/>
      <c r="AD1017" s="4"/>
      <c r="AE1017" s="1026"/>
      <c r="AF1017" s="265"/>
      <c r="AU1017" s="265"/>
      <c r="AV1017" s="265"/>
      <c r="AW1017" s="265"/>
      <c r="AX1017" s="265"/>
      <c r="AY1017" s="265"/>
      <c r="AZ1017" s="265"/>
      <c r="BA1017" s="265"/>
      <c r="BB1017" s="265"/>
      <c r="BC1017" s="265"/>
      <c r="BD1017" s="265"/>
      <c r="BE1017" s="265"/>
      <c r="BF1017" s="265"/>
      <c r="BG1017" s="265"/>
      <c r="BM1017" s="6"/>
      <c r="BN1017" s="6"/>
      <c r="BO1017" s="6"/>
      <c r="BP1017" s="1028"/>
      <c r="BT1017" s="6"/>
      <c r="BU1017" s="6"/>
      <c r="BV1017" s="6"/>
      <c r="BW1017" s="1029"/>
      <c r="BX1017" s="1028"/>
      <c r="CB1017" s="6"/>
      <c r="CC1017" s="6"/>
      <c r="CD1017" s="6"/>
      <c r="CE1017" s="1029"/>
      <c r="CJ1017" s="11"/>
      <c r="CM1017" s="11"/>
      <c r="CU1017" s="17"/>
      <c r="CV1017" s="265"/>
      <c r="CW1017" s="265"/>
      <c r="CY1017" s="11"/>
      <c r="DA1017" s="12"/>
      <c r="DB1017" s="13"/>
      <c r="DC1017" s="14"/>
      <c r="DD1017" s="265"/>
      <c r="DE1017" s="265"/>
      <c r="DF1017" s="265"/>
      <c r="DH1017" s="15"/>
      <c r="DM1017" s="4"/>
    </row>
    <row r="1018" spans="2:117" ht="15" customHeight="1">
      <c r="B1018" s="10"/>
      <c r="C1018" s="17"/>
      <c r="E1018" s="25"/>
      <c r="F1018" s="35"/>
      <c r="J1018" s="20"/>
      <c r="K1018" s="1024"/>
      <c r="L1018" s="1025"/>
      <c r="M1018" s="1026"/>
      <c r="N1018" s="1026"/>
      <c r="O1018" s="265"/>
      <c r="P1018" s="265"/>
      <c r="T1018" s="265"/>
      <c r="U1018" s="265"/>
      <c r="V1018" s="265"/>
      <c r="X1018" s="1026"/>
      <c r="Y1018" s="265"/>
      <c r="Z1018" s="265"/>
      <c r="AA1018" s="265"/>
      <c r="AD1018" s="4"/>
      <c r="AE1018" s="1026"/>
      <c r="AF1018" s="265"/>
      <c r="AU1018" s="265"/>
      <c r="AV1018" s="265"/>
      <c r="AW1018" s="265"/>
      <c r="AX1018" s="265"/>
      <c r="AY1018" s="265"/>
      <c r="AZ1018" s="265"/>
      <c r="BA1018" s="265"/>
      <c r="BB1018" s="265"/>
      <c r="BC1018" s="265"/>
      <c r="BD1018" s="265"/>
      <c r="BE1018" s="265"/>
      <c r="BF1018" s="265"/>
      <c r="BG1018" s="265"/>
      <c r="BM1018" s="6"/>
      <c r="BN1018" s="6"/>
      <c r="BO1018" s="6"/>
      <c r="BP1018" s="1028"/>
      <c r="BT1018" s="6"/>
      <c r="BU1018" s="6"/>
      <c r="BV1018" s="6"/>
      <c r="BW1018" s="1029"/>
      <c r="BX1018" s="1028"/>
      <c r="CB1018" s="6"/>
      <c r="CC1018" s="6"/>
      <c r="CD1018" s="6"/>
      <c r="CE1018" s="1029"/>
      <c r="CJ1018" s="11"/>
      <c r="CM1018" s="11"/>
      <c r="CU1018" s="17"/>
      <c r="CV1018" s="265"/>
      <c r="CW1018" s="265"/>
      <c r="CY1018" s="11"/>
      <c r="DA1018" s="12"/>
      <c r="DB1018" s="13"/>
      <c r="DC1018" s="14"/>
      <c r="DD1018" s="265"/>
      <c r="DE1018" s="265"/>
      <c r="DF1018" s="265"/>
      <c r="DH1018" s="15"/>
      <c r="DM1018" s="4"/>
    </row>
    <row r="1019" spans="2:117" ht="15" customHeight="1">
      <c r="B1019" s="10"/>
      <c r="C1019" s="17"/>
      <c r="E1019" s="25"/>
      <c r="F1019" s="35"/>
      <c r="J1019" s="20"/>
      <c r="K1019" s="1024"/>
      <c r="L1019" s="1025"/>
      <c r="M1019" s="1026"/>
      <c r="N1019" s="1026"/>
      <c r="O1019" s="265"/>
      <c r="P1019" s="265"/>
      <c r="T1019" s="265"/>
      <c r="U1019" s="265"/>
      <c r="V1019" s="265"/>
      <c r="X1019" s="1026"/>
      <c r="Y1019" s="265"/>
      <c r="Z1019" s="265"/>
      <c r="AA1019" s="265"/>
      <c r="AD1019" s="4"/>
      <c r="AE1019" s="1026"/>
      <c r="AF1019" s="265"/>
      <c r="AU1019" s="265"/>
      <c r="AV1019" s="265"/>
      <c r="AW1019" s="265"/>
      <c r="AX1019" s="265"/>
      <c r="AY1019" s="265"/>
      <c r="AZ1019" s="265"/>
      <c r="BA1019" s="265"/>
      <c r="BB1019" s="265"/>
      <c r="BC1019" s="265"/>
      <c r="BD1019" s="265"/>
      <c r="BE1019" s="265"/>
      <c r="BF1019" s="265"/>
      <c r="BG1019" s="265"/>
      <c r="BM1019" s="6"/>
      <c r="BN1019" s="6"/>
      <c r="BO1019" s="6"/>
      <c r="BP1019" s="1028"/>
      <c r="BT1019" s="6"/>
      <c r="BU1019" s="6"/>
      <c r="BV1019" s="6"/>
      <c r="BW1019" s="1029"/>
      <c r="BX1019" s="1028"/>
      <c r="CB1019" s="6"/>
      <c r="CC1019" s="6"/>
      <c r="CD1019" s="6"/>
      <c r="CE1019" s="1029"/>
      <c r="CJ1019" s="11"/>
      <c r="CM1019" s="11"/>
      <c r="CU1019" s="17"/>
      <c r="CV1019" s="265"/>
      <c r="CW1019" s="265"/>
      <c r="CY1019" s="11"/>
      <c r="DA1019" s="12"/>
      <c r="DB1019" s="13"/>
      <c r="DC1019" s="14"/>
      <c r="DD1019" s="265"/>
      <c r="DE1019" s="265"/>
      <c r="DF1019" s="265"/>
      <c r="DH1019" s="15"/>
      <c r="DM1019" s="4"/>
    </row>
    <row r="1020" spans="2:117" ht="15" customHeight="1">
      <c r="B1020" s="10"/>
      <c r="C1020" s="17"/>
      <c r="E1020" s="25"/>
      <c r="F1020" s="35"/>
      <c r="J1020" s="20"/>
      <c r="K1020" s="1024"/>
      <c r="L1020" s="1025"/>
      <c r="M1020" s="1026"/>
      <c r="N1020" s="1026"/>
      <c r="O1020" s="265"/>
      <c r="P1020" s="265"/>
      <c r="T1020" s="265"/>
      <c r="U1020" s="265"/>
      <c r="V1020" s="265"/>
      <c r="X1020" s="1026"/>
      <c r="Y1020" s="265"/>
      <c r="Z1020" s="265"/>
      <c r="AA1020" s="265"/>
      <c r="AD1020" s="4"/>
      <c r="AE1020" s="1026"/>
      <c r="AF1020" s="265"/>
      <c r="AU1020" s="265"/>
      <c r="AV1020" s="265"/>
      <c r="AW1020" s="265"/>
      <c r="AX1020" s="265"/>
      <c r="AY1020" s="265"/>
      <c r="AZ1020" s="265"/>
      <c r="BA1020" s="265"/>
      <c r="BB1020" s="265"/>
      <c r="BC1020" s="265"/>
      <c r="BD1020" s="265"/>
      <c r="BE1020" s="265"/>
      <c r="BF1020" s="265"/>
      <c r="BG1020" s="265"/>
      <c r="BM1020" s="6"/>
      <c r="BN1020" s="6"/>
      <c r="BO1020" s="6"/>
      <c r="BP1020" s="1028"/>
      <c r="BT1020" s="6"/>
      <c r="BU1020" s="6"/>
      <c r="BV1020" s="6"/>
      <c r="BW1020" s="1029"/>
      <c r="BX1020" s="1028"/>
      <c r="CB1020" s="6"/>
      <c r="CC1020" s="6"/>
      <c r="CD1020" s="6"/>
      <c r="CE1020" s="1029"/>
      <c r="CJ1020" s="11"/>
      <c r="CM1020" s="11"/>
      <c r="CU1020" s="17"/>
      <c r="CV1020" s="265"/>
      <c r="CW1020" s="265"/>
      <c r="CY1020" s="11"/>
      <c r="DA1020" s="12"/>
      <c r="DB1020" s="13"/>
      <c r="DC1020" s="14"/>
      <c r="DD1020" s="265"/>
      <c r="DE1020" s="265"/>
      <c r="DF1020" s="265"/>
      <c r="DH1020" s="15"/>
      <c r="DM1020" s="4"/>
    </row>
    <row r="1021" spans="2:117" ht="15" customHeight="1">
      <c r="B1021" s="10"/>
      <c r="C1021" s="17"/>
      <c r="E1021" s="25"/>
      <c r="F1021" s="35"/>
      <c r="J1021" s="20"/>
      <c r="K1021" s="1024"/>
      <c r="L1021" s="1025"/>
      <c r="M1021" s="1026"/>
      <c r="N1021" s="1026"/>
      <c r="O1021" s="265"/>
      <c r="P1021" s="265"/>
      <c r="T1021" s="265"/>
      <c r="U1021" s="265"/>
      <c r="V1021" s="265"/>
      <c r="X1021" s="1026"/>
      <c r="Y1021" s="265"/>
      <c r="Z1021" s="265"/>
      <c r="AA1021" s="265"/>
      <c r="AD1021" s="4"/>
      <c r="AE1021" s="1026"/>
      <c r="AF1021" s="265"/>
      <c r="AU1021" s="265"/>
      <c r="AV1021" s="265"/>
      <c r="AW1021" s="265"/>
      <c r="AX1021" s="265"/>
      <c r="AY1021" s="265"/>
      <c r="AZ1021" s="265"/>
      <c r="BA1021" s="265"/>
      <c r="BB1021" s="265"/>
      <c r="BC1021" s="265"/>
      <c r="BD1021" s="265"/>
      <c r="BE1021" s="265"/>
      <c r="BF1021" s="265"/>
      <c r="BG1021" s="265"/>
      <c r="BM1021" s="6"/>
      <c r="BN1021" s="6"/>
      <c r="BO1021" s="6"/>
      <c r="BP1021" s="1028"/>
      <c r="BT1021" s="6"/>
      <c r="BU1021" s="6"/>
      <c r="BV1021" s="6"/>
      <c r="BW1021" s="1029"/>
      <c r="BX1021" s="1028"/>
      <c r="CB1021" s="6"/>
      <c r="CC1021" s="6"/>
      <c r="CD1021" s="6"/>
      <c r="CE1021" s="1029"/>
      <c r="CJ1021" s="11"/>
      <c r="CM1021" s="11"/>
      <c r="CU1021" s="17"/>
      <c r="CV1021" s="265"/>
      <c r="CW1021" s="265"/>
      <c r="CY1021" s="11"/>
      <c r="DA1021" s="12"/>
      <c r="DB1021" s="13"/>
      <c r="DC1021" s="14"/>
      <c r="DD1021" s="265"/>
      <c r="DE1021" s="265"/>
      <c r="DF1021" s="265"/>
      <c r="DH1021" s="15"/>
      <c r="DM1021" s="4"/>
    </row>
    <row r="1022" spans="2:117" ht="15" customHeight="1">
      <c r="B1022" s="10"/>
      <c r="C1022" s="17"/>
      <c r="E1022" s="25"/>
      <c r="F1022" s="35"/>
      <c r="J1022" s="20"/>
      <c r="K1022" s="1024"/>
      <c r="L1022" s="1025"/>
      <c r="M1022" s="1026"/>
      <c r="N1022" s="1026"/>
      <c r="O1022" s="265"/>
      <c r="P1022" s="265"/>
      <c r="T1022" s="265"/>
      <c r="U1022" s="265"/>
      <c r="V1022" s="265"/>
      <c r="X1022" s="1026"/>
      <c r="Y1022" s="265"/>
      <c r="Z1022" s="265"/>
      <c r="AA1022" s="265"/>
      <c r="AD1022" s="4"/>
      <c r="AE1022" s="1026"/>
      <c r="AF1022" s="265"/>
      <c r="AU1022" s="265"/>
      <c r="AV1022" s="265"/>
      <c r="AW1022" s="265"/>
      <c r="AX1022" s="265"/>
      <c r="AY1022" s="265"/>
      <c r="AZ1022" s="265"/>
      <c r="BA1022" s="265"/>
      <c r="BB1022" s="265"/>
      <c r="BC1022" s="265"/>
      <c r="BD1022" s="265"/>
      <c r="BE1022" s="265"/>
      <c r="BF1022" s="265"/>
      <c r="BG1022" s="265"/>
      <c r="BM1022" s="6"/>
      <c r="BN1022" s="6"/>
      <c r="BO1022" s="6"/>
      <c r="BP1022" s="1028"/>
      <c r="BT1022" s="6"/>
      <c r="BU1022" s="6"/>
      <c r="BV1022" s="6"/>
      <c r="BW1022" s="1029"/>
      <c r="BX1022" s="1028"/>
      <c r="CB1022" s="6"/>
      <c r="CC1022" s="6"/>
      <c r="CD1022" s="6"/>
      <c r="CE1022" s="1029"/>
      <c r="CJ1022" s="11"/>
      <c r="CM1022" s="11"/>
      <c r="CU1022" s="17"/>
      <c r="CV1022" s="265"/>
      <c r="CW1022" s="265"/>
      <c r="CY1022" s="11"/>
      <c r="DA1022" s="12"/>
      <c r="DB1022" s="13"/>
      <c r="DC1022" s="14"/>
      <c r="DD1022" s="265"/>
      <c r="DE1022" s="265"/>
      <c r="DF1022" s="265"/>
      <c r="DH1022" s="15"/>
      <c r="DM1022" s="4"/>
    </row>
    <row r="1023" spans="2:117" ht="15" customHeight="1">
      <c r="B1023" s="10"/>
      <c r="C1023" s="17"/>
      <c r="E1023" s="25"/>
      <c r="F1023" s="35"/>
      <c r="J1023" s="20"/>
      <c r="K1023" s="1024"/>
      <c r="L1023" s="1025"/>
      <c r="M1023" s="1026"/>
      <c r="N1023" s="1026"/>
      <c r="O1023" s="265"/>
      <c r="P1023" s="265"/>
      <c r="T1023" s="265"/>
      <c r="U1023" s="265"/>
      <c r="V1023" s="265"/>
      <c r="X1023" s="1026"/>
      <c r="Y1023" s="265"/>
      <c r="Z1023" s="265"/>
      <c r="AA1023" s="265"/>
      <c r="AD1023" s="4"/>
      <c r="AE1023" s="1026"/>
      <c r="AF1023" s="265"/>
      <c r="AU1023" s="265"/>
      <c r="AV1023" s="265"/>
      <c r="AW1023" s="265"/>
      <c r="AX1023" s="265"/>
      <c r="AY1023" s="265"/>
      <c r="AZ1023" s="265"/>
      <c r="BA1023" s="265"/>
      <c r="BB1023" s="265"/>
      <c r="BC1023" s="265"/>
      <c r="BD1023" s="265"/>
      <c r="BE1023" s="265"/>
      <c r="BF1023" s="265"/>
      <c r="BG1023" s="265"/>
      <c r="BM1023" s="6"/>
      <c r="BN1023" s="6"/>
      <c r="BO1023" s="6"/>
      <c r="BP1023" s="1028"/>
      <c r="BT1023" s="6"/>
      <c r="BU1023" s="6"/>
      <c r="BV1023" s="6"/>
      <c r="BW1023" s="1029"/>
      <c r="BX1023" s="1028"/>
      <c r="CB1023" s="6"/>
      <c r="CC1023" s="6"/>
      <c r="CD1023" s="6"/>
      <c r="CE1023" s="1029"/>
      <c r="CJ1023" s="11"/>
      <c r="CM1023" s="11"/>
      <c r="CU1023" s="17"/>
      <c r="CV1023" s="265"/>
      <c r="CW1023" s="265"/>
      <c r="CY1023" s="11"/>
      <c r="DA1023" s="12"/>
      <c r="DB1023" s="13"/>
      <c r="DC1023" s="14"/>
      <c r="DD1023" s="265"/>
      <c r="DE1023" s="265"/>
      <c r="DF1023" s="265"/>
      <c r="DH1023" s="15"/>
      <c r="DM1023" s="4"/>
    </row>
    <row r="1024" spans="2:117" ht="15" customHeight="1">
      <c r="B1024" s="10"/>
      <c r="C1024" s="17"/>
      <c r="E1024" s="25"/>
      <c r="F1024" s="35"/>
      <c r="J1024" s="20"/>
      <c r="K1024" s="1024"/>
      <c r="L1024" s="1025"/>
      <c r="M1024" s="1026"/>
      <c r="N1024" s="1026"/>
      <c r="O1024" s="265"/>
      <c r="P1024" s="265"/>
      <c r="T1024" s="265"/>
      <c r="U1024" s="265"/>
      <c r="V1024" s="265"/>
      <c r="X1024" s="1026"/>
      <c r="Y1024" s="265"/>
      <c r="Z1024" s="265"/>
      <c r="AA1024" s="265"/>
      <c r="AD1024" s="4"/>
      <c r="AE1024" s="1026"/>
      <c r="AF1024" s="265"/>
      <c r="AU1024" s="265"/>
      <c r="AV1024" s="265"/>
      <c r="AW1024" s="265"/>
      <c r="AX1024" s="265"/>
      <c r="AY1024" s="265"/>
      <c r="AZ1024" s="265"/>
      <c r="BA1024" s="265"/>
      <c r="BB1024" s="265"/>
      <c r="BC1024" s="265"/>
      <c r="BD1024" s="265"/>
      <c r="BE1024" s="265"/>
      <c r="BF1024" s="265"/>
      <c r="BG1024" s="265"/>
      <c r="BM1024" s="6"/>
      <c r="BN1024" s="6"/>
      <c r="BO1024" s="6"/>
      <c r="BP1024" s="1028"/>
      <c r="BT1024" s="6"/>
      <c r="BU1024" s="6"/>
      <c r="BV1024" s="6"/>
      <c r="BW1024" s="1029"/>
      <c r="BX1024" s="1028"/>
      <c r="CB1024" s="6"/>
      <c r="CC1024" s="6"/>
      <c r="CD1024" s="6"/>
      <c r="CE1024" s="1029"/>
      <c r="CJ1024" s="11"/>
      <c r="CM1024" s="11"/>
      <c r="CU1024" s="17"/>
      <c r="CV1024" s="265"/>
      <c r="CW1024" s="265"/>
      <c r="CY1024" s="11"/>
      <c r="DA1024" s="12"/>
      <c r="DB1024" s="13"/>
      <c r="DC1024" s="14"/>
      <c r="DD1024" s="265"/>
      <c r="DE1024" s="265"/>
      <c r="DF1024" s="265"/>
      <c r="DH1024" s="15"/>
      <c r="DM1024" s="4"/>
    </row>
    <row r="1025" spans="2:117" ht="15" customHeight="1">
      <c r="B1025" s="10"/>
      <c r="C1025" s="17"/>
      <c r="E1025" s="25"/>
      <c r="F1025" s="35"/>
      <c r="J1025" s="20"/>
      <c r="K1025" s="1024"/>
      <c r="L1025" s="1025"/>
      <c r="M1025" s="1026"/>
      <c r="N1025" s="1026"/>
      <c r="O1025" s="265"/>
      <c r="P1025" s="265"/>
      <c r="T1025" s="265"/>
      <c r="U1025" s="265"/>
      <c r="V1025" s="265"/>
      <c r="X1025" s="1026"/>
      <c r="Y1025" s="265"/>
      <c r="Z1025" s="265"/>
      <c r="AA1025" s="265"/>
      <c r="AD1025" s="4"/>
      <c r="AE1025" s="1026"/>
      <c r="AF1025" s="265"/>
      <c r="AU1025" s="265"/>
      <c r="AV1025" s="265"/>
      <c r="AW1025" s="265"/>
      <c r="AX1025" s="265"/>
      <c r="AY1025" s="265"/>
      <c r="AZ1025" s="265"/>
      <c r="BA1025" s="265"/>
      <c r="BB1025" s="265"/>
      <c r="BC1025" s="265"/>
      <c r="BD1025" s="265"/>
      <c r="BE1025" s="265"/>
      <c r="BF1025" s="265"/>
      <c r="BG1025" s="265"/>
      <c r="BM1025" s="6"/>
      <c r="BN1025" s="6"/>
      <c r="BO1025" s="6"/>
      <c r="BP1025" s="1028"/>
      <c r="BT1025" s="6"/>
      <c r="BU1025" s="6"/>
      <c r="BV1025" s="6"/>
      <c r="BW1025" s="1029"/>
      <c r="BX1025" s="1028"/>
      <c r="CB1025" s="6"/>
      <c r="CC1025" s="6"/>
      <c r="CD1025" s="6"/>
      <c r="CE1025" s="1029"/>
      <c r="CJ1025" s="11"/>
      <c r="CM1025" s="11"/>
      <c r="CU1025" s="17"/>
      <c r="CV1025" s="265"/>
      <c r="CW1025" s="265"/>
      <c r="CY1025" s="11"/>
      <c r="DA1025" s="12"/>
      <c r="DB1025" s="13"/>
      <c r="DC1025" s="14"/>
      <c r="DD1025" s="265"/>
      <c r="DE1025" s="265"/>
      <c r="DF1025" s="265"/>
      <c r="DH1025" s="15"/>
      <c r="DM1025" s="4"/>
    </row>
    <row r="1026" spans="2:117" ht="15" customHeight="1">
      <c r="B1026" s="10"/>
      <c r="C1026" s="17"/>
      <c r="E1026" s="25"/>
      <c r="F1026" s="35"/>
      <c r="J1026" s="20"/>
      <c r="K1026" s="1024"/>
      <c r="L1026" s="1025"/>
      <c r="M1026" s="1026"/>
      <c r="N1026" s="1026"/>
      <c r="O1026" s="265"/>
      <c r="P1026" s="265"/>
      <c r="T1026" s="265"/>
      <c r="U1026" s="265"/>
      <c r="V1026" s="265"/>
      <c r="X1026" s="1026"/>
      <c r="Y1026" s="265"/>
      <c r="Z1026" s="265"/>
      <c r="AA1026" s="265"/>
      <c r="AD1026" s="4"/>
      <c r="AE1026" s="1026"/>
      <c r="AF1026" s="265"/>
      <c r="AU1026" s="265"/>
      <c r="AV1026" s="265"/>
      <c r="AW1026" s="265"/>
      <c r="AX1026" s="265"/>
      <c r="AY1026" s="265"/>
      <c r="AZ1026" s="265"/>
      <c r="BA1026" s="265"/>
      <c r="BB1026" s="265"/>
      <c r="BC1026" s="265"/>
      <c r="BD1026" s="265"/>
      <c r="BE1026" s="265"/>
      <c r="BF1026" s="265"/>
      <c r="BG1026" s="265"/>
      <c r="BM1026" s="6"/>
      <c r="BN1026" s="6"/>
      <c r="BO1026" s="6"/>
      <c r="BP1026" s="1028"/>
      <c r="BT1026" s="6"/>
      <c r="BU1026" s="6"/>
      <c r="BV1026" s="6"/>
      <c r="BW1026" s="1029"/>
      <c r="BX1026" s="1028"/>
      <c r="CB1026" s="6"/>
      <c r="CC1026" s="6"/>
      <c r="CD1026" s="6"/>
      <c r="CE1026" s="1029"/>
      <c r="CJ1026" s="11"/>
      <c r="CM1026" s="11"/>
      <c r="CU1026" s="17"/>
      <c r="CV1026" s="265"/>
      <c r="CW1026" s="265"/>
      <c r="CY1026" s="11"/>
      <c r="DA1026" s="12"/>
      <c r="DB1026" s="13"/>
      <c r="DC1026" s="14"/>
      <c r="DD1026" s="265"/>
      <c r="DE1026" s="265"/>
      <c r="DF1026" s="265"/>
      <c r="DH1026" s="15"/>
      <c r="DM1026" s="4"/>
    </row>
    <row r="1027" spans="2:117" ht="15" customHeight="1">
      <c r="B1027" s="10"/>
      <c r="C1027" s="17"/>
      <c r="E1027" s="25"/>
      <c r="F1027" s="35"/>
      <c r="J1027" s="20"/>
      <c r="K1027" s="1024"/>
      <c r="L1027" s="1025"/>
      <c r="M1027" s="1026"/>
      <c r="N1027" s="1026"/>
      <c r="O1027" s="265"/>
      <c r="P1027" s="265"/>
      <c r="T1027" s="265"/>
      <c r="U1027" s="265"/>
      <c r="V1027" s="265"/>
      <c r="X1027" s="1026"/>
      <c r="Y1027" s="265"/>
      <c r="Z1027" s="265"/>
      <c r="AA1027" s="265"/>
      <c r="AD1027" s="4"/>
      <c r="AE1027" s="1026"/>
      <c r="AF1027" s="265"/>
      <c r="AU1027" s="265"/>
      <c r="AV1027" s="265"/>
      <c r="AW1027" s="265"/>
      <c r="AX1027" s="265"/>
      <c r="AY1027" s="265"/>
      <c r="AZ1027" s="265"/>
      <c r="BA1027" s="265"/>
      <c r="BB1027" s="265"/>
      <c r="BC1027" s="265"/>
      <c r="BD1027" s="265"/>
      <c r="BE1027" s="265"/>
      <c r="BF1027" s="265"/>
      <c r="BG1027" s="265"/>
      <c r="BM1027" s="6"/>
      <c r="BN1027" s="6"/>
      <c r="BO1027" s="6"/>
      <c r="BP1027" s="1028"/>
      <c r="BT1027" s="6"/>
      <c r="BU1027" s="6"/>
      <c r="BV1027" s="6"/>
      <c r="BW1027" s="1029"/>
      <c r="BX1027" s="1028"/>
      <c r="CB1027" s="6"/>
      <c r="CC1027" s="6"/>
      <c r="CD1027" s="6"/>
      <c r="CE1027" s="1029"/>
      <c r="CJ1027" s="11"/>
      <c r="CM1027" s="11"/>
      <c r="CU1027" s="17"/>
      <c r="CV1027" s="265"/>
      <c r="CW1027" s="265"/>
      <c r="CY1027" s="11"/>
      <c r="DA1027" s="12"/>
      <c r="DB1027" s="13"/>
      <c r="DC1027" s="14"/>
      <c r="DD1027" s="265"/>
      <c r="DE1027" s="265"/>
      <c r="DF1027" s="265"/>
      <c r="DH1027" s="15"/>
      <c r="DM1027" s="4"/>
    </row>
    <row r="1028" spans="2:117" ht="15" customHeight="1">
      <c r="B1028" s="10"/>
      <c r="C1028" s="17"/>
      <c r="E1028" s="25"/>
      <c r="F1028" s="35"/>
      <c r="J1028" s="20"/>
      <c r="K1028" s="1024"/>
      <c r="L1028" s="1025"/>
      <c r="M1028" s="1026"/>
      <c r="N1028" s="1026"/>
      <c r="O1028" s="265"/>
      <c r="P1028" s="265"/>
      <c r="T1028" s="265"/>
      <c r="U1028" s="265"/>
      <c r="V1028" s="265"/>
      <c r="X1028" s="1026"/>
      <c r="Y1028" s="265"/>
      <c r="Z1028" s="265"/>
      <c r="AA1028" s="265"/>
      <c r="AD1028" s="4"/>
      <c r="AE1028" s="1026"/>
      <c r="AF1028" s="265"/>
      <c r="AU1028" s="265"/>
      <c r="AV1028" s="265"/>
      <c r="AW1028" s="265"/>
      <c r="AX1028" s="265"/>
      <c r="AY1028" s="265"/>
      <c r="AZ1028" s="265"/>
      <c r="BA1028" s="265"/>
      <c r="BB1028" s="265"/>
      <c r="BC1028" s="265"/>
      <c r="BD1028" s="265"/>
      <c r="BE1028" s="265"/>
      <c r="BF1028" s="265"/>
      <c r="BG1028" s="265"/>
      <c r="BM1028" s="6"/>
      <c r="BN1028" s="6"/>
      <c r="BO1028" s="6"/>
      <c r="BP1028" s="1028"/>
      <c r="BT1028" s="6"/>
      <c r="BU1028" s="6"/>
      <c r="BV1028" s="6"/>
      <c r="BW1028" s="1029"/>
      <c r="BX1028" s="1028"/>
      <c r="CB1028" s="6"/>
      <c r="CC1028" s="6"/>
      <c r="CD1028" s="6"/>
      <c r="CE1028" s="1029"/>
      <c r="CJ1028" s="11"/>
      <c r="CM1028" s="11"/>
      <c r="CU1028" s="17"/>
      <c r="CV1028" s="265"/>
      <c r="CW1028" s="265"/>
      <c r="CY1028" s="11"/>
      <c r="DA1028" s="12"/>
      <c r="DB1028" s="13"/>
      <c r="DC1028" s="14"/>
      <c r="DD1028" s="265"/>
      <c r="DE1028" s="265"/>
      <c r="DF1028" s="265"/>
      <c r="DH1028" s="15"/>
      <c r="DM1028" s="4"/>
    </row>
    <row r="1029" spans="2:117" ht="15" customHeight="1">
      <c r="B1029" s="10"/>
      <c r="C1029" s="17"/>
      <c r="E1029" s="25"/>
      <c r="F1029" s="35"/>
      <c r="J1029" s="20"/>
      <c r="K1029" s="1024"/>
      <c r="L1029" s="1025"/>
      <c r="M1029" s="1026"/>
      <c r="N1029" s="1026"/>
      <c r="O1029" s="265"/>
      <c r="P1029" s="265"/>
      <c r="T1029" s="265"/>
      <c r="U1029" s="265"/>
      <c r="V1029" s="265"/>
      <c r="X1029" s="1026"/>
      <c r="Y1029" s="265"/>
      <c r="Z1029" s="265"/>
      <c r="AA1029" s="265"/>
      <c r="AD1029" s="4"/>
      <c r="AE1029" s="1026"/>
      <c r="AF1029" s="265"/>
      <c r="AU1029" s="265"/>
      <c r="AV1029" s="265"/>
      <c r="AW1029" s="265"/>
      <c r="AX1029" s="265"/>
      <c r="AY1029" s="265"/>
      <c r="AZ1029" s="265"/>
      <c r="BA1029" s="265"/>
      <c r="BB1029" s="265"/>
      <c r="BC1029" s="265"/>
      <c r="BD1029" s="265"/>
      <c r="BE1029" s="265"/>
      <c r="BF1029" s="265"/>
      <c r="BG1029" s="265"/>
      <c r="BM1029" s="6"/>
      <c r="BN1029" s="6"/>
      <c r="BO1029" s="6"/>
      <c r="BP1029" s="1028"/>
      <c r="BT1029" s="6"/>
      <c r="BU1029" s="6"/>
      <c r="BV1029" s="6"/>
      <c r="BW1029" s="1029"/>
      <c r="BX1029" s="1028"/>
      <c r="CB1029" s="6"/>
      <c r="CC1029" s="6"/>
      <c r="CD1029" s="6"/>
      <c r="CE1029" s="1029"/>
      <c r="CJ1029" s="11"/>
      <c r="CM1029" s="11"/>
      <c r="CU1029" s="17"/>
      <c r="CV1029" s="265"/>
      <c r="CW1029" s="265"/>
      <c r="CY1029" s="11"/>
      <c r="DA1029" s="12"/>
      <c r="DB1029" s="13"/>
      <c r="DC1029" s="14"/>
      <c r="DD1029" s="265"/>
      <c r="DE1029" s="265"/>
      <c r="DF1029" s="265"/>
      <c r="DH1029" s="15"/>
      <c r="DM1029" s="4"/>
    </row>
    <row r="1030" spans="2:117" ht="15" customHeight="1">
      <c r="B1030" s="10"/>
      <c r="C1030" s="17"/>
      <c r="E1030" s="25"/>
      <c r="F1030" s="35"/>
      <c r="J1030" s="20"/>
      <c r="K1030" s="1024"/>
      <c r="L1030" s="1025"/>
      <c r="M1030" s="1026"/>
      <c r="N1030" s="1026"/>
      <c r="O1030" s="265"/>
      <c r="P1030" s="265"/>
      <c r="T1030" s="265"/>
      <c r="U1030" s="265"/>
      <c r="V1030" s="265"/>
      <c r="X1030" s="1026"/>
      <c r="Y1030" s="265"/>
      <c r="Z1030" s="265"/>
      <c r="AA1030" s="265"/>
      <c r="AD1030" s="4"/>
      <c r="AE1030" s="1026"/>
      <c r="AF1030" s="265"/>
      <c r="AU1030" s="265"/>
      <c r="AV1030" s="265"/>
      <c r="AW1030" s="265"/>
      <c r="AX1030" s="265"/>
      <c r="AY1030" s="265"/>
      <c r="AZ1030" s="265"/>
      <c r="BA1030" s="265"/>
      <c r="BB1030" s="265"/>
      <c r="BC1030" s="265"/>
      <c r="BD1030" s="265"/>
      <c r="BE1030" s="265"/>
      <c r="BF1030" s="265"/>
      <c r="BG1030" s="265"/>
      <c r="BM1030" s="6"/>
      <c r="BN1030" s="6"/>
      <c r="BO1030" s="6"/>
      <c r="BP1030" s="1028"/>
      <c r="BT1030" s="6"/>
      <c r="BU1030" s="6"/>
      <c r="BV1030" s="6"/>
      <c r="BW1030" s="1029"/>
      <c r="BX1030" s="1028"/>
      <c r="CB1030" s="6"/>
      <c r="CC1030" s="6"/>
      <c r="CD1030" s="6"/>
      <c r="CE1030" s="1029"/>
      <c r="CJ1030" s="11"/>
      <c r="CM1030" s="11"/>
      <c r="CU1030" s="17"/>
      <c r="CV1030" s="265"/>
      <c r="CW1030" s="265"/>
      <c r="CY1030" s="11"/>
      <c r="DA1030" s="12"/>
      <c r="DB1030" s="13"/>
      <c r="DC1030" s="14"/>
      <c r="DD1030" s="265"/>
      <c r="DE1030" s="265"/>
      <c r="DF1030" s="265"/>
      <c r="DH1030" s="15"/>
      <c r="DM1030" s="4"/>
    </row>
    <row r="1031" spans="2:117" ht="15" customHeight="1">
      <c r="B1031" s="10"/>
      <c r="C1031" s="17"/>
      <c r="E1031" s="25"/>
      <c r="F1031" s="35"/>
      <c r="J1031" s="20"/>
      <c r="K1031" s="1024"/>
      <c r="L1031" s="1025"/>
      <c r="M1031" s="1026"/>
      <c r="N1031" s="1026"/>
      <c r="O1031" s="265"/>
      <c r="P1031" s="265"/>
      <c r="T1031" s="265"/>
      <c r="U1031" s="265"/>
      <c r="V1031" s="265"/>
      <c r="X1031" s="1026"/>
      <c r="Y1031" s="265"/>
      <c r="Z1031" s="265"/>
      <c r="AA1031" s="265"/>
      <c r="AD1031" s="4"/>
      <c r="AE1031" s="1026"/>
      <c r="AF1031" s="265"/>
      <c r="AU1031" s="265"/>
      <c r="AV1031" s="265"/>
      <c r="AW1031" s="265"/>
      <c r="AX1031" s="265"/>
      <c r="AY1031" s="265"/>
      <c r="AZ1031" s="265"/>
      <c r="BA1031" s="265"/>
      <c r="BB1031" s="265"/>
      <c r="BC1031" s="265"/>
      <c r="BD1031" s="265"/>
      <c r="BE1031" s="265"/>
      <c r="BF1031" s="265"/>
      <c r="BG1031" s="265"/>
      <c r="BM1031" s="6"/>
      <c r="BN1031" s="6"/>
      <c r="BO1031" s="6"/>
      <c r="BP1031" s="1028"/>
      <c r="BT1031" s="6"/>
      <c r="BU1031" s="6"/>
      <c r="BV1031" s="6"/>
      <c r="BW1031" s="1029"/>
      <c r="BX1031" s="1028"/>
      <c r="CB1031" s="6"/>
      <c r="CC1031" s="6"/>
      <c r="CD1031" s="6"/>
      <c r="CE1031" s="1029"/>
      <c r="CJ1031" s="11"/>
      <c r="CM1031" s="11"/>
      <c r="CU1031" s="17"/>
      <c r="CV1031" s="265"/>
      <c r="CW1031" s="265"/>
      <c r="CY1031" s="11"/>
      <c r="DA1031" s="12"/>
      <c r="DB1031" s="13"/>
      <c r="DC1031" s="14"/>
      <c r="DD1031" s="265"/>
      <c r="DE1031" s="265"/>
      <c r="DF1031" s="265"/>
      <c r="DH1031" s="15"/>
      <c r="DM1031" s="4"/>
    </row>
    <row r="1032" spans="2:117" ht="15" customHeight="1">
      <c r="B1032" s="10"/>
      <c r="C1032" s="17"/>
      <c r="E1032" s="25"/>
      <c r="F1032" s="35"/>
      <c r="J1032" s="20"/>
      <c r="K1032" s="1024"/>
      <c r="L1032" s="1025"/>
      <c r="M1032" s="1026"/>
      <c r="N1032" s="1026"/>
      <c r="O1032" s="265"/>
      <c r="P1032" s="265"/>
      <c r="T1032" s="265"/>
      <c r="U1032" s="265"/>
      <c r="V1032" s="265"/>
      <c r="X1032" s="1026"/>
      <c r="Y1032" s="265"/>
      <c r="Z1032" s="265"/>
      <c r="AA1032" s="265"/>
      <c r="AD1032" s="4"/>
      <c r="AE1032" s="1026"/>
      <c r="AF1032" s="265"/>
      <c r="AU1032" s="265"/>
      <c r="AV1032" s="265"/>
      <c r="AW1032" s="265"/>
      <c r="AX1032" s="265"/>
      <c r="AY1032" s="265"/>
      <c r="AZ1032" s="265"/>
      <c r="BA1032" s="265"/>
      <c r="BB1032" s="265"/>
      <c r="BC1032" s="265"/>
      <c r="BD1032" s="265"/>
      <c r="BE1032" s="265"/>
      <c r="BF1032" s="265"/>
      <c r="BG1032" s="265"/>
      <c r="BM1032" s="6"/>
      <c r="BN1032" s="6"/>
      <c r="BO1032" s="6"/>
      <c r="BP1032" s="1028"/>
      <c r="BT1032" s="6"/>
      <c r="BU1032" s="6"/>
      <c r="BV1032" s="6"/>
      <c r="BW1032" s="1029"/>
      <c r="BX1032" s="1028"/>
      <c r="CB1032" s="6"/>
      <c r="CC1032" s="6"/>
      <c r="CD1032" s="6"/>
      <c r="CE1032" s="1029"/>
      <c r="CJ1032" s="11"/>
      <c r="CM1032" s="11"/>
      <c r="CU1032" s="17"/>
      <c r="CV1032" s="265"/>
      <c r="CW1032" s="265"/>
      <c r="CY1032" s="11"/>
      <c r="DA1032" s="12"/>
      <c r="DB1032" s="13"/>
      <c r="DC1032" s="14"/>
      <c r="DD1032" s="265"/>
      <c r="DE1032" s="265"/>
      <c r="DF1032" s="265"/>
      <c r="DH1032" s="15"/>
      <c r="DM1032" s="4"/>
    </row>
    <row r="1033" spans="2:117" ht="15" customHeight="1">
      <c r="B1033" s="10"/>
      <c r="C1033" s="17"/>
      <c r="E1033" s="25"/>
      <c r="F1033" s="35"/>
      <c r="J1033" s="20"/>
      <c r="K1033" s="1024"/>
      <c r="L1033" s="1025"/>
      <c r="M1033" s="1026"/>
      <c r="N1033" s="1026"/>
      <c r="O1033" s="265"/>
      <c r="P1033" s="265"/>
      <c r="T1033" s="265"/>
      <c r="U1033" s="265"/>
      <c r="V1033" s="265"/>
      <c r="X1033" s="1026"/>
      <c r="Y1033" s="265"/>
      <c r="Z1033" s="265"/>
      <c r="AA1033" s="265"/>
      <c r="AD1033" s="4"/>
      <c r="AE1033" s="1026"/>
      <c r="AF1033" s="265"/>
      <c r="AU1033" s="265"/>
      <c r="AV1033" s="265"/>
      <c r="AW1033" s="265"/>
      <c r="AX1033" s="265"/>
      <c r="AY1033" s="265"/>
      <c r="AZ1033" s="265"/>
      <c r="BA1033" s="265"/>
      <c r="BB1033" s="265"/>
      <c r="BC1033" s="265"/>
      <c r="BD1033" s="265"/>
      <c r="BE1033" s="265"/>
      <c r="BF1033" s="265"/>
      <c r="BG1033" s="265"/>
      <c r="BM1033" s="6"/>
      <c r="BN1033" s="6"/>
      <c r="BO1033" s="6"/>
      <c r="BP1033" s="1028"/>
      <c r="BT1033" s="6"/>
      <c r="BU1033" s="6"/>
      <c r="BV1033" s="6"/>
      <c r="BW1033" s="1029"/>
      <c r="BX1033" s="1028"/>
      <c r="CB1033" s="6"/>
      <c r="CC1033" s="6"/>
      <c r="CD1033" s="6"/>
      <c r="CE1033" s="1029"/>
      <c r="CJ1033" s="11"/>
      <c r="CM1033" s="11"/>
      <c r="CU1033" s="17"/>
      <c r="CV1033" s="265"/>
      <c r="CW1033" s="265"/>
      <c r="CY1033" s="11"/>
      <c r="DA1033" s="12"/>
      <c r="DB1033" s="13"/>
      <c r="DC1033" s="14"/>
      <c r="DD1033" s="265"/>
      <c r="DE1033" s="265"/>
      <c r="DF1033" s="265"/>
      <c r="DH1033" s="15"/>
      <c r="DM1033" s="4"/>
    </row>
    <row r="1034" spans="2:117" ht="15" customHeight="1">
      <c r="B1034" s="10"/>
      <c r="C1034" s="17"/>
      <c r="E1034" s="25"/>
      <c r="F1034" s="35"/>
      <c r="J1034" s="20"/>
      <c r="K1034" s="1024"/>
      <c r="L1034" s="1025"/>
      <c r="M1034" s="1026"/>
      <c r="N1034" s="1026"/>
      <c r="O1034" s="265"/>
      <c r="P1034" s="265"/>
      <c r="T1034" s="265"/>
      <c r="U1034" s="265"/>
      <c r="V1034" s="265"/>
      <c r="X1034" s="1026"/>
      <c r="Y1034" s="265"/>
      <c r="Z1034" s="265"/>
      <c r="AA1034" s="265"/>
      <c r="AD1034" s="4"/>
      <c r="AE1034" s="1026"/>
      <c r="AF1034" s="265"/>
      <c r="AU1034" s="265"/>
      <c r="AV1034" s="265"/>
      <c r="AW1034" s="265"/>
      <c r="AX1034" s="265"/>
      <c r="AY1034" s="265"/>
      <c r="AZ1034" s="265"/>
      <c r="BA1034" s="265"/>
      <c r="BB1034" s="265"/>
      <c r="BC1034" s="265"/>
      <c r="BD1034" s="265"/>
      <c r="BE1034" s="265"/>
      <c r="BF1034" s="265"/>
      <c r="BG1034" s="265"/>
      <c r="BM1034" s="6"/>
      <c r="BN1034" s="6"/>
      <c r="BO1034" s="6"/>
      <c r="BP1034" s="1028"/>
      <c r="BT1034" s="6"/>
      <c r="BU1034" s="6"/>
      <c r="BV1034" s="6"/>
      <c r="BW1034" s="1029"/>
      <c r="BX1034" s="1028"/>
      <c r="CB1034" s="6"/>
      <c r="CC1034" s="6"/>
      <c r="CD1034" s="6"/>
      <c r="CE1034" s="1029"/>
      <c r="CJ1034" s="11"/>
      <c r="CM1034" s="11"/>
      <c r="CU1034" s="17"/>
      <c r="CV1034" s="265"/>
      <c r="CW1034" s="265"/>
      <c r="CY1034" s="11"/>
      <c r="DA1034" s="12"/>
      <c r="DB1034" s="13"/>
      <c r="DC1034" s="14"/>
      <c r="DD1034" s="265"/>
      <c r="DE1034" s="265"/>
      <c r="DF1034" s="265"/>
      <c r="DH1034" s="15"/>
      <c r="DM1034" s="4"/>
    </row>
    <row r="1035" spans="2:117" ht="15" customHeight="1">
      <c r="B1035" s="10"/>
      <c r="C1035" s="17"/>
      <c r="E1035" s="25"/>
      <c r="F1035" s="35"/>
      <c r="J1035" s="20"/>
      <c r="K1035" s="1024"/>
      <c r="L1035" s="1025"/>
      <c r="M1035" s="1026"/>
      <c r="N1035" s="1026"/>
      <c r="O1035" s="265"/>
      <c r="P1035" s="265"/>
      <c r="T1035" s="265"/>
      <c r="U1035" s="265"/>
      <c r="V1035" s="265"/>
      <c r="X1035" s="1026"/>
      <c r="Y1035" s="265"/>
      <c r="Z1035" s="265"/>
      <c r="AA1035" s="265"/>
      <c r="AD1035" s="4"/>
      <c r="AE1035" s="1026"/>
      <c r="AF1035" s="265"/>
      <c r="AU1035" s="265"/>
      <c r="AV1035" s="265"/>
      <c r="AW1035" s="265"/>
      <c r="AX1035" s="265"/>
      <c r="AY1035" s="265"/>
      <c r="AZ1035" s="265"/>
      <c r="BA1035" s="265"/>
      <c r="BB1035" s="265"/>
      <c r="BC1035" s="265"/>
      <c r="BD1035" s="265"/>
      <c r="BE1035" s="265"/>
      <c r="BF1035" s="265"/>
      <c r="BG1035" s="265"/>
      <c r="BM1035" s="6"/>
      <c r="BN1035" s="6"/>
      <c r="BO1035" s="6"/>
      <c r="BP1035" s="1028"/>
      <c r="BT1035" s="6"/>
      <c r="BU1035" s="6"/>
      <c r="BV1035" s="6"/>
      <c r="BW1035" s="1029"/>
      <c r="BX1035" s="1028"/>
      <c r="CB1035" s="6"/>
      <c r="CC1035" s="6"/>
      <c r="CD1035" s="6"/>
      <c r="CE1035" s="1029"/>
      <c r="CJ1035" s="11"/>
      <c r="CM1035" s="11"/>
      <c r="CU1035" s="17"/>
      <c r="CV1035" s="265"/>
      <c r="CW1035" s="265"/>
      <c r="CY1035" s="11"/>
      <c r="DA1035" s="12"/>
      <c r="DB1035" s="13"/>
      <c r="DC1035" s="14"/>
      <c r="DD1035" s="265"/>
      <c r="DE1035" s="265"/>
      <c r="DF1035" s="265"/>
      <c r="DH1035" s="15"/>
      <c r="DM1035" s="4"/>
    </row>
    <row r="1036" spans="2:117" ht="15" customHeight="1">
      <c r="B1036" s="10"/>
      <c r="C1036" s="17"/>
      <c r="E1036" s="25"/>
      <c r="F1036" s="35"/>
      <c r="J1036" s="20"/>
      <c r="K1036" s="1024"/>
      <c r="L1036" s="1025"/>
      <c r="M1036" s="1026"/>
      <c r="N1036" s="1026"/>
      <c r="O1036" s="265"/>
      <c r="P1036" s="265"/>
      <c r="T1036" s="265"/>
      <c r="U1036" s="265"/>
      <c r="V1036" s="265"/>
      <c r="X1036" s="1026"/>
      <c r="Y1036" s="265"/>
      <c r="Z1036" s="265"/>
      <c r="AA1036" s="265"/>
      <c r="AD1036" s="4"/>
      <c r="AE1036" s="1026"/>
      <c r="AF1036" s="265"/>
      <c r="AU1036" s="265"/>
      <c r="AV1036" s="265"/>
      <c r="AW1036" s="265"/>
      <c r="AX1036" s="265"/>
      <c r="AY1036" s="265"/>
      <c r="AZ1036" s="265"/>
      <c r="BA1036" s="265"/>
      <c r="BB1036" s="265"/>
      <c r="BC1036" s="265"/>
      <c r="BD1036" s="265"/>
      <c r="BE1036" s="265"/>
      <c r="BF1036" s="265"/>
      <c r="BG1036" s="265"/>
      <c r="BM1036" s="6"/>
      <c r="BN1036" s="6"/>
      <c r="BO1036" s="6"/>
      <c r="BP1036" s="1028"/>
      <c r="BT1036" s="6"/>
      <c r="BU1036" s="6"/>
      <c r="BV1036" s="6"/>
      <c r="BW1036" s="1029"/>
      <c r="BX1036" s="1028"/>
      <c r="CB1036" s="6"/>
      <c r="CC1036" s="6"/>
      <c r="CD1036" s="6"/>
      <c r="CE1036" s="1029"/>
      <c r="CJ1036" s="11"/>
      <c r="CM1036" s="11"/>
      <c r="CU1036" s="17"/>
      <c r="CV1036" s="265"/>
      <c r="CW1036" s="265"/>
      <c r="CY1036" s="11"/>
      <c r="DA1036" s="12"/>
      <c r="DB1036" s="13"/>
      <c r="DC1036" s="14"/>
      <c r="DD1036" s="265"/>
      <c r="DE1036" s="265"/>
      <c r="DF1036" s="265"/>
      <c r="DH1036" s="15"/>
      <c r="DM1036" s="4"/>
    </row>
    <row r="1037" spans="2:117" ht="15" customHeight="1">
      <c r="B1037" s="10"/>
      <c r="C1037" s="17"/>
      <c r="E1037" s="25"/>
      <c r="F1037" s="35"/>
      <c r="J1037" s="20"/>
      <c r="K1037" s="1024"/>
      <c r="L1037" s="1025"/>
      <c r="M1037" s="1026"/>
      <c r="N1037" s="1026"/>
      <c r="O1037" s="265"/>
      <c r="P1037" s="265"/>
      <c r="T1037" s="265"/>
      <c r="U1037" s="265"/>
      <c r="V1037" s="265"/>
      <c r="X1037" s="1026"/>
      <c r="Y1037" s="265"/>
      <c r="Z1037" s="265"/>
      <c r="AA1037" s="265"/>
      <c r="AD1037" s="4"/>
      <c r="AE1037" s="1026"/>
      <c r="AF1037" s="265"/>
      <c r="AU1037" s="265"/>
      <c r="AV1037" s="265"/>
      <c r="AW1037" s="265"/>
      <c r="AX1037" s="265"/>
      <c r="AY1037" s="265"/>
      <c r="AZ1037" s="265"/>
      <c r="BA1037" s="265"/>
      <c r="BB1037" s="265"/>
      <c r="BC1037" s="265"/>
      <c r="BD1037" s="265"/>
      <c r="BE1037" s="265"/>
      <c r="BF1037" s="265"/>
      <c r="BG1037" s="265"/>
      <c r="BM1037" s="6"/>
      <c r="BN1037" s="6"/>
      <c r="BO1037" s="6"/>
      <c r="BP1037" s="1028"/>
      <c r="BT1037" s="6"/>
      <c r="BU1037" s="6"/>
      <c r="BV1037" s="6"/>
      <c r="BW1037" s="1029"/>
      <c r="BX1037" s="1028"/>
      <c r="CB1037" s="6"/>
      <c r="CC1037" s="6"/>
      <c r="CD1037" s="6"/>
      <c r="CE1037" s="1029"/>
      <c r="CJ1037" s="11"/>
      <c r="CM1037" s="11"/>
      <c r="CU1037" s="17"/>
      <c r="CV1037" s="265"/>
      <c r="CW1037" s="265"/>
      <c r="CY1037" s="11"/>
      <c r="DA1037" s="12"/>
      <c r="DB1037" s="13"/>
      <c r="DC1037" s="14"/>
      <c r="DD1037" s="265"/>
      <c r="DE1037" s="265"/>
      <c r="DF1037" s="265"/>
      <c r="DH1037" s="15"/>
      <c r="DM1037" s="4"/>
    </row>
    <row r="1038" spans="2:117" ht="15" customHeight="1">
      <c r="B1038" s="10"/>
      <c r="C1038" s="17"/>
      <c r="E1038" s="25"/>
      <c r="F1038" s="35"/>
      <c r="J1038" s="20"/>
      <c r="K1038" s="1024"/>
      <c r="L1038" s="1025"/>
      <c r="M1038" s="1026"/>
      <c r="N1038" s="1026"/>
      <c r="O1038" s="265"/>
      <c r="P1038" s="265"/>
      <c r="T1038" s="265"/>
      <c r="U1038" s="265"/>
      <c r="V1038" s="265"/>
      <c r="X1038" s="1026"/>
      <c r="Y1038" s="265"/>
      <c r="Z1038" s="265"/>
      <c r="AA1038" s="265"/>
      <c r="AD1038" s="4"/>
      <c r="AE1038" s="1026"/>
      <c r="AF1038" s="265"/>
      <c r="AU1038" s="265"/>
      <c r="AV1038" s="265"/>
      <c r="AW1038" s="265"/>
      <c r="AX1038" s="265"/>
      <c r="AY1038" s="265"/>
      <c r="AZ1038" s="265"/>
      <c r="BA1038" s="265"/>
      <c r="BB1038" s="265"/>
      <c r="BC1038" s="265"/>
      <c r="BD1038" s="265"/>
      <c r="BE1038" s="265"/>
      <c r="BF1038" s="265"/>
      <c r="BG1038" s="265"/>
      <c r="BM1038" s="6"/>
      <c r="BN1038" s="6"/>
      <c r="BO1038" s="6"/>
      <c r="BP1038" s="1028"/>
      <c r="BT1038" s="6"/>
      <c r="BU1038" s="6"/>
      <c r="BV1038" s="6"/>
      <c r="BW1038" s="1029"/>
      <c r="BX1038" s="1028"/>
      <c r="CB1038" s="6"/>
      <c r="CC1038" s="6"/>
      <c r="CD1038" s="6"/>
      <c r="CE1038" s="1029"/>
      <c r="CJ1038" s="11"/>
      <c r="CM1038" s="11"/>
      <c r="CU1038" s="17"/>
      <c r="CV1038" s="265"/>
      <c r="CW1038" s="265"/>
      <c r="CY1038" s="11"/>
      <c r="DA1038" s="12"/>
      <c r="DB1038" s="13"/>
      <c r="DC1038" s="14"/>
      <c r="DD1038" s="265"/>
      <c r="DE1038" s="265"/>
      <c r="DF1038" s="265"/>
      <c r="DH1038" s="15"/>
      <c r="DM1038" s="4"/>
    </row>
    <row r="1039" spans="2:117" ht="15" customHeight="1">
      <c r="B1039" s="10"/>
      <c r="C1039" s="17"/>
      <c r="E1039" s="25"/>
      <c r="F1039" s="35"/>
      <c r="J1039" s="20"/>
      <c r="K1039" s="1024"/>
      <c r="L1039" s="1025"/>
      <c r="M1039" s="1026"/>
      <c r="N1039" s="1026"/>
      <c r="O1039" s="265"/>
      <c r="P1039" s="265"/>
      <c r="T1039" s="265"/>
      <c r="U1039" s="265"/>
      <c r="V1039" s="265"/>
      <c r="X1039" s="1026"/>
      <c r="Y1039" s="265"/>
      <c r="Z1039" s="265"/>
      <c r="AA1039" s="265"/>
      <c r="AD1039" s="4"/>
      <c r="AE1039" s="1026"/>
      <c r="AF1039" s="265"/>
      <c r="AU1039" s="265"/>
      <c r="AV1039" s="265"/>
      <c r="AW1039" s="265"/>
      <c r="AX1039" s="265"/>
      <c r="AY1039" s="265"/>
      <c r="AZ1039" s="265"/>
      <c r="BA1039" s="265"/>
      <c r="BB1039" s="265"/>
      <c r="BC1039" s="265"/>
      <c r="BD1039" s="265"/>
      <c r="BE1039" s="265"/>
      <c r="BF1039" s="265"/>
      <c r="BG1039" s="265"/>
      <c r="BM1039" s="6"/>
      <c r="BN1039" s="6"/>
      <c r="BO1039" s="6"/>
      <c r="BP1039" s="1028"/>
      <c r="BT1039" s="6"/>
      <c r="BU1039" s="6"/>
      <c r="BV1039" s="6"/>
      <c r="BW1039" s="1029"/>
      <c r="BX1039" s="1028"/>
      <c r="CB1039" s="6"/>
      <c r="CC1039" s="6"/>
      <c r="CD1039" s="6"/>
      <c r="CE1039" s="1029"/>
      <c r="CJ1039" s="11"/>
      <c r="CM1039" s="11"/>
      <c r="CU1039" s="17"/>
      <c r="CV1039" s="265"/>
      <c r="CW1039" s="265"/>
      <c r="CY1039" s="11"/>
      <c r="DA1039" s="12"/>
      <c r="DB1039" s="13"/>
      <c r="DC1039" s="14"/>
      <c r="DD1039" s="265"/>
      <c r="DE1039" s="265"/>
      <c r="DF1039" s="265"/>
      <c r="DH1039" s="15"/>
      <c r="DM1039" s="4"/>
    </row>
    <row r="1040" spans="2:117" ht="15" customHeight="1">
      <c r="B1040" s="10"/>
      <c r="C1040" s="17"/>
      <c r="E1040" s="25"/>
      <c r="F1040" s="35"/>
      <c r="J1040" s="20"/>
      <c r="K1040" s="1024"/>
      <c r="L1040" s="1025"/>
      <c r="M1040" s="1026"/>
      <c r="N1040" s="1026"/>
      <c r="O1040" s="265"/>
      <c r="P1040" s="265"/>
      <c r="T1040" s="265"/>
      <c r="U1040" s="265"/>
      <c r="V1040" s="265"/>
      <c r="X1040" s="1026"/>
      <c r="Y1040" s="265"/>
      <c r="Z1040" s="265"/>
      <c r="AA1040" s="265"/>
      <c r="AD1040" s="4"/>
      <c r="AE1040" s="1026"/>
      <c r="AF1040" s="265"/>
      <c r="AU1040" s="265"/>
      <c r="AV1040" s="265"/>
      <c r="AW1040" s="265"/>
      <c r="AX1040" s="265"/>
      <c r="AY1040" s="265"/>
      <c r="AZ1040" s="265"/>
      <c r="BA1040" s="265"/>
      <c r="BB1040" s="265"/>
      <c r="BC1040" s="265"/>
      <c r="BD1040" s="265"/>
      <c r="BE1040" s="265"/>
      <c r="BF1040" s="265"/>
      <c r="BG1040" s="265"/>
      <c r="BM1040" s="6"/>
      <c r="BN1040" s="6"/>
      <c r="BO1040" s="6"/>
      <c r="BP1040" s="1028"/>
      <c r="BT1040" s="6"/>
      <c r="BU1040" s="6"/>
      <c r="BV1040" s="6"/>
      <c r="BW1040" s="1029"/>
      <c r="BX1040" s="1028"/>
      <c r="CB1040" s="6"/>
      <c r="CC1040" s="6"/>
      <c r="CD1040" s="6"/>
      <c r="CE1040" s="1029"/>
      <c r="CJ1040" s="11"/>
      <c r="CM1040" s="11"/>
      <c r="CU1040" s="17"/>
      <c r="CV1040" s="265"/>
      <c r="CW1040" s="265"/>
      <c r="CY1040" s="11"/>
      <c r="DA1040" s="12"/>
      <c r="DB1040" s="13"/>
      <c r="DC1040" s="14"/>
      <c r="DD1040" s="265"/>
      <c r="DE1040" s="265"/>
      <c r="DF1040" s="265"/>
      <c r="DH1040" s="15"/>
      <c r="DM1040" s="4"/>
    </row>
    <row r="1041" spans="2:117" ht="15" customHeight="1">
      <c r="B1041" s="10"/>
      <c r="C1041" s="17"/>
      <c r="E1041" s="25"/>
      <c r="F1041" s="35"/>
      <c r="J1041" s="20"/>
      <c r="K1041" s="1024"/>
      <c r="L1041" s="1025"/>
      <c r="M1041" s="1026"/>
      <c r="N1041" s="1026"/>
      <c r="O1041" s="265"/>
      <c r="P1041" s="265"/>
      <c r="T1041" s="265"/>
      <c r="U1041" s="265"/>
      <c r="V1041" s="265"/>
      <c r="X1041" s="1026"/>
      <c r="Y1041" s="265"/>
      <c r="Z1041" s="265"/>
      <c r="AA1041" s="265"/>
      <c r="AD1041" s="4"/>
      <c r="AE1041" s="1026"/>
      <c r="AF1041" s="265"/>
      <c r="AU1041" s="265"/>
      <c r="AV1041" s="265"/>
      <c r="AW1041" s="265"/>
      <c r="AX1041" s="265"/>
      <c r="AY1041" s="265"/>
      <c r="AZ1041" s="265"/>
      <c r="BA1041" s="265"/>
      <c r="BB1041" s="265"/>
      <c r="BC1041" s="265"/>
      <c r="BD1041" s="265"/>
      <c r="BE1041" s="265"/>
      <c r="BF1041" s="265"/>
      <c r="BG1041" s="265"/>
      <c r="BM1041" s="6"/>
      <c r="BN1041" s="6"/>
      <c r="BO1041" s="6"/>
      <c r="BP1041" s="1028"/>
      <c r="BT1041" s="6"/>
      <c r="BU1041" s="6"/>
      <c r="BV1041" s="6"/>
      <c r="BW1041" s="1029"/>
      <c r="BX1041" s="1028"/>
      <c r="CB1041" s="6"/>
      <c r="CC1041" s="6"/>
      <c r="CD1041" s="6"/>
      <c r="CE1041" s="1029"/>
      <c r="CJ1041" s="11"/>
      <c r="CM1041" s="11"/>
      <c r="CU1041" s="17"/>
      <c r="CV1041" s="265"/>
      <c r="CW1041" s="265"/>
      <c r="CY1041" s="11"/>
      <c r="DA1041" s="12"/>
      <c r="DB1041" s="13"/>
      <c r="DC1041" s="14"/>
      <c r="DD1041" s="265"/>
      <c r="DE1041" s="265"/>
      <c r="DF1041" s="265"/>
      <c r="DH1041" s="15"/>
      <c r="DM1041" s="4"/>
    </row>
    <row r="1042" spans="2:117" ht="15" customHeight="1">
      <c r="B1042" s="10"/>
      <c r="C1042" s="17"/>
      <c r="E1042" s="25"/>
      <c r="F1042" s="35"/>
      <c r="J1042" s="20"/>
      <c r="K1042" s="1024"/>
      <c r="L1042" s="1025"/>
      <c r="M1042" s="1026"/>
      <c r="N1042" s="1026"/>
      <c r="O1042" s="265"/>
      <c r="P1042" s="265"/>
      <c r="T1042" s="265"/>
      <c r="U1042" s="265"/>
      <c r="V1042" s="265"/>
      <c r="X1042" s="1026"/>
      <c r="Y1042" s="265"/>
      <c r="Z1042" s="265"/>
      <c r="AA1042" s="265"/>
      <c r="AD1042" s="4"/>
      <c r="AE1042" s="1026"/>
      <c r="AF1042" s="265"/>
      <c r="AU1042" s="265"/>
      <c r="AV1042" s="265"/>
      <c r="AW1042" s="265"/>
      <c r="AX1042" s="265"/>
      <c r="AY1042" s="265"/>
      <c r="AZ1042" s="265"/>
      <c r="BA1042" s="265"/>
      <c r="BB1042" s="265"/>
      <c r="BC1042" s="265"/>
      <c r="BD1042" s="265"/>
      <c r="BE1042" s="265"/>
      <c r="BF1042" s="265"/>
      <c r="BG1042" s="265"/>
      <c r="BM1042" s="6"/>
      <c r="BN1042" s="6"/>
      <c r="BO1042" s="6"/>
      <c r="BP1042" s="1028"/>
      <c r="BT1042" s="6"/>
      <c r="BU1042" s="6"/>
      <c r="BV1042" s="6"/>
      <c r="BW1042" s="1029"/>
      <c r="BX1042" s="1028"/>
      <c r="CB1042" s="6"/>
      <c r="CC1042" s="6"/>
      <c r="CD1042" s="6"/>
      <c r="CE1042" s="1029"/>
      <c r="CJ1042" s="11"/>
      <c r="CM1042" s="11"/>
      <c r="CU1042" s="17"/>
      <c r="CV1042" s="265"/>
      <c r="CW1042" s="265"/>
      <c r="CY1042" s="11"/>
      <c r="DA1042" s="12"/>
      <c r="DB1042" s="13"/>
      <c r="DC1042" s="14"/>
      <c r="DD1042" s="265"/>
      <c r="DE1042" s="265"/>
      <c r="DF1042" s="265"/>
      <c r="DH1042" s="15"/>
      <c r="DM1042" s="4"/>
    </row>
    <row r="1043" spans="2:117" ht="15" customHeight="1">
      <c r="B1043" s="10"/>
      <c r="C1043" s="17"/>
      <c r="E1043" s="25"/>
      <c r="F1043" s="35"/>
      <c r="J1043" s="20"/>
      <c r="K1043" s="1024"/>
      <c r="L1043" s="1025"/>
      <c r="M1043" s="1026"/>
      <c r="N1043" s="1026"/>
      <c r="O1043" s="265"/>
      <c r="P1043" s="265"/>
      <c r="T1043" s="265"/>
      <c r="U1043" s="265"/>
      <c r="V1043" s="265"/>
      <c r="X1043" s="1026"/>
      <c r="Y1043" s="265"/>
      <c r="Z1043" s="265"/>
      <c r="AA1043" s="265"/>
      <c r="AD1043" s="4"/>
      <c r="AE1043" s="1026"/>
      <c r="AF1043" s="265"/>
      <c r="AU1043" s="265"/>
      <c r="AV1043" s="265"/>
      <c r="AW1043" s="265"/>
      <c r="AX1043" s="265"/>
      <c r="AY1043" s="265"/>
      <c r="AZ1043" s="265"/>
      <c r="BA1043" s="265"/>
      <c r="BB1043" s="265"/>
      <c r="BC1043" s="265"/>
      <c r="BD1043" s="265"/>
      <c r="BE1043" s="265"/>
      <c r="BF1043" s="265"/>
      <c r="BG1043" s="265"/>
      <c r="BM1043" s="6"/>
      <c r="BN1043" s="6"/>
      <c r="BO1043" s="6"/>
      <c r="BP1043" s="1028"/>
      <c r="BT1043" s="6"/>
      <c r="BU1043" s="6"/>
      <c r="BV1043" s="6"/>
      <c r="BW1043" s="1029"/>
      <c r="BX1043" s="1028"/>
      <c r="CB1043" s="6"/>
      <c r="CC1043" s="6"/>
      <c r="CD1043" s="6"/>
      <c r="CE1043" s="1029"/>
      <c r="CJ1043" s="11"/>
      <c r="CM1043" s="11"/>
      <c r="CU1043" s="17"/>
      <c r="CV1043" s="265"/>
      <c r="CW1043" s="265"/>
      <c r="CY1043" s="11"/>
      <c r="DA1043" s="12"/>
      <c r="DB1043" s="13"/>
      <c r="DC1043" s="14"/>
      <c r="DD1043" s="265"/>
      <c r="DE1043" s="265"/>
      <c r="DF1043" s="265"/>
      <c r="DH1043" s="15"/>
      <c r="DM1043" s="4"/>
    </row>
    <row r="1044" spans="2:117" ht="15" customHeight="1">
      <c r="B1044" s="10"/>
      <c r="C1044" s="17"/>
      <c r="E1044" s="25"/>
      <c r="F1044" s="35"/>
      <c r="J1044" s="20"/>
      <c r="K1044" s="1024"/>
      <c r="L1044" s="1025"/>
      <c r="M1044" s="1026"/>
      <c r="N1044" s="1026"/>
      <c r="O1044" s="265"/>
      <c r="P1044" s="265"/>
      <c r="T1044" s="265"/>
      <c r="U1044" s="265"/>
      <c r="V1044" s="265"/>
      <c r="X1044" s="1026"/>
      <c r="Y1044" s="265"/>
      <c r="Z1044" s="265"/>
      <c r="AA1044" s="265"/>
      <c r="AD1044" s="4"/>
      <c r="AE1044" s="1026"/>
      <c r="AF1044" s="265"/>
      <c r="AU1044" s="265"/>
      <c r="AV1044" s="265"/>
      <c r="AW1044" s="265"/>
      <c r="AX1044" s="265"/>
      <c r="AY1044" s="265"/>
      <c r="AZ1044" s="265"/>
      <c r="BA1044" s="265"/>
      <c r="BB1044" s="265"/>
      <c r="BC1044" s="265"/>
      <c r="BD1044" s="265"/>
      <c r="BE1044" s="265"/>
      <c r="BF1044" s="265"/>
      <c r="BG1044" s="265"/>
      <c r="BM1044" s="6"/>
      <c r="BN1044" s="6"/>
      <c r="BO1044" s="6"/>
      <c r="BP1044" s="1028"/>
      <c r="BT1044" s="6"/>
      <c r="BU1044" s="6"/>
      <c r="BV1044" s="6"/>
      <c r="BW1044" s="1029"/>
      <c r="BX1044" s="1028"/>
      <c r="CB1044" s="6"/>
      <c r="CC1044" s="6"/>
      <c r="CD1044" s="6"/>
      <c r="CE1044" s="1029"/>
      <c r="CJ1044" s="11"/>
      <c r="CM1044" s="11"/>
      <c r="CU1044" s="17"/>
      <c r="CV1044" s="265"/>
      <c r="CW1044" s="265"/>
      <c r="CY1044" s="11"/>
      <c r="DA1044" s="12"/>
      <c r="DB1044" s="13"/>
      <c r="DC1044" s="14"/>
      <c r="DD1044" s="265"/>
      <c r="DE1044" s="265"/>
      <c r="DF1044" s="265"/>
      <c r="DH1044" s="15"/>
      <c r="DM1044" s="4"/>
    </row>
    <row r="1045" spans="2:117" ht="15" customHeight="1">
      <c r="B1045" s="10"/>
      <c r="C1045" s="17"/>
      <c r="E1045" s="25"/>
      <c r="F1045" s="35"/>
      <c r="J1045" s="20"/>
      <c r="K1045" s="1024"/>
      <c r="L1045" s="1025"/>
      <c r="M1045" s="1026"/>
      <c r="N1045" s="1026"/>
      <c r="O1045" s="265"/>
      <c r="P1045" s="265"/>
      <c r="T1045" s="265"/>
      <c r="U1045" s="265"/>
      <c r="V1045" s="265"/>
      <c r="X1045" s="1026"/>
      <c r="Y1045" s="265"/>
      <c r="Z1045" s="265"/>
      <c r="AA1045" s="265"/>
      <c r="AD1045" s="4"/>
      <c r="AE1045" s="1026"/>
      <c r="AF1045" s="265"/>
      <c r="AU1045" s="265"/>
      <c r="AV1045" s="265"/>
      <c r="AW1045" s="265"/>
      <c r="AX1045" s="265"/>
      <c r="AY1045" s="265"/>
      <c r="AZ1045" s="265"/>
      <c r="BA1045" s="265"/>
      <c r="BB1045" s="265"/>
      <c r="BC1045" s="265"/>
      <c r="BD1045" s="265"/>
      <c r="BE1045" s="265"/>
      <c r="BF1045" s="265"/>
      <c r="BG1045" s="265"/>
      <c r="BM1045" s="6"/>
      <c r="BN1045" s="6"/>
      <c r="BO1045" s="6"/>
      <c r="BP1045" s="1028"/>
      <c r="BT1045" s="6"/>
      <c r="BU1045" s="6"/>
      <c r="BV1045" s="6"/>
      <c r="BW1045" s="1029"/>
      <c r="BX1045" s="1028"/>
      <c r="CB1045" s="6"/>
      <c r="CC1045" s="6"/>
      <c r="CD1045" s="6"/>
      <c r="CE1045" s="1029"/>
      <c r="CJ1045" s="11"/>
      <c r="CM1045" s="11"/>
      <c r="CU1045" s="17"/>
      <c r="CV1045" s="265"/>
      <c r="CW1045" s="265"/>
      <c r="CY1045" s="11"/>
      <c r="DA1045" s="12"/>
      <c r="DB1045" s="13"/>
      <c r="DC1045" s="14"/>
      <c r="DD1045" s="265"/>
      <c r="DE1045" s="265"/>
      <c r="DF1045" s="265"/>
      <c r="DH1045" s="15"/>
      <c r="DM1045" s="4"/>
    </row>
    <row r="1046" spans="2:117" ht="15" customHeight="1">
      <c r="B1046" s="10"/>
      <c r="C1046" s="17"/>
      <c r="E1046" s="25"/>
      <c r="F1046" s="35"/>
      <c r="J1046" s="20"/>
      <c r="K1046" s="1024"/>
      <c r="L1046" s="1025"/>
      <c r="M1046" s="1026"/>
      <c r="N1046" s="1026"/>
      <c r="O1046" s="265"/>
      <c r="P1046" s="265"/>
      <c r="T1046" s="265"/>
      <c r="U1046" s="265"/>
      <c r="V1046" s="265"/>
      <c r="X1046" s="1026"/>
      <c r="Y1046" s="265"/>
      <c r="Z1046" s="265"/>
      <c r="AA1046" s="265"/>
      <c r="AD1046" s="4"/>
      <c r="AE1046" s="1026"/>
      <c r="AF1046" s="265"/>
      <c r="AU1046" s="265"/>
      <c r="AV1046" s="265"/>
      <c r="AW1046" s="265"/>
      <c r="AX1046" s="265"/>
      <c r="AY1046" s="265"/>
      <c r="AZ1046" s="265"/>
      <c r="BA1046" s="265"/>
      <c r="BB1046" s="265"/>
      <c r="BC1046" s="265"/>
      <c r="BD1046" s="265"/>
      <c r="BE1046" s="265"/>
      <c r="BF1046" s="265"/>
      <c r="BG1046" s="265"/>
      <c r="BM1046" s="6"/>
      <c r="BN1046" s="6"/>
      <c r="BO1046" s="6"/>
      <c r="BP1046" s="1028"/>
      <c r="BT1046" s="6"/>
      <c r="BU1046" s="6"/>
      <c r="BV1046" s="6"/>
      <c r="BW1046" s="1029"/>
      <c r="BX1046" s="1028"/>
      <c r="CB1046" s="6"/>
      <c r="CC1046" s="6"/>
      <c r="CD1046" s="6"/>
      <c r="CE1046" s="1029"/>
      <c r="CJ1046" s="11"/>
      <c r="CM1046" s="11"/>
      <c r="CU1046" s="17"/>
      <c r="CV1046" s="265"/>
      <c r="CW1046" s="265"/>
      <c r="CY1046" s="11"/>
      <c r="DA1046" s="12"/>
      <c r="DB1046" s="13"/>
      <c r="DC1046" s="14"/>
      <c r="DD1046" s="265"/>
      <c r="DE1046" s="265"/>
      <c r="DF1046" s="265"/>
      <c r="DH1046" s="15"/>
      <c r="DM1046" s="4"/>
    </row>
    <row r="1047" spans="2:117" ht="15" customHeight="1">
      <c r="B1047" s="10"/>
      <c r="C1047" s="17"/>
      <c r="E1047" s="25"/>
      <c r="F1047" s="35"/>
      <c r="J1047" s="20"/>
      <c r="K1047" s="1024"/>
      <c r="L1047" s="1025"/>
      <c r="M1047" s="1026"/>
      <c r="N1047" s="1026"/>
      <c r="O1047" s="265"/>
      <c r="P1047" s="265"/>
      <c r="T1047" s="265"/>
      <c r="U1047" s="265"/>
      <c r="V1047" s="265"/>
      <c r="X1047" s="1026"/>
      <c r="Y1047" s="265"/>
      <c r="Z1047" s="265"/>
      <c r="AA1047" s="265"/>
      <c r="AD1047" s="4"/>
      <c r="AE1047" s="1026"/>
      <c r="AF1047" s="265"/>
      <c r="AU1047" s="265"/>
      <c r="AV1047" s="265"/>
      <c r="AW1047" s="265"/>
      <c r="AX1047" s="265"/>
      <c r="AY1047" s="265"/>
      <c r="AZ1047" s="265"/>
      <c r="BA1047" s="265"/>
      <c r="BB1047" s="265"/>
      <c r="BC1047" s="265"/>
      <c r="BD1047" s="265"/>
      <c r="BE1047" s="265"/>
      <c r="BF1047" s="265"/>
      <c r="BG1047" s="265"/>
      <c r="BM1047" s="6"/>
      <c r="BN1047" s="6"/>
      <c r="BO1047" s="6"/>
      <c r="BP1047" s="1028"/>
      <c r="BT1047" s="6"/>
      <c r="BU1047" s="6"/>
      <c r="BV1047" s="6"/>
      <c r="BW1047" s="1029"/>
      <c r="BX1047" s="1028"/>
      <c r="CB1047" s="6"/>
      <c r="CC1047" s="6"/>
      <c r="CD1047" s="6"/>
      <c r="CE1047" s="1029"/>
      <c r="CJ1047" s="11"/>
      <c r="CM1047" s="11"/>
      <c r="CU1047" s="17"/>
      <c r="CV1047" s="265"/>
      <c r="CW1047" s="265"/>
      <c r="CY1047" s="11"/>
      <c r="DA1047" s="12"/>
      <c r="DB1047" s="13"/>
      <c r="DC1047" s="14"/>
      <c r="DD1047" s="265"/>
      <c r="DE1047" s="265"/>
      <c r="DF1047" s="265"/>
      <c r="DH1047" s="15"/>
      <c r="DM1047" s="4"/>
    </row>
    <row r="1048" spans="2:117" ht="15" customHeight="1">
      <c r="B1048" s="10"/>
      <c r="C1048" s="17"/>
      <c r="E1048" s="25"/>
      <c r="F1048" s="35"/>
      <c r="J1048" s="20"/>
      <c r="K1048" s="1024"/>
      <c r="L1048" s="1025"/>
      <c r="M1048" s="1026"/>
      <c r="N1048" s="1026"/>
      <c r="O1048" s="265"/>
      <c r="P1048" s="265"/>
      <c r="T1048" s="265"/>
      <c r="U1048" s="265"/>
      <c r="V1048" s="265"/>
      <c r="X1048" s="1026"/>
      <c r="Y1048" s="265"/>
      <c r="Z1048" s="265"/>
      <c r="AA1048" s="265"/>
      <c r="AD1048" s="4"/>
      <c r="AE1048" s="1026"/>
      <c r="AF1048" s="265"/>
      <c r="AU1048" s="265"/>
      <c r="AV1048" s="265"/>
      <c r="AW1048" s="265"/>
      <c r="AX1048" s="265"/>
      <c r="AY1048" s="265"/>
      <c r="AZ1048" s="265"/>
      <c r="BA1048" s="265"/>
      <c r="BB1048" s="265"/>
      <c r="BC1048" s="265"/>
      <c r="BD1048" s="265"/>
      <c r="BE1048" s="265"/>
      <c r="BF1048" s="265"/>
      <c r="BG1048" s="265"/>
      <c r="BM1048" s="6"/>
      <c r="BN1048" s="6"/>
      <c r="BO1048" s="6"/>
      <c r="BP1048" s="1028"/>
      <c r="BT1048" s="6"/>
      <c r="BU1048" s="6"/>
      <c r="BV1048" s="6"/>
      <c r="BW1048" s="1029"/>
      <c r="BX1048" s="1028"/>
      <c r="CB1048" s="6"/>
      <c r="CC1048" s="6"/>
      <c r="CD1048" s="6"/>
      <c r="CE1048" s="1029"/>
      <c r="CJ1048" s="11"/>
      <c r="CM1048" s="11"/>
      <c r="CU1048" s="17"/>
      <c r="CV1048" s="265"/>
      <c r="CW1048" s="265"/>
      <c r="CY1048" s="11"/>
      <c r="DA1048" s="12"/>
      <c r="DB1048" s="13"/>
      <c r="DC1048" s="14"/>
      <c r="DD1048" s="265"/>
      <c r="DE1048" s="265"/>
      <c r="DF1048" s="265"/>
      <c r="DH1048" s="15"/>
      <c r="DM1048" s="4"/>
    </row>
    <row r="1049" spans="2:117" ht="15" customHeight="1">
      <c r="B1049" s="10"/>
      <c r="C1049" s="17"/>
      <c r="E1049" s="25"/>
      <c r="F1049" s="35"/>
      <c r="J1049" s="20"/>
      <c r="K1049" s="1024"/>
      <c r="L1049" s="1025"/>
      <c r="M1049" s="1026"/>
      <c r="N1049" s="1026"/>
      <c r="O1049" s="265"/>
      <c r="P1049" s="265"/>
      <c r="T1049" s="265"/>
      <c r="U1049" s="265"/>
      <c r="V1049" s="265"/>
      <c r="X1049" s="1026"/>
      <c r="Y1049" s="265"/>
      <c r="Z1049" s="265"/>
      <c r="AA1049" s="265"/>
      <c r="AD1049" s="4"/>
      <c r="AE1049" s="1026"/>
      <c r="AF1049" s="265"/>
      <c r="AU1049" s="265"/>
      <c r="AV1049" s="265"/>
      <c r="AW1049" s="265"/>
      <c r="AX1049" s="265"/>
      <c r="AY1049" s="265"/>
      <c r="AZ1049" s="265"/>
      <c r="BA1049" s="265"/>
      <c r="BB1049" s="265"/>
      <c r="BC1049" s="265"/>
      <c r="BD1049" s="265"/>
      <c r="BE1049" s="265"/>
      <c r="BF1049" s="265"/>
      <c r="BG1049" s="265"/>
      <c r="BM1049" s="6"/>
      <c r="BN1049" s="6"/>
      <c r="BO1049" s="6"/>
      <c r="BP1049" s="1028"/>
      <c r="BT1049" s="6"/>
      <c r="BU1049" s="6"/>
      <c r="BV1049" s="6"/>
      <c r="BW1049" s="1029"/>
      <c r="BX1049" s="1028"/>
      <c r="CB1049" s="6"/>
      <c r="CC1049" s="6"/>
      <c r="CD1049" s="6"/>
      <c r="CE1049" s="1029"/>
      <c r="CJ1049" s="11"/>
      <c r="CM1049" s="11"/>
      <c r="CU1049" s="17"/>
      <c r="CV1049" s="265"/>
      <c r="CW1049" s="265"/>
      <c r="CY1049" s="11"/>
      <c r="DA1049" s="12"/>
      <c r="DB1049" s="13"/>
      <c r="DC1049" s="14"/>
      <c r="DD1049" s="265"/>
      <c r="DE1049" s="265"/>
      <c r="DF1049" s="265"/>
      <c r="DH1049" s="15"/>
      <c r="DM1049" s="4"/>
    </row>
    <row r="1050" spans="2:117" ht="15" customHeight="1">
      <c r="B1050" s="10"/>
      <c r="C1050" s="17"/>
      <c r="E1050" s="25"/>
      <c r="F1050" s="35"/>
      <c r="J1050" s="20"/>
      <c r="K1050" s="1024"/>
      <c r="L1050" s="1025"/>
      <c r="M1050" s="1026"/>
      <c r="N1050" s="1026"/>
      <c r="O1050" s="265"/>
      <c r="P1050" s="265"/>
      <c r="T1050" s="265"/>
      <c r="U1050" s="265"/>
      <c r="V1050" s="265"/>
      <c r="X1050" s="1026"/>
      <c r="Y1050" s="265"/>
      <c r="Z1050" s="265"/>
      <c r="AA1050" s="265"/>
      <c r="AD1050" s="4"/>
      <c r="AE1050" s="1026"/>
      <c r="AF1050" s="265"/>
      <c r="AU1050" s="265"/>
      <c r="AV1050" s="265"/>
      <c r="AW1050" s="265"/>
      <c r="AX1050" s="265"/>
      <c r="AY1050" s="265"/>
      <c r="AZ1050" s="265"/>
      <c r="BA1050" s="265"/>
      <c r="BB1050" s="265"/>
      <c r="BC1050" s="265"/>
      <c r="BD1050" s="265"/>
      <c r="BE1050" s="265"/>
      <c r="BF1050" s="265"/>
      <c r="BG1050" s="265"/>
      <c r="BM1050" s="6"/>
      <c r="BN1050" s="6"/>
      <c r="BO1050" s="6"/>
      <c r="BP1050" s="1028"/>
      <c r="BT1050" s="6"/>
      <c r="BU1050" s="6"/>
      <c r="BV1050" s="6"/>
      <c r="BW1050" s="1029"/>
      <c r="BX1050" s="1028"/>
      <c r="CB1050" s="6"/>
      <c r="CC1050" s="6"/>
      <c r="CD1050" s="6"/>
      <c r="CE1050" s="1029"/>
      <c r="CJ1050" s="11"/>
      <c r="CM1050" s="11"/>
      <c r="CU1050" s="17"/>
      <c r="CV1050" s="265"/>
      <c r="CW1050" s="265"/>
      <c r="CY1050" s="11"/>
      <c r="DA1050" s="12"/>
      <c r="DB1050" s="13"/>
      <c r="DC1050" s="14"/>
      <c r="DD1050" s="265"/>
      <c r="DE1050" s="265"/>
      <c r="DF1050" s="265"/>
      <c r="DH1050" s="15"/>
      <c r="DM1050" s="4"/>
    </row>
    <row r="1051" spans="2:117" ht="15" customHeight="1">
      <c r="B1051" s="10"/>
      <c r="C1051" s="17"/>
      <c r="E1051" s="25"/>
      <c r="F1051" s="35"/>
      <c r="J1051" s="20"/>
      <c r="K1051" s="1024"/>
      <c r="L1051" s="1025"/>
      <c r="M1051" s="1026"/>
      <c r="N1051" s="1026"/>
      <c r="O1051" s="265"/>
      <c r="P1051" s="265"/>
      <c r="T1051" s="265"/>
      <c r="U1051" s="265"/>
      <c r="V1051" s="265"/>
      <c r="X1051" s="1026"/>
      <c r="Y1051" s="265"/>
      <c r="Z1051" s="265"/>
      <c r="AA1051" s="265"/>
      <c r="AD1051" s="4"/>
      <c r="AE1051" s="1026"/>
      <c r="AF1051" s="265"/>
      <c r="AU1051" s="265"/>
      <c r="AV1051" s="265"/>
      <c r="AW1051" s="265"/>
      <c r="AX1051" s="265"/>
      <c r="AY1051" s="265"/>
      <c r="AZ1051" s="265"/>
      <c r="BA1051" s="265"/>
      <c r="BB1051" s="265"/>
      <c r="BC1051" s="265"/>
      <c r="BD1051" s="265"/>
      <c r="BE1051" s="265"/>
      <c r="BF1051" s="265"/>
      <c r="BG1051" s="265"/>
      <c r="BM1051" s="6"/>
      <c r="BN1051" s="6"/>
      <c r="BO1051" s="6"/>
      <c r="BP1051" s="1028"/>
      <c r="BT1051" s="6"/>
      <c r="BU1051" s="6"/>
      <c r="BV1051" s="6"/>
      <c r="BW1051" s="1029"/>
      <c r="BX1051" s="1028"/>
      <c r="CB1051" s="6"/>
      <c r="CC1051" s="6"/>
      <c r="CD1051" s="6"/>
      <c r="CE1051" s="1029"/>
      <c r="CJ1051" s="11"/>
      <c r="CM1051" s="11"/>
      <c r="CU1051" s="17"/>
      <c r="CV1051" s="265"/>
      <c r="CW1051" s="265"/>
      <c r="CY1051" s="11"/>
      <c r="DA1051" s="12"/>
      <c r="DB1051" s="13"/>
      <c r="DC1051" s="14"/>
      <c r="DD1051" s="265"/>
      <c r="DE1051" s="265"/>
      <c r="DF1051" s="265"/>
      <c r="DH1051" s="15"/>
      <c r="DM1051" s="4"/>
    </row>
    <row r="1052" spans="2:117" ht="15" customHeight="1">
      <c r="B1052" s="10"/>
      <c r="C1052" s="17"/>
      <c r="E1052" s="25"/>
      <c r="F1052" s="35"/>
      <c r="J1052" s="20"/>
      <c r="K1052" s="1024"/>
      <c r="L1052" s="1025"/>
      <c r="M1052" s="1026"/>
      <c r="N1052" s="1026"/>
      <c r="O1052" s="265"/>
      <c r="P1052" s="265"/>
      <c r="T1052" s="265"/>
      <c r="U1052" s="265"/>
      <c r="V1052" s="265"/>
      <c r="X1052" s="1026"/>
      <c r="Y1052" s="265"/>
      <c r="Z1052" s="265"/>
      <c r="AA1052" s="265"/>
      <c r="AD1052" s="4"/>
      <c r="AE1052" s="1026"/>
      <c r="AF1052" s="265"/>
      <c r="AU1052" s="265"/>
      <c r="AV1052" s="265"/>
      <c r="AW1052" s="265"/>
      <c r="AX1052" s="265"/>
      <c r="AY1052" s="265"/>
      <c r="AZ1052" s="265"/>
      <c r="BA1052" s="265"/>
      <c r="BB1052" s="265"/>
      <c r="BC1052" s="265"/>
      <c r="BD1052" s="265"/>
      <c r="BE1052" s="265"/>
      <c r="BF1052" s="265"/>
      <c r="BG1052" s="265"/>
      <c r="BM1052" s="6"/>
      <c r="BN1052" s="6"/>
      <c r="BO1052" s="6"/>
      <c r="BP1052" s="1028"/>
      <c r="BT1052" s="6"/>
      <c r="BU1052" s="6"/>
      <c r="BV1052" s="6"/>
      <c r="BW1052" s="1029"/>
      <c r="BX1052" s="1028"/>
      <c r="CB1052" s="6"/>
      <c r="CC1052" s="6"/>
      <c r="CD1052" s="6"/>
      <c r="CE1052" s="1029"/>
      <c r="CJ1052" s="11"/>
      <c r="CM1052" s="11"/>
      <c r="CU1052" s="17"/>
      <c r="CV1052" s="265"/>
      <c r="CW1052" s="265"/>
      <c r="CY1052" s="11"/>
      <c r="DA1052" s="12"/>
      <c r="DB1052" s="13"/>
      <c r="DC1052" s="14"/>
      <c r="DD1052" s="265"/>
      <c r="DE1052" s="265"/>
      <c r="DF1052" s="265"/>
      <c r="DH1052" s="15"/>
      <c r="DM1052" s="4"/>
    </row>
    <row r="1053" spans="2:117" ht="15" customHeight="1">
      <c r="B1053" s="10"/>
      <c r="C1053" s="17"/>
      <c r="E1053" s="25"/>
      <c r="F1053" s="35"/>
      <c r="J1053" s="20"/>
      <c r="K1053" s="1024"/>
      <c r="L1053" s="1025"/>
      <c r="M1053" s="1026"/>
      <c r="N1053" s="1026"/>
      <c r="O1053" s="265"/>
      <c r="P1053" s="265"/>
      <c r="T1053" s="265"/>
      <c r="U1053" s="265"/>
      <c r="V1053" s="265"/>
      <c r="X1053" s="1026"/>
      <c r="Y1053" s="265"/>
      <c r="Z1053" s="265"/>
      <c r="AA1053" s="265"/>
      <c r="AD1053" s="4"/>
      <c r="AE1053" s="1026"/>
      <c r="AF1053" s="265"/>
      <c r="AU1053" s="265"/>
      <c r="AV1053" s="265"/>
      <c r="AW1053" s="265"/>
      <c r="AX1053" s="265"/>
      <c r="AY1053" s="265"/>
      <c r="AZ1053" s="265"/>
      <c r="BA1053" s="265"/>
      <c r="BB1053" s="265"/>
      <c r="BC1053" s="265"/>
      <c r="BD1053" s="265"/>
      <c r="BE1053" s="265"/>
      <c r="BF1053" s="265"/>
      <c r="BG1053" s="265"/>
      <c r="BM1053" s="6"/>
      <c r="BN1053" s="6"/>
      <c r="BO1053" s="6"/>
      <c r="BP1053" s="1028"/>
      <c r="BT1053" s="6"/>
      <c r="BU1053" s="6"/>
      <c r="BV1053" s="6"/>
      <c r="BW1053" s="1029"/>
      <c r="BX1053" s="1028"/>
      <c r="CB1053" s="6"/>
      <c r="CC1053" s="6"/>
      <c r="CD1053" s="6"/>
      <c r="CE1053" s="1029"/>
      <c r="CJ1053" s="11"/>
      <c r="CM1053" s="11"/>
      <c r="CU1053" s="17"/>
      <c r="CV1053" s="265"/>
      <c r="CW1053" s="265"/>
      <c r="CY1053" s="11"/>
      <c r="DA1053" s="12"/>
      <c r="DB1053" s="13"/>
      <c r="DC1053" s="14"/>
      <c r="DD1053" s="265"/>
      <c r="DE1053" s="265"/>
      <c r="DF1053" s="265"/>
      <c r="DH1053" s="15"/>
      <c r="DM1053" s="4"/>
    </row>
    <row r="1054" spans="2:117" ht="15" customHeight="1">
      <c r="B1054" s="10"/>
      <c r="C1054" s="17"/>
      <c r="E1054" s="25"/>
      <c r="F1054" s="35"/>
      <c r="J1054" s="20"/>
      <c r="K1054" s="1024"/>
      <c r="L1054" s="1025"/>
      <c r="M1054" s="1026"/>
      <c r="N1054" s="1026"/>
      <c r="O1054" s="265"/>
      <c r="P1054" s="265"/>
      <c r="T1054" s="265"/>
      <c r="U1054" s="265"/>
      <c r="V1054" s="265"/>
      <c r="X1054" s="1026"/>
      <c r="Y1054" s="265"/>
      <c r="Z1054" s="265"/>
      <c r="AA1054" s="265"/>
      <c r="AD1054" s="4"/>
      <c r="AE1054" s="1026"/>
      <c r="AF1054" s="265"/>
      <c r="AU1054" s="265"/>
      <c r="AV1054" s="265"/>
      <c r="AW1054" s="265"/>
      <c r="AX1054" s="265"/>
      <c r="AY1054" s="265"/>
      <c r="AZ1054" s="265"/>
      <c r="BA1054" s="265"/>
      <c r="BB1054" s="265"/>
      <c r="BC1054" s="265"/>
      <c r="BD1054" s="265"/>
      <c r="BE1054" s="265"/>
      <c r="BF1054" s="265"/>
      <c r="BG1054" s="265"/>
      <c r="BM1054" s="6"/>
      <c r="BN1054" s="6"/>
      <c r="BO1054" s="6"/>
      <c r="BP1054" s="1028"/>
      <c r="BT1054" s="6"/>
      <c r="BU1054" s="6"/>
      <c r="BV1054" s="6"/>
      <c r="BW1054" s="1029"/>
      <c r="BX1054" s="1028"/>
      <c r="CB1054" s="6"/>
      <c r="CC1054" s="6"/>
      <c r="CD1054" s="6"/>
      <c r="CE1054" s="1029"/>
      <c r="CJ1054" s="11"/>
      <c r="CM1054" s="11"/>
      <c r="CU1054" s="17"/>
      <c r="CV1054" s="265"/>
      <c r="CW1054" s="265"/>
      <c r="CY1054" s="11"/>
      <c r="DA1054" s="12"/>
      <c r="DB1054" s="13"/>
      <c r="DC1054" s="14"/>
      <c r="DD1054" s="265"/>
      <c r="DE1054" s="265"/>
      <c r="DF1054" s="265"/>
      <c r="DH1054" s="15"/>
      <c r="DM1054" s="4"/>
    </row>
    <row r="1055" spans="2:117" ht="15" customHeight="1">
      <c r="B1055" s="10"/>
      <c r="C1055" s="17"/>
      <c r="E1055" s="25"/>
      <c r="F1055" s="35"/>
      <c r="J1055" s="20"/>
      <c r="K1055" s="1024"/>
      <c r="L1055" s="1025"/>
      <c r="M1055" s="1026"/>
      <c r="N1055" s="1026"/>
      <c r="O1055" s="265"/>
      <c r="P1055" s="265"/>
      <c r="T1055" s="265"/>
      <c r="U1055" s="265"/>
      <c r="V1055" s="265"/>
      <c r="X1055" s="1026"/>
      <c r="Y1055" s="265"/>
      <c r="Z1055" s="265"/>
      <c r="AA1055" s="265"/>
      <c r="AD1055" s="4"/>
      <c r="AE1055" s="1026"/>
      <c r="AF1055" s="265"/>
      <c r="AU1055" s="265"/>
      <c r="AV1055" s="265"/>
      <c r="AW1055" s="265"/>
      <c r="AX1055" s="265"/>
      <c r="AY1055" s="265"/>
      <c r="AZ1055" s="265"/>
      <c r="BA1055" s="265"/>
      <c r="BB1055" s="265"/>
      <c r="BC1055" s="265"/>
      <c r="BD1055" s="265"/>
      <c r="BE1055" s="265"/>
      <c r="BF1055" s="265"/>
      <c r="BG1055" s="265"/>
      <c r="BM1055" s="6"/>
      <c r="BN1055" s="6"/>
      <c r="BO1055" s="6"/>
      <c r="BP1055" s="1028"/>
      <c r="BT1055" s="6"/>
      <c r="BU1055" s="6"/>
      <c r="BV1055" s="6"/>
      <c r="BW1055" s="1029"/>
      <c r="BX1055" s="1028"/>
      <c r="CB1055" s="6"/>
      <c r="CC1055" s="6"/>
      <c r="CD1055" s="6"/>
      <c r="CE1055" s="1029"/>
      <c r="CJ1055" s="11"/>
      <c r="CM1055" s="11"/>
      <c r="CU1055" s="17"/>
      <c r="CV1055" s="265"/>
      <c r="CW1055" s="265"/>
      <c r="CY1055" s="11"/>
      <c r="DA1055" s="12"/>
      <c r="DB1055" s="13"/>
      <c r="DC1055" s="14"/>
      <c r="DD1055" s="265"/>
      <c r="DE1055" s="265"/>
      <c r="DF1055" s="265"/>
      <c r="DH1055" s="15"/>
      <c r="DM1055" s="4"/>
    </row>
    <row r="1056" spans="2:117" ht="15" customHeight="1">
      <c r="B1056" s="10"/>
      <c r="C1056" s="17"/>
      <c r="E1056" s="25"/>
      <c r="F1056" s="35"/>
      <c r="J1056" s="20"/>
      <c r="K1056" s="1024"/>
      <c r="L1056" s="1025"/>
      <c r="M1056" s="1026"/>
      <c r="N1056" s="1026"/>
      <c r="O1056" s="265"/>
      <c r="P1056" s="265"/>
      <c r="T1056" s="265"/>
      <c r="U1056" s="265"/>
      <c r="V1056" s="265"/>
      <c r="X1056" s="1026"/>
      <c r="Y1056" s="265"/>
      <c r="Z1056" s="265"/>
      <c r="AA1056" s="265"/>
      <c r="AD1056" s="4"/>
      <c r="AE1056" s="1026"/>
      <c r="AF1056" s="265"/>
      <c r="AU1056" s="265"/>
      <c r="AV1056" s="265"/>
      <c r="AW1056" s="265"/>
      <c r="AX1056" s="265"/>
      <c r="AY1056" s="265"/>
      <c r="AZ1056" s="265"/>
      <c r="BA1056" s="265"/>
      <c r="BB1056" s="265"/>
      <c r="BC1056" s="265"/>
      <c r="BD1056" s="265"/>
      <c r="BE1056" s="265"/>
      <c r="BF1056" s="265"/>
      <c r="BG1056" s="265"/>
      <c r="BM1056" s="6"/>
      <c r="BN1056" s="6"/>
      <c r="BO1056" s="6"/>
      <c r="BP1056" s="1028"/>
      <c r="BT1056" s="6"/>
      <c r="BU1056" s="6"/>
      <c r="BV1056" s="6"/>
      <c r="BW1056" s="1029"/>
      <c r="BX1056" s="1028"/>
      <c r="CB1056" s="6"/>
      <c r="CC1056" s="6"/>
      <c r="CD1056" s="6"/>
      <c r="CE1056" s="1029"/>
      <c r="CJ1056" s="11"/>
      <c r="CM1056" s="11"/>
      <c r="CU1056" s="17"/>
      <c r="CV1056" s="265"/>
      <c r="CW1056" s="265"/>
      <c r="CY1056" s="11"/>
      <c r="DA1056" s="12"/>
      <c r="DB1056" s="13"/>
      <c r="DC1056" s="14"/>
      <c r="DD1056" s="265"/>
      <c r="DE1056" s="265"/>
      <c r="DF1056" s="265"/>
      <c r="DH1056" s="15"/>
      <c r="DM1056" s="4"/>
    </row>
    <row r="1057" spans="2:117" ht="15" customHeight="1">
      <c r="B1057" s="10"/>
      <c r="C1057" s="17"/>
      <c r="E1057" s="25"/>
      <c r="F1057" s="35"/>
      <c r="J1057" s="20"/>
      <c r="K1057" s="1024"/>
      <c r="L1057" s="1025"/>
      <c r="M1057" s="1026"/>
      <c r="N1057" s="1026"/>
      <c r="O1057" s="265"/>
      <c r="P1057" s="265"/>
      <c r="T1057" s="265"/>
      <c r="U1057" s="265"/>
      <c r="V1057" s="265"/>
      <c r="X1057" s="1026"/>
      <c r="Y1057" s="265"/>
      <c r="Z1057" s="265"/>
      <c r="AA1057" s="265"/>
      <c r="AD1057" s="4"/>
      <c r="AE1057" s="1026"/>
      <c r="AF1057" s="265"/>
      <c r="AU1057" s="265"/>
      <c r="AV1057" s="265"/>
      <c r="AW1057" s="265"/>
      <c r="AX1057" s="265"/>
      <c r="AY1057" s="265"/>
      <c r="AZ1057" s="265"/>
      <c r="BA1057" s="265"/>
      <c r="BB1057" s="265"/>
      <c r="BC1057" s="265"/>
      <c r="BD1057" s="265"/>
      <c r="BE1057" s="265"/>
      <c r="BF1057" s="265"/>
      <c r="BG1057" s="265"/>
      <c r="BM1057" s="6"/>
      <c r="BN1057" s="6"/>
      <c r="BO1057" s="6"/>
      <c r="BP1057" s="1028"/>
      <c r="BT1057" s="6"/>
      <c r="BU1057" s="6"/>
      <c r="BV1057" s="6"/>
      <c r="BW1057" s="1029"/>
      <c r="BX1057" s="1028"/>
      <c r="CB1057" s="6"/>
      <c r="CC1057" s="6"/>
      <c r="CD1057" s="6"/>
      <c r="CE1057" s="1029"/>
      <c r="CJ1057" s="11"/>
      <c r="CM1057" s="11"/>
      <c r="CU1057" s="17"/>
      <c r="CV1057" s="265"/>
      <c r="CW1057" s="265"/>
      <c r="CY1057" s="11"/>
      <c r="DA1057" s="12"/>
      <c r="DB1057" s="13"/>
      <c r="DC1057" s="14"/>
      <c r="DD1057" s="265"/>
      <c r="DE1057" s="265"/>
      <c r="DF1057" s="265"/>
      <c r="DH1057" s="15"/>
      <c r="DM1057" s="4"/>
    </row>
    <row r="1058" spans="2:117" ht="15" customHeight="1">
      <c r="B1058" s="10"/>
      <c r="C1058" s="17"/>
      <c r="E1058" s="25"/>
      <c r="F1058" s="35"/>
      <c r="J1058" s="20"/>
      <c r="K1058" s="1024"/>
      <c r="L1058" s="1025"/>
      <c r="M1058" s="1026"/>
      <c r="N1058" s="1026"/>
      <c r="O1058" s="265"/>
      <c r="P1058" s="265"/>
      <c r="T1058" s="265"/>
      <c r="U1058" s="265"/>
      <c r="V1058" s="265"/>
      <c r="X1058" s="1026"/>
      <c r="Y1058" s="265"/>
      <c r="Z1058" s="265"/>
      <c r="AA1058" s="265"/>
      <c r="AD1058" s="4"/>
      <c r="AE1058" s="1026"/>
      <c r="AF1058" s="265"/>
      <c r="AU1058" s="265"/>
      <c r="AV1058" s="265"/>
      <c r="AW1058" s="265"/>
      <c r="AX1058" s="265"/>
      <c r="AY1058" s="265"/>
      <c r="AZ1058" s="265"/>
      <c r="BA1058" s="265"/>
      <c r="BB1058" s="265"/>
      <c r="BC1058" s="265"/>
      <c r="BD1058" s="265"/>
      <c r="BE1058" s="265"/>
      <c r="BF1058" s="265"/>
      <c r="BG1058" s="265"/>
      <c r="BM1058" s="6"/>
      <c r="BN1058" s="6"/>
      <c r="BO1058" s="6"/>
      <c r="BP1058" s="1028"/>
      <c r="BT1058" s="6"/>
      <c r="BU1058" s="6"/>
      <c r="BV1058" s="6"/>
      <c r="BW1058" s="1029"/>
      <c r="BX1058" s="1028"/>
      <c r="CB1058" s="6"/>
      <c r="CC1058" s="6"/>
      <c r="CD1058" s="6"/>
      <c r="CE1058" s="1029"/>
      <c r="CJ1058" s="11"/>
      <c r="CM1058" s="11"/>
      <c r="CU1058" s="17"/>
      <c r="CV1058" s="265"/>
      <c r="CW1058" s="265"/>
      <c r="CY1058" s="11"/>
      <c r="DA1058" s="12"/>
      <c r="DB1058" s="13"/>
      <c r="DC1058" s="14"/>
      <c r="DD1058" s="265"/>
      <c r="DE1058" s="265"/>
      <c r="DF1058" s="265"/>
      <c r="DH1058" s="15"/>
      <c r="DM1058" s="4"/>
    </row>
    <row r="1059" spans="2:117" ht="15" customHeight="1">
      <c r="B1059" s="10"/>
      <c r="C1059" s="17"/>
      <c r="E1059" s="25"/>
      <c r="F1059" s="35"/>
      <c r="J1059" s="20"/>
      <c r="K1059" s="1024"/>
      <c r="L1059" s="1025"/>
      <c r="M1059" s="1026"/>
      <c r="N1059" s="1026"/>
      <c r="O1059" s="265"/>
      <c r="P1059" s="265"/>
      <c r="T1059" s="265"/>
      <c r="U1059" s="265"/>
      <c r="V1059" s="265"/>
      <c r="X1059" s="1026"/>
      <c r="Y1059" s="265"/>
      <c r="Z1059" s="265"/>
      <c r="AA1059" s="265"/>
      <c r="AD1059" s="4"/>
      <c r="AE1059" s="1026"/>
      <c r="AF1059" s="265"/>
      <c r="AU1059" s="265"/>
      <c r="AV1059" s="265"/>
      <c r="AW1059" s="265"/>
      <c r="AX1059" s="265"/>
      <c r="AY1059" s="265"/>
      <c r="AZ1059" s="265"/>
      <c r="BA1059" s="265"/>
      <c r="BB1059" s="265"/>
      <c r="BC1059" s="265"/>
      <c r="BD1059" s="265"/>
      <c r="BE1059" s="265"/>
      <c r="BF1059" s="265"/>
      <c r="BG1059" s="265"/>
      <c r="BM1059" s="6"/>
      <c r="BN1059" s="6"/>
      <c r="BO1059" s="6"/>
      <c r="BP1059" s="1028"/>
      <c r="BT1059" s="6"/>
      <c r="BU1059" s="6"/>
      <c r="BV1059" s="6"/>
      <c r="BW1059" s="1029"/>
      <c r="BX1059" s="1028"/>
      <c r="CB1059" s="6"/>
      <c r="CC1059" s="6"/>
      <c r="CD1059" s="6"/>
      <c r="CE1059" s="1029"/>
      <c r="CJ1059" s="11"/>
      <c r="CM1059" s="11"/>
      <c r="CU1059" s="17"/>
      <c r="CV1059" s="265"/>
      <c r="CW1059" s="265"/>
      <c r="CY1059" s="11"/>
      <c r="DA1059" s="12"/>
      <c r="DB1059" s="13"/>
      <c r="DC1059" s="14"/>
      <c r="DD1059" s="265"/>
      <c r="DE1059" s="265"/>
      <c r="DF1059" s="265"/>
      <c r="DH1059" s="15"/>
      <c r="DM1059" s="4"/>
    </row>
    <row r="1060" spans="2:117" ht="15" customHeight="1">
      <c r="B1060" s="10"/>
      <c r="C1060" s="17"/>
      <c r="E1060" s="25"/>
      <c r="F1060" s="35"/>
      <c r="J1060" s="20"/>
      <c r="K1060" s="1024"/>
      <c r="L1060" s="1025"/>
      <c r="M1060" s="1026"/>
      <c r="N1060" s="1026"/>
      <c r="O1060" s="265"/>
      <c r="P1060" s="265"/>
      <c r="T1060" s="265"/>
      <c r="U1060" s="265"/>
      <c r="V1060" s="265"/>
      <c r="X1060" s="1026"/>
      <c r="Y1060" s="265"/>
      <c r="Z1060" s="265"/>
      <c r="AA1060" s="265"/>
      <c r="AD1060" s="4"/>
      <c r="AE1060" s="1026"/>
      <c r="AF1060" s="265"/>
      <c r="AU1060" s="265"/>
      <c r="AV1060" s="265"/>
      <c r="AW1060" s="265"/>
      <c r="AX1060" s="265"/>
      <c r="AY1060" s="265"/>
      <c r="AZ1060" s="265"/>
      <c r="BA1060" s="265"/>
      <c r="BB1060" s="265"/>
      <c r="BC1060" s="265"/>
      <c r="BD1060" s="265"/>
      <c r="BE1060" s="265"/>
      <c r="BF1060" s="265"/>
      <c r="BG1060" s="265"/>
      <c r="BM1060" s="6"/>
      <c r="BN1060" s="6"/>
      <c r="BO1060" s="6"/>
      <c r="BP1060" s="1028"/>
      <c r="BT1060" s="6"/>
      <c r="BU1060" s="6"/>
      <c r="BV1060" s="6"/>
      <c r="BW1060" s="1029"/>
      <c r="BX1060" s="1028"/>
      <c r="CB1060" s="6"/>
      <c r="CC1060" s="6"/>
      <c r="CD1060" s="6"/>
      <c r="CE1060" s="1029"/>
      <c r="CJ1060" s="11"/>
      <c r="CM1060" s="11"/>
      <c r="CU1060" s="17"/>
      <c r="CV1060" s="265"/>
      <c r="CW1060" s="265"/>
      <c r="CY1060" s="11"/>
      <c r="DA1060" s="12"/>
      <c r="DB1060" s="13"/>
      <c r="DC1060" s="14"/>
      <c r="DD1060" s="265"/>
      <c r="DE1060" s="265"/>
      <c r="DF1060" s="265"/>
      <c r="DH1060" s="15"/>
      <c r="DM1060" s="4"/>
    </row>
    <row r="1061" spans="2:117" ht="15" customHeight="1">
      <c r="B1061" s="10"/>
      <c r="C1061" s="17"/>
      <c r="E1061" s="25"/>
      <c r="F1061" s="35"/>
      <c r="J1061" s="20"/>
      <c r="K1061" s="1024"/>
      <c r="L1061" s="1025"/>
      <c r="M1061" s="1026"/>
      <c r="N1061" s="1026"/>
      <c r="O1061" s="265"/>
      <c r="P1061" s="265"/>
      <c r="T1061" s="265"/>
      <c r="U1061" s="265"/>
      <c r="V1061" s="265"/>
      <c r="X1061" s="1026"/>
      <c r="Y1061" s="265"/>
      <c r="Z1061" s="265"/>
      <c r="AA1061" s="265"/>
      <c r="AD1061" s="4"/>
      <c r="AE1061" s="1026"/>
      <c r="AF1061" s="265"/>
      <c r="AU1061" s="265"/>
      <c r="AV1061" s="265"/>
      <c r="AW1061" s="265"/>
      <c r="AX1061" s="265"/>
      <c r="AY1061" s="265"/>
      <c r="AZ1061" s="265"/>
      <c r="BA1061" s="265"/>
      <c r="BB1061" s="265"/>
      <c r="BC1061" s="265"/>
      <c r="BD1061" s="265"/>
      <c r="BE1061" s="265"/>
      <c r="BF1061" s="265"/>
      <c r="BG1061" s="265"/>
      <c r="BM1061" s="6"/>
      <c r="BN1061" s="6"/>
      <c r="BO1061" s="6"/>
      <c r="BP1061" s="1028"/>
      <c r="BT1061" s="6"/>
      <c r="BU1061" s="6"/>
      <c r="BV1061" s="6"/>
      <c r="BW1061" s="1029"/>
      <c r="BX1061" s="1028"/>
      <c r="CB1061" s="6"/>
      <c r="CC1061" s="6"/>
      <c r="CD1061" s="6"/>
      <c r="CE1061" s="1029"/>
      <c r="CJ1061" s="11"/>
      <c r="CM1061" s="11"/>
      <c r="CU1061" s="17"/>
      <c r="CV1061" s="265"/>
      <c r="CW1061" s="265"/>
      <c r="CY1061" s="11"/>
      <c r="DA1061" s="12"/>
      <c r="DB1061" s="13"/>
      <c r="DC1061" s="14"/>
      <c r="DD1061" s="265"/>
      <c r="DE1061" s="265"/>
      <c r="DF1061" s="265"/>
      <c r="DH1061" s="15"/>
      <c r="DM1061" s="4"/>
    </row>
    <row r="1062" spans="2:117" ht="15" customHeight="1">
      <c r="B1062" s="10"/>
      <c r="C1062" s="17"/>
      <c r="E1062" s="25"/>
      <c r="F1062" s="35"/>
      <c r="J1062" s="20"/>
      <c r="K1062" s="1024"/>
      <c r="L1062" s="1025"/>
      <c r="M1062" s="1026"/>
      <c r="N1062" s="1026"/>
      <c r="O1062" s="265"/>
      <c r="P1062" s="265"/>
      <c r="T1062" s="265"/>
      <c r="U1062" s="265"/>
      <c r="V1062" s="265"/>
      <c r="X1062" s="1026"/>
      <c r="Y1062" s="265"/>
      <c r="Z1062" s="265"/>
      <c r="AA1062" s="265"/>
      <c r="AD1062" s="4"/>
      <c r="AE1062" s="1026"/>
      <c r="AF1062" s="265"/>
      <c r="AU1062" s="265"/>
      <c r="AV1062" s="265"/>
      <c r="AW1062" s="265"/>
      <c r="AX1062" s="265"/>
      <c r="AY1062" s="265"/>
      <c r="AZ1062" s="265"/>
      <c r="BA1062" s="265"/>
      <c r="BB1062" s="265"/>
      <c r="BC1062" s="265"/>
      <c r="BD1062" s="265"/>
      <c r="BE1062" s="265"/>
      <c r="BF1062" s="265"/>
      <c r="BG1062" s="265"/>
      <c r="BM1062" s="6"/>
      <c r="BN1062" s="6"/>
      <c r="BO1062" s="6"/>
      <c r="BP1062" s="1028"/>
      <c r="BT1062" s="6"/>
      <c r="BU1062" s="6"/>
      <c r="BV1062" s="6"/>
      <c r="BW1062" s="1029"/>
      <c r="BX1062" s="1028"/>
      <c r="CB1062" s="6"/>
      <c r="CC1062" s="6"/>
      <c r="CD1062" s="6"/>
      <c r="CE1062" s="1029"/>
      <c r="CJ1062" s="11"/>
      <c r="CM1062" s="11"/>
      <c r="CU1062" s="17"/>
      <c r="CV1062" s="265"/>
      <c r="CW1062" s="265"/>
      <c r="CY1062" s="11"/>
      <c r="DA1062" s="12"/>
      <c r="DB1062" s="13"/>
      <c r="DC1062" s="14"/>
      <c r="DD1062" s="265"/>
      <c r="DE1062" s="265"/>
      <c r="DF1062" s="265"/>
      <c r="DH1062" s="15"/>
      <c r="DM1062" s="4"/>
    </row>
    <row r="1063" spans="2:117" ht="15" customHeight="1">
      <c r="B1063" s="10"/>
      <c r="C1063" s="17"/>
      <c r="E1063" s="25"/>
      <c r="F1063" s="35"/>
      <c r="J1063" s="20"/>
      <c r="K1063" s="1024"/>
      <c r="L1063" s="1025"/>
      <c r="M1063" s="1026"/>
      <c r="N1063" s="1026"/>
      <c r="O1063" s="265"/>
      <c r="P1063" s="265"/>
      <c r="T1063" s="265"/>
      <c r="U1063" s="265"/>
      <c r="V1063" s="265"/>
      <c r="X1063" s="1026"/>
      <c r="Y1063" s="265"/>
      <c r="Z1063" s="265"/>
      <c r="AA1063" s="265"/>
      <c r="AD1063" s="4"/>
      <c r="AE1063" s="1026"/>
      <c r="AF1063" s="265"/>
      <c r="AU1063" s="265"/>
      <c r="AV1063" s="265"/>
      <c r="AW1063" s="265"/>
      <c r="AX1063" s="265"/>
      <c r="AY1063" s="265"/>
      <c r="AZ1063" s="265"/>
      <c r="BA1063" s="265"/>
      <c r="BB1063" s="265"/>
      <c r="BC1063" s="265"/>
      <c r="BD1063" s="265"/>
      <c r="BE1063" s="265"/>
      <c r="BF1063" s="265"/>
      <c r="BG1063" s="265"/>
      <c r="BM1063" s="6"/>
      <c r="BN1063" s="6"/>
      <c r="BO1063" s="6"/>
      <c r="BP1063" s="1028"/>
      <c r="BT1063" s="6"/>
      <c r="BU1063" s="6"/>
      <c r="BV1063" s="6"/>
      <c r="BW1063" s="1029"/>
      <c r="BX1063" s="1028"/>
      <c r="CB1063" s="6"/>
      <c r="CC1063" s="6"/>
      <c r="CD1063" s="6"/>
      <c r="CE1063" s="1029"/>
      <c r="CJ1063" s="11"/>
      <c r="CM1063" s="11"/>
      <c r="CU1063" s="17"/>
      <c r="CV1063" s="265"/>
      <c r="CW1063" s="265"/>
      <c r="CY1063" s="11"/>
      <c r="DA1063" s="12"/>
      <c r="DB1063" s="13"/>
      <c r="DC1063" s="14"/>
      <c r="DD1063" s="265"/>
      <c r="DE1063" s="265"/>
      <c r="DF1063" s="265"/>
      <c r="DH1063" s="15"/>
      <c r="DM1063" s="4"/>
    </row>
    <row r="1064" spans="2:117" ht="15" customHeight="1">
      <c r="B1064" s="10"/>
      <c r="C1064" s="17"/>
      <c r="E1064" s="25"/>
      <c r="F1064" s="35"/>
      <c r="J1064" s="20"/>
      <c r="K1064" s="1024"/>
      <c r="L1064" s="1025"/>
      <c r="M1064" s="1026"/>
      <c r="N1064" s="1026"/>
      <c r="O1064" s="265"/>
      <c r="P1064" s="265"/>
      <c r="T1064" s="265"/>
      <c r="U1064" s="265"/>
      <c r="V1064" s="265"/>
      <c r="X1064" s="1026"/>
      <c r="Y1064" s="265"/>
      <c r="Z1064" s="265"/>
      <c r="AA1064" s="265"/>
      <c r="AD1064" s="4"/>
      <c r="AE1064" s="1026"/>
      <c r="AF1064" s="265"/>
      <c r="AU1064" s="265"/>
      <c r="AV1064" s="265"/>
      <c r="AW1064" s="265"/>
      <c r="AX1064" s="265"/>
      <c r="AY1064" s="265"/>
      <c r="AZ1064" s="265"/>
      <c r="BA1064" s="265"/>
      <c r="BB1064" s="265"/>
      <c r="BC1064" s="265"/>
      <c r="BD1064" s="265"/>
      <c r="BE1064" s="265"/>
      <c r="BF1064" s="265"/>
      <c r="BG1064" s="265"/>
      <c r="BM1064" s="6"/>
      <c r="BN1064" s="6"/>
      <c r="BO1064" s="6"/>
      <c r="BP1064" s="1028"/>
      <c r="BT1064" s="6"/>
      <c r="BU1064" s="6"/>
      <c r="BV1064" s="6"/>
      <c r="BW1064" s="1029"/>
      <c r="BX1064" s="1028"/>
      <c r="CB1064" s="6"/>
      <c r="CC1064" s="6"/>
      <c r="CD1064" s="6"/>
      <c r="CE1064" s="1029"/>
      <c r="CJ1064" s="11"/>
      <c r="CM1064" s="11"/>
      <c r="CU1064" s="17"/>
      <c r="CV1064" s="265"/>
      <c r="CW1064" s="265"/>
      <c r="CY1064" s="11"/>
      <c r="DA1064" s="12"/>
      <c r="DB1064" s="13"/>
      <c r="DC1064" s="14"/>
      <c r="DD1064" s="265"/>
      <c r="DE1064" s="265"/>
      <c r="DF1064" s="265"/>
      <c r="DH1064" s="15"/>
      <c r="DM1064" s="4"/>
    </row>
    <row r="1065" spans="2:117" ht="15" customHeight="1">
      <c r="B1065" s="10"/>
      <c r="C1065" s="17"/>
      <c r="E1065" s="25"/>
      <c r="F1065" s="35"/>
      <c r="J1065" s="20"/>
      <c r="K1065" s="1024"/>
      <c r="L1065" s="1025"/>
      <c r="M1065" s="1026"/>
      <c r="N1065" s="1026"/>
      <c r="O1065" s="265"/>
      <c r="P1065" s="265"/>
      <c r="T1065" s="265"/>
      <c r="U1065" s="265"/>
      <c r="V1065" s="265"/>
      <c r="X1065" s="1026"/>
      <c r="Y1065" s="265"/>
      <c r="Z1065" s="265"/>
      <c r="AA1065" s="265"/>
      <c r="AD1065" s="4"/>
      <c r="AE1065" s="1026"/>
      <c r="AF1065" s="265"/>
      <c r="AU1065" s="265"/>
      <c r="AV1065" s="265"/>
      <c r="AW1065" s="265"/>
      <c r="AX1065" s="265"/>
      <c r="AY1065" s="265"/>
      <c r="AZ1065" s="265"/>
      <c r="BA1065" s="265"/>
      <c r="BB1065" s="265"/>
      <c r="BC1065" s="265"/>
      <c r="BD1065" s="265"/>
      <c r="BE1065" s="265"/>
      <c r="BF1065" s="265"/>
      <c r="BG1065" s="265"/>
      <c r="BM1065" s="6"/>
      <c r="BN1065" s="6"/>
      <c r="BO1065" s="6"/>
      <c r="BP1065" s="1028"/>
      <c r="BT1065" s="6"/>
      <c r="BU1065" s="6"/>
      <c r="BV1065" s="6"/>
      <c r="BW1065" s="1029"/>
      <c r="BX1065" s="1028"/>
      <c r="CB1065" s="6"/>
      <c r="CC1065" s="6"/>
      <c r="CD1065" s="6"/>
      <c r="CE1065" s="1029"/>
      <c r="CJ1065" s="11"/>
      <c r="CM1065" s="11"/>
      <c r="CU1065" s="17"/>
      <c r="CV1065" s="265"/>
      <c r="CW1065" s="265"/>
      <c r="CY1065" s="11"/>
      <c r="DA1065" s="12"/>
      <c r="DB1065" s="13"/>
      <c r="DC1065" s="14"/>
      <c r="DD1065" s="265"/>
      <c r="DE1065" s="265"/>
      <c r="DF1065" s="265"/>
      <c r="DH1065" s="15"/>
      <c r="DM1065" s="4"/>
    </row>
    <row r="1066" spans="2:117" ht="15" customHeight="1">
      <c r="B1066" s="10"/>
      <c r="C1066" s="17"/>
      <c r="E1066" s="25"/>
      <c r="F1066" s="35"/>
      <c r="J1066" s="20"/>
      <c r="K1066" s="1024"/>
      <c r="L1066" s="1025"/>
      <c r="M1066" s="1026"/>
      <c r="N1066" s="1026"/>
      <c r="O1066" s="265"/>
      <c r="P1066" s="265"/>
      <c r="T1066" s="265"/>
      <c r="U1066" s="265"/>
      <c r="V1066" s="265"/>
      <c r="X1066" s="1026"/>
      <c r="Y1066" s="265"/>
      <c r="Z1066" s="265"/>
      <c r="AA1066" s="265"/>
      <c r="AD1066" s="4"/>
      <c r="AE1066" s="1026"/>
      <c r="AF1066" s="265"/>
      <c r="AU1066" s="265"/>
      <c r="AV1066" s="265"/>
      <c r="AW1066" s="265"/>
      <c r="AX1066" s="265"/>
      <c r="AY1066" s="265"/>
      <c r="AZ1066" s="265"/>
      <c r="BA1066" s="265"/>
      <c r="BB1066" s="265"/>
      <c r="BC1066" s="265"/>
      <c r="BD1066" s="265"/>
      <c r="BE1066" s="265"/>
      <c r="BF1066" s="265"/>
      <c r="BG1066" s="265"/>
      <c r="BM1066" s="6"/>
      <c r="BN1066" s="6"/>
      <c r="BO1066" s="6"/>
      <c r="BP1066" s="1028"/>
      <c r="BT1066" s="6"/>
      <c r="BU1066" s="6"/>
      <c r="BV1066" s="6"/>
      <c r="BW1066" s="1029"/>
      <c r="BX1066" s="1028"/>
      <c r="CB1066" s="6"/>
      <c r="CC1066" s="6"/>
      <c r="CD1066" s="6"/>
      <c r="CE1066" s="1029"/>
      <c r="CJ1066" s="11"/>
      <c r="CM1066" s="11"/>
      <c r="CU1066" s="17"/>
      <c r="CV1066" s="265"/>
      <c r="CW1066" s="265"/>
      <c r="CY1066" s="11"/>
      <c r="DA1066" s="12"/>
      <c r="DB1066" s="13"/>
      <c r="DC1066" s="14"/>
      <c r="DD1066" s="265"/>
      <c r="DE1066" s="265"/>
      <c r="DF1066" s="265"/>
      <c r="DH1066" s="15"/>
      <c r="DM1066" s="4"/>
    </row>
    <row r="1067" spans="2:117" ht="15" customHeight="1">
      <c r="B1067" s="10"/>
      <c r="C1067" s="17"/>
      <c r="E1067" s="25"/>
      <c r="F1067" s="35"/>
      <c r="J1067" s="20"/>
      <c r="K1067" s="1024"/>
      <c r="L1067" s="1025"/>
      <c r="M1067" s="1026"/>
      <c r="N1067" s="1026"/>
      <c r="O1067" s="265"/>
      <c r="P1067" s="265"/>
      <c r="T1067" s="265"/>
      <c r="U1067" s="265"/>
      <c r="V1067" s="265"/>
      <c r="X1067" s="1026"/>
      <c r="Y1067" s="265"/>
      <c r="Z1067" s="265"/>
      <c r="AA1067" s="265"/>
      <c r="AD1067" s="4"/>
      <c r="AE1067" s="1026"/>
      <c r="AF1067" s="265"/>
      <c r="AU1067" s="265"/>
      <c r="AV1067" s="265"/>
      <c r="AW1067" s="265"/>
      <c r="AX1067" s="265"/>
      <c r="AY1067" s="265"/>
      <c r="AZ1067" s="265"/>
      <c r="BA1067" s="265"/>
      <c r="BB1067" s="265"/>
      <c r="BC1067" s="265"/>
      <c r="BD1067" s="265"/>
      <c r="BE1067" s="265"/>
      <c r="BF1067" s="265"/>
      <c r="BG1067" s="265"/>
      <c r="BM1067" s="6"/>
      <c r="BN1067" s="6"/>
      <c r="BO1067" s="6"/>
      <c r="BP1067" s="1028"/>
      <c r="BT1067" s="6"/>
      <c r="BU1067" s="6"/>
      <c r="BV1067" s="6"/>
      <c r="BW1067" s="1029"/>
      <c r="BX1067" s="1028"/>
      <c r="CB1067" s="6"/>
      <c r="CC1067" s="6"/>
      <c r="CD1067" s="6"/>
      <c r="CE1067" s="1029"/>
      <c r="CJ1067" s="11"/>
      <c r="CM1067" s="11"/>
      <c r="CU1067" s="17"/>
      <c r="CV1067" s="265"/>
      <c r="CW1067" s="265"/>
      <c r="CY1067" s="11"/>
      <c r="DA1067" s="12"/>
      <c r="DB1067" s="13"/>
      <c r="DC1067" s="14"/>
      <c r="DD1067" s="265"/>
      <c r="DE1067" s="265"/>
      <c r="DF1067" s="265"/>
      <c r="DH1067" s="15"/>
      <c r="DM1067" s="4"/>
    </row>
    <row r="1068" spans="2:117" ht="15" customHeight="1">
      <c r="B1068" s="10"/>
      <c r="C1068" s="17"/>
      <c r="E1068" s="25"/>
      <c r="F1068" s="35"/>
      <c r="J1068" s="20"/>
      <c r="K1068" s="1024"/>
      <c r="L1068" s="1025"/>
      <c r="M1068" s="1026"/>
      <c r="N1068" s="1026"/>
      <c r="O1068" s="265"/>
      <c r="P1068" s="265"/>
      <c r="T1068" s="265"/>
      <c r="U1068" s="265"/>
      <c r="V1068" s="265"/>
      <c r="X1068" s="1026"/>
      <c r="Y1068" s="265"/>
      <c r="Z1068" s="265"/>
      <c r="AA1068" s="265"/>
      <c r="AD1068" s="4"/>
      <c r="AE1068" s="1026"/>
      <c r="AF1068" s="265"/>
      <c r="AU1068" s="265"/>
      <c r="AV1068" s="265"/>
      <c r="AW1068" s="265"/>
      <c r="AX1068" s="265"/>
      <c r="AY1068" s="265"/>
      <c r="AZ1068" s="265"/>
      <c r="BA1068" s="265"/>
      <c r="BB1068" s="265"/>
      <c r="BC1068" s="265"/>
      <c r="BD1068" s="265"/>
      <c r="BE1068" s="265"/>
      <c r="BF1068" s="265"/>
      <c r="BG1068" s="265"/>
      <c r="BM1068" s="6"/>
      <c r="BN1068" s="6"/>
      <c r="BO1068" s="6"/>
      <c r="BP1068" s="1028"/>
      <c r="BT1068" s="6"/>
      <c r="BU1068" s="6"/>
      <c r="BV1068" s="6"/>
      <c r="BW1068" s="1029"/>
      <c r="BX1068" s="1028"/>
      <c r="CB1068" s="6"/>
      <c r="CC1068" s="6"/>
      <c r="CD1068" s="6"/>
      <c r="CE1068" s="1029"/>
      <c r="CJ1068" s="11"/>
      <c r="CM1068" s="11"/>
      <c r="CU1068" s="17"/>
      <c r="CV1068" s="265"/>
      <c r="CW1068" s="265"/>
      <c r="CY1068" s="11"/>
      <c r="DA1068" s="12"/>
      <c r="DB1068" s="13"/>
      <c r="DC1068" s="14"/>
      <c r="DD1068" s="265"/>
      <c r="DE1068" s="265"/>
      <c r="DF1068" s="265"/>
      <c r="DH1068" s="15"/>
      <c r="DM1068" s="4"/>
    </row>
    <row r="1069" spans="2:117" ht="15" customHeight="1">
      <c r="B1069" s="10"/>
      <c r="C1069" s="17"/>
      <c r="E1069" s="25"/>
      <c r="F1069" s="35"/>
      <c r="J1069" s="20"/>
      <c r="K1069" s="1024"/>
      <c r="L1069" s="1025"/>
      <c r="M1069" s="1026"/>
      <c r="N1069" s="1026"/>
      <c r="O1069" s="265"/>
      <c r="P1069" s="265"/>
      <c r="T1069" s="265"/>
      <c r="U1069" s="265"/>
      <c r="V1069" s="265"/>
      <c r="X1069" s="1026"/>
      <c r="Y1069" s="265"/>
      <c r="Z1069" s="265"/>
      <c r="AA1069" s="265"/>
      <c r="AD1069" s="4"/>
      <c r="AE1069" s="1026"/>
      <c r="AF1069" s="265"/>
      <c r="AU1069" s="265"/>
      <c r="AV1069" s="265"/>
      <c r="AW1069" s="265"/>
      <c r="AX1069" s="265"/>
      <c r="AY1069" s="265"/>
      <c r="AZ1069" s="265"/>
      <c r="BA1069" s="265"/>
      <c r="BB1069" s="265"/>
      <c r="BC1069" s="265"/>
      <c r="BD1069" s="265"/>
      <c r="BE1069" s="265"/>
      <c r="BF1069" s="265"/>
      <c r="BG1069" s="265"/>
      <c r="BM1069" s="6"/>
      <c r="BN1069" s="6"/>
      <c r="BO1069" s="6"/>
      <c r="BP1069" s="1028"/>
      <c r="BT1069" s="6"/>
      <c r="BU1069" s="6"/>
      <c r="BV1069" s="6"/>
      <c r="BW1069" s="1029"/>
      <c r="BX1069" s="1028"/>
      <c r="CB1069" s="6"/>
      <c r="CC1069" s="6"/>
      <c r="CD1069" s="6"/>
      <c r="CE1069" s="1029"/>
      <c r="CJ1069" s="11"/>
      <c r="CM1069" s="11"/>
      <c r="CU1069" s="17"/>
      <c r="CV1069" s="265"/>
      <c r="CW1069" s="265"/>
      <c r="CY1069" s="11"/>
      <c r="DA1069" s="12"/>
      <c r="DB1069" s="13"/>
      <c r="DC1069" s="14"/>
      <c r="DD1069" s="265"/>
      <c r="DE1069" s="265"/>
      <c r="DF1069" s="265"/>
      <c r="DH1069" s="15"/>
      <c r="DM1069" s="4"/>
    </row>
    <row r="1070" spans="2:117" ht="15" customHeight="1">
      <c r="B1070" s="10"/>
      <c r="C1070" s="17"/>
      <c r="E1070" s="25"/>
      <c r="F1070" s="35"/>
      <c r="J1070" s="20"/>
      <c r="K1070" s="1024"/>
      <c r="L1070" s="1025"/>
      <c r="M1070" s="1026"/>
      <c r="N1070" s="1026"/>
      <c r="O1070" s="265"/>
      <c r="P1070" s="265"/>
      <c r="T1070" s="265"/>
      <c r="U1070" s="265"/>
      <c r="V1070" s="265"/>
      <c r="X1070" s="1026"/>
      <c r="Y1070" s="265"/>
      <c r="Z1070" s="265"/>
      <c r="AA1070" s="265"/>
      <c r="AD1070" s="4"/>
      <c r="AE1070" s="1026"/>
      <c r="AF1070" s="265"/>
      <c r="AU1070" s="265"/>
      <c r="AV1070" s="265"/>
      <c r="AW1070" s="265"/>
      <c r="AX1070" s="265"/>
      <c r="AY1070" s="265"/>
      <c r="AZ1070" s="265"/>
      <c r="BA1070" s="265"/>
      <c r="BB1070" s="265"/>
      <c r="BC1070" s="265"/>
      <c r="BD1070" s="265"/>
      <c r="BE1070" s="265"/>
      <c r="BF1070" s="265"/>
      <c r="BG1070" s="265"/>
      <c r="BM1070" s="6"/>
      <c r="BN1070" s="6"/>
      <c r="BO1070" s="6"/>
      <c r="BP1070" s="1028"/>
      <c r="BT1070" s="6"/>
      <c r="BU1070" s="6"/>
      <c r="BV1070" s="6"/>
      <c r="BW1070" s="1029"/>
      <c r="BX1070" s="1028"/>
      <c r="CB1070" s="6"/>
      <c r="CC1070" s="6"/>
      <c r="CD1070" s="6"/>
      <c r="CE1070" s="1029"/>
      <c r="CJ1070" s="11"/>
      <c r="CM1070" s="11"/>
      <c r="CU1070" s="17"/>
      <c r="CV1070" s="265"/>
      <c r="CW1070" s="265"/>
      <c r="CY1070" s="11"/>
      <c r="DA1070" s="12"/>
      <c r="DB1070" s="13"/>
      <c r="DC1070" s="14"/>
      <c r="DD1070" s="265"/>
      <c r="DE1070" s="265"/>
      <c r="DF1070" s="265"/>
      <c r="DH1070" s="15"/>
      <c r="DM1070" s="4"/>
    </row>
    <row r="1071" spans="2:117" ht="15" customHeight="1">
      <c r="B1071" s="10"/>
      <c r="C1071" s="17"/>
      <c r="E1071" s="25"/>
      <c r="F1071" s="35"/>
      <c r="J1071" s="20"/>
      <c r="K1071" s="1024"/>
      <c r="L1071" s="1025"/>
      <c r="M1071" s="1026"/>
      <c r="N1071" s="1026"/>
      <c r="O1071" s="265"/>
      <c r="P1071" s="265"/>
      <c r="T1071" s="265"/>
      <c r="U1071" s="265"/>
      <c r="V1071" s="265"/>
      <c r="X1071" s="1026"/>
      <c r="Y1071" s="265"/>
      <c r="Z1071" s="265"/>
      <c r="AA1071" s="265"/>
      <c r="AD1071" s="4"/>
      <c r="AE1071" s="1026"/>
      <c r="AF1071" s="265"/>
      <c r="AU1071" s="265"/>
      <c r="AV1071" s="265"/>
      <c r="AW1071" s="265"/>
      <c r="AX1071" s="265"/>
      <c r="AY1071" s="265"/>
      <c r="AZ1071" s="265"/>
      <c r="BA1071" s="265"/>
      <c r="BB1071" s="265"/>
      <c r="BC1071" s="265"/>
      <c r="BD1071" s="265"/>
      <c r="BE1071" s="265"/>
      <c r="BF1071" s="265"/>
      <c r="BG1071" s="265"/>
      <c r="BM1071" s="6"/>
      <c r="BN1071" s="6"/>
      <c r="BO1071" s="6"/>
      <c r="BP1071" s="1028"/>
      <c r="BT1071" s="6"/>
      <c r="BU1071" s="6"/>
      <c r="BV1071" s="6"/>
      <c r="BW1071" s="1029"/>
      <c r="BX1071" s="1028"/>
      <c r="CB1071" s="6"/>
      <c r="CC1071" s="6"/>
      <c r="CD1071" s="6"/>
      <c r="CE1071" s="1029"/>
      <c r="CJ1071" s="11"/>
      <c r="CM1071" s="11"/>
      <c r="CU1071" s="17"/>
      <c r="CV1071" s="265"/>
      <c r="CW1071" s="265"/>
      <c r="CY1071" s="11"/>
      <c r="DA1071" s="12"/>
      <c r="DB1071" s="13"/>
      <c r="DC1071" s="14"/>
      <c r="DD1071" s="265"/>
      <c r="DE1071" s="265"/>
      <c r="DF1071" s="265"/>
      <c r="DH1071" s="15"/>
      <c r="DM1071" s="4"/>
    </row>
    <row r="1072" spans="2:117" ht="15" customHeight="1">
      <c r="B1072" s="10"/>
      <c r="C1072" s="17"/>
      <c r="E1072" s="25"/>
      <c r="F1072" s="35"/>
      <c r="J1072" s="20"/>
      <c r="K1072" s="1024"/>
      <c r="L1072" s="1025"/>
      <c r="M1072" s="1026"/>
      <c r="N1072" s="1026"/>
      <c r="O1072" s="265"/>
      <c r="P1072" s="265"/>
      <c r="T1072" s="265"/>
      <c r="U1072" s="265"/>
      <c r="V1072" s="265"/>
      <c r="X1072" s="1026"/>
      <c r="Y1072" s="265"/>
      <c r="Z1072" s="265"/>
      <c r="AA1072" s="265"/>
      <c r="AD1072" s="4"/>
      <c r="AE1072" s="1026"/>
      <c r="AF1072" s="265"/>
      <c r="AU1072" s="265"/>
      <c r="AV1072" s="265"/>
      <c r="AW1072" s="265"/>
      <c r="AX1072" s="265"/>
      <c r="AY1072" s="265"/>
      <c r="AZ1072" s="265"/>
      <c r="BA1072" s="265"/>
      <c r="BB1072" s="265"/>
      <c r="BC1072" s="265"/>
      <c r="BD1072" s="265"/>
      <c r="BE1072" s="265"/>
      <c r="BF1072" s="265"/>
      <c r="BG1072" s="265"/>
      <c r="BM1072" s="6"/>
      <c r="BN1072" s="6"/>
      <c r="BO1072" s="6"/>
      <c r="BP1072" s="1028"/>
      <c r="BT1072" s="6"/>
      <c r="BU1072" s="6"/>
      <c r="BV1072" s="6"/>
      <c r="BW1072" s="1029"/>
      <c r="BX1072" s="1028"/>
      <c r="CB1072" s="6"/>
      <c r="CC1072" s="6"/>
      <c r="CD1072" s="6"/>
      <c r="CE1072" s="1029"/>
      <c r="CJ1072" s="11"/>
      <c r="CM1072" s="11"/>
      <c r="CU1072" s="17"/>
      <c r="CV1072" s="265"/>
      <c r="CW1072" s="265"/>
      <c r="CY1072" s="11"/>
      <c r="DA1072" s="12"/>
      <c r="DB1072" s="13"/>
      <c r="DC1072" s="14"/>
      <c r="DD1072" s="265"/>
      <c r="DE1072" s="265"/>
      <c r="DF1072" s="265"/>
      <c r="DH1072" s="15"/>
      <c r="DM1072" s="4"/>
    </row>
    <row r="1073" spans="2:117" ht="15" customHeight="1">
      <c r="B1073" s="10"/>
      <c r="C1073" s="17"/>
      <c r="E1073" s="25"/>
      <c r="F1073" s="35"/>
      <c r="J1073" s="20"/>
      <c r="K1073" s="1024"/>
      <c r="L1073" s="1025"/>
      <c r="M1073" s="1026"/>
      <c r="N1073" s="1026"/>
      <c r="O1073" s="265"/>
      <c r="P1073" s="265"/>
      <c r="T1073" s="265"/>
      <c r="U1073" s="265"/>
      <c r="V1073" s="265"/>
      <c r="X1073" s="1026"/>
      <c r="Y1073" s="265"/>
      <c r="Z1073" s="265"/>
      <c r="AA1073" s="265"/>
      <c r="AD1073" s="4"/>
      <c r="AE1073" s="1026"/>
      <c r="AF1073" s="265"/>
      <c r="AU1073" s="265"/>
      <c r="AV1073" s="265"/>
      <c r="AW1073" s="265"/>
      <c r="AX1073" s="265"/>
      <c r="AY1073" s="265"/>
      <c r="AZ1073" s="265"/>
      <c r="BA1073" s="265"/>
      <c r="BB1073" s="265"/>
      <c r="BC1073" s="265"/>
      <c r="BD1073" s="265"/>
      <c r="BE1073" s="265"/>
      <c r="BF1073" s="265"/>
      <c r="BG1073" s="265"/>
      <c r="BM1073" s="6"/>
      <c r="BN1073" s="6"/>
      <c r="BO1073" s="6"/>
      <c r="BP1073" s="1028"/>
      <c r="BT1073" s="6"/>
      <c r="BU1073" s="6"/>
      <c r="BV1073" s="6"/>
      <c r="BW1073" s="1029"/>
      <c r="BX1073" s="1028"/>
      <c r="CB1073" s="6"/>
      <c r="CC1073" s="6"/>
      <c r="CD1073" s="6"/>
      <c r="CE1073" s="1029"/>
      <c r="CJ1073" s="11"/>
      <c r="CM1073" s="11"/>
      <c r="CU1073" s="17"/>
      <c r="CV1073" s="265"/>
      <c r="CW1073" s="265"/>
      <c r="CY1073" s="11"/>
      <c r="DA1073" s="12"/>
      <c r="DB1073" s="13"/>
      <c r="DC1073" s="14"/>
      <c r="DD1073" s="265"/>
      <c r="DE1073" s="265"/>
      <c r="DF1073" s="265"/>
      <c r="DH1073" s="15"/>
      <c r="DM1073" s="4"/>
    </row>
    <row r="1074" spans="2:117" ht="15" customHeight="1">
      <c r="B1074" s="10"/>
      <c r="C1074" s="17"/>
      <c r="E1074" s="25"/>
      <c r="F1074" s="35"/>
      <c r="J1074" s="20"/>
      <c r="K1074" s="1024"/>
      <c r="L1074" s="1025"/>
      <c r="M1074" s="1026"/>
      <c r="N1074" s="1026"/>
      <c r="O1074" s="265"/>
      <c r="P1074" s="265"/>
      <c r="T1074" s="265"/>
      <c r="U1074" s="265"/>
      <c r="V1074" s="265"/>
      <c r="X1074" s="1026"/>
      <c r="Y1074" s="265"/>
      <c r="Z1074" s="265"/>
      <c r="AA1074" s="265"/>
      <c r="AD1074" s="4"/>
      <c r="AE1074" s="1026"/>
      <c r="AF1074" s="265"/>
      <c r="AU1074" s="265"/>
      <c r="AV1074" s="265"/>
      <c r="AW1074" s="265"/>
      <c r="AX1074" s="265"/>
      <c r="AY1074" s="265"/>
      <c r="AZ1074" s="265"/>
      <c r="BA1074" s="265"/>
      <c r="BB1074" s="265"/>
      <c r="BC1074" s="265"/>
      <c r="BD1074" s="265"/>
      <c r="BE1074" s="265"/>
      <c r="BF1074" s="265"/>
      <c r="BG1074" s="265"/>
      <c r="BM1074" s="6"/>
      <c r="BN1074" s="6"/>
      <c r="BO1074" s="6"/>
      <c r="BP1074" s="1028"/>
      <c r="BT1074" s="6"/>
      <c r="BU1074" s="6"/>
      <c r="BV1074" s="6"/>
      <c r="BW1074" s="1029"/>
      <c r="BX1074" s="1028"/>
      <c r="CB1074" s="6"/>
      <c r="CC1074" s="6"/>
      <c r="CD1074" s="6"/>
      <c r="CE1074" s="1029"/>
      <c r="CJ1074" s="11"/>
      <c r="CM1074" s="11"/>
      <c r="CU1074" s="17"/>
      <c r="CV1074" s="265"/>
      <c r="CW1074" s="265"/>
      <c r="CY1074" s="11"/>
      <c r="DA1074" s="12"/>
      <c r="DB1074" s="13"/>
      <c r="DC1074" s="14"/>
      <c r="DD1074" s="265"/>
      <c r="DE1074" s="265"/>
      <c r="DF1074" s="265"/>
      <c r="DH1074" s="15"/>
      <c r="DM1074" s="4"/>
    </row>
    <row r="1075" spans="2:117" ht="15" customHeight="1">
      <c r="B1075" s="10"/>
      <c r="C1075" s="17"/>
      <c r="E1075" s="25"/>
      <c r="F1075" s="35"/>
      <c r="J1075" s="20"/>
      <c r="K1075" s="1024"/>
      <c r="L1075" s="1025"/>
      <c r="M1075" s="1026"/>
      <c r="N1075" s="1026"/>
      <c r="O1075" s="265"/>
      <c r="P1075" s="265"/>
      <c r="T1075" s="265"/>
      <c r="U1075" s="265"/>
      <c r="V1075" s="265"/>
      <c r="X1075" s="1026"/>
      <c r="Y1075" s="265"/>
      <c r="Z1075" s="265"/>
      <c r="AA1075" s="265"/>
      <c r="AD1075" s="4"/>
      <c r="AE1075" s="1026"/>
      <c r="AF1075" s="265"/>
      <c r="AU1075" s="265"/>
      <c r="AV1075" s="265"/>
      <c r="AW1075" s="265"/>
      <c r="AX1075" s="265"/>
      <c r="AY1075" s="265"/>
      <c r="AZ1075" s="265"/>
      <c r="BA1075" s="265"/>
      <c r="BB1075" s="265"/>
      <c r="BC1075" s="265"/>
      <c r="BD1075" s="265"/>
      <c r="BE1075" s="265"/>
      <c r="BF1075" s="265"/>
      <c r="BG1075" s="265"/>
      <c r="BM1075" s="6"/>
      <c r="BN1075" s="6"/>
      <c r="BO1075" s="6"/>
      <c r="BP1075" s="1028"/>
      <c r="BT1075" s="6"/>
      <c r="BU1075" s="6"/>
      <c r="BV1075" s="6"/>
      <c r="BW1075" s="1029"/>
      <c r="BX1075" s="1028"/>
      <c r="CB1075" s="6"/>
      <c r="CC1075" s="6"/>
      <c r="CD1075" s="6"/>
      <c r="CE1075" s="1029"/>
      <c r="CJ1075" s="11"/>
      <c r="CM1075" s="11"/>
      <c r="CU1075" s="17"/>
      <c r="CV1075" s="265"/>
      <c r="CW1075" s="265"/>
      <c r="CY1075" s="11"/>
      <c r="DA1075" s="12"/>
      <c r="DB1075" s="13"/>
      <c r="DC1075" s="14"/>
      <c r="DD1075" s="265"/>
      <c r="DE1075" s="265"/>
      <c r="DF1075" s="265"/>
      <c r="DH1075" s="15"/>
      <c r="DM1075" s="4"/>
    </row>
    <row r="1076" spans="2:117" ht="15" customHeight="1">
      <c r="B1076" s="10"/>
      <c r="C1076" s="17"/>
      <c r="E1076" s="25"/>
      <c r="F1076" s="35"/>
      <c r="J1076" s="20"/>
      <c r="K1076" s="1024"/>
      <c r="L1076" s="1025"/>
      <c r="M1076" s="1026"/>
      <c r="N1076" s="1026"/>
      <c r="O1076" s="265"/>
      <c r="P1076" s="265"/>
      <c r="T1076" s="265"/>
      <c r="U1076" s="265"/>
      <c r="V1076" s="265"/>
      <c r="X1076" s="1026"/>
      <c r="Y1076" s="265"/>
      <c r="Z1076" s="265"/>
      <c r="AA1076" s="265"/>
      <c r="AD1076" s="4"/>
      <c r="AE1076" s="1026"/>
      <c r="AF1076" s="265"/>
      <c r="AU1076" s="265"/>
      <c r="AV1076" s="265"/>
      <c r="AW1076" s="265"/>
      <c r="AX1076" s="265"/>
      <c r="AY1076" s="265"/>
      <c r="AZ1076" s="265"/>
      <c r="BA1076" s="265"/>
      <c r="BB1076" s="265"/>
      <c r="BC1076" s="265"/>
      <c r="BD1076" s="265"/>
      <c r="BE1076" s="265"/>
      <c r="BF1076" s="265"/>
      <c r="BG1076" s="265"/>
      <c r="BM1076" s="6"/>
      <c r="BN1076" s="6"/>
      <c r="BO1076" s="6"/>
      <c r="BP1076" s="1028"/>
      <c r="BT1076" s="6"/>
      <c r="BU1076" s="6"/>
      <c r="BV1076" s="6"/>
      <c r="BW1076" s="1029"/>
      <c r="BX1076" s="1028"/>
      <c r="CB1076" s="6"/>
      <c r="CC1076" s="6"/>
      <c r="CD1076" s="6"/>
      <c r="CE1076" s="1029"/>
      <c r="CJ1076" s="11"/>
      <c r="CM1076" s="11"/>
      <c r="CU1076" s="17"/>
      <c r="CV1076" s="265"/>
      <c r="CW1076" s="265"/>
      <c r="CY1076" s="11"/>
      <c r="DA1076" s="12"/>
      <c r="DB1076" s="13"/>
      <c r="DC1076" s="14"/>
      <c r="DD1076" s="265"/>
      <c r="DE1076" s="265"/>
      <c r="DF1076" s="265"/>
      <c r="DH1076" s="15"/>
      <c r="DM1076" s="4"/>
    </row>
    <row r="1077" spans="2:117" ht="15" customHeight="1">
      <c r="B1077" s="10"/>
      <c r="C1077" s="17"/>
      <c r="E1077" s="25"/>
      <c r="F1077" s="35"/>
      <c r="J1077" s="20"/>
      <c r="K1077" s="1024"/>
      <c r="L1077" s="1025"/>
      <c r="M1077" s="1026"/>
      <c r="N1077" s="1026"/>
      <c r="O1077" s="265"/>
      <c r="P1077" s="265"/>
      <c r="T1077" s="265"/>
      <c r="U1077" s="265"/>
      <c r="V1077" s="265"/>
      <c r="X1077" s="1026"/>
      <c r="Y1077" s="265"/>
      <c r="Z1077" s="265"/>
      <c r="AA1077" s="265"/>
      <c r="AD1077" s="4"/>
      <c r="AE1077" s="1026"/>
      <c r="AF1077" s="265"/>
      <c r="AU1077" s="265"/>
      <c r="AV1077" s="265"/>
      <c r="AW1077" s="265"/>
      <c r="AX1077" s="265"/>
      <c r="AY1077" s="265"/>
      <c r="AZ1077" s="265"/>
      <c r="BA1077" s="265"/>
      <c r="BB1077" s="265"/>
      <c r="BC1077" s="265"/>
      <c r="BD1077" s="265"/>
      <c r="BE1077" s="265"/>
      <c r="BF1077" s="265"/>
      <c r="BG1077" s="265"/>
      <c r="BM1077" s="6"/>
      <c r="BN1077" s="6"/>
      <c r="BO1077" s="6"/>
      <c r="BP1077" s="1028"/>
      <c r="BT1077" s="6"/>
      <c r="BU1077" s="6"/>
      <c r="BV1077" s="6"/>
      <c r="BW1077" s="1029"/>
      <c r="BX1077" s="1028"/>
      <c r="CB1077" s="6"/>
      <c r="CC1077" s="6"/>
      <c r="CD1077" s="6"/>
      <c r="CE1077" s="1029"/>
      <c r="CJ1077" s="11"/>
      <c r="CM1077" s="11"/>
      <c r="CU1077" s="17"/>
      <c r="CV1077" s="265"/>
      <c r="CW1077" s="265"/>
      <c r="CY1077" s="11"/>
      <c r="DA1077" s="12"/>
      <c r="DB1077" s="13"/>
      <c r="DC1077" s="14"/>
      <c r="DD1077" s="265"/>
      <c r="DE1077" s="265"/>
      <c r="DF1077" s="265"/>
      <c r="DH1077" s="15"/>
      <c r="DM1077" s="4"/>
    </row>
    <row r="1078" spans="2:117" ht="15" customHeight="1">
      <c r="B1078" s="10"/>
      <c r="C1078" s="17"/>
      <c r="E1078" s="25"/>
      <c r="F1078" s="35"/>
      <c r="J1078" s="20"/>
      <c r="K1078" s="1024"/>
      <c r="L1078" s="1025"/>
      <c r="M1078" s="1026"/>
      <c r="N1078" s="1026"/>
      <c r="O1078" s="265"/>
      <c r="P1078" s="265"/>
      <c r="T1078" s="265"/>
      <c r="U1078" s="265"/>
      <c r="V1078" s="265"/>
      <c r="X1078" s="1026"/>
      <c r="Y1078" s="265"/>
      <c r="Z1078" s="265"/>
      <c r="AA1078" s="265"/>
      <c r="AD1078" s="4"/>
      <c r="AE1078" s="1026"/>
      <c r="AF1078" s="265"/>
      <c r="AU1078" s="265"/>
      <c r="AV1078" s="265"/>
      <c r="AW1078" s="265"/>
      <c r="AX1078" s="265"/>
      <c r="AY1078" s="265"/>
      <c r="AZ1078" s="265"/>
      <c r="BA1078" s="265"/>
      <c r="BB1078" s="265"/>
      <c r="BC1078" s="265"/>
      <c r="BD1078" s="265"/>
      <c r="BE1078" s="265"/>
      <c r="BF1078" s="265"/>
      <c r="BG1078" s="265"/>
      <c r="BM1078" s="6"/>
      <c r="BN1078" s="6"/>
      <c r="BO1078" s="6"/>
      <c r="BP1078" s="1028"/>
      <c r="BT1078" s="6"/>
      <c r="BU1078" s="6"/>
      <c r="BV1078" s="6"/>
      <c r="BW1078" s="1029"/>
      <c r="BX1078" s="1028"/>
      <c r="CB1078" s="6"/>
      <c r="CC1078" s="6"/>
      <c r="CD1078" s="6"/>
      <c r="CE1078" s="1029"/>
      <c r="CJ1078" s="11"/>
      <c r="CM1078" s="11"/>
      <c r="CU1078" s="17"/>
      <c r="CV1078" s="265"/>
      <c r="CW1078" s="265"/>
      <c r="CY1078" s="11"/>
      <c r="DA1078" s="12"/>
      <c r="DB1078" s="13"/>
      <c r="DC1078" s="14"/>
      <c r="DD1078" s="265"/>
      <c r="DE1078" s="265"/>
      <c r="DF1078" s="265"/>
      <c r="DH1078" s="15"/>
      <c r="DM1078" s="4"/>
    </row>
    <row r="1079" spans="2:117" ht="15" customHeight="1">
      <c r="B1079" s="10"/>
      <c r="C1079" s="17"/>
      <c r="E1079" s="25"/>
      <c r="F1079" s="35"/>
      <c r="J1079" s="20"/>
      <c r="K1079" s="1024"/>
      <c r="L1079" s="1025"/>
      <c r="M1079" s="1026"/>
      <c r="N1079" s="1026"/>
      <c r="O1079" s="265"/>
      <c r="P1079" s="265"/>
      <c r="T1079" s="265"/>
      <c r="U1079" s="265"/>
      <c r="V1079" s="265"/>
      <c r="X1079" s="1026"/>
      <c r="Y1079" s="265"/>
      <c r="Z1079" s="265"/>
      <c r="AA1079" s="265"/>
      <c r="AD1079" s="4"/>
      <c r="AE1079" s="1026"/>
      <c r="AF1079" s="265"/>
      <c r="AU1079" s="265"/>
      <c r="AV1079" s="265"/>
      <c r="AW1079" s="265"/>
      <c r="AX1079" s="265"/>
      <c r="AY1079" s="265"/>
      <c r="AZ1079" s="265"/>
      <c r="BA1079" s="265"/>
      <c r="BB1079" s="265"/>
      <c r="BC1079" s="265"/>
      <c r="BD1079" s="265"/>
      <c r="BE1079" s="265"/>
      <c r="BF1079" s="265"/>
      <c r="BG1079" s="265"/>
      <c r="BM1079" s="6"/>
      <c r="BN1079" s="6"/>
      <c r="BO1079" s="6"/>
      <c r="BP1079" s="1028"/>
      <c r="BT1079" s="6"/>
      <c r="BU1079" s="6"/>
      <c r="BV1079" s="6"/>
      <c r="BW1079" s="1029"/>
      <c r="BX1079" s="1028"/>
      <c r="CB1079" s="6"/>
      <c r="CC1079" s="6"/>
      <c r="CD1079" s="6"/>
      <c r="CE1079" s="1029"/>
      <c r="CJ1079" s="11"/>
      <c r="CM1079" s="11"/>
      <c r="CU1079" s="17"/>
      <c r="CV1079" s="265"/>
      <c r="CW1079" s="265"/>
      <c r="CY1079" s="11"/>
      <c r="DA1079" s="12"/>
      <c r="DB1079" s="13"/>
      <c r="DC1079" s="14"/>
      <c r="DD1079" s="265"/>
      <c r="DE1079" s="265"/>
      <c r="DF1079" s="265"/>
      <c r="DH1079" s="15"/>
      <c r="DM1079" s="4"/>
    </row>
    <row r="1080" spans="2:117" ht="15" customHeight="1">
      <c r="B1080" s="10"/>
      <c r="C1080" s="17"/>
      <c r="E1080" s="25"/>
      <c r="F1080" s="35"/>
      <c r="J1080" s="20"/>
      <c r="K1080" s="1024"/>
      <c r="L1080" s="1025"/>
      <c r="M1080" s="1026"/>
      <c r="N1080" s="1026"/>
      <c r="O1080" s="265"/>
      <c r="P1080" s="265"/>
      <c r="T1080" s="265"/>
      <c r="U1080" s="265"/>
      <c r="V1080" s="265"/>
      <c r="X1080" s="1026"/>
      <c r="Y1080" s="265"/>
      <c r="Z1080" s="265"/>
      <c r="AA1080" s="265"/>
      <c r="AD1080" s="4"/>
      <c r="AE1080" s="1026"/>
      <c r="AF1080" s="265"/>
      <c r="AU1080" s="265"/>
      <c r="AV1080" s="265"/>
      <c r="AW1080" s="265"/>
      <c r="AX1080" s="265"/>
      <c r="AY1080" s="265"/>
      <c r="AZ1080" s="265"/>
      <c r="BA1080" s="265"/>
      <c r="BB1080" s="265"/>
      <c r="BC1080" s="265"/>
      <c r="BD1080" s="265"/>
      <c r="BE1080" s="265"/>
      <c r="BF1080" s="265"/>
      <c r="BG1080" s="265"/>
      <c r="BM1080" s="6"/>
      <c r="BN1080" s="6"/>
      <c r="BO1080" s="6"/>
      <c r="BP1080" s="1028"/>
      <c r="BT1080" s="6"/>
      <c r="BU1080" s="6"/>
      <c r="BV1080" s="6"/>
      <c r="BW1080" s="1029"/>
      <c r="BX1080" s="1028"/>
      <c r="CB1080" s="6"/>
      <c r="CC1080" s="6"/>
      <c r="CD1080" s="6"/>
      <c r="CE1080" s="1029"/>
      <c r="CJ1080" s="11"/>
      <c r="CM1080" s="11"/>
      <c r="CU1080" s="17"/>
      <c r="CV1080" s="265"/>
      <c r="CW1080" s="265"/>
      <c r="CY1080" s="11"/>
      <c r="DA1080" s="12"/>
      <c r="DB1080" s="13"/>
      <c r="DC1080" s="14"/>
      <c r="DD1080" s="265"/>
      <c r="DE1080" s="265"/>
      <c r="DF1080" s="265"/>
      <c r="DH1080" s="15"/>
      <c r="DM1080" s="4"/>
    </row>
    <row r="1081" spans="2:117" ht="15" customHeight="1">
      <c r="B1081" s="10"/>
      <c r="C1081" s="17"/>
      <c r="E1081" s="25"/>
      <c r="F1081" s="35"/>
      <c r="J1081" s="20"/>
      <c r="K1081" s="1024"/>
      <c r="L1081" s="1025"/>
      <c r="M1081" s="1026"/>
      <c r="N1081" s="1026"/>
      <c r="O1081" s="265"/>
      <c r="P1081" s="265"/>
      <c r="T1081" s="265"/>
      <c r="U1081" s="265"/>
      <c r="V1081" s="265"/>
      <c r="X1081" s="1026"/>
      <c r="Y1081" s="265"/>
      <c r="Z1081" s="265"/>
      <c r="AA1081" s="265"/>
      <c r="AD1081" s="4"/>
      <c r="AE1081" s="1026"/>
      <c r="AF1081" s="265"/>
      <c r="AU1081" s="265"/>
      <c r="AV1081" s="265"/>
      <c r="AW1081" s="265"/>
      <c r="AX1081" s="265"/>
      <c r="AY1081" s="265"/>
      <c r="AZ1081" s="265"/>
      <c r="BA1081" s="265"/>
      <c r="BB1081" s="265"/>
      <c r="BC1081" s="265"/>
      <c r="BD1081" s="265"/>
      <c r="BE1081" s="265"/>
      <c r="BF1081" s="265"/>
      <c r="BG1081" s="265"/>
      <c r="BM1081" s="6"/>
      <c r="BN1081" s="6"/>
      <c r="BO1081" s="6"/>
      <c r="BP1081" s="1028"/>
      <c r="BT1081" s="6"/>
      <c r="BU1081" s="6"/>
      <c r="BV1081" s="6"/>
      <c r="BW1081" s="1029"/>
      <c r="BX1081" s="1028"/>
      <c r="CB1081" s="6"/>
      <c r="CC1081" s="6"/>
      <c r="CD1081" s="6"/>
      <c r="CE1081" s="1029"/>
      <c r="CJ1081" s="11"/>
      <c r="CM1081" s="11"/>
      <c r="CU1081" s="17"/>
      <c r="CV1081" s="265"/>
      <c r="CW1081" s="265"/>
      <c r="CY1081" s="11"/>
      <c r="DA1081" s="12"/>
      <c r="DB1081" s="13"/>
      <c r="DC1081" s="14"/>
      <c r="DD1081" s="265"/>
      <c r="DE1081" s="265"/>
      <c r="DF1081" s="265"/>
      <c r="DH1081" s="15"/>
      <c r="DM1081" s="4"/>
    </row>
    <row r="1082" spans="2:117" ht="15" customHeight="1">
      <c r="B1082" s="10"/>
      <c r="C1082" s="17"/>
      <c r="E1082" s="25"/>
      <c r="F1082" s="35"/>
      <c r="J1082" s="20"/>
      <c r="K1082" s="1024"/>
      <c r="L1082" s="1025"/>
      <c r="M1082" s="1026"/>
      <c r="N1082" s="1026"/>
      <c r="O1082" s="265"/>
      <c r="P1082" s="265"/>
      <c r="T1082" s="265"/>
      <c r="U1082" s="265"/>
      <c r="V1082" s="265"/>
      <c r="X1082" s="1026"/>
      <c r="Y1082" s="265"/>
      <c r="Z1082" s="265"/>
      <c r="AA1082" s="265"/>
      <c r="AD1082" s="4"/>
      <c r="AE1082" s="1026"/>
      <c r="AF1082" s="265"/>
      <c r="AU1082" s="265"/>
      <c r="AV1082" s="265"/>
      <c r="AW1082" s="265"/>
      <c r="AX1082" s="265"/>
      <c r="AY1082" s="265"/>
      <c r="AZ1082" s="265"/>
      <c r="BA1082" s="265"/>
      <c r="BB1082" s="265"/>
      <c r="BC1082" s="265"/>
      <c r="BD1082" s="265"/>
      <c r="BE1082" s="265"/>
      <c r="BF1082" s="265"/>
      <c r="BG1082" s="265"/>
      <c r="BM1082" s="6"/>
      <c r="BN1082" s="6"/>
      <c r="BO1082" s="6"/>
      <c r="BP1082" s="1028"/>
      <c r="BT1082" s="6"/>
      <c r="BU1082" s="6"/>
      <c r="BV1082" s="6"/>
      <c r="BW1082" s="1029"/>
      <c r="BX1082" s="1028"/>
      <c r="CB1082" s="6"/>
      <c r="CC1082" s="6"/>
      <c r="CD1082" s="6"/>
      <c r="CE1082" s="1029"/>
      <c r="CJ1082" s="11"/>
      <c r="CM1082" s="11"/>
      <c r="CU1082" s="17"/>
      <c r="CV1082" s="265"/>
      <c r="CW1082" s="265"/>
      <c r="CY1082" s="11"/>
      <c r="DA1082" s="12"/>
      <c r="DB1082" s="13"/>
      <c r="DC1082" s="14"/>
      <c r="DD1082" s="265"/>
      <c r="DE1082" s="265"/>
      <c r="DF1082" s="265"/>
      <c r="DH1082" s="15"/>
      <c r="DM1082" s="4"/>
    </row>
    <row r="1083" spans="2:117" ht="15" customHeight="1">
      <c r="B1083" s="10"/>
      <c r="C1083" s="17"/>
      <c r="E1083" s="25"/>
      <c r="F1083" s="35"/>
      <c r="J1083" s="20"/>
      <c r="K1083" s="1024"/>
      <c r="L1083" s="1025"/>
      <c r="M1083" s="1026"/>
      <c r="N1083" s="1026"/>
      <c r="O1083" s="265"/>
      <c r="P1083" s="265"/>
      <c r="T1083" s="265"/>
      <c r="U1083" s="265"/>
      <c r="V1083" s="265"/>
      <c r="X1083" s="1026"/>
      <c r="Y1083" s="265"/>
      <c r="Z1083" s="265"/>
      <c r="AA1083" s="265"/>
      <c r="AD1083" s="4"/>
      <c r="AE1083" s="1026"/>
      <c r="AF1083" s="265"/>
      <c r="AU1083" s="265"/>
      <c r="AV1083" s="265"/>
      <c r="AW1083" s="265"/>
      <c r="AX1083" s="265"/>
      <c r="AY1083" s="265"/>
      <c r="AZ1083" s="265"/>
      <c r="BA1083" s="265"/>
      <c r="BB1083" s="265"/>
      <c r="BC1083" s="265"/>
      <c r="BD1083" s="265"/>
      <c r="BE1083" s="265"/>
      <c r="BF1083" s="265"/>
      <c r="BG1083" s="265"/>
      <c r="BM1083" s="6"/>
      <c r="BN1083" s="6"/>
      <c r="BO1083" s="6"/>
      <c r="BP1083" s="1028"/>
      <c r="BT1083" s="6"/>
      <c r="BU1083" s="6"/>
      <c r="BV1083" s="6"/>
      <c r="BW1083" s="1029"/>
      <c r="BX1083" s="1028"/>
      <c r="CB1083" s="6"/>
      <c r="CC1083" s="6"/>
      <c r="CD1083" s="6"/>
      <c r="CE1083" s="1029"/>
      <c r="CJ1083" s="11"/>
      <c r="CM1083" s="11"/>
      <c r="CU1083" s="17"/>
      <c r="CV1083" s="265"/>
      <c r="CW1083" s="265"/>
      <c r="CY1083" s="11"/>
      <c r="DA1083" s="12"/>
      <c r="DB1083" s="13"/>
      <c r="DC1083" s="14"/>
      <c r="DD1083" s="265"/>
      <c r="DE1083" s="265"/>
      <c r="DF1083" s="265"/>
      <c r="DH1083" s="15"/>
      <c r="DM1083" s="4"/>
    </row>
    <row r="1084" spans="2:117" ht="15" customHeight="1">
      <c r="B1084" s="10"/>
      <c r="C1084" s="17"/>
      <c r="E1084" s="25"/>
      <c r="F1084" s="35"/>
      <c r="J1084" s="20"/>
      <c r="K1084" s="1024"/>
      <c r="L1084" s="1025"/>
      <c r="M1084" s="1026"/>
      <c r="N1084" s="1026"/>
      <c r="O1084" s="265"/>
      <c r="P1084" s="265"/>
      <c r="T1084" s="265"/>
      <c r="U1084" s="265"/>
      <c r="V1084" s="265"/>
      <c r="X1084" s="1026"/>
      <c r="Y1084" s="265"/>
      <c r="Z1084" s="265"/>
      <c r="AA1084" s="265"/>
      <c r="AD1084" s="4"/>
      <c r="AE1084" s="1026"/>
      <c r="AF1084" s="265"/>
      <c r="AU1084" s="265"/>
      <c r="AV1084" s="265"/>
      <c r="AW1084" s="265"/>
      <c r="AX1084" s="265"/>
      <c r="AY1084" s="265"/>
      <c r="AZ1084" s="265"/>
      <c r="BA1084" s="265"/>
      <c r="BB1084" s="265"/>
      <c r="BC1084" s="265"/>
      <c r="BD1084" s="265"/>
      <c r="BE1084" s="265"/>
      <c r="BF1084" s="265"/>
      <c r="BG1084" s="265"/>
      <c r="BM1084" s="6"/>
      <c r="BN1084" s="6"/>
      <c r="BO1084" s="6"/>
      <c r="BP1084" s="1028"/>
      <c r="BT1084" s="6"/>
      <c r="BU1084" s="6"/>
      <c r="BV1084" s="6"/>
      <c r="BW1084" s="1029"/>
      <c r="BX1084" s="1028"/>
      <c r="CB1084" s="6"/>
      <c r="CC1084" s="6"/>
      <c r="CD1084" s="6"/>
      <c r="CE1084" s="1029"/>
      <c r="CJ1084" s="11"/>
      <c r="CM1084" s="11"/>
      <c r="CU1084" s="17"/>
      <c r="CV1084" s="265"/>
      <c r="CW1084" s="265"/>
      <c r="CY1084" s="11"/>
      <c r="DA1084" s="12"/>
      <c r="DB1084" s="13"/>
      <c r="DC1084" s="14"/>
      <c r="DD1084" s="265"/>
      <c r="DE1084" s="265"/>
      <c r="DF1084" s="265"/>
      <c r="DH1084" s="15"/>
      <c r="DM1084" s="4"/>
    </row>
    <row r="1085" spans="2:117" ht="15" customHeight="1">
      <c r="B1085" s="10"/>
      <c r="C1085" s="17"/>
      <c r="E1085" s="25"/>
      <c r="F1085" s="35"/>
      <c r="J1085" s="20"/>
      <c r="K1085" s="1024"/>
      <c r="L1085" s="1025"/>
      <c r="M1085" s="1026"/>
      <c r="N1085" s="1026"/>
      <c r="O1085" s="265"/>
      <c r="P1085" s="265"/>
      <c r="T1085" s="265"/>
      <c r="U1085" s="265"/>
      <c r="V1085" s="265"/>
      <c r="X1085" s="1026"/>
      <c r="Y1085" s="265"/>
      <c r="Z1085" s="265"/>
      <c r="AA1085" s="265"/>
      <c r="AD1085" s="4"/>
      <c r="AE1085" s="1026"/>
      <c r="AF1085" s="265"/>
      <c r="AU1085" s="265"/>
      <c r="AV1085" s="265"/>
      <c r="AW1085" s="265"/>
      <c r="AX1085" s="265"/>
      <c r="AY1085" s="265"/>
      <c r="AZ1085" s="265"/>
      <c r="BA1085" s="265"/>
      <c r="BB1085" s="265"/>
      <c r="BC1085" s="265"/>
      <c r="BD1085" s="265"/>
      <c r="BE1085" s="265"/>
      <c r="BF1085" s="265"/>
      <c r="BG1085" s="265"/>
      <c r="BM1085" s="6"/>
      <c r="BN1085" s="6"/>
      <c r="BO1085" s="6"/>
      <c r="BP1085" s="1028"/>
      <c r="BT1085" s="6"/>
      <c r="BU1085" s="6"/>
      <c r="BV1085" s="6"/>
      <c r="BW1085" s="1029"/>
      <c r="BX1085" s="1028"/>
      <c r="CB1085" s="6"/>
      <c r="CC1085" s="6"/>
      <c r="CD1085" s="6"/>
      <c r="CE1085" s="1029"/>
      <c r="CJ1085" s="11"/>
      <c r="CM1085" s="11"/>
      <c r="CU1085" s="17"/>
      <c r="CV1085" s="265"/>
      <c r="CW1085" s="265"/>
      <c r="CY1085" s="11"/>
      <c r="DA1085" s="12"/>
      <c r="DB1085" s="13"/>
      <c r="DC1085" s="14"/>
      <c r="DD1085" s="265"/>
      <c r="DE1085" s="265"/>
      <c r="DF1085" s="265"/>
      <c r="DH1085" s="15"/>
      <c r="DM1085" s="4"/>
    </row>
    <row r="1086" spans="2:117" ht="15" customHeight="1">
      <c r="B1086" s="10"/>
      <c r="C1086" s="17"/>
      <c r="E1086" s="25"/>
      <c r="F1086" s="35"/>
      <c r="J1086" s="20"/>
      <c r="K1086" s="1024"/>
      <c r="L1086" s="1025"/>
      <c r="M1086" s="1026"/>
      <c r="N1086" s="1026"/>
      <c r="O1086" s="265"/>
      <c r="P1086" s="265"/>
      <c r="T1086" s="265"/>
      <c r="U1086" s="265"/>
      <c r="V1086" s="265"/>
      <c r="X1086" s="1026"/>
      <c r="Y1086" s="265"/>
      <c r="Z1086" s="265"/>
      <c r="AA1086" s="265"/>
      <c r="AD1086" s="4"/>
      <c r="AE1086" s="1026"/>
      <c r="AF1086" s="265"/>
      <c r="AU1086" s="265"/>
      <c r="AV1086" s="265"/>
      <c r="AW1086" s="265"/>
      <c r="AX1086" s="265"/>
      <c r="AY1086" s="265"/>
      <c r="AZ1086" s="265"/>
      <c r="BA1086" s="265"/>
      <c r="BB1086" s="265"/>
      <c r="BC1086" s="265"/>
      <c r="BD1086" s="265"/>
      <c r="BE1086" s="265"/>
      <c r="BF1086" s="265"/>
      <c r="BG1086" s="265"/>
      <c r="BM1086" s="6"/>
      <c r="BN1086" s="6"/>
      <c r="BO1086" s="6"/>
      <c r="BP1086" s="1028"/>
      <c r="BT1086" s="6"/>
      <c r="BU1086" s="6"/>
      <c r="BV1086" s="6"/>
      <c r="BW1086" s="1029"/>
      <c r="BX1086" s="1028"/>
      <c r="CB1086" s="6"/>
      <c r="CC1086" s="6"/>
      <c r="CD1086" s="6"/>
      <c r="CE1086" s="1029"/>
      <c r="CJ1086" s="11"/>
      <c r="CM1086" s="11"/>
      <c r="CU1086" s="17"/>
      <c r="CV1086" s="265"/>
      <c r="CW1086" s="265"/>
      <c r="CY1086" s="11"/>
      <c r="DA1086" s="12"/>
      <c r="DB1086" s="13"/>
      <c r="DC1086" s="14"/>
      <c r="DD1086" s="265"/>
      <c r="DE1086" s="265"/>
      <c r="DF1086" s="265"/>
      <c r="DH1086" s="15"/>
      <c r="DM1086" s="4"/>
    </row>
    <row r="1087" spans="2:117" ht="15" customHeight="1">
      <c r="B1087" s="10"/>
      <c r="C1087" s="17"/>
      <c r="E1087" s="25"/>
      <c r="F1087" s="35"/>
      <c r="J1087" s="20"/>
      <c r="K1087" s="1024"/>
      <c r="L1087" s="1025"/>
      <c r="M1087" s="1026"/>
      <c r="N1087" s="1026"/>
      <c r="O1087" s="265"/>
      <c r="P1087" s="265"/>
      <c r="T1087" s="265"/>
      <c r="U1087" s="265"/>
      <c r="V1087" s="265"/>
      <c r="X1087" s="1026"/>
      <c r="Y1087" s="265"/>
      <c r="Z1087" s="265"/>
      <c r="AA1087" s="265"/>
      <c r="AD1087" s="4"/>
      <c r="AE1087" s="1026"/>
      <c r="AF1087" s="265"/>
      <c r="AU1087" s="265"/>
      <c r="AV1087" s="265"/>
      <c r="AW1087" s="265"/>
      <c r="AX1087" s="265"/>
      <c r="AY1087" s="265"/>
      <c r="AZ1087" s="265"/>
      <c r="BA1087" s="265"/>
      <c r="BB1087" s="265"/>
      <c r="BC1087" s="265"/>
      <c r="BD1087" s="265"/>
      <c r="BE1087" s="265"/>
      <c r="BF1087" s="265"/>
      <c r="BG1087" s="265"/>
      <c r="BM1087" s="6"/>
      <c r="BN1087" s="6"/>
      <c r="BO1087" s="6"/>
      <c r="BP1087" s="1028"/>
      <c r="BT1087" s="6"/>
      <c r="BU1087" s="6"/>
      <c r="BV1087" s="6"/>
      <c r="BW1087" s="1029"/>
      <c r="BX1087" s="1028"/>
      <c r="CB1087" s="6"/>
      <c r="CC1087" s="6"/>
      <c r="CD1087" s="6"/>
      <c r="CE1087" s="1029"/>
      <c r="CJ1087" s="11"/>
      <c r="CM1087" s="11"/>
      <c r="CU1087" s="17"/>
      <c r="CV1087" s="265"/>
      <c r="CW1087" s="265"/>
      <c r="CY1087" s="11"/>
      <c r="DA1087" s="12"/>
      <c r="DB1087" s="13"/>
      <c r="DC1087" s="14"/>
      <c r="DD1087" s="265"/>
      <c r="DE1087" s="265"/>
      <c r="DF1087" s="265"/>
      <c r="DH1087" s="15"/>
      <c r="DM1087" s="4"/>
    </row>
    <row r="1088" spans="2:117" ht="15" customHeight="1">
      <c r="B1088" s="10"/>
      <c r="C1088" s="17"/>
      <c r="E1088" s="25"/>
      <c r="F1088" s="35"/>
      <c r="J1088" s="20"/>
      <c r="K1088" s="1024"/>
      <c r="L1088" s="1025"/>
      <c r="M1088" s="1026"/>
      <c r="N1088" s="1026"/>
      <c r="O1088" s="265"/>
      <c r="P1088" s="265"/>
      <c r="T1088" s="265"/>
      <c r="U1088" s="265"/>
      <c r="V1088" s="265"/>
      <c r="X1088" s="1026"/>
      <c r="Y1088" s="265"/>
      <c r="Z1088" s="265"/>
      <c r="AA1088" s="265"/>
      <c r="AD1088" s="4"/>
      <c r="AE1088" s="1026"/>
      <c r="AF1088" s="265"/>
      <c r="AU1088" s="265"/>
      <c r="AV1088" s="265"/>
      <c r="AW1088" s="265"/>
      <c r="AX1088" s="265"/>
      <c r="AY1088" s="265"/>
      <c r="AZ1088" s="265"/>
      <c r="BA1088" s="265"/>
      <c r="BB1088" s="265"/>
      <c r="BC1088" s="265"/>
      <c r="BD1088" s="265"/>
      <c r="BE1088" s="265"/>
      <c r="BF1088" s="265"/>
      <c r="BG1088" s="265"/>
      <c r="BM1088" s="6"/>
      <c r="BN1088" s="6"/>
      <c r="BO1088" s="6"/>
      <c r="BP1088" s="1028"/>
      <c r="BT1088" s="6"/>
      <c r="BU1088" s="6"/>
      <c r="BV1088" s="6"/>
      <c r="BW1088" s="1029"/>
      <c r="BX1088" s="1028"/>
      <c r="CB1088" s="6"/>
      <c r="CC1088" s="6"/>
      <c r="CD1088" s="6"/>
      <c r="CE1088" s="1029"/>
      <c r="CJ1088" s="11"/>
      <c r="CM1088" s="11"/>
      <c r="CU1088" s="17"/>
      <c r="CV1088" s="265"/>
      <c r="CW1088" s="265"/>
      <c r="CY1088" s="11"/>
      <c r="DA1088" s="12"/>
      <c r="DB1088" s="13"/>
      <c r="DC1088" s="14"/>
      <c r="DD1088" s="265"/>
      <c r="DE1088" s="265"/>
      <c r="DF1088" s="265"/>
      <c r="DH1088" s="15"/>
      <c r="DM1088" s="4"/>
    </row>
    <row r="1089" spans="2:117" ht="15" customHeight="1">
      <c r="B1089" s="10"/>
      <c r="C1089" s="17"/>
      <c r="E1089" s="25"/>
      <c r="F1089" s="35"/>
      <c r="J1089" s="20"/>
      <c r="K1089" s="1024"/>
      <c r="L1089" s="1025"/>
      <c r="M1089" s="1026"/>
      <c r="N1089" s="1026"/>
      <c r="O1089" s="265"/>
      <c r="P1089" s="265"/>
      <c r="T1089" s="265"/>
      <c r="U1089" s="265"/>
      <c r="V1089" s="265"/>
      <c r="X1089" s="1026"/>
      <c r="Y1089" s="265"/>
      <c r="Z1089" s="265"/>
      <c r="AA1089" s="265"/>
      <c r="AD1089" s="4"/>
      <c r="AE1089" s="1026"/>
      <c r="AF1089" s="265"/>
      <c r="AU1089" s="265"/>
      <c r="AV1089" s="265"/>
      <c r="AW1089" s="265"/>
      <c r="AX1089" s="265"/>
      <c r="AY1089" s="265"/>
      <c r="AZ1089" s="265"/>
      <c r="BA1089" s="265"/>
      <c r="BB1089" s="265"/>
      <c r="BC1089" s="265"/>
      <c r="BD1089" s="265"/>
      <c r="BE1089" s="265"/>
      <c r="BF1089" s="265"/>
      <c r="BG1089" s="265"/>
      <c r="BM1089" s="6"/>
      <c r="BN1089" s="6"/>
      <c r="BO1089" s="6"/>
      <c r="BP1089" s="1028"/>
      <c r="BT1089" s="6"/>
      <c r="BU1089" s="6"/>
      <c r="BV1089" s="6"/>
      <c r="BW1089" s="1029"/>
      <c r="BX1089" s="1028"/>
      <c r="CB1089" s="6"/>
      <c r="CC1089" s="6"/>
      <c r="CD1089" s="6"/>
      <c r="CE1089" s="1029"/>
      <c r="CJ1089" s="11"/>
      <c r="CM1089" s="11"/>
      <c r="CU1089" s="17"/>
      <c r="CV1089" s="265"/>
      <c r="CW1089" s="265"/>
      <c r="CY1089" s="11"/>
      <c r="DA1089" s="12"/>
      <c r="DB1089" s="13"/>
      <c r="DC1089" s="14"/>
      <c r="DD1089" s="265"/>
      <c r="DE1089" s="265"/>
      <c r="DF1089" s="265"/>
      <c r="DH1089" s="15"/>
      <c r="DM1089" s="4"/>
    </row>
    <row r="1090" spans="2:117" ht="15" customHeight="1">
      <c r="B1090" s="10"/>
      <c r="C1090" s="17"/>
      <c r="E1090" s="25"/>
      <c r="F1090" s="35"/>
      <c r="J1090" s="20"/>
      <c r="K1090" s="1024"/>
      <c r="L1090" s="1025"/>
      <c r="M1090" s="1026"/>
      <c r="N1090" s="1026"/>
      <c r="O1090" s="265"/>
      <c r="P1090" s="265"/>
      <c r="T1090" s="265"/>
      <c r="U1090" s="265"/>
      <c r="V1090" s="265"/>
      <c r="X1090" s="1026"/>
      <c r="Y1090" s="265"/>
      <c r="Z1090" s="265"/>
      <c r="AA1090" s="265"/>
      <c r="AD1090" s="4"/>
      <c r="AE1090" s="1026"/>
      <c r="AF1090" s="265"/>
      <c r="AU1090" s="265"/>
      <c r="AV1090" s="265"/>
      <c r="AW1090" s="265"/>
      <c r="AX1090" s="265"/>
      <c r="AY1090" s="265"/>
      <c r="AZ1090" s="265"/>
      <c r="BA1090" s="265"/>
      <c r="BB1090" s="265"/>
      <c r="BC1090" s="265"/>
      <c r="BD1090" s="265"/>
      <c r="BE1090" s="265"/>
      <c r="BF1090" s="265"/>
      <c r="BG1090" s="265"/>
      <c r="BM1090" s="6"/>
      <c r="BN1090" s="6"/>
      <c r="BO1090" s="6"/>
      <c r="BP1090" s="1028"/>
      <c r="BT1090" s="6"/>
      <c r="BU1090" s="6"/>
      <c r="BV1090" s="6"/>
      <c r="BW1090" s="1029"/>
      <c r="BX1090" s="1028"/>
      <c r="CB1090" s="6"/>
      <c r="CC1090" s="6"/>
      <c r="CD1090" s="6"/>
      <c r="CE1090" s="1029"/>
      <c r="CJ1090" s="11"/>
      <c r="CM1090" s="11"/>
      <c r="CU1090" s="17"/>
      <c r="CV1090" s="265"/>
      <c r="CW1090" s="265"/>
      <c r="CY1090" s="11"/>
      <c r="DA1090" s="12"/>
      <c r="DB1090" s="13"/>
      <c r="DC1090" s="14"/>
      <c r="DD1090" s="265"/>
      <c r="DE1090" s="265"/>
      <c r="DF1090" s="265"/>
      <c r="DH1090" s="15"/>
      <c r="DM1090" s="4"/>
    </row>
    <row r="1091" spans="2:117" ht="15" customHeight="1">
      <c r="B1091" s="10"/>
      <c r="C1091" s="17"/>
      <c r="E1091" s="25"/>
      <c r="F1091" s="35"/>
      <c r="J1091" s="20"/>
      <c r="K1091" s="1024"/>
      <c r="L1091" s="1025"/>
      <c r="M1091" s="1026"/>
      <c r="N1091" s="1026"/>
      <c r="O1091" s="265"/>
      <c r="P1091" s="265"/>
      <c r="T1091" s="265"/>
      <c r="U1091" s="265"/>
      <c r="V1091" s="265"/>
      <c r="X1091" s="1026"/>
      <c r="Y1091" s="265"/>
      <c r="Z1091" s="265"/>
      <c r="AA1091" s="265"/>
      <c r="AD1091" s="4"/>
      <c r="AE1091" s="1026"/>
      <c r="AF1091" s="265"/>
      <c r="AU1091" s="265"/>
      <c r="AV1091" s="265"/>
      <c r="AW1091" s="265"/>
      <c r="AX1091" s="265"/>
      <c r="AY1091" s="265"/>
      <c r="AZ1091" s="265"/>
      <c r="BA1091" s="265"/>
      <c r="BB1091" s="265"/>
      <c r="BC1091" s="265"/>
      <c r="BD1091" s="265"/>
      <c r="BE1091" s="265"/>
      <c r="BF1091" s="265"/>
      <c r="BG1091" s="265"/>
      <c r="BM1091" s="6"/>
      <c r="BN1091" s="6"/>
      <c r="BO1091" s="6"/>
      <c r="BP1091" s="1028"/>
      <c r="BT1091" s="6"/>
      <c r="BU1091" s="6"/>
      <c r="BV1091" s="6"/>
      <c r="BW1091" s="1029"/>
      <c r="BX1091" s="1028"/>
      <c r="CB1091" s="6"/>
      <c r="CC1091" s="6"/>
      <c r="CD1091" s="6"/>
      <c r="CE1091" s="1029"/>
      <c r="CJ1091" s="11"/>
      <c r="CM1091" s="11"/>
      <c r="CU1091" s="17"/>
      <c r="CV1091" s="265"/>
      <c r="CW1091" s="265"/>
      <c r="CY1091" s="11"/>
      <c r="DA1091" s="12"/>
      <c r="DB1091" s="13"/>
      <c r="DC1091" s="14"/>
      <c r="DD1091" s="265"/>
      <c r="DE1091" s="265"/>
      <c r="DF1091" s="265"/>
      <c r="DH1091" s="15"/>
      <c r="DM1091" s="4"/>
    </row>
    <row r="1092" spans="2:117" ht="15" customHeight="1">
      <c r="B1092" s="10"/>
      <c r="C1092" s="17"/>
      <c r="E1092" s="25"/>
      <c r="F1092" s="35"/>
      <c r="J1092" s="20"/>
      <c r="K1092" s="1024"/>
      <c r="L1092" s="1025"/>
      <c r="M1092" s="1026"/>
      <c r="N1092" s="1026"/>
      <c r="O1092" s="265"/>
      <c r="P1092" s="265"/>
      <c r="T1092" s="265"/>
      <c r="U1092" s="265"/>
      <c r="V1092" s="265"/>
      <c r="X1092" s="1026"/>
      <c r="Y1092" s="265"/>
      <c r="Z1092" s="265"/>
      <c r="AA1092" s="265"/>
      <c r="AD1092" s="4"/>
      <c r="AE1092" s="1026"/>
      <c r="AF1092" s="265"/>
      <c r="AU1092" s="265"/>
      <c r="AV1092" s="265"/>
      <c r="AW1092" s="265"/>
      <c r="AX1092" s="265"/>
      <c r="AY1092" s="265"/>
      <c r="AZ1092" s="265"/>
      <c r="BA1092" s="265"/>
      <c r="BB1092" s="265"/>
      <c r="BC1092" s="265"/>
      <c r="BD1092" s="265"/>
      <c r="BE1092" s="265"/>
      <c r="BF1092" s="265"/>
      <c r="BG1092" s="265"/>
      <c r="BM1092" s="6"/>
      <c r="BN1092" s="6"/>
      <c r="BO1092" s="6"/>
      <c r="BP1092" s="1028"/>
      <c r="BT1092" s="6"/>
      <c r="BU1092" s="6"/>
      <c r="BV1092" s="6"/>
      <c r="BW1092" s="1029"/>
      <c r="BX1092" s="1028"/>
      <c r="CB1092" s="6"/>
      <c r="CC1092" s="6"/>
      <c r="CD1092" s="6"/>
      <c r="CE1092" s="1029"/>
      <c r="CJ1092" s="11"/>
      <c r="CM1092" s="11"/>
      <c r="CU1092" s="17"/>
      <c r="CV1092" s="265"/>
      <c r="CW1092" s="265"/>
      <c r="CY1092" s="11"/>
      <c r="DA1092" s="12"/>
      <c r="DB1092" s="13"/>
      <c r="DC1092" s="14"/>
      <c r="DD1092" s="265"/>
      <c r="DE1092" s="265"/>
      <c r="DF1092" s="265"/>
      <c r="DH1092" s="15"/>
      <c r="DM1092" s="4"/>
    </row>
    <row r="1093" spans="2:117" ht="15" customHeight="1">
      <c r="B1093" s="10"/>
      <c r="C1093" s="17"/>
      <c r="E1093" s="25"/>
      <c r="F1093" s="35"/>
      <c r="J1093" s="20"/>
      <c r="K1093" s="1024"/>
      <c r="L1093" s="1025"/>
      <c r="M1093" s="1026"/>
      <c r="N1093" s="1026"/>
      <c r="O1093" s="265"/>
      <c r="P1093" s="265"/>
      <c r="T1093" s="265"/>
      <c r="U1093" s="265"/>
      <c r="V1093" s="265"/>
      <c r="X1093" s="1026"/>
      <c r="Y1093" s="265"/>
      <c r="Z1093" s="265"/>
      <c r="AA1093" s="265"/>
      <c r="AD1093" s="4"/>
      <c r="AE1093" s="1026"/>
      <c r="AF1093" s="265"/>
      <c r="AU1093" s="265"/>
      <c r="AV1093" s="265"/>
      <c r="AW1093" s="265"/>
      <c r="AX1093" s="265"/>
      <c r="AY1093" s="265"/>
      <c r="AZ1093" s="265"/>
      <c r="BA1093" s="265"/>
      <c r="BB1093" s="265"/>
      <c r="BC1093" s="265"/>
      <c r="BD1093" s="265"/>
      <c r="BE1093" s="265"/>
      <c r="BF1093" s="265"/>
      <c r="BG1093" s="265"/>
      <c r="BM1093" s="6"/>
      <c r="BN1093" s="6"/>
      <c r="BO1093" s="6"/>
      <c r="BP1093" s="1028"/>
      <c r="BT1093" s="6"/>
      <c r="BU1093" s="6"/>
      <c r="BV1093" s="6"/>
      <c r="BW1093" s="1029"/>
      <c r="BX1093" s="1028"/>
      <c r="CB1093" s="6"/>
      <c r="CC1093" s="6"/>
      <c r="CD1093" s="6"/>
      <c r="CE1093" s="1029"/>
      <c r="CJ1093" s="11"/>
      <c r="CM1093" s="11"/>
      <c r="CU1093" s="17"/>
      <c r="CV1093" s="265"/>
      <c r="CW1093" s="265"/>
      <c r="CY1093" s="11"/>
      <c r="DA1093" s="12"/>
      <c r="DB1093" s="13"/>
      <c r="DC1093" s="14"/>
      <c r="DD1093" s="265"/>
      <c r="DE1093" s="265"/>
      <c r="DF1093" s="265"/>
      <c r="DH1093" s="15"/>
      <c r="DM1093" s="4"/>
    </row>
    <row r="1094" spans="2:117" ht="15" customHeight="1">
      <c r="B1094" s="10"/>
      <c r="C1094" s="17"/>
      <c r="E1094" s="25"/>
      <c r="F1094" s="35"/>
      <c r="J1094" s="20"/>
      <c r="K1094" s="1024"/>
      <c r="L1094" s="1025"/>
      <c r="M1094" s="1026"/>
      <c r="N1094" s="1026"/>
      <c r="O1094" s="265"/>
      <c r="P1094" s="265"/>
      <c r="T1094" s="265"/>
      <c r="U1094" s="265"/>
      <c r="V1094" s="265"/>
      <c r="X1094" s="1026"/>
      <c r="Y1094" s="265"/>
      <c r="Z1094" s="265"/>
      <c r="AA1094" s="265"/>
      <c r="AD1094" s="4"/>
      <c r="AE1094" s="1026"/>
      <c r="AF1094" s="265"/>
      <c r="AU1094" s="265"/>
      <c r="AV1094" s="265"/>
      <c r="AW1094" s="265"/>
      <c r="AX1094" s="265"/>
      <c r="AY1094" s="265"/>
      <c r="AZ1094" s="265"/>
      <c r="BA1094" s="265"/>
      <c r="BB1094" s="265"/>
      <c r="BC1094" s="265"/>
      <c r="BD1094" s="265"/>
      <c r="BE1094" s="265"/>
      <c r="BF1094" s="265"/>
      <c r="BG1094" s="265"/>
      <c r="BM1094" s="6"/>
      <c r="BN1094" s="6"/>
      <c r="BO1094" s="6"/>
      <c r="BP1094" s="1028"/>
      <c r="BT1094" s="6"/>
      <c r="BU1094" s="6"/>
      <c r="BV1094" s="6"/>
      <c r="BW1094" s="1029"/>
      <c r="BX1094" s="1028"/>
      <c r="CB1094" s="6"/>
      <c r="CC1094" s="6"/>
      <c r="CD1094" s="6"/>
      <c r="CE1094" s="1029"/>
      <c r="CJ1094" s="11"/>
      <c r="CM1094" s="11"/>
      <c r="CU1094" s="17"/>
      <c r="CV1094" s="265"/>
      <c r="CW1094" s="265"/>
      <c r="CY1094" s="11"/>
      <c r="DA1094" s="12"/>
      <c r="DB1094" s="13"/>
      <c r="DC1094" s="14"/>
      <c r="DD1094" s="265"/>
      <c r="DE1094" s="265"/>
      <c r="DF1094" s="265"/>
      <c r="DH1094" s="15"/>
      <c r="DM1094" s="4"/>
    </row>
    <row r="1095" spans="2:117" ht="15" customHeight="1">
      <c r="B1095" s="10"/>
      <c r="C1095" s="17"/>
      <c r="E1095" s="25"/>
      <c r="F1095" s="35"/>
      <c r="J1095" s="20"/>
      <c r="K1095" s="1024"/>
      <c r="L1095" s="1025"/>
      <c r="M1095" s="1026"/>
      <c r="N1095" s="1026"/>
      <c r="O1095" s="265"/>
      <c r="P1095" s="265"/>
      <c r="T1095" s="265"/>
      <c r="U1095" s="265"/>
      <c r="V1095" s="265"/>
      <c r="X1095" s="1026"/>
      <c r="Y1095" s="265"/>
      <c r="Z1095" s="265"/>
      <c r="AA1095" s="265"/>
      <c r="AD1095" s="4"/>
      <c r="AE1095" s="1026"/>
      <c r="AF1095" s="265"/>
      <c r="AU1095" s="265"/>
      <c r="AV1095" s="265"/>
      <c r="AW1095" s="265"/>
      <c r="AX1095" s="265"/>
      <c r="AY1095" s="265"/>
      <c r="AZ1095" s="265"/>
      <c r="BA1095" s="265"/>
      <c r="BB1095" s="265"/>
      <c r="BC1095" s="265"/>
      <c r="BD1095" s="265"/>
      <c r="BE1095" s="265"/>
      <c r="BF1095" s="265"/>
      <c r="BG1095" s="265"/>
      <c r="BM1095" s="6"/>
      <c r="BN1095" s="6"/>
      <c r="BO1095" s="6"/>
      <c r="BP1095" s="1028"/>
      <c r="BT1095" s="6"/>
      <c r="BU1095" s="6"/>
      <c r="BV1095" s="6"/>
      <c r="BW1095" s="1029"/>
      <c r="BX1095" s="1028"/>
      <c r="CB1095" s="6"/>
      <c r="CC1095" s="6"/>
      <c r="CD1095" s="6"/>
      <c r="CE1095" s="1029"/>
      <c r="CJ1095" s="11"/>
      <c r="CM1095" s="11"/>
      <c r="CU1095" s="17"/>
      <c r="CV1095" s="265"/>
      <c r="CW1095" s="265"/>
      <c r="CY1095" s="11"/>
      <c r="DA1095" s="12"/>
      <c r="DB1095" s="13"/>
      <c r="DC1095" s="14"/>
      <c r="DD1095" s="265"/>
      <c r="DE1095" s="265"/>
      <c r="DF1095" s="265"/>
      <c r="DH1095" s="15"/>
      <c r="DM1095" s="4"/>
    </row>
    <row r="1096" spans="2:117" ht="15" customHeight="1">
      <c r="B1096" s="10"/>
      <c r="C1096" s="17"/>
      <c r="E1096" s="25"/>
      <c r="F1096" s="35"/>
      <c r="J1096" s="20"/>
      <c r="K1096" s="1024"/>
      <c r="L1096" s="1025"/>
      <c r="M1096" s="1026"/>
      <c r="N1096" s="1026"/>
      <c r="O1096" s="265"/>
      <c r="P1096" s="265"/>
      <c r="T1096" s="265"/>
      <c r="U1096" s="265"/>
      <c r="V1096" s="265"/>
      <c r="X1096" s="1026"/>
      <c r="Y1096" s="265"/>
      <c r="Z1096" s="265"/>
      <c r="AA1096" s="265"/>
      <c r="AD1096" s="4"/>
      <c r="AE1096" s="1026"/>
      <c r="AF1096" s="265"/>
      <c r="AU1096" s="265"/>
      <c r="AV1096" s="265"/>
      <c r="AW1096" s="265"/>
      <c r="AX1096" s="265"/>
      <c r="AY1096" s="265"/>
      <c r="AZ1096" s="265"/>
      <c r="BA1096" s="265"/>
      <c r="BB1096" s="265"/>
      <c r="BC1096" s="265"/>
      <c r="BD1096" s="265"/>
      <c r="BE1096" s="265"/>
      <c r="BF1096" s="265"/>
      <c r="BG1096" s="265"/>
      <c r="BM1096" s="6"/>
      <c r="BN1096" s="6"/>
      <c r="BO1096" s="6"/>
      <c r="BP1096" s="1028"/>
      <c r="BT1096" s="6"/>
      <c r="BU1096" s="6"/>
      <c r="BV1096" s="6"/>
      <c r="BW1096" s="1029"/>
      <c r="BX1096" s="1028"/>
      <c r="CB1096" s="6"/>
      <c r="CC1096" s="6"/>
      <c r="CD1096" s="6"/>
      <c r="CE1096" s="1029"/>
      <c r="CJ1096" s="11"/>
      <c r="CM1096" s="11"/>
      <c r="CU1096" s="17"/>
      <c r="CV1096" s="265"/>
      <c r="CW1096" s="265"/>
      <c r="CY1096" s="11"/>
      <c r="DA1096" s="12"/>
      <c r="DB1096" s="13"/>
      <c r="DC1096" s="14"/>
      <c r="DD1096" s="265"/>
      <c r="DE1096" s="265"/>
      <c r="DF1096" s="265"/>
      <c r="DH1096" s="15"/>
      <c r="DM1096" s="4"/>
    </row>
    <row r="1097" spans="2:117" ht="15" customHeight="1">
      <c r="B1097" s="10"/>
      <c r="C1097" s="17"/>
      <c r="E1097" s="25"/>
      <c r="F1097" s="35"/>
      <c r="J1097" s="20"/>
      <c r="K1097" s="1024"/>
      <c r="L1097" s="1025"/>
      <c r="M1097" s="1026"/>
      <c r="N1097" s="1026"/>
      <c r="O1097" s="265"/>
      <c r="P1097" s="265"/>
      <c r="T1097" s="265"/>
      <c r="U1097" s="265"/>
      <c r="V1097" s="265"/>
      <c r="X1097" s="1026"/>
      <c r="Y1097" s="265"/>
      <c r="Z1097" s="265"/>
      <c r="AA1097" s="265"/>
      <c r="AD1097" s="4"/>
      <c r="AE1097" s="1026"/>
      <c r="AF1097" s="265"/>
      <c r="AU1097" s="265"/>
      <c r="AV1097" s="265"/>
      <c r="AW1097" s="265"/>
      <c r="AX1097" s="265"/>
      <c r="AY1097" s="265"/>
      <c r="AZ1097" s="265"/>
      <c r="BA1097" s="265"/>
      <c r="BB1097" s="265"/>
      <c r="BC1097" s="265"/>
      <c r="BD1097" s="265"/>
      <c r="BE1097" s="265"/>
      <c r="BF1097" s="265"/>
      <c r="BG1097" s="265"/>
      <c r="BM1097" s="6"/>
      <c r="BN1097" s="6"/>
      <c r="BO1097" s="6"/>
      <c r="BP1097" s="1028"/>
      <c r="BT1097" s="6"/>
      <c r="BU1097" s="6"/>
      <c r="BV1097" s="6"/>
      <c r="BW1097" s="1029"/>
      <c r="BX1097" s="1028"/>
      <c r="CB1097" s="6"/>
      <c r="CC1097" s="6"/>
      <c r="CD1097" s="6"/>
      <c r="CE1097" s="1029"/>
      <c r="CJ1097" s="11"/>
      <c r="CM1097" s="11"/>
      <c r="CU1097" s="17"/>
      <c r="CV1097" s="265"/>
      <c r="CW1097" s="265"/>
      <c r="CY1097" s="11"/>
      <c r="DA1097" s="12"/>
      <c r="DB1097" s="13"/>
      <c r="DC1097" s="14"/>
      <c r="DD1097" s="265"/>
      <c r="DE1097" s="265"/>
      <c r="DF1097" s="265"/>
      <c r="DH1097" s="15"/>
      <c r="DM1097" s="4"/>
    </row>
    <row r="1098" spans="2:117" ht="15" customHeight="1">
      <c r="B1098" s="10"/>
      <c r="C1098" s="17"/>
      <c r="E1098" s="25"/>
      <c r="F1098" s="35"/>
      <c r="J1098" s="20"/>
      <c r="K1098" s="1024"/>
      <c r="L1098" s="1025"/>
      <c r="M1098" s="1026"/>
      <c r="N1098" s="1026"/>
      <c r="O1098" s="265"/>
      <c r="P1098" s="265"/>
      <c r="T1098" s="265"/>
      <c r="U1098" s="265"/>
      <c r="V1098" s="265"/>
      <c r="X1098" s="1026"/>
      <c r="Y1098" s="265"/>
      <c r="Z1098" s="265"/>
      <c r="AA1098" s="265"/>
      <c r="AD1098" s="4"/>
      <c r="AE1098" s="1026"/>
      <c r="AF1098" s="265"/>
      <c r="AU1098" s="265"/>
      <c r="AV1098" s="265"/>
      <c r="AW1098" s="265"/>
      <c r="AX1098" s="265"/>
      <c r="AY1098" s="265"/>
      <c r="AZ1098" s="265"/>
      <c r="BA1098" s="265"/>
      <c r="BB1098" s="265"/>
      <c r="BC1098" s="265"/>
      <c r="BD1098" s="265"/>
      <c r="BE1098" s="265"/>
      <c r="BF1098" s="265"/>
      <c r="BG1098" s="265"/>
      <c r="BM1098" s="6"/>
      <c r="BN1098" s="6"/>
      <c r="BO1098" s="6"/>
      <c r="BP1098" s="1028"/>
      <c r="BT1098" s="6"/>
      <c r="BU1098" s="6"/>
      <c r="BV1098" s="6"/>
      <c r="BW1098" s="1029"/>
      <c r="BX1098" s="1028"/>
      <c r="CB1098" s="6"/>
      <c r="CC1098" s="6"/>
      <c r="CD1098" s="6"/>
      <c r="CE1098" s="1029"/>
      <c r="CJ1098" s="11"/>
      <c r="CM1098" s="11"/>
      <c r="CU1098" s="17"/>
      <c r="CV1098" s="265"/>
      <c r="CW1098" s="265"/>
      <c r="CY1098" s="11"/>
      <c r="DA1098" s="12"/>
      <c r="DB1098" s="13"/>
      <c r="DC1098" s="14"/>
      <c r="DD1098" s="265"/>
      <c r="DE1098" s="265"/>
      <c r="DF1098" s="265"/>
      <c r="DH1098" s="15"/>
      <c r="DM1098" s="4"/>
    </row>
    <row r="1099" spans="2:117" ht="15" customHeight="1">
      <c r="B1099" s="10"/>
      <c r="C1099" s="17"/>
      <c r="E1099" s="25"/>
      <c r="F1099" s="35"/>
      <c r="J1099" s="20"/>
      <c r="K1099" s="1024"/>
      <c r="L1099" s="1025"/>
      <c r="M1099" s="1026"/>
      <c r="N1099" s="1026"/>
      <c r="O1099" s="265"/>
      <c r="P1099" s="265"/>
      <c r="T1099" s="265"/>
      <c r="U1099" s="265"/>
      <c r="V1099" s="265"/>
      <c r="X1099" s="1026"/>
      <c r="Y1099" s="265"/>
      <c r="Z1099" s="265"/>
      <c r="AA1099" s="265"/>
      <c r="AD1099" s="4"/>
      <c r="AE1099" s="1026"/>
      <c r="AF1099" s="265"/>
      <c r="AU1099" s="265"/>
      <c r="AV1099" s="265"/>
      <c r="AW1099" s="265"/>
      <c r="AX1099" s="265"/>
      <c r="AY1099" s="265"/>
      <c r="AZ1099" s="265"/>
      <c r="BA1099" s="265"/>
      <c r="BB1099" s="265"/>
      <c r="BC1099" s="265"/>
      <c r="BD1099" s="265"/>
      <c r="BE1099" s="265"/>
      <c r="BF1099" s="265"/>
      <c r="BG1099" s="265"/>
      <c r="BM1099" s="6"/>
      <c r="BN1099" s="6"/>
      <c r="BO1099" s="6"/>
      <c r="BP1099" s="1028"/>
      <c r="BT1099" s="6"/>
      <c r="BU1099" s="6"/>
      <c r="BV1099" s="6"/>
      <c r="BW1099" s="1029"/>
      <c r="BX1099" s="1028"/>
      <c r="CB1099" s="6"/>
      <c r="CC1099" s="6"/>
      <c r="CD1099" s="6"/>
      <c r="CE1099" s="1029"/>
      <c r="CJ1099" s="11"/>
      <c r="CM1099" s="11"/>
      <c r="CU1099" s="17"/>
      <c r="CV1099" s="265"/>
      <c r="CW1099" s="265"/>
      <c r="CY1099" s="11"/>
      <c r="DA1099" s="12"/>
      <c r="DB1099" s="13"/>
      <c r="DC1099" s="14"/>
      <c r="DD1099" s="265"/>
      <c r="DE1099" s="265"/>
      <c r="DF1099" s="265"/>
      <c r="DH1099" s="15"/>
      <c r="DM1099" s="4"/>
    </row>
    <row r="1100" spans="2:117" ht="15" customHeight="1">
      <c r="B1100" s="10"/>
      <c r="C1100" s="17"/>
      <c r="E1100" s="25"/>
      <c r="F1100" s="35"/>
      <c r="J1100" s="20"/>
      <c r="K1100" s="1024"/>
      <c r="L1100" s="1025"/>
      <c r="M1100" s="1026"/>
      <c r="N1100" s="1026"/>
      <c r="O1100" s="265"/>
      <c r="P1100" s="265"/>
      <c r="T1100" s="265"/>
      <c r="U1100" s="265"/>
      <c r="V1100" s="265"/>
      <c r="X1100" s="1026"/>
      <c r="Y1100" s="265"/>
      <c r="Z1100" s="265"/>
      <c r="AA1100" s="265"/>
      <c r="AD1100" s="4"/>
      <c r="AE1100" s="1026"/>
      <c r="AF1100" s="265"/>
      <c r="AU1100" s="265"/>
      <c r="AV1100" s="265"/>
      <c r="AW1100" s="265"/>
      <c r="AX1100" s="265"/>
      <c r="AY1100" s="265"/>
      <c r="AZ1100" s="265"/>
      <c r="BA1100" s="265"/>
      <c r="BB1100" s="265"/>
      <c r="BC1100" s="265"/>
      <c r="BD1100" s="265"/>
      <c r="BE1100" s="265"/>
      <c r="BF1100" s="265"/>
      <c r="BG1100" s="265"/>
      <c r="BM1100" s="6"/>
      <c r="BN1100" s="6"/>
      <c r="BO1100" s="6"/>
      <c r="BP1100" s="1028"/>
      <c r="BT1100" s="6"/>
      <c r="BU1100" s="6"/>
      <c r="BV1100" s="6"/>
      <c r="BW1100" s="1029"/>
      <c r="BX1100" s="1028"/>
      <c r="CB1100" s="6"/>
      <c r="CC1100" s="6"/>
      <c r="CD1100" s="6"/>
      <c r="CE1100" s="1029"/>
      <c r="CJ1100" s="11"/>
      <c r="CM1100" s="11"/>
      <c r="CU1100" s="17"/>
      <c r="CV1100" s="265"/>
      <c r="CW1100" s="265"/>
      <c r="CY1100" s="11"/>
      <c r="DA1100" s="12"/>
      <c r="DB1100" s="13"/>
      <c r="DC1100" s="14"/>
      <c r="DD1100" s="265"/>
      <c r="DE1100" s="265"/>
      <c r="DF1100" s="265"/>
      <c r="DH1100" s="15"/>
      <c r="DM1100" s="4"/>
    </row>
    <row r="1101" spans="2:117" ht="15" customHeight="1">
      <c r="B1101" s="10"/>
      <c r="C1101" s="17"/>
      <c r="E1101" s="25"/>
      <c r="F1101" s="35"/>
      <c r="J1101" s="20"/>
      <c r="K1101" s="1024"/>
      <c r="L1101" s="1025"/>
      <c r="M1101" s="1026"/>
      <c r="N1101" s="1026"/>
      <c r="O1101" s="265"/>
      <c r="P1101" s="265"/>
      <c r="T1101" s="265"/>
      <c r="U1101" s="265"/>
      <c r="V1101" s="265"/>
      <c r="X1101" s="1026"/>
      <c r="Y1101" s="265"/>
      <c r="Z1101" s="265"/>
      <c r="AA1101" s="265"/>
      <c r="AD1101" s="4"/>
      <c r="AE1101" s="1026"/>
      <c r="AF1101" s="265"/>
      <c r="AU1101" s="265"/>
      <c r="AV1101" s="265"/>
      <c r="AW1101" s="265"/>
      <c r="AX1101" s="265"/>
      <c r="AY1101" s="265"/>
      <c r="AZ1101" s="265"/>
      <c r="BA1101" s="265"/>
      <c r="BB1101" s="265"/>
      <c r="BC1101" s="265"/>
      <c r="BD1101" s="265"/>
      <c r="BE1101" s="265"/>
      <c r="BF1101" s="265"/>
      <c r="BG1101" s="265"/>
      <c r="BM1101" s="6"/>
      <c r="BN1101" s="6"/>
      <c r="BO1101" s="6"/>
      <c r="BP1101" s="1028"/>
      <c r="BT1101" s="6"/>
      <c r="BU1101" s="6"/>
      <c r="BV1101" s="6"/>
      <c r="BW1101" s="1029"/>
      <c r="BX1101" s="1028"/>
      <c r="CB1101" s="6"/>
      <c r="CC1101" s="6"/>
      <c r="CD1101" s="6"/>
      <c r="CE1101" s="1029"/>
      <c r="CJ1101" s="11"/>
      <c r="CM1101" s="11"/>
      <c r="CU1101" s="17"/>
      <c r="CV1101" s="265"/>
      <c r="CW1101" s="265"/>
      <c r="CY1101" s="11"/>
      <c r="DA1101" s="12"/>
      <c r="DB1101" s="13"/>
      <c r="DC1101" s="14"/>
      <c r="DD1101" s="265"/>
      <c r="DE1101" s="265"/>
      <c r="DF1101" s="265"/>
      <c r="DH1101" s="15"/>
      <c r="DM1101" s="4"/>
    </row>
    <row r="1102" spans="2:117" ht="15" customHeight="1">
      <c r="B1102" s="10"/>
      <c r="C1102" s="17"/>
      <c r="E1102" s="25"/>
      <c r="F1102" s="35"/>
      <c r="J1102" s="20"/>
      <c r="K1102" s="1024"/>
      <c r="L1102" s="1025"/>
      <c r="M1102" s="1026"/>
      <c r="N1102" s="1026"/>
      <c r="O1102" s="265"/>
      <c r="P1102" s="265"/>
      <c r="T1102" s="265"/>
      <c r="U1102" s="265"/>
      <c r="V1102" s="265"/>
      <c r="X1102" s="1026"/>
      <c r="Y1102" s="265"/>
      <c r="Z1102" s="265"/>
      <c r="AA1102" s="265"/>
      <c r="AD1102" s="4"/>
      <c r="AE1102" s="1026"/>
      <c r="AF1102" s="265"/>
      <c r="AU1102" s="265"/>
      <c r="AV1102" s="265"/>
      <c r="AW1102" s="265"/>
      <c r="AX1102" s="265"/>
      <c r="AY1102" s="265"/>
      <c r="AZ1102" s="265"/>
      <c r="BA1102" s="265"/>
      <c r="BB1102" s="265"/>
      <c r="BC1102" s="265"/>
      <c r="BD1102" s="265"/>
      <c r="BE1102" s="265"/>
      <c r="BF1102" s="265"/>
      <c r="BG1102" s="265"/>
      <c r="BM1102" s="6"/>
      <c r="BN1102" s="6"/>
      <c r="BO1102" s="6"/>
      <c r="BP1102" s="1028"/>
      <c r="BT1102" s="6"/>
      <c r="BU1102" s="6"/>
      <c r="BV1102" s="6"/>
      <c r="BW1102" s="1029"/>
      <c r="BX1102" s="1028"/>
      <c r="CB1102" s="6"/>
      <c r="CC1102" s="6"/>
      <c r="CD1102" s="6"/>
      <c r="CE1102" s="1029"/>
      <c r="CJ1102" s="11"/>
      <c r="CM1102" s="11"/>
      <c r="CU1102" s="17"/>
      <c r="CV1102" s="265"/>
      <c r="CW1102" s="265"/>
      <c r="CY1102" s="11"/>
      <c r="DA1102" s="12"/>
      <c r="DB1102" s="13"/>
      <c r="DC1102" s="14"/>
      <c r="DD1102" s="265"/>
      <c r="DE1102" s="265"/>
      <c r="DF1102" s="265"/>
      <c r="DH1102" s="15"/>
      <c r="DM1102" s="4"/>
    </row>
    <row r="1103" spans="2:117" ht="15" customHeight="1">
      <c r="B1103" s="10"/>
      <c r="C1103" s="17"/>
      <c r="E1103" s="25"/>
      <c r="F1103" s="35"/>
      <c r="J1103" s="20"/>
      <c r="K1103" s="1024"/>
      <c r="L1103" s="1025"/>
      <c r="M1103" s="1026"/>
      <c r="N1103" s="1026"/>
      <c r="O1103" s="265"/>
      <c r="P1103" s="265"/>
      <c r="T1103" s="265"/>
      <c r="U1103" s="265"/>
      <c r="V1103" s="265"/>
      <c r="X1103" s="1026"/>
      <c r="Y1103" s="265"/>
      <c r="Z1103" s="265"/>
      <c r="AA1103" s="265"/>
      <c r="AD1103" s="4"/>
      <c r="AE1103" s="1026"/>
      <c r="AF1103" s="265"/>
      <c r="AU1103" s="265"/>
      <c r="AV1103" s="265"/>
      <c r="AW1103" s="265"/>
      <c r="AX1103" s="265"/>
      <c r="AY1103" s="265"/>
      <c r="AZ1103" s="265"/>
      <c r="BA1103" s="265"/>
      <c r="BB1103" s="265"/>
      <c r="BC1103" s="265"/>
      <c r="BD1103" s="265"/>
      <c r="BE1103" s="265"/>
      <c r="BF1103" s="265"/>
      <c r="BG1103" s="265"/>
      <c r="BM1103" s="6"/>
      <c r="BN1103" s="6"/>
      <c r="BO1103" s="6"/>
      <c r="BP1103" s="1028"/>
      <c r="BT1103" s="6"/>
      <c r="BU1103" s="6"/>
      <c r="BV1103" s="6"/>
      <c r="BW1103" s="1029"/>
      <c r="BX1103" s="1028"/>
      <c r="CB1103" s="6"/>
      <c r="CC1103" s="6"/>
      <c r="CD1103" s="6"/>
      <c r="CE1103" s="1029"/>
      <c r="CJ1103" s="11"/>
      <c r="CM1103" s="11"/>
      <c r="CU1103" s="17"/>
      <c r="CV1103" s="265"/>
      <c r="CW1103" s="265"/>
      <c r="CY1103" s="11"/>
      <c r="DA1103" s="12"/>
      <c r="DB1103" s="13"/>
      <c r="DC1103" s="14"/>
      <c r="DD1103" s="265"/>
      <c r="DE1103" s="265"/>
      <c r="DF1103" s="265"/>
      <c r="DH1103" s="15"/>
      <c r="DM1103" s="4"/>
    </row>
    <row r="1104" spans="2:117" ht="15" customHeight="1">
      <c r="B1104" s="10"/>
      <c r="C1104" s="17"/>
      <c r="E1104" s="25"/>
      <c r="F1104" s="35"/>
      <c r="J1104" s="20"/>
      <c r="K1104" s="1024"/>
      <c r="L1104" s="1025"/>
      <c r="M1104" s="1026"/>
      <c r="N1104" s="1026"/>
      <c r="O1104" s="265"/>
      <c r="P1104" s="265"/>
      <c r="T1104" s="265"/>
      <c r="U1104" s="265"/>
      <c r="V1104" s="265"/>
      <c r="X1104" s="1026"/>
      <c r="Y1104" s="265"/>
      <c r="Z1104" s="265"/>
      <c r="AA1104" s="265"/>
      <c r="AD1104" s="4"/>
      <c r="AE1104" s="1026"/>
      <c r="AF1104" s="265"/>
      <c r="AU1104" s="265"/>
      <c r="AV1104" s="265"/>
      <c r="AW1104" s="265"/>
      <c r="AX1104" s="265"/>
      <c r="AY1104" s="265"/>
      <c r="AZ1104" s="265"/>
      <c r="BA1104" s="265"/>
      <c r="BB1104" s="265"/>
      <c r="BC1104" s="265"/>
      <c r="BD1104" s="265"/>
      <c r="BE1104" s="265"/>
      <c r="BF1104" s="265"/>
      <c r="BG1104" s="265"/>
      <c r="BM1104" s="6"/>
      <c r="BN1104" s="6"/>
      <c r="BO1104" s="6"/>
      <c r="BP1104" s="1028"/>
      <c r="BT1104" s="6"/>
      <c r="BU1104" s="6"/>
      <c r="BV1104" s="6"/>
      <c r="BW1104" s="1029"/>
      <c r="BX1104" s="1028"/>
      <c r="CB1104" s="6"/>
      <c r="CC1104" s="6"/>
      <c r="CD1104" s="6"/>
      <c r="CE1104" s="1029"/>
      <c r="CJ1104" s="11"/>
      <c r="CM1104" s="11"/>
      <c r="CU1104" s="17"/>
      <c r="CV1104" s="265"/>
      <c r="CW1104" s="265"/>
      <c r="CY1104" s="11"/>
      <c r="DA1104" s="12"/>
      <c r="DB1104" s="13"/>
      <c r="DC1104" s="14"/>
      <c r="DD1104" s="265"/>
      <c r="DE1104" s="265"/>
      <c r="DF1104" s="265"/>
      <c r="DH1104" s="15"/>
      <c r="DM1104" s="4"/>
    </row>
    <row r="1105" spans="2:117" ht="15" customHeight="1">
      <c r="B1105" s="10"/>
      <c r="C1105" s="17"/>
      <c r="E1105" s="25"/>
      <c r="F1105" s="35"/>
      <c r="J1105" s="20"/>
      <c r="K1105" s="1024"/>
      <c r="L1105" s="1025"/>
      <c r="M1105" s="1026"/>
      <c r="N1105" s="1026"/>
      <c r="O1105" s="265"/>
      <c r="P1105" s="265"/>
      <c r="T1105" s="265"/>
      <c r="U1105" s="265"/>
      <c r="V1105" s="265"/>
      <c r="X1105" s="1026"/>
      <c r="Y1105" s="265"/>
      <c r="Z1105" s="265"/>
      <c r="AA1105" s="265"/>
      <c r="AD1105" s="4"/>
      <c r="AE1105" s="1026"/>
      <c r="AF1105" s="265"/>
      <c r="AU1105" s="265"/>
      <c r="AV1105" s="265"/>
      <c r="AW1105" s="265"/>
      <c r="AX1105" s="265"/>
      <c r="AY1105" s="265"/>
      <c r="AZ1105" s="265"/>
      <c r="BA1105" s="265"/>
      <c r="BB1105" s="265"/>
      <c r="BC1105" s="265"/>
      <c r="BD1105" s="265"/>
      <c r="BE1105" s="265"/>
      <c r="BF1105" s="265"/>
      <c r="BG1105" s="265"/>
      <c r="BM1105" s="6"/>
      <c r="BN1105" s="6"/>
      <c r="BO1105" s="6"/>
      <c r="BP1105" s="1028"/>
      <c r="BT1105" s="6"/>
      <c r="BU1105" s="6"/>
      <c r="BV1105" s="6"/>
      <c r="BW1105" s="1029"/>
      <c r="BX1105" s="1028"/>
      <c r="CB1105" s="6"/>
      <c r="CC1105" s="6"/>
      <c r="CD1105" s="6"/>
      <c r="CE1105" s="1029"/>
      <c r="CJ1105" s="11"/>
      <c r="CM1105" s="11"/>
      <c r="CU1105" s="17"/>
      <c r="CV1105" s="265"/>
      <c r="CW1105" s="265"/>
      <c r="CY1105" s="11"/>
      <c r="DA1105" s="12"/>
      <c r="DB1105" s="13"/>
      <c r="DC1105" s="14"/>
      <c r="DD1105" s="265"/>
      <c r="DE1105" s="265"/>
      <c r="DF1105" s="265"/>
      <c r="DH1105" s="15"/>
      <c r="DM1105" s="4"/>
    </row>
    <row r="1106" spans="2:117" ht="15" customHeight="1">
      <c r="B1106" s="10"/>
      <c r="C1106" s="17"/>
      <c r="E1106" s="25"/>
      <c r="F1106" s="35"/>
      <c r="J1106" s="20"/>
      <c r="K1106" s="1024"/>
      <c r="L1106" s="1025"/>
      <c r="M1106" s="1026"/>
      <c r="N1106" s="1026"/>
      <c r="O1106" s="265"/>
      <c r="P1106" s="265"/>
      <c r="T1106" s="265"/>
      <c r="U1106" s="265"/>
      <c r="V1106" s="265"/>
      <c r="X1106" s="1026"/>
      <c r="Y1106" s="265"/>
      <c r="Z1106" s="265"/>
      <c r="AA1106" s="265"/>
      <c r="AD1106" s="4"/>
      <c r="AE1106" s="1026"/>
      <c r="AF1106" s="265"/>
      <c r="AU1106" s="265"/>
      <c r="AV1106" s="265"/>
      <c r="AW1106" s="265"/>
      <c r="AX1106" s="265"/>
      <c r="AY1106" s="265"/>
      <c r="AZ1106" s="265"/>
      <c r="BA1106" s="265"/>
      <c r="BB1106" s="265"/>
      <c r="BC1106" s="265"/>
      <c r="BD1106" s="265"/>
      <c r="BE1106" s="265"/>
      <c r="BF1106" s="265"/>
      <c r="BG1106" s="265"/>
      <c r="BM1106" s="6"/>
      <c r="BN1106" s="6"/>
      <c r="BO1106" s="6"/>
      <c r="BP1106" s="1028"/>
      <c r="BT1106" s="6"/>
      <c r="BU1106" s="6"/>
      <c r="BV1106" s="6"/>
      <c r="BW1106" s="1029"/>
      <c r="BX1106" s="1028"/>
      <c r="CB1106" s="6"/>
      <c r="CC1106" s="6"/>
      <c r="CD1106" s="6"/>
      <c r="CE1106" s="1029"/>
      <c r="CJ1106" s="11"/>
      <c r="CM1106" s="11"/>
      <c r="CU1106" s="17"/>
      <c r="CV1106" s="265"/>
      <c r="CW1106" s="265"/>
      <c r="CY1106" s="11"/>
      <c r="DA1106" s="12"/>
      <c r="DB1106" s="13"/>
      <c r="DC1106" s="14"/>
      <c r="DD1106" s="265"/>
      <c r="DE1106" s="265"/>
      <c r="DF1106" s="265"/>
      <c r="DH1106" s="15"/>
      <c r="DM1106" s="4"/>
    </row>
    <row r="1107" spans="2:117" ht="15" customHeight="1">
      <c r="B1107" s="10"/>
      <c r="C1107" s="17"/>
      <c r="E1107" s="25"/>
      <c r="F1107" s="35"/>
      <c r="J1107" s="20"/>
      <c r="K1107" s="1024"/>
      <c r="L1107" s="1025"/>
      <c r="M1107" s="1026"/>
      <c r="N1107" s="1026"/>
      <c r="O1107" s="265"/>
      <c r="P1107" s="265"/>
      <c r="T1107" s="265"/>
      <c r="U1107" s="265"/>
      <c r="V1107" s="265"/>
      <c r="X1107" s="1026"/>
      <c r="Y1107" s="265"/>
      <c r="Z1107" s="265"/>
      <c r="AA1107" s="265"/>
      <c r="AD1107" s="4"/>
      <c r="AE1107" s="1026"/>
      <c r="AF1107" s="265"/>
      <c r="AU1107" s="265"/>
      <c r="AV1107" s="265"/>
      <c r="AW1107" s="265"/>
      <c r="AX1107" s="265"/>
      <c r="AY1107" s="265"/>
      <c r="AZ1107" s="265"/>
      <c r="BA1107" s="265"/>
      <c r="BB1107" s="265"/>
      <c r="BC1107" s="265"/>
      <c r="BD1107" s="265"/>
      <c r="BE1107" s="265"/>
      <c r="BF1107" s="265"/>
      <c r="BG1107" s="265"/>
      <c r="BM1107" s="6"/>
      <c r="BN1107" s="6"/>
      <c r="BO1107" s="6"/>
      <c r="BP1107" s="1028"/>
      <c r="BT1107" s="6"/>
      <c r="BU1107" s="6"/>
      <c r="BV1107" s="6"/>
      <c r="BW1107" s="1029"/>
      <c r="BX1107" s="1028"/>
      <c r="CB1107" s="6"/>
      <c r="CC1107" s="6"/>
      <c r="CD1107" s="6"/>
      <c r="CE1107" s="1029"/>
      <c r="CJ1107" s="11"/>
      <c r="CM1107" s="11"/>
      <c r="CU1107" s="17"/>
      <c r="CV1107" s="265"/>
      <c r="CW1107" s="265"/>
      <c r="CY1107" s="11"/>
      <c r="DA1107" s="12"/>
      <c r="DB1107" s="13"/>
      <c r="DC1107" s="14"/>
      <c r="DD1107" s="265"/>
      <c r="DE1107" s="265"/>
      <c r="DF1107" s="265"/>
      <c r="DH1107" s="15"/>
      <c r="DM1107" s="4"/>
    </row>
    <row r="1108" spans="2:117" ht="15" customHeight="1">
      <c r="B1108" s="10"/>
      <c r="C1108" s="17"/>
      <c r="E1108" s="25"/>
      <c r="F1108" s="35"/>
      <c r="J1108" s="20"/>
      <c r="K1108" s="1024"/>
      <c r="L1108" s="1025"/>
      <c r="M1108" s="1026"/>
      <c r="N1108" s="1026"/>
      <c r="O1108" s="265"/>
      <c r="P1108" s="265"/>
      <c r="T1108" s="265"/>
      <c r="U1108" s="265"/>
      <c r="V1108" s="265"/>
      <c r="X1108" s="1026"/>
      <c r="Y1108" s="265"/>
      <c r="Z1108" s="265"/>
      <c r="AA1108" s="265"/>
      <c r="AD1108" s="4"/>
      <c r="AE1108" s="1026"/>
      <c r="AF1108" s="265"/>
      <c r="AU1108" s="265"/>
      <c r="AV1108" s="265"/>
      <c r="AW1108" s="265"/>
      <c r="AX1108" s="265"/>
      <c r="AY1108" s="265"/>
      <c r="AZ1108" s="265"/>
      <c r="BA1108" s="265"/>
      <c r="BB1108" s="265"/>
      <c r="BC1108" s="265"/>
      <c r="BD1108" s="265"/>
      <c r="BE1108" s="265"/>
      <c r="BF1108" s="265"/>
      <c r="BG1108" s="265"/>
      <c r="BM1108" s="6"/>
      <c r="BN1108" s="6"/>
      <c r="BO1108" s="6"/>
      <c r="BP1108" s="1028"/>
      <c r="BT1108" s="6"/>
      <c r="BU1108" s="6"/>
      <c r="BV1108" s="6"/>
      <c r="BW1108" s="1029"/>
      <c r="BX1108" s="1028"/>
      <c r="CB1108" s="6"/>
      <c r="CC1108" s="6"/>
      <c r="CD1108" s="6"/>
      <c r="CE1108" s="1029"/>
      <c r="CJ1108" s="11"/>
      <c r="CM1108" s="11"/>
      <c r="CU1108" s="17"/>
      <c r="CV1108" s="265"/>
      <c r="CW1108" s="265"/>
      <c r="CY1108" s="11"/>
      <c r="DA1108" s="12"/>
      <c r="DB1108" s="13"/>
      <c r="DC1108" s="14"/>
      <c r="DD1108" s="265"/>
      <c r="DE1108" s="265"/>
      <c r="DF1108" s="265"/>
      <c r="DH1108" s="15"/>
      <c r="DM1108" s="4"/>
    </row>
    <row r="1109" spans="2:117" ht="15" customHeight="1">
      <c r="B1109" s="10"/>
      <c r="C1109" s="17"/>
      <c r="E1109" s="25"/>
      <c r="F1109" s="35"/>
      <c r="J1109" s="20"/>
      <c r="K1109" s="1024"/>
      <c r="L1109" s="1025"/>
      <c r="M1109" s="1026"/>
      <c r="N1109" s="1026"/>
      <c r="O1109" s="265"/>
      <c r="P1109" s="265"/>
      <c r="T1109" s="265"/>
      <c r="U1109" s="265"/>
      <c r="V1109" s="265"/>
      <c r="X1109" s="1026"/>
      <c r="Y1109" s="265"/>
      <c r="Z1109" s="265"/>
      <c r="AA1109" s="265"/>
      <c r="AD1109" s="4"/>
      <c r="AE1109" s="1026"/>
      <c r="AF1109" s="265"/>
      <c r="AU1109" s="265"/>
      <c r="AV1109" s="265"/>
      <c r="AW1109" s="265"/>
      <c r="AX1109" s="265"/>
      <c r="AY1109" s="265"/>
      <c r="AZ1109" s="265"/>
      <c r="BA1109" s="265"/>
      <c r="BB1109" s="265"/>
      <c r="BC1109" s="265"/>
      <c r="BD1109" s="265"/>
      <c r="BE1109" s="265"/>
      <c r="BF1109" s="265"/>
      <c r="BG1109" s="265"/>
      <c r="BM1109" s="6"/>
      <c r="BN1109" s="6"/>
      <c r="BO1109" s="6"/>
      <c r="BP1109" s="1028"/>
      <c r="BT1109" s="6"/>
      <c r="BU1109" s="6"/>
      <c r="BV1109" s="6"/>
      <c r="BW1109" s="1029"/>
      <c r="BX1109" s="1028"/>
      <c r="CB1109" s="6"/>
      <c r="CC1109" s="6"/>
      <c r="CD1109" s="6"/>
      <c r="CE1109" s="1029"/>
      <c r="CJ1109" s="11"/>
      <c r="CM1109" s="11"/>
      <c r="CU1109" s="17"/>
      <c r="CV1109" s="265"/>
      <c r="CW1109" s="265"/>
      <c r="CY1109" s="11"/>
      <c r="DA1109" s="12"/>
      <c r="DB1109" s="13"/>
      <c r="DC1109" s="14"/>
      <c r="DD1109" s="265"/>
      <c r="DE1109" s="265"/>
      <c r="DF1109" s="265"/>
      <c r="DH1109" s="15"/>
      <c r="DM1109" s="4"/>
    </row>
    <row r="1110" spans="2:117" ht="15" customHeight="1">
      <c r="B1110" s="10"/>
      <c r="C1110" s="17"/>
      <c r="E1110" s="25"/>
      <c r="F1110" s="35"/>
      <c r="J1110" s="20"/>
      <c r="K1110" s="1024"/>
      <c r="L1110" s="1025"/>
      <c r="M1110" s="1026"/>
      <c r="N1110" s="1026"/>
      <c r="O1110" s="265"/>
      <c r="P1110" s="265"/>
      <c r="T1110" s="265"/>
      <c r="U1110" s="265"/>
      <c r="V1110" s="265"/>
      <c r="X1110" s="1026"/>
      <c r="Y1110" s="265"/>
      <c r="Z1110" s="265"/>
      <c r="AA1110" s="265"/>
      <c r="AD1110" s="4"/>
      <c r="AE1110" s="1026"/>
      <c r="AF1110" s="265"/>
      <c r="AU1110" s="265"/>
      <c r="AV1110" s="265"/>
      <c r="AW1110" s="265"/>
      <c r="AX1110" s="265"/>
      <c r="AY1110" s="265"/>
      <c r="AZ1110" s="265"/>
      <c r="BA1110" s="265"/>
      <c r="BB1110" s="265"/>
      <c r="BC1110" s="265"/>
      <c r="BD1110" s="265"/>
      <c r="BE1110" s="265"/>
      <c r="BF1110" s="265"/>
      <c r="BG1110" s="265"/>
      <c r="BM1110" s="6"/>
      <c r="BN1110" s="6"/>
      <c r="BO1110" s="6"/>
      <c r="BP1110" s="1028"/>
      <c r="BT1110" s="6"/>
      <c r="BU1110" s="6"/>
      <c r="BV1110" s="6"/>
      <c r="BW1110" s="1029"/>
      <c r="BX1110" s="1028"/>
      <c r="CB1110" s="6"/>
      <c r="CC1110" s="6"/>
      <c r="CD1110" s="6"/>
      <c r="CE1110" s="1029"/>
      <c r="CJ1110" s="11"/>
      <c r="CM1110" s="11"/>
      <c r="CU1110" s="17"/>
      <c r="CV1110" s="265"/>
      <c r="CW1110" s="265"/>
      <c r="CY1110" s="11"/>
      <c r="DA1110" s="12"/>
      <c r="DB1110" s="13"/>
      <c r="DC1110" s="14"/>
      <c r="DD1110" s="265"/>
      <c r="DE1110" s="265"/>
      <c r="DF1110" s="265"/>
      <c r="DH1110" s="15"/>
      <c r="DM1110" s="4"/>
    </row>
    <row r="1111" spans="2:117" ht="15" customHeight="1">
      <c r="B1111" s="10"/>
      <c r="C1111" s="17"/>
      <c r="E1111" s="25"/>
      <c r="F1111" s="35"/>
      <c r="J1111" s="20"/>
      <c r="K1111" s="1024"/>
      <c r="L1111" s="1025"/>
      <c r="M1111" s="1026"/>
      <c r="N1111" s="1026"/>
      <c r="O1111" s="265"/>
      <c r="P1111" s="265"/>
      <c r="T1111" s="265"/>
      <c r="U1111" s="265"/>
      <c r="V1111" s="265"/>
      <c r="X1111" s="1026"/>
      <c r="Y1111" s="265"/>
      <c r="Z1111" s="265"/>
      <c r="AA1111" s="265"/>
      <c r="AD1111" s="4"/>
      <c r="AE1111" s="1026"/>
      <c r="AF1111" s="265"/>
      <c r="AU1111" s="265"/>
      <c r="AV1111" s="265"/>
      <c r="AW1111" s="265"/>
      <c r="AX1111" s="265"/>
      <c r="AY1111" s="265"/>
      <c r="AZ1111" s="265"/>
      <c r="BA1111" s="265"/>
      <c r="BB1111" s="265"/>
      <c r="BC1111" s="265"/>
      <c r="BD1111" s="265"/>
      <c r="BE1111" s="265"/>
      <c r="BF1111" s="265"/>
      <c r="BG1111" s="265"/>
      <c r="BM1111" s="6"/>
      <c r="BN1111" s="6"/>
      <c r="BO1111" s="6"/>
      <c r="BP1111" s="1028"/>
      <c r="BT1111" s="6"/>
      <c r="BU1111" s="6"/>
      <c r="BV1111" s="6"/>
      <c r="BW1111" s="1029"/>
      <c r="BX1111" s="1028"/>
      <c r="CB1111" s="6"/>
      <c r="CC1111" s="6"/>
      <c r="CD1111" s="6"/>
      <c r="CE1111" s="1029"/>
      <c r="CJ1111" s="11"/>
      <c r="CM1111" s="11"/>
      <c r="CU1111" s="17"/>
      <c r="CV1111" s="265"/>
      <c r="CW1111" s="265"/>
      <c r="CY1111" s="11"/>
      <c r="DA1111" s="12"/>
      <c r="DB1111" s="13"/>
      <c r="DC1111" s="14"/>
      <c r="DD1111" s="265"/>
      <c r="DE1111" s="265"/>
      <c r="DF1111" s="265"/>
      <c r="DH1111" s="15"/>
      <c r="DM1111" s="4"/>
    </row>
    <row r="1112" spans="2:117" ht="15" customHeight="1">
      <c r="B1112" s="10"/>
      <c r="C1112" s="17"/>
      <c r="E1112" s="25"/>
      <c r="F1112" s="35"/>
      <c r="J1112" s="20"/>
      <c r="K1112" s="1024"/>
      <c r="L1112" s="1025"/>
      <c r="M1112" s="1026"/>
      <c r="N1112" s="1026"/>
      <c r="O1112" s="265"/>
      <c r="P1112" s="265"/>
      <c r="T1112" s="265"/>
      <c r="U1112" s="265"/>
      <c r="V1112" s="265"/>
      <c r="X1112" s="1026"/>
      <c r="Y1112" s="265"/>
      <c r="Z1112" s="265"/>
      <c r="AA1112" s="265"/>
      <c r="AD1112" s="4"/>
      <c r="AE1112" s="1026"/>
      <c r="AF1112" s="265"/>
      <c r="AU1112" s="265"/>
      <c r="AV1112" s="265"/>
      <c r="AW1112" s="265"/>
      <c r="AX1112" s="265"/>
      <c r="AY1112" s="265"/>
      <c r="AZ1112" s="265"/>
      <c r="BA1112" s="265"/>
      <c r="BB1112" s="265"/>
      <c r="BC1112" s="265"/>
      <c r="BD1112" s="265"/>
      <c r="BE1112" s="265"/>
      <c r="BF1112" s="265"/>
      <c r="BG1112" s="265"/>
      <c r="BM1112" s="6"/>
      <c r="BN1112" s="6"/>
      <c r="BO1112" s="6"/>
      <c r="BP1112" s="1028"/>
      <c r="BT1112" s="6"/>
      <c r="BU1112" s="6"/>
      <c r="BV1112" s="6"/>
      <c r="BW1112" s="1029"/>
      <c r="BX1112" s="1028"/>
      <c r="CB1112" s="6"/>
      <c r="CC1112" s="6"/>
      <c r="CD1112" s="6"/>
      <c r="CE1112" s="1029"/>
      <c r="CJ1112" s="11"/>
      <c r="CM1112" s="11"/>
      <c r="CU1112" s="17"/>
      <c r="CV1112" s="265"/>
      <c r="CW1112" s="265"/>
      <c r="CY1112" s="11"/>
      <c r="DA1112" s="12"/>
      <c r="DB1112" s="13"/>
      <c r="DC1112" s="14"/>
      <c r="DD1112" s="265"/>
      <c r="DE1112" s="265"/>
      <c r="DF1112" s="265"/>
      <c r="DH1112" s="15"/>
      <c r="DM1112" s="4"/>
    </row>
    <row r="1113" spans="2:117" ht="15" customHeight="1">
      <c r="B1113" s="10"/>
      <c r="C1113" s="17"/>
      <c r="E1113" s="25"/>
      <c r="F1113" s="35"/>
      <c r="J1113" s="20"/>
      <c r="K1113" s="1024"/>
      <c r="L1113" s="1025"/>
      <c r="M1113" s="1026"/>
      <c r="N1113" s="1026"/>
      <c r="O1113" s="265"/>
      <c r="P1113" s="265"/>
      <c r="T1113" s="265"/>
      <c r="U1113" s="265"/>
      <c r="V1113" s="265"/>
      <c r="X1113" s="1026"/>
      <c r="Y1113" s="265"/>
      <c r="Z1113" s="265"/>
      <c r="AA1113" s="265"/>
      <c r="AD1113" s="4"/>
      <c r="AE1113" s="1026"/>
      <c r="AF1113" s="265"/>
      <c r="AU1113" s="265"/>
      <c r="AV1113" s="265"/>
      <c r="AW1113" s="265"/>
      <c r="AX1113" s="265"/>
      <c r="AY1113" s="265"/>
      <c r="AZ1113" s="265"/>
      <c r="BA1113" s="265"/>
      <c r="BB1113" s="265"/>
      <c r="BC1113" s="265"/>
      <c r="BD1113" s="265"/>
      <c r="BE1113" s="265"/>
      <c r="BF1113" s="265"/>
      <c r="BG1113" s="265"/>
      <c r="BM1113" s="6"/>
      <c r="BN1113" s="6"/>
      <c r="BO1113" s="6"/>
      <c r="BP1113" s="1028"/>
      <c r="BT1113" s="6"/>
      <c r="BU1113" s="6"/>
      <c r="BV1113" s="6"/>
      <c r="BW1113" s="1029"/>
      <c r="BX1113" s="1028"/>
      <c r="CB1113" s="6"/>
      <c r="CC1113" s="6"/>
      <c r="CD1113" s="6"/>
      <c r="CE1113" s="1029"/>
      <c r="CJ1113" s="11"/>
      <c r="CM1113" s="11"/>
      <c r="CU1113" s="17"/>
      <c r="CV1113" s="265"/>
      <c r="CW1113" s="265"/>
      <c r="CY1113" s="11"/>
      <c r="DA1113" s="12"/>
      <c r="DB1113" s="13"/>
      <c r="DC1113" s="14"/>
      <c r="DD1113" s="265"/>
      <c r="DE1113" s="265"/>
      <c r="DF1113" s="265"/>
      <c r="DH1113" s="15"/>
      <c r="DM1113" s="4"/>
    </row>
    <row r="1114" spans="2:117" ht="15" customHeight="1">
      <c r="B1114" s="10"/>
      <c r="C1114" s="17"/>
      <c r="E1114" s="25"/>
      <c r="F1114" s="35"/>
      <c r="J1114" s="20"/>
      <c r="K1114" s="1024"/>
      <c r="L1114" s="1025"/>
      <c r="M1114" s="1026"/>
      <c r="N1114" s="1026"/>
      <c r="O1114" s="265"/>
      <c r="P1114" s="265"/>
      <c r="T1114" s="265"/>
      <c r="U1114" s="265"/>
      <c r="V1114" s="265"/>
      <c r="X1114" s="1026"/>
      <c r="Y1114" s="265"/>
      <c r="Z1114" s="265"/>
      <c r="AA1114" s="265"/>
      <c r="AD1114" s="4"/>
      <c r="AE1114" s="1026"/>
      <c r="AF1114" s="265"/>
      <c r="AU1114" s="265"/>
      <c r="AV1114" s="265"/>
      <c r="AW1114" s="265"/>
      <c r="AX1114" s="265"/>
      <c r="AY1114" s="265"/>
      <c r="AZ1114" s="265"/>
      <c r="BA1114" s="265"/>
      <c r="BB1114" s="265"/>
      <c r="BC1114" s="265"/>
      <c r="BD1114" s="265"/>
      <c r="BE1114" s="265"/>
      <c r="BF1114" s="265"/>
      <c r="BG1114" s="265"/>
      <c r="BM1114" s="6"/>
      <c r="BN1114" s="6"/>
      <c r="BO1114" s="6"/>
      <c r="BP1114" s="1028"/>
      <c r="BT1114" s="6"/>
      <c r="BU1114" s="6"/>
      <c r="BV1114" s="6"/>
      <c r="BW1114" s="1029"/>
      <c r="BX1114" s="1028"/>
      <c r="CB1114" s="6"/>
      <c r="CC1114" s="6"/>
      <c r="CD1114" s="6"/>
      <c r="CE1114" s="1029"/>
      <c r="CJ1114" s="11"/>
      <c r="CM1114" s="11"/>
      <c r="CU1114" s="17"/>
      <c r="CV1114" s="265"/>
      <c r="CW1114" s="265"/>
      <c r="CY1114" s="11"/>
      <c r="DA1114" s="12"/>
      <c r="DB1114" s="13"/>
      <c r="DC1114" s="14"/>
      <c r="DD1114" s="265"/>
      <c r="DE1114" s="265"/>
      <c r="DF1114" s="265"/>
      <c r="DH1114" s="15"/>
      <c r="DM1114" s="4"/>
    </row>
    <row r="1115" spans="2:117" ht="15" customHeight="1">
      <c r="B1115" s="10"/>
      <c r="C1115" s="17"/>
      <c r="E1115" s="25"/>
      <c r="F1115" s="35"/>
      <c r="J1115" s="20"/>
      <c r="K1115" s="1024"/>
      <c r="L1115" s="1025"/>
      <c r="M1115" s="1026"/>
      <c r="N1115" s="1026"/>
      <c r="O1115" s="265"/>
      <c r="P1115" s="265"/>
      <c r="T1115" s="265"/>
      <c r="U1115" s="265"/>
      <c r="V1115" s="265"/>
      <c r="X1115" s="1026"/>
      <c r="Y1115" s="265"/>
      <c r="Z1115" s="265"/>
      <c r="AA1115" s="265"/>
      <c r="AD1115" s="4"/>
      <c r="AE1115" s="1026"/>
      <c r="AF1115" s="265"/>
      <c r="AU1115" s="265"/>
      <c r="AV1115" s="265"/>
      <c r="AW1115" s="265"/>
      <c r="AX1115" s="265"/>
      <c r="AY1115" s="265"/>
      <c r="AZ1115" s="265"/>
      <c r="BA1115" s="265"/>
      <c r="BB1115" s="265"/>
      <c r="BC1115" s="265"/>
      <c r="BD1115" s="265"/>
      <c r="BE1115" s="265"/>
      <c r="BF1115" s="265"/>
      <c r="BG1115" s="265"/>
      <c r="BM1115" s="6"/>
      <c r="BN1115" s="6"/>
      <c r="BO1115" s="6"/>
      <c r="BP1115" s="1028"/>
      <c r="BT1115" s="6"/>
      <c r="BU1115" s="6"/>
      <c r="BV1115" s="6"/>
      <c r="BW1115" s="1029"/>
      <c r="BX1115" s="1028"/>
      <c r="CB1115" s="6"/>
      <c r="CC1115" s="6"/>
      <c r="CD1115" s="6"/>
      <c r="CE1115" s="1029"/>
      <c r="CJ1115" s="11"/>
      <c r="CM1115" s="11"/>
      <c r="CU1115" s="17"/>
      <c r="CV1115" s="265"/>
      <c r="CW1115" s="265"/>
      <c r="CY1115" s="11"/>
      <c r="DA1115" s="12"/>
      <c r="DB1115" s="13"/>
      <c r="DC1115" s="14"/>
      <c r="DD1115" s="265"/>
      <c r="DE1115" s="265"/>
      <c r="DF1115" s="265"/>
      <c r="DH1115" s="15"/>
      <c r="DM1115" s="4"/>
    </row>
    <row r="1116" spans="2:117" ht="15" customHeight="1">
      <c r="B1116" s="10"/>
      <c r="C1116" s="17"/>
      <c r="E1116" s="25"/>
      <c r="F1116" s="35"/>
      <c r="J1116" s="20"/>
      <c r="K1116" s="1024"/>
      <c r="L1116" s="1025"/>
      <c r="M1116" s="1026"/>
      <c r="N1116" s="1026"/>
      <c r="O1116" s="265"/>
      <c r="P1116" s="265"/>
      <c r="T1116" s="265"/>
      <c r="U1116" s="265"/>
      <c r="V1116" s="265"/>
      <c r="X1116" s="1026"/>
      <c r="Y1116" s="265"/>
      <c r="Z1116" s="265"/>
      <c r="AA1116" s="265"/>
      <c r="AD1116" s="4"/>
      <c r="AE1116" s="1026"/>
      <c r="AF1116" s="265"/>
      <c r="AU1116" s="265"/>
      <c r="AV1116" s="265"/>
      <c r="AW1116" s="265"/>
      <c r="AX1116" s="265"/>
      <c r="AY1116" s="265"/>
      <c r="AZ1116" s="265"/>
      <c r="BA1116" s="265"/>
      <c r="BB1116" s="265"/>
      <c r="BC1116" s="265"/>
      <c r="BD1116" s="265"/>
      <c r="BE1116" s="265"/>
      <c r="BF1116" s="265"/>
      <c r="BG1116" s="265"/>
      <c r="BM1116" s="6"/>
      <c r="BN1116" s="6"/>
      <c r="BO1116" s="6"/>
      <c r="BP1116" s="1028"/>
      <c r="BT1116" s="6"/>
      <c r="BU1116" s="6"/>
      <c r="BV1116" s="6"/>
      <c r="BW1116" s="1029"/>
      <c r="BX1116" s="1028"/>
      <c r="CB1116" s="6"/>
      <c r="CC1116" s="6"/>
      <c r="CD1116" s="6"/>
      <c r="CE1116" s="1029"/>
      <c r="CJ1116" s="11"/>
      <c r="CM1116" s="11"/>
      <c r="CU1116" s="17"/>
      <c r="CV1116" s="265"/>
      <c r="CW1116" s="265"/>
      <c r="CY1116" s="11"/>
      <c r="DA1116" s="12"/>
      <c r="DB1116" s="13"/>
      <c r="DC1116" s="14"/>
      <c r="DD1116" s="265"/>
      <c r="DE1116" s="265"/>
      <c r="DF1116" s="265"/>
      <c r="DH1116" s="15"/>
      <c r="DM1116" s="4"/>
    </row>
    <row r="1117" spans="2:117" ht="15" customHeight="1">
      <c r="B1117" s="10"/>
      <c r="C1117" s="17"/>
      <c r="E1117" s="25"/>
      <c r="F1117" s="35"/>
      <c r="J1117" s="20"/>
      <c r="K1117" s="1024"/>
      <c r="L1117" s="1025"/>
      <c r="M1117" s="1026"/>
      <c r="N1117" s="1026"/>
      <c r="O1117" s="265"/>
      <c r="P1117" s="265"/>
      <c r="T1117" s="265"/>
      <c r="U1117" s="265"/>
      <c r="V1117" s="265"/>
      <c r="X1117" s="1026"/>
      <c r="Y1117" s="265"/>
      <c r="Z1117" s="265"/>
      <c r="AA1117" s="265"/>
      <c r="AD1117" s="4"/>
      <c r="AE1117" s="1026"/>
      <c r="AF1117" s="265"/>
      <c r="AU1117" s="265"/>
      <c r="AV1117" s="265"/>
      <c r="AW1117" s="265"/>
      <c r="AX1117" s="265"/>
      <c r="AY1117" s="265"/>
      <c r="AZ1117" s="265"/>
      <c r="BA1117" s="265"/>
      <c r="BB1117" s="265"/>
      <c r="BC1117" s="265"/>
      <c r="BD1117" s="265"/>
      <c r="BE1117" s="265"/>
      <c r="BF1117" s="265"/>
      <c r="BG1117" s="265"/>
      <c r="BM1117" s="6"/>
      <c r="BN1117" s="6"/>
      <c r="BO1117" s="6"/>
      <c r="BP1117" s="1028"/>
      <c r="BT1117" s="6"/>
      <c r="BU1117" s="6"/>
      <c r="BV1117" s="6"/>
      <c r="BW1117" s="1029"/>
      <c r="BX1117" s="1028"/>
      <c r="CB1117" s="6"/>
      <c r="CC1117" s="6"/>
      <c r="CD1117" s="6"/>
      <c r="CE1117" s="1029"/>
      <c r="CJ1117" s="11"/>
      <c r="CM1117" s="11"/>
      <c r="CU1117" s="17"/>
      <c r="CV1117" s="265"/>
      <c r="CW1117" s="265"/>
      <c r="CY1117" s="11"/>
      <c r="DA1117" s="12"/>
      <c r="DB1117" s="13"/>
      <c r="DC1117" s="14"/>
      <c r="DD1117" s="265"/>
      <c r="DE1117" s="265"/>
      <c r="DF1117" s="265"/>
      <c r="DH1117" s="15"/>
      <c r="DM1117" s="4"/>
    </row>
    <row r="1118" spans="2:117" ht="15" customHeight="1">
      <c r="B1118" s="10"/>
      <c r="C1118" s="17"/>
      <c r="E1118" s="25"/>
      <c r="F1118" s="35"/>
      <c r="J1118" s="20"/>
      <c r="K1118" s="1024"/>
      <c r="L1118" s="1025"/>
      <c r="M1118" s="1026"/>
      <c r="N1118" s="1026"/>
      <c r="O1118" s="265"/>
      <c r="P1118" s="265"/>
      <c r="T1118" s="265"/>
      <c r="U1118" s="265"/>
      <c r="V1118" s="265"/>
      <c r="X1118" s="1026"/>
      <c r="Y1118" s="265"/>
      <c r="Z1118" s="265"/>
      <c r="AA1118" s="265"/>
      <c r="AD1118" s="4"/>
      <c r="AE1118" s="1026"/>
      <c r="AF1118" s="265"/>
      <c r="AU1118" s="265"/>
      <c r="AV1118" s="265"/>
      <c r="AW1118" s="265"/>
      <c r="AX1118" s="265"/>
      <c r="AY1118" s="265"/>
      <c r="AZ1118" s="265"/>
      <c r="BA1118" s="265"/>
      <c r="BB1118" s="265"/>
      <c r="BC1118" s="265"/>
      <c r="BD1118" s="265"/>
      <c r="BE1118" s="265"/>
      <c r="BF1118" s="265"/>
      <c r="BG1118" s="265"/>
      <c r="BM1118" s="6"/>
      <c r="BN1118" s="6"/>
      <c r="BO1118" s="6"/>
      <c r="BP1118" s="1028"/>
      <c r="BT1118" s="6"/>
      <c r="BU1118" s="6"/>
      <c r="BV1118" s="6"/>
      <c r="BW1118" s="1029"/>
      <c r="BX1118" s="1028"/>
      <c r="CB1118" s="6"/>
      <c r="CC1118" s="6"/>
      <c r="CD1118" s="6"/>
      <c r="CE1118" s="1029"/>
      <c r="CJ1118" s="11"/>
      <c r="CM1118" s="11"/>
      <c r="CU1118" s="17"/>
      <c r="CV1118" s="265"/>
      <c r="CW1118" s="265"/>
      <c r="CY1118" s="11"/>
      <c r="DA1118" s="12"/>
      <c r="DB1118" s="13"/>
      <c r="DC1118" s="14"/>
      <c r="DD1118" s="265"/>
      <c r="DE1118" s="265"/>
      <c r="DF1118" s="265"/>
      <c r="DH1118" s="15"/>
      <c r="DM1118" s="4"/>
    </row>
    <row r="1119" spans="2:117" ht="15" customHeight="1">
      <c r="B1119" s="10"/>
      <c r="C1119" s="17"/>
      <c r="E1119" s="25"/>
      <c r="F1119" s="35"/>
      <c r="J1119" s="20"/>
      <c r="K1119" s="1024"/>
      <c r="L1119" s="1025"/>
      <c r="M1119" s="1026"/>
      <c r="N1119" s="1026"/>
      <c r="O1119" s="265"/>
      <c r="P1119" s="265"/>
      <c r="T1119" s="265"/>
      <c r="U1119" s="265"/>
      <c r="V1119" s="265"/>
      <c r="X1119" s="1026"/>
      <c r="Y1119" s="265"/>
      <c r="Z1119" s="265"/>
      <c r="AA1119" s="265"/>
      <c r="AD1119" s="4"/>
      <c r="AE1119" s="1026"/>
      <c r="AF1119" s="265"/>
      <c r="AU1119" s="265"/>
      <c r="AV1119" s="265"/>
      <c r="AW1119" s="265"/>
      <c r="AX1119" s="265"/>
      <c r="AY1119" s="265"/>
      <c r="AZ1119" s="265"/>
      <c r="BA1119" s="265"/>
      <c r="BB1119" s="265"/>
      <c r="BC1119" s="265"/>
      <c r="BD1119" s="265"/>
      <c r="BE1119" s="265"/>
      <c r="BF1119" s="265"/>
      <c r="BG1119" s="265"/>
      <c r="BM1119" s="6"/>
      <c r="BN1119" s="6"/>
      <c r="BO1119" s="6"/>
      <c r="BP1119" s="1028"/>
      <c r="BT1119" s="6"/>
      <c r="BU1119" s="6"/>
      <c r="BV1119" s="6"/>
      <c r="BW1119" s="1029"/>
      <c r="BX1119" s="1028"/>
      <c r="CB1119" s="6"/>
      <c r="CC1119" s="6"/>
      <c r="CD1119" s="6"/>
      <c r="CE1119" s="1029"/>
      <c r="CJ1119" s="11"/>
      <c r="CM1119" s="11"/>
      <c r="CU1119" s="17"/>
      <c r="CV1119" s="265"/>
      <c r="CW1119" s="265"/>
      <c r="CY1119" s="11"/>
      <c r="DA1119" s="12"/>
      <c r="DB1119" s="13"/>
      <c r="DC1119" s="14"/>
      <c r="DD1119" s="265"/>
      <c r="DE1119" s="265"/>
      <c r="DF1119" s="265"/>
      <c r="DH1119" s="15"/>
      <c r="DM1119" s="4"/>
    </row>
    <row r="1120" spans="2:117" ht="15" customHeight="1">
      <c r="B1120" s="10"/>
      <c r="C1120" s="17"/>
      <c r="E1120" s="25"/>
      <c r="F1120" s="35"/>
      <c r="J1120" s="20"/>
      <c r="K1120" s="1024"/>
      <c r="L1120" s="1025"/>
      <c r="M1120" s="1026"/>
      <c r="N1120" s="1026"/>
      <c r="O1120" s="265"/>
      <c r="P1120" s="265"/>
      <c r="T1120" s="265"/>
      <c r="U1120" s="265"/>
      <c r="V1120" s="265"/>
      <c r="X1120" s="1026"/>
      <c r="Y1120" s="265"/>
      <c r="Z1120" s="265"/>
      <c r="AA1120" s="265"/>
      <c r="AD1120" s="4"/>
      <c r="AE1120" s="1026"/>
      <c r="AF1120" s="265"/>
      <c r="AU1120" s="265"/>
      <c r="AV1120" s="265"/>
      <c r="AW1120" s="265"/>
      <c r="AX1120" s="265"/>
      <c r="AY1120" s="265"/>
      <c r="AZ1120" s="265"/>
      <c r="BA1120" s="265"/>
      <c r="BB1120" s="265"/>
      <c r="BC1120" s="265"/>
      <c r="BD1120" s="265"/>
      <c r="BE1120" s="265"/>
      <c r="BF1120" s="265"/>
      <c r="BG1120" s="265"/>
      <c r="BM1120" s="6"/>
      <c r="BN1120" s="6"/>
      <c r="BO1120" s="6"/>
      <c r="BP1120" s="1028"/>
      <c r="BT1120" s="6"/>
      <c r="BU1120" s="6"/>
      <c r="BV1120" s="6"/>
      <c r="BW1120" s="1029"/>
      <c r="BX1120" s="1028"/>
      <c r="CB1120" s="6"/>
      <c r="CC1120" s="6"/>
      <c r="CD1120" s="6"/>
      <c r="CE1120" s="1029"/>
      <c r="CJ1120" s="11"/>
      <c r="CM1120" s="11"/>
      <c r="CU1120" s="17"/>
      <c r="CV1120" s="265"/>
      <c r="CW1120" s="265"/>
      <c r="CY1120" s="11"/>
      <c r="DA1120" s="12"/>
      <c r="DB1120" s="13"/>
      <c r="DC1120" s="14"/>
      <c r="DD1120" s="265"/>
      <c r="DE1120" s="265"/>
      <c r="DF1120" s="265"/>
      <c r="DH1120" s="15"/>
      <c r="DM1120" s="4"/>
    </row>
    <row r="1121" spans="2:117" ht="15" customHeight="1">
      <c r="B1121" s="10"/>
      <c r="C1121" s="17"/>
      <c r="E1121" s="25"/>
      <c r="F1121" s="35"/>
      <c r="J1121" s="20"/>
      <c r="K1121" s="1024"/>
      <c r="L1121" s="1025"/>
      <c r="M1121" s="1026"/>
      <c r="N1121" s="1026"/>
      <c r="O1121" s="265"/>
      <c r="P1121" s="265"/>
      <c r="T1121" s="265"/>
      <c r="U1121" s="265"/>
      <c r="V1121" s="265"/>
      <c r="X1121" s="1026"/>
      <c r="Y1121" s="265"/>
      <c r="Z1121" s="265"/>
      <c r="AA1121" s="265"/>
      <c r="AD1121" s="4"/>
      <c r="AE1121" s="1026"/>
      <c r="AF1121" s="265"/>
      <c r="AU1121" s="265"/>
      <c r="AV1121" s="265"/>
      <c r="AW1121" s="265"/>
      <c r="AX1121" s="265"/>
      <c r="AY1121" s="265"/>
      <c r="AZ1121" s="265"/>
      <c r="BA1121" s="265"/>
      <c r="BB1121" s="265"/>
      <c r="BC1121" s="265"/>
      <c r="BD1121" s="265"/>
      <c r="BE1121" s="265"/>
      <c r="BF1121" s="265"/>
      <c r="BG1121" s="265"/>
      <c r="BM1121" s="6"/>
      <c r="BN1121" s="6"/>
      <c r="BO1121" s="6"/>
      <c r="BP1121" s="1028"/>
      <c r="BT1121" s="6"/>
      <c r="BU1121" s="6"/>
      <c r="BV1121" s="6"/>
      <c r="BW1121" s="1029"/>
      <c r="BX1121" s="1028"/>
      <c r="CB1121" s="6"/>
      <c r="CC1121" s="6"/>
      <c r="CD1121" s="6"/>
      <c r="CE1121" s="1029"/>
      <c r="CJ1121" s="11"/>
      <c r="CM1121" s="11"/>
      <c r="CU1121" s="17"/>
      <c r="CV1121" s="265"/>
      <c r="CW1121" s="265"/>
      <c r="CY1121" s="11"/>
      <c r="DA1121" s="12"/>
      <c r="DB1121" s="13"/>
      <c r="DC1121" s="14"/>
      <c r="DD1121" s="265"/>
      <c r="DE1121" s="265"/>
      <c r="DF1121" s="265"/>
      <c r="DH1121" s="15"/>
      <c r="DM1121" s="4"/>
    </row>
    <row r="1122" spans="2:117" ht="15" customHeight="1">
      <c r="B1122" s="10"/>
      <c r="C1122" s="17"/>
      <c r="E1122" s="25"/>
      <c r="F1122" s="35"/>
      <c r="J1122" s="20"/>
      <c r="K1122" s="1024"/>
      <c r="L1122" s="1025"/>
      <c r="M1122" s="1026"/>
      <c r="N1122" s="1026"/>
      <c r="O1122" s="265"/>
      <c r="P1122" s="265"/>
      <c r="T1122" s="265"/>
      <c r="U1122" s="265"/>
      <c r="V1122" s="265"/>
      <c r="X1122" s="1026"/>
      <c r="Y1122" s="265"/>
      <c r="Z1122" s="265"/>
      <c r="AA1122" s="265"/>
      <c r="AD1122" s="4"/>
      <c r="AE1122" s="1026"/>
      <c r="AF1122" s="265"/>
      <c r="AU1122" s="265"/>
      <c r="AV1122" s="265"/>
      <c r="AW1122" s="265"/>
      <c r="AX1122" s="265"/>
      <c r="AY1122" s="265"/>
      <c r="AZ1122" s="265"/>
      <c r="BA1122" s="265"/>
      <c r="BB1122" s="265"/>
      <c r="BC1122" s="265"/>
      <c r="BD1122" s="265"/>
      <c r="BE1122" s="265"/>
      <c r="BF1122" s="265"/>
      <c r="BG1122" s="265"/>
      <c r="BM1122" s="6"/>
      <c r="BN1122" s="6"/>
      <c r="BO1122" s="6"/>
      <c r="BP1122" s="1028"/>
      <c r="BT1122" s="6"/>
      <c r="BU1122" s="6"/>
      <c r="BV1122" s="6"/>
      <c r="BW1122" s="1029"/>
      <c r="BX1122" s="1028"/>
      <c r="CB1122" s="6"/>
      <c r="CC1122" s="6"/>
      <c r="CD1122" s="6"/>
      <c r="CE1122" s="1029"/>
      <c r="CJ1122" s="11"/>
      <c r="CM1122" s="11"/>
      <c r="CU1122" s="17"/>
      <c r="CV1122" s="265"/>
      <c r="CW1122" s="265"/>
      <c r="CY1122" s="11"/>
      <c r="DA1122" s="12"/>
      <c r="DB1122" s="13"/>
      <c r="DC1122" s="14"/>
      <c r="DD1122" s="265"/>
      <c r="DE1122" s="265"/>
      <c r="DF1122" s="265"/>
      <c r="DH1122" s="15"/>
      <c r="DM1122" s="4"/>
    </row>
    <row r="1123" spans="2:117" ht="15" customHeight="1">
      <c r="B1123" s="10"/>
      <c r="C1123" s="17"/>
      <c r="E1123" s="25"/>
      <c r="F1123" s="35"/>
      <c r="J1123" s="20"/>
      <c r="K1123" s="1024"/>
      <c r="L1123" s="1025"/>
      <c r="M1123" s="1026"/>
      <c r="N1123" s="1026"/>
      <c r="O1123" s="265"/>
      <c r="P1123" s="265"/>
      <c r="T1123" s="265"/>
      <c r="U1123" s="265"/>
      <c r="V1123" s="265"/>
      <c r="X1123" s="1026"/>
      <c r="Y1123" s="265"/>
      <c r="Z1123" s="265"/>
      <c r="AA1123" s="265"/>
      <c r="AD1123" s="4"/>
      <c r="AE1123" s="1026"/>
      <c r="AF1123" s="265"/>
      <c r="AU1123" s="265"/>
      <c r="AV1123" s="265"/>
      <c r="AW1123" s="265"/>
      <c r="AX1123" s="265"/>
      <c r="AY1123" s="265"/>
      <c r="AZ1123" s="265"/>
      <c r="BA1123" s="265"/>
      <c r="BB1123" s="265"/>
      <c r="BC1123" s="265"/>
      <c r="BD1123" s="265"/>
      <c r="BE1123" s="265"/>
      <c r="BF1123" s="265"/>
      <c r="BG1123" s="265"/>
      <c r="BM1123" s="6"/>
      <c r="BN1123" s="6"/>
      <c r="BO1123" s="6"/>
      <c r="BP1123" s="1028"/>
      <c r="BT1123" s="6"/>
      <c r="BU1123" s="6"/>
      <c r="BV1123" s="6"/>
      <c r="BW1123" s="1029"/>
      <c r="BX1123" s="1028"/>
      <c r="CB1123" s="6"/>
      <c r="CC1123" s="6"/>
      <c r="CD1123" s="6"/>
      <c r="CE1123" s="1029"/>
      <c r="CJ1123" s="11"/>
      <c r="CM1123" s="11"/>
      <c r="CU1123" s="17"/>
      <c r="CV1123" s="265"/>
      <c r="CW1123" s="265"/>
      <c r="CY1123" s="11"/>
      <c r="DA1123" s="12"/>
      <c r="DB1123" s="13"/>
      <c r="DC1123" s="14"/>
      <c r="DD1123" s="265"/>
      <c r="DE1123" s="265"/>
      <c r="DF1123" s="265"/>
      <c r="DH1123" s="15"/>
      <c r="DM1123" s="4"/>
    </row>
    <row r="1124" spans="2:117" ht="15" customHeight="1">
      <c r="B1124" s="10"/>
      <c r="C1124" s="17"/>
      <c r="E1124" s="25"/>
      <c r="F1124" s="35"/>
      <c r="J1124" s="20"/>
      <c r="K1124" s="1024"/>
      <c r="L1124" s="1025"/>
      <c r="M1124" s="1026"/>
      <c r="N1124" s="1026"/>
      <c r="O1124" s="265"/>
      <c r="P1124" s="265"/>
      <c r="T1124" s="265"/>
      <c r="U1124" s="265"/>
      <c r="V1124" s="265"/>
      <c r="X1124" s="1026"/>
      <c r="Y1124" s="265"/>
      <c r="Z1124" s="265"/>
      <c r="AA1124" s="265"/>
      <c r="AD1124" s="4"/>
      <c r="AE1124" s="1026"/>
      <c r="AF1124" s="265"/>
      <c r="AU1124" s="265"/>
      <c r="AV1124" s="265"/>
      <c r="AW1124" s="265"/>
      <c r="AX1124" s="265"/>
      <c r="AY1124" s="265"/>
      <c r="AZ1124" s="265"/>
      <c r="BA1124" s="265"/>
      <c r="BB1124" s="265"/>
      <c r="BC1124" s="265"/>
      <c r="BD1124" s="265"/>
      <c r="BE1124" s="265"/>
      <c r="BF1124" s="265"/>
      <c r="BG1124" s="265"/>
      <c r="BM1124" s="6"/>
      <c r="BN1124" s="6"/>
      <c r="BO1124" s="6"/>
      <c r="BP1124" s="1028"/>
      <c r="BT1124" s="6"/>
      <c r="BU1124" s="6"/>
      <c r="BV1124" s="6"/>
      <c r="BW1124" s="1029"/>
      <c r="BX1124" s="1028"/>
      <c r="CB1124" s="6"/>
      <c r="CC1124" s="6"/>
      <c r="CD1124" s="6"/>
      <c r="CE1124" s="1029"/>
      <c r="CJ1124" s="11"/>
      <c r="CM1124" s="11"/>
      <c r="CU1124" s="17"/>
      <c r="CV1124" s="265"/>
      <c r="CW1124" s="265"/>
      <c r="CY1124" s="11"/>
      <c r="DA1124" s="12"/>
      <c r="DB1124" s="13"/>
      <c r="DC1124" s="14"/>
      <c r="DD1124" s="265"/>
      <c r="DE1124" s="265"/>
      <c r="DF1124" s="265"/>
      <c r="DH1124" s="15"/>
      <c r="DM1124" s="4"/>
    </row>
    <row r="1125" spans="2:117" ht="15" customHeight="1">
      <c r="B1125" s="10"/>
      <c r="C1125" s="17"/>
      <c r="E1125" s="25"/>
      <c r="F1125" s="35"/>
      <c r="J1125" s="20"/>
      <c r="K1125" s="1024"/>
      <c r="L1125" s="1025"/>
      <c r="M1125" s="1026"/>
      <c r="N1125" s="1026"/>
      <c r="O1125" s="265"/>
      <c r="P1125" s="265"/>
      <c r="T1125" s="265"/>
      <c r="U1125" s="265"/>
      <c r="V1125" s="265"/>
      <c r="X1125" s="1026"/>
      <c r="Y1125" s="265"/>
      <c r="Z1125" s="265"/>
      <c r="AA1125" s="265"/>
      <c r="AD1125" s="4"/>
      <c r="AE1125" s="1026"/>
      <c r="AF1125" s="265"/>
      <c r="AU1125" s="265"/>
      <c r="AV1125" s="265"/>
      <c r="AW1125" s="265"/>
      <c r="AX1125" s="265"/>
      <c r="AY1125" s="265"/>
      <c r="AZ1125" s="265"/>
      <c r="BA1125" s="265"/>
      <c r="BB1125" s="265"/>
      <c r="BC1125" s="265"/>
      <c r="BD1125" s="265"/>
      <c r="BE1125" s="265"/>
      <c r="BF1125" s="265"/>
      <c r="BG1125" s="265"/>
      <c r="BM1125" s="6"/>
      <c r="BN1125" s="6"/>
      <c r="BO1125" s="6"/>
      <c r="BP1125" s="1028"/>
      <c r="BT1125" s="6"/>
      <c r="BU1125" s="6"/>
      <c r="BV1125" s="6"/>
      <c r="BW1125" s="1029"/>
      <c r="BX1125" s="1028"/>
      <c r="CB1125" s="6"/>
      <c r="CC1125" s="6"/>
      <c r="CD1125" s="6"/>
      <c r="CE1125" s="1029"/>
      <c r="CJ1125" s="11"/>
      <c r="CM1125" s="11"/>
      <c r="CU1125" s="17"/>
      <c r="CV1125" s="265"/>
      <c r="CW1125" s="265"/>
      <c r="CY1125" s="11"/>
      <c r="DA1125" s="12"/>
      <c r="DB1125" s="13"/>
      <c r="DC1125" s="14"/>
      <c r="DD1125" s="265"/>
      <c r="DE1125" s="265"/>
      <c r="DF1125" s="265"/>
      <c r="DH1125" s="15"/>
      <c r="DM1125" s="4"/>
    </row>
    <row r="1126" spans="2:117" ht="15" customHeight="1">
      <c r="B1126" s="10"/>
      <c r="C1126" s="17"/>
      <c r="E1126" s="25"/>
      <c r="F1126" s="35"/>
      <c r="J1126" s="20"/>
      <c r="K1126" s="1024"/>
      <c r="L1126" s="1025"/>
      <c r="M1126" s="1026"/>
      <c r="N1126" s="1026"/>
      <c r="O1126" s="265"/>
      <c r="P1126" s="265"/>
      <c r="T1126" s="265"/>
      <c r="U1126" s="265"/>
      <c r="V1126" s="265"/>
      <c r="X1126" s="1026"/>
      <c r="Y1126" s="265"/>
      <c r="Z1126" s="265"/>
      <c r="AA1126" s="265"/>
      <c r="AD1126" s="4"/>
      <c r="AE1126" s="1026"/>
      <c r="AF1126" s="265"/>
      <c r="AU1126" s="265"/>
      <c r="AV1126" s="265"/>
      <c r="AW1126" s="265"/>
      <c r="AX1126" s="265"/>
      <c r="AY1126" s="265"/>
      <c r="AZ1126" s="265"/>
      <c r="BA1126" s="265"/>
      <c r="BB1126" s="265"/>
      <c r="BC1126" s="265"/>
      <c r="BD1126" s="265"/>
      <c r="BE1126" s="265"/>
      <c r="BF1126" s="265"/>
      <c r="BG1126" s="265"/>
      <c r="BM1126" s="6"/>
      <c r="BN1126" s="6"/>
      <c r="BO1126" s="6"/>
      <c r="BP1126" s="1028"/>
      <c r="BT1126" s="6"/>
      <c r="BU1126" s="6"/>
      <c r="BV1126" s="6"/>
      <c r="BW1126" s="1029"/>
      <c r="BX1126" s="1028"/>
      <c r="CB1126" s="6"/>
      <c r="CC1126" s="6"/>
      <c r="CD1126" s="6"/>
      <c r="CE1126" s="1029"/>
      <c r="CJ1126" s="11"/>
      <c r="CM1126" s="11"/>
      <c r="CU1126" s="17"/>
      <c r="CV1126" s="265"/>
      <c r="CW1126" s="265"/>
      <c r="CY1126" s="11"/>
      <c r="DA1126" s="12"/>
      <c r="DB1126" s="13"/>
      <c r="DC1126" s="14"/>
      <c r="DD1126" s="265"/>
      <c r="DE1126" s="265"/>
      <c r="DF1126" s="265"/>
      <c r="DH1126" s="15"/>
      <c r="DM1126" s="4"/>
    </row>
    <row r="1127" spans="2:117" ht="15" customHeight="1">
      <c r="B1127" s="10"/>
      <c r="C1127" s="17"/>
      <c r="E1127" s="25"/>
      <c r="F1127" s="35"/>
      <c r="J1127" s="20"/>
      <c r="K1127" s="1024"/>
      <c r="L1127" s="1025"/>
      <c r="M1127" s="1026"/>
      <c r="N1127" s="1026"/>
      <c r="O1127" s="265"/>
      <c r="P1127" s="265"/>
      <c r="T1127" s="265"/>
      <c r="U1127" s="265"/>
      <c r="V1127" s="265"/>
      <c r="X1127" s="1026"/>
      <c r="Y1127" s="265"/>
      <c r="Z1127" s="265"/>
      <c r="AA1127" s="265"/>
      <c r="AD1127" s="4"/>
      <c r="AE1127" s="1026"/>
      <c r="AF1127" s="265"/>
      <c r="AU1127" s="265"/>
      <c r="AV1127" s="265"/>
      <c r="AW1127" s="265"/>
      <c r="AX1127" s="265"/>
      <c r="AY1127" s="265"/>
      <c r="AZ1127" s="265"/>
      <c r="BA1127" s="265"/>
      <c r="BB1127" s="265"/>
      <c r="BC1127" s="265"/>
      <c r="BD1127" s="265"/>
      <c r="BE1127" s="265"/>
      <c r="BF1127" s="265"/>
      <c r="BG1127" s="265"/>
      <c r="BM1127" s="6"/>
      <c r="BN1127" s="6"/>
      <c r="BO1127" s="6"/>
      <c r="BP1127" s="1028"/>
      <c r="BT1127" s="6"/>
      <c r="BU1127" s="6"/>
      <c r="BV1127" s="6"/>
      <c r="BW1127" s="1029"/>
      <c r="BX1127" s="1028"/>
      <c r="CB1127" s="6"/>
      <c r="CC1127" s="6"/>
      <c r="CD1127" s="6"/>
      <c r="CE1127" s="1029"/>
      <c r="CJ1127" s="11"/>
      <c r="CM1127" s="11"/>
      <c r="CU1127" s="17"/>
      <c r="CV1127" s="265"/>
      <c r="CW1127" s="265"/>
      <c r="CY1127" s="11"/>
      <c r="DA1127" s="12"/>
      <c r="DB1127" s="13"/>
      <c r="DC1127" s="14"/>
      <c r="DD1127" s="265"/>
      <c r="DE1127" s="265"/>
      <c r="DF1127" s="265"/>
      <c r="DH1127" s="15"/>
      <c r="DM1127" s="4"/>
    </row>
    <row r="1128" spans="2:117" ht="15" customHeight="1">
      <c r="B1128" s="10"/>
      <c r="C1128" s="17"/>
      <c r="E1128" s="25"/>
      <c r="F1128" s="35"/>
      <c r="J1128" s="20"/>
      <c r="K1128" s="1024"/>
      <c r="L1128" s="1025"/>
      <c r="M1128" s="1026"/>
      <c r="N1128" s="1026"/>
      <c r="O1128" s="265"/>
      <c r="P1128" s="265"/>
      <c r="T1128" s="265"/>
      <c r="U1128" s="265"/>
      <c r="V1128" s="265"/>
      <c r="X1128" s="1026"/>
      <c r="Y1128" s="265"/>
      <c r="Z1128" s="265"/>
      <c r="AA1128" s="265"/>
      <c r="AD1128" s="4"/>
      <c r="AE1128" s="1026"/>
      <c r="AF1128" s="265"/>
      <c r="AU1128" s="265"/>
      <c r="AV1128" s="265"/>
      <c r="AW1128" s="265"/>
      <c r="AX1128" s="265"/>
      <c r="AY1128" s="265"/>
      <c r="AZ1128" s="265"/>
      <c r="BA1128" s="265"/>
      <c r="BB1128" s="265"/>
      <c r="BC1128" s="265"/>
      <c r="BD1128" s="265"/>
      <c r="BE1128" s="265"/>
      <c r="BF1128" s="265"/>
      <c r="BG1128" s="265"/>
      <c r="BM1128" s="6"/>
      <c r="BN1128" s="6"/>
      <c r="BO1128" s="6"/>
      <c r="BP1128" s="1028"/>
      <c r="BT1128" s="6"/>
      <c r="BU1128" s="6"/>
      <c r="BV1128" s="6"/>
      <c r="BW1128" s="1029"/>
      <c r="BX1128" s="1028"/>
      <c r="CB1128" s="6"/>
      <c r="CC1128" s="6"/>
      <c r="CD1128" s="6"/>
      <c r="CE1128" s="1029"/>
      <c r="CJ1128" s="11"/>
      <c r="CM1128" s="11"/>
      <c r="CU1128" s="17"/>
      <c r="CV1128" s="265"/>
      <c r="CW1128" s="265"/>
      <c r="CY1128" s="11"/>
      <c r="DA1128" s="12"/>
      <c r="DB1128" s="13"/>
      <c r="DC1128" s="14"/>
      <c r="DD1128" s="265"/>
      <c r="DE1128" s="265"/>
      <c r="DF1128" s="265"/>
      <c r="DH1128" s="15"/>
      <c r="DM1128" s="4"/>
    </row>
    <row r="1129" spans="2:117" ht="15" customHeight="1">
      <c r="B1129" s="10"/>
      <c r="C1129" s="17"/>
      <c r="E1129" s="25"/>
      <c r="F1129" s="35"/>
      <c r="J1129" s="20"/>
      <c r="K1129" s="1024"/>
      <c r="L1129" s="1025"/>
      <c r="M1129" s="1026"/>
      <c r="N1129" s="1026"/>
      <c r="O1129" s="265"/>
      <c r="P1129" s="265"/>
      <c r="T1129" s="265"/>
      <c r="U1129" s="265"/>
      <c r="V1129" s="265"/>
      <c r="X1129" s="1026"/>
      <c r="Y1129" s="265"/>
      <c r="Z1129" s="265"/>
      <c r="AA1129" s="265"/>
      <c r="AD1129" s="4"/>
      <c r="AE1129" s="1026"/>
      <c r="AF1129" s="265"/>
      <c r="AU1129" s="265"/>
      <c r="AV1129" s="265"/>
      <c r="AW1129" s="265"/>
      <c r="AX1129" s="265"/>
      <c r="AY1129" s="265"/>
      <c r="AZ1129" s="265"/>
      <c r="BA1129" s="265"/>
      <c r="BB1129" s="265"/>
      <c r="BC1129" s="265"/>
      <c r="BD1129" s="265"/>
      <c r="BE1129" s="265"/>
      <c r="BF1129" s="265"/>
      <c r="BG1129" s="265"/>
      <c r="BM1129" s="6"/>
      <c r="BN1129" s="6"/>
      <c r="BO1129" s="6"/>
      <c r="BP1129" s="1028"/>
      <c r="BT1129" s="6"/>
      <c r="BU1129" s="6"/>
      <c r="BV1129" s="6"/>
      <c r="BW1129" s="1029"/>
      <c r="BX1129" s="1028"/>
      <c r="CB1129" s="6"/>
      <c r="CC1129" s="6"/>
      <c r="CD1129" s="6"/>
      <c r="CE1129" s="1029"/>
      <c r="CJ1129" s="11"/>
      <c r="CM1129" s="11"/>
      <c r="CU1129" s="17"/>
      <c r="CV1129" s="265"/>
      <c r="CW1129" s="265"/>
      <c r="CY1129" s="11"/>
      <c r="DA1129" s="12"/>
      <c r="DB1129" s="13"/>
      <c r="DC1129" s="14"/>
      <c r="DD1129" s="265"/>
      <c r="DE1129" s="265"/>
      <c r="DF1129" s="265"/>
      <c r="DH1129" s="15"/>
      <c r="DM1129" s="4"/>
    </row>
    <row r="1130" spans="2:117" ht="15" customHeight="1">
      <c r="B1130" s="10"/>
      <c r="C1130" s="17"/>
      <c r="E1130" s="25"/>
      <c r="F1130" s="35"/>
      <c r="J1130" s="20"/>
      <c r="K1130" s="1024"/>
      <c r="L1130" s="1025"/>
      <c r="M1130" s="1026"/>
      <c r="N1130" s="1026"/>
      <c r="O1130" s="265"/>
      <c r="P1130" s="265"/>
      <c r="T1130" s="265"/>
      <c r="U1130" s="265"/>
      <c r="V1130" s="265"/>
      <c r="X1130" s="1026"/>
      <c r="Y1130" s="265"/>
      <c r="Z1130" s="265"/>
      <c r="AA1130" s="265"/>
      <c r="AD1130" s="4"/>
      <c r="AE1130" s="1026"/>
      <c r="AF1130" s="265"/>
      <c r="AU1130" s="265"/>
      <c r="AV1130" s="265"/>
      <c r="AW1130" s="265"/>
      <c r="AX1130" s="265"/>
      <c r="AY1130" s="265"/>
      <c r="AZ1130" s="265"/>
      <c r="BA1130" s="265"/>
      <c r="BB1130" s="265"/>
      <c r="BC1130" s="265"/>
      <c r="BD1130" s="265"/>
      <c r="BE1130" s="265"/>
      <c r="BF1130" s="265"/>
      <c r="BG1130" s="265"/>
      <c r="BM1130" s="6"/>
      <c r="BN1130" s="6"/>
      <c r="BO1130" s="6"/>
      <c r="BP1130" s="1028"/>
      <c r="BT1130" s="6"/>
      <c r="BU1130" s="6"/>
      <c r="BV1130" s="6"/>
      <c r="BW1130" s="1029"/>
      <c r="BX1130" s="1028"/>
      <c r="CB1130" s="6"/>
      <c r="CC1130" s="6"/>
      <c r="CD1130" s="6"/>
      <c r="CE1130" s="1029"/>
      <c r="CJ1130" s="11"/>
      <c r="CM1130" s="11"/>
      <c r="CU1130" s="17"/>
      <c r="CV1130" s="265"/>
      <c r="CW1130" s="265"/>
      <c r="CY1130" s="11"/>
      <c r="DA1130" s="12"/>
      <c r="DB1130" s="13"/>
      <c r="DC1130" s="14"/>
      <c r="DD1130" s="265"/>
      <c r="DE1130" s="265"/>
      <c r="DF1130" s="265"/>
      <c r="DH1130" s="15"/>
      <c r="DM1130" s="4"/>
    </row>
    <row r="1131" spans="2:117" ht="15" customHeight="1">
      <c r="B1131" s="10"/>
      <c r="C1131" s="17"/>
      <c r="E1131" s="25"/>
      <c r="F1131" s="35"/>
      <c r="J1131" s="20"/>
      <c r="K1131" s="1024"/>
      <c r="L1131" s="1025"/>
      <c r="M1131" s="1026"/>
      <c r="N1131" s="1026"/>
      <c r="O1131" s="265"/>
      <c r="P1131" s="265"/>
      <c r="T1131" s="265"/>
      <c r="U1131" s="265"/>
      <c r="V1131" s="265"/>
      <c r="X1131" s="1026"/>
      <c r="Y1131" s="265"/>
      <c r="Z1131" s="265"/>
      <c r="AA1131" s="265"/>
      <c r="AD1131" s="4"/>
      <c r="AE1131" s="1026"/>
      <c r="AF1131" s="265"/>
      <c r="AU1131" s="265"/>
      <c r="AV1131" s="265"/>
      <c r="AW1131" s="265"/>
      <c r="AX1131" s="265"/>
      <c r="AY1131" s="265"/>
      <c r="AZ1131" s="265"/>
      <c r="BA1131" s="265"/>
      <c r="BB1131" s="265"/>
      <c r="BC1131" s="265"/>
      <c r="BD1131" s="265"/>
      <c r="BE1131" s="265"/>
      <c r="BF1131" s="265"/>
      <c r="BG1131" s="265"/>
      <c r="BM1131" s="6"/>
      <c r="BN1131" s="6"/>
      <c r="BO1131" s="6"/>
      <c r="BP1131" s="1028"/>
      <c r="BT1131" s="6"/>
      <c r="BU1131" s="6"/>
      <c r="BV1131" s="6"/>
      <c r="BW1131" s="1029"/>
      <c r="BX1131" s="1028"/>
      <c r="CB1131" s="6"/>
      <c r="CC1131" s="6"/>
      <c r="CD1131" s="6"/>
      <c r="CE1131" s="1029"/>
      <c r="CJ1131" s="11"/>
      <c r="CM1131" s="11"/>
      <c r="CU1131" s="17"/>
      <c r="CV1131" s="265"/>
      <c r="CW1131" s="265"/>
      <c r="CY1131" s="11"/>
      <c r="DA1131" s="12"/>
      <c r="DB1131" s="13"/>
      <c r="DC1131" s="14"/>
      <c r="DD1131" s="265"/>
      <c r="DE1131" s="265"/>
      <c r="DF1131" s="265"/>
      <c r="DH1131" s="15"/>
      <c r="DM1131" s="4"/>
    </row>
    <row r="1132" spans="2:117" ht="15" customHeight="1">
      <c r="B1132" s="10"/>
      <c r="C1132" s="17"/>
      <c r="E1132" s="25"/>
      <c r="F1132" s="35"/>
      <c r="J1132" s="20"/>
      <c r="K1132" s="1024"/>
      <c r="L1132" s="1025"/>
      <c r="M1132" s="1026"/>
      <c r="N1132" s="1026"/>
      <c r="O1132" s="265"/>
      <c r="P1132" s="265"/>
      <c r="T1132" s="265"/>
      <c r="U1132" s="265"/>
      <c r="V1132" s="265"/>
      <c r="X1132" s="1026"/>
      <c r="Y1132" s="265"/>
      <c r="Z1132" s="265"/>
      <c r="AA1132" s="265"/>
      <c r="AD1132" s="4"/>
      <c r="AE1132" s="1026"/>
      <c r="AF1132" s="265"/>
      <c r="AU1132" s="265"/>
      <c r="AV1132" s="265"/>
      <c r="AW1132" s="265"/>
      <c r="AX1132" s="265"/>
      <c r="AY1132" s="265"/>
      <c r="AZ1132" s="265"/>
      <c r="BA1132" s="265"/>
      <c r="BB1132" s="265"/>
      <c r="BC1132" s="265"/>
      <c r="BD1132" s="265"/>
      <c r="BE1132" s="265"/>
      <c r="BF1132" s="265"/>
      <c r="BG1132" s="265"/>
      <c r="BM1132" s="6"/>
      <c r="BN1132" s="6"/>
      <c r="BO1132" s="6"/>
      <c r="BP1132" s="1028"/>
      <c r="BT1132" s="6"/>
      <c r="BU1132" s="6"/>
      <c r="BV1132" s="6"/>
      <c r="BW1132" s="1029"/>
      <c r="BX1132" s="1028"/>
      <c r="CB1132" s="6"/>
      <c r="CC1132" s="6"/>
      <c r="CD1132" s="6"/>
      <c r="CE1132" s="1029"/>
      <c r="CJ1132" s="11"/>
      <c r="CM1132" s="11"/>
      <c r="CU1132" s="17"/>
      <c r="CV1132" s="265"/>
      <c r="CW1132" s="265"/>
      <c r="CY1132" s="11"/>
      <c r="DA1132" s="12"/>
      <c r="DB1132" s="13"/>
      <c r="DC1132" s="14"/>
      <c r="DD1132" s="265"/>
      <c r="DE1132" s="265"/>
      <c r="DF1132" s="265"/>
      <c r="DH1132" s="15"/>
      <c r="DM1132" s="4"/>
    </row>
    <row r="1133" spans="2:117" ht="15" customHeight="1">
      <c r="B1133" s="10"/>
      <c r="C1133" s="17"/>
      <c r="E1133" s="25"/>
      <c r="F1133" s="35"/>
      <c r="J1133" s="20"/>
      <c r="K1133" s="1024"/>
      <c r="L1133" s="1025"/>
      <c r="M1133" s="1026"/>
      <c r="N1133" s="1026"/>
      <c r="O1133" s="265"/>
      <c r="P1133" s="265"/>
      <c r="T1133" s="265"/>
      <c r="U1133" s="265"/>
      <c r="V1133" s="265"/>
      <c r="X1133" s="1026"/>
      <c r="Y1133" s="265"/>
      <c r="Z1133" s="265"/>
      <c r="AA1133" s="265"/>
      <c r="AD1133" s="4"/>
      <c r="AE1133" s="1026"/>
      <c r="AF1133" s="265"/>
      <c r="AU1133" s="265"/>
      <c r="AV1133" s="265"/>
      <c r="AW1133" s="265"/>
      <c r="AX1133" s="265"/>
      <c r="AY1133" s="265"/>
      <c r="AZ1133" s="265"/>
      <c r="BA1133" s="265"/>
      <c r="BB1133" s="265"/>
      <c r="BC1133" s="265"/>
      <c r="BD1133" s="265"/>
      <c r="BE1133" s="265"/>
      <c r="BF1133" s="265"/>
      <c r="BG1133" s="265"/>
      <c r="BM1133" s="6"/>
      <c r="BN1133" s="6"/>
      <c r="BO1133" s="6"/>
      <c r="BP1133" s="1028"/>
      <c r="BT1133" s="6"/>
      <c r="BU1133" s="6"/>
      <c r="BV1133" s="6"/>
      <c r="BW1133" s="1029"/>
      <c r="BX1133" s="1028"/>
      <c r="CB1133" s="6"/>
      <c r="CC1133" s="6"/>
      <c r="CD1133" s="6"/>
      <c r="CE1133" s="1029"/>
      <c r="CJ1133" s="11"/>
      <c r="CM1133" s="11"/>
      <c r="CU1133" s="17"/>
      <c r="CV1133" s="265"/>
      <c r="CW1133" s="265"/>
      <c r="CY1133" s="11"/>
      <c r="DA1133" s="12"/>
      <c r="DB1133" s="13"/>
      <c r="DC1133" s="14"/>
      <c r="DD1133" s="265"/>
      <c r="DE1133" s="265"/>
      <c r="DF1133" s="265"/>
      <c r="DH1133" s="15"/>
      <c r="DM1133" s="4"/>
    </row>
    <row r="1134" spans="2:117" ht="15" customHeight="1">
      <c r="B1134" s="10"/>
      <c r="C1134" s="17"/>
      <c r="E1134" s="25"/>
      <c r="F1134" s="35"/>
      <c r="J1134" s="20"/>
      <c r="K1134" s="1024"/>
      <c r="L1134" s="1025"/>
      <c r="M1134" s="1026"/>
      <c r="N1134" s="1026"/>
      <c r="O1134" s="265"/>
      <c r="P1134" s="265"/>
      <c r="T1134" s="265"/>
      <c r="U1134" s="265"/>
      <c r="V1134" s="265"/>
      <c r="X1134" s="1026"/>
      <c r="Y1134" s="265"/>
      <c r="Z1134" s="265"/>
      <c r="AA1134" s="265"/>
      <c r="AD1134" s="4"/>
      <c r="AE1134" s="1026"/>
      <c r="AF1134" s="265"/>
      <c r="AU1134" s="265"/>
      <c r="AV1134" s="265"/>
      <c r="AW1134" s="265"/>
      <c r="AX1134" s="265"/>
      <c r="AY1134" s="265"/>
      <c r="AZ1134" s="265"/>
      <c r="BA1134" s="265"/>
      <c r="BB1134" s="265"/>
      <c r="BC1134" s="265"/>
      <c r="BD1134" s="265"/>
      <c r="BE1134" s="265"/>
      <c r="BF1134" s="265"/>
      <c r="BG1134" s="265"/>
      <c r="BM1134" s="6"/>
      <c r="BN1134" s="6"/>
      <c r="BO1134" s="6"/>
      <c r="BP1134" s="1028"/>
      <c r="BT1134" s="6"/>
      <c r="BU1134" s="6"/>
      <c r="BV1134" s="6"/>
      <c r="BW1134" s="1029"/>
      <c r="BX1134" s="1028"/>
      <c r="CB1134" s="6"/>
      <c r="CC1134" s="6"/>
      <c r="CD1134" s="6"/>
      <c r="CE1134" s="1029"/>
      <c r="CJ1134" s="11"/>
      <c r="CM1134" s="11"/>
      <c r="CU1134" s="17"/>
      <c r="CV1134" s="265"/>
      <c r="CW1134" s="265"/>
      <c r="CY1134" s="11"/>
      <c r="DA1134" s="12"/>
      <c r="DB1134" s="13"/>
      <c r="DC1134" s="14"/>
      <c r="DD1134" s="265"/>
      <c r="DE1134" s="265"/>
      <c r="DF1134" s="265"/>
      <c r="DH1134" s="15"/>
      <c r="DM1134" s="4"/>
    </row>
    <row r="1135" spans="2:117" ht="15" customHeight="1">
      <c r="B1135" s="10"/>
      <c r="C1135" s="17"/>
      <c r="E1135" s="25"/>
      <c r="F1135" s="35"/>
      <c r="J1135" s="20"/>
      <c r="K1135" s="1024"/>
      <c r="L1135" s="1025"/>
      <c r="M1135" s="1026"/>
      <c r="N1135" s="1026"/>
      <c r="O1135" s="265"/>
      <c r="P1135" s="265"/>
      <c r="T1135" s="265"/>
      <c r="U1135" s="265"/>
      <c r="V1135" s="265"/>
      <c r="X1135" s="1026"/>
      <c r="Y1135" s="265"/>
      <c r="Z1135" s="265"/>
      <c r="AA1135" s="265"/>
      <c r="AD1135" s="4"/>
      <c r="AE1135" s="1026"/>
      <c r="AF1135" s="265"/>
      <c r="AU1135" s="265"/>
      <c r="AV1135" s="265"/>
      <c r="AW1135" s="265"/>
      <c r="AX1135" s="265"/>
      <c r="AY1135" s="265"/>
      <c r="AZ1135" s="265"/>
      <c r="BA1135" s="265"/>
      <c r="BB1135" s="265"/>
      <c r="BC1135" s="265"/>
      <c r="BD1135" s="265"/>
      <c r="BE1135" s="265"/>
      <c r="BF1135" s="265"/>
      <c r="BG1135" s="265"/>
      <c r="BM1135" s="6"/>
      <c r="BN1135" s="6"/>
      <c r="BO1135" s="6"/>
      <c r="BP1135" s="1028"/>
      <c r="BT1135" s="6"/>
      <c r="BU1135" s="6"/>
      <c r="BV1135" s="6"/>
      <c r="BW1135" s="1029"/>
      <c r="BX1135" s="1028"/>
      <c r="CB1135" s="6"/>
      <c r="CC1135" s="6"/>
      <c r="CD1135" s="6"/>
      <c r="CE1135" s="1029"/>
      <c r="CJ1135" s="11"/>
      <c r="CM1135" s="11"/>
      <c r="CU1135" s="17"/>
      <c r="CV1135" s="265"/>
      <c r="CW1135" s="265"/>
      <c r="CY1135" s="11"/>
      <c r="DA1135" s="12"/>
      <c r="DB1135" s="13"/>
      <c r="DC1135" s="14"/>
      <c r="DD1135" s="265"/>
      <c r="DE1135" s="265"/>
      <c r="DF1135" s="265"/>
      <c r="DH1135" s="15"/>
      <c r="DM1135" s="4"/>
    </row>
    <row r="1136" spans="2:117" ht="15" customHeight="1">
      <c r="B1136" s="10"/>
      <c r="C1136" s="17"/>
      <c r="E1136" s="25"/>
      <c r="F1136" s="35"/>
      <c r="J1136" s="20"/>
      <c r="K1136" s="1024"/>
      <c r="L1136" s="1025"/>
      <c r="M1136" s="1026"/>
      <c r="N1136" s="1026"/>
      <c r="O1136" s="265"/>
      <c r="P1136" s="265"/>
      <c r="T1136" s="265"/>
      <c r="U1136" s="265"/>
      <c r="V1136" s="265"/>
      <c r="X1136" s="1026"/>
      <c r="Y1136" s="265"/>
      <c r="Z1136" s="265"/>
      <c r="AA1136" s="265"/>
      <c r="AD1136" s="4"/>
      <c r="AE1136" s="1026"/>
      <c r="AF1136" s="265"/>
      <c r="AU1136" s="265"/>
      <c r="AV1136" s="265"/>
      <c r="AW1136" s="265"/>
      <c r="AX1136" s="265"/>
      <c r="AY1136" s="265"/>
      <c r="AZ1136" s="265"/>
      <c r="BA1136" s="265"/>
      <c r="BB1136" s="265"/>
      <c r="BC1136" s="265"/>
      <c r="BD1136" s="265"/>
      <c r="BE1136" s="265"/>
      <c r="BF1136" s="265"/>
      <c r="BG1136" s="265"/>
      <c r="BM1136" s="6"/>
      <c r="BN1136" s="6"/>
      <c r="BO1136" s="6"/>
      <c r="BP1136" s="1028"/>
      <c r="BT1136" s="6"/>
      <c r="BU1136" s="6"/>
      <c r="BV1136" s="6"/>
      <c r="BW1136" s="1029"/>
      <c r="BX1136" s="1028"/>
      <c r="CB1136" s="6"/>
      <c r="CC1136" s="6"/>
      <c r="CD1136" s="6"/>
      <c r="CE1136" s="1029"/>
      <c r="CJ1136" s="11"/>
      <c r="CM1136" s="11"/>
      <c r="CU1136" s="17"/>
      <c r="CV1136" s="265"/>
      <c r="CW1136" s="265"/>
      <c r="CY1136" s="11"/>
      <c r="DA1136" s="12"/>
      <c r="DB1136" s="13"/>
      <c r="DC1136" s="14"/>
      <c r="DD1136" s="265"/>
      <c r="DE1136" s="265"/>
      <c r="DF1136" s="265"/>
      <c r="DH1136" s="15"/>
      <c r="DM1136" s="4"/>
    </row>
    <row r="1137" spans="2:117" ht="15" customHeight="1">
      <c r="B1137" s="10"/>
      <c r="C1137" s="17"/>
      <c r="E1137" s="25"/>
      <c r="F1137" s="35"/>
      <c r="J1137" s="20"/>
      <c r="K1137" s="1024"/>
      <c r="L1137" s="1025"/>
      <c r="M1137" s="1026"/>
      <c r="N1137" s="1026"/>
      <c r="O1137" s="265"/>
      <c r="P1137" s="265"/>
      <c r="T1137" s="265"/>
      <c r="U1137" s="265"/>
      <c r="V1137" s="265"/>
      <c r="X1137" s="1026"/>
      <c r="Y1137" s="265"/>
      <c r="Z1137" s="265"/>
      <c r="AA1137" s="265"/>
      <c r="AD1137" s="4"/>
      <c r="AE1137" s="1026"/>
      <c r="AF1137" s="265"/>
      <c r="AU1137" s="265"/>
      <c r="AV1137" s="265"/>
      <c r="AW1137" s="265"/>
      <c r="AX1137" s="265"/>
      <c r="AY1137" s="265"/>
      <c r="AZ1137" s="265"/>
      <c r="BA1137" s="265"/>
      <c r="BB1137" s="265"/>
      <c r="BC1137" s="265"/>
      <c r="BD1137" s="265"/>
      <c r="BE1137" s="265"/>
      <c r="BF1137" s="265"/>
      <c r="BG1137" s="265"/>
      <c r="BM1137" s="6"/>
      <c r="BN1137" s="6"/>
      <c r="BO1137" s="6"/>
      <c r="BP1137" s="1028"/>
      <c r="BT1137" s="6"/>
      <c r="BU1137" s="6"/>
      <c r="BV1137" s="6"/>
      <c r="BW1137" s="1029"/>
      <c r="BX1137" s="1028"/>
      <c r="CB1137" s="6"/>
      <c r="CC1137" s="6"/>
      <c r="CD1137" s="6"/>
      <c r="CE1137" s="1029"/>
      <c r="CJ1137" s="11"/>
      <c r="CM1137" s="11"/>
      <c r="CU1137" s="17"/>
      <c r="CV1137" s="265"/>
      <c r="CW1137" s="265"/>
      <c r="CY1137" s="11"/>
      <c r="DA1137" s="12"/>
      <c r="DB1137" s="13"/>
      <c r="DC1137" s="14"/>
      <c r="DD1137" s="265"/>
      <c r="DE1137" s="265"/>
      <c r="DF1137" s="265"/>
      <c r="DH1137" s="15"/>
      <c r="DM1137" s="4"/>
    </row>
    <row r="1138" spans="2:117" ht="15" customHeight="1">
      <c r="B1138" s="10"/>
      <c r="C1138" s="17"/>
      <c r="E1138" s="25"/>
      <c r="F1138" s="35"/>
      <c r="J1138" s="20"/>
      <c r="K1138" s="1024"/>
      <c r="L1138" s="1025"/>
      <c r="M1138" s="1026"/>
      <c r="N1138" s="1026"/>
      <c r="O1138" s="265"/>
      <c r="P1138" s="265"/>
      <c r="T1138" s="265"/>
      <c r="U1138" s="265"/>
      <c r="V1138" s="265"/>
      <c r="X1138" s="1026"/>
      <c r="Y1138" s="265"/>
      <c r="Z1138" s="265"/>
      <c r="AA1138" s="265"/>
      <c r="AD1138" s="4"/>
      <c r="AE1138" s="1026"/>
      <c r="AF1138" s="265"/>
      <c r="AU1138" s="265"/>
      <c r="AV1138" s="265"/>
      <c r="AW1138" s="265"/>
      <c r="AX1138" s="265"/>
      <c r="AY1138" s="265"/>
      <c r="AZ1138" s="265"/>
      <c r="BA1138" s="265"/>
      <c r="BB1138" s="265"/>
      <c r="BC1138" s="265"/>
      <c r="BD1138" s="265"/>
      <c r="BE1138" s="265"/>
      <c r="BF1138" s="265"/>
      <c r="BG1138" s="265"/>
      <c r="BM1138" s="6"/>
      <c r="BN1138" s="6"/>
      <c r="BO1138" s="6"/>
      <c r="BP1138" s="1028"/>
      <c r="BT1138" s="6"/>
      <c r="BU1138" s="6"/>
      <c r="BV1138" s="6"/>
      <c r="BW1138" s="1029"/>
      <c r="BX1138" s="1028"/>
      <c r="CB1138" s="6"/>
      <c r="CC1138" s="6"/>
      <c r="CD1138" s="6"/>
      <c r="CE1138" s="1029"/>
      <c r="CJ1138" s="11"/>
      <c r="CM1138" s="11"/>
      <c r="CU1138" s="17"/>
      <c r="CV1138" s="265"/>
      <c r="CW1138" s="265"/>
      <c r="CY1138" s="11"/>
      <c r="DA1138" s="12"/>
      <c r="DB1138" s="13"/>
      <c r="DC1138" s="14"/>
      <c r="DD1138" s="265"/>
      <c r="DE1138" s="265"/>
      <c r="DF1138" s="265"/>
      <c r="DH1138" s="15"/>
      <c r="DM1138" s="4"/>
    </row>
    <row r="1139" spans="2:117" ht="15" customHeight="1">
      <c r="B1139" s="10"/>
      <c r="C1139" s="17"/>
      <c r="E1139" s="25"/>
      <c r="F1139" s="35"/>
      <c r="J1139" s="20"/>
      <c r="K1139" s="1024"/>
      <c r="L1139" s="1025"/>
      <c r="M1139" s="1026"/>
      <c r="N1139" s="1026"/>
      <c r="O1139" s="265"/>
      <c r="P1139" s="265"/>
      <c r="T1139" s="265"/>
      <c r="U1139" s="265"/>
      <c r="V1139" s="265"/>
      <c r="X1139" s="1026"/>
      <c r="Y1139" s="265"/>
      <c r="Z1139" s="265"/>
      <c r="AA1139" s="265"/>
      <c r="AD1139" s="4"/>
      <c r="AE1139" s="1026"/>
      <c r="AF1139" s="265"/>
      <c r="AU1139" s="265"/>
      <c r="AV1139" s="265"/>
      <c r="AW1139" s="265"/>
      <c r="AX1139" s="265"/>
      <c r="AY1139" s="265"/>
      <c r="AZ1139" s="265"/>
      <c r="BA1139" s="265"/>
      <c r="BB1139" s="265"/>
      <c r="BC1139" s="265"/>
      <c r="BD1139" s="265"/>
      <c r="BE1139" s="265"/>
      <c r="BF1139" s="265"/>
      <c r="BG1139" s="265"/>
      <c r="BM1139" s="6"/>
      <c r="BN1139" s="6"/>
      <c r="BO1139" s="6"/>
      <c r="BP1139" s="1028"/>
      <c r="BT1139" s="6"/>
      <c r="BU1139" s="6"/>
      <c r="BV1139" s="6"/>
      <c r="BW1139" s="1029"/>
      <c r="BX1139" s="1028"/>
      <c r="CB1139" s="6"/>
      <c r="CC1139" s="6"/>
      <c r="CD1139" s="6"/>
      <c r="CE1139" s="1029"/>
      <c r="CJ1139" s="11"/>
      <c r="CM1139" s="11"/>
      <c r="CU1139" s="17"/>
      <c r="CV1139" s="265"/>
      <c r="CW1139" s="265"/>
      <c r="CY1139" s="11"/>
      <c r="DA1139" s="12"/>
      <c r="DB1139" s="13"/>
      <c r="DC1139" s="14"/>
      <c r="DD1139" s="265"/>
      <c r="DE1139" s="265"/>
      <c r="DF1139" s="265"/>
      <c r="DH1139" s="15"/>
      <c r="DM1139" s="4"/>
    </row>
    <row r="1140" spans="2:117" ht="15" customHeight="1">
      <c r="B1140" s="10"/>
      <c r="C1140" s="17"/>
      <c r="E1140" s="25"/>
      <c r="F1140" s="35"/>
      <c r="J1140" s="20"/>
      <c r="K1140" s="1024"/>
      <c r="L1140" s="1025"/>
      <c r="M1140" s="1026"/>
      <c r="N1140" s="1026"/>
      <c r="O1140" s="265"/>
      <c r="P1140" s="265"/>
      <c r="T1140" s="265"/>
      <c r="U1140" s="265"/>
      <c r="V1140" s="265"/>
      <c r="X1140" s="1026"/>
      <c r="Y1140" s="265"/>
      <c r="Z1140" s="265"/>
      <c r="AA1140" s="265"/>
      <c r="AD1140" s="4"/>
      <c r="AE1140" s="1026"/>
      <c r="AF1140" s="265"/>
      <c r="AU1140" s="265"/>
      <c r="AV1140" s="265"/>
      <c r="AW1140" s="265"/>
      <c r="AX1140" s="265"/>
      <c r="AY1140" s="265"/>
      <c r="AZ1140" s="265"/>
      <c r="BA1140" s="265"/>
      <c r="BB1140" s="265"/>
      <c r="BC1140" s="265"/>
      <c r="BD1140" s="265"/>
      <c r="BE1140" s="265"/>
      <c r="BF1140" s="265"/>
      <c r="BG1140" s="265"/>
      <c r="BM1140" s="6"/>
      <c r="BN1140" s="6"/>
      <c r="BO1140" s="6"/>
      <c r="BP1140" s="1028"/>
      <c r="BT1140" s="6"/>
      <c r="BU1140" s="6"/>
      <c r="BV1140" s="6"/>
      <c r="BW1140" s="1029"/>
      <c r="BX1140" s="1028"/>
      <c r="CB1140" s="6"/>
      <c r="CC1140" s="6"/>
      <c r="CD1140" s="6"/>
      <c r="CE1140" s="1029"/>
      <c r="CJ1140" s="11"/>
      <c r="CM1140" s="11"/>
      <c r="CU1140" s="17"/>
      <c r="CV1140" s="265"/>
      <c r="CW1140" s="265"/>
      <c r="CY1140" s="11"/>
      <c r="DA1140" s="12"/>
      <c r="DB1140" s="13"/>
      <c r="DC1140" s="14"/>
      <c r="DD1140" s="265"/>
      <c r="DE1140" s="265"/>
      <c r="DF1140" s="265"/>
      <c r="DH1140" s="15"/>
      <c r="DM1140" s="4"/>
    </row>
    <row r="1141" spans="2:117" ht="15" customHeight="1">
      <c r="B1141" s="10"/>
      <c r="C1141" s="17"/>
      <c r="E1141" s="25"/>
      <c r="F1141" s="35"/>
      <c r="J1141" s="20"/>
      <c r="K1141" s="1024"/>
      <c r="L1141" s="1025"/>
      <c r="M1141" s="1026"/>
      <c r="N1141" s="1026"/>
      <c r="O1141" s="265"/>
      <c r="P1141" s="265"/>
      <c r="T1141" s="265"/>
      <c r="U1141" s="265"/>
      <c r="V1141" s="265"/>
      <c r="X1141" s="1026"/>
      <c r="Y1141" s="265"/>
      <c r="Z1141" s="265"/>
      <c r="AA1141" s="265"/>
      <c r="AD1141" s="4"/>
      <c r="AE1141" s="1026"/>
      <c r="AF1141" s="265"/>
      <c r="AU1141" s="265"/>
      <c r="AV1141" s="265"/>
      <c r="AW1141" s="265"/>
      <c r="AX1141" s="265"/>
      <c r="AY1141" s="265"/>
      <c r="AZ1141" s="265"/>
      <c r="BA1141" s="265"/>
      <c r="BB1141" s="265"/>
      <c r="BC1141" s="265"/>
      <c r="BD1141" s="265"/>
      <c r="BE1141" s="265"/>
      <c r="BF1141" s="265"/>
      <c r="BG1141" s="265"/>
      <c r="BM1141" s="6"/>
      <c r="BN1141" s="6"/>
      <c r="BO1141" s="6"/>
      <c r="BP1141" s="1028"/>
      <c r="BT1141" s="6"/>
      <c r="BU1141" s="6"/>
      <c r="BV1141" s="6"/>
      <c r="BW1141" s="1029"/>
      <c r="BX1141" s="1028"/>
      <c r="CB1141" s="6"/>
      <c r="CC1141" s="6"/>
      <c r="CD1141" s="6"/>
      <c r="CE1141" s="1029"/>
      <c r="CJ1141" s="11"/>
      <c r="CM1141" s="11"/>
      <c r="CU1141" s="17"/>
      <c r="CV1141" s="265"/>
      <c r="CW1141" s="265"/>
      <c r="CY1141" s="11"/>
      <c r="DA1141" s="12"/>
      <c r="DB1141" s="13"/>
      <c r="DC1141" s="14"/>
      <c r="DD1141" s="265"/>
      <c r="DE1141" s="265"/>
      <c r="DF1141" s="265"/>
      <c r="DH1141" s="15"/>
      <c r="DM1141" s="4"/>
    </row>
    <row r="1142" spans="2:117" ht="15" customHeight="1">
      <c r="B1142" s="10"/>
      <c r="C1142" s="17"/>
      <c r="E1142" s="25"/>
      <c r="F1142" s="35"/>
      <c r="J1142" s="20"/>
      <c r="K1142" s="1024"/>
      <c r="L1142" s="1025"/>
      <c r="M1142" s="1026"/>
      <c r="N1142" s="1026"/>
      <c r="O1142" s="265"/>
      <c r="P1142" s="265"/>
      <c r="T1142" s="265"/>
      <c r="U1142" s="265"/>
      <c r="V1142" s="265"/>
      <c r="X1142" s="1026"/>
      <c r="Y1142" s="265"/>
      <c r="Z1142" s="265"/>
      <c r="AA1142" s="265"/>
      <c r="AD1142" s="4"/>
      <c r="AE1142" s="1026"/>
      <c r="AF1142" s="265"/>
      <c r="AU1142" s="265"/>
      <c r="AV1142" s="265"/>
      <c r="AW1142" s="265"/>
      <c r="AX1142" s="265"/>
      <c r="AY1142" s="265"/>
      <c r="AZ1142" s="265"/>
      <c r="BA1142" s="265"/>
      <c r="BB1142" s="265"/>
      <c r="BC1142" s="265"/>
      <c r="BD1142" s="265"/>
      <c r="BE1142" s="265"/>
      <c r="BF1142" s="265"/>
      <c r="BG1142" s="265"/>
      <c r="BM1142" s="6"/>
      <c r="BN1142" s="6"/>
      <c r="BO1142" s="6"/>
      <c r="BP1142" s="1028"/>
      <c r="BT1142" s="6"/>
      <c r="BU1142" s="6"/>
      <c r="BV1142" s="6"/>
      <c r="BW1142" s="1029"/>
      <c r="BX1142" s="1028"/>
      <c r="CB1142" s="6"/>
      <c r="CC1142" s="6"/>
      <c r="CD1142" s="6"/>
      <c r="CE1142" s="1029"/>
      <c r="CJ1142" s="11"/>
      <c r="CM1142" s="11"/>
      <c r="CU1142" s="17"/>
      <c r="CV1142" s="265"/>
      <c r="CW1142" s="265"/>
      <c r="CY1142" s="11"/>
      <c r="DA1142" s="12"/>
      <c r="DB1142" s="13"/>
      <c r="DC1142" s="14"/>
      <c r="DD1142" s="265"/>
      <c r="DE1142" s="265"/>
      <c r="DF1142" s="265"/>
      <c r="DH1142" s="15"/>
      <c r="DM1142" s="4"/>
    </row>
    <row r="1143" spans="2:117" ht="15" customHeight="1">
      <c r="B1143" s="10"/>
      <c r="C1143" s="17"/>
      <c r="E1143" s="25"/>
      <c r="F1143" s="35"/>
      <c r="J1143" s="20"/>
      <c r="K1143" s="1024"/>
      <c r="L1143" s="1025"/>
      <c r="M1143" s="1026"/>
      <c r="N1143" s="1026"/>
      <c r="O1143" s="265"/>
      <c r="P1143" s="265"/>
      <c r="T1143" s="265"/>
      <c r="U1143" s="265"/>
      <c r="V1143" s="265"/>
      <c r="X1143" s="1026"/>
      <c r="Y1143" s="265"/>
      <c r="Z1143" s="265"/>
      <c r="AA1143" s="265"/>
      <c r="AD1143" s="4"/>
      <c r="AE1143" s="1026"/>
      <c r="AF1143" s="265"/>
      <c r="AU1143" s="265"/>
      <c r="AV1143" s="265"/>
      <c r="AW1143" s="265"/>
      <c r="AX1143" s="265"/>
      <c r="AY1143" s="265"/>
      <c r="AZ1143" s="265"/>
      <c r="BA1143" s="265"/>
      <c r="BB1143" s="265"/>
      <c r="BC1143" s="265"/>
      <c r="BD1143" s="265"/>
      <c r="BE1143" s="265"/>
      <c r="BF1143" s="265"/>
      <c r="BG1143" s="265"/>
      <c r="BM1143" s="6"/>
      <c r="BN1143" s="6"/>
      <c r="BO1143" s="6"/>
      <c r="BP1143" s="1028"/>
      <c r="BT1143" s="6"/>
      <c r="BU1143" s="6"/>
      <c r="BV1143" s="6"/>
      <c r="BW1143" s="1029"/>
      <c r="BX1143" s="1028"/>
      <c r="CB1143" s="6"/>
      <c r="CC1143" s="6"/>
      <c r="CD1143" s="6"/>
      <c r="CE1143" s="1029"/>
      <c r="CJ1143" s="11"/>
      <c r="CM1143" s="11"/>
      <c r="CU1143" s="17"/>
      <c r="CV1143" s="265"/>
      <c r="CW1143" s="265"/>
      <c r="CY1143" s="11"/>
      <c r="DA1143" s="12"/>
      <c r="DB1143" s="13"/>
      <c r="DC1143" s="14"/>
      <c r="DD1143" s="265"/>
      <c r="DE1143" s="265"/>
      <c r="DF1143" s="265"/>
      <c r="DH1143" s="15"/>
      <c r="DM1143" s="4"/>
    </row>
    <row r="1144" spans="2:117" ht="15" customHeight="1">
      <c r="B1144" s="10"/>
      <c r="C1144" s="17"/>
      <c r="E1144" s="25"/>
      <c r="F1144" s="35"/>
      <c r="J1144" s="20"/>
      <c r="K1144" s="1024"/>
      <c r="L1144" s="1025"/>
      <c r="M1144" s="1026"/>
      <c r="N1144" s="1026"/>
      <c r="O1144" s="265"/>
      <c r="P1144" s="265"/>
      <c r="T1144" s="265"/>
      <c r="U1144" s="265"/>
      <c r="V1144" s="265"/>
      <c r="X1144" s="1026"/>
      <c r="Y1144" s="265"/>
      <c r="Z1144" s="265"/>
      <c r="AA1144" s="265"/>
      <c r="AD1144" s="4"/>
      <c r="AE1144" s="1026"/>
      <c r="AF1144" s="265"/>
      <c r="AU1144" s="265"/>
      <c r="AV1144" s="265"/>
      <c r="AW1144" s="265"/>
      <c r="AX1144" s="265"/>
      <c r="AY1144" s="265"/>
      <c r="AZ1144" s="265"/>
      <c r="BA1144" s="265"/>
      <c r="BB1144" s="265"/>
      <c r="BC1144" s="265"/>
      <c r="BD1144" s="265"/>
      <c r="BE1144" s="265"/>
      <c r="BF1144" s="265"/>
      <c r="BG1144" s="265"/>
      <c r="BM1144" s="6"/>
      <c r="BN1144" s="6"/>
      <c r="BO1144" s="6"/>
      <c r="BP1144" s="1028"/>
      <c r="BT1144" s="6"/>
      <c r="BU1144" s="6"/>
      <c r="BV1144" s="6"/>
      <c r="BW1144" s="1029"/>
      <c r="BX1144" s="1028"/>
      <c r="CB1144" s="6"/>
      <c r="CC1144" s="6"/>
      <c r="CD1144" s="6"/>
      <c r="CE1144" s="1029"/>
      <c r="CJ1144" s="11"/>
      <c r="CM1144" s="11"/>
      <c r="CU1144" s="17"/>
      <c r="CV1144" s="265"/>
      <c r="CW1144" s="265"/>
      <c r="CY1144" s="11"/>
      <c r="DA1144" s="12"/>
      <c r="DB1144" s="13"/>
      <c r="DC1144" s="14"/>
      <c r="DD1144" s="265"/>
      <c r="DE1144" s="265"/>
      <c r="DF1144" s="265"/>
      <c r="DH1144" s="15"/>
      <c r="DM1144" s="4"/>
    </row>
    <row r="1145" spans="2:117" ht="15" customHeight="1">
      <c r="B1145" s="10"/>
      <c r="C1145" s="17"/>
      <c r="E1145" s="25"/>
      <c r="F1145" s="35"/>
      <c r="J1145" s="20"/>
      <c r="K1145" s="1024"/>
      <c r="L1145" s="1025"/>
      <c r="M1145" s="1026"/>
      <c r="N1145" s="1026"/>
      <c r="O1145" s="265"/>
      <c r="P1145" s="265"/>
      <c r="T1145" s="265"/>
      <c r="U1145" s="265"/>
      <c r="V1145" s="265"/>
      <c r="X1145" s="1026"/>
      <c r="Y1145" s="265"/>
      <c r="Z1145" s="265"/>
      <c r="AA1145" s="265"/>
      <c r="AD1145" s="4"/>
      <c r="AE1145" s="1026"/>
      <c r="AF1145" s="265"/>
      <c r="AU1145" s="265"/>
      <c r="AV1145" s="265"/>
      <c r="AW1145" s="265"/>
      <c r="AX1145" s="265"/>
      <c r="AY1145" s="265"/>
      <c r="AZ1145" s="265"/>
      <c r="BA1145" s="265"/>
      <c r="BB1145" s="265"/>
      <c r="BC1145" s="265"/>
      <c r="BD1145" s="265"/>
      <c r="BE1145" s="265"/>
      <c r="BF1145" s="265"/>
      <c r="BG1145" s="265"/>
      <c r="BM1145" s="6"/>
      <c r="BN1145" s="6"/>
      <c r="BO1145" s="6"/>
      <c r="BP1145" s="1028"/>
      <c r="BT1145" s="6"/>
      <c r="BU1145" s="6"/>
      <c r="BV1145" s="6"/>
      <c r="BW1145" s="1029"/>
      <c r="BX1145" s="1028"/>
      <c r="CB1145" s="6"/>
      <c r="CC1145" s="6"/>
      <c r="CD1145" s="6"/>
      <c r="CE1145" s="1029"/>
      <c r="CJ1145" s="11"/>
      <c r="CM1145" s="11"/>
      <c r="CU1145" s="17"/>
      <c r="CV1145" s="265"/>
      <c r="CW1145" s="265"/>
      <c r="CY1145" s="11"/>
      <c r="DA1145" s="12"/>
      <c r="DB1145" s="13"/>
      <c r="DC1145" s="14"/>
      <c r="DD1145" s="265"/>
      <c r="DE1145" s="265"/>
      <c r="DF1145" s="265"/>
      <c r="DH1145" s="15"/>
      <c r="DM1145" s="4"/>
    </row>
    <row r="1146" spans="2:117" ht="15" customHeight="1">
      <c r="B1146" s="10"/>
      <c r="C1146" s="17"/>
      <c r="E1146" s="25"/>
      <c r="F1146" s="35"/>
      <c r="J1146" s="20"/>
      <c r="K1146" s="1024"/>
      <c r="L1146" s="1025"/>
      <c r="M1146" s="1026"/>
      <c r="N1146" s="1026"/>
      <c r="O1146" s="265"/>
      <c r="P1146" s="265"/>
      <c r="T1146" s="265"/>
      <c r="U1146" s="265"/>
      <c r="V1146" s="265"/>
      <c r="X1146" s="1026"/>
      <c r="Y1146" s="265"/>
      <c r="Z1146" s="265"/>
      <c r="AA1146" s="265"/>
      <c r="AD1146" s="4"/>
      <c r="AE1146" s="1026"/>
      <c r="AF1146" s="265"/>
      <c r="AU1146" s="265"/>
      <c r="AV1146" s="265"/>
      <c r="AW1146" s="265"/>
      <c r="AX1146" s="265"/>
      <c r="AY1146" s="265"/>
      <c r="AZ1146" s="265"/>
      <c r="BA1146" s="265"/>
      <c r="BB1146" s="265"/>
      <c r="BC1146" s="265"/>
      <c r="BD1146" s="265"/>
      <c r="BE1146" s="265"/>
      <c r="BF1146" s="265"/>
      <c r="BG1146" s="265"/>
      <c r="BM1146" s="6"/>
      <c r="BN1146" s="6"/>
      <c r="BO1146" s="6"/>
      <c r="BP1146" s="1028"/>
      <c r="BT1146" s="6"/>
      <c r="BU1146" s="6"/>
      <c r="BV1146" s="6"/>
      <c r="BW1146" s="1029"/>
      <c r="BX1146" s="1028"/>
      <c r="CB1146" s="6"/>
      <c r="CC1146" s="6"/>
      <c r="CD1146" s="6"/>
      <c r="CE1146" s="1029"/>
      <c r="CJ1146" s="11"/>
      <c r="CM1146" s="11"/>
      <c r="CU1146" s="17"/>
      <c r="CV1146" s="265"/>
      <c r="CW1146" s="265"/>
      <c r="CY1146" s="11"/>
      <c r="DA1146" s="12"/>
      <c r="DB1146" s="13"/>
      <c r="DC1146" s="14"/>
      <c r="DD1146" s="265"/>
      <c r="DE1146" s="265"/>
      <c r="DF1146" s="265"/>
      <c r="DH1146" s="15"/>
      <c r="DM1146" s="4"/>
    </row>
    <row r="1147" spans="2:117" ht="15" customHeight="1">
      <c r="B1147" s="10"/>
      <c r="C1147" s="17"/>
      <c r="E1147" s="25"/>
      <c r="F1147" s="35"/>
      <c r="J1147" s="20"/>
      <c r="K1147" s="1024"/>
      <c r="L1147" s="1025"/>
      <c r="M1147" s="1026"/>
      <c r="N1147" s="1026"/>
      <c r="O1147" s="265"/>
      <c r="P1147" s="265"/>
      <c r="T1147" s="265"/>
      <c r="U1147" s="265"/>
      <c r="V1147" s="265"/>
      <c r="X1147" s="1026"/>
      <c r="Y1147" s="265"/>
      <c r="Z1147" s="265"/>
      <c r="AA1147" s="265"/>
      <c r="AD1147" s="4"/>
      <c r="AE1147" s="1026"/>
      <c r="AF1147" s="265"/>
      <c r="AU1147" s="265"/>
      <c r="AV1147" s="265"/>
      <c r="AW1147" s="265"/>
      <c r="AX1147" s="265"/>
      <c r="AY1147" s="265"/>
      <c r="AZ1147" s="265"/>
      <c r="BA1147" s="265"/>
      <c r="BB1147" s="265"/>
      <c r="BC1147" s="265"/>
      <c r="BD1147" s="265"/>
      <c r="BE1147" s="265"/>
      <c r="BF1147" s="265"/>
      <c r="BG1147" s="265"/>
      <c r="BM1147" s="6"/>
      <c r="BN1147" s="6"/>
      <c r="BO1147" s="6"/>
      <c r="BP1147" s="1028"/>
      <c r="BT1147" s="6"/>
      <c r="BU1147" s="6"/>
      <c r="BV1147" s="6"/>
      <c r="BW1147" s="1029"/>
      <c r="BX1147" s="1028"/>
      <c r="CB1147" s="6"/>
      <c r="CC1147" s="6"/>
      <c r="CD1147" s="6"/>
      <c r="CE1147" s="1029"/>
      <c r="CJ1147" s="11"/>
      <c r="CM1147" s="11"/>
      <c r="CU1147" s="17"/>
      <c r="CV1147" s="265"/>
      <c r="CW1147" s="265"/>
      <c r="CY1147" s="11"/>
      <c r="DA1147" s="12"/>
      <c r="DB1147" s="13"/>
      <c r="DC1147" s="14"/>
      <c r="DD1147" s="265"/>
      <c r="DE1147" s="265"/>
      <c r="DF1147" s="265"/>
      <c r="DH1147" s="15"/>
      <c r="DM1147" s="4"/>
    </row>
    <row r="1148" spans="2:117" ht="15" customHeight="1">
      <c r="B1148" s="10"/>
      <c r="C1148" s="17"/>
      <c r="E1148" s="25"/>
      <c r="F1148" s="35"/>
      <c r="J1148" s="20"/>
      <c r="K1148" s="1024"/>
      <c r="L1148" s="1025"/>
      <c r="M1148" s="1026"/>
      <c r="N1148" s="1026"/>
      <c r="O1148" s="265"/>
      <c r="P1148" s="265"/>
      <c r="T1148" s="265"/>
      <c r="U1148" s="265"/>
      <c r="V1148" s="265"/>
      <c r="X1148" s="1026"/>
      <c r="Y1148" s="265"/>
      <c r="Z1148" s="265"/>
      <c r="AA1148" s="265"/>
      <c r="AD1148" s="4"/>
      <c r="AE1148" s="1026"/>
      <c r="AF1148" s="265"/>
      <c r="BM1148" s="6"/>
      <c r="BN1148" s="6"/>
      <c r="BO1148" s="6"/>
      <c r="BP1148" s="1028"/>
      <c r="BT1148" s="6"/>
      <c r="BU1148" s="6"/>
      <c r="BV1148" s="6"/>
      <c r="BW1148" s="1029"/>
      <c r="BX1148" s="1028"/>
      <c r="CB1148" s="6"/>
      <c r="CC1148" s="6"/>
      <c r="CD1148" s="6"/>
      <c r="CE1148" s="1029"/>
      <c r="CJ1148" s="11"/>
      <c r="CM1148" s="11"/>
      <c r="CU1148" s="17"/>
      <c r="CV1148" s="265"/>
      <c r="CW1148" s="265"/>
      <c r="CY1148" s="11"/>
      <c r="DA1148" s="12"/>
      <c r="DB1148" s="13"/>
      <c r="DC1148" s="14"/>
      <c r="DD1148" s="265"/>
      <c r="DE1148" s="265"/>
      <c r="DF1148" s="265"/>
      <c r="DH1148" s="15"/>
      <c r="DM1148" s="4"/>
    </row>
    <row r="1149" spans="2:117" ht="12.75">
      <c r="B1149" s="10"/>
      <c r="C1149" s="17"/>
      <c r="E1149" s="25"/>
      <c r="F1149" s="35"/>
      <c r="J1149" s="20"/>
      <c r="K1149" s="29"/>
      <c r="L1149" s="22"/>
      <c r="M1149" s="5"/>
      <c r="AD1149" s="4"/>
      <c r="AE1149" s="5"/>
      <c r="BM1149" s="6"/>
      <c r="BN1149" s="7"/>
      <c r="BO1149" s="7"/>
      <c r="BT1149" s="6"/>
      <c r="BU1149" s="6"/>
      <c r="BV1149" s="6"/>
      <c r="BW1149" s="8"/>
      <c r="BX1149" s="9"/>
      <c r="CB1149" s="6"/>
      <c r="CC1149" s="10"/>
      <c r="CD1149" s="10"/>
      <c r="CE1149" s="8"/>
      <c r="CU1149" s="4"/>
      <c r="CY1149" s="11"/>
      <c r="DA1149" s="12"/>
      <c r="DB1149" s="13"/>
      <c r="DC1149" s="14"/>
      <c r="DH1149" s="15"/>
      <c r="DM1149" s="4"/>
    </row>
    <row r="1150" spans="2:117" ht="12.75">
      <c r="B1150" s="10"/>
      <c r="C1150" s="17"/>
      <c r="E1150" s="25"/>
      <c r="F1150" s="35"/>
      <c r="J1150" s="20"/>
      <c r="K1150" s="29"/>
      <c r="L1150" s="22"/>
      <c r="M1150" s="5"/>
      <c r="AD1150" s="4"/>
      <c r="AE1150" s="5"/>
      <c r="BM1150" s="6"/>
      <c r="BN1150" s="7"/>
      <c r="BO1150" s="7"/>
      <c r="BT1150" s="6"/>
      <c r="BU1150" s="6"/>
      <c r="BV1150" s="6"/>
      <c r="BW1150" s="8"/>
      <c r="BX1150" s="9"/>
      <c r="CB1150" s="6"/>
      <c r="CC1150" s="10"/>
      <c r="CD1150" s="10"/>
      <c r="CE1150" s="8"/>
      <c r="CU1150" s="4"/>
      <c r="CY1150" s="11"/>
      <c r="DA1150" s="12"/>
      <c r="DB1150" s="13"/>
      <c r="DC1150" s="14"/>
      <c r="DH1150" s="15"/>
      <c r="DM1150" s="4"/>
    </row>
    <row r="1151" spans="2:117" ht="12.75">
      <c r="B1151" s="10"/>
      <c r="C1151" s="17"/>
      <c r="E1151" s="25"/>
      <c r="F1151" s="35"/>
      <c r="J1151" s="20"/>
      <c r="K1151" s="29"/>
      <c r="L1151" s="22"/>
      <c r="M1151" s="5"/>
      <c r="AD1151" s="4"/>
      <c r="AE1151" s="5"/>
      <c r="BM1151" s="6"/>
      <c r="BN1151" s="7"/>
      <c r="BO1151" s="7"/>
      <c r="BT1151" s="6"/>
      <c r="BU1151" s="6"/>
      <c r="BV1151" s="6"/>
      <c r="BW1151" s="8"/>
      <c r="BX1151" s="9"/>
      <c r="CB1151" s="6"/>
      <c r="CC1151" s="10"/>
      <c r="CD1151" s="10"/>
      <c r="CE1151" s="8"/>
      <c r="CU1151" s="4"/>
      <c r="CY1151" s="11"/>
      <c r="DA1151" s="12"/>
      <c r="DB1151" s="13"/>
      <c r="DC1151" s="14"/>
      <c r="DH1151" s="15"/>
      <c r="DM1151" s="4"/>
    </row>
    <row r="1152" spans="2:117" ht="12.75">
      <c r="B1152" s="10"/>
      <c r="C1152" s="17"/>
      <c r="E1152" s="25"/>
      <c r="F1152" s="35"/>
      <c r="J1152" s="20"/>
      <c r="K1152" s="29"/>
      <c r="L1152" s="22"/>
      <c r="M1152" s="5"/>
      <c r="AD1152" s="4"/>
      <c r="AE1152" s="5"/>
      <c r="BM1152" s="6"/>
      <c r="BN1152" s="7"/>
      <c r="BO1152" s="7"/>
      <c r="BT1152" s="6"/>
      <c r="BU1152" s="6"/>
      <c r="BV1152" s="6"/>
      <c r="BW1152" s="8"/>
      <c r="BX1152" s="9"/>
      <c r="CB1152" s="6"/>
      <c r="CC1152" s="10"/>
      <c r="CD1152" s="10"/>
      <c r="CE1152" s="8"/>
      <c r="CU1152" s="4"/>
      <c r="CY1152" s="11"/>
      <c r="DA1152" s="12"/>
      <c r="DB1152" s="13"/>
      <c r="DC1152" s="14"/>
      <c r="DH1152" s="15"/>
      <c r="DM1152" s="4"/>
    </row>
    <row r="1153" spans="2:117" ht="12.75">
      <c r="B1153" s="10"/>
      <c r="C1153" s="17"/>
      <c r="E1153" s="25"/>
      <c r="F1153" s="35"/>
      <c r="J1153" s="20"/>
      <c r="K1153" s="29"/>
      <c r="L1153" s="22"/>
      <c r="M1153" s="5"/>
      <c r="AD1153" s="4"/>
      <c r="AE1153" s="5"/>
      <c r="BM1153" s="6"/>
      <c r="BN1153" s="7"/>
      <c r="BO1153" s="7"/>
      <c r="BT1153" s="6"/>
      <c r="BU1153" s="6"/>
      <c r="BV1153" s="6"/>
      <c r="BW1153" s="8"/>
      <c r="BX1153" s="9"/>
      <c r="CB1153" s="6"/>
      <c r="CC1153" s="10"/>
      <c r="CD1153" s="10"/>
      <c r="CE1153" s="8"/>
      <c r="CU1153" s="4"/>
      <c r="CY1153" s="11"/>
      <c r="DA1153" s="12"/>
      <c r="DB1153" s="13"/>
      <c r="DC1153" s="14"/>
      <c r="DH1153" s="15"/>
      <c r="DM1153" s="4"/>
    </row>
    <row r="1154" spans="2:117" ht="12.75">
      <c r="B1154" s="10"/>
      <c r="C1154" s="17"/>
      <c r="E1154" s="25"/>
      <c r="F1154" s="35"/>
      <c r="J1154" s="20"/>
      <c r="K1154" s="29"/>
      <c r="L1154" s="22"/>
      <c r="M1154" s="5"/>
      <c r="AD1154" s="4"/>
      <c r="AE1154" s="5"/>
      <c r="BM1154" s="6"/>
      <c r="BN1154" s="7"/>
      <c r="BO1154" s="7"/>
      <c r="BT1154" s="6"/>
      <c r="BU1154" s="6"/>
      <c r="BV1154" s="6"/>
      <c r="BW1154" s="8"/>
      <c r="BX1154" s="9"/>
      <c r="CB1154" s="6"/>
      <c r="CC1154" s="10"/>
      <c r="CD1154" s="10"/>
      <c r="CE1154" s="8"/>
      <c r="CU1154" s="4"/>
      <c r="CY1154" s="11"/>
      <c r="DA1154" s="12"/>
      <c r="DB1154" s="13"/>
      <c r="DC1154" s="14"/>
      <c r="DH1154" s="15"/>
      <c r="DM1154" s="4"/>
    </row>
    <row r="1155" spans="2:117" ht="12.75">
      <c r="B1155" s="10"/>
      <c r="C1155" s="17"/>
      <c r="E1155" s="25"/>
      <c r="F1155" s="35"/>
      <c r="J1155" s="20"/>
      <c r="K1155" s="29"/>
      <c r="L1155" s="22"/>
      <c r="M1155" s="5"/>
      <c r="AD1155" s="4"/>
      <c r="AE1155" s="5"/>
      <c r="BM1155" s="6"/>
      <c r="BN1155" s="7"/>
      <c r="BO1155" s="7"/>
      <c r="BT1155" s="6"/>
      <c r="BU1155" s="6"/>
      <c r="BV1155" s="6"/>
      <c r="BW1155" s="8"/>
      <c r="BX1155" s="9"/>
      <c r="CB1155" s="6"/>
      <c r="CC1155" s="10"/>
      <c r="CD1155" s="10"/>
      <c r="CE1155" s="8"/>
      <c r="CU1155" s="4"/>
      <c r="CY1155" s="11"/>
      <c r="DA1155" s="12"/>
      <c r="DB1155" s="13"/>
      <c r="DC1155" s="14"/>
      <c r="DH1155" s="15"/>
      <c r="DM1155" s="4"/>
    </row>
    <row r="1156" spans="2:117" ht="12.75">
      <c r="B1156" s="10"/>
      <c r="C1156" s="17"/>
      <c r="E1156" s="25"/>
      <c r="F1156" s="35"/>
      <c r="J1156" s="20"/>
      <c r="K1156" s="29"/>
      <c r="L1156" s="22"/>
      <c r="M1156" s="5"/>
      <c r="AD1156" s="4"/>
      <c r="AE1156" s="5"/>
      <c r="BM1156" s="6"/>
      <c r="BN1156" s="7"/>
      <c r="BO1156" s="7"/>
      <c r="BT1156" s="6"/>
      <c r="BU1156" s="6"/>
      <c r="BV1156" s="6"/>
      <c r="BW1156" s="8"/>
      <c r="BX1156" s="9"/>
      <c r="CB1156" s="6"/>
      <c r="CC1156" s="10"/>
      <c r="CD1156" s="10"/>
      <c r="CE1156" s="8"/>
      <c r="CU1156" s="4"/>
      <c r="CY1156" s="11"/>
      <c r="DA1156" s="12"/>
      <c r="DB1156" s="13"/>
      <c r="DC1156" s="14"/>
      <c r="DH1156" s="15"/>
      <c r="DM1156" s="4"/>
    </row>
    <row r="1157" spans="2:117" ht="12.75">
      <c r="B1157" s="10"/>
      <c r="C1157" s="17"/>
      <c r="E1157" s="25"/>
      <c r="F1157" s="35"/>
      <c r="J1157" s="20"/>
      <c r="K1157" s="29"/>
      <c r="L1157" s="22"/>
      <c r="M1157" s="5"/>
      <c r="AD1157" s="4"/>
      <c r="AE1157" s="5"/>
      <c r="BM1157" s="6"/>
      <c r="BN1157" s="7"/>
      <c r="BO1157" s="7"/>
      <c r="BT1157" s="6"/>
      <c r="BU1157" s="6"/>
      <c r="BV1157" s="6"/>
      <c r="BW1157" s="8"/>
      <c r="BX1157" s="9"/>
      <c r="CB1157" s="6"/>
      <c r="CC1157" s="10"/>
      <c r="CD1157" s="10"/>
      <c r="CE1157" s="8"/>
      <c r="CU1157" s="4"/>
      <c r="CY1157" s="11"/>
      <c r="DA1157" s="12"/>
      <c r="DB1157" s="13"/>
      <c r="DC1157" s="14"/>
      <c r="DH1157" s="15"/>
      <c r="DM1157" s="4"/>
    </row>
    <row r="1158" spans="2:117" ht="12.75">
      <c r="B1158" s="10"/>
      <c r="C1158" s="17"/>
      <c r="E1158" s="25"/>
      <c r="F1158" s="35"/>
      <c r="J1158" s="20"/>
      <c r="K1158" s="29"/>
      <c r="L1158" s="22"/>
      <c r="M1158" s="5"/>
      <c r="AD1158" s="4"/>
      <c r="AE1158" s="5"/>
      <c r="BM1158" s="6"/>
      <c r="BN1158" s="7"/>
      <c r="BO1158" s="7"/>
      <c r="BT1158" s="6"/>
      <c r="BU1158" s="6"/>
      <c r="BV1158" s="6"/>
      <c r="BW1158" s="8"/>
      <c r="BX1158" s="9"/>
      <c r="CB1158" s="6"/>
      <c r="CC1158" s="10"/>
      <c r="CD1158" s="10"/>
      <c r="CE1158" s="8"/>
      <c r="CU1158" s="4"/>
      <c r="CY1158" s="11"/>
      <c r="DA1158" s="12"/>
      <c r="DB1158" s="13"/>
      <c r="DC1158" s="14"/>
      <c r="DH1158" s="15"/>
      <c r="DM1158" s="4"/>
    </row>
    <row r="1159" spans="2:117" ht="12.75">
      <c r="B1159" s="10"/>
      <c r="C1159" s="17"/>
      <c r="E1159" s="25"/>
      <c r="F1159" s="35"/>
      <c r="J1159" s="20"/>
      <c r="K1159" s="29"/>
      <c r="L1159" s="22"/>
      <c r="M1159" s="5"/>
      <c r="AD1159" s="4"/>
      <c r="AE1159" s="5"/>
      <c r="BM1159" s="6"/>
      <c r="BN1159" s="7"/>
      <c r="BO1159" s="7"/>
      <c r="BT1159" s="6"/>
      <c r="BU1159" s="6"/>
      <c r="BV1159" s="6"/>
      <c r="BW1159" s="8"/>
      <c r="BX1159" s="9"/>
      <c r="CB1159" s="6"/>
      <c r="CC1159" s="10"/>
      <c r="CD1159" s="10"/>
      <c r="CE1159" s="8"/>
      <c r="CU1159" s="4"/>
      <c r="CY1159" s="11"/>
      <c r="DA1159" s="12"/>
      <c r="DB1159" s="13"/>
      <c r="DC1159" s="14"/>
      <c r="DH1159" s="15"/>
      <c r="DM1159" s="4"/>
    </row>
    <row r="1160" spans="2:117" ht="12.75">
      <c r="B1160" s="10"/>
      <c r="C1160" s="17"/>
      <c r="E1160" s="25"/>
      <c r="F1160" s="35"/>
      <c r="J1160" s="20"/>
      <c r="K1160" s="29"/>
      <c r="L1160" s="22"/>
      <c r="M1160" s="5"/>
      <c r="AD1160" s="4"/>
      <c r="AE1160" s="5"/>
      <c r="BM1160" s="6"/>
      <c r="BN1160" s="7"/>
      <c r="BO1160" s="7"/>
      <c r="BT1160" s="6"/>
      <c r="BU1160" s="6"/>
      <c r="BV1160" s="6"/>
      <c r="BW1160" s="8"/>
      <c r="BX1160" s="9"/>
      <c r="CB1160" s="6"/>
      <c r="CC1160" s="10"/>
      <c r="CD1160" s="10"/>
      <c r="CE1160" s="8"/>
      <c r="CU1160" s="4"/>
      <c r="CY1160" s="11"/>
      <c r="DA1160" s="12"/>
      <c r="DB1160" s="13"/>
      <c r="DC1160" s="14"/>
      <c r="DH1160" s="15"/>
      <c r="DM1160" s="4"/>
    </row>
    <row r="1161" spans="2:117" ht="12.75">
      <c r="B1161" s="10"/>
      <c r="C1161" s="17"/>
      <c r="E1161" s="25"/>
      <c r="F1161" s="35"/>
      <c r="J1161" s="20"/>
      <c r="K1161" s="29"/>
      <c r="L1161" s="22"/>
      <c r="M1161" s="5"/>
      <c r="AD1161" s="4"/>
      <c r="AE1161" s="5"/>
      <c r="BM1161" s="6"/>
      <c r="BN1161" s="7"/>
      <c r="BO1161" s="7"/>
      <c r="BT1161" s="6"/>
      <c r="BU1161" s="6"/>
      <c r="BV1161" s="6"/>
      <c r="BW1161" s="8"/>
      <c r="BX1161" s="9"/>
      <c r="CB1161" s="6"/>
      <c r="CC1161" s="10"/>
      <c r="CD1161" s="10"/>
      <c r="CE1161" s="8"/>
      <c r="CU1161" s="4"/>
      <c r="CY1161" s="11"/>
      <c r="DA1161" s="12"/>
      <c r="DB1161" s="13"/>
      <c r="DC1161" s="14"/>
      <c r="DH1161" s="15"/>
      <c r="DM1161" s="4"/>
    </row>
    <row r="1162" spans="2:117" ht="15.75" customHeight="1">
      <c r="B1162" s="10"/>
      <c r="C1162" s="17"/>
      <c r="E1162" s="25"/>
      <c r="F1162" s="35"/>
      <c r="J1162" s="20"/>
      <c r="K1162" s="29"/>
      <c r="L1162" s="22"/>
      <c r="M1162" s="5"/>
      <c r="AD1162" s="4"/>
      <c r="AE1162" s="5"/>
      <c r="BM1162" s="6"/>
      <c r="BN1162" s="7"/>
      <c r="BO1162" s="7"/>
      <c r="BT1162" s="6"/>
      <c r="BU1162" s="6"/>
      <c r="BV1162" s="6"/>
      <c r="BW1162" s="8"/>
      <c r="BX1162" s="9"/>
      <c r="CB1162" s="6"/>
      <c r="CC1162" s="10"/>
      <c r="CD1162" s="10"/>
      <c r="CE1162" s="8"/>
      <c r="CU1162" s="4"/>
      <c r="CY1162" s="11"/>
      <c r="DA1162" s="12"/>
      <c r="DB1162" s="13"/>
      <c r="DC1162" s="14"/>
      <c r="DH1162" s="15"/>
      <c r="DM1162" s="4"/>
    </row>
    <row r="1163" spans="2:117" ht="15.75" customHeight="1">
      <c r="B1163" s="10"/>
      <c r="C1163" s="17"/>
      <c r="E1163" s="25"/>
      <c r="F1163" s="35"/>
      <c r="J1163" s="20"/>
      <c r="K1163" s="29"/>
      <c r="L1163" s="22"/>
      <c r="M1163" s="5"/>
      <c r="AD1163" s="4"/>
      <c r="AE1163" s="5"/>
      <c r="BM1163" s="6"/>
      <c r="BN1163" s="7"/>
      <c r="BO1163" s="7"/>
      <c r="BT1163" s="6"/>
      <c r="BU1163" s="6"/>
      <c r="BV1163" s="6"/>
      <c r="BW1163" s="8"/>
      <c r="BX1163" s="9"/>
      <c r="CB1163" s="6"/>
      <c r="CC1163" s="10"/>
      <c r="CD1163" s="10"/>
      <c r="CE1163" s="8"/>
      <c r="CU1163" s="4"/>
      <c r="CY1163" s="11"/>
      <c r="DA1163" s="12"/>
      <c r="DB1163" s="13"/>
      <c r="DC1163" s="14"/>
      <c r="DH1163" s="15"/>
      <c r="DM1163" s="4"/>
    </row>
    <row r="1164" spans="2:117" ht="15.75" customHeight="1">
      <c r="B1164" s="10"/>
      <c r="C1164" s="17"/>
      <c r="E1164" s="25"/>
      <c r="F1164" s="35"/>
      <c r="J1164" s="20"/>
      <c r="K1164" s="29"/>
      <c r="L1164" s="22"/>
      <c r="M1164" s="5"/>
      <c r="AD1164" s="4"/>
      <c r="AE1164" s="5"/>
      <c r="BM1164" s="6"/>
      <c r="BN1164" s="7"/>
      <c r="BO1164" s="7"/>
      <c r="BT1164" s="6"/>
      <c r="BU1164" s="6"/>
      <c r="BV1164" s="6"/>
      <c r="BW1164" s="8"/>
      <c r="BX1164" s="9"/>
      <c r="CB1164" s="6"/>
      <c r="CC1164" s="10"/>
      <c r="CD1164" s="10"/>
      <c r="CE1164" s="8"/>
      <c r="CU1164" s="4"/>
      <c r="CY1164" s="11"/>
      <c r="DA1164" s="12"/>
      <c r="DB1164" s="13"/>
      <c r="DC1164" s="14"/>
      <c r="DH1164" s="15"/>
      <c r="DM1164" s="4"/>
    </row>
    <row r="1165" spans="2:117" ht="15.75" customHeight="1">
      <c r="B1165" s="10"/>
      <c r="C1165" s="17"/>
      <c r="E1165" s="25"/>
      <c r="F1165" s="35"/>
      <c r="J1165" s="20"/>
      <c r="K1165" s="29"/>
      <c r="L1165" s="22"/>
      <c r="M1165" s="5"/>
      <c r="AD1165" s="4"/>
      <c r="AE1165" s="5"/>
      <c r="BM1165" s="6"/>
      <c r="BN1165" s="7"/>
      <c r="BO1165" s="7"/>
      <c r="BT1165" s="6"/>
      <c r="BU1165" s="6"/>
      <c r="BV1165" s="6"/>
      <c r="BW1165" s="8"/>
      <c r="BX1165" s="9"/>
      <c r="CB1165" s="6"/>
      <c r="CC1165" s="10"/>
      <c r="CD1165" s="10"/>
      <c r="CE1165" s="8"/>
      <c r="CU1165" s="4"/>
      <c r="CY1165" s="11"/>
      <c r="DA1165" s="12"/>
      <c r="DB1165" s="13"/>
      <c r="DC1165" s="14"/>
      <c r="DH1165" s="15"/>
      <c r="DM1165" s="4"/>
    </row>
    <row r="1166" spans="2:117" ht="15.75" customHeight="1">
      <c r="B1166" s="10"/>
      <c r="C1166" s="17"/>
      <c r="E1166" s="25"/>
      <c r="F1166" s="35"/>
      <c r="J1166" s="20"/>
      <c r="K1166" s="29"/>
      <c r="L1166" s="22"/>
      <c r="M1166" s="5"/>
      <c r="AD1166" s="4"/>
      <c r="AE1166" s="5"/>
      <c r="BM1166" s="6"/>
      <c r="BN1166" s="7"/>
      <c r="BO1166" s="7"/>
      <c r="BT1166" s="6"/>
      <c r="BU1166" s="6"/>
      <c r="BV1166" s="6"/>
      <c r="BW1166" s="8"/>
      <c r="BX1166" s="9"/>
      <c r="CB1166" s="6"/>
      <c r="CC1166" s="10"/>
      <c r="CD1166" s="10"/>
      <c r="CE1166" s="8"/>
      <c r="CU1166" s="4"/>
      <c r="CY1166" s="11"/>
      <c r="DA1166" s="12"/>
      <c r="DB1166" s="13"/>
      <c r="DC1166" s="14"/>
      <c r="DH1166" s="15"/>
      <c r="DM1166" s="4"/>
    </row>
    <row r="1167" spans="2:117" ht="15.75" customHeight="1">
      <c r="B1167" s="10"/>
      <c r="C1167" s="17"/>
      <c r="E1167" s="25"/>
      <c r="F1167" s="35"/>
      <c r="J1167" s="20"/>
      <c r="K1167" s="29"/>
      <c r="L1167" s="22"/>
      <c r="M1167" s="5"/>
      <c r="AD1167" s="4"/>
      <c r="AE1167" s="5"/>
      <c r="BM1167" s="6"/>
      <c r="BN1167" s="7"/>
      <c r="BO1167" s="7"/>
      <c r="BT1167" s="6"/>
      <c r="BU1167" s="6"/>
      <c r="BV1167" s="6"/>
      <c r="BW1167" s="8"/>
      <c r="BX1167" s="9"/>
      <c r="CB1167" s="6"/>
      <c r="CC1167" s="10"/>
      <c r="CD1167" s="10"/>
      <c r="CE1167" s="8"/>
      <c r="CU1167" s="4"/>
      <c r="CY1167" s="11"/>
      <c r="DA1167" s="12"/>
      <c r="DB1167" s="13"/>
      <c r="DC1167" s="14"/>
      <c r="DH1167" s="15"/>
      <c r="DM1167" s="4"/>
    </row>
    <row r="1168" spans="2:117" ht="15.75" customHeight="1">
      <c r="B1168" s="10"/>
      <c r="C1168" s="17"/>
      <c r="E1168" s="25"/>
      <c r="F1168" s="35"/>
      <c r="J1168" s="20"/>
      <c r="K1168" s="29"/>
      <c r="L1168" s="22"/>
      <c r="M1168" s="5"/>
      <c r="AD1168" s="4"/>
      <c r="AE1168" s="5"/>
      <c r="BM1168" s="6"/>
      <c r="BN1168" s="7"/>
      <c r="BO1168" s="7"/>
      <c r="BT1168" s="6"/>
      <c r="BU1168" s="6"/>
      <c r="BV1168" s="6"/>
      <c r="BW1168" s="8"/>
      <c r="BX1168" s="9"/>
      <c r="CB1168" s="6"/>
      <c r="CC1168" s="10"/>
      <c r="CD1168" s="10"/>
      <c r="CE1168" s="8"/>
      <c r="CU1168" s="4"/>
      <c r="CY1168" s="11"/>
      <c r="DA1168" s="12"/>
      <c r="DB1168" s="13"/>
      <c r="DC1168" s="14"/>
      <c r="DH1168" s="15"/>
      <c r="DM1168" s="4"/>
    </row>
    <row r="1169" spans="2:117" ht="15.75" customHeight="1">
      <c r="B1169" s="10"/>
      <c r="C1169" s="17"/>
      <c r="E1169" s="25"/>
      <c r="F1169" s="35"/>
      <c r="J1169" s="20"/>
      <c r="K1169" s="29"/>
      <c r="L1169" s="22"/>
      <c r="M1169" s="5"/>
      <c r="AD1169" s="4"/>
      <c r="AE1169" s="5"/>
      <c r="BM1169" s="6"/>
      <c r="BN1169" s="7"/>
      <c r="BO1169" s="7"/>
      <c r="BT1169" s="6"/>
      <c r="BU1169" s="6"/>
      <c r="BV1169" s="6"/>
      <c r="BW1169" s="8"/>
      <c r="BX1169" s="9"/>
      <c r="CB1169" s="6"/>
      <c r="CC1169" s="10"/>
      <c r="CD1169" s="10"/>
      <c r="CE1169" s="8"/>
      <c r="CU1169" s="4"/>
      <c r="CY1169" s="11"/>
      <c r="DA1169" s="12"/>
      <c r="DB1169" s="13"/>
      <c r="DC1169" s="14"/>
      <c r="DH1169" s="15"/>
      <c r="DM1169" s="4"/>
    </row>
    <row r="1170" spans="2:117" ht="15.75" customHeight="1">
      <c r="B1170" s="10"/>
      <c r="C1170" s="17"/>
      <c r="E1170" s="25"/>
      <c r="F1170" s="35"/>
      <c r="J1170" s="20"/>
      <c r="K1170" s="29"/>
      <c r="L1170" s="22"/>
      <c r="M1170" s="5"/>
      <c r="AD1170" s="4"/>
      <c r="AE1170" s="5"/>
      <c r="BM1170" s="6"/>
      <c r="BN1170" s="7"/>
      <c r="BO1170" s="7"/>
      <c r="BT1170" s="6"/>
      <c r="BU1170" s="6"/>
      <c r="BV1170" s="6"/>
      <c r="BW1170" s="8"/>
      <c r="BX1170" s="9"/>
      <c r="CB1170" s="6"/>
      <c r="CC1170" s="10"/>
      <c r="CD1170" s="10"/>
      <c r="CE1170" s="8"/>
      <c r="CU1170" s="4"/>
      <c r="CY1170" s="11"/>
      <c r="DA1170" s="12"/>
      <c r="DB1170" s="13"/>
      <c r="DC1170" s="14"/>
      <c r="DH1170" s="15"/>
      <c r="DM1170" s="4"/>
    </row>
    <row r="1171" spans="2:117" ht="15.75" customHeight="1">
      <c r="B1171" s="10"/>
      <c r="C1171" s="17"/>
      <c r="E1171" s="25"/>
      <c r="F1171" s="35"/>
      <c r="J1171" s="20"/>
      <c r="K1171" s="29"/>
      <c r="L1171" s="22"/>
      <c r="M1171" s="5"/>
      <c r="AD1171" s="4"/>
      <c r="AE1171" s="5"/>
      <c r="BM1171" s="6"/>
      <c r="BN1171" s="7"/>
      <c r="BO1171" s="7"/>
      <c r="BT1171" s="6"/>
      <c r="BU1171" s="6"/>
      <c r="BV1171" s="6"/>
      <c r="BW1171" s="8"/>
      <c r="BX1171" s="9"/>
      <c r="CB1171" s="6"/>
      <c r="CC1171" s="10"/>
      <c r="CD1171" s="10"/>
      <c r="CE1171" s="8"/>
      <c r="CU1171" s="4"/>
      <c r="CY1171" s="11"/>
      <c r="DA1171" s="12"/>
      <c r="DB1171" s="13"/>
      <c r="DC1171" s="14"/>
      <c r="DH1171" s="15"/>
      <c r="DM1171" s="4"/>
    </row>
    <row r="1172" spans="2:117" ht="15.75" customHeight="1">
      <c r="B1172" s="10"/>
      <c r="C1172" s="17"/>
      <c r="E1172" s="25"/>
      <c r="F1172" s="35"/>
      <c r="J1172" s="20"/>
      <c r="K1172" s="29"/>
      <c r="L1172" s="22"/>
      <c r="M1172" s="5"/>
      <c r="AD1172" s="4"/>
      <c r="AE1172" s="5"/>
      <c r="BM1172" s="6"/>
      <c r="BN1172" s="7"/>
      <c r="BO1172" s="7"/>
      <c r="BT1172" s="6"/>
      <c r="BU1172" s="6"/>
      <c r="BV1172" s="6"/>
      <c r="BW1172" s="8"/>
      <c r="BX1172" s="9"/>
      <c r="CB1172" s="6"/>
      <c r="CC1172" s="10"/>
      <c r="CD1172" s="10"/>
      <c r="CE1172" s="8"/>
      <c r="CU1172" s="4"/>
      <c r="CY1172" s="11"/>
      <c r="DA1172" s="12"/>
      <c r="DB1172" s="13"/>
      <c r="DC1172" s="14"/>
      <c r="DH1172" s="15"/>
      <c r="DM1172" s="4"/>
    </row>
    <row r="1173" spans="2:117" ht="15.75" customHeight="1">
      <c r="B1173" s="10"/>
      <c r="C1173" s="17"/>
      <c r="E1173" s="25"/>
      <c r="F1173" s="35"/>
      <c r="J1173" s="20"/>
      <c r="K1173" s="29"/>
      <c r="L1173" s="22"/>
      <c r="M1173" s="5"/>
      <c r="AD1173" s="4"/>
      <c r="AE1173" s="5"/>
      <c r="BM1173" s="6"/>
      <c r="BN1173" s="7"/>
      <c r="BO1173" s="7"/>
      <c r="BT1173" s="6"/>
      <c r="BU1173" s="6"/>
      <c r="BV1173" s="6"/>
      <c r="BW1173" s="8"/>
      <c r="BX1173" s="9"/>
      <c r="CB1173" s="6"/>
      <c r="CC1173" s="10"/>
      <c r="CD1173" s="10"/>
      <c r="CE1173" s="8"/>
      <c r="CU1173" s="4"/>
      <c r="CY1173" s="11"/>
      <c r="DA1173" s="12"/>
      <c r="DB1173" s="13"/>
      <c r="DC1173" s="14"/>
      <c r="DH1173" s="15"/>
      <c r="DM1173" s="4"/>
    </row>
    <row r="1174" spans="2:117" ht="15.75" customHeight="1">
      <c r="B1174" s="10"/>
      <c r="C1174" s="17"/>
      <c r="E1174" s="25"/>
      <c r="F1174" s="35"/>
      <c r="J1174" s="20"/>
      <c r="K1174" s="29"/>
      <c r="L1174" s="22"/>
      <c r="M1174" s="5"/>
      <c r="AD1174" s="4"/>
      <c r="AE1174" s="5"/>
      <c r="BM1174" s="6"/>
      <c r="BN1174" s="7"/>
      <c r="BO1174" s="7"/>
      <c r="BT1174" s="6"/>
      <c r="BU1174" s="6"/>
      <c r="BV1174" s="6"/>
      <c r="BW1174" s="8"/>
      <c r="BX1174" s="9"/>
      <c r="CB1174" s="6"/>
      <c r="CC1174" s="10"/>
      <c r="CD1174" s="10"/>
      <c r="CE1174" s="8"/>
      <c r="CU1174" s="4"/>
      <c r="CY1174" s="11"/>
      <c r="DA1174" s="12"/>
      <c r="DB1174" s="13"/>
      <c r="DC1174" s="14"/>
      <c r="DH1174" s="15"/>
      <c r="DM1174" s="4"/>
    </row>
    <row r="1175" spans="2:117" ht="15.75" customHeight="1">
      <c r="B1175" s="10"/>
      <c r="C1175" s="17"/>
      <c r="E1175" s="25"/>
      <c r="F1175" s="35"/>
      <c r="J1175" s="20"/>
      <c r="K1175" s="29"/>
      <c r="L1175" s="22"/>
      <c r="M1175" s="5"/>
      <c r="AD1175" s="4"/>
      <c r="AE1175" s="5"/>
      <c r="BM1175" s="6"/>
      <c r="BN1175" s="7"/>
      <c r="BO1175" s="7"/>
      <c r="BT1175" s="6"/>
      <c r="BU1175" s="6"/>
      <c r="BV1175" s="6"/>
      <c r="BW1175" s="8"/>
      <c r="BX1175" s="9"/>
      <c r="CB1175" s="6"/>
      <c r="CC1175" s="10"/>
      <c r="CD1175" s="10"/>
      <c r="CE1175" s="8"/>
      <c r="CU1175" s="4"/>
      <c r="CY1175" s="11"/>
      <c r="DA1175" s="12"/>
      <c r="DB1175" s="13"/>
      <c r="DC1175" s="14"/>
      <c r="DH1175" s="15"/>
      <c r="DM1175" s="4"/>
    </row>
    <row r="1176" spans="2:117" ht="15.75" customHeight="1">
      <c r="B1176" s="10"/>
      <c r="C1176" s="17"/>
      <c r="E1176" s="25"/>
      <c r="F1176" s="35"/>
      <c r="J1176" s="20"/>
      <c r="K1176" s="29"/>
      <c r="L1176" s="22"/>
      <c r="M1176" s="5"/>
      <c r="AD1176" s="4"/>
      <c r="AE1176" s="5"/>
      <c r="BM1176" s="6"/>
      <c r="BN1176" s="7"/>
      <c r="BO1176" s="7"/>
      <c r="BT1176" s="6"/>
      <c r="BU1176" s="6"/>
      <c r="BV1176" s="6"/>
      <c r="BW1176" s="8"/>
      <c r="BX1176" s="9"/>
      <c r="CB1176" s="6"/>
      <c r="CC1176" s="10"/>
      <c r="CD1176" s="10"/>
      <c r="CE1176" s="8"/>
      <c r="CU1176" s="4"/>
      <c r="CY1176" s="11"/>
      <c r="DA1176" s="12"/>
      <c r="DB1176" s="13"/>
      <c r="DC1176" s="14"/>
      <c r="DH1176" s="15"/>
      <c r="DM1176" s="4"/>
    </row>
    <row r="1177" spans="2:117" ht="15.75" customHeight="1">
      <c r="B1177" s="10"/>
      <c r="C1177" s="17"/>
      <c r="E1177" s="25"/>
      <c r="F1177" s="35"/>
      <c r="J1177" s="20"/>
      <c r="K1177" s="29"/>
      <c r="L1177" s="22"/>
      <c r="M1177" s="5"/>
      <c r="AD1177" s="4"/>
      <c r="AE1177" s="5"/>
      <c r="BM1177" s="6"/>
      <c r="BN1177" s="7"/>
      <c r="BO1177" s="7"/>
      <c r="BT1177" s="6"/>
      <c r="BU1177" s="6"/>
      <c r="BV1177" s="6"/>
      <c r="BW1177" s="8"/>
      <c r="BX1177" s="9"/>
      <c r="CB1177" s="6"/>
      <c r="CC1177" s="10"/>
      <c r="CD1177" s="10"/>
      <c r="CE1177" s="8"/>
      <c r="CU1177" s="4"/>
      <c r="CY1177" s="11"/>
      <c r="DA1177" s="12"/>
      <c r="DB1177" s="13"/>
      <c r="DC1177" s="14"/>
      <c r="DH1177" s="15"/>
      <c r="DM1177" s="4"/>
    </row>
    <row r="1178" spans="2:117" ht="15.75" customHeight="1">
      <c r="B1178" s="10"/>
      <c r="C1178" s="17"/>
      <c r="E1178" s="25"/>
      <c r="F1178" s="35"/>
      <c r="J1178" s="20"/>
      <c r="K1178" s="29"/>
      <c r="L1178" s="22"/>
      <c r="M1178" s="5"/>
      <c r="AD1178" s="4"/>
      <c r="AE1178" s="5"/>
      <c r="BM1178" s="6"/>
      <c r="BN1178" s="7"/>
      <c r="BO1178" s="7"/>
      <c r="BT1178" s="6"/>
      <c r="BU1178" s="6"/>
      <c r="BV1178" s="6"/>
      <c r="BW1178" s="8"/>
      <c r="BX1178" s="9"/>
      <c r="CB1178" s="6"/>
      <c r="CC1178" s="10"/>
      <c r="CD1178" s="10"/>
      <c r="CE1178" s="8"/>
      <c r="CU1178" s="4"/>
      <c r="CY1178" s="11"/>
      <c r="DA1178" s="12"/>
      <c r="DB1178" s="13"/>
      <c r="DC1178" s="14"/>
      <c r="DH1178" s="15"/>
      <c r="DM1178" s="4"/>
    </row>
    <row r="1179" spans="2:117" ht="15.75" customHeight="1">
      <c r="B1179" s="10"/>
      <c r="C1179" s="17"/>
      <c r="E1179" s="25"/>
      <c r="F1179" s="35"/>
      <c r="J1179" s="20"/>
      <c r="K1179" s="29"/>
      <c r="L1179" s="22"/>
      <c r="M1179" s="5"/>
      <c r="AD1179" s="4"/>
      <c r="AE1179" s="5"/>
      <c r="BM1179" s="6"/>
      <c r="BN1179" s="7"/>
      <c r="BO1179" s="7"/>
      <c r="BT1179" s="6"/>
      <c r="BU1179" s="6"/>
      <c r="BV1179" s="6"/>
      <c r="BW1179" s="8"/>
      <c r="BX1179" s="9"/>
      <c r="CB1179" s="6"/>
      <c r="CC1179" s="10"/>
      <c r="CD1179" s="10"/>
      <c r="CE1179" s="8"/>
      <c r="CU1179" s="4"/>
      <c r="CY1179" s="11"/>
      <c r="DA1179" s="12"/>
      <c r="DB1179" s="13"/>
      <c r="DC1179" s="14"/>
      <c r="DH1179" s="15"/>
      <c r="DM1179" s="4"/>
    </row>
    <row r="1180" spans="2:117" ht="15.75" customHeight="1">
      <c r="B1180" s="10"/>
      <c r="C1180" s="17"/>
      <c r="E1180" s="25"/>
      <c r="F1180" s="35"/>
      <c r="J1180" s="20"/>
      <c r="K1180" s="29"/>
      <c r="L1180" s="22"/>
      <c r="M1180" s="5"/>
      <c r="AD1180" s="4"/>
      <c r="AE1180" s="5"/>
      <c r="BM1180" s="6"/>
      <c r="BN1180" s="7"/>
      <c r="BO1180" s="7"/>
      <c r="BT1180" s="6"/>
      <c r="BU1180" s="6"/>
      <c r="BV1180" s="6"/>
      <c r="BW1180" s="8"/>
      <c r="BX1180" s="9"/>
      <c r="CB1180" s="6"/>
      <c r="CC1180" s="10"/>
      <c r="CD1180" s="10"/>
      <c r="CE1180" s="8"/>
      <c r="CU1180" s="4"/>
      <c r="CY1180" s="11"/>
      <c r="DA1180" s="12"/>
      <c r="DB1180" s="13"/>
      <c r="DC1180" s="14"/>
      <c r="DH1180" s="15"/>
      <c r="DM1180" s="4"/>
    </row>
    <row r="1181" spans="2:117" ht="15.75" customHeight="1">
      <c r="B1181" s="10"/>
      <c r="C1181" s="17"/>
      <c r="E1181" s="25"/>
      <c r="F1181" s="35"/>
      <c r="J1181" s="20"/>
      <c r="K1181" s="29"/>
      <c r="L1181" s="22"/>
      <c r="M1181" s="5"/>
      <c r="AD1181" s="4"/>
      <c r="AE1181" s="5"/>
      <c r="BM1181" s="6"/>
      <c r="BN1181" s="7"/>
      <c r="BO1181" s="7"/>
      <c r="BT1181" s="6"/>
      <c r="BU1181" s="6"/>
      <c r="BV1181" s="6"/>
      <c r="BW1181" s="8"/>
      <c r="BX1181" s="9"/>
      <c r="CB1181" s="6"/>
      <c r="CC1181" s="10"/>
      <c r="CD1181" s="10"/>
      <c r="CE1181" s="8"/>
      <c r="CU1181" s="4"/>
      <c r="CY1181" s="11"/>
      <c r="DA1181" s="12"/>
      <c r="DB1181" s="13"/>
      <c r="DC1181" s="14"/>
      <c r="DH1181" s="15"/>
      <c r="DM1181" s="4"/>
    </row>
    <row r="1182" spans="2:117" ht="15.75" customHeight="1">
      <c r="B1182" s="10"/>
      <c r="C1182" s="17"/>
      <c r="E1182" s="25"/>
      <c r="F1182" s="35"/>
      <c r="J1182" s="20"/>
      <c r="K1182" s="29"/>
      <c r="L1182" s="22"/>
      <c r="M1182" s="5"/>
      <c r="AD1182" s="4"/>
      <c r="AE1182" s="5"/>
      <c r="BM1182" s="6"/>
      <c r="BN1182" s="7"/>
      <c r="BO1182" s="7"/>
      <c r="BT1182" s="6"/>
      <c r="BU1182" s="6"/>
      <c r="BV1182" s="6"/>
      <c r="BW1182" s="8"/>
      <c r="BX1182" s="9"/>
      <c r="CB1182" s="6"/>
      <c r="CC1182" s="10"/>
      <c r="CD1182" s="10"/>
      <c r="CE1182" s="8"/>
      <c r="CU1182" s="4"/>
      <c r="CY1182" s="11"/>
      <c r="DA1182" s="12"/>
      <c r="DB1182" s="13"/>
      <c r="DC1182" s="14"/>
      <c r="DH1182" s="15"/>
      <c r="DM1182" s="4"/>
    </row>
    <row r="1183" spans="2:117" ht="15.75" customHeight="1">
      <c r="B1183" s="10"/>
      <c r="C1183" s="17"/>
      <c r="E1183" s="25"/>
      <c r="F1183" s="35"/>
      <c r="J1183" s="20"/>
      <c r="K1183" s="29"/>
      <c r="L1183" s="22"/>
      <c r="M1183" s="5"/>
      <c r="AD1183" s="4"/>
      <c r="AE1183" s="5"/>
      <c r="BM1183" s="6"/>
      <c r="BN1183" s="7"/>
      <c r="BO1183" s="7"/>
      <c r="BT1183" s="6"/>
      <c r="BU1183" s="6"/>
      <c r="BV1183" s="6"/>
      <c r="BW1183" s="8"/>
      <c r="BX1183" s="9"/>
      <c r="CB1183" s="6"/>
      <c r="CC1183" s="10"/>
      <c r="CD1183" s="10"/>
      <c r="CE1183" s="8"/>
      <c r="CU1183" s="4"/>
      <c r="CY1183" s="11"/>
      <c r="DA1183" s="12"/>
      <c r="DB1183" s="13"/>
      <c r="DC1183" s="14"/>
      <c r="DH1183" s="15"/>
      <c r="DM1183" s="4"/>
    </row>
    <row r="1184" spans="2:117" ht="15.75" customHeight="1">
      <c r="B1184" s="10"/>
      <c r="C1184" s="17"/>
      <c r="E1184" s="25"/>
      <c r="F1184" s="35"/>
      <c r="J1184" s="20"/>
      <c r="K1184" s="29"/>
      <c r="L1184" s="22"/>
      <c r="M1184" s="5"/>
      <c r="AD1184" s="4"/>
      <c r="AE1184" s="5"/>
      <c r="BM1184" s="6"/>
      <c r="BN1184" s="7"/>
      <c r="BO1184" s="7"/>
      <c r="BT1184" s="6"/>
      <c r="BU1184" s="6"/>
      <c r="BV1184" s="6"/>
      <c r="BW1184" s="8"/>
      <c r="BX1184" s="9"/>
      <c r="CB1184" s="6"/>
      <c r="CC1184" s="10"/>
      <c r="CD1184" s="10"/>
      <c r="CE1184" s="8"/>
      <c r="CU1184" s="4"/>
      <c r="CY1184" s="11"/>
      <c r="DA1184" s="12"/>
      <c r="DB1184" s="13"/>
      <c r="DC1184" s="14"/>
      <c r="DH1184" s="15"/>
      <c r="DM1184" s="4"/>
    </row>
    <row r="1185" spans="2:117" ht="15.75" customHeight="1">
      <c r="B1185" s="10"/>
      <c r="C1185" s="17"/>
      <c r="E1185" s="25"/>
      <c r="F1185" s="35"/>
      <c r="J1185" s="20"/>
      <c r="K1185" s="29"/>
      <c r="L1185" s="22"/>
      <c r="M1185" s="5"/>
      <c r="AD1185" s="4"/>
      <c r="AE1185" s="5"/>
      <c r="BM1185" s="6"/>
      <c r="BN1185" s="7"/>
      <c r="BO1185" s="7"/>
      <c r="BT1185" s="6"/>
      <c r="BU1185" s="6"/>
      <c r="BV1185" s="6"/>
      <c r="BW1185" s="8"/>
      <c r="BX1185" s="9"/>
      <c r="CB1185" s="6"/>
      <c r="CC1185" s="10"/>
      <c r="CD1185" s="10"/>
      <c r="CE1185" s="8"/>
      <c r="CU1185" s="4"/>
      <c r="CY1185" s="11"/>
      <c r="DA1185" s="12"/>
      <c r="DB1185" s="13"/>
      <c r="DC1185" s="14"/>
      <c r="DH1185" s="15"/>
      <c r="DM1185" s="4"/>
    </row>
    <row r="1186" spans="2:117" ht="15.75" customHeight="1">
      <c r="B1186" s="10"/>
      <c r="C1186" s="17"/>
      <c r="E1186" s="25"/>
      <c r="F1186" s="35"/>
      <c r="J1186" s="20"/>
      <c r="K1186" s="29"/>
      <c r="L1186" s="22"/>
      <c r="M1186" s="5"/>
      <c r="AD1186" s="4"/>
      <c r="AE1186" s="5"/>
      <c r="BM1186" s="6"/>
      <c r="BN1186" s="7"/>
      <c r="BO1186" s="7"/>
      <c r="BT1186" s="6"/>
      <c r="BU1186" s="6"/>
      <c r="BV1186" s="6"/>
      <c r="BW1186" s="8"/>
      <c r="BX1186" s="9"/>
      <c r="CB1186" s="6"/>
      <c r="CC1186" s="10"/>
      <c r="CD1186" s="10"/>
      <c r="CE1186" s="8"/>
      <c r="CU1186" s="4"/>
      <c r="CY1186" s="11"/>
      <c r="DA1186" s="12"/>
      <c r="DB1186" s="13"/>
      <c r="DC1186" s="14"/>
      <c r="DH1186" s="15"/>
      <c r="DM1186" s="4"/>
    </row>
    <row r="1187" spans="2:117" ht="15.75" customHeight="1">
      <c r="B1187" s="10"/>
      <c r="C1187" s="17"/>
      <c r="E1187" s="25"/>
      <c r="F1187" s="35"/>
      <c r="J1187" s="20"/>
      <c r="K1187" s="29"/>
      <c r="L1187" s="22"/>
      <c r="M1187" s="5"/>
      <c r="AD1187" s="4"/>
      <c r="AE1187" s="5"/>
      <c r="BM1187" s="6"/>
      <c r="BN1187" s="7"/>
      <c r="BO1187" s="7"/>
      <c r="BT1187" s="6"/>
      <c r="BU1187" s="6"/>
      <c r="BV1187" s="6"/>
      <c r="BW1187" s="8"/>
      <c r="BX1187" s="9"/>
      <c r="CB1187" s="6"/>
      <c r="CC1187" s="10"/>
      <c r="CD1187" s="10"/>
      <c r="CE1187" s="8"/>
      <c r="CU1187" s="4"/>
      <c r="CY1187" s="11"/>
      <c r="DA1187" s="12"/>
      <c r="DB1187" s="13"/>
      <c r="DC1187" s="14"/>
      <c r="DH1187" s="15"/>
      <c r="DM1187" s="4"/>
    </row>
    <row r="1188" spans="2:117" ht="15.75" customHeight="1">
      <c r="B1188" s="10"/>
      <c r="C1188" s="17"/>
      <c r="E1188" s="25"/>
      <c r="F1188" s="35"/>
      <c r="J1188" s="20"/>
      <c r="K1188" s="29"/>
      <c r="L1188" s="22"/>
      <c r="M1188" s="5"/>
      <c r="AD1188" s="4"/>
      <c r="AE1188" s="5"/>
      <c r="BM1188" s="6"/>
      <c r="BN1188" s="7"/>
      <c r="BO1188" s="7"/>
      <c r="BT1188" s="6"/>
      <c r="BU1188" s="6"/>
      <c r="BV1188" s="6"/>
      <c r="BW1188" s="8"/>
      <c r="BX1188" s="9"/>
      <c r="CB1188" s="6"/>
      <c r="CC1188" s="10"/>
      <c r="CD1188" s="10"/>
      <c r="CE1188" s="8"/>
      <c r="CU1188" s="4"/>
      <c r="CY1188" s="11"/>
      <c r="DA1188" s="12"/>
      <c r="DB1188" s="13"/>
      <c r="DC1188" s="14"/>
      <c r="DH1188" s="15"/>
      <c r="DM1188" s="4"/>
    </row>
    <row r="1189" spans="2:117" ht="15.75" customHeight="1">
      <c r="B1189" s="10"/>
      <c r="C1189" s="17"/>
      <c r="E1189" s="25"/>
      <c r="F1189" s="35"/>
      <c r="J1189" s="20"/>
      <c r="K1189" s="29"/>
      <c r="L1189" s="22"/>
      <c r="M1189" s="5"/>
      <c r="AD1189" s="4"/>
      <c r="AE1189" s="5"/>
      <c r="BM1189" s="6"/>
      <c r="BN1189" s="7"/>
      <c r="BO1189" s="7"/>
      <c r="BT1189" s="6"/>
      <c r="BU1189" s="6"/>
      <c r="BV1189" s="6"/>
      <c r="BW1189" s="8"/>
      <c r="BX1189" s="9"/>
      <c r="CB1189" s="6"/>
      <c r="CC1189" s="10"/>
      <c r="CD1189" s="10"/>
      <c r="CE1189" s="8"/>
      <c r="CU1189" s="4"/>
      <c r="CY1189" s="11"/>
      <c r="DA1189" s="12"/>
      <c r="DB1189" s="13"/>
      <c r="DC1189" s="14"/>
      <c r="DH1189" s="15"/>
      <c r="DM1189" s="4"/>
    </row>
    <row r="1190" spans="2:117" ht="15.75" customHeight="1">
      <c r="B1190" s="10"/>
      <c r="C1190" s="17"/>
      <c r="E1190" s="25"/>
      <c r="F1190" s="35"/>
      <c r="J1190" s="20"/>
      <c r="K1190" s="29"/>
      <c r="L1190" s="22"/>
      <c r="M1190" s="5"/>
      <c r="AD1190" s="4"/>
      <c r="AE1190" s="5"/>
      <c r="BM1190" s="6"/>
      <c r="BN1190" s="7"/>
      <c r="BO1190" s="7"/>
      <c r="BT1190" s="6"/>
      <c r="BU1190" s="6"/>
      <c r="BV1190" s="6"/>
      <c r="BW1190" s="8"/>
      <c r="BX1190" s="9"/>
      <c r="CB1190" s="6"/>
      <c r="CC1190" s="10"/>
      <c r="CD1190" s="10"/>
      <c r="CE1190" s="8"/>
      <c r="CU1190" s="4"/>
      <c r="CY1190" s="11"/>
      <c r="DA1190" s="12"/>
      <c r="DB1190" s="13"/>
      <c r="DC1190" s="14"/>
      <c r="DH1190" s="15"/>
      <c r="DM1190" s="4"/>
    </row>
    <row r="1191" spans="2:117" ht="15.75" customHeight="1">
      <c r="B1191" s="10"/>
      <c r="C1191" s="17"/>
      <c r="E1191" s="25"/>
      <c r="F1191" s="35"/>
      <c r="J1191" s="20"/>
      <c r="K1191" s="29"/>
      <c r="L1191" s="22"/>
      <c r="M1191" s="5"/>
      <c r="AD1191" s="4"/>
      <c r="AE1191" s="5"/>
      <c r="BM1191" s="6"/>
      <c r="BN1191" s="7"/>
      <c r="BO1191" s="7"/>
      <c r="BT1191" s="6"/>
      <c r="BU1191" s="6"/>
      <c r="BV1191" s="6"/>
      <c r="BW1191" s="8"/>
      <c r="BX1191" s="9"/>
      <c r="CB1191" s="6"/>
      <c r="CC1191" s="10"/>
      <c r="CD1191" s="10"/>
      <c r="CE1191" s="8"/>
      <c r="CU1191" s="4"/>
      <c r="CY1191" s="11"/>
      <c r="DA1191" s="12"/>
      <c r="DB1191" s="13"/>
      <c r="DC1191" s="14"/>
      <c r="DH1191" s="15"/>
      <c r="DM1191" s="4"/>
    </row>
    <row r="1192" spans="2:117" ht="15.75" customHeight="1">
      <c r="B1192" s="10"/>
      <c r="C1192" s="17"/>
      <c r="E1192" s="25"/>
      <c r="F1192" s="35"/>
      <c r="J1192" s="20"/>
      <c r="K1192" s="29"/>
      <c r="L1192" s="22"/>
      <c r="M1192" s="5"/>
      <c r="AD1192" s="4"/>
      <c r="AE1192" s="5"/>
      <c r="BM1192" s="6"/>
      <c r="BN1192" s="7"/>
      <c r="BO1192" s="7"/>
      <c r="BT1192" s="6"/>
      <c r="BU1192" s="6"/>
      <c r="BV1192" s="6"/>
      <c r="BW1192" s="8"/>
      <c r="BX1192" s="9"/>
      <c r="CB1192" s="6"/>
      <c r="CC1192" s="10"/>
      <c r="CD1192" s="10"/>
      <c r="CE1192" s="8"/>
      <c r="CU1192" s="4"/>
      <c r="CY1192" s="11"/>
      <c r="DA1192" s="12"/>
      <c r="DB1192" s="13"/>
      <c r="DC1192" s="14"/>
      <c r="DH1192" s="15"/>
      <c r="DM1192" s="4"/>
    </row>
    <row r="1193" spans="2:117" ht="15.75" customHeight="1">
      <c r="B1193" s="10"/>
      <c r="C1193" s="17"/>
      <c r="E1193" s="25"/>
      <c r="F1193" s="35"/>
      <c r="J1193" s="20"/>
      <c r="K1193" s="29"/>
      <c r="L1193" s="22"/>
      <c r="M1193" s="5"/>
      <c r="AD1193" s="4"/>
      <c r="AE1193" s="5"/>
      <c r="BM1193" s="6"/>
      <c r="BN1193" s="7"/>
      <c r="BO1193" s="7"/>
      <c r="BT1193" s="6"/>
      <c r="BU1193" s="6"/>
      <c r="BV1193" s="6"/>
      <c r="BW1193" s="8"/>
      <c r="BX1193" s="9"/>
      <c r="CB1193" s="6"/>
      <c r="CC1193" s="10"/>
      <c r="CD1193" s="10"/>
      <c r="CE1193" s="8"/>
      <c r="CU1193" s="4"/>
      <c r="CY1193" s="11"/>
      <c r="DA1193" s="12"/>
      <c r="DB1193" s="13"/>
      <c r="DC1193" s="14"/>
      <c r="DH1193" s="15"/>
      <c r="DM1193" s="4"/>
    </row>
    <row r="1194" spans="2:117" ht="15.75" customHeight="1">
      <c r="B1194" s="10"/>
      <c r="C1194" s="17"/>
      <c r="E1194" s="25"/>
      <c r="F1194" s="35"/>
      <c r="J1194" s="20"/>
      <c r="K1194" s="29"/>
      <c r="L1194" s="22"/>
      <c r="M1194" s="5"/>
      <c r="AD1194" s="4"/>
      <c r="AE1194" s="5"/>
      <c r="BM1194" s="6"/>
      <c r="BN1194" s="7"/>
      <c r="BO1194" s="7"/>
      <c r="BT1194" s="6"/>
      <c r="BU1194" s="6"/>
      <c r="BV1194" s="6"/>
      <c r="BW1194" s="8"/>
      <c r="BX1194" s="9"/>
      <c r="CB1194" s="6"/>
      <c r="CC1194" s="10"/>
      <c r="CD1194" s="10"/>
      <c r="CE1194" s="8"/>
      <c r="CU1194" s="4"/>
      <c r="CY1194" s="11"/>
      <c r="DA1194" s="12"/>
      <c r="DB1194" s="13"/>
      <c r="DC1194" s="14"/>
      <c r="DH1194" s="15"/>
      <c r="DM1194" s="4"/>
    </row>
    <row r="1195" spans="2:117" ht="15.75" customHeight="1">
      <c r="B1195" s="10"/>
      <c r="C1195" s="17"/>
      <c r="E1195" s="25"/>
      <c r="F1195" s="35"/>
      <c r="J1195" s="20"/>
      <c r="K1195" s="29"/>
      <c r="L1195" s="22"/>
      <c r="M1195" s="5"/>
      <c r="AD1195" s="4"/>
      <c r="AE1195" s="5"/>
      <c r="BM1195" s="6"/>
      <c r="BN1195" s="7"/>
      <c r="BO1195" s="7"/>
      <c r="BT1195" s="6"/>
      <c r="BU1195" s="6"/>
      <c r="BV1195" s="6"/>
      <c r="BW1195" s="8"/>
      <c r="BX1195" s="9"/>
      <c r="CB1195" s="6"/>
      <c r="CC1195" s="10"/>
      <c r="CD1195" s="10"/>
      <c r="CE1195" s="8"/>
      <c r="CU1195" s="4"/>
      <c r="CY1195" s="11"/>
      <c r="DA1195" s="12"/>
      <c r="DB1195" s="13"/>
      <c r="DC1195" s="14"/>
      <c r="DH1195" s="15"/>
      <c r="DM1195" s="4"/>
    </row>
    <row r="1196" spans="2:117" ht="15.75" customHeight="1">
      <c r="B1196" s="10"/>
      <c r="C1196" s="17"/>
      <c r="E1196" s="25"/>
      <c r="F1196" s="35"/>
      <c r="J1196" s="20"/>
      <c r="K1196" s="29"/>
      <c r="L1196" s="22"/>
      <c r="M1196" s="5"/>
      <c r="AD1196" s="4"/>
      <c r="AE1196" s="5"/>
      <c r="BM1196" s="6"/>
      <c r="BN1196" s="7"/>
      <c r="BO1196" s="7"/>
      <c r="BT1196" s="6"/>
      <c r="BU1196" s="6"/>
      <c r="BV1196" s="6"/>
      <c r="BW1196" s="8"/>
      <c r="BX1196" s="9"/>
      <c r="CB1196" s="6"/>
      <c r="CC1196" s="10"/>
      <c r="CD1196" s="10"/>
      <c r="CE1196" s="8"/>
      <c r="CU1196" s="4"/>
      <c r="CY1196" s="11"/>
      <c r="DA1196" s="12"/>
      <c r="DB1196" s="13"/>
      <c r="DC1196" s="14"/>
      <c r="DH1196" s="15"/>
      <c r="DM1196" s="4"/>
    </row>
    <row r="1197" spans="2:117" ht="15.75" customHeight="1">
      <c r="B1197" s="10"/>
      <c r="C1197" s="17"/>
      <c r="E1197" s="25"/>
      <c r="F1197" s="35"/>
      <c r="J1197" s="20"/>
      <c r="K1197" s="29"/>
      <c r="L1197" s="22"/>
      <c r="M1197" s="5"/>
      <c r="AD1197" s="4"/>
      <c r="AE1197" s="5"/>
      <c r="BM1197" s="6"/>
      <c r="BN1197" s="7"/>
      <c r="BO1197" s="7"/>
      <c r="BT1197" s="6"/>
      <c r="BU1197" s="6"/>
      <c r="BV1197" s="6"/>
      <c r="BW1197" s="8"/>
      <c r="BX1197" s="9"/>
      <c r="CB1197" s="6"/>
      <c r="CC1197" s="10"/>
      <c r="CD1197" s="10"/>
      <c r="CE1197" s="8"/>
      <c r="CU1197" s="4"/>
      <c r="CY1197" s="11"/>
      <c r="DA1197" s="12"/>
      <c r="DB1197" s="13"/>
      <c r="DC1197" s="14"/>
      <c r="DH1197" s="15"/>
      <c r="DM1197" s="4"/>
    </row>
    <row r="1198" spans="2:117" ht="15.75" customHeight="1">
      <c r="B1198" s="10"/>
      <c r="C1198" s="17"/>
      <c r="E1198" s="25"/>
      <c r="F1198" s="35"/>
      <c r="J1198" s="20"/>
      <c r="K1198" s="29"/>
      <c r="L1198" s="22"/>
      <c r="M1198" s="5"/>
      <c r="AD1198" s="4"/>
      <c r="AE1198" s="5"/>
      <c r="BM1198" s="6"/>
      <c r="BN1198" s="7"/>
      <c r="BO1198" s="7"/>
      <c r="BT1198" s="6"/>
      <c r="BU1198" s="6"/>
      <c r="BV1198" s="6"/>
      <c r="BW1198" s="8"/>
      <c r="BX1198" s="9"/>
      <c r="CB1198" s="6"/>
      <c r="CC1198" s="10"/>
      <c r="CD1198" s="10"/>
      <c r="CE1198" s="8"/>
      <c r="CU1198" s="4"/>
      <c r="CY1198" s="11"/>
      <c r="DA1198" s="12"/>
      <c r="DB1198" s="13"/>
      <c r="DC1198" s="14"/>
      <c r="DH1198" s="15"/>
      <c r="DM1198" s="4"/>
    </row>
    <row r="1199" spans="2:117" ht="15.75" customHeight="1">
      <c r="B1199" s="10"/>
      <c r="C1199" s="17"/>
      <c r="E1199" s="25"/>
      <c r="F1199" s="35"/>
      <c r="J1199" s="20"/>
      <c r="K1199" s="29"/>
      <c r="L1199" s="22"/>
      <c r="M1199" s="5"/>
      <c r="AD1199" s="4"/>
      <c r="AE1199" s="5"/>
      <c r="BM1199" s="6"/>
      <c r="BN1199" s="7"/>
      <c r="BO1199" s="7"/>
      <c r="BT1199" s="6"/>
      <c r="BU1199" s="6"/>
      <c r="BV1199" s="6"/>
      <c r="BW1199" s="8"/>
      <c r="BX1199" s="9"/>
      <c r="CB1199" s="6"/>
      <c r="CC1199" s="10"/>
      <c r="CD1199" s="10"/>
      <c r="CE1199" s="8"/>
      <c r="CU1199" s="4"/>
      <c r="CY1199" s="11"/>
      <c r="DA1199" s="12"/>
      <c r="DB1199" s="13"/>
      <c r="DC1199" s="14"/>
      <c r="DH1199" s="15"/>
      <c r="DM1199" s="4"/>
    </row>
    <row r="1200" spans="2:117" ht="15.75" customHeight="1">
      <c r="B1200" s="10"/>
      <c r="C1200" s="17"/>
      <c r="E1200" s="25"/>
      <c r="F1200" s="35"/>
      <c r="J1200" s="20"/>
      <c r="K1200" s="29"/>
      <c r="L1200" s="22"/>
      <c r="M1200" s="5"/>
      <c r="AD1200" s="4"/>
      <c r="AE1200" s="5"/>
      <c r="BM1200" s="6"/>
      <c r="BN1200" s="7"/>
      <c r="BO1200" s="7"/>
      <c r="BT1200" s="6"/>
      <c r="BU1200" s="6"/>
      <c r="BV1200" s="6"/>
      <c r="BW1200" s="8"/>
      <c r="BX1200" s="9"/>
      <c r="CB1200" s="6"/>
      <c r="CC1200" s="10"/>
      <c r="CD1200" s="10"/>
      <c r="CE1200" s="8"/>
      <c r="CU1200" s="4"/>
      <c r="CY1200" s="11"/>
      <c r="DA1200" s="12"/>
      <c r="DB1200" s="13"/>
      <c r="DC1200" s="14"/>
      <c r="DH1200" s="15"/>
      <c r="DM1200" s="4"/>
    </row>
    <row r="1201" spans="2:117" ht="15.75" customHeight="1">
      <c r="B1201" s="10"/>
      <c r="C1201" s="17"/>
      <c r="E1201" s="25"/>
      <c r="F1201" s="35"/>
      <c r="J1201" s="20"/>
      <c r="K1201" s="29"/>
      <c r="L1201" s="22"/>
      <c r="M1201" s="5"/>
      <c r="AD1201" s="4"/>
      <c r="AE1201" s="5"/>
      <c r="BM1201" s="6"/>
      <c r="BN1201" s="7"/>
      <c r="BO1201" s="7"/>
      <c r="BT1201" s="6"/>
      <c r="BU1201" s="6"/>
      <c r="BV1201" s="6"/>
      <c r="BW1201" s="8"/>
      <c r="BX1201" s="9"/>
      <c r="CB1201" s="6"/>
      <c r="CC1201" s="10"/>
      <c r="CD1201" s="10"/>
      <c r="CE1201" s="8"/>
      <c r="CU1201" s="4"/>
      <c r="CY1201" s="11"/>
      <c r="DA1201" s="12"/>
      <c r="DB1201" s="13"/>
      <c r="DC1201" s="14"/>
      <c r="DH1201" s="15"/>
      <c r="DM1201" s="4"/>
    </row>
    <row r="1202" spans="2:117" ht="15.75" customHeight="1">
      <c r="B1202" s="10"/>
      <c r="C1202" s="17"/>
      <c r="E1202" s="25"/>
      <c r="F1202" s="35"/>
      <c r="J1202" s="20"/>
      <c r="K1202" s="29"/>
      <c r="L1202" s="22"/>
      <c r="M1202" s="5"/>
      <c r="AD1202" s="4"/>
      <c r="AE1202" s="5"/>
      <c r="BM1202" s="6"/>
      <c r="BN1202" s="7"/>
      <c r="BO1202" s="7"/>
      <c r="BT1202" s="6"/>
      <c r="BU1202" s="6"/>
      <c r="BV1202" s="6"/>
      <c r="BW1202" s="8"/>
      <c r="BX1202" s="9"/>
      <c r="CB1202" s="6"/>
      <c r="CC1202" s="10"/>
      <c r="CD1202" s="10"/>
      <c r="CE1202" s="8"/>
      <c r="CU1202" s="4"/>
      <c r="CY1202" s="11"/>
      <c r="DA1202" s="12"/>
      <c r="DB1202" s="13"/>
      <c r="DC1202" s="14"/>
      <c r="DH1202" s="15"/>
      <c r="DM1202" s="4"/>
    </row>
    <row r="1203" spans="2:117" ht="15.75" customHeight="1">
      <c r="B1203" s="10"/>
      <c r="C1203" s="17"/>
      <c r="E1203" s="25"/>
      <c r="F1203" s="35"/>
      <c r="J1203" s="20"/>
      <c r="K1203" s="29"/>
      <c r="L1203" s="22"/>
      <c r="M1203" s="5"/>
      <c r="AD1203" s="4"/>
      <c r="AE1203" s="5"/>
      <c r="BM1203" s="6"/>
      <c r="BN1203" s="7"/>
      <c r="BO1203" s="7"/>
      <c r="BT1203" s="6"/>
      <c r="BU1203" s="6"/>
      <c r="BV1203" s="6"/>
      <c r="BW1203" s="8"/>
      <c r="BX1203" s="9"/>
      <c r="CB1203" s="6"/>
      <c r="CC1203" s="10"/>
      <c r="CD1203" s="10"/>
      <c r="CE1203" s="8"/>
      <c r="CU1203" s="4"/>
      <c r="CY1203" s="11"/>
      <c r="DA1203" s="12"/>
      <c r="DB1203" s="13"/>
      <c r="DC1203" s="14"/>
      <c r="DH1203" s="15"/>
      <c r="DM1203" s="4"/>
    </row>
    <row r="1204" spans="2:117" ht="15.75" customHeight="1">
      <c r="B1204" s="10"/>
      <c r="C1204" s="17"/>
      <c r="E1204" s="25"/>
      <c r="F1204" s="35"/>
      <c r="J1204" s="20"/>
      <c r="K1204" s="29"/>
      <c r="L1204" s="22"/>
      <c r="M1204" s="5"/>
      <c r="AD1204" s="4"/>
      <c r="AE1204" s="5"/>
      <c r="BM1204" s="6"/>
      <c r="BN1204" s="7"/>
      <c r="BO1204" s="7"/>
      <c r="BT1204" s="6"/>
      <c r="BU1204" s="6"/>
      <c r="BV1204" s="6"/>
      <c r="BW1204" s="8"/>
      <c r="BX1204" s="9"/>
      <c r="CB1204" s="6"/>
      <c r="CC1204" s="10"/>
      <c r="CD1204" s="10"/>
      <c r="CE1204" s="8"/>
      <c r="CU1204" s="4"/>
      <c r="CY1204" s="11"/>
      <c r="DA1204" s="12"/>
      <c r="DB1204" s="13"/>
      <c r="DC1204" s="14"/>
      <c r="DH1204" s="15"/>
      <c r="DM1204" s="4"/>
    </row>
    <row r="1205" spans="2:117" ht="15.75" customHeight="1">
      <c r="B1205" s="10"/>
      <c r="C1205" s="17"/>
      <c r="E1205" s="25"/>
      <c r="F1205" s="35"/>
      <c r="J1205" s="20"/>
      <c r="K1205" s="29"/>
      <c r="L1205" s="22"/>
      <c r="M1205" s="5"/>
      <c r="AD1205" s="4"/>
      <c r="AE1205" s="5"/>
      <c r="BM1205" s="6"/>
      <c r="BN1205" s="7"/>
      <c r="BO1205" s="7"/>
      <c r="BT1205" s="6"/>
      <c r="BU1205" s="6"/>
      <c r="BV1205" s="6"/>
      <c r="BW1205" s="8"/>
      <c r="BX1205" s="9"/>
      <c r="CB1205" s="6"/>
      <c r="CC1205" s="10"/>
      <c r="CD1205" s="10"/>
      <c r="CE1205" s="8"/>
      <c r="CU1205" s="4"/>
      <c r="CY1205" s="11"/>
      <c r="DA1205" s="12"/>
      <c r="DB1205" s="13"/>
      <c r="DC1205" s="14"/>
      <c r="DH1205" s="15"/>
      <c r="DM1205" s="4"/>
    </row>
    <row r="1206" spans="2:117" ht="15.75" customHeight="1">
      <c r="B1206" s="10"/>
      <c r="C1206" s="17"/>
      <c r="E1206" s="25"/>
      <c r="F1206" s="35"/>
      <c r="J1206" s="20"/>
      <c r="K1206" s="29"/>
      <c r="L1206" s="22"/>
      <c r="M1206" s="5"/>
      <c r="AD1206" s="4"/>
      <c r="AE1206" s="5"/>
      <c r="BM1206" s="6"/>
      <c r="BN1206" s="7"/>
      <c r="BO1206" s="7"/>
      <c r="BT1206" s="6"/>
      <c r="BU1206" s="6"/>
      <c r="BV1206" s="6"/>
      <c r="BW1206" s="8"/>
      <c r="BX1206" s="9"/>
      <c r="CB1206" s="6"/>
      <c r="CC1206" s="10"/>
      <c r="CD1206" s="10"/>
      <c r="CE1206" s="8"/>
      <c r="CU1206" s="4"/>
      <c r="CY1206" s="11"/>
      <c r="DA1206" s="12"/>
      <c r="DB1206" s="13"/>
      <c r="DC1206" s="14"/>
      <c r="DH1206" s="15"/>
      <c r="DM1206" s="4"/>
    </row>
    <row r="1207" spans="2:117" ht="15.75" customHeight="1">
      <c r="B1207" s="10"/>
      <c r="C1207" s="17"/>
      <c r="E1207" s="25"/>
      <c r="F1207" s="35"/>
      <c r="J1207" s="20"/>
      <c r="K1207" s="29"/>
      <c r="L1207" s="22"/>
      <c r="M1207" s="5"/>
      <c r="AD1207" s="4"/>
      <c r="AE1207" s="5"/>
      <c r="BM1207" s="6"/>
      <c r="BN1207" s="7"/>
      <c r="BO1207" s="7"/>
      <c r="BT1207" s="6"/>
      <c r="BU1207" s="6"/>
      <c r="BV1207" s="6"/>
      <c r="BW1207" s="8"/>
      <c r="BX1207" s="9"/>
      <c r="CB1207" s="6"/>
      <c r="CC1207" s="10"/>
      <c r="CD1207" s="10"/>
      <c r="CE1207" s="8"/>
      <c r="CU1207" s="4"/>
      <c r="CY1207" s="11"/>
      <c r="DA1207" s="12"/>
      <c r="DB1207" s="13"/>
      <c r="DC1207" s="14"/>
      <c r="DH1207" s="15"/>
      <c r="DM1207" s="4"/>
    </row>
    <row r="1208" spans="2:117" ht="15.75" customHeight="1">
      <c r="B1208" s="10"/>
      <c r="C1208" s="17"/>
      <c r="E1208" s="25"/>
      <c r="F1208" s="35"/>
      <c r="J1208" s="20"/>
      <c r="K1208" s="29"/>
      <c r="L1208" s="22"/>
      <c r="M1208" s="5"/>
      <c r="AD1208" s="4"/>
      <c r="AE1208" s="5"/>
      <c r="BM1208" s="6"/>
      <c r="BN1208" s="7"/>
      <c r="BO1208" s="7"/>
      <c r="BT1208" s="6"/>
      <c r="BU1208" s="6"/>
      <c r="BV1208" s="6"/>
      <c r="BW1208" s="8"/>
      <c r="BX1208" s="9"/>
      <c r="CB1208" s="6"/>
      <c r="CC1208" s="10"/>
      <c r="CD1208" s="10"/>
      <c r="CE1208" s="8"/>
      <c r="CU1208" s="4"/>
      <c r="CY1208" s="11"/>
      <c r="DA1208" s="12"/>
      <c r="DB1208" s="13"/>
      <c r="DC1208" s="14"/>
      <c r="DH1208" s="15"/>
      <c r="DM1208" s="4"/>
    </row>
    <row r="1209" spans="2:117" ht="15.75" customHeight="1">
      <c r="B1209" s="10"/>
      <c r="C1209" s="17"/>
      <c r="E1209" s="25"/>
      <c r="F1209" s="35"/>
      <c r="J1209" s="20"/>
      <c r="K1209" s="29"/>
      <c r="L1209" s="22"/>
      <c r="M1209" s="5"/>
      <c r="AD1209" s="4"/>
      <c r="AE1209" s="5"/>
      <c r="BM1209" s="6"/>
      <c r="BN1209" s="7"/>
      <c r="BO1209" s="7"/>
      <c r="BT1209" s="6"/>
      <c r="BU1209" s="6"/>
      <c r="BV1209" s="6"/>
      <c r="BW1209" s="8"/>
      <c r="BX1209" s="9"/>
      <c r="CB1209" s="6"/>
      <c r="CC1209" s="10"/>
      <c r="CD1209" s="10"/>
      <c r="CE1209" s="8"/>
      <c r="CU1209" s="4"/>
      <c r="CY1209" s="11"/>
      <c r="DA1209" s="12"/>
      <c r="DB1209" s="13"/>
      <c r="DC1209" s="14"/>
      <c r="DH1209" s="15"/>
      <c r="DM1209" s="4"/>
    </row>
    <row r="1210" spans="2:117" ht="15.75" customHeight="1">
      <c r="B1210" s="10"/>
      <c r="C1210" s="17"/>
      <c r="E1210" s="25"/>
      <c r="F1210" s="35"/>
      <c r="J1210" s="20"/>
      <c r="K1210" s="29"/>
      <c r="L1210" s="22"/>
      <c r="M1210" s="5"/>
      <c r="AD1210" s="4"/>
      <c r="AE1210" s="5"/>
      <c r="BM1210" s="6"/>
      <c r="BN1210" s="7"/>
      <c r="BO1210" s="7"/>
      <c r="BT1210" s="6"/>
      <c r="BU1210" s="6"/>
      <c r="BV1210" s="6"/>
      <c r="BW1210" s="8"/>
      <c r="BX1210" s="9"/>
      <c r="CB1210" s="6"/>
      <c r="CC1210" s="10"/>
      <c r="CD1210" s="10"/>
      <c r="CE1210" s="8"/>
      <c r="CU1210" s="4"/>
      <c r="CY1210" s="11"/>
      <c r="DA1210" s="12"/>
      <c r="DB1210" s="13"/>
      <c r="DC1210" s="14"/>
      <c r="DH1210" s="15"/>
      <c r="DM1210" s="4"/>
    </row>
    <row r="1211" spans="2:117" ht="15.75" customHeight="1">
      <c r="B1211" s="10"/>
      <c r="C1211" s="17"/>
      <c r="E1211" s="25"/>
      <c r="F1211" s="35"/>
      <c r="J1211" s="20"/>
      <c r="K1211" s="29"/>
      <c r="L1211" s="22"/>
      <c r="M1211" s="5"/>
      <c r="AD1211" s="4"/>
      <c r="AE1211" s="5"/>
      <c r="BM1211" s="6"/>
      <c r="BN1211" s="7"/>
      <c r="BO1211" s="7"/>
      <c r="BT1211" s="6"/>
      <c r="BU1211" s="6"/>
      <c r="BV1211" s="6"/>
      <c r="BW1211" s="8"/>
      <c r="BX1211" s="9"/>
      <c r="CB1211" s="6"/>
      <c r="CC1211" s="10"/>
      <c r="CD1211" s="10"/>
      <c r="CE1211" s="8"/>
      <c r="CU1211" s="4"/>
      <c r="CY1211" s="11"/>
      <c r="DA1211" s="12"/>
      <c r="DB1211" s="13"/>
      <c r="DC1211" s="14"/>
      <c r="DH1211" s="15"/>
      <c r="DM1211" s="4"/>
    </row>
    <row r="1212" spans="2:117" ht="15.75" customHeight="1">
      <c r="B1212" s="10"/>
      <c r="C1212" s="17"/>
      <c r="E1212" s="25"/>
      <c r="F1212" s="35"/>
      <c r="J1212" s="20"/>
      <c r="K1212" s="29"/>
      <c r="L1212" s="22"/>
      <c r="M1212" s="5"/>
      <c r="AD1212" s="4"/>
      <c r="AE1212" s="5"/>
      <c r="BM1212" s="6"/>
      <c r="BN1212" s="7"/>
      <c r="BO1212" s="7"/>
      <c r="BT1212" s="6"/>
      <c r="BU1212" s="6"/>
      <c r="BV1212" s="6"/>
      <c r="BW1212" s="8"/>
      <c r="BX1212" s="9"/>
      <c r="CB1212" s="6"/>
      <c r="CC1212" s="10"/>
      <c r="CD1212" s="10"/>
      <c r="CE1212" s="8"/>
      <c r="CU1212" s="4"/>
      <c r="CY1212" s="11"/>
      <c r="DA1212" s="12"/>
      <c r="DB1212" s="13"/>
      <c r="DC1212" s="14"/>
      <c r="DH1212" s="15"/>
      <c r="DM1212" s="4"/>
    </row>
    <row r="1213" spans="2:117" ht="15.75" customHeight="1">
      <c r="B1213" s="10"/>
      <c r="C1213" s="17"/>
      <c r="E1213" s="25"/>
      <c r="F1213" s="35"/>
      <c r="J1213" s="20"/>
      <c r="K1213" s="29"/>
      <c r="L1213" s="22"/>
      <c r="M1213" s="5"/>
      <c r="AD1213" s="4"/>
      <c r="AE1213" s="5"/>
      <c r="BM1213" s="6"/>
      <c r="BN1213" s="7"/>
      <c r="BO1213" s="7"/>
      <c r="BT1213" s="6"/>
      <c r="BU1213" s="6"/>
      <c r="BV1213" s="6"/>
      <c r="BW1213" s="8"/>
      <c r="BX1213" s="9"/>
      <c r="CB1213" s="6"/>
      <c r="CC1213" s="10"/>
      <c r="CD1213" s="10"/>
      <c r="CE1213" s="8"/>
      <c r="CU1213" s="4"/>
      <c r="CY1213" s="11"/>
      <c r="DA1213" s="12"/>
      <c r="DB1213" s="13"/>
      <c r="DC1213" s="14"/>
      <c r="DH1213" s="15"/>
      <c r="DM1213" s="4"/>
    </row>
    <row r="1214" spans="2:117" ht="15.75" customHeight="1">
      <c r="B1214" s="10"/>
      <c r="C1214" s="17"/>
      <c r="E1214" s="25"/>
      <c r="F1214" s="35"/>
      <c r="J1214" s="20"/>
      <c r="K1214" s="29"/>
      <c r="L1214" s="22"/>
      <c r="M1214" s="5"/>
      <c r="AD1214" s="4"/>
      <c r="AE1214" s="5"/>
      <c r="BM1214" s="6"/>
      <c r="BN1214" s="7"/>
      <c r="BO1214" s="7"/>
      <c r="BT1214" s="6"/>
      <c r="BU1214" s="6"/>
      <c r="BV1214" s="6"/>
      <c r="BW1214" s="8"/>
      <c r="BX1214" s="9"/>
      <c r="CB1214" s="6"/>
      <c r="CC1214" s="10"/>
      <c r="CD1214" s="10"/>
      <c r="CE1214" s="8"/>
      <c r="CU1214" s="4"/>
      <c r="CY1214" s="11"/>
      <c r="DA1214" s="12"/>
      <c r="DB1214" s="13"/>
      <c r="DC1214" s="14"/>
      <c r="DH1214" s="15"/>
      <c r="DM1214" s="4"/>
    </row>
    <row r="1215" spans="2:117" ht="15.75" customHeight="1">
      <c r="B1215" s="10"/>
      <c r="C1215" s="17"/>
      <c r="E1215" s="25"/>
      <c r="F1215" s="35"/>
      <c r="J1215" s="20"/>
      <c r="K1215" s="29"/>
      <c r="L1215" s="22"/>
      <c r="M1215" s="5"/>
      <c r="AD1215" s="4"/>
      <c r="AE1215" s="5"/>
      <c r="BM1215" s="6"/>
      <c r="BN1215" s="7"/>
      <c r="BO1215" s="7"/>
      <c r="BT1215" s="6"/>
      <c r="BU1215" s="6"/>
      <c r="BV1215" s="6"/>
      <c r="BW1215" s="8"/>
      <c r="BX1215" s="9"/>
      <c r="CB1215" s="6"/>
      <c r="CC1215" s="10"/>
      <c r="CD1215" s="10"/>
      <c r="CE1215" s="8"/>
      <c r="CU1215" s="4"/>
      <c r="CY1215" s="11"/>
      <c r="DA1215" s="12"/>
      <c r="DB1215" s="13"/>
      <c r="DC1215" s="14"/>
      <c r="DH1215" s="15"/>
      <c r="DM1215" s="4"/>
    </row>
    <row r="1216" spans="2:117" ht="15.75" customHeight="1">
      <c r="B1216" s="10"/>
      <c r="C1216" s="17"/>
      <c r="E1216" s="25"/>
      <c r="F1216" s="35"/>
      <c r="J1216" s="20"/>
      <c r="K1216" s="29"/>
      <c r="L1216" s="22"/>
      <c r="M1216" s="5"/>
      <c r="AD1216" s="4"/>
      <c r="AE1216" s="5"/>
      <c r="BM1216" s="6"/>
      <c r="BN1216" s="7"/>
      <c r="BO1216" s="7"/>
      <c r="BT1216" s="6"/>
      <c r="BU1216" s="6"/>
      <c r="BV1216" s="6"/>
      <c r="BW1216" s="8"/>
      <c r="BX1216" s="9"/>
      <c r="CB1216" s="6"/>
      <c r="CC1216" s="10"/>
      <c r="CD1216" s="10"/>
      <c r="CE1216" s="8"/>
      <c r="CU1216" s="4"/>
      <c r="CY1216" s="11"/>
      <c r="DA1216" s="12"/>
      <c r="DB1216" s="13"/>
      <c r="DC1216" s="14"/>
      <c r="DH1216" s="15"/>
      <c r="DM1216" s="4"/>
    </row>
    <row r="1217" spans="2:117" ht="15.75" customHeight="1">
      <c r="B1217" s="10"/>
      <c r="C1217" s="17"/>
      <c r="E1217" s="25"/>
      <c r="F1217" s="35"/>
      <c r="J1217" s="20"/>
      <c r="K1217" s="29"/>
      <c r="L1217" s="22"/>
      <c r="M1217" s="5"/>
      <c r="AD1217" s="4"/>
      <c r="AE1217" s="5"/>
      <c r="BM1217" s="6"/>
      <c r="BN1217" s="7"/>
      <c r="BO1217" s="7"/>
      <c r="BT1217" s="6"/>
      <c r="BU1217" s="6"/>
      <c r="BV1217" s="6"/>
      <c r="BW1217" s="8"/>
      <c r="BX1217" s="9"/>
      <c r="CB1217" s="6"/>
      <c r="CC1217" s="10"/>
      <c r="CD1217" s="10"/>
      <c r="CE1217" s="8"/>
      <c r="CU1217" s="4"/>
      <c r="CY1217" s="11"/>
      <c r="DA1217" s="12"/>
      <c r="DB1217" s="13"/>
      <c r="DC1217" s="14"/>
      <c r="DH1217" s="15"/>
      <c r="DM1217" s="4"/>
    </row>
    <row r="1218" spans="2:117" ht="15.75" customHeight="1">
      <c r="B1218" s="10"/>
      <c r="C1218" s="17"/>
      <c r="E1218" s="25"/>
      <c r="F1218" s="35"/>
      <c r="J1218" s="20"/>
      <c r="K1218" s="29"/>
      <c r="L1218" s="22"/>
      <c r="M1218" s="5"/>
      <c r="AD1218" s="4"/>
      <c r="AE1218" s="5"/>
      <c r="BM1218" s="6"/>
      <c r="BN1218" s="7"/>
      <c r="BO1218" s="7"/>
      <c r="BT1218" s="6"/>
      <c r="BU1218" s="6"/>
      <c r="BV1218" s="6"/>
      <c r="BW1218" s="8"/>
      <c r="BX1218" s="9"/>
      <c r="CB1218" s="6"/>
      <c r="CC1218" s="10"/>
      <c r="CD1218" s="10"/>
      <c r="CE1218" s="8"/>
      <c r="CU1218" s="4"/>
      <c r="CY1218" s="11"/>
      <c r="DA1218" s="12"/>
      <c r="DB1218" s="13"/>
      <c r="DC1218" s="14"/>
      <c r="DH1218" s="15"/>
      <c r="DM1218" s="4"/>
    </row>
    <row r="1219" spans="2:117" ht="15.75" customHeight="1">
      <c r="B1219" s="10"/>
      <c r="C1219" s="17"/>
      <c r="E1219" s="25"/>
      <c r="F1219" s="35"/>
      <c r="J1219" s="20"/>
      <c r="K1219" s="29"/>
      <c r="L1219" s="22"/>
      <c r="M1219" s="5"/>
      <c r="AD1219" s="4"/>
      <c r="AE1219" s="5"/>
      <c r="BM1219" s="6"/>
      <c r="BN1219" s="7"/>
      <c r="BO1219" s="7"/>
      <c r="BT1219" s="6"/>
      <c r="BU1219" s="6"/>
      <c r="BV1219" s="6"/>
      <c r="BW1219" s="8"/>
      <c r="BX1219" s="9"/>
      <c r="CB1219" s="6"/>
      <c r="CC1219" s="10"/>
      <c r="CD1219" s="10"/>
      <c r="CE1219" s="8"/>
      <c r="CU1219" s="4"/>
      <c r="CY1219" s="11"/>
      <c r="DA1219" s="12"/>
      <c r="DB1219" s="13"/>
      <c r="DC1219" s="14"/>
      <c r="DH1219" s="15"/>
      <c r="DM1219" s="4"/>
    </row>
    <row r="1220" spans="2:117" ht="15.75" customHeight="1">
      <c r="B1220" s="10"/>
      <c r="C1220" s="17"/>
      <c r="E1220" s="25"/>
      <c r="F1220" s="35"/>
      <c r="J1220" s="20"/>
      <c r="K1220" s="29"/>
      <c r="L1220" s="22"/>
      <c r="M1220" s="5"/>
      <c r="AD1220" s="4"/>
      <c r="AE1220" s="5"/>
      <c r="BM1220" s="6"/>
      <c r="BN1220" s="7"/>
      <c r="BO1220" s="7"/>
      <c r="BT1220" s="6"/>
      <c r="BU1220" s="6"/>
      <c r="BV1220" s="6"/>
      <c r="BW1220" s="8"/>
      <c r="BX1220" s="9"/>
      <c r="CB1220" s="6"/>
      <c r="CC1220" s="10"/>
      <c r="CD1220" s="10"/>
      <c r="CE1220" s="8"/>
      <c r="CU1220" s="4"/>
      <c r="CY1220" s="11"/>
      <c r="DA1220" s="12"/>
      <c r="DB1220" s="13"/>
      <c r="DC1220" s="14"/>
      <c r="DH1220" s="15"/>
      <c r="DM1220" s="4"/>
    </row>
    <row r="1221" spans="2:117" ht="15.75" customHeight="1">
      <c r="B1221" s="10"/>
      <c r="C1221" s="17"/>
      <c r="E1221" s="25"/>
      <c r="F1221" s="35"/>
      <c r="J1221" s="20"/>
      <c r="K1221" s="29"/>
      <c r="L1221" s="22"/>
      <c r="M1221" s="5"/>
      <c r="AD1221" s="4"/>
      <c r="AE1221" s="5"/>
      <c r="BM1221" s="6"/>
      <c r="BN1221" s="7"/>
      <c r="BO1221" s="7"/>
      <c r="BT1221" s="6"/>
      <c r="BU1221" s="6"/>
      <c r="BV1221" s="6"/>
      <c r="BW1221" s="8"/>
      <c r="BX1221" s="9"/>
      <c r="CB1221" s="6"/>
      <c r="CC1221" s="10"/>
      <c r="CD1221" s="10"/>
      <c r="CE1221" s="8"/>
      <c r="CU1221" s="4"/>
      <c r="CY1221" s="11"/>
      <c r="DA1221" s="12"/>
      <c r="DB1221" s="13"/>
      <c r="DC1221" s="14"/>
      <c r="DH1221" s="15"/>
      <c r="DM1221" s="4"/>
    </row>
    <row r="1222" spans="2:117" ht="15.75" customHeight="1">
      <c r="B1222" s="10"/>
      <c r="C1222" s="17"/>
      <c r="E1222" s="25"/>
      <c r="F1222" s="35"/>
      <c r="J1222" s="20"/>
      <c r="K1222" s="29"/>
      <c r="L1222" s="22"/>
      <c r="M1222" s="5"/>
      <c r="AD1222" s="4"/>
      <c r="AE1222" s="5"/>
      <c r="BM1222" s="6"/>
      <c r="BN1222" s="7"/>
      <c r="BO1222" s="7"/>
      <c r="BT1222" s="6"/>
      <c r="BU1222" s="6"/>
      <c r="BV1222" s="6"/>
      <c r="BW1222" s="8"/>
      <c r="BX1222" s="9"/>
      <c r="CB1222" s="6"/>
      <c r="CC1222" s="10"/>
      <c r="CD1222" s="10"/>
      <c r="CE1222" s="8"/>
      <c r="CU1222" s="4"/>
      <c r="CY1222" s="11"/>
      <c r="DA1222" s="12"/>
      <c r="DB1222" s="13"/>
      <c r="DC1222" s="14"/>
      <c r="DH1222" s="15"/>
      <c r="DM1222" s="4"/>
    </row>
    <row r="1223" spans="2:117" ht="15.75" customHeight="1">
      <c r="B1223" s="10"/>
      <c r="C1223" s="17"/>
      <c r="E1223" s="25"/>
      <c r="F1223" s="35"/>
      <c r="J1223" s="20"/>
      <c r="K1223" s="29"/>
      <c r="L1223" s="22"/>
      <c r="M1223" s="5"/>
      <c r="AD1223" s="4"/>
      <c r="AE1223" s="5"/>
      <c r="BM1223" s="6"/>
      <c r="BN1223" s="7"/>
      <c r="BO1223" s="7"/>
      <c r="BT1223" s="6"/>
      <c r="BU1223" s="6"/>
      <c r="BV1223" s="6"/>
      <c r="BW1223" s="8"/>
      <c r="BX1223" s="9"/>
      <c r="CB1223" s="6"/>
      <c r="CC1223" s="10"/>
      <c r="CD1223" s="10"/>
      <c r="CE1223" s="8"/>
      <c r="CU1223" s="4"/>
      <c r="CY1223" s="11"/>
      <c r="DA1223" s="12"/>
      <c r="DB1223" s="13"/>
      <c r="DC1223" s="14"/>
      <c r="DH1223" s="15"/>
      <c r="DM1223" s="4"/>
    </row>
    <row r="1224" spans="2:117" ht="15.75" customHeight="1">
      <c r="B1224" s="10"/>
      <c r="C1224" s="17"/>
      <c r="E1224" s="25"/>
      <c r="F1224" s="35"/>
      <c r="J1224" s="20"/>
      <c r="K1224" s="29"/>
      <c r="L1224" s="22"/>
      <c r="M1224" s="5"/>
      <c r="AD1224" s="4"/>
      <c r="AE1224" s="5"/>
      <c r="BM1224" s="6"/>
      <c r="BN1224" s="7"/>
      <c r="BO1224" s="7"/>
      <c r="BT1224" s="6"/>
      <c r="BU1224" s="6"/>
      <c r="BV1224" s="6"/>
      <c r="BW1224" s="8"/>
      <c r="BX1224" s="9"/>
      <c r="CB1224" s="6"/>
      <c r="CC1224" s="10"/>
      <c r="CD1224" s="10"/>
      <c r="CE1224" s="8"/>
      <c r="CU1224" s="4"/>
      <c r="CY1224" s="11"/>
      <c r="DA1224" s="12"/>
      <c r="DB1224" s="13"/>
      <c r="DC1224" s="14"/>
      <c r="DH1224" s="15"/>
      <c r="DM1224" s="4"/>
    </row>
    <row r="1225" spans="2:117" ht="15.75" customHeight="1">
      <c r="B1225" s="10"/>
      <c r="C1225" s="17"/>
      <c r="E1225" s="25"/>
      <c r="F1225" s="35"/>
      <c r="J1225" s="20"/>
      <c r="K1225" s="29"/>
      <c r="L1225" s="22"/>
      <c r="M1225" s="5"/>
      <c r="AD1225" s="4"/>
      <c r="AE1225" s="5"/>
      <c r="BM1225" s="6"/>
      <c r="BN1225" s="7"/>
      <c r="BO1225" s="7"/>
      <c r="BT1225" s="6"/>
      <c r="BU1225" s="6"/>
      <c r="BV1225" s="6"/>
      <c r="BW1225" s="8"/>
      <c r="BX1225" s="9"/>
      <c r="CB1225" s="6"/>
      <c r="CC1225" s="10"/>
      <c r="CD1225" s="10"/>
      <c r="CE1225" s="8"/>
      <c r="CU1225" s="4"/>
      <c r="CY1225" s="11"/>
      <c r="DA1225" s="12"/>
      <c r="DB1225" s="13"/>
      <c r="DC1225" s="14"/>
      <c r="DH1225" s="15"/>
      <c r="DM1225" s="4"/>
    </row>
    <row r="1226" spans="2:117" ht="15.75" customHeight="1">
      <c r="B1226" s="10"/>
      <c r="C1226" s="17"/>
      <c r="E1226" s="25"/>
      <c r="F1226" s="35"/>
      <c r="J1226" s="20"/>
      <c r="K1226" s="29"/>
      <c r="L1226" s="22"/>
      <c r="M1226" s="5"/>
      <c r="AD1226" s="4"/>
      <c r="AE1226" s="5"/>
      <c r="BM1226" s="6"/>
      <c r="BN1226" s="7"/>
      <c r="BO1226" s="7"/>
      <c r="BT1226" s="6"/>
      <c r="BU1226" s="6"/>
      <c r="BV1226" s="6"/>
      <c r="BW1226" s="8"/>
      <c r="BX1226" s="9"/>
      <c r="CB1226" s="6"/>
      <c r="CC1226" s="10"/>
      <c r="CD1226" s="10"/>
      <c r="CE1226" s="8"/>
      <c r="CU1226" s="4"/>
      <c r="CY1226" s="11"/>
      <c r="DA1226" s="12"/>
      <c r="DB1226" s="13"/>
      <c r="DC1226" s="14"/>
      <c r="DH1226" s="15"/>
      <c r="DM1226" s="4"/>
    </row>
    <row r="1227" spans="2:117" ht="15.75" customHeight="1">
      <c r="B1227" s="10"/>
      <c r="C1227" s="17"/>
      <c r="E1227" s="25"/>
      <c r="F1227" s="35"/>
      <c r="J1227" s="20"/>
      <c r="K1227" s="29"/>
      <c r="L1227" s="22"/>
      <c r="M1227" s="5"/>
      <c r="AD1227" s="4"/>
      <c r="AE1227" s="5"/>
      <c r="BM1227" s="6"/>
      <c r="BN1227" s="7"/>
      <c r="BO1227" s="7"/>
      <c r="BT1227" s="6"/>
      <c r="BU1227" s="6"/>
      <c r="BV1227" s="6"/>
      <c r="BW1227" s="8"/>
      <c r="BX1227" s="9"/>
      <c r="CB1227" s="6"/>
      <c r="CC1227" s="10"/>
      <c r="CD1227" s="10"/>
      <c r="CE1227" s="8"/>
      <c r="CU1227" s="4"/>
      <c r="CY1227" s="11"/>
      <c r="DA1227" s="12"/>
      <c r="DB1227" s="13"/>
      <c r="DC1227" s="14"/>
      <c r="DH1227" s="15"/>
      <c r="DM1227" s="4"/>
    </row>
    <row r="1228" spans="2:117" ht="15.75" customHeight="1">
      <c r="B1228" s="10"/>
      <c r="C1228" s="17"/>
      <c r="E1228" s="25"/>
      <c r="F1228" s="35"/>
      <c r="J1228" s="20"/>
      <c r="K1228" s="29"/>
      <c r="L1228" s="22"/>
      <c r="M1228" s="5"/>
      <c r="AD1228" s="4"/>
      <c r="AE1228" s="5"/>
      <c r="BM1228" s="6"/>
      <c r="BN1228" s="7"/>
      <c r="BO1228" s="7"/>
      <c r="BT1228" s="6"/>
      <c r="BU1228" s="6"/>
      <c r="BV1228" s="6"/>
      <c r="BW1228" s="8"/>
      <c r="BX1228" s="9"/>
      <c r="CB1228" s="6"/>
      <c r="CC1228" s="10"/>
      <c r="CD1228" s="10"/>
      <c r="CE1228" s="8"/>
      <c r="CU1228" s="4"/>
      <c r="CY1228" s="11"/>
      <c r="DA1228" s="12"/>
      <c r="DB1228" s="13"/>
      <c r="DC1228" s="14"/>
      <c r="DH1228" s="15"/>
      <c r="DM1228" s="4"/>
    </row>
    <row r="1229" spans="2:117" ht="15.75" customHeight="1">
      <c r="B1229" s="10"/>
      <c r="C1229" s="17"/>
      <c r="E1229" s="25"/>
      <c r="F1229" s="35"/>
      <c r="J1229" s="20"/>
      <c r="K1229" s="29"/>
      <c r="L1229" s="22"/>
      <c r="M1229" s="5"/>
      <c r="AD1229" s="4"/>
      <c r="AE1229" s="5"/>
      <c r="BM1229" s="6"/>
      <c r="BN1229" s="7"/>
      <c r="BO1229" s="7"/>
      <c r="BT1229" s="6"/>
      <c r="BU1229" s="6"/>
      <c r="BV1229" s="6"/>
      <c r="BW1229" s="8"/>
      <c r="BX1229" s="9"/>
      <c r="CB1229" s="6"/>
      <c r="CC1229" s="10"/>
      <c r="CD1229" s="10"/>
      <c r="CE1229" s="8"/>
      <c r="CU1229" s="4"/>
      <c r="CY1229" s="11"/>
      <c r="DA1229" s="12"/>
      <c r="DB1229" s="13"/>
      <c r="DC1229" s="14"/>
      <c r="DH1229" s="15"/>
      <c r="DM1229" s="4"/>
    </row>
    <row r="1230" spans="2:117" ht="15.75" customHeight="1">
      <c r="B1230" s="10"/>
      <c r="C1230" s="17"/>
      <c r="E1230" s="25"/>
      <c r="F1230" s="35"/>
      <c r="J1230" s="20"/>
      <c r="K1230" s="29"/>
      <c r="L1230" s="22"/>
      <c r="M1230" s="5"/>
      <c r="AD1230" s="4"/>
      <c r="AE1230" s="5"/>
      <c r="BM1230" s="6"/>
      <c r="BN1230" s="7"/>
      <c r="BO1230" s="7"/>
      <c r="BT1230" s="6"/>
      <c r="BU1230" s="6"/>
      <c r="BV1230" s="6"/>
      <c r="BW1230" s="8"/>
      <c r="BX1230" s="9"/>
      <c r="CB1230" s="6"/>
      <c r="CC1230" s="10"/>
      <c r="CD1230" s="10"/>
      <c r="CE1230" s="8"/>
      <c r="CU1230" s="4"/>
      <c r="CY1230" s="11"/>
      <c r="DA1230" s="12"/>
      <c r="DB1230" s="13"/>
      <c r="DC1230" s="14"/>
      <c r="DH1230" s="15"/>
      <c r="DM1230" s="4"/>
    </row>
    <row r="1231" spans="2:117" ht="15.75" customHeight="1">
      <c r="B1231" s="10"/>
      <c r="C1231" s="17"/>
      <c r="E1231" s="25"/>
      <c r="F1231" s="35"/>
      <c r="J1231" s="20"/>
      <c r="K1231" s="29"/>
      <c r="L1231" s="22"/>
      <c r="M1231" s="5"/>
      <c r="AD1231" s="4"/>
      <c r="AE1231" s="5"/>
      <c r="BM1231" s="6"/>
      <c r="BN1231" s="7"/>
      <c r="BO1231" s="7"/>
      <c r="BT1231" s="6"/>
      <c r="BU1231" s="6"/>
      <c r="BV1231" s="6"/>
      <c r="BW1231" s="8"/>
      <c r="BX1231" s="9"/>
      <c r="CB1231" s="6"/>
      <c r="CC1231" s="10"/>
      <c r="CD1231" s="10"/>
      <c r="CE1231" s="8"/>
      <c r="CU1231" s="4"/>
      <c r="CY1231" s="11"/>
      <c r="DA1231" s="12"/>
      <c r="DB1231" s="13"/>
      <c r="DC1231" s="14"/>
      <c r="DH1231" s="15"/>
      <c r="DM1231" s="4"/>
    </row>
    <row r="1232" spans="2:117" ht="15.75" customHeight="1">
      <c r="B1232" s="10"/>
      <c r="C1232" s="17"/>
      <c r="E1232" s="25"/>
      <c r="F1232" s="35"/>
      <c r="J1232" s="20"/>
      <c r="K1232" s="29"/>
      <c r="L1232" s="22"/>
      <c r="M1232" s="5"/>
      <c r="AD1232" s="4"/>
      <c r="AE1232" s="5"/>
      <c r="BM1232" s="6"/>
      <c r="BN1232" s="7"/>
      <c r="BO1232" s="7"/>
      <c r="BT1232" s="6"/>
      <c r="BU1232" s="6"/>
      <c r="BV1232" s="6"/>
      <c r="BW1232" s="8"/>
      <c r="BX1232" s="9"/>
      <c r="CB1232" s="6"/>
      <c r="CC1232" s="10"/>
      <c r="CD1232" s="10"/>
      <c r="CE1232" s="8"/>
      <c r="CU1232" s="4"/>
      <c r="CY1232" s="11"/>
      <c r="DA1232" s="12"/>
      <c r="DB1232" s="13"/>
      <c r="DC1232" s="14"/>
      <c r="DH1232" s="15"/>
      <c r="DM1232" s="4"/>
    </row>
    <row r="1233" spans="2:117" ht="15.75" customHeight="1">
      <c r="B1233" s="10"/>
      <c r="C1233" s="17"/>
      <c r="E1233" s="25"/>
      <c r="F1233" s="35"/>
      <c r="J1233" s="20"/>
      <c r="K1233" s="29"/>
      <c r="L1233" s="22"/>
      <c r="M1233" s="5"/>
      <c r="AD1233" s="4"/>
      <c r="AE1233" s="5"/>
      <c r="BM1233" s="6"/>
      <c r="BN1233" s="7"/>
      <c r="BO1233" s="7"/>
      <c r="BT1233" s="6"/>
      <c r="BU1233" s="6"/>
      <c r="BV1233" s="6"/>
      <c r="BW1233" s="8"/>
      <c r="BX1233" s="9"/>
      <c r="CB1233" s="6"/>
      <c r="CC1233" s="10"/>
      <c r="CD1233" s="10"/>
      <c r="CE1233" s="8"/>
      <c r="CU1233" s="4"/>
      <c r="CY1233" s="11"/>
      <c r="DA1233" s="12"/>
      <c r="DB1233" s="13"/>
      <c r="DC1233" s="14"/>
      <c r="DH1233" s="15"/>
      <c r="DM1233" s="4"/>
    </row>
    <row r="1234" spans="2:117" ht="15.75" customHeight="1">
      <c r="B1234" s="10"/>
      <c r="C1234" s="17"/>
      <c r="E1234" s="25"/>
      <c r="F1234" s="35"/>
      <c r="J1234" s="20"/>
      <c r="K1234" s="29"/>
      <c r="L1234" s="22"/>
      <c r="M1234" s="5"/>
      <c r="AD1234" s="4"/>
      <c r="AE1234" s="5"/>
      <c r="BM1234" s="6"/>
      <c r="BN1234" s="7"/>
      <c r="BO1234" s="7"/>
      <c r="BT1234" s="6"/>
      <c r="BU1234" s="6"/>
      <c r="BV1234" s="6"/>
      <c r="BW1234" s="8"/>
      <c r="BX1234" s="9"/>
      <c r="CB1234" s="6"/>
      <c r="CC1234" s="10"/>
      <c r="CD1234" s="10"/>
      <c r="CE1234" s="8"/>
      <c r="CU1234" s="4"/>
      <c r="CY1234" s="11"/>
      <c r="DA1234" s="12"/>
      <c r="DB1234" s="13"/>
      <c r="DC1234" s="14"/>
      <c r="DH1234" s="15"/>
      <c r="DM1234" s="4"/>
    </row>
    <row r="1235" spans="2:117" ht="15.75" customHeight="1">
      <c r="B1235" s="10"/>
      <c r="C1235" s="17"/>
      <c r="E1235" s="25"/>
      <c r="F1235" s="35"/>
      <c r="J1235" s="20"/>
      <c r="K1235" s="29"/>
      <c r="L1235" s="22"/>
      <c r="M1235" s="5"/>
      <c r="AD1235" s="4"/>
      <c r="AE1235" s="5"/>
      <c r="BM1235" s="6"/>
      <c r="BN1235" s="7"/>
      <c r="BO1235" s="7"/>
      <c r="BT1235" s="6"/>
      <c r="BU1235" s="6"/>
      <c r="BV1235" s="6"/>
      <c r="BW1235" s="8"/>
      <c r="BX1235" s="9"/>
      <c r="CB1235" s="6"/>
      <c r="CC1235" s="10"/>
      <c r="CD1235" s="10"/>
      <c r="CE1235" s="8"/>
      <c r="CU1235" s="4"/>
      <c r="CY1235" s="11"/>
      <c r="DA1235" s="12"/>
      <c r="DB1235" s="13"/>
      <c r="DC1235" s="14"/>
      <c r="DH1235" s="15"/>
      <c r="DM1235" s="4"/>
    </row>
    <row r="1236" spans="2:117" ht="15.75" customHeight="1">
      <c r="B1236" s="10"/>
      <c r="C1236" s="17"/>
      <c r="E1236" s="25"/>
      <c r="F1236" s="35"/>
      <c r="J1236" s="20"/>
      <c r="K1236" s="29"/>
      <c r="L1236" s="22"/>
      <c r="M1236" s="5"/>
      <c r="AD1236" s="4"/>
      <c r="AE1236" s="5"/>
      <c r="BM1236" s="6"/>
      <c r="BN1236" s="7"/>
      <c r="BO1236" s="7"/>
      <c r="BT1236" s="6"/>
      <c r="BU1236" s="6"/>
      <c r="BV1236" s="6"/>
      <c r="BW1236" s="8"/>
      <c r="BX1236" s="9"/>
      <c r="CB1236" s="6"/>
      <c r="CC1236" s="10"/>
      <c r="CD1236" s="10"/>
      <c r="CE1236" s="8"/>
      <c r="CU1236" s="4"/>
      <c r="CY1236" s="11"/>
      <c r="DA1236" s="12"/>
      <c r="DB1236" s="13"/>
      <c r="DC1236" s="14"/>
      <c r="DH1236" s="15"/>
      <c r="DM1236" s="4"/>
    </row>
    <row r="1237" spans="2:117" ht="15.75" customHeight="1">
      <c r="B1237" s="10"/>
      <c r="C1237" s="17"/>
      <c r="E1237" s="25"/>
      <c r="F1237" s="35"/>
      <c r="J1237" s="20"/>
      <c r="K1237" s="29"/>
      <c r="L1237" s="22"/>
      <c r="M1237" s="5"/>
      <c r="AD1237" s="4"/>
      <c r="AE1237" s="5"/>
      <c r="BM1237" s="6"/>
      <c r="BN1237" s="7"/>
      <c r="BO1237" s="7"/>
      <c r="BT1237" s="6"/>
      <c r="BU1237" s="6"/>
      <c r="BV1237" s="6"/>
      <c r="BW1237" s="8"/>
      <c r="BX1237" s="9"/>
      <c r="CB1237" s="6"/>
      <c r="CC1237" s="10"/>
      <c r="CD1237" s="10"/>
      <c r="CE1237" s="8"/>
      <c r="CU1237" s="4"/>
      <c r="CY1237" s="11"/>
      <c r="DA1237" s="12"/>
      <c r="DB1237" s="13"/>
      <c r="DC1237" s="14"/>
      <c r="DH1237" s="15"/>
      <c r="DM1237" s="4"/>
    </row>
    <row r="1238" spans="2:117" ht="15.75" customHeight="1">
      <c r="B1238" s="10"/>
      <c r="C1238" s="17"/>
      <c r="E1238" s="25"/>
      <c r="F1238" s="35"/>
      <c r="J1238" s="20"/>
      <c r="K1238" s="29"/>
      <c r="L1238" s="22"/>
      <c r="M1238" s="5"/>
      <c r="AD1238" s="4"/>
      <c r="AE1238" s="5"/>
      <c r="BM1238" s="6"/>
      <c r="BN1238" s="7"/>
      <c r="BO1238" s="7"/>
      <c r="BT1238" s="6"/>
      <c r="BU1238" s="6"/>
      <c r="BV1238" s="6"/>
      <c r="BW1238" s="8"/>
      <c r="BX1238" s="9"/>
      <c r="CB1238" s="6"/>
      <c r="CC1238" s="10"/>
      <c r="CD1238" s="10"/>
      <c r="CE1238" s="8"/>
      <c r="CU1238" s="4"/>
      <c r="CY1238" s="11"/>
      <c r="DA1238" s="12"/>
      <c r="DB1238" s="13"/>
      <c r="DC1238" s="14"/>
      <c r="DH1238" s="15"/>
      <c r="DM1238" s="4"/>
    </row>
    <row r="1239" spans="2:117" ht="15.75" customHeight="1">
      <c r="B1239" s="10"/>
      <c r="C1239" s="17"/>
      <c r="E1239" s="25"/>
      <c r="F1239" s="35"/>
      <c r="J1239" s="20"/>
      <c r="K1239" s="29"/>
      <c r="L1239" s="22"/>
      <c r="M1239" s="5"/>
      <c r="AD1239" s="4"/>
      <c r="AE1239" s="5"/>
      <c r="BM1239" s="6"/>
      <c r="BN1239" s="7"/>
      <c r="BO1239" s="7"/>
      <c r="BT1239" s="6"/>
      <c r="BU1239" s="6"/>
      <c r="BV1239" s="6"/>
      <c r="BW1239" s="8"/>
      <c r="BX1239" s="9"/>
      <c r="CB1239" s="6"/>
      <c r="CC1239" s="10"/>
      <c r="CD1239" s="10"/>
      <c r="CE1239" s="8"/>
      <c r="CU1239" s="4"/>
      <c r="CY1239" s="11"/>
      <c r="DA1239" s="12"/>
      <c r="DB1239" s="13"/>
      <c r="DC1239" s="14"/>
      <c r="DH1239" s="15"/>
      <c r="DM1239" s="4"/>
    </row>
    <row r="1240" spans="2:117" ht="15.75" customHeight="1">
      <c r="B1240" s="10"/>
      <c r="C1240" s="17"/>
      <c r="E1240" s="25"/>
      <c r="F1240" s="35"/>
      <c r="J1240" s="20"/>
      <c r="K1240" s="29"/>
      <c r="L1240" s="22"/>
      <c r="M1240" s="5"/>
      <c r="AD1240" s="4"/>
      <c r="AE1240" s="5"/>
      <c r="BM1240" s="6"/>
      <c r="BN1240" s="7"/>
      <c r="BO1240" s="7"/>
      <c r="BT1240" s="6"/>
      <c r="BU1240" s="6"/>
      <c r="BV1240" s="6"/>
      <c r="BW1240" s="8"/>
      <c r="BX1240" s="9"/>
      <c r="CB1240" s="6"/>
      <c r="CC1240" s="10"/>
      <c r="CD1240" s="10"/>
      <c r="CE1240" s="8"/>
      <c r="CU1240" s="4"/>
      <c r="CY1240" s="11"/>
      <c r="DA1240" s="12"/>
      <c r="DB1240" s="13"/>
      <c r="DC1240" s="14"/>
      <c r="DH1240" s="15"/>
      <c r="DM1240" s="4"/>
    </row>
    <row r="1241" spans="2:117" ht="15.75" customHeight="1">
      <c r="B1241" s="10"/>
      <c r="C1241" s="17"/>
      <c r="E1241" s="25"/>
      <c r="F1241" s="35"/>
      <c r="J1241" s="20"/>
      <c r="K1241" s="29"/>
      <c r="L1241" s="22"/>
      <c r="M1241" s="5"/>
      <c r="AD1241" s="4"/>
      <c r="AE1241" s="5"/>
      <c r="BM1241" s="6"/>
      <c r="BN1241" s="7"/>
      <c r="BO1241" s="7"/>
      <c r="BT1241" s="6"/>
      <c r="BU1241" s="6"/>
      <c r="BV1241" s="6"/>
      <c r="BW1241" s="8"/>
      <c r="BX1241" s="9"/>
      <c r="CB1241" s="6"/>
      <c r="CC1241" s="10"/>
      <c r="CD1241" s="10"/>
      <c r="CE1241" s="8"/>
      <c r="CU1241" s="4"/>
      <c r="CY1241" s="11"/>
      <c r="DA1241" s="12"/>
      <c r="DB1241" s="13"/>
      <c r="DC1241" s="14"/>
      <c r="DH1241" s="15"/>
      <c r="DM1241" s="4"/>
    </row>
    <row r="1242" spans="2:117" ht="15.75" customHeight="1">
      <c r="B1242" s="10"/>
      <c r="C1242" s="17"/>
      <c r="E1242" s="25"/>
      <c r="F1242" s="35"/>
      <c r="J1242" s="20"/>
      <c r="K1242" s="29"/>
      <c r="L1242" s="22"/>
      <c r="M1242" s="5"/>
      <c r="AD1242" s="4"/>
      <c r="AE1242" s="5"/>
      <c r="BM1242" s="6"/>
      <c r="BN1242" s="7"/>
      <c r="BO1242" s="7"/>
      <c r="BT1242" s="6"/>
      <c r="BU1242" s="6"/>
      <c r="BV1242" s="6"/>
      <c r="BW1242" s="8"/>
      <c r="BX1242" s="9"/>
      <c r="CB1242" s="6"/>
      <c r="CC1242" s="10"/>
      <c r="CD1242" s="10"/>
      <c r="CE1242" s="8"/>
      <c r="CU1242" s="4"/>
      <c r="CY1242" s="11"/>
      <c r="DA1242" s="12"/>
      <c r="DB1242" s="13"/>
      <c r="DC1242" s="14"/>
      <c r="DH1242" s="15"/>
      <c r="DM1242" s="4"/>
    </row>
    <row r="1243" spans="2:117" ht="15.75" customHeight="1">
      <c r="B1243" s="10"/>
      <c r="C1243" s="17"/>
      <c r="E1243" s="25"/>
      <c r="F1243" s="35"/>
      <c r="J1243" s="20"/>
      <c r="K1243" s="29"/>
      <c r="L1243" s="22"/>
      <c r="M1243" s="5"/>
      <c r="AD1243" s="4"/>
      <c r="AE1243" s="5"/>
      <c r="BM1243" s="6"/>
      <c r="BN1243" s="7"/>
      <c r="BO1243" s="7"/>
      <c r="BT1243" s="6"/>
      <c r="BU1243" s="6"/>
      <c r="BV1243" s="6"/>
      <c r="BW1243" s="8"/>
      <c r="BX1243" s="9"/>
      <c r="CB1243" s="6"/>
      <c r="CC1243" s="10"/>
      <c r="CD1243" s="10"/>
      <c r="CE1243" s="8"/>
      <c r="CU1243" s="4"/>
      <c r="CY1243" s="11"/>
      <c r="DA1243" s="12"/>
      <c r="DB1243" s="13"/>
      <c r="DC1243" s="14"/>
      <c r="DH1243" s="15"/>
      <c r="DM1243" s="4"/>
    </row>
    <row r="1244" spans="2:117" ht="15.75" customHeight="1">
      <c r="B1244" s="10"/>
      <c r="C1244" s="17"/>
      <c r="E1244" s="25"/>
      <c r="F1244" s="35"/>
      <c r="J1244" s="20"/>
      <c r="K1244" s="29"/>
      <c r="L1244" s="22"/>
      <c r="M1244" s="5"/>
      <c r="AD1244" s="4"/>
      <c r="AE1244" s="5"/>
      <c r="BM1244" s="6"/>
      <c r="BN1244" s="7"/>
      <c r="BO1244" s="7"/>
      <c r="BT1244" s="6"/>
      <c r="BU1244" s="6"/>
      <c r="BV1244" s="6"/>
      <c r="BW1244" s="8"/>
      <c r="BX1244" s="9"/>
      <c r="CB1244" s="6"/>
      <c r="CC1244" s="10"/>
      <c r="CD1244" s="10"/>
      <c r="CE1244" s="8"/>
      <c r="CU1244" s="4"/>
      <c r="CY1244" s="11"/>
      <c r="DA1244" s="12"/>
      <c r="DB1244" s="13"/>
      <c r="DC1244" s="14"/>
      <c r="DH1244" s="15"/>
      <c r="DM1244" s="4"/>
    </row>
    <row r="1245" spans="2:117" ht="15.75" customHeight="1">
      <c r="B1245" s="10"/>
      <c r="C1245" s="17"/>
      <c r="E1245" s="25"/>
      <c r="F1245" s="35"/>
      <c r="J1245" s="20"/>
      <c r="K1245" s="29"/>
      <c r="L1245" s="22"/>
      <c r="M1245" s="5"/>
      <c r="AD1245" s="4"/>
      <c r="AE1245" s="5"/>
      <c r="BM1245" s="6"/>
      <c r="BN1245" s="7"/>
      <c r="BO1245" s="7"/>
      <c r="BT1245" s="6"/>
      <c r="BU1245" s="6"/>
      <c r="BV1245" s="6"/>
      <c r="BW1245" s="8"/>
      <c r="BX1245" s="9"/>
      <c r="CB1245" s="6"/>
      <c r="CC1245" s="10"/>
      <c r="CD1245" s="10"/>
      <c r="CE1245" s="8"/>
      <c r="CU1245" s="4"/>
      <c r="CY1245" s="11"/>
      <c r="DA1245" s="12"/>
      <c r="DB1245" s="13"/>
      <c r="DC1245" s="14"/>
      <c r="DH1245" s="15"/>
      <c r="DM1245" s="4"/>
    </row>
    <row r="1246" spans="2:117" ht="15.75" customHeight="1">
      <c r="B1246" s="10"/>
      <c r="C1246" s="17"/>
      <c r="E1246" s="25"/>
      <c r="F1246" s="35"/>
      <c r="J1246" s="20"/>
      <c r="K1246" s="29"/>
      <c r="L1246" s="22"/>
      <c r="M1246" s="5"/>
      <c r="AD1246" s="4"/>
      <c r="AE1246" s="5"/>
      <c r="BM1246" s="6"/>
      <c r="BN1246" s="7"/>
      <c r="BO1246" s="7"/>
      <c r="BT1246" s="6"/>
      <c r="BU1246" s="6"/>
      <c r="BV1246" s="6"/>
      <c r="BW1246" s="8"/>
      <c r="BX1246" s="9"/>
      <c r="CB1246" s="6"/>
      <c r="CC1246" s="10"/>
      <c r="CD1246" s="10"/>
      <c r="CE1246" s="8"/>
      <c r="CU1246" s="4"/>
      <c r="CY1246" s="11"/>
      <c r="DA1246" s="12"/>
      <c r="DB1246" s="13"/>
      <c r="DC1246" s="14"/>
      <c r="DH1246" s="15"/>
      <c r="DM1246" s="4"/>
    </row>
    <row r="1247" spans="2:117" ht="15.75" customHeight="1">
      <c r="B1247" s="10"/>
      <c r="C1247" s="17"/>
      <c r="E1247" s="25"/>
      <c r="F1247" s="35"/>
      <c r="J1247" s="20"/>
      <c r="K1247" s="29"/>
      <c r="L1247" s="22"/>
      <c r="M1247" s="5"/>
      <c r="AD1247" s="4"/>
      <c r="AE1247" s="5"/>
      <c r="BM1247" s="6"/>
      <c r="BN1247" s="7"/>
      <c r="BO1247" s="7"/>
      <c r="BT1247" s="6"/>
      <c r="BU1247" s="6"/>
      <c r="BV1247" s="6"/>
      <c r="BW1247" s="8"/>
      <c r="BX1247" s="9"/>
      <c r="CB1247" s="6"/>
      <c r="CC1247" s="10"/>
      <c r="CD1247" s="10"/>
      <c r="CE1247" s="8"/>
      <c r="CU1247" s="4"/>
      <c r="CY1247" s="11"/>
      <c r="DA1247" s="12"/>
      <c r="DB1247" s="13"/>
      <c r="DC1247" s="14"/>
      <c r="DH1247" s="15"/>
      <c r="DM1247" s="4"/>
    </row>
    <row r="1248" spans="2:117" ht="15.75" customHeight="1">
      <c r="B1248" s="10"/>
      <c r="C1248" s="17"/>
      <c r="E1248" s="25"/>
      <c r="F1248" s="35"/>
      <c r="J1248" s="20"/>
      <c r="K1248" s="29"/>
      <c r="L1248" s="22"/>
      <c r="M1248" s="5"/>
      <c r="AD1248" s="4"/>
      <c r="AE1248" s="5"/>
      <c r="BM1248" s="6"/>
      <c r="BN1248" s="7"/>
      <c r="BO1248" s="7"/>
      <c r="BT1248" s="6"/>
      <c r="BU1248" s="6"/>
      <c r="BV1248" s="6"/>
      <c r="BW1248" s="8"/>
      <c r="BX1248" s="9"/>
      <c r="CB1248" s="6"/>
      <c r="CC1248" s="10"/>
      <c r="CD1248" s="10"/>
      <c r="CE1248" s="8"/>
      <c r="CU1248" s="4"/>
      <c r="CY1248" s="11"/>
      <c r="DA1248" s="12"/>
      <c r="DB1248" s="13"/>
      <c r="DC1248" s="14"/>
      <c r="DH1248" s="15"/>
      <c r="DM1248" s="4"/>
    </row>
    <row r="1249" spans="2:117" ht="15.75" customHeight="1">
      <c r="B1249" s="10"/>
      <c r="C1249" s="17"/>
      <c r="E1249" s="25"/>
      <c r="F1249" s="35"/>
      <c r="J1249" s="20"/>
      <c r="K1249" s="29"/>
      <c r="L1249" s="22"/>
      <c r="M1249" s="5"/>
      <c r="AD1249" s="4"/>
      <c r="AE1249" s="5"/>
      <c r="BM1249" s="6"/>
      <c r="BN1249" s="7"/>
      <c r="BO1249" s="7"/>
      <c r="BT1249" s="6"/>
      <c r="BU1249" s="6"/>
      <c r="BV1249" s="6"/>
      <c r="BW1249" s="8"/>
      <c r="BX1249" s="9"/>
      <c r="CB1249" s="6"/>
      <c r="CC1249" s="10"/>
      <c r="CD1249" s="10"/>
      <c r="CE1249" s="8"/>
      <c r="CU1249" s="4"/>
      <c r="CY1249" s="11"/>
      <c r="DA1249" s="12"/>
      <c r="DB1249" s="13"/>
      <c r="DC1249" s="14"/>
      <c r="DH1249" s="15"/>
      <c r="DM1249" s="4"/>
    </row>
    <row r="1250" spans="2:117" ht="15.75" customHeight="1">
      <c r="B1250" s="10"/>
      <c r="C1250" s="17"/>
      <c r="E1250" s="25"/>
      <c r="F1250" s="35"/>
      <c r="J1250" s="20"/>
      <c r="K1250" s="29"/>
      <c r="L1250" s="22"/>
      <c r="M1250" s="5"/>
      <c r="AD1250" s="4"/>
      <c r="AE1250" s="5"/>
      <c r="BM1250" s="6"/>
      <c r="BN1250" s="7"/>
      <c r="BO1250" s="7"/>
      <c r="BT1250" s="6"/>
      <c r="BU1250" s="6"/>
      <c r="BV1250" s="6"/>
      <c r="BW1250" s="8"/>
      <c r="BX1250" s="9"/>
      <c r="CB1250" s="6"/>
      <c r="CC1250" s="10"/>
      <c r="CD1250" s="10"/>
      <c r="CE1250" s="8"/>
      <c r="CU1250" s="4"/>
      <c r="CY1250" s="11"/>
      <c r="DA1250" s="12"/>
      <c r="DB1250" s="13"/>
      <c r="DC1250" s="14"/>
      <c r="DH1250" s="15"/>
      <c r="DM1250" s="4"/>
    </row>
    <row r="1251" spans="2:117" ht="15.75" customHeight="1">
      <c r="B1251" s="10"/>
      <c r="C1251" s="17"/>
      <c r="E1251" s="25"/>
      <c r="F1251" s="35"/>
      <c r="J1251" s="20"/>
      <c r="K1251" s="29"/>
      <c r="L1251" s="22"/>
      <c r="M1251" s="5"/>
      <c r="AD1251" s="4"/>
      <c r="AE1251" s="5"/>
      <c r="BM1251" s="6"/>
      <c r="BN1251" s="7"/>
      <c r="BO1251" s="7"/>
      <c r="BT1251" s="6"/>
      <c r="BU1251" s="6"/>
      <c r="BV1251" s="6"/>
      <c r="BW1251" s="8"/>
      <c r="BX1251" s="9"/>
      <c r="CB1251" s="6"/>
      <c r="CC1251" s="10"/>
      <c r="CD1251" s="10"/>
      <c r="CE1251" s="8"/>
      <c r="CU1251" s="4"/>
      <c r="CY1251" s="11"/>
      <c r="DA1251" s="12"/>
      <c r="DB1251" s="13"/>
      <c r="DC1251" s="14"/>
      <c r="DH1251" s="15"/>
      <c r="DM1251" s="4"/>
    </row>
    <row r="1252" spans="2:117" ht="15.75" customHeight="1">
      <c r="B1252" s="10"/>
      <c r="C1252" s="17"/>
      <c r="E1252" s="25"/>
      <c r="F1252" s="35"/>
      <c r="J1252" s="20"/>
      <c r="K1252" s="29"/>
      <c r="L1252" s="22"/>
      <c r="M1252" s="5"/>
      <c r="AD1252" s="4"/>
      <c r="AE1252" s="5"/>
      <c r="BM1252" s="6"/>
      <c r="BN1252" s="7"/>
      <c r="BO1252" s="7"/>
      <c r="BT1252" s="6"/>
      <c r="BU1252" s="6"/>
      <c r="BV1252" s="6"/>
      <c r="BW1252" s="8"/>
      <c r="BX1252" s="9"/>
      <c r="CB1252" s="6"/>
      <c r="CC1252" s="10"/>
      <c r="CD1252" s="10"/>
      <c r="CE1252" s="8"/>
      <c r="CU1252" s="4"/>
      <c r="CY1252" s="11"/>
      <c r="DA1252" s="12"/>
      <c r="DB1252" s="13"/>
      <c r="DC1252" s="14"/>
      <c r="DH1252" s="15"/>
      <c r="DM1252" s="4"/>
    </row>
    <row r="1253" spans="2:117" ht="15.75" customHeight="1">
      <c r="B1253" s="10"/>
      <c r="C1253" s="17"/>
      <c r="E1253" s="25"/>
      <c r="F1253" s="35"/>
      <c r="J1253" s="20"/>
      <c r="K1253" s="29"/>
      <c r="L1253" s="22"/>
      <c r="M1253" s="5"/>
      <c r="AD1253" s="4"/>
      <c r="AE1253" s="5"/>
      <c r="BM1253" s="6"/>
      <c r="BN1253" s="7"/>
      <c r="BO1253" s="7"/>
      <c r="BT1253" s="6"/>
      <c r="BU1253" s="6"/>
      <c r="BV1253" s="6"/>
      <c r="BW1253" s="8"/>
      <c r="BX1253" s="9"/>
      <c r="CB1253" s="6"/>
      <c r="CC1253" s="10"/>
      <c r="CD1253" s="10"/>
      <c r="CE1253" s="8"/>
      <c r="CU1253" s="4"/>
      <c r="CY1253" s="11"/>
      <c r="DA1253" s="12"/>
      <c r="DB1253" s="13"/>
      <c r="DC1253" s="14"/>
      <c r="DH1253" s="15"/>
      <c r="DM1253" s="4"/>
    </row>
    <row r="1254" spans="2:117" ht="15.75" customHeight="1">
      <c r="B1254" s="10"/>
      <c r="C1254" s="17"/>
      <c r="E1254" s="25"/>
      <c r="F1254" s="35"/>
      <c r="J1254" s="20"/>
      <c r="K1254" s="29"/>
      <c r="L1254" s="22"/>
      <c r="M1254" s="5"/>
      <c r="AD1254" s="4"/>
      <c r="AE1254" s="5"/>
      <c r="BM1254" s="6"/>
      <c r="BN1254" s="7"/>
      <c r="BO1254" s="7"/>
      <c r="BT1254" s="6"/>
      <c r="BU1254" s="6"/>
      <c r="BV1254" s="6"/>
      <c r="BW1254" s="8"/>
      <c r="BX1254" s="9"/>
      <c r="CB1254" s="6"/>
      <c r="CC1254" s="10"/>
      <c r="CD1254" s="10"/>
      <c r="CE1254" s="8"/>
      <c r="CU1254" s="4"/>
      <c r="CY1254" s="11"/>
      <c r="DA1254" s="12"/>
      <c r="DB1254" s="13"/>
      <c r="DC1254" s="14"/>
      <c r="DH1254" s="15"/>
      <c r="DM1254" s="4"/>
    </row>
    <row r="1255" spans="2:117" ht="15.75" customHeight="1">
      <c r="B1255" s="10"/>
      <c r="C1255" s="17"/>
      <c r="E1255" s="25"/>
      <c r="F1255" s="35"/>
      <c r="J1255" s="20"/>
      <c r="K1255" s="29"/>
      <c r="L1255" s="22"/>
      <c r="M1255" s="5"/>
      <c r="AD1255" s="4"/>
      <c r="AE1255" s="5"/>
      <c r="BM1255" s="6"/>
      <c r="BN1255" s="7"/>
      <c r="BO1255" s="7"/>
      <c r="BT1255" s="6"/>
      <c r="BU1255" s="6"/>
      <c r="BV1255" s="6"/>
      <c r="BW1255" s="8"/>
      <c r="BX1255" s="9"/>
      <c r="CB1255" s="6"/>
      <c r="CC1255" s="10"/>
      <c r="CD1255" s="10"/>
      <c r="CE1255" s="8"/>
      <c r="CU1255" s="4"/>
      <c r="CY1255" s="11"/>
      <c r="DA1255" s="12"/>
      <c r="DB1255" s="13"/>
      <c r="DC1255" s="14"/>
      <c r="DH1255" s="15"/>
      <c r="DM1255" s="4"/>
    </row>
    <row r="1256" spans="2:117" ht="15.75" customHeight="1">
      <c r="B1256" s="10"/>
      <c r="C1256" s="17"/>
      <c r="E1256" s="25"/>
      <c r="F1256" s="35"/>
      <c r="J1256" s="20"/>
      <c r="K1256" s="29"/>
      <c r="L1256" s="22"/>
      <c r="M1256" s="5"/>
      <c r="AD1256" s="4"/>
      <c r="AE1256" s="5"/>
      <c r="BM1256" s="6"/>
      <c r="BN1256" s="7"/>
      <c r="BO1256" s="7"/>
      <c r="BT1256" s="6"/>
      <c r="BU1256" s="6"/>
      <c r="BV1256" s="6"/>
      <c r="BW1256" s="8"/>
      <c r="BX1256" s="9"/>
      <c r="CB1256" s="6"/>
      <c r="CC1256" s="10"/>
      <c r="CD1256" s="10"/>
      <c r="CE1256" s="8"/>
      <c r="CU1256" s="4"/>
      <c r="CY1256" s="11"/>
      <c r="DA1256" s="12"/>
      <c r="DB1256" s="13"/>
      <c r="DC1256" s="14"/>
      <c r="DH1256" s="15"/>
      <c r="DM1256" s="4"/>
    </row>
    <row r="1257" spans="2:117" ht="15.75" customHeight="1">
      <c r="B1257" s="10"/>
      <c r="C1257" s="17"/>
      <c r="E1257" s="25"/>
      <c r="F1257" s="35"/>
      <c r="J1257" s="20"/>
      <c r="K1257" s="29"/>
      <c r="L1257" s="22"/>
      <c r="M1257" s="5"/>
      <c r="AD1257" s="4"/>
      <c r="AE1257" s="5"/>
      <c r="BM1257" s="6"/>
      <c r="BN1257" s="7"/>
      <c r="BO1257" s="7"/>
      <c r="BT1257" s="6"/>
      <c r="BU1257" s="6"/>
      <c r="BV1257" s="6"/>
      <c r="BW1257" s="8"/>
      <c r="BX1257" s="9"/>
      <c r="CB1257" s="6"/>
      <c r="CC1257" s="10"/>
      <c r="CD1257" s="10"/>
      <c r="CE1257" s="8"/>
      <c r="CU1257" s="4"/>
      <c r="CY1257" s="11"/>
      <c r="DA1257" s="12"/>
      <c r="DB1257" s="13"/>
      <c r="DC1257" s="14"/>
      <c r="DH1257" s="15"/>
      <c r="DM1257" s="4"/>
    </row>
    <row r="1258" spans="2:117" ht="15.75" customHeight="1">
      <c r="B1258" s="10"/>
      <c r="C1258" s="17"/>
      <c r="E1258" s="25"/>
      <c r="F1258" s="35"/>
      <c r="J1258" s="20"/>
      <c r="K1258" s="29"/>
      <c r="L1258" s="22"/>
      <c r="M1258" s="5"/>
      <c r="AD1258" s="4"/>
      <c r="AE1258" s="5"/>
      <c r="BM1258" s="6"/>
      <c r="BN1258" s="7"/>
      <c r="BO1258" s="7"/>
      <c r="BT1258" s="6"/>
      <c r="BU1258" s="6"/>
      <c r="BV1258" s="6"/>
      <c r="BW1258" s="8"/>
      <c r="BX1258" s="9"/>
      <c r="CB1258" s="6"/>
      <c r="CC1258" s="10"/>
      <c r="CD1258" s="10"/>
      <c r="CE1258" s="8"/>
      <c r="CU1258" s="4"/>
      <c r="CY1258" s="11"/>
      <c r="DA1258" s="12"/>
      <c r="DB1258" s="13"/>
      <c r="DC1258" s="14"/>
      <c r="DH1258" s="15"/>
      <c r="DM1258" s="4"/>
    </row>
    <row r="1259" spans="2:117" ht="15.75" customHeight="1">
      <c r="B1259" s="10"/>
      <c r="C1259" s="17"/>
      <c r="E1259" s="25"/>
      <c r="F1259" s="35"/>
      <c r="J1259" s="20"/>
      <c r="K1259" s="29"/>
      <c r="L1259" s="22"/>
      <c r="M1259" s="5"/>
      <c r="AD1259" s="4"/>
      <c r="AE1259" s="5"/>
      <c r="BM1259" s="6"/>
      <c r="BN1259" s="7"/>
      <c r="BO1259" s="7"/>
      <c r="BT1259" s="6"/>
      <c r="BU1259" s="6"/>
      <c r="BV1259" s="6"/>
      <c r="BW1259" s="8"/>
      <c r="BX1259" s="9"/>
      <c r="CB1259" s="6"/>
      <c r="CC1259" s="10"/>
      <c r="CD1259" s="10"/>
      <c r="CE1259" s="8"/>
      <c r="CU1259" s="4"/>
      <c r="CY1259" s="11"/>
      <c r="DA1259" s="12"/>
      <c r="DB1259" s="13"/>
      <c r="DC1259" s="14"/>
      <c r="DH1259" s="15"/>
      <c r="DM1259" s="4"/>
    </row>
    <row r="1260" spans="2:117" ht="15.75" customHeight="1">
      <c r="B1260" s="10"/>
      <c r="C1260" s="17"/>
      <c r="E1260" s="25"/>
      <c r="F1260" s="35"/>
      <c r="J1260" s="20"/>
      <c r="K1260" s="29"/>
      <c r="L1260" s="22"/>
      <c r="M1260" s="5"/>
      <c r="AD1260" s="4"/>
      <c r="AE1260" s="5"/>
      <c r="BM1260" s="6"/>
      <c r="BN1260" s="7"/>
      <c r="BO1260" s="7"/>
      <c r="BT1260" s="6"/>
      <c r="BU1260" s="6"/>
      <c r="BV1260" s="6"/>
      <c r="BW1260" s="8"/>
      <c r="BX1260" s="9"/>
      <c r="CB1260" s="6"/>
      <c r="CC1260" s="10"/>
      <c r="CD1260" s="10"/>
      <c r="CE1260" s="8"/>
      <c r="CU1260" s="4"/>
      <c r="CY1260" s="11"/>
      <c r="DA1260" s="12"/>
      <c r="DB1260" s="13"/>
      <c r="DC1260" s="14"/>
      <c r="DH1260" s="15"/>
      <c r="DM1260" s="4"/>
    </row>
    <row r="1261" spans="2:117" ht="15.75" customHeight="1">
      <c r="B1261" s="10"/>
      <c r="C1261" s="17"/>
      <c r="E1261" s="25"/>
      <c r="F1261" s="35"/>
      <c r="J1261" s="20"/>
      <c r="K1261" s="29"/>
      <c r="L1261" s="22"/>
      <c r="M1261" s="5"/>
      <c r="AD1261" s="4"/>
      <c r="AE1261" s="5"/>
      <c r="BM1261" s="6"/>
      <c r="BN1261" s="7"/>
      <c r="BO1261" s="7"/>
      <c r="BT1261" s="6"/>
      <c r="BU1261" s="6"/>
      <c r="BV1261" s="6"/>
      <c r="BW1261" s="8"/>
      <c r="BX1261" s="9"/>
      <c r="CB1261" s="6"/>
      <c r="CC1261" s="10"/>
      <c r="CD1261" s="10"/>
      <c r="CE1261" s="8"/>
      <c r="CU1261" s="4"/>
      <c r="CY1261" s="11"/>
      <c r="DA1261" s="12"/>
      <c r="DB1261" s="13"/>
      <c r="DC1261" s="14"/>
      <c r="DH1261" s="15"/>
      <c r="DM1261" s="4"/>
    </row>
    <row r="1262" spans="2:117" ht="15.75" customHeight="1">
      <c r="B1262" s="10"/>
      <c r="C1262" s="17"/>
      <c r="E1262" s="25"/>
      <c r="F1262" s="35"/>
      <c r="J1262" s="20"/>
      <c r="K1262" s="29"/>
      <c r="L1262" s="22"/>
      <c r="M1262" s="5"/>
      <c r="AD1262" s="4"/>
      <c r="AE1262" s="5"/>
      <c r="BM1262" s="6"/>
      <c r="BN1262" s="7"/>
      <c r="BO1262" s="7"/>
      <c r="BT1262" s="6"/>
      <c r="BU1262" s="6"/>
      <c r="BV1262" s="6"/>
      <c r="BW1262" s="8"/>
      <c r="BX1262" s="9"/>
      <c r="CB1262" s="6"/>
      <c r="CC1262" s="10"/>
      <c r="CD1262" s="10"/>
      <c r="CE1262" s="8"/>
      <c r="CU1262" s="4"/>
      <c r="CY1262" s="11"/>
      <c r="DA1262" s="12"/>
      <c r="DB1262" s="13"/>
      <c r="DC1262" s="14"/>
      <c r="DH1262" s="15"/>
      <c r="DM1262" s="4"/>
    </row>
    <row r="1263" spans="2:117" ht="15.75" customHeight="1">
      <c r="B1263" s="10"/>
      <c r="C1263" s="17"/>
      <c r="E1263" s="25"/>
      <c r="F1263" s="35"/>
      <c r="J1263" s="20"/>
      <c r="K1263" s="29"/>
      <c r="L1263" s="22"/>
      <c r="M1263" s="5"/>
      <c r="AD1263" s="4"/>
      <c r="AE1263" s="5"/>
      <c r="BM1263" s="6"/>
      <c r="BN1263" s="7"/>
      <c r="BO1263" s="7"/>
      <c r="BT1263" s="6"/>
      <c r="BU1263" s="6"/>
      <c r="BV1263" s="6"/>
      <c r="BW1263" s="8"/>
      <c r="BX1263" s="9"/>
      <c r="CB1263" s="6"/>
      <c r="CC1263" s="10"/>
      <c r="CD1263" s="10"/>
      <c r="CE1263" s="8"/>
      <c r="CU1263" s="4"/>
      <c r="CY1263" s="11"/>
      <c r="DA1263" s="12"/>
      <c r="DB1263" s="13"/>
      <c r="DC1263" s="14"/>
      <c r="DH1263" s="15"/>
      <c r="DM1263" s="4"/>
    </row>
    <row r="1264" spans="2:117" ht="15.75" customHeight="1">
      <c r="B1264" s="10"/>
      <c r="C1264" s="17"/>
      <c r="E1264" s="25"/>
      <c r="F1264" s="35"/>
      <c r="J1264" s="20"/>
      <c r="K1264" s="29"/>
      <c r="L1264" s="22"/>
      <c r="M1264" s="5"/>
      <c r="AD1264" s="4"/>
      <c r="AE1264" s="5"/>
      <c r="BM1264" s="6"/>
      <c r="BN1264" s="7"/>
      <c r="BO1264" s="7"/>
      <c r="BT1264" s="6"/>
      <c r="BU1264" s="6"/>
      <c r="BV1264" s="6"/>
      <c r="BW1264" s="8"/>
      <c r="BX1264" s="9"/>
      <c r="CB1264" s="6"/>
      <c r="CC1264" s="10"/>
      <c r="CD1264" s="10"/>
      <c r="CE1264" s="8"/>
      <c r="CU1264" s="4"/>
      <c r="CY1264" s="11"/>
      <c r="DA1264" s="12"/>
      <c r="DB1264" s="13"/>
      <c r="DC1264" s="14"/>
      <c r="DH1264" s="15"/>
      <c r="DM1264" s="4"/>
    </row>
    <row r="1265" spans="2:117" ht="15.75" customHeight="1">
      <c r="B1265" s="10"/>
      <c r="C1265" s="17"/>
      <c r="E1265" s="25"/>
      <c r="F1265" s="35"/>
      <c r="J1265" s="20"/>
      <c r="K1265" s="29"/>
      <c r="L1265" s="22"/>
      <c r="M1265" s="5"/>
      <c r="AD1265" s="4"/>
      <c r="AE1265" s="5"/>
      <c r="BM1265" s="6"/>
      <c r="BN1265" s="7"/>
      <c r="BO1265" s="7"/>
      <c r="BT1265" s="6"/>
      <c r="BU1265" s="6"/>
      <c r="BV1265" s="6"/>
      <c r="BW1265" s="8"/>
      <c r="BX1265" s="9"/>
      <c r="CB1265" s="6"/>
      <c r="CC1265" s="10"/>
      <c r="CD1265" s="10"/>
      <c r="CE1265" s="8"/>
      <c r="CU1265" s="4"/>
      <c r="CY1265" s="11"/>
      <c r="DA1265" s="12"/>
      <c r="DB1265" s="13"/>
      <c r="DC1265" s="14"/>
      <c r="DH1265" s="15"/>
      <c r="DM1265" s="4"/>
    </row>
    <row r="1266" spans="2:117" ht="15.75" customHeight="1">
      <c r="B1266" s="10"/>
      <c r="C1266" s="17"/>
      <c r="E1266" s="25"/>
      <c r="F1266" s="35"/>
      <c r="J1266" s="20"/>
      <c r="K1266" s="29"/>
      <c r="L1266" s="22"/>
      <c r="M1266" s="5"/>
      <c r="AD1266" s="4"/>
      <c r="AE1266" s="5"/>
      <c r="BM1266" s="6"/>
      <c r="BN1266" s="7"/>
      <c r="BO1266" s="7"/>
      <c r="BT1266" s="6"/>
      <c r="BU1266" s="6"/>
      <c r="BV1266" s="6"/>
      <c r="BW1266" s="8"/>
      <c r="BX1266" s="9"/>
      <c r="CB1266" s="6"/>
      <c r="CC1266" s="10"/>
      <c r="CD1266" s="10"/>
      <c r="CE1266" s="8"/>
      <c r="CU1266" s="4"/>
      <c r="CY1266" s="11"/>
      <c r="DA1266" s="12"/>
      <c r="DB1266" s="13"/>
      <c r="DC1266" s="14"/>
      <c r="DH1266" s="15"/>
      <c r="DM1266" s="4"/>
    </row>
    <row r="1267" spans="2:117" ht="15.75" customHeight="1">
      <c r="B1267" s="10"/>
      <c r="C1267" s="17"/>
      <c r="E1267" s="25"/>
      <c r="F1267" s="35"/>
      <c r="J1267" s="20"/>
      <c r="K1267" s="29"/>
      <c r="L1267" s="22"/>
      <c r="M1267" s="5"/>
      <c r="AD1267" s="4"/>
      <c r="AE1267" s="5"/>
      <c r="BM1267" s="6"/>
      <c r="BN1267" s="7"/>
      <c r="BO1267" s="7"/>
      <c r="BT1267" s="6"/>
      <c r="BU1267" s="6"/>
      <c r="BV1267" s="6"/>
      <c r="BW1267" s="8"/>
      <c r="BX1267" s="9"/>
      <c r="CB1267" s="6"/>
      <c r="CC1267" s="10"/>
      <c r="CD1267" s="10"/>
      <c r="CE1267" s="8"/>
      <c r="CU1267" s="4"/>
      <c r="CY1267" s="11"/>
      <c r="DA1267" s="12"/>
      <c r="DB1267" s="13"/>
      <c r="DC1267" s="14"/>
      <c r="DH1267" s="15"/>
      <c r="DM1267" s="4"/>
    </row>
    <row r="1268" spans="2:117" ht="15.75" customHeight="1">
      <c r="B1268" s="10"/>
      <c r="C1268" s="17"/>
      <c r="E1268" s="25"/>
      <c r="F1268" s="35"/>
      <c r="J1268" s="20"/>
      <c r="K1268" s="29"/>
      <c r="L1268" s="22"/>
      <c r="M1268" s="5"/>
      <c r="AD1268" s="4"/>
      <c r="AE1268" s="5"/>
      <c r="BM1268" s="6"/>
      <c r="BN1268" s="7"/>
      <c r="BO1268" s="7"/>
      <c r="BT1268" s="6"/>
      <c r="BU1268" s="6"/>
      <c r="BV1268" s="6"/>
      <c r="BW1268" s="8"/>
      <c r="BX1268" s="9"/>
      <c r="CB1268" s="6"/>
      <c r="CC1268" s="10"/>
      <c r="CD1268" s="10"/>
      <c r="CE1268" s="8"/>
      <c r="CU1268" s="4"/>
      <c r="CY1268" s="11"/>
      <c r="DA1268" s="12"/>
      <c r="DB1268" s="13"/>
      <c r="DC1268" s="14"/>
      <c r="DH1268" s="15"/>
      <c r="DM1268" s="4"/>
    </row>
    <row r="1269" spans="2:117" ht="15.75" customHeight="1">
      <c r="B1269" s="10"/>
      <c r="C1269" s="17"/>
      <c r="E1269" s="25"/>
      <c r="F1269" s="35"/>
      <c r="J1269" s="20"/>
      <c r="K1269" s="29"/>
      <c r="L1269" s="22"/>
      <c r="M1269" s="5"/>
      <c r="AD1269" s="4"/>
      <c r="AE1269" s="5"/>
      <c r="BM1269" s="6"/>
      <c r="BN1269" s="7"/>
      <c r="BO1269" s="7"/>
      <c r="BT1269" s="6"/>
      <c r="BU1269" s="6"/>
      <c r="BV1269" s="6"/>
      <c r="BW1269" s="8"/>
      <c r="BX1269" s="9"/>
      <c r="CB1269" s="6"/>
      <c r="CC1269" s="10"/>
      <c r="CD1269" s="10"/>
      <c r="CE1269" s="8"/>
      <c r="CU1269" s="4"/>
      <c r="CY1269" s="11"/>
      <c r="DA1269" s="12"/>
      <c r="DB1269" s="13"/>
      <c r="DC1269" s="14"/>
      <c r="DH1269" s="15"/>
      <c r="DM1269" s="4"/>
    </row>
    <row r="1270" spans="2:117" ht="15.75" customHeight="1">
      <c r="B1270" s="10"/>
      <c r="C1270" s="17"/>
      <c r="E1270" s="25"/>
      <c r="F1270" s="35"/>
      <c r="J1270" s="20"/>
      <c r="K1270" s="29"/>
      <c r="L1270" s="22"/>
      <c r="M1270" s="5"/>
      <c r="AD1270" s="4"/>
      <c r="AE1270" s="5"/>
      <c r="BM1270" s="6"/>
      <c r="BN1270" s="7"/>
      <c r="BO1270" s="7"/>
      <c r="BT1270" s="6"/>
      <c r="BU1270" s="6"/>
      <c r="BV1270" s="6"/>
      <c r="BW1270" s="8"/>
      <c r="BX1270" s="9"/>
      <c r="CB1270" s="6"/>
      <c r="CC1270" s="10"/>
      <c r="CD1270" s="10"/>
      <c r="CE1270" s="8"/>
      <c r="CU1270" s="4"/>
      <c r="CY1270" s="11"/>
      <c r="DA1270" s="12"/>
      <c r="DB1270" s="13"/>
      <c r="DC1270" s="14"/>
      <c r="DH1270" s="15"/>
      <c r="DM1270" s="4"/>
    </row>
    <row r="1271" spans="2:117" ht="15.75" customHeight="1">
      <c r="B1271" s="10"/>
      <c r="C1271" s="17"/>
      <c r="E1271" s="25"/>
      <c r="F1271" s="35"/>
      <c r="J1271" s="20"/>
      <c r="K1271" s="29"/>
      <c r="L1271" s="22"/>
      <c r="M1271" s="5"/>
      <c r="AD1271" s="4"/>
      <c r="AE1271" s="5"/>
      <c r="BM1271" s="6"/>
      <c r="BN1271" s="7"/>
      <c r="BO1271" s="7"/>
      <c r="BT1271" s="6"/>
      <c r="BU1271" s="6"/>
      <c r="BV1271" s="6"/>
      <c r="BW1271" s="8"/>
      <c r="BX1271" s="9"/>
      <c r="CB1271" s="6"/>
      <c r="CC1271" s="10"/>
      <c r="CD1271" s="10"/>
      <c r="CE1271" s="8"/>
      <c r="CU1271" s="4"/>
      <c r="CY1271" s="11"/>
      <c r="DA1271" s="12"/>
      <c r="DB1271" s="13"/>
      <c r="DC1271" s="14"/>
      <c r="DH1271" s="15"/>
      <c r="DM1271" s="4"/>
    </row>
    <row r="1272" spans="2:117" ht="15.75" customHeight="1">
      <c r="B1272" s="10"/>
      <c r="C1272" s="17"/>
      <c r="E1272" s="25"/>
      <c r="F1272" s="35"/>
      <c r="J1272" s="20"/>
      <c r="K1272" s="29"/>
      <c r="L1272" s="22"/>
      <c r="M1272" s="5"/>
      <c r="AD1272" s="4"/>
      <c r="AE1272" s="5"/>
      <c r="BM1272" s="6"/>
      <c r="BN1272" s="7"/>
      <c r="BO1272" s="7"/>
      <c r="BT1272" s="6"/>
      <c r="BU1272" s="6"/>
      <c r="BV1272" s="6"/>
      <c r="BW1272" s="8"/>
      <c r="BX1272" s="9"/>
      <c r="CB1272" s="6"/>
      <c r="CC1272" s="10"/>
      <c r="CD1272" s="10"/>
      <c r="CE1272" s="8"/>
      <c r="CU1272" s="4"/>
      <c r="CY1272" s="11"/>
      <c r="DA1272" s="12"/>
      <c r="DB1272" s="13"/>
      <c r="DC1272" s="14"/>
      <c r="DH1272" s="15"/>
      <c r="DM1272" s="4"/>
    </row>
    <row r="1273" spans="2:117" ht="15.75" customHeight="1">
      <c r="B1273" s="10"/>
      <c r="C1273" s="17"/>
      <c r="E1273" s="25"/>
      <c r="F1273" s="35"/>
      <c r="J1273" s="20"/>
      <c r="K1273" s="29"/>
      <c r="L1273" s="22"/>
      <c r="M1273" s="5"/>
      <c r="AD1273" s="4"/>
      <c r="AE1273" s="5"/>
      <c r="BM1273" s="6"/>
      <c r="BN1273" s="7"/>
      <c r="BO1273" s="7"/>
      <c r="BT1273" s="6"/>
      <c r="BU1273" s="6"/>
      <c r="BV1273" s="6"/>
      <c r="BW1273" s="8"/>
      <c r="BX1273" s="9"/>
      <c r="CB1273" s="6"/>
      <c r="CC1273" s="10"/>
      <c r="CD1273" s="10"/>
      <c r="CE1273" s="8"/>
      <c r="CU1273" s="4"/>
      <c r="CY1273" s="11"/>
      <c r="DA1273" s="12"/>
      <c r="DB1273" s="13"/>
      <c r="DC1273" s="14"/>
      <c r="DH1273" s="15"/>
      <c r="DM1273" s="4"/>
    </row>
    <row r="1274" spans="2:117" ht="15.75" customHeight="1">
      <c r="B1274" s="10"/>
      <c r="C1274" s="17"/>
      <c r="E1274" s="25"/>
      <c r="F1274" s="35"/>
      <c r="J1274" s="20"/>
      <c r="K1274" s="29"/>
      <c r="L1274" s="22"/>
      <c r="M1274" s="5"/>
      <c r="AD1274" s="4"/>
      <c r="AE1274" s="5"/>
      <c r="BM1274" s="6"/>
      <c r="BN1274" s="7"/>
      <c r="BO1274" s="7"/>
      <c r="BT1274" s="6"/>
      <c r="BU1274" s="6"/>
      <c r="BV1274" s="6"/>
      <c r="BW1274" s="8"/>
      <c r="BX1274" s="9"/>
      <c r="CB1274" s="6"/>
      <c r="CC1274" s="10"/>
      <c r="CD1274" s="10"/>
      <c r="CE1274" s="8"/>
      <c r="CU1274" s="4"/>
      <c r="CY1274" s="11"/>
      <c r="DA1274" s="12"/>
      <c r="DB1274" s="13"/>
      <c r="DC1274" s="14"/>
      <c r="DH1274" s="15"/>
      <c r="DM1274" s="4"/>
    </row>
    <row r="1275" spans="2:117" ht="15.75" customHeight="1">
      <c r="B1275" s="10"/>
      <c r="C1275" s="17"/>
      <c r="E1275" s="25"/>
      <c r="F1275" s="35"/>
      <c r="J1275" s="20"/>
      <c r="K1275" s="29"/>
      <c r="L1275" s="22"/>
      <c r="M1275" s="5"/>
      <c r="AD1275" s="4"/>
      <c r="AE1275" s="5"/>
      <c r="BM1275" s="6"/>
      <c r="BN1275" s="7"/>
      <c r="BO1275" s="7"/>
      <c r="BT1275" s="6"/>
      <c r="BU1275" s="6"/>
      <c r="BV1275" s="6"/>
      <c r="BW1275" s="8"/>
      <c r="BX1275" s="9"/>
      <c r="CB1275" s="6"/>
      <c r="CC1275" s="10"/>
      <c r="CD1275" s="10"/>
      <c r="CE1275" s="8"/>
      <c r="CU1275" s="4"/>
      <c r="CY1275" s="11"/>
      <c r="DA1275" s="12"/>
      <c r="DB1275" s="13"/>
      <c r="DC1275" s="14"/>
      <c r="DH1275" s="15"/>
      <c r="DM1275" s="4"/>
    </row>
    <row r="1276" spans="2:117" ht="15.75" customHeight="1">
      <c r="B1276" s="10"/>
      <c r="C1276" s="17"/>
      <c r="E1276" s="25"/>
      <c r="F1276" s="35"/>
      <c r="J1276" s="20"/>
      <c r="K1276" s="29"/>
      <c r="L1276" s="22"/>
      <c r="M1276" s="5"/>
      <c r="AD1276" s="4"/>
      <c r="AE1276" s="5"/>
      <c r="BM1276" s="6"/>
      <c r="BN1276" s="7"/>
      <c r="BO1276" s="7"/>
      <c r="BT1276" s="6"/>
      <c r="BU1276" s="6"/>
      <c r="BV1276" s="6"/>
      <c r="BW1276" s="8"/>
      <c r="BX1276" s="9"/>
      <c r="CB1276" s="6"/>
      <c r="CC1276" s="10"/>
      <c r="CD1276" s="10"/>
      <c r="CE1276" s="8"/>
      <c r="CU1276" s="4"/>
      <c r="CY1276" s="11"/>
      <c r="DA1276" s="12"/>
      <c r="DB1276" s="13"/>
      <c r="DC1276" s="14"/>
      <c r="DH1276" s="15"/>
      <c r="DM1276" s="4"/>
    </row>
    <row r="1277" spans="2:117" ht="15.75" customHeight="1">
      <c r="B1277" s="10"/>
      <c r="C1277" s="17"/>
      <c r="E1277" s="25"/>
      <c r="F1277" s="35"/>
      <c r="J1277" s="20"/>
      <c r="K1277" s="29"/>
      <c r="L1277" s="22"/>
      <c r="M1277" s="5"/>
      <c r="AD1277" s="4"/>
      <c r="AE1277" s="5"/>
      <c r="BM1277" s="6"/>
      <c r="BN1277" s="7"/>
      <c r="BO1277" s="7"/>
      <c r="BT1277" s="6"/>
      <c r="BU1277" s="6"/>
      <c r="BV1277" s="6"/>
      <c r="BW1277" s="8"/>
      <c r="BX1277" s="9"/>
      <c r="CB1277" s="6"/>
      <c r="CC1277" s="10"/>
      <c r="CD1277" s="10"/>
      <c r="CE1277" s="8"/>
      <c r="CU1277" s="4"/>
      <c r="CY1277" s="11"/>
      <c r="DA1277" s="12"/>
      <c r="DB1277" s="13"/>
      <c r="DC1277" s="14"/>
      <c r="DH1277" s="15"/>
      <c r="DM1277" s="4"/>
    </row>
    <row r="1278" spans="2:117" ht="15.75" customHeight="1">
      <c r="B1278" s="10"/>
      <c r="C1278" s="17"/>
      <c r="E1278" s="25"/>
      <c r="F1278" s="35"/>
      <c r="J1278" s="20"/>
      <c r="K1278" s="29"/>
      <c r="L1278" s="22"/>
      <c r="M1278" s="5"/>
      <c r="AD1278" s="4"/>
      <c r="AE1278" s="5"/>
      <c r="BM1278" s="6"/>
      <c r="BN1278" s="7"/>
      <c r="BO1278" s="7"/>
      <c r="BT1278" s="6"/>
      <c r="BU1278" s="6"/>
      <c r="BV1278" s="6"/>
      <c r="BW1278" s="8"/>
      <c r="BX1278" s="9"/>
      <c r="CB1278" s="6"/>
      <c r="CC1278" s="10"/>
      <c r="CD1278" s="10"/>
      <c r="CE1278" s="8"/>
      <c r="CU1278" s="4"/>
      <c r="CY1278" s="11"/>
      <c r="DA1278" s="12"/>
      <c r="DB1278" s="13"/>
      <c r="DC1278" s="14"/>
      <c r="DH1278" s="15"/>
      <c r="DM1278" s="4"/>
    </row>
    <row r="1279" spans="2:117" ht="15.75" customHeight="1">
      <c r="B1279" s="10"/>
      <c r="C1279" s="17"/>
      <c r="E1279" s="25"/>
      <c r="F1279" s="35"/>
      <c r="J1279" s="20"/>
      <c r="K1279" s="29"/>
      <c r="L1279" s="22"/>
      <c r="M1279" s="5"/>
      <c r="AD1279" s="4"/>
      <c r="AE1279" s="5"/>
      <c r="BM1279" s="6"/>
      <c r="BN1279" s="7"/>
      <c r="BO1279" s="7"/>
      <c r="BT1279" s="6"/>
      <c r="BU1279" s="6"/>
      <c r="BV1279" s="6"/>
      <c r="BW1279" s="8"/>
      <c r="BX1279" s="9"/>
      <c r="CB1279" s="6"/>
      <c r="CC1279" s="10"/>
      <c r="CD1279" s="10"/>
      <c r="CE1279" s="8"/>
      <c r="CU1279" s="4"/>
      <c r="CY1279" s="11"/>
      <c r="DA1279" s="12"/>
      <c r="DB1279" s="13"/>
      <c r="DC1279" s="14"/>
      <c r="DH1279" s="15"/>
      <c r="DM1279" s="4"/>
    </row>
    <row r="1280" spans="2:117" ht="15.75" customHeight="1">
      <c r="B1280" s="10"/>
      <c r="C1280" s="17"/>
      <c r="E1280" s="25"/>
      <c r="F1280" s="35"/>
      <c r="J1280" s="20"/>
      <c r="K1280" s="29"/>
      <c r="L1280" s="22"/>
      <c r="M1280" s="5"/>
      <c r="AD1280" s="4"/>
      <c r="AE1280" s="5"/>
      <c r="BM1280" s="6"/>
      <c r="BN1280" s="7"/>
      <c r="BO1280" s="7"/>
      <c r="BT1280" s="6"/>
      <c r="BU1280" s="6"/>
      <c r="BV1280" s="6"/>
      <c r="BW1280" s="8"/>
      <c r="BX1280" s="9"/>
      <c r="CB1280" s="6"/>
      <c r="CC1280" s="10"/>
      <c r="CD1280" s="10"/>
      <c r="CE1280" s="8"/>
      <c r="CU1280" s="4"/>
      <c r="CY1280" s="11"/>
      <c r="DA1280" s="12"/>
      <c r="DB1280" s="13"/>
      <c r="DC1280" s="14"/>
      <c r="DH1280" s="15"/>
      <c r="DM1280" s="4"/>
    </row>
    <row r="1281" spans="2:117" ht="15.75" customHeight="1">
      <c r="B1281" s="10"/>
      <c r="C1281" s="17"/>
      <c r="E1281" s="25"/>
      <c r="F1281" s="35"/>
      <c r="J1281" s="20"/>
      <c r="K1281" s="29"/>
      <c r="L1281" s="22"/>
      <c r="M1281" s="5"/>
      <c r="AD1281" s="4"/>
      <c r="AE1281" s="5"/>
      <c r="BM1281" s="6"/>
      <c r="BN1281" s="7"/>
      <c r="BO1281" s="7"/>
      <c r="BT1281" s="6"/>
      <c r="BU1281" s="6"/>
      <c r="BV1281" s="6"/>
      <c r="BW1281" s="8"/>
      <c r="BX1281" s="9"/>
      <c r="CB1281" s="6"/>
      <c r="CC1281" s="10"/>
      <c r="CD1281" s="10"/>
      <c r="CE1281" s="8"/>
      <c r="CU1281" s="4"/>
      <c r="CY1281" s="11"/>
      <c r="DA1281" s="12"/>
      <c r="DB1281" s="13"/>
      <c r="DC1281" s="14"/>
      <c r="DH1281" s="15"/>
      <c r="DM1281" s="4"/>
    </row>
    <row r="1282" spans="2:117" ht="15.75" customHeight="1">
      <c r="B1282" s="10"/>
      <c r="C1282" s="17"/>
      <c r="E1282" s="25"/>
      <c r="F1282" s="35"/>
      <c r="J1282" s="20"/>
      <c r="K1282" s="29"/>
      <c r="L1282" s="22"/>
      <c r="M1282" s="5"/>
      <c r="AD1282" s="4"/>
      <c r="AE1282" s="5"/>
      <c r="BM1282" s="6"/>
      <c r="BN1282" s="7"/>
      <c r="BO1282" s="7"/>
      <c r="BT1282" s="6"/>
      <c r="BU1282" s="6"/>
      <c r="BV1282" s="6"/>
      <c r="BW1282" s="8"/>
      <c r="BX1282" s="9"/>
      <c r="CB1282" s="6"/>
      <c r="CC1282" s="10"/>
      <c r="CD1282" s="10"/>
      <c r="CE1282" s="8"/>
      <c r="CU1282" s="4"/>
      <c r="CY1282" s="11"/>
      <c r="DA1282" s="12"/>
      <c r="DB1282" s="13"/>
      <c r="DC1282" s="14"/>
      <c r="DH1282" s="15"/>
      <c r="DM1282" s="4"/>
    </row>
    <row r="1283" spans="2:117" ht="15.75" customHeight="1">
      <c r="B1283" s="10"/>
      <c r="C1283" s="17"/>
      <c r="E1283" s="25"/>
      <c r="F1283" s="35"/>
      <c r="J1283" s="20"/>
      <c r="K1283" s="29"/>
      <c r="L1283" s="22"/>
      <c r="M1283" s="5"/>
      <c r="AD1283" s="4"/>
      <c r="AE1283" s="5"/>
      <c r="BM1283" s="6"/>
      <c r="BN1283" s="7"/>
      <c r="BO1283" s="7"/>
      <c r="BT1283" s="6"/>
      <c r="BU1283" s="6"/>
      <c r="BV1283" s="6"/>
      <c r="BW1283" s="8"/>
      <c r="BX1283" s="9"/>
      <c r="CB1283" s="6"/>
      <c r="CC1283" s="10"/>
      <c r="CD1283" s="10"/>
      <c r="CE1283" s="8"/>
      <c r="CU1283" s="4"/>
      <c r="CY1283" s="11"/>
      <c r="DA1283" s="12"/>
      <c r="DB1283" s="13"/>
      <c r="DC1283" s="14"/>
      <c r="DH1283" s="15"/>
      <c r="DM1283" s="4"/>
    </row>
    <row r="1284" spans="2:117" ht="15.75" customHeight="1">
      <c r="B1284" s="10"/>
      <c r="C1284" s="17"/>
      <c r="E1284" s="25"/>
      <c r="F1284" s="35"/>
      <c r="J1284" s="20"/>
      <c r="K1284" s="29"/>
      <c r="L1284" s="22"/>
      <c r="M1284" s="5"/>
      <c r="AD1284" s="4"/>
      <c r="AE1284" s="5"/>
      <c r="BM1284" s="6"/>
      <c r="BN1284" s="7"/>
      <c r="BO1284" s="7"/>
      <c r="BT1284" s="6"/>
      <c r="BU1284" s="6"/>
      <c r="BV1284" s="6"/>
      <c r="BW1284" s="8"/>
      <c r="BX1284" s="9"/>
      <c r="CB1284" s="6"/>
      <c r="CC1284" s="10"/>
      <c r="CD1284" s="10"/>
      <c r="CE1284" s="8"/>
      <c r="CU1284" s="4"/>
      <c r="CY1284" s="11"/>
      <c r="DA1284" s="12"/>
      <c r="DB1284" s="13"/>
      <c r="DC1284" s="14"/>
      <c r="DH1284" s="15"/>
      <c r="DM1284" s="4"/>
    </row>
    <row r="1285" spans="2:117" ht="15.75" customHeight="1">
      <c r="B1285" s="10"/>
      <c r="C1285" s="17"/>
      <c r="E1285" s="25"/>
      <c r="F1285" s="35"/>
      <c r="J1285" s="20"/>
      <c r="K1285" s="29"/>
      <c r="L1285" s="22"/>
      <c r="M1285" s="5"/>
      <c r="AD1285" s="4"/>
      <c r="AE1285" s="5"/>
      <c r="BM1285" s="6"/>
      <c r="BN1285" s="7"/>
      <c r="BO1285" s="7"/>
      <c r="BT1285" s="6"/>
      <c r="BU1285" s="6"/>
      <c r="BV1285" s="6"/>
      <c r="BW1285" s="8"/>
      <c r="BX1285" s="9"/>
      <c r="CB1285" s="6"/>
      <c r="CC1285" s="10"/>
      <c r="CD1285" s="10"/>
      <c r="CE1285" s="8"/>
      <c r="CU1285" s="4"/>
      <c r="CY1285" s="11"/>
      <c r="DA1285" s="12"/>
      <c r="DB1285" s="13"/>
      <c r="DC1285" s="14"/>
      <c r="DH1285" s="15"/>
      <c r="DM1285" s="4"/>
    </row>
    <row r="1286" spans="2:117" ht="15.75" customHeight="1">
      <c r="B1286" s="10"/>
      <c r="C1286" s="17"/>
      <c r="E1286" s="25"/>
      <c r="F1286" s="35"/>
      <c r="J1286" s="20"/>
      <c r="K1286" s="29"/>
      <c r="L1286" s="22"/>
      <c r="M1286" s="5"/>
      <c r="AD1286" s="4"/>
      <c r="AE1286" s="5"/>
      <c r="BM1286" s="6"/>
      <c r="BN1286" s="7"/>
      <c r="BO1286" s="7"/>
      <c r="BT1286" s="6"/>
      <c r="BU1286" s="6"/>
      <c r="BV1286" s="6"/>
      <c r="BW1286" s="8"/>
      <c r="BX1286" s="9"/>
      <c r="CB1286" s="6"/>
      <c r="CC1286" s="10"/>
      <c r="CD1286" s="10"/>
      <c r="CE1286" s="8"/>
      <c r="CU1286" s="4"/>
      <c r="CY1286" s="11"/>
      <c r="DA1286" s="12"/>
      <c r="DB1286" s="13"/>
      <c r="DC1286" s="14"/>
      <c r="DH1286" s="15"/>
      <c r="DM1286" s="4"/>
    </row>
    <row r="1287" spans="2:117" ht="15.75" customHeight="1">
      <c r="B1287" s="10"/>
      <c r="C1287" s="17"/>
      <c r="E1287" s="25"/>
      <c r="F1287" s="35"/>
      <c r="J1287" s="20"/>
      <c r="K1287" s="29"/>
      <c r="L1287" s="22"/>
      <c r="M1287" s="5"/>
      <c r="AD1287" s="4"/>
      <c r="AE1287" s="5"/>
      <c r="BM1287" s="6"/>
      <c r="BN1287" s="7"/>
      <c r="BO1287" s="7"/>
      <c r="BT1287" s="6"/>
      <c r="BU1287" s="6"/>
      <c r="BV1287" s="6"/>
      <c r="BW1287" s="8"/>
      <c r="BX1287" s="9"/>
      <c r="CB1287" s="6"/>
      <c r="CC1287" s="10"/>
      <c r="CD1287" s="10"/>
      <c r="CE1287" s="8"/>
      <c r="CU1287" s="4"/>
      <c r="CY1287" s="11"/>
      <c r="DA1287" s="12"/>
      <c r="DB1287" s="13"/>
      <c r="DC1287" s="14"/>
      <c r="DH1287" s="15"/>
      <c r="DM1287" s="4"/>
    </row>
    <row r="1288" spans="2:117" ht="15.75" customHeight="1">
      <c r="B1288" s="10"/>
      <c r="C1288" s="17"/>
      <c r="E1288" s="25"/>
      <c r="F1288" s="35"/>
      <c r="J1288" s="20"/>
      <c r="K1288" s="29"/>
      <c r="L1288" s="22"/>
      <c r="M1288" s="5"/>
      <c r="AD1288" s="4"/>
      <c r="AE1288" s="5"/>
      <c r="BM1288" s="6"/>
      <c r="BN1288" s="7"/>
      <c r="BO1288" s="7"/>
      <c r="BT1288" s="6"/>
      <c r="BU1288" s="6"/>
      <c r="BV1288" s="6"/>
      <c r="BW1288" s="8"/>
      <c r="BX1288" s="9"/>
      <c r="CB1288" s="6"/>
      <c r="CC1288" s="10"/>
      <c r="CD1288" s="10"/>
      <c r="CE1288" s="8"/>
      <c r="CU1288" s="4"/>
      <c r="CY1288" s="11"/>
      <c r="DA1288" s="12"/>
      <c r="DB1288" s="13"/>
      <c r="DC1288" s="14"/>
      <c r="DH1288" s="15"/>
      <c r="DM1288" s="4"/>
    </row>
    <row r="1289" spans="2:117" ht="15.75" customHeight="1">
      <c r="B1289" s="10"/>
      <c r="C1289" s="17"/>
      <c r="E1289" s="25"/>
      <c r="F1289" s="35"/>
      <c r="J1289" s="20"/>
      <c r="K1289" s="29"/>
      <c r="L1289" s="22"/>
      <c r="M1289" s="5"/>
      <c r="AD1289" s="4"/>
      <c r="AE1289" s="5"/>
      <c r="BM1289" s="6"/>
      <c r="BN1289" s="7"/>
      <c r="BO1289" s="7"/>
      <c r="BT1289" s="6"/>
      <c r="BU1289" s="6"/>
      <c r="BV1289" s="6"/>
      <c r="BW1289" s="8"/>
      <c r="BX1289" s="9"/>
      <c r="CB1289" s="6"/>
      <c r="CC1289" s="10"/>
      <c r="CD1289" s="10"/>
      <c r="CE1289" s="8"/>
      <c r="CU1289" s="4"/>
      <c r="CY1289" s="11"/>
      <c r="DA1289" s="12"/>
      <c r="DB1289" s="13"/>
      <c r="DC1289" s="14"/>
      <c r="DH1289" s="15"/>
      <c r="DM1289" s="4"/>
    </row>
    <row r="1290" spans="2:117" ht="15.75" customHeight="1">
      <c r="B1290" s="10"/>
      <c r="C1290" s="17"/>
      <c r="E1290" s="25"/>
      <c r="F1290" s="35"/>
      <c r="J1290" s="20"/>
      <c r="K1290" s="29"/>
      <c r="L1290" s="22"/>
      <c r="M1290" s="5"/>
      <c r="AD1290" s="4"/>
      <c r="AE1290" s="5"/>
      <c r="BM1290" s="6"/>
      <c r="BN1290" s="7"/>
      <c r="BO1290" s="7"/>
      <c r="BT1290" s="6"/>
      <c r="BU1290" s="6"/>
      <c r="BV1290" s="6"/>
      <c r="BW1290" s="8"/>
      <c r="BX1290" s="9"/>
      <c r="CB1290" s="6"/>
      <c r="CC1290" s="10"/>
      <c r="CD1290" s="10"/>
      <c r="CE1290" s="8"/>
      <c r="CU1290" s="4"/>
      <c r="CY1290" s="11"/>
      <c r="DA1290" s="12"/>
      <c r="DB1290" s="13"/>
      <c r="DC1290" s="14"/>
      <c r="DH1290" s="15"/>
      <c r="DM1290" s="4"/>
    </row>
    <row r="1291" spans="2:117" ht="15.75" customHeight="1">
      <c r="B1291" s="10"/>
      <c r="C1291" s="17"/>
      <c r="E1291" s="25"/>
      <c r="F1291" s="35"/>
      <c r="J1291" s="20"/>
      <c r="K1291" s="29"/>
      <c r="L1291" s="22"/>
      <c r="M1291" s="5"/>
      <c r="AD1291" s="4"/>
      <c r="AE1291" s="5"/>
      <c r="BM1291" s="6"/>
      <c r="BN1291" s="7"/>
      <c r="BO1291" s="7"/>
      <c r="BT1291" s="6"/>
      <c r="BU1291" s="6"/>
      <c r="BV1291" s="6"/>
      <c r="BW1291" s="8"/>
      <c r="BX1291" s="9"/>
      <c r="CB1291" s="6"/>
      <c r="CC1291" s="10"/>
      <c r="CD1291" s="10"/>
      <c r="CE1291" s="8"/>
      <c r="CU1291" s="4"/>
      <c r="CY1291" s="11"/>
      <c r="DA1291" s="12"/>
      <c r="DB1291" s="13"/>
      <c r="DC1291" s="14"/>
      <c r="DH1291" s="15"/>
      <c r="DM1291" s="4"/>
    </row>
    <row r="1292" spans="2:117" ht="15.75" customHeight="1">
      <c r="B1292" s="10"/>
      <c r="C1292" s="17"/>
      <c r="E1292" s="25"/>
      <c r="F1292" s="35"/>
      <c r="J1292" s="20"/>
      <c r="K1292" s="29"/>
      <c r="L1292" s="22"/>
      <c r="M1292" s="5"/>
      <c r="AD1292" s="4"/>
      <c r="AE1292" s="5"/>
      <c r="BM1292" s="6"/>
      <c r="BN1292" s="7"/>
      <c r="BO1292" s="7"/>
      <c r="BT1292" s="6"/>
      <c r="BU1292" s="6"/>
      <c r="BV1292" s="6"/>
      <c r="BW1292" s="8"/>
      <c r="BX1292" s="9"/>
      <c r="CB1292" s="6"/>
      <c r="CC1292" s="10"/>
      <c r="CD1292" s="10"/>
      <c r="CE1292" s="8"/>
      <c r="CU1292" s="4"/>
      <c r="CY1292" s="11"/>
      <c r="DA1292" s="12"/>
      <c r="DB1292" s="13"/>
      <c r="DC1292" s="14"/>
      <c r="DH1292" s="15"/>
      <c r="DM1292" s="4"/>
    </row>
    <row r="1293" spans="2:117" ht="15.75" customHeight="1">
      <c r="B1293" s="10"/>
      <c r="C1293" s="17"/>
      <c r="E1293" s="25"/>
      <c r="F1293" s="35"/>
      <c r="J1293" s="20"/>
      <c r="K1293" s="29"/>
      <c r="L1293" s="22"/>
      <c r="M1293" s="5"/>
      <c r="AD1293" s="4"/>
      <c r="AE1293" s="5"/>
      <c r="BM1293" s="6"/>
      <c r="BN1293" s="7"/>
      <c r="BO1293" s="7"/>
      <c r="BT1293" s="6"/>
      <c r="BU1293" s="6"/>
      <c r="BV1293" s="6"/>
      <c r="BW1293" s="8"/>
      <c r="BX1293" s="9"/>
      <c r="CB1293" s="6"/>
      <c r="CC1293" s="10"/>
      <c r="CD1293" s="10"/>
      <c r="CE1293" s="8"/>
      <c r="CU1293" s="4"/>
      <c r="CY1293" s="11"/>
      <c r="DA1293" s="12"/>
      <c r="DB1293" s="13"/>
      <c r="DC1293" s="14"/>
      <c r="DH1293" s="15"/>
      <c r="DM1293" s="4"/>
    </row>
    <row r="1294" spans="2:117" ht="15.75" customHeight="1">
      <c r="B1294" s="10"/>
      <c r="C1294" s="17"/>
      <c r="E1294" s="25"/>
      <c r="F1294" s="35"/>
      <c r="J1294" s="20"/>
      <c r="K1294" s="29"/>
      <c r="L1294" s="22"/>
      <c r="M1294" s="5"/>
      <c r="AD1294" s="4"/>
      <c r="AE1294" s="5"/>
      <c r="BM1294" s="6"/>
      <c r="BN1294" s="7"/>
      <c r="BO1294" s="7"/>
      <c r="BT1294" s="6"/>
      <c r="BU1294" s="6"/>
      <c r="BV1294" s="6"/>
      <c r="BW1294" s="8"/>
      <c r="BX1294" s="9"/>
      <c r="CB1294" s="6"/>
      <c r="CC1294" s="10"/>
      <c r="CD1294" s="10"/>
      <c r="CE1294" s="8"/>
      <c r="CU1294" s="4"/>
      <c r="CY1294" s="11"/>
      <c r="DA1294" s="12"/>
      <c r="DB1294" s="13"/>
      <c r="DC1294" s="14"/>
      <c r="DH1294" s="15"/>
      <c r="DM1294" s="4"/>
    </row>
    <row r="1295" spans="2:117" ht="15.75" customHeight="1">
      <c r="B1295" s="10"/>
      <c r="C1295" s="17"/>
      <c r="E1295" s="25"/>
      <c r="F1295" s="35"/>
      <c r="J1295" s="20"/>
      <c r="K1295" s="29"/>
      <c r="L1295" s="22"/>
      <c r="M1295" s="5"/>
      <c r="AD1295" s="4"/>
      <c r="AE1295" s="5"/>
      <c r="BM1295" s="6"/>
      <c r="BN1295" s="7"/>
      <c r="BO1295" s="7"/>
      <c r="BT1295" s="6"/>
      <c r="BU1295" s="6"/>
      <c r="BV1295" s="6"/>
      <c r="BW1295" s="8"/>
      <c r="BX1295" s="9"/>
      <c r="CB1295" s="6"/>
      <c r="CC1295" s="10"/>
      <c r="CD1295" s="10"/>
      <c r="CE1295" s="8"/>
      <c r="CU1295" s="4"/>
      <c r="CY1295" s="11"/>
      <c r="DA1295" s="12"/>
      <c r="DB1295" s="13"/>
      <c r="DC1295" s="14"/>
      <c r="DH1295" s="15"/>
      <c r="DM1295" s="4"/>
    </row>
    <row r="1296" spans="2:117" ht="15.75" customHeight="1">
      <c r="B1296" s="10"/>
      <c r="C1296" s="17"/>
      <c r="E1296" s="25"/>
      <c r="F1296" s="35"/>
      <c r="J1296" s="20"/>
      <c r="K1296" s="29"/>
      <c r="L1296" s="22"/>
      <c r="M1296" s="5"/>
      <c r="AD1296" s="4"/>
      <c r="AE1296" s="5"/>
      <c r="BM1296" s="6"/>
      <c r="BN1296" s="7"/>
      <c r="BO1296" s="7"/>
      <c r="BT1296" s="6"/>
      <c r="BU1296" s="6"/>
      <c r="BV1296" s="6"/>
      <c r="BW1296" s="8"/>
      <c r="BX1296" s="9"/>
      <c r="CB1296" s="6"/>
      <c r="CC1296" s="10"/>
      <c r="CD1296" s="10"/>
      <c r="CE1296" s="8"/>
      <c r="CU1296" s="4"/>
      <c r="CY1296" s="11"/>
      <c r="DA1296" s="12"/>
      <c r="DB1296" s="13"/>
      <c r="DC1296" s="14"/>
      <c r="DH1296" s="15"/>
      <c r="DM1296" s="4"/>
    </row>
    <row r="1297" spans="2:117" ht="15.75" customHeight="1">
      <c r="B1297" s="10"/>
      <c r="C1297" s="17"/>
      <c r="E1297" s="25"/>
      <c r="F1297" s="35"/>
      <c r="J1297" s="20"/>
      <c r="K1297" s="29"/>
      <c r="L1297" s="22"/>
      <c r="M1297" s="5"/>
      <c r="AD1297" s="4"/>
      <c r="AE1297" s="5"/>
      <c r="BM1297" s="6"/>
      <c r="BN1297" s="7"/>
      <c r="BO1297" s="7"/>
      <c r="BT1297" s="6"/>
      <c r="BU1297" s="6"/>
      <c r="BV1297" s="6"/>
      <c r="BW1297" s="8"/>
      <c r="BX1297" s="9"/>
      <c r="CB1297" s="6"/>
      <c r="CC1297" s="10"/>
      <c r="CD1297" s="10"/>
      <c r="CE1297" s="8"/>
      <c r="CU1297" s="4"/>
      <c r="CY1297" s="11"/>
      <c r="DA1297" s="12"/>
      <c r="DB1297" s="13"/>
      <c r="DC1297" s="14"/>
      <c r="DH1297" s="15"/>
      <c r="DM1297" s="4"/>
    </row>
    <row r="1298" spans="2:117" ht="15.75" customHeight="1">
      <c r="B1298" s="10"/>
      <c r="C1298" s="17"/>
      <c r="E1298" s="25"/>
      <c r="F1298" s="35"/>
      <c r="J1298" s="20"/>
      <c r="K1298" s="29"/>
      <c r="L1298" s="22"/>
      <c r="M1298" s="5"/>
      <c r="AD1298" s="4"/>
      <c r="AE1298" s="5"/>
      <c r="BM1298" s="6"/>
      <c r="BN1298" s="7"/>
      <c r="BO1298" s="7"/>
      <c r="BT1298" s="6"/>
      <c r="BU1298" s="6"/>
      <c r="BV1298" s="6"/>
      <c r="BW1298" s="8"/>
      <c r="BX1298" s="9"/>
      <c r="CB1298" s="6"/>
      <c r="CC1298" s="10"/>
      <c r="CD1298" s="10"/>
      <c r="CE1298" s="8"/>
      <c r="CU1298" s="4"/>
      <c r="CY1298" s="11"/>
      <c r="DA1298" s="12"/>
      <c r="DB1298" s="13"/>
      <c r="DC1298" s="14"/>
      <c r="DH1298" s="15"/>
      <c r="DM1298" s="4"/>
    </row>
    <row r="1299" spans="2:117" ht="15.75" customHeight="1">
      <c r="B1299" s="10"/>
      <c r="C1299" s="17"/>
      <c r="E1299" s="25"/>
      <c r="F1299" s="35"/>
      <c r="J1299" s="20"/>
      <c r="K1299" s="29"/>
      <c r="L1299" s="22"/>
      <c r="M1299" s="5"/>
      <c r="AD1299" s="4"/>
      <c r="AE1299" s="5"/>
      <c r="BM1299" s="6"/>
      <c r="BN1299" s="7"/>
      <c r="BO1299" s="7"/>
      <c r="BT1299" s="6"/>
      <c r="BU1299" s="6"/>
      <c r="BV1299" s="6"/>
      <c r="BW1299" s="8"/>
      <c r="BX1299" s="9"/>
      <c r="CB1299" s="6"/>
      <c r="CC1299" s="10"/>
      <c r="CD1299" s="10"/>
      <c r="CE1299" s="8"/>
      <c r="CU1299" s="4"/>
      <c r="CY1299" s="11"/>
      <c r="DA1299" s="12"/>
      <c r="DB1299" s="13"/>
      <c r="DC1299" s="14"/>
      <c r="DH1299" s="15"/>
      <c r="DM1299" s="4"/>
    </row>
    <row r="1300" spans="2:117" ht="15.75" customHeight="1">
      <c r="B1300" s="10"/>
      <c r="C1300" s="17"/>
      <c r="E1300" s="25"/>
      <c r="F1300" s="35"/>
      <c r="J1300" s="20"/>
      <c r="K1300" s="29"/>
      <c r="L1300" s="22"/>
      <c r="M1300" s="5"/>
      <c r="AD1300" s="4"/>
      <c r="AE1300" s="5"/>
      <c r="BM1300" s="6"/>
      <c r="BN1300" s="7"/>
      <c r="BO1300" s="7"/>
      <c r="BT1300" s="6"/>
      <c r="BU1300" s="6"/>
      <c r="BV1300" s="6"/>
      <c r="BW1300" s="8"/>
      <c r="BX1300" s="9"/>
      <c r="CB1300" s="6"/>
      <c r="CC1300" s="10"/>
      <c r="CD1300" s="10"/>
      <c r="CE1300" s="8"/>
      <c r="CU1300" s="4"/>
      <c r="CY1300" s="11"/>
      <c r="DA1300" s="12"/>
      <c r="DB1300" s="13"/>
      <c r="DC1300" s="14"/>
      <c r="DH1300" s="15"/>
      <c r="DM1300" s="4"/>
    </row>
    <row r="1301" spans="2:117" ht="15.75" customHeight="1">
      <c r="B1301" s="10"/>
      <c r="C1301" s="17"/>
      <c r="E1301" s="25"/>
      <c r="F1301" s="35"/>
      <c r="J1301" s="20"/>
      <c r="K1301" s="29"/>
      <c r="L1301" s="22"/>
      <c r="M1301" s="5"/>
      <c r="AD1301" s="4"/>
      <c r="AE1301" s="5"/>
      <c r="BM1301" s="6"/>
      <c r="BN1301" s="7"/>
      <c r="BO1301" s="7"/>
      <c r="BT1301" s="6"/>
      <c r="BU1301" s="6"/>
      <c r="BV1301" s="6"/>
      <c r="BW1301" s="8"/>
      <c r="BX1301" s="9"/>
      <c r="CB1301" s="6"/>
      <c r="CC1301" s="10"/>
      <c r="CD1301" s="10"/>
      <c r="CE1301" s="8"/>
      <c r="CU1301" s="4"/>
      <c r="CY1301" s="11"/>
      <c r="DA1301" s="12"/>
      <c r="DB1301" s="13"/>
      <c r="DC1301" s="14"/>
      <c r="DH1301" s="15"/>
      <c r="DM1301" s="4"/>
    </row>
    <row r="1302" spans="2:117" ht="15.75" customHeight="1">
      <c r="B1302" s="10"/>
      <c r="C1302" s="17"/>
      <c r="E1302" s="25"/>
      <c r="F1302" s="35"/>
      <c r="J1302" s="20"/>
      <c r="K1302" s="29"/>
      <c r="L1302" s="22"/>
      <c r="M1302" s="5"/>
      <c r="AD1302" s="4"/>
      <c r="AE1302" s="5"/>
      <c r="BM1302" s="6"/>
      <c r="BN1302" s="7"/>
      <c r="BO1302" s="7"/>
      <c r="BT1302" s="6"/>
      <c r="BU1302" s="6"/>
      <c r="BV1302" s="6"/>
      <c r="BW1302" s="8"/>
      <c r="BX1302" s="9"/>
      <c r="CB1302" s="6"/>
      <c r="CC1302" s="10"/>
      <c r="CD1302" s="10"/>
      <c r="CE1302" s="8"/>
      <c r="CU1302" s="4"/>
      <c r="CY1302" s="11"/>
      <c r="DA1302" s="12"/>
      <c r="DB1302" s="13"/>
      <c r="DC1302" s="14"/>
      <c r="DH1302" s="15"/>
      <c r="DM1302" s="4"/>
    </row>
  </sheetData>
  <autoFilter ref="A12:DZ502" xr:uid="{00000000-0009-0000-0000-000000000000}">
    <filterColumn colId="7">
      <filters>
        <filter val="Zanenga"/>
      </filters>
    </filterColumn>
    <filterColumn colId="112">
      <filters>
        <filter val="SI"/>
      </filters>
    </filterColumn>
    <sortState xmlns:xlrd2="http://schemas.microsoft.com/office/spreadsheetml/2017/richdata2" ref="A13:DZ489">
      <sortCondition ref="J12:J502"/>
    </sortState>
  </autoFilter>
  <customSheetViews>
    <customSheetView guid="{283C6EFD-FB32-4666-B3E0-52C9295C4966}" filter="1" showAutoFilter="1">
      <pageMargins left="0.7" right="0.7" top="0.75" bottom="0.75" header="0.3" footer="0.3"/>
      <autoFilter ref="A499:DN647" xr:uid="{F1581BFC-43A0-43E7-92E7-C0EF9A243207}"/>
      <extLst>
        <ext uri="GoogleSheetsCustomDataVersion1">
          <go:sheetsCustomData xmlns:go="http://customooxmlschemas.google.com/" filterViewId="1099629275"/>
        </ext>
      </extLst>
    </customSheetView>
  </customSheetViews>
  <mergeCells count="9">
    <mergeCell ref="D8:H8"/>
    <mergeCell ref="A10:H10"/>
    <mergeCell ref="B1:C1"/>
    <mergeCell ref="D2:E2"/>
    <mergeCell ref="D3:E3"/>
    <mergeCell ref="D4:E4"/>
    <mergeCell ref="D5:H5"/>
    <mergeCell ref="D6:F6"/>
    <mergeCell ref="D7:H7"/>
  </mergeCells>
  <dataValidations count="2">
    <dataValidation type="custom" allowBlank="1" showErrorMessage="1" sqref="W143:W145 Y143:AA145 W171:W208 Y171:AA208 W418:W419 Y418:AA419 W427:W429 Y427:AA429 W431 Y431:AA431 W450 Y450:AA450 W526 Y526:AA526 W529:W578 Y529:AA578 W601:W613 Y601:AA613 W648 Y648:AA648" xr:uid="{00000000-0002-0000-0000-000000000000}">
      <formula1>"Azienda"</formula1>
    </dataValidation>
    <dataValidation type="list" allowBlank="1" showErrorMessage="1" sqref="CO450:CT450 CO567:CT575 CO576:CU577 CO620:CT620" xr:uid="{00000000-0002-0000-0000-000002000000}">
      <formula1>"x"</formula1>
    </dataValidation>
  </dataValidations>
  <hyperlinks>
    <hyperlink ref="I83" r:id="rId1" xr:uid="{00000000-0004-0000-0000-000000000000}"/>
    <hyperlink ref="I39" r:id="rId2" xr:uid="{00000000-0004-0000-0000-000001000000}"/>
    <hyperlink ref="I215" r:id="rId3" xr:uid="{00000000-0004-0000-0000-000002000000}"/>
    <hyperlink ref="I216" r:id="rId4" xr:uid="{00000000-0004-0000-0000-000003000000}"/>
    <hyperlink ref="I127" r:id="rId5" xr:uid="{00000000-0004-0000-0000-000004000000}"/>
    <hyperlink ref="N466" r:id="rId6" xr:uid="{00000000-0004-0000-0000-000005000000}"/>
    <hyperlink ref="I157" r:id="rId7" xr:uid="{00000000-0004-0000-0000-000006000000}"/>
    <hyperlink ref="I161" r:id="rId8" xr:uid="{00000000-0004-0000-0000-000007000000}"/>
    <hyperlink ref="I60" r:id="rId9" xr:uid="{00000000-0004-0000-0000-000008000000}"/>
    <hyperlink ref="I23" r:id="rId10" xr:uid="{00000000-0004-0000-0000-000009000000}"/>
    <hyperlink ref="I170" r:id="rId11" xr:uid="{00000000-0004-0000-0000-00000A000000}"/>
    <hyperlink ref="I176" r:id="rId12" xr:uid="{00000000-0004-0000-0000-00000B000000}"/>
    <hyperlink ref="I186" r:id="rId13" xr:uid="{00000000-0004-0000-0000-00000C000000}"/>
    <hyperlink ref="I191" r:id="rId14" xr:uid="{00000000-0004-0000-0000-00000D000000}"/>
    <hyperlink ref="I194" r:id="rId15" xr:uid="{00000000-0004-0000-0000-00000E000000}"/>
    <hyperlink ref="I297" r:id="rId16" xr:uid="{00000000-0004-0000-0000-00000F000000}"/>
    <hyperlink ref="I205" r:id="rId17" xr:uid="{00000000-0004-0000-0000-000010000000}"/>
    <hyperlink ref="I225" r:id="rId18" xr:uid="{00000000-0004-0000-0000-000011000000}"/>
    <hyperlink ref="I227" r:id="rId19" xr:uid="{00000000-0004-0000-0000-000012000000}"/>
    <hyperlink ref="I234" r:id="rId20" xr:uid="{00000000-0004-0000-0000-000013000000}"/>
    <hyperlink ref="I239" r:id="rId21" xr:uid="{00000000-0004-0000-0000-000014000000}"/>
    <hyperlink ref="I256" r:id="rId22" xr:uid="{00000000-0004-0000-0000-000015000000}"/>
    <hyperlink ref="I241" r:id="rId23" xr:uid="{00000000-0004-0000-0000-000016000000}"/>
    <hyperlink ref="I242" r:id="rId24" xr:uid="{00000000-0004-0000-0000-000017000000}"/>
    <hyperlink ref="I263" r:id="rId25" xr:uid="{00000000-0004-0000-0000-000018000000}"/>
    <hyperlink ref="I267" r:id="rId26" xr:uid="{00000000-0004-0000-0000-000019000000}"/>
    <hyperlink ref="I112" r:id="rId27" xr:uid="{00000000-0004-0000-0000-00001A000000}"/>
    <hyperlink ref="I282" r:id="rId28" xr:uid="{00000000-0004-0000-0000-00001B000000}"/>
    <hyperlink ref="I486" r:id="rId29" xr:uid="{00000000-0004-0000-0000-00001C000000}"/>
    <hyperlink ref="I254" r:id="rId30" xr:uid="{00000000-0004-0000-0000-00001D000000}"/>
    <hyperlink ref="I47" r:id="rId31" xr:uid="{00000000-0004-0000-0000-00001E000000}"/>
    <hyperlink ref="I317" r:id="rId32" xr:uid="{00000000-0004-0000-0000-00001F000000}"/>
    <hyperlink ref="I319" r:id="rId33" xr:uid="{00000000-0004-0000-0000-000020000000}"/>
    <hyperlink ref="I288" r:id="rId34" xr:uid="{00000000-0004-0000-0000-000021000000}"/>
    <hyperlink ref="I365" r:id="rId35" xr:uid="{00000000-0004-0000-0000-000022000000}"/>
    <hyperlink ref="I369" r:id="rId36" xr:uid="{00000000-0004-0000-0000-000023000000}"/>
    <hyperlink ref="I247" r:id="rId37" xr:uid="{00000000-0004-0000-0000-000024000000}"/>
    <hyperlink ref="I378" r:id="rId38" xr:uid="{00000000-0004-0000-0000-000025000000}"/>
    <hyperlink ref="I386" r:id="rId39" xr:uid="{00000000-0004-0000-0000-000026000000}"/>
    <hyperlink ref="I388" r:id="rId40" xr:uid="{00000000-0004-0000-0000-000027000000}"/>
    <hyperlink ref="I390" r:id="rId41" xr:uid="{00000000-0004-0000-0000-000028000000}"/>
    <hyperlink ref="I392" r:id="rId42" xr:uid="{00000000-0004-0000-0000-000029000000}"/>
    <hyperlink ref="I395" r:id="rId43" xr:uid="{00000000-0004-0000-0000-00002A000000}"/>
    <hyperlink ref="I397" r:id="rId44" xr:uid="{00000000-0004-0000-0000-00002B000000}"/>
    <hyperlink ref="I409" r:id="rId45" xr:uid="{00000000-0004-0000-0000-00002C000000}"/>
    <hyperlink ref="I410" r:id="rId46" xr:uid="{00000000-0004-0000-0000-00002D000000}"/>
    <hyperlink ref="I411" r:id="rId47" xr:uid="{00000000-0004-0000-0000-00002E000000}"/>
    <hyperlink ref="I413" r:id="rId48" xr:uid="{00000000-0004-0000-0000-00002F000000}"/>
    <hyperlink ref="I414" r:id="rId49" xr:uid="{00000000-0004-0000-0000-000030000000}"/>
    <hyperlink ref="I75" r:id="rId50" xr:uid="{00000000-0004-0000-0000-000031000000}"/>
    <hyperlink ref="AC418" r:id="rId51" xr:uid="{00000000-0004-0000-0000-000032000000}"/>
    <hyperlink ref="I136" r:id="rId52" xr:uid="{00000000-0004-0000-0000-000033000000}"/>
    <hyperlink ref="X136" r:id="rId53" xr:uid="{00000000-0004-0000-0000-000034000000}"/>
    <hyperlink ref="AC136" r:id="rId54" xr:uid="{00000000-0004-0000-0000-000035000000}"/>
    <hyperlink ref="I422" r:id="rId55" xr:uid="{00000000-0004-0000-0000-000036000000}"/>
    <hyperlink ref="I293" r:id="rId56" xr:uid="{00000000-0004-0000-0000-000037000000}"/>
    <hyperlink ref="I427" r:id="rId57" xr:uid="{00000000-0004-0000-0000-000038000000}"/>
    <hyperlink ref="I429" r:id="rId58" xr:uid="{00000000-0004-0000-0000-000039000000}"/>
    <hyperlink ref="DB429" r:id="rId59" xr:uid="{00000000-0004-0000-0000-00003A000000}"/>
    <hyperlink ref="I316" r:id="rId60" xr:uid="{00000000-0004-0000-0000-00003B000000}"/>
    <hyperlink ref="I433" r:id="rId61" xr:uid="{00000000-0004-0000-0000-00003C000000}"/>
    <hyperlink ref="K433" r:id="rId62" display="https://blackship.activehosted.com/app/contacts/19760" xr:uid="{00000000-0004-0000-0000-00003D000000}"/>
    <hyperlink ref="I294" r:id="rId63" xr:uid="{00000000-0004-0000-0000-00003E000000}"/>
    <hyperlink ref="I435" r:id="rId64" xr:uid="{00000000-0004-0000-0000-00003F000000}"/>
    <hyperlink ref="I436" r:id="rId65" xr:uid="{00000000-0004-0000-0000-000040000000}"/>
    <hyperlink ref="I437" r:id="rId66" xr:uid="{00000000-0004-0000-0000-000041000000}"/>
    <hyperlink ref="I440" r:id="rId67" xr:uid="{00000000-0004-0000-0000-000042000000}"/>
    <hyperlink ref="I337" r:id="rId68" xr:uid="{00000000-0004-0000-0000-000043000000}"/>
    <hyperlink ref="X447" r:id="rId69" xr:uid="{00000000-0004-0000-0000-000044000000}"/>
    <hyperlink ref="AC447" r:id="rId70" xr:uid="{00000000-0004-0000-0000-000045000000}"/>
    <hyperlink ref="I449" r:id="rId71" xr:uid="{00000000-0004-0000-0000-000046000000}"/>
    <hyperlink ref="I306" r:id="rId72" xr:uid="{00000000-0004-0000-0000-000047000000}"/>
    <hyperlink ref="I457" r:id="rId73" xr:uid="{00000000-0004-0000-0000-000048000000}"/>
    <hyperlink ref="I309" r:id="rId74" xr:uid="{00000000-0004-0000-0000-000049000000}"/>
    <hyperlink ref="I59" r:id="rId75" xr:uid="{00000000-0004-0000-0000-00004A000000}"/>
    <hyperlink ref="I460" r:id="rId76" xr:uid="{00000000-0004-0000-0000-00004B000000}"/>
    <hyperlink ref="I461" r:id="rId77" xr:uid="{00000000-0004-0000-0000-00004C000000}"/>
    <hyperlink ref="I99" r:id="rId78" xr:uid="{00000000-0004-0000-0000-00004D000000}"/>
    <hyperlink ref="I463" r:id="rId79" xr:uid="{00000000-0004-0000-0000-00004E000000}"/>
    <hyperlink ref="I211" r:id="rId80" xr:uid="{00000000-0004-0000-0000-00004F000000}"/>
    <hyperlink ref="I465" r:id="rId81" xr:uid="{00000000-0004-0000-0000-000050000000}"/>
    <hyperlink ref="I82" r:id="rId82" xr:uid="{00000000-0004-0000-0000-000051000000}"/>
    <hyperlink ref="K82" r:id="rId83" display="https://blackship.activehosted.com/app/contacts/25692" xr:uid="{00000000-0004-0000-0000-000052000000}"/>
    <hyperlink ref="I467" r:id="rId84" xr:uid="{00000000-0004-0000-0000-000053000000}"/>
    <hyperlink ref="I20" r:id="rId85" xr:uid="{00000000-0004-0000-0000-000054000000}"/>
    <hyperlink ref="I167" r:id="rId86" xr:uid="{00000000-0004-0000-0000-000055000000}"/>
    <hyperlink ref="I21" r:id="rId87" xr:uid="{00000000-0004-0000-0000-000056000000}"/>
    <hyperlink ref="I455" r:id="rId88" xr:uid="{00000000-0004-0000-0000-000057000000}"/>
    <hyperlink ref="I68" r:id="rId89" xr:uid="{00000000-0004-0000-0000-000058000000}"/>
    <hyperlink ref="CW514" r:id="rId90" xr:uid="{00000000-0004-0000-0000-000059000000}"/>
    <hyperlink ref="CX514" r:id="rId91" xr:uid="{00000000-0004-0000-0000-00005A000000}"/>
    <hyperlink ref="I528" r:id="rId92" xr:uid="{00000000-0004-0000-0000-00005B000000}"/>
    <hyperlink ref="I534" r:id="rId93" xr:uid="{00000000-0004-0000-0000-00005C000000}"/>
    <hyperlink ref="I538" r:id="rId94" xr:uid="{00000000-0004-0000-0000-00005D000000}"/>
    <hyperlink ref="I539" r:id="rId95" xr:uid="{00000000-0004-0000-0000-00005E000000}"/>
    <hyperlink ref="I540" r:id="rId96" xr:uid="{00000000-0004-0000-0000-00005F000000}"/>
    <hyperlink ref="CW544" r:id="rId97" xr:uid="{00000000-0004-0000-0000-000060000000}"/>
    <hyperlink ref="CX544" r:id="rId98" xr:uid="{00000000-0004-0000-0000-000061000000}"/>
    <hyperlink ref="I549" r:id="rId99" xr:uid="{00000000-0004-0000-0000-000062000000}"/>
    <hyperlink ref="I553" r:id="rId100" xr:uid="{00000000-0004-0000-0000-000063000000}"/>
    <hyperlink ref="X567" r:id="rId101" xr:uid="{00000000-0004-0000-0000-000064000000}"/>
    <hyperlink ref="AC567" r:id="rId102" xr:uid="{00000000-0004-0000-0000-000065000000}"/>
    <hyperlink ref="AC574" r:id="rId103" xr:uid="{00000000-0004-0000-0000-000066000000}"/>
    <hyperlink ref="X578" r:id="rId104" xr:uid="{00000000-0004-0000-0000-000067000000}"/>
    <hyperlink ref="AC582" r:id="rId105" xr:uid="{00000000-0004-0000-0000-000068000000}"/>
    <hyperlink ref="AC584" r:id="rId106" xr:uid="{00000000-0004-0000-0000-000069000000}"/>
    <hyperlink ref="X588" r:id="rId107" xr:uid="{00000000-0004-0000-0000-00006A000000}"/>
    <hyperlink ref="AC588" r:id="rId108" xr:uid="{00000000-0004-0000-0000-00006B000000}"/>
    <hyperlink ref="I590" r:id="rId109" xr:uid="{00000000-0004-0000-0000-00006C000000}"/>
    <hyperlink ref="I593" r:id="rId110" xr:uid="{00000000-0004-0000-0000-00006D000000}"/>
    <hyperlink ref="X595" r:id="rId111" xr:uid="{00000000-0004-0000-0000-00006E000000}"/>
    <hyperlink ref="X597" r:id="rId112" xr:uid="{00000000-0004-0000-0000-00006F000000}"/>
    <hyperlink ref="AC597" r:id="rId113" xr:uid="{00000000-0004-0000-0000-000070000000}"/>
    <hyperlink ref="I604" r:id="rId114" xr:uid="{00000000-0004-0000-0000-000071000000}"/>
    <hyperlink ref="I617" r:id="rId115" xr:uid="{00000000-0004-0000-0000-000072000000}"/>
    <hyperlink ref="I619" r:id="rId116" xr:uid="{00000000-0004-0000-0000-000073000000}"/>
    <hyperlink ref="X621" r:id="rId117" xr:uid="{00000000-0004-0000-0000-000074000000}"/>
    <hyperlink ref="AC621" r:id="rId118" xr:uid="{00000000-0004-0000-0000-000075000000}"/>
    <hyperlink ref="AC626" r:id="rId119" xr:uid="{00000000-0004-0000-0000-000076000000}"/>
    <hyperlink ref="AC629" r:id="rId120" xr:uid="{00000000-0004-0000-0000-000077000000}"/>
    <hyperlink ref="AC630" r:id="rId121" xr:uid="{00000000-0004-0000-0000-000078000000}"/>
    <hyperlink ref="I631" r:id="rId122" xr:uid="{00000000-0004-0000-0000-000079000000}"/>
    <hyperlink ref="X632" r:id="rId123" xr:uid="{00000000-0004-0000-0000-00007A000000}"/>
    <hyperlink ref="AC632" r:id="rId124" xr:uid="{00000000-0004-0000-0000-00007B000000}"/>
    <hyperlink ref="X634" r:id="rId125" xr:uid="{00000000-0004-0000-0000-00007C000000}"/>
    <hyperlink ref="X642" r:id="rId126" xr:uid="{00000000-0004-0000-0000-00007D000000}"/>
    <hyperlink ref="AC642" r:id="rId127" xr:uid="{00000000-0004-0000-0000-00007E000000}"/>
    <hyperlink ref="X645" r:id="rId128" xr:uid="{00000000-0004-0000-0000-00007F000000}"/>
    <hyperlink ref="AC645" r:id="rId129" xr:uid="{00000000-0004-0000-0000-000080000000}"/>
    <hyperlink ref="I648" r:id="rId130" xr:uid="{00000000-0004-0000-0000-000081000000}"/>
  </hyperlinks>
  <pageMargins left="0.75" right="0.75" top="1" bottom="1" header="0" footer="0"/>
  <pageSetup paperSize="9" orientation="portrait"/>
  <legacyDrawing r:id="rId131"/>
  <extLst>
    <ext xmlns:x14="http://schemas.microsoft.com/office/spreadsheetml/2009/9/main" uri="{CCE6A557-97BC-4b89-ADB6-D9C93CAAB3DF}">
      <x14:dataValidations xmlns:xm="http://schemas.microsoft.com/office/excel/2006/main" count="1">
        <x14:dataValidation type="list" allowBlank="1" showErrorMessage="1" xr:uid="{00000000-0002-0000-0000-000001000000}">
          <x14:formula1>
            <xm:f>'Data Validation'!$J$3:$J$7</xm:f>
          </x14:formula1>
          <xm:sqref>M143:M145 M171:M181 M183:M185 M187:M192 M194:M200 L201 M202:M208 M418:M419 M490:M500 M529:M545 M547:M548 M552:M560 M562:M565 M648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37"/>
  <sheetViews>
    <sheetView workbookViewId="0"/>
  </sheetViews>
  <sheetFormatPr defaultColWidth="14.42578125" defaultRowHeight="15" customHeight="1" outlineLevelRow="1"/>
  <cols>
    <col min="1" max="1" width="4.140625" customWidth="1"/>
    <col min="2" max="2" width="20.7109375" customWidth="1"/>
    <col min="4" max="4" width="36.42578125" customWidth="1"/>
    <col min="5" max="5" width="12.85546875" customWidth="1"/>
    <col min="6" max="6" width="16.140625" customWidth="1"/>
    <col min="7" max="7" width="37.28515625" customWidth="1"/>
    <col min="8" max="8" width="30.7109375" customWidth="1"/>
    <col min="9" max="9" width="26.28515625" customWidth="1"/>
    <col min="10" max="10" width="10.7109375" customWidth="1"/>
    <col min="11" max="11" width="12.7109375" customWidth="1"/>
    <col min="12" max="12" width="15.7109375" customWidth="1"/>
    <col min="13" max="16" width="22.42578125" customWidth="1"/>
    <col min="17" max="26" width="8.7109375" customWidth="1"/>
  </cols>
  <sheetData>
    <row r="1" spans="1:26" ht="12.75" customHeight="1">
      <c r="A1" s="1030"/>
      <c r="B1" s="1030"/>
      <c r="C1" s="1030"/>
      <c r="D1" s="1031" t="s">
        <v>3333</v>
      </c>
      <c r="E1" s="1031"/>
      <c r="F1" s="1031"/>
      <c r="G1" s="1031"/>
      <c r="H1" s="1031"/>
      <c r="I1" s="1032"/>
      <c r="J1" s="1031"/>
      <c r="K1" s="1033"/>
      <c r="L1" s="1030"/>
      <c r="M1" s="1030" t="s">
        <v>3334</v>
      </c>
      <c r="N1" s="1030" t="s">
        <v>3335</v>
      </c>
      <c r="O1" s="1030" t="s">
        <v>3336</v>
      </c>
      <c r="P1" s="1030" t="s">
        <v>3337</v>
      </c>
      <c r="Q1" s="1030"/>
      <c r="R1" s="1030"/>
      <c r="S1" s="1030"/>
      <c r="T1" s="1030"/>
      <c r="U1" s="1030"/>
      <c r="V1" s="1030"/>
      <c r="W1" s="1030"/>
      <c r="X1" s="1030"/>
      <c r="Y1" s="1030"/>
      <c r="Z1" s="1030"/>
    </row>
    <row r="2" spans="1:26" ht="30.75" customHeight="1">
      <c r="A2" s="1030"/>
      <c r="B2" s="1030"/>
      <c r="C2" s="1030"/>
      <c r="D2" s="1034" t="s">
        <v>3338</v>
      </c>
      <c r="E2" s="1035" t="s">
        <v>117</v>
      </c>
      <c r="F2" s="1036" t="s">
        <v>3339</v>
      </c>
      <c r="G2" s="1035" t="s">
        <v>3340</v>
      </c>
      <c r="H2" s="1036" t="s">
        <v>3341</v>
      </c>
      <c r="I2" s="1037" t="s">
        <v>3342</v>
      </c>
      <c r="J2" s="1038" t="s">
        <v>3343</v>
      </c>
      <c r="K2" s="1037">
        <f>'Lista Corso'!BN490</f>
        <v>412815.14</v>
      </c>
      <c r="L2" s="1039"/>
      <c r="M2" s="1040" t="s">
        <v>3344</v>
      </c>
      <c r="N2" s="1040" t="s">
        <v>3345</v>
      </c>
      <c r="O2" s="1040" t="s">
        <v>3346</v>
      </c>
      <c r="P2" s="1040" t="s">
        <v>3346</v>
      </c>
      <c r="Q2" s="1030"/>
      <c r="R2" s="1030"/>
      <c r="S2" s="1030"/>
      <c r="T2" s="1030"/>
      <c r="U2" s="1030"/>
      <c r="V2" s="1030"/>
      <c r="W2" s="1030"/>
      <c r="X2" s="1030"/>
      <c r="Y2" s="1030"/>
      <c r="Z2" s="1030"/>
    </row>
    <row r="3" spans="1:26" ht="12.75" customHeight="1">
      <c r="A3" s="1030"/>
      <c r="B3" s="1030"/>
      <c r="C3" s="1030"/>
      <c r="D3" s="1034" t="s">
        <v>3347</v>
      </c>
      <c r="E3" s="1035">
        <f>3+3+2</f>
        <v>8</v>
      </c>
      <c r="F3" s="1034" t="s">
        <v>3348</v>
      </c>
      <c r="G3" s="1035" t="s">
        <v>3349</v>
      </c>
      <c r="H3" s="1038" t="s">
        <v>3350</v>
      </c>
      <c r="I3" s="1037" t="s">
        <v>3351</v>
      </c>
      <c r="J3" s="1038" t="s">
        <v>3352</v>
      </c>
      <c r="K3" s="1037" t="s">
        <v>3353</v>
      </c>
      <c r="L3" s="1039"/>
      <c r="M3" s="1040" t="s">
        <v>690</v>
      </c>
      <c r="N3" s="1040" t="s">
        <v>3354</v>
      </c>
      <c r="O3" s="1040" t="s">
        <v>998</v>
      </c>
      <c r="P3" s="1040" t="s">
        <v>998</v>
      </c>
      <c r="Q3" s="1030"/>
      <c r="R3" s="1030"/>
      <c r="S3" s="1030"/>
      <c r="T3" s="1030"/>
      <c r="U3" s="1030"/>
      <c r="V3" s="1030"/>
      <c r="W3" s="1030"/>
      <c r="X3" s="1030"/>
      <c r="Y3" s="1030"/>
      <c r="Z3" s="1030"/>
    </row>
    <row r="4" spans="1:26" ht="12.75" customHeight="1">
      <c r="A4" s="1030"/>
      <c r="B4" s="1030"/>
      <c r="C4" s="1030"/>
      <c r="D4" s="1039"/>
      <c r="E4" s="1030"/>
      <c r="F4" s="1039"/>
      <c r="G4" s="1039"/>
      <c r="H4" s="1030"/>
      <c r="I4" s="1041"/>
      <c r="J4" s="1038" t="s">
        <v>3355</v>
      </c>
      <c r="K4" s="1042" t="str">
        <f>IF(E3=0,"",IF(K2/E3&lt;2500,"C",IF(K2/E3&lt;4000,"B","A")))</f>
        <v>A</v>
      </c>
      <c r="L4" s="1039"/>
      <c r="M4" s="1040" t="s">
        <v>117</v>
      </c>
      <c r="N4" s="1040" t="s">
        <v>3346</v>
      </c>
      <c r="O4" s="1040" t="s">
        <v>3356</v>
      </c>
      <c r="P4" s="1040" t="s">
        <v>3356</v>
      </c>
      <c r="Q4" s="1030"/>
      <c r="R4" s="1030"/>
      <c r="S4" s="1030"/>
      <c r="T4" s="1030"/>
      <c r="U4" s="1030"/>
      <c r="V4" s="1030"/>
      <c r="W4" s="1030"/>
      <c r="X4" s="1030"/>
      <c r="Y4" s="1030"/>
      <c r="Z4" s="1030"/>
    </row>
    <row r="5" spans="1:26" ht="12.75" customHeight="1">
      <c r="A5" s="1030"/>
      <c r="B5" s="1030"/>
      <c r="C5" s="1030"/>
      <c r="D5" s="1039"/>
      <c r="E5" s="1030"/>
      <c r="F5" s="1039"/>
      <c r="G5" s="1039"/>
      <c r="H5" s="1030"/>
      <c r="I5" s="1041"/>
      <c r="J5" s="1043"/>
      <c r="K5" s="1044"/>
      <c r="L5" s="1039"/>
      <c r="M5" s="1040" t="s">
        <v>3346</v>
      </c>
      <c r="N5" s="1040" t="s">
        <v>998</v>
      </c>
      <c r="O5" s="1040" t="s">
        <v>1077</v>
      </c>
      <c r="P5" s="1040" t="s">
        <v>3357</v>
      </c>
      <c r="Q5" s="1030"/>
      <c r="R5" s="1030"/>
      <c r="S5" s="1030"/>
      <c r="T5" s="1030"/>
      <c r="U5" s="1030"/>
      <c r="V5" s="1030"/>
      <c r="W5" s="1030"/>
      <c r="X5" s="1030"/>
      <c r="Y5" s="1030"/>
      <c r="Z5" s="1030"/>
    </row>
    <row r="6" spans="1:26" ht="12.75" customHeight="1">
      <c r="A6" s="1030"/>
      <c r="B6" s="1030"/>
      <c r="C6" s="1030"/>
      <c r="D6" s="1039"/>
      <c r="E6" s="1030"/>
      <c r="F6" s="1039"/>
      <c r="G6" s="1039"/>
      <c r="H6" s="1030"/>
      <c r="I6" s="1041"/>
      <c r="J6" s="1045" t="s">
        <v>3358</v>
      </c>
      <c r="K6" s="1045" t="s">
        <v>3359</v>
      </c>
      <c r="L6" s="1039"/>
      <c r="M6" s="1040" t="s">
        <v>998</v>
      </c>
      <c r="N6" s="1040" t="s">
        <v>3356</v>
      </c>
      <c r="O6" s="1040" t="s">
        <v>976</v>
      </c>
      <c r="P6" s="1040" t="s">
        <v>1077</v>
      </c>
      <c r="Q6" s="1030"/>
      <c r="R6" s="1030"/>
      <c r="S6" s="1030"/>
      <c r="T6" s="1030"/>
      <c r="U6" s="1030"/>
      <c r="V6" s="1030"/>
      <c r="W6" s="1030"/>
      <c r="X6" s="1030"/>
      <c r="Y6" s="1030"/>
      <c r="Z6" s="1030"/>
    </row>
    <row r="7" spans="1:26" ht="26.25" customHeight="1">
      <c r="A7" s="1030"/>
      <c r="B7" s="1030"/>
      <c r="C7" s="1030"/>
      <c r="D7" s="1046" t="s">
        <v>3360</v>
      </c>
      <c r="E7" s="1035"/>
      <c r="F7" s="1035"/>
      <c r="G7" s="1047"/>
      <c r="H7" s="1047"/>
      <c r="I7" s="1048" t="s">
        <v>3361</v>
      </c>
      <c r="J7" s="1049">
        <v>0</v>
      </c>
      <c r="K7" s="1050" t="str">
        <f t="shared" ref="K7:K8" si="0">IF(E7=0,"-",E7)</f>
        <v>-</v>
      </c>
      <c r="L7" s="1030"/>
      <c r="M7" s="1040" t="s">
        <v>3356</v>
      </c>
      <c r="N7" s="1040" t="s">
        <v>1077</v>
      </c>
      <c r="O7" s="1040" t="s">
        <v>1388</v>
      </c>
      <c r="P7" s="1040" t="s">
        <v>976</v>
      </c>
      <c r="Q7" s="1030"/>
      <c r="R7" s="1030"/>
      <c r="S7" s="1030"/>
      <c r="T7" s="1030"/>
      <c r="U7" s="1030"/>
      <c r="V7" s="1030"/>
      <c r="W7" s="1030"/>
      <c r="X7" s="1030"/>
      <c r="Y7" s="1030"/>
      <c r="Z7" s="1030"/>
    </row>
    <row r="8" spans="1:26" ht="12.75" customHeight="1">
      <c r="A8" s="1030"/>
      <c r="B8" s="1030"/>
      <c r="C8" s="1030"/>
      <c r="D8" s="1046" t="s">
        <v>3362</v>
      </c>
      <c r="E8" s="1035"/>
      <c r="F8" s="1035"/>
      <c r="G8" s="1047"/>
      <c r="H8" s="1047"/>
      <c r="I8" s="1038" t="s">
        <v>3363</v>
      </c>
      <c r="J8" s="1049">
        <v>0</v>
      </c>
      <c r="K8" s="1050" t="str">
        <f t="shared" si="0"/>
        <v>-</v>
      </c>
      <c r="L8" s="1030"/>
      <c r="M8" s="1040" t="s">
        <v>3357</v>
      </c>
      <c r="N8" s="1040" t="s">
        <v>976</v>
      </c>
      <c r="O8" s="1040" t="s">
        <v>2642</v>
      </c>
      <c r="P8" s="1040" t="s">
        <v>3364</v>
      </c>
      <c r="Q8" s="1030"/>
      <c r="R8" s="1030"/>
      <c r="S8" s="1030"/>
      <c r="T8" s="1030"/>
      <c r="U8" s="1030"/>
      <c r="V8" s="1030"/>
      <c r="W8" s="1030"/>
      <c r="X8" s="1030"/>
      <c r="Y8" s="1030"/>
      <c r="Z8" s="1030"/>
    </row>
    <row r="9" spans="1:26" ht="12.75" customHeight="1">
      <c r="A9" s="1030"/>
      <c r="B9" s="1030"/>
      <c r="C9" s="1030"/>
      <c r="D9" s="1051"/>
      <c r="E9" s="1051"/>
      <c r="F9" s="1034"/>
      <c r="G9" s="1047"/>
      <c r="H9" s="1047"/>
      <c r="I9" s="1038" t="s">
        <v>3365</v>
      </c>
      <c r="J9" s="1049">
        <v>0</v>
      </c>
      <c r="K9" s="1050" t="str">
        <f>IF(E8=0,"-",E8)</f>
        <v>-</v>
      </c>
      <c r="L9" s="1030"/>
      <c r="M9" s="1040" t="s">
        <v>1077</v>
      </c>
      <c r="N9" s="1040" t="s">
        <v>3364</v>
      </c>
      <c r="O9" s="1040" t="s">
        <v>3366</v>
      </c>
      <c r="P9" s="1040" t="s">
        <v>1388</v>
      </c>
      <c r="Q9" s="1030"/>
      <c r="R9" s="1030"/>
      <c r="S9" s="1030"/>
      <c r="T9" s="1030"/>
      <c r="U9" s="1030"/>
      <c r="V9" s="1030"/>
      <c r="W9" s="1030"/>
      <c r="X9" s="1030"/>
      <c r="Y9" s="1030"/>
      <c r="Z9" s="1030"/>
    </row>
    <row r="10" spans="1:26" ht="12.75" customHeight="1">
      <c r="A10" s="1030"/>
      <c r="B10" s="1030"/>
      <c r="C10" s="1030"/>
      <c r="D10" s="1051"/>
      <c r="E10" s="1051"/>
      <c r="F10" s="1034"/>
      <c r="G10" s="1047"/>
      <c r="H10" s="1052"/>
      <c r="I10" s="1038" t="s">
        <v>3367</v>
      </c>
      <c r="J10" s="1049">
        <v>0</v>
      </c>
      <c r="K10" s="1053"/>
      <c r="L10" s="1030"/>
      <c r="M10" s="1040" t="s">
        <v>976</v>
      </c>
      <c r="N10" s="1040" t="s">
        <v>1388</v>
      </c>
      <c r="O10" s="1040" t="s">
        <v>3368</v>
      </c>
      <c r="P10" s="1040" t="s">
        <v>2642</v>
      </c>
      <c r="Q10" s="1030"/>
      <c r="R10" s="1030"/>
      <c r="S10" s="1030"/>
      <c r="T10" s="1030"/>
      <c r="U10" s="1030"/>
      <c r="V10" s="1030"/>
      <c r="W10" s="1030"/>
      <c r="X10" s="1030"/>
      <c r="Y10" s="1030"/>
      <c r="Z10" s="1030"/>
    </row>
    <row r="11" spans="1:26" ht="12.75" customHeight="1">
      <c r="A11" s="1030"/>
      <c r="B11" s="1030"/>
      <c r="C11" s="1030"/>
      <c r="D11" s="1051"/>
      <c r="E11" s="1051"/>
      <c r="F11" s="1034"/>
      <c r="G11" s="1047"/>
      <c r="H11" s="1052"/>
      <c r="I11" s="1038" t="s">
        <v>3369</v>
      </c>
      <c r="J11" s="1049"/>
      <c r="K11" s="1054" t="s">
        <v>118</v>
      </c>
      <c r="L11" s="1030"/>
      <c r="M11" s="1040" t="s">
        <v>3364</v>
      </c>
      <c r="N11" s="1040" t="s">
        <v>2642</v>
      </c>
      <c r="O11" s="1040" t="s">
        <v>3370</v>
      </c>
      <c r="P11" s="1040" t="s">
        <v>3366</v>
      </c>
      <c r="Q11" s="1030"/>
      <c r="R11" s="1030"/>
      <c r="S11" s="1030"/>
      <c r="T11" s="1030"/>
      <c r="U11" s="1030"/>
      <c r="V11" s="1030"/>
      <c r="W11" s="1030"/>
      <c r="X11" s="1030"/>
      <c r="Y11" s="1030"/>
      <c r="Z11" s="1030"/>
    </row>
    <row r="12" spans="1:26" ht="12.75" customHeight="1">
      <c r="A12" s="1030"/>
      <c r="B12" s="1030"/>
      <c r="C12" s="1030"/>
      <c r="D12" s="1055"/>
      <c r="E12" s="1056"/>
      <c r="F12" s="1055"/>
      <c r="G12" s="1055"/>
      <c r="H12" s="1056"/>
      <c r="I12" s="1057"/>
      <c r="J12" s="1058"/>
      <c r="K12" s="1059"/>
      <c r="L12" s="1039"/>
      <c r="M12" s="1040" t="s">
        <v>1388</v>
      </c>
      <c r="N12" s="1040" t="s">
        <v>3366</v>
      </c>
      <c r="O12" s="1040" t="s">
        <v>2940</v>
      </c>
      <c r="P12" s="1040" t="s">
        <v>3368</v>
      </c>
      <c r="Q12" s="1030"/>
      <c r="R12" s="1030"/>
      <c r="S12" s="1030"/>
      <c r="T12" s="1030"/>
      <c r="U12" s="1030"/>
      <c r="V12" s="1030"/>
      <c r="W12" s="1030"/>
      <c r="X12" s="1030"/>
      <c r="Y12" s="1030"/>
      <c r="Z12" s="1030"/>
    </row>
    <row r="13" spans="1:26" ht="12.75" customHeight="1">
      <c r="A13" s="1060"/>
      <c r="B13" s="1030"/>
      <c r="C13" s="1030"/>
      <c r="D13" s="1031" t="s">
        <v>3371</v>
      </c>
      <c r="E13" s="1031"/>
      <c r="F13" s="1031"/>
      <c r="G13" s="1031"/>
      <c r="H13" s="1031"/>
      <c r="I13" s="1032"/>
      <c r="J13" s="1031"/>
      <c r="K13" s="1033"/>
      <c r="L13" s="1030"/>
      <c r="M13" s="1040" t="s">
        <v>2642</v>
      </c>
      <c r="N13" s="1040" t="s">
        <v>3370</v>
      </c>
      <c r="O13" s="1040" t="s">
        <v>3372</v>
      </c>
      <c r="P13" s="1040" t="s">
        <v>3370</v>
      </c>
      <c r="Q13" s="1030"/>
      <c r="R13" s="1030"/>
      <c r="S13" s="1030"/>
      <c r="T13" s="1030"/>
      <c r="U13" s="1030"/>
      <c r="V13" s="1030"/>
      <c r="W13" s="1030"/>
      <c r="X13" s="1030"/>
      <c r="Y13" s="1030"/>
      <c r="Z13" s="1030"/>
    </row>
    <row r="14" spans="1:26" ht="12.75" customHeight="1">
      <c r="A14" s="1061"/>
      <c r="B14" s="1062" t="s">
        <v>3373</v>
      </c>
      <c r="C14" s="1063" t="s">
        <v>3374</v>
      </c>
      <c r="D14" s="1064" t="s">
        <v>3375</v>
      </c>
      <c r="E14" s="1064" t="s">
        <v>3376</v>
      </c>
      <c r="F14" s="1064" t="s">
        <v>3377</v>
      </c>
      <c r="G14" s="1064" t="s">
        <v>3378</v>
      </c>
      <c r="H14" s="1064" t="s">
        <v>3377</v>
      </c>
      <c r="I14" s="1064" t="s">
        <v>3379</v>
      </c>
      <c r="J14" s="1064" t="s">
        <v>3380</v>
      </c>
      <c r="K14" s="1065" t="s">
        <v>3381</v>
      </c>
      <c r="L14" s="1030"/>
      <c r="M14" s="1040" t="s">
        <v>3366</v>
      </c>
      <c r="N14" s="1040" t="s">
        <v>2940</v>
      </c>
      <c r="O14" s="1040" t="s">
        <v>2667</v>
      </c>
      <c r="P14" s="1040" t="s">
        <v>2940</v>
      </c>
      <c r="Q14" s="1030"/>
      <c r="R14" s="1030"/>
      <c r="S14" s="1030"/>
      <c r="T14" s="1030"/>
      <c r="U14" s="1030"/>
      <c r="V14" s="1030"/>
      <c r="W14" s="1030"/>
      <c r="X14" s="1030"/>
      <c r="Y14" s="1030"/>
      <c r="Z14" s="1030"/>
    </row>
    <row r="15" spans="1:26" ht="12.75" customHeight="1">
      <c r="A15" s="1061">
        <v>1</v>
      </c>
      <c r="B15" s="1051" t="s">
        <v>3382</v>
      </c>
      <c r="C15" s="1066" t="s">
        <v>3342</v>
      </c>
      <c r="D15" s="1035" t="s">
        <v>3145</v>
      </c>
      <c r="E15" s="1035" t="s">
        <v>3383</v>
      </c>
      <c r="F15" s="1067" t="s">
        <v>3384</v>
      </c>
      <c r="G15" s="1068">
        <f t="shared" ref="G15:G70" si="1">IF(E15="MT",800,IF(E15="ET",600,IF(E15="ST",400,IF(E15="T",300,IF(E15="HTS",200,IF(E15="STS",150,IF(E15="TS",100,))))))+IF(E15="MTcod",600,IF(E15="ETcod",450,IF(E15="STcod",350,IF(E15="Tcod",250,)))+IF(E15="MTCoach",800,IF(E15="ETCoach",600,IF(E15="STCoach",400,IF(E15="TCoach",300,))))))</f>
        <v>600</v>
      </c>
      <c r="H15" s="1069" t="s">
        <v>3385</v>
      </c>
      <c r="I15" s="1070">
        <v>3</v>
      </c>
      <c r="J15" s="1071"/>
      <c r="K15" s="1072">
        <f t="shared" ref="K15:K101" si="2">I15*(G15)+J15</f>
        <v>1800</v>
      </c>
      <c r="L15" s="1064" t="s">
        <v>3386</v>
      </c>
      <c r="M15" s="1040" t="s">
        <v>3368</v>
      </c>
      <c r="N15" s="1040" t="s">
        <v>3372</v>
      </c>
      <c r="O15" s="1040" t="s">
        <v>3387</v>
      </c>
      <c r="P15" s="1040" t="s">
        <v>3372</v>
      </c>
      <c r="Q15" s="1030"/>
      <c r="R15" s="1030"/>
      <c r="S15" s="1030"/>
      <c r="T15" s="1030"/>
      <c r="U15" s="1030"/>
      <c r="V15" s="1030"/>
      <c r="W15" s="1030"/>
      <c r="X15" s="1030"/>
      <c r="Y15" s="1030"/>
      <c r="Z15" s="1030"/>
    </row>
    <row r="16" spans="1:26" ht="12.75" customHeight="1">
      <c r="A16" s="1061">
        <v>2</v>
      </c>
      <c r="B16" s="1051" t="s">
        <v>3382</v>
      </c>
      <c r="C16" s="1066" t="s">
        <v>3342</v>
      </c>
      <c r="D16" s="1035" t="s">
        <v>3346</v>
      </c>
      <c r="E16" s="1035" t="s">
        <v>3388</v>
      </c>
      <c r="F16" s="1067" t="s">
        <v>3384</v>
      </c>
      <c r="G16" s="1068">
        <f t="shared" si="1"/>
        <v>200</v>
      </c>
      <c r="H16" s="1069" t="s">
        <v>3385</v>
      </c>
      <c r="I16" s="1070">
        <v>3.5</v>
      </c>
      <c r="J16" s="1071"/>
      <c r="K16" s="1072">
        <f t="shared" si="2"/>
        <v>700</v>
      </c>
      <c r="L16" s="1064" t="s">
        <v>3389</v>
      </c>
      <c r="M16" s="1040" t="s">
        <v>3370</v>
      </c>
      <c r="N16" s="1040" t="s">
        <v>2667</v>
      </c>
      <c r="O16" s="1040" t="s">
        <v>2689</v>
      </c>
      <c r="P16" s="1040" t="s">
        <v>2667</v>
      </c>
      <c r="Q16" s="1030"/>
      <c r="R16" s="1030"/>
      <c r="S16" s="1030"/>
      <c r="T16" s="1030"/>
      <c r="U16" s="1030"/>
      <c r="V16" s="1030"/>
      <c r="W16" s="1030"/>
      <c r="X16" s="1030"/>
      <c r="Y16" s="1030"/>
      <c r="Z16" s="1030"/>
    </row>
    <row r="17" spans="1:26" ht="12.75" customHeight="1">
      <c r="A17" s="1061">
        <v>3</v>
      </c>
      <c r="B17" s="1051" t="s">
        <v>3382</v>
      </c>
      <c r="C17" s="1066" t="s">
        <v>3342</v>
      </c>
      <c r="D17" s="1035" t="s">
        <v>998</v>
      </c>
      <c r="E17" s="1035" t="s">
        <v>3388</v>
      </c>
      <c r="F17" s="1067" t="s">
        <v>3384</v>
      </c>
      <c r="G17" s="1068">
        <f t="shared" si="1"/>
        <v>200</v>
      </c>
      <c r="H17" s="1069" t="s">
        <v>3385</v>
      </c>
      <c r="I17" s="1070">
        <v>3.5</v>
      </c>
      <c r="J17" s="1071"/>
      <c r="K17" s="1072">
        <f t="shared" si="2"/>
        <v>700</v>
      </c>
      <c r="L17" s="1064" t="s">
        <v>3390</v>
      </c>
      <c r="M17" s="1040" t="s">
        <v>2940</v>
      </c>
      <c r="N17" s="1040" t="s">
        <v>3387</v>
      </c>
      <c r="O17" s="1040" t="s">
        <v>3145</v>
      </c>
      <c r="P17" s="1040" t="s">
        <v>3391</v>
      </c>
      <c r="Q17" s="1030"/>
      <c r="R17" s="1030"/>
      <c r="S17" s="1030"/>
      <c r="T17" s="1030"/>
      <c r="U17" s="1030"/>
      <c r="V17" s="1030"/>
      <c r="W17" s="1030"/>
      <c r="X17" s="1030"/>
      <c r="Y17" s="1030"/>
      <c r="Z17" s="1030"/>
    </row>
    <row r="18" spans="1:26" ht="12.75" customHeight="1">
      <c r="A18" s="1061">
        <v>4</v>
      </c>
      <c r="B18" s="1051" t="s">
        <v>3382</v>
      </c>
      <c r="C18" s="1066" t="s">
        <v>3342</v>
      </c>
      <c r="D18" s="1035" t="s">
        <v>3392</v>
      </c>
      <c r="E18" s="1035" t="s">
        <v>3393</v>
      </c>
      <c r="F18" s="1067" t="s">
        <v>3384</v>
      </c>
      <c r="G18" s="1068">
        <f t="shared" si="1"/>
        <v>100</v>
      </c>
      <c r="H18" s="1069" t="s">
        <v>3385</v>
      </c>
      <c r="I18" s="1070">
        <v>2</v>
      </c>
      <c r="J18" s="1071"/>
      <c r="K18" s="1072">
        <f t="shared" si="2"/>
        <v>200</v>
      </c>
      <c r="L18" s="1064" t="s">
        <v>3394</v>
      </c>
      <c r="M18" s="1040" t="s">
        <v>3372</v>
      </c>
      <c r="N18" s="1040" t="s">
        <v>2689</v>
      </c>
      <c r="O18" s="1040" t="s">
        <v>3395</v>
      </c>
      <c r="P18" s="1040" t="s">
        <v>3396</v>
      </c>
      <c r="Q18" s="1030"/>
      <c r="R18" s="1030"/>
      <c r="S18" s="1030"/>
      <c r="T18" s="1030"/>
      <c r="U18" s="1030"/>
      <c r="V18" s="1030"/>
      <c r="W18" s="1030"/>
      <c r="X18" s="1030"/>
      <c r="Y18" s="1030"/>
      <c r="Z18" s="1030"/>
    </row>
    <row r="19" spans="1:26" ht="12.75" customHeight="1">
      <c r="A19" s="1061">
        <v>5</v>
      </c>
      <c r="B19" s="1051" t="s">
        <v>3382</v>
      </c>
      <c r="C19" s="1066" t="s">
        <v>3342</v>
      </c>
      <c r="D19" s="1035" t="s">
        <v>3356</v>
      </c>
      <c r="E19" s="1035" t="s">
        <v>3383</v>
      </c>
      <c r="F19" s="1067" t="s">
        <v>3384</v>
      </c>
      <c r="G19" s="1068">
        <f t="shared" si="1"/>
        <v>600</v>
      </c>
      <c r="H19" s="1069" t="s">
        <v>3385</v>
      </c>
      <c r="I19" s="1070">
        <v>3</v>
      </c>
      <c r="J19" s="1071"/>
      <c r="K19" s="1072">
        <f t="shared" si="2"/>
        <v>1800</v>
      </c>
      <c r="L19" s="1064" t="s">
        <v>3397</v>
      </c>
      <c r="M19" s="1040" t="s">
        <v>2667</v>
      </c>
      <c r="N19" s="1040" t="s">
        <v>3145</v>
      </c>
      <c r="O19" s="1040" t="s">
        <v>3398</v>
      </c>
      <c r="P19" s="1040" t="s">
        <v>3399</v>
      </c>
      <c r="Q19" s="1030"/>
      <c r="R19" s="1030"/>
      <c r="S19" s="1030"/>
      <c r="T19" s="1030"/>
      <c r="U19" s="1030"/>
      <c r="V19" s="1030"/>
      <c r="W19" s="1030"/>
      <c r="X19" s="1030"/>
      <c r="Y19" s="1030"/>
      <c r="Z19" s="1030"/>
    </row>
    <row r="20" spans="1:26" ht="12.75" customHeight="1">
      <c r="A20" s="1061">
        <v>6</v>
      </c>
      <c r="B20" s="1051" t="s">
        <v>3382</v>
      </c>
      <c r="C20" s="1066" t="s">
        <v>3342</v>
      </c>
      <c r="D20" s="1035" t="s">
        <v>3357</v>
      </c>
      <c r="E20" s="1035" t="s">
        <v>3388</v>
      </c>
      <c r="F20" s="1067" t="s">
        <v>3384</v>
      </c>
      <c r="G20" s="1068">
        <f t="shared" si="1"/>
        <v>200</v>
      </c>
      <c r="H20" s="1069" t="s">
        <v>3385</v>
      </c>
      <c r="I20" s="1070">
        <v>3.5</v>
      </c>
      <c r="J20" s="1071"/>
      <c r="K20" s="1072">
        <f t="shared" si="2"/>
        <v>700</v>
      </c>
      <c r="L20" s="1030"/>
      <c r="M20" s="1030" t="s">
        <v>3391</v>
      </c>
      <c r="N20" s="1030" t="s">
        <v>3395</v>
      </c>
      <c r="O20" s="1030" t="s">
        <v>3400</v>
      </c>
      <c r="P20" s="1030" t="s">
        <v>3387</v>
      </c>
      <c r="Q20" s="1030"/>
      <c r="R20" s="1030"/>
      <c r="S20" s="1030"/>
      <c r="T20" s="1030"/>
      <c r="U20" s="1030"/>
      <c r="V20" s="1030"/>
      <c r="W20" s="1030"/>
      <c r="X20" s="1030"/>
      <c r="Y20" s="1030"/>
      <c r="Z20" s="1030"/>
    </row>
    <row r="21" spans="1:26" ht="12.75" customHeight="1">
      <c r="A21" s="1061">
        <v>7</v>
      </c>
      <c r="B21" s="1051" t="s">
        <v>3382</v>
      </c>
      <c r="C21" s="1066" t="s">
        <v>3342</v>
      </c>
      <c r="D21" s="1035" t="s">
        <v>1077</v>
      </c>
      <c r="E21" s="1035" t="s">
        <v>3383</v>
      </c>
      <c r="F21" s="1067" t="s">
        <v>3384</v>
      </c>
      <c r="G21" s="1068">
        <f t="shared" si="1"/>
        <v>600</v>
      </c>
      <c r="H21" s="1069" t="s">
        <v>3385</v>
      </c>
      <c r="I21" s="1070">
        <v>3</v>
      </c>
      <c r="J21" s="1071"/>
      <c r="K21" s="1072">
        <f t="shared" si="2"/>
        <v>1800</v>
      </c>
      <c r="L21" s="1030"/>
      <c r="M21" s="1030" t="s">
        <v>3145</v>
      </c>
      <c r="N21" s="1030"/>
      <c r="O21" s="1030"/>
      <c r="P21" s="1030" t="s">
        <v>3401</v>
      </c>
      <c r="Q21" s="1030"/>
      <c r="R21" s="1030"/>
      <c r="S21" s="1030"/>
      <c r="T21" s="1030"/>
      <c r="U21" s="1030"/>
      <c r="V21" s="1030"/>
      <c r="W21" s="1030"/>
      <c r="X21" s="1030"/>
      <c r="Y21" s="1030"/>
      <c r="Z21" s="1030"/>
    </row>
    <row r="22" spans="1:26" ht="12.75" customHeight="1">
      <c r="A22" s="1061">
        <v>8</v>
      </c>
      <c r="B22" s="1051" t="s">
        <v>3382</v>
      </c>
      <c r="C22" s="1066" t="s">
        <v>3342</v>
      </c>
      <c r="D22" s="1035" t="s">
        <v>976</v>
      </c>
      <c r="E22" s="1035" t="s">
        <v>3388</v>
      </c>
      <c r="F22" s="1067" t="s">
        <v>3384</v>
      </c>
      <c r="G22" s="1068">
        <f t="shared" si="1"/>
        <v>200</v>
      </c>
      <c r="H22" s="1069" t="s">
        <v>3385</v>
      </c>
      <c r="I22" s="1070">
        <v>3</v>
      </c>
      <c r="J22" s="1071"/>
      <c r="K22" s="1072">
        <f t="shared" si="2"/>
        <v>600</v>
      </c>
      <c r="L22" s="1030"/>
      <c r="M22" s="1030" t="s">
        <v>2689</v>
      </c>
      <c r="N22" s="1030"/>
      <c r="O22" s="1030"/>
      <c r="P22" s="1030" t="s">
        <v>3398</v>
      </c>
      <c r="Q22" s="1030"/>
      <c r="R22" s="1030"/>
      <c r="S22" s="1030"/>
      <c r="T22" s="1030"/>
      <c r="U22" s="1030"/>
      <c r="V22" s="1030"/>
      <c r="W22" s="1030"/>
      <c r="X22" s="1030"/>
      <c r="Y22" s="1030"/>
      <c r="Z22" s="1030"/>
    </row>
    <row r="23" spans="1:26" ht="12.75" customHeight="1">
      <c r="A23" s="1061">
        <v>9</v>
      </c>
      <c r="B23" s="1051" t="s">
        <v>3382</v>
      </c>
      <c r="C23" s="1066" t="s">
        <v>3342</v>
      </c>
      <c r="D23" s="1035" t="s">
        <v>3364</v>
      </c>
      <c r="E23" s="1035" t="s">
        <v>3388</v>
      </c>
      <c r="F23" s="1067" t="s">
        <v>3384</v>
      </c>
      <c r="G23" s="1068">
        <f t="shared" si="1"/>
        <v>200</v>
      </c>
      <c r="H23" s="1069" t="s">
        <v>3385</v>
      </c>
      <c r="I23" s="1070">
        <v>3</v>
      </c>
      <c r="J23" s="1071"/>
      <c r="K23" s="1072">
        <f t="shared" si="2"/>
        <v>600</v>
      </c>
      <c r="L23" s="1030"/>
      <c r="M23" s="1030" t="s">
        <v>3402</v>
      </c>
      <c r="N23" s="1030" t="s">
        <v>3398</v>
      </c>
      <c r="O23" s="1030" t="s">
        <v>2802</v>
      </c>
      <c r="P23" s="1030" t="s">
        <v>2689</v>
      </c>
      <c r="Q23" s="1030"/>
      <c r="R23" s="1030"/>
      <c r="S23" s="1030"/>
      <c r="T23" s="1030"/>
      <c r="U23" s="1030"/>
      <c r="V23" s="1030"/>
      <c r="W23" s="1030"/>
      <c r="X23" s="1030"/>
      <c r="Y23" s="1030"/>
      <c r="Z23" s="1030"/>
    </row>
    <row r="24" spans="1:26" ht="12.75" customHeight="1">
      <c r="A24" s="1061">
        <v>10</v>
      </c>
      <c r="B24" s="1051" t="s">
        <v>3382</v>
      </c>
      <c r="C24" s="1066" t="s">
        <v>3342</v>
      </c>
      <c r="D24" s="1035" t="s">
        <v>1388</v>
      </c>
      <c r="E24" s="1035" t="s">
        <v>3388</v>
      </c>
      <c r="F24" s="1067" t="s">
        <v>3384</v>
      </c>
      <c r="G24" s="1068">
        <f t="shared" si="1"/>
        <v>200</v>
      </c>
      <c r="H24" s="1069" t="s">
        <v>3385</v>
      </c>
      <c r="I24" s="1070">
        <v>3</v>
      </c>
      <c r="J24" s="1071"/>
      <c r="K24" s="1072">
        <f t="shared" si="2"/>
        <v>600</v>
      </c>
      <c r="L24" s="1030"/>
      <c r="M24" s="1030" t="s">
        <v>3396</v>
      </c>
      <c r="N24" s="1030" t="s">
        <v>3400</v>
      </c>
      <c r="O24" s="1030" t="s">
        <v>3403</v>
      </c>
      <c r="P24" s="1030" t="s">
        <v>3404</v>
      </c>
      <c r="Q24" s="1030"/>
      <c r="R24" s="1030"/>
      <c r="S24" s="1030"/>
      <c r="T24" s="1030"/>
      <c r="U24" s="1030"/>
      <c r="V24" s="1030"/>
      <c r="W24" s="1030"/>
      <c r="X24" s="1030"/>
      <c r="Y24" s="1030"/>
      <c r="Z24" s="1030"/>
    </row>
    <row r="25" spans="1:26" ht="12.75" customHeight="1">
      <c r="A25" s="1061">
        <v>11</v>
      </c>
      <c r="B25" s="1051" t="s">
        <v>3382</v>
      </c>
      <c r="C25" s="1066" t="s">
        <v>3342</v>
      </c>
      <c r="D25" s="1035" t="s">
        <v>2642</v>
      </c>
      <c r="E25" s="1035" t="s">
        <v>3388</v>
      </c>
      <c r="F25" s="1067" t="s">
        <v>3384</v>
      </c>
      <c r="G25" s="1068">
        <f t="shared" si="1"/>
        <v>200</v>
      </c>
      <c r="H25" s="1069" t="s">
        <v>3385</v>
      </c>
      <c r="I25" s="1070">
        <v>3.5</v>
      </c>
      <c r="J25" s="1071"/>
      <c r="K25" s="1072">
        <f t="shared" si="2"/>
        <v>700</v>
      </c>
      <c r="L25" s="1030"/>
      <c r="M25" s="1030" t="s">
        <v>3399</v>
      </c>
      <c r="N25" s="1030" t="s">
        <v>2802</v>
      </c>
      <c r="O25" s="1030"/>
      <c r="P25" s="1030" t="s">
        <v>3145</v>
      </c>
      <c r="Q25" s="1030"/>
      <c r="R25" s="1030"/>
      <c r="S25" s="1030"/>
      <c r="T25" s="1030"/>
      <c r="U25" s="1030"/>
      <c r="V25" s="1030"/>
      <c r="W25" s="1030"/>
      <c r="X25" s="1030"/>
      <c r="Y25" s="1030"/>
      <c r="Z25" s="1030"/>
    </row>
    <row r="26" spans="1:26" ht="12.75" customHeight="1">
      <c r="A26" s="1061">
        <v>12</v>
      </c>
      <c r="B26" s="1051" t="s">
        <v>3382</v>
      </c>
      <c r="C26" s="1066" t="s">
        <v>3342</v>
      </c>
      <c r="D26" s="1035" t="s">
        <v>3366</v>
      </c>
      <c r="E26" s="1035" t="s">
        <v>3388</v>
      </c>
      <c r="F26" s="1067" t="s">
        <v>3384</v>
      </c>
      <c r="G26" s="1068">
        <f t="shared" si="1"/>
        <v>200</v>
      </c>
      <c r="H26" s="1069" t="s">
        <v>3385</v>
      </c>
      <c r="I26" s="1070">
        <v>3.5</v>
      </c>
      <c r="J26" s="1071"/>
      <c r="K26" s="1072">
        <f t="shared" si="2"/>
        <v>700</v>
      </c>
      <c r="L26" s="1030"/>
      <c r="M26" s="1030" t="s">
        <v>3387</v>
      </c>
      <c r="N26" s="1030" t="s">
        <v>3403</v>
      </c>
      <c r="O26" s="1030"/>
      <c r="P26" s="1030" t="s">
        <v>3395</v>
      </c>
      <c r="Q26" s="1030"/>
      <c r="R26" s="1030"/>
      <c r="S26" s="1030"/>
      <c r="T26" s="1030"/>
      <c r="U26" s="1030"/>
      <c r="V26" s="1030"/>
      <c r="W26" s="1030"/>
      <c r="X26" s="1030"/>
      <c r="Y26" s="1030"/>
      <c r="Z26" s="1030"/>
    </row>
    <row r="27" spans="1:26" ht="12.75" customHeight="1">
      <c r="A27" s="1061">
        <v>13</v>
      </c>
      <c r="B27" s="1051" t="s">
        <v>3382</v>
      </c>
      <c r="C27" s="1066" t="s">
        <v>3342</v>
      </c>
      <c r="D27" s="1035" t="s">
        <v>3370</v>
      </c>
      <c r="E27" s="1035" t="s">
        <v>3388</v>
      </c>
      <c r="F27" s="1067" t="s">
        <v>3384</v>
      </c>
      <c r="G27" s="1068">
        <f t="shared" si="1"/>
        <v>200</v>
      </c>
      <c r="H27" s="1069" t="s">
        <v>3385</v>
      </c>
      <c r="I27" s="1070">
        <v>0</v>
      </c>
      <c r="J27" s="1071"/>
      <c r="K27" s="1072">
        <f t="shared" si="2"/>
        <v>0</v>
      </c>
      <c r="L27" s="1030"/>
      <c r="M27" s="1030" t="s">
        <v>3404</v>
      </c>
      <c r="N27" s="1030"/>
      <c r="O27" s="1030"/>
      <c r="P27" s="1030" t="s">
        <v>3405</v>
      </c>
      <c r="Q27" s="1030"/>
      <c r="R27" s="1030"/>
      <c r="S27" s="1030"/>
      <c r="T27" s="1030"/>
      <c r="U27" s="1030"/>
      <c r="V27" s="1030"/>
      <c r="W27" s="1030"/>
      <c r="X27" s="1030"/>
      <c r="Y27" s="1030"/>
      <c r="Z27" s="1030"/>
    </row>
    <row r="28" spans="1:26" ht="12.75" customHeight="1">
      <c r="A28" s="1061">
        <v>14</v>
      </c>
      <c r="B28" s="1051" t="s">
        <v>3382</v>
      </c>
      <c r="C28" s="1066" t="s">
        <v>3342</v>
      </c>
      <c r="D28" s="1035" t="s">
        <v>2940</v>
      </c>
      <c r="E28" s="1035" t="s">
        <v>3388</v>
      </c>
      <c r="F28" s="1067" t="s">
        <v>3384</v>
      </c>
      <c r="G28" s="1068">
        <f t="shared" si="1"/>
        <v>200</v>
      </c>
      <c r="H28" s="1069" t="s">
        <v>3385</v>
      </c>
      <c r="I28" s="1070">
        <v>3</v>
      </c>
      <c r="J28" s="1071"/>
      <c r="K28" s="1072">
        <f t="shared" si="2"/>
        <v>600</v>
      </c>
      <c r="L28" s="1030"/>
      <c r="M28" s="1030" t="s">
        <v>3395</v>
      </c>
      <c r="N28" s="1030"/>
      <c r="O28" s="1030"/>
      <c r="P28" s="1030" t="s">
        <v>3400</v>
      </c>
      <c r="Q28" s="1030"/>
      <c r="R28" s="1030"/>
      <c r="S28" s="1030"/>
      <c r="T28" s="1030"/>
      <c r="U28" s="1030"/>
      <c r="V28" s="1030"/>
      <c r="W28" s="1030"/>
      <c r="X28" s="1030"/>
      <c r="Y28" s="1030"/>
      <c r="Z28" s="1030"/>
    </row>
    <row r="29" spans="1:26" ht="12.75" customHeight="1">
      <c r="A29" s="1061">
        <v>15</v>
      </c>
      <c r="B29" s="1051" t="s">
        <v>3382</v>
      </c>
      <c r="C29" s="1066" t="s">
        <v>3342</v>
      </c>
      <c r="D29" s="1035" t="s">
        <v>3406</v>
      </c>
      <c r="E29" s="1035" t="s">
        <v>3393</v>
      </c>
      <c r="F29" s="1067" t="s">
        <v>3384</v>
      </c>
      <c r="G29" s="1068">
        <f t="shared" si="1"/>
        <v>100</v>
      </c>
      <c r="H29" s="1069" t="s">
        <v>3385</v>
      </c>
      <c r="I29" s="1070">
        <v>3.5</v>
      </c>
      <c r="J29" s="1071"/>
      <c r="K29" s="1072">
        <f t="shared" si="2"/>
        <v>350</v>
      </c>
      <c r="L29" s="1030"/>
      <c r="M29" s="1030" t="s">
        <v>3395</v>
      </c>
      <c r="N29" s="1030"/>
      <c r="O29" s="1030"/>
      <c r="P29" s="1030" t="s">
        <v>3400</v>
      </c>
      <c r="Q29" s="1030"/>
      <c r="R29" s="1030"/>
      <c r="S29" s="1030"/>
      <c r="T29" s="1030"/>
      <c r="U29" s="1030"/>
      <c r="V29" s="1030"/>
      <c r="W29" s="1030"/>
      <c r="X29" s="1030"/>
      <c r="Y29" s="1030"/>
      <c r="Z29" s="1030"/>
    </row>
    <row r="30" spans="1:26" ht="12.75" customHeight="1">
      <c r="A30" s="1061">
        <v>16</v>
      </c>
      <c r="B30" s="1051" t="s">
        <v>3382</v>
      </c>
      <c r="C30" s="1066" t="s">
        <v>3342</v>
      </c>
      <c r="D30" s="1035" t="s">
        <v>2667</v>
      </c>
      <c r="E30" s="1035" t="s">
        <v>3388</v>
      </c>
      <c r="F30" s="1067" t="s">
        <v>3384</v>
      </c>
      <c r="G30" s="1068">
        <f t="shared" si="1"/>
        <v>200</v>
      </c>
      <c r="H30" s="1069" t="s">
        <v>3385</v>
      </c>
      <c r="I30" s="1070">
        <v>3.5</v>
      </c>
      <c r="J30" s="1071"/>
      <c r="K30" s="1072">
        <f t="shared" si="2"/>
        <v>700</v>
      </c>
      <c r="L30" s="1030"/>
      <c r="M30" s="1030" t="s">
        <v>3405</v>
      </c>
      <c r="N30" s="1030"/>
      <c r="O30" s="1030"/>
      <c r="P30" s="1030" t="s">
        <v>3407</v>
      </c>
      <c r="Q30" s="1030"/>
      <c r="R30" s="1030"/>
      <c r="S30" s="1030"/>
      <c r="T30" s="1030"/>
      <c r="U30" s="1030"/>
      <c r="V30" s="1030"/>
      <c r="W30" s="1030"/>
      <c r="X30" s="1030"/>
      <c r="Y30" s="1030"/>
      <c r="Z30" s="1030"/>
    </row>
    <row r="31" spans="1:26" ht="12.75" customHeight="1">
      <c r="A31" s="1061">
        <v>17</v>
      </c>
      <c r="B31" s="1051" t="s">
        <v>3382</v>
      </c>
      <c r="C31" s="1066" t="s">
        <v>3342</v>
      </c>
      <c r="D31" s="1035" t="s">
        <v>3396</v>
      </c>
      <c r="E31" s="1035" t="s">
        <v>3388</v>
      </c>
      <c r="F31" s="1067" t="s">
        <v>3384</v>
      </c>
      <c r="G31" s="1068">
        <f t="shared" si="1"/>
        <v>200</v>
      </c>
      <c r="H31" s="1069" t="s">
        <v>3385</v>
      </c>
      <c r="I31" s="1070">
        <v>3.5</v>
      </c>
      <c r="J31" s="1071"/>
      <c r="K31" s="1072">
        <f t="shared" si="2"/>
        <v>700</v>
      </c>
      <c r="L31" s="1030"/>
      <c r="M31" s="1030" t="s">
        <v>3401</v>
      </c>
      <c r="N31" s="1030"/>
      <c r="O31" s="1030"/>
      <c r="P31" s="1030" t="s">
        <v>3403</v>
      </c>
      <c r="Q31" s="1030"/>
      <c r="R31" s="1030"/>
      <c r="S31" s="1030"/>
      <c r="T31" s="1030"/>
      <c r="U31" s="1030"/>
      <c r="V31" s="1030"/>
      <c r="W31" s="1030"/>
      <c r="X31" s="1030"/>
      <c r="Y31" s="1030"/>
      <c r="Z31" s="1030"/>
    </row>
    <row r="32" spans="1:26" ht="12.75" customHeight="1">
      <c r="A32" s="1061">
        <v>18</v>
      </c>
      <c r="B32" s="1051" t="s">
        <v>3382</v>
      </c>
      <c r="C32" s="1066" t="s">
        <v>3342</v>
      </c>
      <c r="D32" s="1035" t="s">
        <v>3399</v>
      </c>
      <c r="E32" s="1035" t="s">
        <v>3388</v>
      </c>
      <c r="F32" s="1067" t="s">
        <v>3384</v>
      </c>
      <c r="G32" s="1068">
        <f t="shared" si="1"/>
        <v>200</v>
      </c>
      <c r="H32" s="1069" t="s">
        <v>3385</v>
      </c>
      <c r="I32" s="1070">
        <v>3.5</v>
      </c>
      <c r="J32" s="1071"/>
      <c r="K32" s="1072">
        <f t="shared" si="2"/>
        <v>700</v>
      </c>
      <c r="L32" s="1030"/>
      <c r="M32" s="1030" t="s">
        <v>3400</v>
      </c>
      <c r="N32" s="1030"/>
      <c r="O32" s="1030"/>
      <c r="P32" s="1030"/>
      <c r="Q32" s="1030"/>
      <c r="R32" s="1030"/>
      <c r="S32" s="1030"/>
      <c r="T32" s="1030"/>
      <c r="U32" s="1030"/>
      <c r="V32" s="1030"/>
      <c r="W32" s="1030"/>
      <c r="X32" s="1030"/>
      <c r="Y32" s="1030"/>
      <c r="Z32" s="1030"/>
    </row>
    <row r="33" spans="1:26" ht="12.75" customHeight="1">
      <c r="A33" s="1061">
        <v>19</v>
      </c>
      <c r="B33" s="1051" t="s">
        <v>3382</v>
      </c>
      <c r="C33" s="1066" t="s">
        <v>3342</v>
      </c>
      <c r="D33" s="1035" t="s">
        <v>3387</v>
      </c>
      <c r="E33" s="1035" t="s">
        <v>3388</v>
      </c>
      <c r="F33" s="1067" t="s">
        <v>3384</v>
      </c>
      <c r="G33" s="1068">
        <f t="shared" si="1"/>
        <v>200</v>
      </c>
      <c r="H33" s="1069" t="s">
        <v>3385</v>
      </c>
      <c r="I33" s="1070">
        <v>3.5</v>
      </c>
      <c r="J33" s="1071"/>
      <c r="K33" s="1072">
        <f t="shared" si="2"/>
        <v>700</v>
      </c>
      <c r="L33" s="1030"/>
      <c r="M33" s="1030" t="s">
        <v>2802</v>
      </c>
      <c r="N33" s="1030"/>
      <c r="O33" s="1030"/>
      <c r="P33" s="1030"/>
      <c r="Q33" s="1030"/>
      <c r="R33" s="1030"/>
      <c r="S33" s="1030"/>
      <c r="T33" s="1030"/>
      <c r="U33" s="1030"/>
      <c r="V33" s="1030"/>
      <c r="W33" s="1030"/>
      <c r="X33" s="1030"/>
      <c r="Y33" s="1030"/>
      <c r="Z33" s="1030"/>
    </row>
    <row r="34" spans="1:26" ht="12.75" customHeight="1">
      <c r="A34" s="1061">
        <v>20</v>
      </c>
      <c r="B34" s="1051" t="s">
        <v>3382</v>
      </c>
      <c r="C34" s="1066" t="s">
        <v>3342</v>
      </c>
      <c r="D34" s="1035" t="s">
        <v>2689</v>
      </c>
      <c r="E34" s="1035" t="s">
        <v>3388</v>
      </c>
      <c r="F34" s="1067" t="s">
        <v>3384</v>
      </c>
      <c r="G34" s="1068">
        <f t="shared" si="1"/>
        <v>200</v>
      </c>
      <c r="H34" s="1069" t="s">
        <v>3385</v>
      </c>
      <c r="I34" s="1070">
        <v>3</v>
      </c>
      <c r="J34" s="1071"/>
      <c r="K34" s="1072">
        <f t="shared" si="2"/>
        <v>600</v>
      </c>
      <c r="L34" s="1030"/>
      <c r="M34" s="1030" t="s">
        <v>3407</v>
      </c>
      <c r="N34" s="1030"/>
      <c r="O34" s="1030"/>
      <c r="P34" s="1030"/>
      <c r="Q34" s="1030"/>
      <c r="R34" s="1030"/>
      <c r="S34" s="1030"/>
      <c r="T34" s="1030"/>
      <c r="U34" s="1030"/>
      <c r="V34" s="1030"/>
      <c r="W34" s="1030"/>
      <c r="X34" s="1030"/>
      <c r="Y34" s="1030"/>
      <c r="Z34" s="1030"/>
    </row>
    <row r="35" spans="1:26" ht="12.75" customHeight="1">
      <c r="A35" s="1061">
        <v>21</v>
      </c>
      <c r="B35" s="1051" t="s">
        <v>3382</v>
      </c>
      <c r="C35" s="1066" t="s">
        <v>3342</v>
      </c>
      <c r="D35" s="1035" t="s">
        <v>3404</v>
      </c>
      <c r="E35" s="1035" t="s">
        <v>3388</v>
      </c>
      <c r="F35" s="1067" t="s">
        <v>3384</v>
      </c>
      <c r="G35" s="1068">
        <f t="shared" si="1"/>
        <v>200</v>
      </c>
      <c r="H35" s="1069" t="s">
        <v>3385</v>
      </c>
      <c r="I35" s="1070">
        <v>3</v>
      </c>
      <c r="J35" s="1071"/>
      <c r="K35" s="1072">
        <f t="shared" si="2"/>
        <v>600</v>
      </c>
      <c r="L35" s="1030"/>
      <c r="M35" s="1030" t="s">
        <v>3403</v>
      </c>
      <c r="N35" s="1030"/>
      <c r="O35" s="1030"/>
      <c r="P35" s="1030"/>
      <c r="Q35" s="1030"/>
      <c r="R35" s="1030"/>
      <c r="S35" s="1030"/>
      <c r="T35" s="1030"/>
      <c r="U35" s="1030"/>
      <c r="V35" s="1030"/>
      <c r="W35" s="1030"/>
      <c r="X35" s="1030"/>
      <c r="Y35" s="1030"/>
      <c r="Z35" s="1030"/>
    </row>
    <row r="36" spans="1:26" ht="12.75" customHeight="1">
      <c r="A36" s="1061">
        <v>22</v>
      </c>
      <c r="B36" s="1051" t="s">
        <v>3382</v>
      </c>
      <c r="C36" s="1066" t="s">
        <v>3342</v>
      </c>
      <c r="D36" s="1035" t="s">
        <v>3395</v>
      </c>
      <c r="E36" s="1035" t="s">
        <v>3388</v>
      </c>
      <c r="F36" s="1067" t="s">
        <v>3384</v>
      </c>
      <c r="G36" s="1068">
        <f t="shared" si="1"/>
        <v>200</v>
      </c>
      <c r="H36" s="1069" t="s">
        <v>3385</v>
      </c>
      <c r="I36" s="1070">
        <v>3.5</v>
      </c>
      <c r="J36" s="1071"/>
      <c r="K36" s="1072">
        <f t="shared" si="2"/>
        <v>700</v>
      </c>
      <c r="L36" s="1030"/>
      <c r="M36" s="1030"/>
      <c r="N36" s="1030"/>
      <c r="O36" s="1030"/>
      <c r="P36" s="1030"/>
      <c r="Q36" s="1030"/>
      <c r="R36" s="1030"/>
      <c r="S36" s="1030"/>
      <c r="T36" s="1030"/>
      <c r="U36" s="1030"/>
      <c r="V36" s="1030"/>
      <c r="W36" s="1030"/>
      <c r="X36" s="1030"/>
      <c r="Y36" s="1030"/>
      <c r="Z36" s="1030"/>
    </row>
    <row r="37" spans="1:26" ht="12.75" customHeight="1">
      <c r="A37" s="1061">
        <v>23</v>
      </c>
      <c r="B37" s="1051" t="s">
        <v>3382</v>
      </c>
      <c r="C37" s="1066" t="s">
        <v>3342</v>
      </c>
      <c r="D37" s="1035" t="s">
        <v>3398</v>
      </c>
      <c r="E37" s="1035" t="s">
        <v>3388</v>
      </c>
      <c r="F37" s="1067" t="s">
        <v>3384</v>
      </c>
      <c r="G37" s="1068">
        <f t="shared" si="1"/>
        <v>200</v>
      </c>
      <c r="H37" s="1069" t="s">
        <v>3385</v>
      </c>
      <c r="I37" s="1070">
        <v>2</v>
      </c>
      <c r="J37" s="1071"/>
      <c r="K37" s="1072">
        <f t="shared" si="2"/>
        <v>400</v>
      </c>
      <c r="L37" s="1030"/>
      <c r="M37" s="1030"/>
      <c r="N37" s="1030"/>
      <c r="O37" s="1030"/>
      <c r="P37" s="1030"/>
      <c r="Q37" s="1030"/>
      <c r="R37" s="1030"/>
      <c r="S37" s="1030"/>
      <c r="T37" s="1030"/>
      <c r="U37" s="1030"/>
      <c r="V37" s="1030"/>
      <c r="W37" s="1030"/>
      <c r="X37" s="1030"/>
      <c r="Y37" s="1030"/>
      <c r="Z37" s="1030"/>
    </row>
    <row r="38" spans="1:26" ht="12.75" customHeight="1">
      <c r="A38" s="1061">
        <v>24</v>
      </c>
      <c r="B38" s="1051" t="s">
        <v>3382</v>
      </c>
      <c r="C38" s="1066" t="s">
        <v>3342</v>
      </c>
      <c r="D38" s="1035" t="s">
        <v>3405</v>
      </c>
      <c r="E38" s="1035" t="s">
        <v>3388</v>
      </c>
      <c r="F38" s="1067" t="s">
        <v>3384</v>
      </c>
      <c r="G38" s="1068">
        <f t="shared" si="1"/>
        <v>200</v>
      </c>
      <c r="H38" s="1069" t="s">
        <v>3385</v>
      </c>
      <c r="I38" s="1070">
        <v>3.5</v>
      </c>
      <c r="J38" s="1071"/>
      <c r="K38" s="1072">
        <f t="shared" si="2"/>
        <v>700</v>
      </c>
      <c r="L38" s="1030"/>
      <c r="M38" s="1030"/>
      <c r="N38" s="1030"/>
      <c r="O38" s="1030"/>
      <c r="P38" s="1030"/>
      <c r="Q38" s="1030"/>
      <c r="R38" s="1030"/>
      <c r="S38" s="1030"/>
      <c r="T38" s="1030"/>
      <c r="U38" s="1030"/>
      <c r="V38" s="1030"/>
      <c r="W38" s="1030"/>
      <c r="X38" s="1030"/>
      <c r="Y38" s="1030"/>
      <c r="Z38" s="1030"/>
    </row>
    <row r="39" spans="1:26" ht="12.75" customHeight="1">
      <c r="A39" s="1061">
        <v>25</v>
      </c>
      <c r="B39" s="1051" t="s">
        <v>3382</v>
      </c>
      <c r="C39" s="1066" t="s">
        <v>3342</v>
      </c>
      <c r="D39" s="1035" t="s">
        <v>3408</v>
      </c>
      <c r="E39" s="1035" t="s">
        <v>3393</v>
      </c>
      <c r="F39" s="1067" t="s">
        <v>3384</v>
      </c>
      <c r="G39" s="1068">
        <f t="shared" si="1"/>
        <v>100</v>
      </c>
      <c r="H39" s="1069" t="s">
        <v>3385</v>
      </c>
      <c r="I39" s="1070">
        <v>3.5</v>
      </c>
      <c r="J39" s="1071"/>
      <c r="K39" s="1072">
        <f t="shared" si="2"/>
        <v>350</v>
      </c>
      <c r="L39" s="1030"/>
      <c r="M39" s="1030"/>
      <c r="N39" s="1030"/>
      <c r="O39" s="1030"/>
      <c r="P39" s="1030"/>
      <c r="Q39" s="1030"/>
      <c r="R39" s="1030"/>
      <c r="S39" s="1030"/>
      <c r="T39" s="1030"/>
      <c r="U39" s="1030"/>
      <c r="V39" s="1030"/>
      <c r="W39" s="1030"/>
      <c r="X39" s="1030"/>
      <c r="Y39" s="1030"/>
      <c r="Z39" s="1030"/>
    </row>
    <row r="40" spans="1:26" ht="12.75" customHeight="1">
      <c r="A40" s="1061">
        <v>26</v>
      </c>
      <c r="B40" s="1051" t="s">
        <v>3382</v>
      </c>
      <c r="C40" s="1066" t="s">
        <v>3342</v>
      </c>
      <c r="D40" s="1035" t="s">
        <v>3400</v>
      </c>
      <c r="E40" s="1035" t="s">
        <v>3388</v>
      </c>
      <c r="F40" s="1067" t="s">
        <v>3384</v>
      </c>
      <c r="G40" s="1068">
        <f t="shared" si="1"/>
        <v>200</v>
      </c>
      <c r="H40" s="1069" t="s">
        <v>3385</v>
      </c>
      <c r="I40" s="1070">
        <v>3</v>
      </c>
      <c r="J40" s="1071"/>
      <c r="K40" s="1072">
        <f t="shared" si="2"/>
        <v>600</v>
      </c>
      <c r="L40" s="1030"/>
      <c r="M40" s="1030"/>
      <c r="N40" s="1030"/>
      <c r="O40" s="1030"/>
      <c r="P40" s="1030"/>
      <c r="Q40" s="1030"/>
      <c r="R40" s="1030"/>
      <c r="S40" s="1030"/>
      <c r="T40" s="1030"/>
      <c r="U40" s="1030"/>
      <c r="V40" s="1030"/>
      <c r="W40" s="1030"/>
      <c r="X40" s="1030"/>
      <c r="Y40" s="1030"/>
      <c r="Z40" s="1030"/>
    </row>
    <row r="41" spans="1:26" ht="12.75" customHeight="1">
      <c r="A41" s="1061">
        <v>27</v>
      </c>
      <c r="B41" s="1051" t="s">
        <v>3382</v>
      </c>
      <c r="C41" s="1066" t="s">
        <v>3342</v>
      </c>
      <c r="D41" s="1035" t="s">
        <v>2802</v>
      </c>
      <c r="E41" s="1035" t="s">
        <v>3388</v>
      </c>
      <c r="F41" s="1067" t="s">
        <v>3384</v>
      </c>
      <c r="G41" s="1068">
        <f t="shared" si="1"/>
        <v>200</v>
      </c>
      <c r="H41" s="1069" t="s">
        <v>3385</v>
      </c>
      <c r="I41" s="1070">
        <v>3.5</v>
      </c>
      <c r="J41" s="1071"/>
      <c r="K41" s="1072">
        <f t="shared" si="2"/>
        <v>700</v>
      </c>
      <c r="L41" s="1030"/>
      <c r="M41" s="1030"/>
      <c r="N41" s="1030"/>
      <c r="O41" s="1030"/>
      <c r="P41" s="1030"/>
      <c r="Q41" s="1030"/>
      <c r="R41" s="1030"/>
      <c r="S41" s="1030"/>
      <c r="T41" s="1030"/>
      <c r="U41" s="1030"/>
      <c r="V41" s="1030"/>
      <c r="W41" s="1030"/>
      <c r="X41" s="1030"/>
      <c r="Y41" s="1030"/>
      <c r="Z41" s="1030"/>
    </row>
    <row r="42" spans="1:26" ht="12.75" customHeight="1">
      <c r="A42" s="1061">
        <v>28</v>
      </c>
      <c r="B42" s="1051" t="s">
        <v>3382</v>
      </c>
      <c r="C42" s="1066" t="s">
        <v>3342</v>
      </c>
      <c r="D42" s="1035" t="s">
        <v>3407</v>
      </c>
      <c r="E42" s="1035" t="s">
        <v>3409</v>
      </c>
      <c r="F42" s="1067" t="s">
        <v>3384</v>
      </c>
      <c r="G42" s="1068">
        <f t="shared" si="1"/>
        <v>150</v>
      </c>
      <c r="H42" s="1069" t="s">
        <v>3385</v>
      </c>
      <c r="I42" s="1070">
        <v>3.5</v>
      </c>
      <c r="J42" s="1071"/>
      <c r="K42" s="1068">
        <f t="shared" si="2"/>
        <v>525</v>
      </c>
      <c r="L42" s="1030"/>
      <c r="M42" s="1030"/>
      <c r="N42" s="1030"/>
      <c r="O42" s="1039"/>
      <c r="P42" s="1039"/>
      <c r="Q42" s="1039"/>
      <c r="R42" s="1039"/>
      <c r="S42" s="1039"/>
      <c r="T42" s="1039"/>
      <c r="U42" s="1039"/>
      <c r="V42" s="1039"/>
      <c r="W42" s="1039"/>
      <c r="X42" s="1039"/>
      <c r="Y42" s="1039"/>
      <c r="Z42" s="1039"/>
    </row>
    <row r="43" spans="1:26" ht="12.75" customHeight="1" outlineLevel="1">
      <c r="A43" s="1061">
        <v>29</v>
      </c>
      <c r="B43" s="1051" t="s">
        <v>3382</v>
      </c>
      <c r="C43" s="1066" t="s">
        <v>3342</v>
      </c>
      <c r="D43" s="1035" t="s">
        <v>3145</v>
      </c>
      <c r="E43" s="1035" t="s">
        <v>3383</v>
      </c>
      <c r="F43" s="1073" t="s">
        <v>3410</v>
      </c>
      <c r="G43" s="1068">
        <f t="shared" si="1"/>
        <v>600</v>
      </c>
      <c r="H43" s="1035"/>
      <c r="I43" s="1062">
        <v>3</v>
      </c>
      <c r="J43" s="1071"/>
      <c r="K43" s="1068">
        <f t="shared" si="2"/>
        <v>1800</v>
      </c>
      <c r="L43" s="1030"/>
      <c r="M43" s="1030"/>
      <c r="N43" s="1030"/>
      <c r="O43" s="1030"/>
      <c r="P43" s="1030"/>
      <c r="Q43" s="1030"/>
      <c r="R43" s="1030"/>
      <c r="S43" s="1030"/>
      <c r="T43" s="1030"/>
      <c r="U43" s="1030"/>
      <c r="V43" s="1030"/>
      <c r="W43" s="1030"/>
      <c r="X43" s="1030"/>
      <c r="Y43" s="1030"/>
      <c r="Z43" s="1030"/>
    </row>
    <row r="44" spans="1:26" ht="12.75" customHeight="1" outlineLevel="1">
      <c r="A44" s="1061">
        <v>30</v>
      </c>
      <c r="B44" s="1051" t="s">
        <v>3382</v>
      </c>
      <c r="C44" s="1066" t="s">
        <v>3342</v>
      </c>
      <c r="D44" s="1035" t="s">
        <v>3346</v>
      </c>
      <c r="E44" s="1035" t="s">
        <v>3388</v>
      </c>
      <c r="F44" s="1073" t="s">
        <v>3410</v>
      </c>
      <c r="G44" s="1068">
        <f t="shared" si="1"/>
        <v>200</v>
      </c>
      <c r="H44" s="1035"/>
      <c r="I44" s="1062">
        <v>3.5</v>
      </c>
      <c r="J44" s="1071"/>
      <c r="K44" s="1068">
        <f t="shared" si="2"/>
        <v>700</v>
      </c>
      <c r="L44" s="1030"/>
      <c r="M44" s="1030"/>
      <c r="N44" s="1030"/>
      <c r="O44" s="1030"/>
      <c r="P44" s="1030"/>
      <c r="Q44" s="1030"/>
      <c r="R44" s="1030"/>
      <c r="S44" s="1030"/>
      <c r="T44" s="1030"/>
      <c r="U44" s="1030"/>
      <c r="V44" s="1030"/>
      <c r="W44" s="1030"/>
      <c r="X44" s="1030"/>
      <c r="Y44" s="1030"/>
      <c r="Z44" s="1030"/>
    </row>
    <row r="45" spans="1:26" ht="12.75" customHeight="1" outlineLevel="1">
      <c r="A45" s="1061">
        <v>31</v>
      </c>
      <c r="B45" s="1051" t="s">
        <v>3382</v>
      </c>
      <c r="C45" s="1066" t="s">
        <v>3342</v>
      </c>
      <c r="D45" s="1035" t="s">
        <v>998</v>
      </c>
      <c r="E45" s="1035" t="s">
        <v>3388</v>
      </c>
      <c r="F45" s="1073" t="s">
        <v>3410</v>
      </c>
      <c r="G45" s="1068">
        <f t="shared" si="1"/>
        <v>200</v>
      </c>
      <c r="H45" s="1035"/>
      <c r="I45" s="1070">
        <v>3</v>
      </c>
      <c r="J45" s="1071"/>
      <c r="K45" s="1068">
        <f t="shared" si="2"/>
        <v>600</v>
      </c>
      <c r="L45" s="1030"/>
      <c r="M45" s="1040"/>
      <c r="N45" s="1030"/>
      <c r="O45" s="1039"/>
      <c r="P45" s="1039"/>
      <c r="Q45" s="1039"/>
      <c r="R45" s="1039"/>
      <c r="S45" s="1039"/>
      <c r="T45" s="1039"/>
      <c r="U45" s="1039"/>
      <c r="V45" s="1039"/>
      <c r="W45" s="1039"/>
      <c r="X45" s="1039"/>
      <c r="Y45" s="1039"/>
      <c r="Z45" s="1039"/>
    </row>
    <row r="46" spans="1:26" ht="12.75" customHeight="1" outlineLevel="1">
      <c r="A46" s="1061">
        <v>32</v>
      </c>
      <c r="B46" s="1051" t="s">
        <v>3382</v>
      </c>
      <c r="C46" s="1066" t="s">
        <v>3342</v>
      </c>
      <c r="D46" s="1035" t="s">
        <v>3392</v>
      </c>
      <c r="E46" s="1035" t="s">
        <v>3393</v>
      </c>
      <c r="F46" s="1073" t="s">
        <v>3410</v>
      </c>
      <c r="G46" s="1068">
        <f t="shared" si="1"/>
        <v>100</v>
      </c>
      <c r="H46" s="1074"/>
      <c r="I46" s="1070">
        <v>2</v>
      </c>
      <c r="J46" s="1071"/>
      <c r="K46" s="1072">
        <f t="shared" si="2"/>
        <v>200</v>
      </c>
      <c r="L46" s="1030"/>
      <c r="M46" s="1030"/>
      <c r="N46" s="1030"/>
      <c r="O46" s="1039"/>
      <c r="P46" s="1039"/>
      <c r="Q46" s="1039"/>
      <c r="R46" s="1039"/>
      <c r="S46" s="1039"/>
      <c r="T46" s="1039"/>
      <c r="U46" s="1039"/>
      <c r="V46" s="1039"/>
      <c r="W46" s="1039"/>
      <c r="X46" s="1039"/>
      <c r="Y46" s="1039"/>
      <c r="Z46" s="1039"/>
    </row>
    <row r="47" spans="1:26" ht="12.75" customHeight="1" outlineLevel="1">
      <c r="A47" s="1061">
        <v>33</v>
      </c>
      <c r="B47" s="1051" t="s">
        <v>3382</v>
      </c>
      <c r="C47" s="1066" t="s">
        <v>3342</v>
      </c>
      <c r="D47" s="1035" t="s">
        <v>3356</v>
      </c>
      <c r="E47" s="1035" t="s">
        <v>3383</v>
      </c>
      <c r="F47" s="1073" t="s">
        <v>3410</v>
      </c>
      <c r="G47" s="1068">
        <f t="shared" si="1"/>
        <v>600</v>
      </c>
      <c r="H47" s="1035"/>
      <c r="I47" s="1070">
        <v>3</v>
      </c>
      <c r="J47" s="1071"/>
      <c r="K47" s="1075">
        <f t="shared" si="2"/>
        <v>1800</v>
      </c>
      <c r="L47" s="1040"/>
      <c r="M47" s="1040"/>
      <c r="N47" s="1040"/>
      <c r="O47" s="1040"/>
      <c r="P47" s="1040"/>
      <c r="Q47" s="1030"/>
      <c r="R47" s="1030"/>
      <c r="S47" s="1030"/>
      <c r="T47" s="1030"/>
      <c r="U47" s="1030"/>
      <c r="V47" s="1030"/>
      <c r="W47" s="1030"/>
      <c r="X47" s="1030"/>
      <c r="Y47" s="1030"/>
      <c r="Z47" s="1030"/>
    </row>
    <row r="48" spans="1:26" ht="12.75" customHeight="1" outlineLevel="1">
      <c r="A48" s="1061">
        <v>34</v>
      </c>
      <c r="B48" s="1051" t="s">
        <v>3382</v>
      </c>
      <c r="C48" s="1066" t="s">
        <v>3342</v>
      </c>
      <c r="D48" s="1035" t="s">
        <v>3357</v>
      </c>
      <c r="E48" s="1035" t="s">
        <v>3388</v>
      </c>
      <c r="F48" s="1073" t="s">
        <v>3410</v>
      </c>
      <c r="G48" s="1068">
        <f t="shared" si="1"/>
        <v>200</v>
      </c>
      <c r="H48" s="1035"/>
      <c r="I48" s="1070">
        <v>3</v>
      </c>
      <c r="J48" s="1071"/>
      <c r="K48" s="1068">
        <f t="shared" si="2"/>
        <v>600</v>
      </c>
      <c r="L48" s="1030"/>
      <c r="M48" s="1030"/>
      <c r="N48" s="1030"/>
      <c r="O48" s="1030"/>
      <c r="P48" s="1030"/>
      <c r="Q48" s="1030"/>
      <c r="R48" s="1030"/>
      <c r="S48" s="1030"/>
      <c r="T48" s="1030"/>
      <c r="U48" s="1030"/>
      <c r="V48" s="1030"/>
      <c r="W48" s="1030"/>
      <c r="X48" s="1030"/>
      <c r="Y48" s="1030"/>
      <c r="Z48" s="1030"/>
    </row>
    <row r="49" spans="1:26" ht="12.75" customHeight="1" outlineLevel="1">
      <c r="A49" s="1061">
        <v>35</v>
      </c>
      <c r="B49" s="1051" t="s">
        <v>3382</v>
      </c>
      <c r="C49" s="1066" t="s">
        <v>3342</v>
      </c>
      <c r="D49" s="1035" t="s">
        <v>1077</v>
      </c>
      <c r="E49" s="1035" t="s">
        <v>3383</v>
      </c>
      <c r="F49" s="1073" t="s">
        <v>3410</v>
      </c>
      <c r="G49" s="1068">
        <f t="shared" si="1"/>
        <v>600</v>
      </c>
      <c r="H49" s="1035"/>
      <c r="I49" s="1062">
        <v>3</v>
      </c>
      <c r="J49" s="1071"/>
      <c r="K49" s="1068">
        <f t="shared" si="2"/>
        <v>1800</v>
      </c>
      <c r="L49" s="1030"/>
      <c r="M49" s="1040"/>
      <c r="N49" s="1030"/>
      <c r="O49" s="1039"/>
      <c r="P49" s="1039"/>
      <c r="Q49" s="1039"/>
      <c r="R49" s="1039"/>
      <c r="S49" s="1039"/>
      <c r="T49" s="1039"/>
      <c r="U49" s="1039"/>
      <c r="V49" s="1039"/>
      <c r="W49" s="1039"/>
      <c r="X49" s="1039"/>
      <c r="Y49" s="1039"/>
      <c r="Z49" s="1039"/>
    </row>
    <row r="50" spans="1:26" ht="12.75" customHeight="1" outlineLevel="1">
      <c r="A50" s="1061">
        <v>36</v>
      </c>
      <c r="B50" s="1051" t="s">
        <v>3382</v>
      </c>
      <c r="C50" s="1066" t="s">
        <v>3342</v>
      </c>
      <c r="D50" s="1035" t="s">
        <v>976</v>
      </c>
      <c r="E50" s="1035" t="s">
        <v>3383</v>
      </c>
      <c r="F50" s="1073" t="s">
        <v>3410</v>
      </c>
      <c r="G50" s="1068">
        <f t="shared" si="1"/>
        <v>600</v>
      </c>
      <c r="H50" s="1035"/>
      <c r="I50" s="1070">
        <v>3.5</v>
      </c>
      <c r="J50" s="1071"/>
      <c r="K50" s="1068">
        <f t="shared" si="2"/>
        <v>2100</v>
      </c>
      <c r="L50" s="1030"/>
      <c r="M50" s="1030"/>
      <c r="N50" s="1030"/>
      <c r="O50" s="1030"/>
      <c r="P50" s="1030"/>
      <c r="Q50" s="1030"/>
      <c r="R50" s="1030"/>
      <c r="S50" s="1030"/>
      <c r="T50" s="1030"/>
      <c r="U50" s="1030"/>
      <c r="V50" s="1030"/>
      <c r="W50" s="1030"/>
      <c r="X50" s="1030"/>
      <c r="Y50" s="1030"/>
      <c r="Z50" s="1030"/>
    </row>
    <row r="51" spans="1:26" ht="12.75" customHeight="1" outlineLevel="1">
      <c r="A51" s="1061">
        <v>37</v>
      </c>
      <c r="B51" s="1051" t="s">
        <v>3382</v>
      </c>
      <c r="C51" s="1066" t="s">
        <v>3342</v>
      </c>
      <c r="D51" s="1035" t="s">
        <v>3364</v>
      </c>
      <c r="E51" s="1035" t="s">
        <v>3409</v>
      </c>
      <c r="F51" s="1073" t="s">
        <v>3410</v>
      </c>
      <c r="G51" s="1068">
        <f t="shared" si="1"/>
        <v>150</v>
      </c>
      <c r="H51" s="1035"/>
      <c r="I51" s="1070">
        <v>3.5</v>
      </c>
      <c r="J51" s="1071"/>
      <c r="K51" s="1068">
        <f t="shared" si="2"/>
        <v>525</v>
      </c>
      <c r="L51" s="1030"/>
      <c r="M51" s="1040"/>
      <c r="N51" s="1030"/>
      <c r="O51" s="1039"/>
      <c r="P51" s="1039"/>
      <c r="Q51" s="1039"/>
      <c r="R51" s="1039"/>
      <c r="S51" s="1039"/>
      <c r="T51" s="1039"/>
      <c r="U51" s="1039"/>
      <c r="V51" s="1039"/>
      <c r="W51" s="1039"/>
      <c r="X51" s="1039"/>
      <c r="Y51" s="1039"/>
      <c r="Z51" s="1039"/>
    </row>
    <row r="52" spans="1:26" ht="12.75" customHeight="1" outlineLevel="1">
      <c r="A52" s="1061">
        <v>38</v>
      </c>
      <c r="B52" s="1051" t="s">
        <v>3382</v>
      </c>
      <c r="C52" s="1066" t="s">
        <v>3342</v>
      </c>
      <c r="D52" s="1035" t="s">
        <v>1388</v>
      </c>
      <c r="E52" s="1035" t="s">
        <v>3388</v>
      </c>
      <c r="F52" s="1073" t="s">
        <v>3410</v>
      </c>
      <c r="G52" s="1068">
        <f t="shared" si="1"/>
        <v>200</v>
      </c>
      <c r="H52" s="1035"/>
      <c r="I52" s="1070">
        <v>3.5</v>
      </c>
      <c r="J52" s="1071"/>
      <c r="K52" s="1068">
        <f t="shared" si="2"/>
        <v>700</v>
      </c>
      <c r="L52" s="1030"/>
      <c r="M52" s="1030"/>
      <c r="N52" s="1030"/>
      <c r="O52" s="1030"/>
      <c r="P52" s="1030"/>
      <c r="Q52" s="1030"/>
      <c r="R52" s="1030"/>
      <c r="S52" s="1030"/>
      <c r="T52" s="1030"/>
      <c r="U52" s="1030"/>
      <c r="V52" s="1030"/>
      <c r="W52" s="1030"/>
      <c r="X52" s="1030"/>
      <c r="Y52" s="1030"/>
      <c r="Z52" s="1030"/>
    </row>
    <row r="53" spans="1:26" ht="12.75" customHeight="1" outlineLevel="1">
      <c r="A53" s="1061">
        <v>39</v>
      </c>
      <c r="B53" s="1051" t="s">
        <v>3382</v>
      </c>
      <c r="C53" s="1066" t="s">
        <v>3342</v>
      </c>
      <c r="D53" s="1035" t="s">
        <v>2642</v>
      </c>
      <c r="E53" s="1035" t="s">
        <v>3388</v>
      </c>
      <c r="F53" s="1073" t="s">
        <v>3410</v>
      </c>
      <c r="G53" s="1068">
        <f t="shared" si="1"/>
        <v>200</v>
      </c>
      <c r="H53" s="1035"/>
      <c r="I53" s="1070">
        <v>3.5</v>
      </c>
      <c r="J53" s="1071"/>
      <c r="K53" s="1068">
        <f t="shared" si="2"/>
        <v>700</v>
      </c>
      <c r="L53" s="1030"/>
      <c r="M53" s="1030"/>
      <c r="N53" s="1030"/>
      <c r="O53" s="1030"/>
      <c r="P53" s="1030"/>
      <c r="Q53" s="1030"/>
      <c r="R53" s="1030"/>
      <c r="S53" s="1030"/>
      <c r="T53" s="1030"/>
      <c r="U53" s="1030"/>
      <c r="V53" s="1030"/>
      <c r="W53" s="1030"/>
      <c r="X53" s="1030"/>
      <c r="Y53" s="1030"/>
      <c r="Z53" s="1030"/>
    </row>
    <row r="54" spans="1:26" ht="12.75" customHeight="1" outlineLevel="1">
      <c r="A54" s="1061">
        <v>40</v>
      </c>
      <c r="B54" s="1051" t="s">
        <v>3382</v>
      </c>
      <c r="C54" s="1066" t="s">
        <v>3342</v>
      </c>
      <c r="D54" s="1035" t="s">
        <v>3366</v>
      </c>
      <c r="E54" s="1035" t="s">
        <v>3388</v>
      </c>
      <c r="F54" s="1073" t="s">
        <v>3410</v>
      </c>
      <c r="G54" s="1068">
        <f t="shared" si="1"/>
        <v>200</v>
      </c>
      <c r="H54" s="1035"/>
      <c r="I54" s="1070">
        <v>3.5</v>
      </c>
      <c r="J54" s="1071"/>
      <c r="K54" s="1068">
        <f t="shared" si="2"/>
        <v>700</v>
      </c>
      <c r="L54" s="1030"/>
      <c r="M54" s="1030"/>
      <c r="N54" s="1030"/>
      <c r="O54" s="1030"/>
      <c r="P54" s="1030"/>
      <c r="Q54" s="1030"/>
      <c r="R54" s="1030"/>
      <c r="S54" s="1030"/>
      <c r="T54" s="1030"/>
      <c r="U54" s="1030"/>
      <c r="V54" s="1030"/>
      <c r="W54" s="1030"/>
      <c r="X54" s="1030"/>
      <c r="Y54" s="1030"/>
      <c r="Z54" s="1030"/>
    </row>
    <row r="55" spans="1:26" ht="12.75" customHeight="1" outlineLevel="1">
      <c r="A55" s="1061">
        <v>41</v>
      </c>
      <c r="B55" s="1051" t="s">
        <v>3382</v>
      </c>
      <c r="C55" s="1066" t="s">
        <v>3342</v>
      </c>
      <c r="D55" s="1035" t="s">
        <v>3411</v>
      </c>
      <c r="E55" s="1035" t="s">
        <v>3393</v>
      </c>
      <c r="F55" s="1073" t="s">
        <v>3410</v>
      </c>
      <c r="G55" s="1068">
        <f t="shared" si="1"/>
        <v>100</v>
      </c>
      <c r="H55" s="1074"/>
      <c r="I55" s="1070">
        <v>3</v>
      </c>
      <c r="J55" s="1071"/>
      <c r="K55" s="1072">
        <f t="shared" si="2"/>
        <v>300</v>
      </c>
      <c r="L55" s="1030"/>
      <c r="M55" s="1030" t="s">
        <v>3395</v>
      </c>
      <c r="N55" s="1030"/>
      <c r="O55" s="1030"/>
      <c r="P55" s="1030" t="s">
        <v>3400</v>
      </c>
      <c r="Q55" s="1030"/>
      <c r="R55" s="1030"/>
      <c r="S55" s="1030"/>
      <c r="T55" s="1030"/>
      <c r="U55" s="1030"/>
      <c r="V55" s="1030"/>
      <c r="W55" s="1030"/>
      <c r="X55" s="1030"/>
      <c r="Y55" s="1030"/>
      <c r="Z55" s="1030"/>
    </row>
    <row r="56" spans="1:26" ht="12.75" customHeight="1" outlineLevel="1">
      <c r="A56" s="1061">
        <v>42</v>
      </c>
      <c r="B56" s="1051" t="s">
        <v>3382</v>
      </c>
      <c r="C56" s="1066" t="s">
        <v>3342</v>
      </c>
      <c r="D56" s="1035" t="s">
        <v>2940</v>
      </c>
      <c r="E56" s="1035" t="s">
        <v>3388</v>
      </c>
      <c r="F56" s="1073" t="s">
        <v>3410</v>
      </c>
      <c r="G56" s="1068">
        <f t="shared" si="1"/>
        <v>200</v>
      </c>
      <c r="H56" s="1035"/>
      <c r="I56" s="1070">
        <v>3</v>
      </c>
      <c r="J56" s="1071"/>
      <c r="K56" s="1068">
        <f t="shared" si="2"/>
        <v>600</v>
      </c>
      <c r="L56" s="1030"/>
      <c r="M56" s="1030"/>
      <c r="N56" s="1030"/>
      <c r="O56" s="1030"/>
      <c r="P56" s="1030"/>
      <c r="Q56" s="1030"/>
      <c r="R56" s="1030"/>
      <c r="S56" s="1030"/>
      <c r="T56" s="1030"/>
      <c r="U56" s="1030"/>
      <c r="V56" s="1030"/>
      <c r="W56" s="1030"/>
      <c r="X56" s="1030"/>
      <c r="Y56" s="1030"/>
      <c r="Z56" s="1030"/>
    </row>
    <row r="57" spans="1:26" ht="12.75" customHeight="1" outlineLevel="1">
      <c r="A57" s="1061">
        <v>43</v>
      </c>
      <c r="B57" s="1051" t="s">
        <v>3382</v>
      </c>
      <c r="C57" s="1066" t="s">
        <v>3342</v>
      </c>
      <c r="D57" s="1035" t="s">
        <v>3406</v>
      </c>
      <c r="E57" s="1035" t="s">
        <v>3393</v>
      </c>
      <c r="F57" s="1073" t="s">
        <v>3410</v>
      </c>
      <c r="G57" s="1068">
        <f t="shared" si="1"/>
        <v>100</v>
      </c>
      <c r="H57" s="1074"/>
      <c r="I57" s="1070">
        <v>3</v>
      </c>
      <c r="J57" s="1071"/>
      <c r="K57" s="1072">
        <f t="shared" si="2"/>
        <v>300</v>
      </c>
      <c r="L57" s="1030"/>
      <c r="M57" s="1030" t="s">
        <v>3395</v>
      </c>
      <c r="N57" s="1030"/>
      <c r="O57" s="1030"/>
      <c r="P57" s="1030" t="s">
        <v>3400</v>
      </c>
      <c r="Q57" s="1030"/>
      <c r="R57" s="1030"/>
      <c r="S57" s="1030"/>
      <c r="T57" s="1030"/>
      <c r="U57" s="1030"/>
      <c r="V57" s="1030"/>
      <c r="W57" s="1030"/>
      <c r="X57" s="1030"/>
      <c r="Y57" s="1030"/>
      <c r="Z57" s="1030"/>
    </row>
    <row r="58" spans="1:26" ht="12.75" customHeight="1" outlineLevel="1">
      <c r="A58" s="1061">
        <v>44</v>
      </c>
      <c r="B58" s="1051" t="s">
        <v>3382</v>
      </c>
      <c r="C58" s="1066" t="s">
        <v>3342</v>
      </c>
      <c r="D58" s="1035" t="s">
        <v>2667</v>
      </c>
      <c r="E58" s="1035" t="s">
        <v>3388</v>
      </c>
      <c r="F58" s="1073" t="s">
        <v>3410</v>
      </c>
      <c r="G58" s="1068">
        <f t="shared" si="1"/>
        <v>200</v>
      </c>
      <c r="H58" s="1035"/>
      <c r="I58" s="1070">
        <v>3</v>
      </c>
      <c r="J58" s="1071"/>
      <c r="K58" s="1068">
        <f t="shared" si="2"/>
        <v>600</v>
      </c>
      <c r="L58" s="1030"/>
      <c r="M58" s="1040"/>
      <c r="N58" s="1030"/>
      <c r="O58" s="1039"/>
      <c r="P58" s="1039"/>
      <c r="Q58" s="1039"/>
      <c r="R58" s="1039"/>
      <c r="S58" s="1039"/>
      <c r="T58" s="1039"/>
      <c r="U58" s="1039"/>
      <c r="V58" s="1039"/>
      <c r="W58" s="1039"/>
      <c r="X58" s="1039"/>
      <c r="Y58" s="1039"/>
      <c r="Z58" s="1039"/>
    </row>
    <row r="59" spans="1:26" ht="12.75" customHeight="1" outlineLevel="1">
      <c r="A59" s="1061">
        <v>45</v>
      </c>
      <c r="B59" s="1051" t="s">
        <v>3382</v>
      </c>
      <c r="C59" s="1066" t="s">
        <v>3342</v>
      </c>
      <c r="D59" s="1035" t="s">
        <v>3396</v>
      </c>
      <c r="E59" s="1035" t="s">
        <v>3388</v>
      </c>
      <c r="F59" s="1073" t="s">
        <v>3410</v>
      </c>
      <c r="G59" s="1068">
        <f t="shared" si="1"/>
        <v>200</v>
      </c>
      <c r="H59" s="1035"/>
      <c r="I59" s="1070">
        <v>3.5</v>
      </c>
      <c r="J59" s="1071"/>
      <c r="K59" s="1068">
        <f t="shared" si="2"/>
        <v>700</v>
      </c>
      <c r="L59" s="1030"/>
      <c r="M59" s="1030"/>
      <c r="N59" s="1030"/>
      <c r="O59" s="1039"/>
      <c r="P59" s="1039"/>
      <c r="Q59" s="1039"/>
      <c r="R59" s="1039"/>
      <c r="S59" s="1039"/>
      <c r="T59" s="1039"/>
      <c r="U59" s="1039"/>
      <c r="V59" s="1039"/>
      <c r="W59" s="1039"/>
      <c r="X59" s="1039"/>
      <c r="Y59" s="1039"/>
      <c r="Z59" s="1039"/>
    </row>
    <row r="60" spans="1:26" ht="12.75" customHeight="1" outlineLevel="1">
      <c r="A60" s="1061">
        <v>46</v>
      </c>
      <c r="B60" s="1051" t="s">
        <v>3382</v>
      </c>
      <c r="C60" s="1066" t="s">
        <v>3342</v>
      </c>
      <c r="D60" s="1035" t="s">
        <v>3399</v>
      </c>
      <c r="E60" s="1035" t="s">
        <v>3388</v>
      </c>
      <c r="F60" s="1073" t="s">
        <v>3410</v>
      </c>
      <c r="G60" s="1068">
        <f t="shared" si="1"/>
        <v>200</v>
      </c>
      <c r="H60" s="1035"/>
      <c r="I60" s="1070">
        <v>3.5</v>
      </c>
      <c r="J60" s="1076"/>
      <c r="K60" s="1075">
        <f t="shared" si="2"/>
        <v>700</v>
      </c>
      <c r="L60" s="1030"/>
      <c r="M60" s="1030"/>
      <c r="N60" s="1030"/>
      <c r="O60" s="1030"/>
      <c r="P60" s="1030"/>
      <c r="Q60" s="1030"/>
      <c r="R60" s="1030"/>
      <c r="S60" s="1030"/>
      <c r="T60" s="1030"/>
      <c r="U60" s="1030"/>
      <c r="V60" s="1030"/>
      <c r="W60" s="1030"/>
      <c r="X60" s="1030"/>
      <c r="Y60" s="1030"/>
      <c r="Z60" s="1030"/>
    </row>
    <row r="61" spans="1:26" ht="12.75" customHeight="1" outlineLevel="1">
      <c r="A61" s="1061">
        <v>47</v>
      </c>
      <c r="B61" s="1051" t="s">
        <v>3382</v>
      </c>
      <c r="C61" s="1066" t="s">
        <v>3342</v>
      </c>
      <c r="D61" s="1035" t="s">
        <v>3387</v>
      </c>
      <c r="E61" s="1035" t="s">
        <v>3388</v>
      </c>
      <c r="F61" s="1073" t="s">
        <v>3410</v>
      </c>
      <c r="G61" s="1068">
        <f t="shared" si="1"/>
        <v>200</v>
      </c>
      <c r="H61" s="1035"/>
      <c r="I61" s="1070">
        <v>3.5</v>
      </c>
      <c r="J61" s="1071"/>
      <c r="K61" s="1068">
        <f t="shared" si="2"/>
        <v>700</v>
      </c>
      <c r="L61" s="1030"/>
      <c r="M61" s="1040"/>
      <c r="N61" s="1030"/>
      <c r="O61" s="1039"/>
      <c r="P61" s="1039"/>
      <c r="Q61" s="1039"/>
      <c r="R61" s="1039"/>
      <c r="S61" s="1039"/>
      <c r="T61" s="1039"/>
      <c r="U61" s="1039"/>
      <c r="V61" s="1039"/>
      <c r="W61" s="1039"/>
      <c r="X61" s="1039"/>
      <c r="Y61" s="1039"/>
      <c r="Z61" s="1039"/>
    </row>
    <row r="62" spans="1:26" ht="12.75" customHeight="1" outlineLevel="1">
      <c r="A62" s="1061">
        <v>48</v>
      </c>
      <c r="B62" s="1051" t="s">
        <v>3382</v>
      </c>
      <c r="C62" s="1066" t="s">
        <v>3342</v>
      </c>
      <c r="D62" s="1035" t="s">
        <v>2689</v>
      </c>
      <c r="E62" s="1035" t="s">
        <v>3388</v>
      </c>
      <c r="F62" s="1073" t="s">
        <v>3410</v>
      </c>
      <c r="G62" s="1068">
        <f t="shared" si="1"/>
        <v>200</v>
      </c>
      <c r="H62" s="1035"/>
      <c r="I62" s="1070">
        <v>3</v>
      </c>
      <c r="J62" s="1071"/>
      <c r="K62" s="1068">
        <f t="shared" si="2"/>
        <v>600</v>
      </c>
      <c r="L62" s="1030"/>
      <c r="M62" s="1040"/>
      <c r="N62" s="1030"/>
      <c r="O62" s="1039"/>
      <c r="P62" s="1039"/>
      <c r="Q62" s="1039"/>
      <c r="R62" s="1039"/>
      <c r="S62" s="1039"/>
      <c r="T62" s="1039"/>
      <c r="U62" s="1039"/>
      <c r="V62" s="1039"/>
      <c r="W62" s="1039"/>
      <c r="X62" s="1039"/>
      <c r="Y62" s="1039"/>
      <c r="Z62" s="1039"/>
    </row>
    <row r="63" spans="1:26" ht="12.75" customHeight="1" outlineLevel="1">
      <c r="A63" s="1061">
        <v>49</v>
      </c>
      <c r="B63" s="1051" t="s">
        <v>3382</v>
      </c>
      <c r="C63" s="1066" t="s">
        <v>3342</v>
      </c>
      <c r="D63" s="1035" t="s">
        <v>3412</v>
      </c>
      <c r="E63" s="1035" t="s">
        <v>3393</v>
      </c>
      <c r="F63" s="1073" t="s">
        <v>3410</v>
      </c>
      <c r="G63" s="1068">
        <f t="shared" si="1"/>
        <v>100</v>
      </c>
      <c r="H63" s="1074"/>
      <c r="I63" s="1070">
        <v>3.5</v>
      </c>
      <c r="J63" s="1071"/>
      <c r="K63" s="1072">
        <f t="shared" si="2"/>
        <v>350</v>
      </c>
      <c r="L63" s="1030"/>
      <c r="M63" s="1030"/>
      <c r="N63" s="1030"/>
      <c r="O63" s="1039"/>
      <c r="P63" s="1039"/>
      <c r="Q63" s="1039"/>
      <c r="R63" s="1039"/>
      <c r="S63" s="1039"/>
      <c r="T63" s="1039"/>
      <c r="U63" s="1039"/>
      <c r="V63" s="1039"/>
      <c r="W63" s="1039"/>
      <c r="X63" s="1039"/>
      <c r="Y63" s="1039"/>
      <c r="Z63" s="1039"/>
    </row>
    <row r="64" spans="1:26" ht="12.75" customHeight="1" outlineLevel="1">
      <c r="A64" s="1061">
        <v>50</v>
      </c>
      <c r="B64" s="1051" t="s">
        <v>3382</v>
      </c>
      <c r="C64" s="1066" t="s">
        <v>3342</v>
      </c>
      <c r="D64" s="1035" t="s">
        <v>3404</v>
      </c>
      <c r="E64" s="1035" t="s">
        <v>3388</v>
      </c>
      <c r="F64" s="1073" t="s">
        <v>3410</v>
      </c>
      <c r="G64" s="1068">
        <f t="shared" si="1"/>
        <v>200</v>
      </c>
      <c r="H64" s="1035"/>
      <c r="I64" s="1070">
        <v>3</v>
      </c>
      <c r="J64" s="1071"/>
      <c r="K64" s="1068">
        <f t="shared" si="2"/>
        <v>600</v>
      </c>
      <c r="L64" s="1040"/>
      <c r="M64" s="1040"/>
      <c r="N64" s="1040"/>
      <c r="O64" s="1040"/>
      <c r="P64" s="1040"/>
      <c r="Q64" s="1030"/>
      <c r="R64" s="1030"/>
      <c r="S64" s="1030"/>
      <c r="T64" s="1030"/>
      <c r="U64" s="1030"/>
      <c r="V64" s="1030"/>
      <c r="W64" s="1030"/>
      <c r="X64" s="1030"/>
      <c r="Y64" s="1030"/>
      <c r="Z64" s="1030"/>
    </row>
    <row r="65" spans="1:26" ht="12.75" customHeight="1" outlineLevel="1">
      <c r="A65" s="1061">
        <v>51</v>
      </c>
      <c r="B65" s="1051" t="s">
        <v>3382</v>
      </c>
      <c r="C65" s="1066" t="s">
        <v>3342</v>
      </c>
      <c r="D65" s="1035" t="s">
        <v>3395</v>
      </c>
      <c r="E65" s="1035" t="s">
        <v>3388</v>
      </c>
      <c r="F65" s="1073" t="s">
        <v>3410</v>
      </c>
      <c r="G65" s="1068">
        <f t="shared" si="1"/>
        <v>200</v>
      </c>
      <c r="H65" s="1035"/>
      <c r="I65" s="1070">
        <v>3</v>
      </c>
      <c r="J65" s="1071"/>
      <c r="K65" s="1068">
        <f t="shared" si="2"/>
        <v>600</v>
      </c>
      <c r="L65" s="1030"/>
      <c r="M65" s="1030"/>
      <c r="N65" s="1030"/>
      <c r="O65" s="1030"/>
      <c r="P65" s="1030"/>
      <c r="Q65" s="1030"/>
      <c r="R65" s="1030"/>
      <c r="S65" s="1030"/>
      <c r="T65" s="1030"/>
      <c r="U65" s="1030"/>
      <c r="V65" s="1030"/>
      <c r="W65" s="1030"/>
      <c r="X65" s="1030"/>
      <c r="Y65" s="1030"/>
      <c r="Z65" s="1030"/>
    </row>
    <row r="66" spans="1:26" ht="12.75" customHeight="1" outlineLevel="1">
      <c r="A66" s="1061">
        <v>52</v>
      </c>
      <c r="B66" s="1051" t="s">
        <v>3382</v>
      </c>
      <c r="C66" s="1066" t="s">
        <v>3342</v>
      </c>
      <c r="D66" s="1035" t="s">
        <v>3398</v>
      </c>
      <c r="E66" s="1035" t="s">
        <v>3388</v>
      </c>
      <c r="F66" s="1073" t="s">
        <v>3410</v>
      </c>
      <c r="G66" s="1068">
        <f t="shared" si="1"/>
        <v>200</v>
      </c>
      <c r="H66" s="1035"/>
      <c r="I66" s="1070">
        <v>2</v>
      </c>
      <c r="J66" s="1071"/>
      <c r="K66" s="1068">
        <f t="shared" si="2"/>
        <v>400</v>
      </c>
      <c r="L66" s="1030"/>
      <c r="M66" s="1040"/>
      <c r="N66" s="1030"/>
      <c r="O66" s="1039"/>
      <c r="P66" s="1039"/>
      <c r="Q66" s="1039"/>
      <c r="R66" s="1039"/>
      <c r="S66" s="1039"/>
      <c r="T66" s="1039"/>
      <c r="U66" s="1039"/>
      <c r="V66" s="1039"/>
      <c r="W66" s="1039"/>
      <c r="X66" s="1039"/>
      <c r="Y66" s="1039"/>
      <c r="Z66" s="1039"/>
    </row>
    <row r="67" spans="1:26" ht="12.75" customHeight="1" outlineLevel="1">
      <c r="A67" s="1061">
        <v>53</v>
      </c>
      <c r="B67" s="1051" t="s">
        <v>3382</v>
      </c>
      <c r="C67" s="1066" t="s">
        <v>3342</v>
      </c>
      <c r="D67" s="1035" t="s">
        <v>3405</v>
      </c>
      <c r="E67" s="1035" t="s">
        <v>3388</v>
      </c>
      <c r="F67" s="1073" t="s">
        <v>3410</v>
      </c>
      <c r="G67" s="1068">
        <f t="shared" si="1"/>
        <v>200</v>
      </c>
      <c r="H67" s="1035"/>
      <c r="I67" s="1070">
        <v>3</v>
      </c>
      <c r="J67" s="1071"/>
      <c r="K67" s="1068">
        <f t="shared" si="2"/>
        <v>600</v>
      </c>
      <c r="L67" s="1030"/>
      <c r="M67" s="1030"/>
      <c r="N67" s="1030"/>
      <c r="O67" s="1030"/>
      <c r="P67" s="1030"/>
      <c r="Q67" s="1030"/>
      <c r="R67" s="1030"/>
      <c r="S67" s="1030"/>
      <c r="T67" s="1030"/>
      <c r="U67" s="1030"/>
      <c r="V67" s="1030"/>
      <c r="W67" s="1030"/>
      <c r="X67" s="1030"/>
      <c r="Y67" s="1030"/>
      <c r="Z67" s="1030"/>
    </row>
    <row r="68" spans="1:26" ht="12.75" customHeight="1" outlineLevel="1">
      <c r="A68" s="1061">
        <v>54</v>
      </c>
      <c r="B68" s="1051" t="s">
        <v>3382</v>
      </c>
      <c r="C68" s="1066" t="s">
        <v>3342</v>
      </c>
      <c r="D68" s="1035" t="s">
        <v>3408</v>
      </c>
      <c r="E68" s="1035" t="s">
        <v>3393</v>
      </c>
      <c r="F68" s="1073" t="s">
        <v>3410</v>
      </c>
      <c r="G68" s="1068">
        <f t="shared" si="1"/>
        <v>100</v>
      </c>
      <c r="H68" s="1074"/>
      <c r="I68" s="1070">
        <v>3.5</v>
      </c>
      <c r="J68" s="1071"/>
      <c r="K68" s="1072">
        <f t="shared" si="2"/>
        <v>350</v>
      </c>
      <c r="L68" s="1030"/>
      <c r="M68" s="1040"/>
      <c r="N68" s="1030"/>
      <c r="O68" s="1039"/>
      <c r="P68" s="1039"/>
      <c r="Q68" s="1039"/>
      <c r="R68" s="1039"/>
      <c r="S68" s="1039"/>
      <c r="T68" s="1039"/>
      <c r="U68" s="1039"/>
      <c r="V68" s="1039"/>
      <c r="W68" s="1039"/>
      <c r="X68" s="1039"/>
      <c r="Y68" s="1039"/>
      <c r="Z68" s="1039"/>
    </row>
    <row r="69" spans="1:26" ht="12.75" customHeight="1" outlineLevel="1">
      <c r="A69" s="1061">
        <v>55</v>
      </c>
      <c r="B69" s="1051" t="s">
        <v>3382</v>
      </c>
      <c r="C69" s="1066" t="s">
        <v>3342</v>
      </c>
      <c r="D69" s="1035" t="s">
        <v>3400</v>
      </c>
      <c r="E69" s="1035" t="s">
        <v>3388</v>
      </c>
      <c r="F69" s="1073" t="s">
        <v>3410</v>
      </c>
      <c r="G69" s="1068">
        <f t="shared" si="1"/>
        <v>200</v>
      </c>
      <c r="H69" s="1035" t="s">
        <v>3413</v>
      </c>
      <c r="I69" s="1070">
        <v>0</v>
      </c>
      <c r="J69" s="1071"/>
      <c r="K69" s="1068">
        <f t="shared" si="2"/>
        <v>0</v>
      </c>
      <c r="L69" s="1030"/>
      <c r="M69" s="1030"/>
      <c r="N69" s="1030"/>
      <c r="O69" s="1030"/>
      <c r="P69" s="1030"/>
      <c r="Q69" s="1030"/>
      <c r="R69" s="1030"/>
      <c r="S69" s="1030"/>
      <c r="T69" s="1030"/>
      <c r="U69" s="1030"/>
      <c r="V69" s="1030"/>
      <c r="W69" s="1030"/>
      <c r="X69" s="1030"/>
      <c r="Y69" s="1030"/>
      <c r="Z69" s="1030"/>
    </row>
    <row r="70" spans="1:26" ht="12.75" customHeight="1" outlineLevel="1">
      <c r="A70" s="1061">
        <v>56</v>
      </c>
      <c r="B70" s="1051" t="s">
        <v>3382</v>
      </c>
      <c r="C70" s="1066" t="s">
        <v>3342</v>
      </c>
      <c r="D70" s="1035" t="s">
        <v>2802</v>
      </c>
      <c r="E70" s="1035" t="s">
        <v>3388</v>
      </c>
      <c r="F70" s="1073" t="s">
        <v>3410</v>
      </c>
      <c r="G70" s="1068">
        <f t="shared" si="1"/>
        <v>200</v>
      </c>
      <c r="H70" s="1035"/>
      <c r="I70" s="1070">
        <v>3.5</v>
      </c>
      <c r="J70" s="1071"/>
      <c r="K70" s="1068">
        <f t="shared" si="2"/>
        <v>700</v>
      </c>
      <c r="L70" s="1030"/>
      <c r="M70" s="1030"/>
      <c r="N70" s="1030"/>
      <c r="O70" s="1030"/>
      <c r="P70" s="1030"/>
      <c r="Q70" s="1030"/>
      <c r="R70" s="1030"/>
      <c r="S70" s="1030"/>
      <c r="T70" s="1030"/>
      <c r="U70" s="1030"/>
      <c r="V70" s="1030"/>
      <c r="W70" s="1030"/>
      <c r="X70" s="1030"/>
      <c r="Y70" s="1030"/>
      <c r="Z70" s="1030"/>
    </row>
    <row r="71" spans="1:26" ht="12.75" customHeight="1" outlineLevel="1">
      <c r="A71" s="1077">
        <v>57</v>
      </c>
      <c r="B71" s="1078" t="s">
        <v>3382</v>
      </c>
      <c r="C71" s="1079" t="s">
        <v>3342</v>
      </c>
      <c r="D71" s="1080" t="s">
        <v>3407</v>
      </c>
      <c r="E71" s="1080" t="s">
        <v>3409</v>
      </c>
      <c r="F71" s="1081" t="s">
        <v>3410</v>
      </c>
      <c r="G71" s="1082">
        <v>150</v>
      </c>
      <c r="H71" s="1083"/>
      <c r="I71" s="1084">
        <v>3.5</v>
      </c>
      <c r="J71" s="1085"/>
      <c r="K71" s="1082">
        <f t="shared" si="2"/>
        <v>525</v>
      </c>
      <c r="L71" s="1086"/>
      <c r="M71" s="1086"/>
      <c r="N71" s="1086"/>
      <c r="O71" s="1086"/>
      <c r="P71" s="1086"/>
      <c r="Q71" s="1086"/>
      <c r="R71" s="1086"/>
      <c r="S71" s="1086"/>
      <c r="T71" s="1086"/>
      <c r="U71" s="1086"/>
      <c r="V71" s="1086"/>
      <c r="W71" s="1086"/>
      <c r="X71" s="1086"/>
      <c r="Y71" s="1086"/>
      <c r="Z71" s="1086"/>
    </row>
    <row r="72" spans="1:26" ht="12.75" customHeight="1" outlineLevel="1">
      <c r="A72" s="1061">
        <v>57</v>
      </c>
      <c r="B72" s="1051" t="s">
        <v>3382</v>
      </c>
      <c r="C72" s="1066" t="s">
        <v>3342</v>
      </c>
      <c r="D72" s="1035" t="s">
        <v>1558</v>
      </c>
      <c r="E72" s="1035" t="s">
        <v>3393</v>
      </c>
      <c r="F72" s="1073" t="s">
        <v>3410</v>
      </c>
      <c r="G72" s="1068">
        <f t="shared" ref="G72:G80" si="3">IF(E72="MT",800,IF(E72="ET",600,IF(E72="ST",400,IF(E72="T",300,IF(E72="HTS",200,IF(E72="STS",150,IF(E72="TS",100,))))))+IF(E72="MTcod",600,IF(E72="ETcod",450,IF(E72="STcod",350,IF(E72="Tcod",250,)))+IF(E72="MTCoach",800,IF(E72="ETCoach",600,IF(E72="STCoach",400,IF(E72="TCoach",300,))))))</f>
        <v>100</v>
      </c>
      <c r="H72" s="1035"/>
      <c r="I72" s="1070">
        <v>3.5</v>
      </c>
      <c r="J72" s="1071"/>
      <c r="K72" s="1068">
        <f t="shared" si="2"/>
        <v>350</v>
      </c>
      <c r="L72" s="1030"/>
      <c r="M72" s="1040"/>
      <c r="N72" s="1030"/>
      <c r="O72" s="1039"/>
      <c r="P72" s="1039"/>
      <c r="Q72" s="1039"/>
      <c r="R72" s="1039"/>
      <c r="S72" s="1039"/>
      <c r="T72" s="1039"/>
      <c r="U72" s="1039"/>
      <c r="V72" s="1039"/>
      <c r="W72" s="1039"/>
      <c r="X72" s="1039"/>
      <c r="Y72" s="1039"/>
      <c r="Z72" s="1039"/>
    </row>
    <row r="73" spans="1:26" ht="12.75" customHeight="1" outlineLevel="1">
      <c r="A73" s="1061">
        <v>58</v>
      </c>
      <c r="B73" s="1051" t="s">
        <v>3382</v>
      </c>
      <c r="C73" s="1066" t="s">
        <v>3342</v>
      </c>
      <c r="D73" s="1035" t="s">
        <v>3145</v>
      </c>
      <c r="E73" s="1035" t="s">
        <v>3383</v>
      </c>
      <c r="F73" s="1073" t="s">
        <v>3414</v>
      </c>
      <c r="G73" s="1068">
        <f t="shared" si="3"/>
        <v>600</v>
      </c>
      <c r="H73" s="1035"/>
      <c r="I73" s="1062">
        <v>2</v>
      </c>
      <c r="J73" s="1087"/>
      <c r="K73" s="1068">
        <f t="shared" si="2"/>
        <v>1200</v>
      </c>
      <c r="L73" s="1030"/>
      <c r="M73" s="1030"/>
      <c r="N73" s="1030"/>
      <c r="O73" s="1030"/>
      <c r="P73" s="1030"/>
      <c r="Q73" s="1030"/>
      <c r="R73" s="1030"/>
      <c r="S73" s="1030"/>
      <c r="T73" s="1030"/>
      <c r="U73" s="1030"/>
      <c r="V73" s="1030"/>
      <c r="W73" s="1030"/>
      <c r="X73" s="1030"/>
      <c r="Y73" s="1030"/>
      <c r="Z73" s="1030"/>
    </row>
    <row r="74" spans="1:26" ht="12.75" customHeight="1" outlineLevel="1">
      <c r="A74" s="1061">
        <v>59</v>
      </c>
      <c r="B74" s="1051" t="s">
        <v>3382</v>
      </c>
      <c r="C74" s="1066" t="s">
        <v>3342</v>
      </c>
      <c r="D74" s="1035" t="s">
        <v>3346</v>
      </c>
      <c r="E74" s="1035" t="s">
        <v>3388</v>
      </c>
      <c r="F74" s="1073" t="s">
        <v>3414</v>
      </c>
      <c r="G74" s="1068">
        <f t="shared" si="3"/>
        <v>200</v>
      </c>
      <c r="H74" s="1035"/>
      <c r="I74" s="1070">
        <v>2.5</v>
      </c>
      <c r="J74" s="1087"/>
      <c r="K74" s="1068">
        <f t="shared" si="2"/>
        <v>500</v>
      </c>
      <c r="L74" s="1030"/>
      <c r="M74" s="1030"/>
      <c r="N74" s="1030"/>
      <c r="O74" s="1030"/>
      <c r="P74" s="1030"/>
      <c r="Q74" s="1030"/>
      <c r="R74" s="1030"/>
      <c r="S74" s="1030"/>
      <c r="T74" s="1030"/>
      <c r="U74" s="1030"/>
      <c r="V74" s="1030"/>
      <c r="W74" s="1030"/>
      <c r="X74" s="1030"/>
      <c r="Y74" s="1030"/>
      <c r="Z74" s="1030"/>
    </row>
    <row r="75" spans="1:26" ht="12.75" customHeight="1" outlineLevel="1">
      <c r="A75" s="1061">
        <v>60</v>
      </c>
      <c r="B75" s="1051" t="s">
        <v>3382</v>
      </c>
      <c r="C75" s="1066" t="s">
        <v>3342</v>
      </c>
      <c r="D75" s="1035" t="s">
        <v>998</v>
      </c>
      <c r="E75" s="1035" t="s">
        <v>3388</v>
      </c>
      <c r="F75" s="1073" t="s">
        <v>3414</v>
      </c>
      <c r="G75" s="1068">
        <f t="shared" si="3"/>
        <v>200</v>
      </c>
      <c r="H75" s="1035"/>
      <c r="I75" s="1070">
        <v>2.5</v>
      </c>
      <c r="J75" s="1087"/>
      <c r="K75" s="1068">
        <f t="shared" si="2"/>
        <v>500</v>
      </c>
      <c r="L75" s="1030"/>
      <c r="M75" s="1030"/>
      <c r="N75" s="1030"/>
      <c r="O75" s="1030"/>
      <c r="P75" s="1030"/>
      <c r="Q75" s="1030"/>
      <c r="R75" s="1030"/>
      <c r="S75" s="1030"/>
      <c r="T75" s="1030"/>
      <c r="U75" s="1030"/>
      <c r="V75" s="1030"/>
      <c r="W75" s="1030"/>
      <c r="X75" s="1030"/>
      <c r="Y75" s="1030"/>
      <c r="Z75" s="1030"/>
    </row>
    <row r="76" spans="1:26" ht="12.75" customHeight="1" outlineLevel="1">
      <c r="A76" s="1061">
        <v>61</v>
      </c>
      <c r="B76" s="1051" t="s">
        <v>3382</v>
      </c>
      <c r="C76" s="1066" t="s">
        <v>3342</v>
      </c>
      <c r="D76" s="1035" t="s">
        <v>3356</v>
      </c>
      <c r="E76" s="1035" t="s">
        <v>3383</v>
      </c>
      <c r="F76" s="1073" t="s">
        <v>3414</v>
      </c>
      <c r="G76" s="1068">
        <f t="shared" si="3"/>
        <v>600</v>
      </c>
      <c r="H76" s="1035"/>
      <c r="I76" s="1070">
        <v>2</v>
      </c>
      <c r="J76" s="1087"/>
      <c r="K76" s="1068">
        <f t="shared" si="2"/>
        <v>1200</v>
      </c>
      <c r="L76" s="1030"/>
      <c r="M76" s="1030"/>
      <c r="N76" s="1030"/>
      <c r="O76" s="1030"/>
      <c r="P76" s="1030"/>
      <c r="Q76" s="1030"/>
      <c r="R76" s="1030"/>
      <c r="S76" s="1030"/>
      <c r="T76" s="1030"/>
      <c r="U76" s="1030"/>
      <c r="V76" s="1030"/>
      <c r="W76" s="1030"/>
      <c r="X76" s="1030"/>
      <c r="Y76" s="1030"/>
      <c r="Z76" s="1030"/>
    </row>
    <row r="77" spans="1:26" ht="12.75" customHeight="1" outlineLevel="1">
      <c r="A77" s="1061">
        <v>62</v>
      </c>
      <c r="B77" s="1051" t="s">
        <v>3382</v>
      </c>
      <c r="C77" s="1066" t="s">
        <v>3342</v>
      </c>
      <c r="D77" s="1035" t="s">
        <v>3357</v>
      </c>
      <c r="E77" s="1035" t="s">
        <v>3388</v>
      </c>
      <c r="F77" s="1073" t="s">
        <v>3414</v>
      </c>
      <c r="G77" s="1068">
        <f t="shared" si="3"/>
        <v>200</v>
      </c>
      <c r="H77" s="1035"/>
      <c r="I77" s="1070">
        <v>2</v>
      </c>
      <c r="J77" s="1087"/>
      <c r="K77" s="1068">
        <f t="shared" si="2"/>
        <v>400</v>
      </c>
      <c r="L77" s="1030"/>
      <c r="M77" s="1030"/>
      <c r="N77" s="1030"/>
      <c r="O77" s="1030"/>
      <c r="P77" s="1030"/>
      <c r="Q77" s="1030"/>
      <c r="R77" s="1030"/>
      <c r="S77" s="1030"/>
      <c r="T77" s="1030"/>
      <c r="U77" s="1030"/>
      <c r="V77" s="1030"/>
      <c r="W77" s="1030"/>
      <c r="X77" s="1030"/>
      <c r="Y77" s="1030"/>
      <c r="Z77" s="1030"/>
    </row>
    <row r="78" spans="1:26" ht="12.75" customHeight="1" outlineLevel="1">
      <c r="A78" s="1061">
        <v>63</v>
      </c>
      <c r="B78" s="1051" t="s">
        <v>3382</v>
      </c>
      <c r="C78" s="1066" t="s">
        <v>3342</v>
      </c>
      <c r="D78" s="1035" t="s">
        <v>1077</v>
      </c>
      <c r="E78" s="1035" t="s">
        <v>3383</v>
      </c>
      <c r="F78" s="1073" t="s">
        <v>3414</v>
      </c>
      <c r="G78" s="1068">
        <f t="shared" si="3"/>
        <v>600</v>
      </c>
      <c r="H78" s="1035"/>
      <c r="I78" s="1070">
        <v>2</v>
      </c>
      <c r="J78" s="1087"/>
      <c r="K78" s="1068">
        <f t="shared" si="2"/>
        <v>1200</v>
      </c>
      <c r="L78" s="1030"/>
      <c r="M78" s="1030"/>
      <c r="N78" s="1030"/>
      <c r="O78" s="1030"/>
      <c r="P78" s="1030"/>
      <c r="Q78" s="1030"/>
      <c r="R78" s="1030"/>
      <c r="S78" s="1030"/>
      <c r="T78" s="1030"/>
      <c r="U78" s="1030"/>
      <c r="V78" s="1030"/>
      <c r="W78" s="1030"/>
      <c r="X78" s="1030"/>
      <c r="Y78" s="1030"/>
      <c r="Z78" s="1030"/>
    </row>
    <row r="79" spans="1:26" ht="12.75" customHeight="1" outlineLevel="1">
      <c r="A79" s="1061">
        <v>64</v>
      </c>
      <c r="B79" s="1051" t="s">
        <v>3382</v>
      </c>
      <c r="C79" s="1066" t="s">
        <v>3342</v>
      </c>
      <c r="D79" s="1035" t="s">
        <v>1077</v>
      </c>
      <c r="E79" s="1035" t="s">
        <v>3388</v>
      </c>
      <c r="F79" s="1073" t="s">
        <v>3414</v>
      </c>
      <c r="G79" s="1068">
        <f t="shared" si="3"/>
        <v>200</v>
      </c>
      <c r="H79" s="1035" t="s">
        <v>3415</v>
      </c>
      <c r="I79" s="1070">
        <v>0.5</v>
      </c>
      <c r="J79" s="1087"/>
      <c r="K79" s="1068">
        <f t="shared" si="2"/>
        <v>100</v>
      </c>
      <c r="L79" s="1030"/>
      <c r="M79" s="1030"/>
      <c r="N79" s="1030"/>
      <c r="O79" s="1030"/>
      <c r="P79" s="1030"/>
      <c r="Q79" s="1030"/>
      <c r="R79" s="1030"/>
      <c r="S79" s="1030"/>
      <c r="T79" s="1030"/>
      <c r="U79" s="1030"/>
      <c r="V79" s="1030"/>
      <c r="W79" s="1030"/>
      <c r="X79" s="1030"/>
      <c r="Y79" s="1030"/>
      <c r="Z79" s="1030"/>
    </row>
    <row r="80" spans="1:26" ht="12.75" customHeight="1" outlineLevel="1">
      <c r="A80" s="1061">
        <v>65</v>
      </c>
      <c r="B80" s="1051" t="s">
        <v>3382</v>
      </c>
      <c r="C80" s="1066" t="s">
        <v>3342</v>
      </c>
      <c r="D80" s="1035" t="s">
        <v>976</v>
      </c>
      <c r="E80" s="1035" t="s">
        <v>3388</v>
      </c>
      <c r="F80" s="1073" t="s">
        <v>3414</v>
      </c>
      <c r="G80" s="1068">
        <f t="shared" si="3"/>
        <v>200</v>
      </c>
      <c r="H80" s="1035"/>
      <c r="I80" s="1070">
        <v>2.5</v>
      </c>
      <c r="J80" s="1087"/>
      <c r="K80" s="1068">
        <f t="shared" si="2"/>
        <v>500</v>
      </c>
      <c r="L80" s="1030"/>
      <c r="M80" s="1030"/>
      <c r="N80" s="1030"/>
      <c r="O80" s="1030"/>
      <c r="P80" s="1030"/>
      <c r="Q80" s="1030"/>
      <c r="R80" s="1030"/>
      <c r="S80" s="1030"/>
      <c r="T80" s="1030"/>
      <c r="U80" s="1030"/>
      <c r="V80" s="1030"/>
      <c r="W80" s="1030"/>
      <c r="X80" s="1030"/>
      <c r="Y80" s="1030"/>
      <c r="Z80" s="1030"/>
    </row>
    <row r="81" spans="1:26" ht="12.75" customHeight="1" outlineLevel="1">
      <c r="A81" s="1061">
        <v>66</v>
      </c>
      <c r="B81" s="1051" t="s">
        <v>3382</v>
      </c>
      <c r="C81" s="1066" t="s">
        <v>3342</v>
      </c>
      <c r="D81" s="1035" t="s">
        <v>3364</v>
      </c>
      <c r="E81" s="1035" t="s">
        <v>3388</v>
      </c>
      <c r="F81" s="1073" t="s">
        <v>3414</v>
      </c>
      <c r="G81" s="1075">
        <v>150</v>
      </c>
      <c r="H81" s="1035"/>
      <c r="I81" s="1062">
        <v>2.5</v>
      </c>
      <c r="J81" s="1087"/>
      <c r="K81" s="1068">
        <f t="shared" si="2"/>
        <v>375</v>
      </c>
      <c r="L81" s="1030"/>
      <c r="M81" s="1030"/>
      <c r="N81" s="1030"/>
      <c r="O81" s="1030"/>
      <c r="P81" s="1030"/>
      <c r="Q81" s="1030"/>
      <c r="R81" s="1030"/>
      <c r="S81" s="1030"/>
      <c r="T81" s="1030"/>
      <c r="U81" s="1030"/>
      <c r="V81" s="1030"/>
      <c r="W81" s="1030"/>
      <c r="X81" s="1030"/>
      <c r="Y81" s="1030"/>
      <c r="Z81" s="1030"/>
    </row>
    <row r="82" spans="1:26" ht="12.75" customHeight="1" outlineLevel="1">
      <c r="A82" s="1061">
        <v>67</v>
      </c>
      <c r="B82" s="1051" t="s">
        <v>3382</v>
      </c>
      <c r="C82" s="1066" t="s">
        <v>3342</v>
      </c>
      <c r="D82" s="1035" t="s">
        <v>1388</v>
      </c>
      <c r="E82" s="1035" t="s">
        <v>3388</v>
      </c>
      <c r="F82" s="1073" t="s">
        <v>3414</v>
      </c>
      <c r="G82" s="1068">
        <f t="shared" ref="G82:G101" si="4">IF(E82="MT",800,IF(E82="ET",600,IF(E82="ST",400,IF(E82="T",300,IF(E82="HTS",200,IF(E82="STS",150,IF(E82="TS",100,))))))+IF(E82="MTcod",600,IF(E82="ETcod",450,IF(E82="STcod",350,IF(E82="Tcod",250,)))+IF(E82="MTCoach",800,IF(E82="ETCoach",600,IF(E82="STCoach",400,IF(E82="TCoach",300,))))))</f>
        <v>200</v>
      </c>
      <c r="H82" s="1035"/>
      <c r="I82" s="1062">
        <v>2.5</v>
      </c>
      <c r="J82" s="1087"/>
      <c r="K82" s="1068">
        <f t="shared" si="2"/>
        <v>500</v>
      </c>
      <c r="L82" s="1030"/>
      <c r="M82" s="1030"/>
      <c r="N82" s="1030"/>
      <c r="O82" s="1030"/>
      <c r="P82" s="1030"/>
      <c r="Q82" s="1030"/>
      <c r="R82" s="1030"/>
      <c r="S82" s="1030"/>
      <c r="T82" s="1030"/>
      <c r="U82" s="1030"/>
      <c r="V82" s="1030"/>
      <c r="W82" s="1030"/>
      <c r="X82" s="1030"/>
      <c r="Y82" s="1030"/>
      <c r="Z82" s="1030"/>
    </row>
    <row r="83" spans="1:26" ht="12.75" customHeight="1" outlineLevel="1">
      <c r="A83" s="1061">
        <v>68</v>
      </c>
      <c r="B83" s="1051" t="s">
        <v>3382</v>
      </c>
      <c r="C83" s="1066" t="s">
        <v>3342</v>
      </c>
      <c r="D83" s="1035" t="s">
        <v>2642</v>
      </c>
      <c r="E83" s="1035" t="s">
        <v>3388</v>
      </c>
      <c r="F83" s="1073" t="s">
        <v>3414</v>
      </c>
      <c r="G83" s="1068">
        <f t="shared" si="4"/>
        <v>200</v>
      </c>
      <c r="H83" s="1035"/>
      <c r="I83" s="1062">
        <v>2.5</v>
      </c>
      <c r="J83" s="1087"/>
      <c r="K83" s="1068">
        <f t="shared" si="2"/>
        <v>500</v>
      </c>
      <c r="L83" s="1030"/>
      <c r="M83" s="1030"/>
      <c r="N83" s="1030"/>
      <c r="O83" s="1030"/>
      <c r="P83" s="1030"/>
      <c r="Q83" s="1030"/>
      <c r="R83" s="1030"/>
      <c r="S83" s="1030"/>
      <c r="T83" s="1030"/>
      <c r="U83" s="1030"/>
      <c r="V83" s="1030"/>
      <c r="W83" s="1030"/>
      <c r="X83" s="1030"/>
      <c r="Y83" s="1030"/>
      <c r="Z83" s="1030"/>
    </row>
    <row r="84" spans="1:26" ht="12.75" customHeight="1" outlineLevel="1">
      <c r="A84" s="1061">
        <v>69</v>
      </c>
      <c r="B84" s="1051" t="s">
        <v>3382</v>
      </c>
      <c r="C84" s="1066" t="s">
        <v>3342</v>
      </c>
      <c r="D84" s="1035" t="s">
        <v>3366</v>
      </c>
      <c r="E84" s="1035" t="s">
        <v>3388</v>
      </c>
      <c r="F84" s="1073" t="s">
        <v>3414</v>
      </c>
      <c r="G84" s="1068">
        <f t="shared" si="4"/>
        <v>200</v>
      </c>
      <c r="H84" s="1035"/>
      <c r="I84" s="1062">
        <v>2.5</v>
      </c>
      <c r="J84" s="1087"/>
      <c r="K84" s="1068">
        <f t="shared" si="2"/>
        <v>500</v>
      </c>
      <c r="L84" s="1030"/>
      <c r="M84" s="1030"/>
      <c r="N84" s="1030"/>
      <c r="O84" s="1030"/>
      <c r="P84" s="1030"/>
      <c r="Q84" s="1030"/>
      <c r="R84" s="1030"/>
      <c r="S84" s="1030"/>
      <c r="T84" s="1030"/>
      <c r="U84" s="1030"/>
      <c r="V84" s="1030"/>
      <c r="W84" s="1030"/>
      <c r="X84" s="1030"/>
      <c r="Y84" s="1030"/>
      <c r="Z84" s="1030"/>
    </row>
    <row r="85" spans="1:26" ht="12.75" customHeight="1" outlineLevel="1">
      <c r="A85" s="1061">
        <v>70</v>
      </c>
      <c r="B85" s="1051" t="s">
        <v>3382</v>
      </c>
      <c r="C85" s="1066" t="s">
        <v>3342</v>
      </c>
      <c r="D85" s="1035" t="s">
        <v>3411</v>
      </c>
      <c r="E85" s="1035" t="s">
        <v>3393</v>
      </c>
      <c r="F85" s="1073" t="s">
        <v>3414</v>
      </c>
      <c r="G85" s="1068">
        <f t="shared" si="4"/>
        <v>100</v>
      </c>
      <c r="H85" s="1074"/>
      <c r="I85" s="1070">
        <v>2.5</v>
      </c>
      <c r="J85" s="1071"/>
      <c r="K85" s="1072">
        <f t="shared" si="2"/>
        <v>250</v>
      </c>
      <c r="L85" s="1030"/>
      <c r="M85" s="1030" t="s">
        <v>3395</v>
      </c>
      <c r="N85" s="1030"/>
      <c r="O85" s="1030"/>
      <c r="P85" s="1030" t="s">
        <v>3400</v>
      </c>
      <c r="Q85" s="1030"/>
      <c r="R85" s="1030"/>
      <c r="S85" s="1030"/>
      <c r="T85" s="1030"/>
      <c r="U85" s="1030"/>
      <c r="V85" s="1030"/>
      <c r="W85" s="1030"/>
      <c r="X85" s="1030"/>
      <c r="Y85" s="1030"/>
      <c r="Z85" s="1030"/>
    </row>
    <row r="86" spans="1:26" ht="12.75" customHeight="1" outlineLevel="1">
      <c r="A86" s="1061">
        <v>71</v>
      </c>
      <c r="B86" s="1051" t="s">
        <v>3382</v>
      </c>
      <c r="C86" s="1066" t="s">
        <v>3342</v>
      </c>
      <c r="D86" s="1035" t="s">
        <v>2940</v>
      </c>
      <c r="E86" s="1035" t="s">
        <v>3388</v>
      </c>
      <c r="F86" s="1073" t="s">
        <v>3414</v>
      </c>
      <c r="G86" s="1068">
        <f t="shared" si="4"/>
        <v>200</v>
      </c>
      <c r="H86" s="1035"/>
      <c r="I86" s="1062">
        <v>2</v>
      </c>
      <c r="J86" s="1087"/>
      <c r="K86" s="1068">
        <f t="shared" si="2"/>
        <v>400</v>
      </c>
      <c r="L86" s="1030"/>
      <c r="M86" s="1030"/>
      <c r="N86" s="1030"/>
      <c r="O86" s="1030"/>
      <c r="P86" s="1030"/>
      <c r="Q86" s="1030"/>
      <c r="R86" s="1030"/>
      <c r="S86" s="1030"/>
      <c r="T86" s="1030"/>
      <c r="U86" s="1030"/>
      <c r="V86" s="1030"/>
      <c r="W86" s="1030"/>
      <c r="X86" s="1030"/>
      <c r="Y86" s="1030"/>
      <c r="Z86" s="1030"/>
    </row>
    <row r="87" spans="1:26" ht="12.75" customHeight="1" outlineLevel="1">
      <c r="A87" s="1061">
        <v>72</v>
      </c>
      <c r="B87" s="1051" t="s">
        <v>3382</v>
      </c>
      <c r="C87" s="1066" t="s">
        <v>3342</v>
      </c>
      <c r="D87" s="1035" t="s">
        <v>3406</v>
      </c>
      <c r="E87" s="1035" t="s">
        <v>3393</v>
      </c>
      <c r="F87" s="1073" t="s">
        <v>3414</v>
      </c>
      <c r="G87" s="1068">
        <f t="shared" si="4"/>
        <v>100</v>
      </c>
      <c r="H87" s="1074"/>
      <c r="I87" s="1070">
        <v>2.5</v>
      </c>
      <c r="J87" s="1071"/>
      <c r="K87" s="1072">
        <f t="shared" si="2"/>
        <v>250</v>
      </c>
      <c r="L87" s="1030"/>
      <c r="M87" s="1030" t="s">
        <v>3395</v>
      </c>
      <c r="N87" s="1030"/>
      <c r="O87" s="1030"/>
      <c r="P87" s="1030" t="s">
        <v>3400</v>
      </c>
      <c r="Q87" s="1030"/>
      <c r="R87" s="1030"/>
      <c r="S87" s="1030"/>
      <c r="T87" s="1030"/>
      <c r="U87" s="1030"/>
      <c r="V87" s="1030"/>
      <c r="W87" s="1030"/>
      <c r="X87" s="1030"/>
      <c r="Y87" s="1030"/>
      <c r="Z87" s="1030"/>
    </row>
    <row r="88" spans="1:26" ht="12.75" customHeight="1" outlineLevel="1">
      <c r="A88" s="1061">
        <v>73</v>
      </c>
      <c r="B88" s="1051" t="s">
        <v>3382</v>
      </c>
      <c r="C88" s="1066" t="s">
        <v>3342</v>
      </c>
      <c r="D88" s="1035" t="s">
        <v>2667</v>
      </c>
      <c r="E88" s="1035" t="s">
        <v>3388</v>
      </c>
      <c r="F88" s="1073" t="s">
        <v>3414</v>
      </c>
      <c r="G88" s="1068">
        <f t="shared" si="4"/>
        <v>200</v>
      </c>
      <c r="H88" s="1035"/>
      <c r="I88" s="1062">
        <v>2.5</v>
      </c>
      <c r="J88" s="1087"/>
      <c r="K88" s="1068">
        <f t="shared" si="2"/>
        <v>500</v>
      </c>
      <c r="L88" s="1030"/>
      <c r="M88" s="1030"/>
      <c r="N88" s="1030"/>
      <c r="O88" s="1030"/>
      <c r="P88" s="1030"/>
      <c r="Q88" s="1030"/>
      <c r="R88" s="1030"/>
      <c r="S88" s="1030"/>
      <c r="T88" s="1030"/>
      <c r="U88" s="1030"/>
      <c r="V88" s="1030"/>
      <c r="W88" s="1030"/>
      <c r="X88" s="1030"/>
      <c r="Y88" s="1030"/>
      <c r="Z88" s="1030"/>
    </row>
    <row r="89" spans="1:26" ht="12.75" customHeight="1" outlineLevel="1">
      <c r="A89" s="1061">
        <v>74</v>
      </c>
      <c r="B89" s="1051" t="s">
        <v>3382</v>
      </c>
      <c r="C89" s="1066" t="s">
        <v>3342</v>
      </c>
      <c r="D89" s="1035" t="s">
        <v>3396</v>
      </c>
      <c r="E89" s="1035" t="s">
        <v>3388</v>
      </c>
      <c r="F89" s="1073" t="s">
        <v>3414</v>
      </c>
      <c r="G89" s="1068">
        <f t="shared" si="4"/>
        <v>200</v>
      </c>
      <c r="H89" s="1035"/>
      <c r="I89" s="1062">
        <v>2.5</v>
      </c>
      <c r="J89" s="1087"/>
      <c r="K89" s="1068">
        <f t="shared" si="2"/>
        <v>500</v>
      </c>
      <c r="L89" s="1030"/>
      <c r="M89" s="1030"/>
      <c r="N89" s="1030"/>
      <c r="O89" s="1030"/>
      <c r="P89" s="1030"/>
      <c r="Q89" s="1030"/>
      <c r="R89" s="1030"/>
      <c r="S89" s="1030"/>
      <c r="T89" s="1030"/>
      <c r="U89" s="1030"/>
      <c r="V89" s="1030"/>
      <c r="W89" s="1030"/>
      <c r="X89" s="1030"/>
      <c r="Y89" s="1030"/>
      <c r="Z89" s="1030"/>
    </row>
    <row r="90" spans="1:26" ht="12.75" customHeight="1" outlineLevel="1">
      <c r="A90" s="1061">
        <v>75</v>
      </c>
      <c r="B90" s="1051" t="s">
        <v>3382</v>
      </c>
      <c r="C90" s="1066" t="s">
        <v>3342</v>
      </c>
      <c r="D90" s="1035" t="s">
        <v>3399</v>
      </c>
      <c r="E90" s="1035" t="s">
        <v>3388</v>
      </c>
      <c r="F90" s="1073" t="s">
        <v>3414</v>
      </c>
      <c r="G90" s="1068">
        <f t="shared" si="4"/>
        <v>200</v>
      </c>
      <c r="H90" s="1035"/>
      <c r="I90" s="1062">
        <v>2.5</v>
      </c>
      <c r="J90" s="1087"/>
      <c r="K90" s="1068">
        <f t="shared" si="2"/>
        <v>500</v>
      </c>
      <c r="L90" s="1030"/>
      <c r="M90" s="1030"/>
      <c r="N90" s="1030"/>
      <c r="O90" s="1030"/>
      <c r="P90" s="1030"/>
      <c r="Q90" s="1030"/>
      <c r="R90" s="1030"/>
      <c r="S90" s="1030"/>
      <c r="T90" s="1030"/>
      <c r="U90" s="1030"/>
      <c r="V90" s="1030"/>
      <c r="W90" s="1030"/>
      <c r="X90" s="1030"/>
      <c r="Y90" s="1030"/>
      <c r="Z90" s="1030"/>
    </row>
    <row r="91" spans="1:26" ht="12.75" customHeight="1" outlineLevel="1">
      <c r="A91" s="1061">
        <v>76</v>
      </c>
      <c r="B91" s="1051" t="s">
        <v>3382</v>
      </c>
      <c r="C91" s="1066" t="s">
        <v>3342</v>
      </c>
      <c r="D91" s="1035" t="s">
        <v>3387</v>
      </c>
      <c r="E91" s="1035" t="s">
        <v>3388</v>
      </c>
      <c r="F91" s="1073" t="s">
        <v>3414</v>
      </c>
      <c r="G91" s="1068">
        <f t="shared" si="4"/>
        <v>200</v>
      </c>
      <c r="H91" s="1035"/>
      <c r="I91" s="1062">
        <v>2.5</v>
      </c>
      <c r="J91" s="1087"/>
      <c r="K91" s="1068">
        <f t="shared" si="2"/>
        <v>500</v>
      </c>
      <c r="L91" s="1030"/>
      <c r="M91" s="1030"/>
      <c r="N91" s="1030"/>
      <c r="O91" s="1030"/>
      <c r="P91" s="1030"/>
      <c r="Q91" s="1030"/>
      <c r="R91" s="1030"/>
      <c r="S91" s="1030"/>
      <c r="T91" s="1030"/>
      <c r="U91" s="1030"/>
      <c r="V91" s="1030"/>
      <c r="W91" s="1030"/>
      <c r="X91" s="1030"/>
      <c r="Y91" s="1030"/>
      <c r="Z91" s="1030"/>
    </row>
    <row r="92" spans="1:26" ht="12.75" customHeight="1" outlineLevel="1">
      <c r="A92" s="1061">
        <v>77</v>
      </c>
      <c r="B92" s="1051" t="s">
        <v>3382</v>
      </c>
      <c r="C92" s="1066" t="s">
        <v>3342</v>
      </c>
      <c r="D92" s="1035" t="s">
        <v>2689</v>
      </c>
      <c r="E92" s="1035" t="s">
        <v>3388</v>
      </c>
      <c r="F92" s="1073" t="s">
        <v>3414</v>
      </c>
      <c r="G92" s="1068">
        <f t="shared" si="4"/>
        <v>200</v>
      </c>
      <c r="H92" s="1035"/>
      <c r="I92" s="1062">
        <v>2.5</v>
      </c>
      <c r="J92" s="1087"/>
      <c r="K92" s="1068">
        <f t="shared" si="2"/>
        <v>500</v>
      </c>
      <c r="L92" s="1030"/>
      <c r="M92" s="1030"/>
      <c r="N92" s="1030"/>
      <c r="O92" s="1030"/>
      <c r="P92" s="1030"/>
      <c r="Q92" s="1030"/>
      <c r="R92" s="1030"/>
      <c r="S92" s="1030"/>
      <c r="T92" s="1030"/>
      <c r="U92" s="1030"/>
      <c r="V92" s="1030"/>
      <c r="W92" s="1030"/>
      <c r="X92" s="1030"/>
      <c r="Y92" s="1030"/>
      <c r="Z92" s="1030"/>
    </row>
    <row r="93" spans="1:26" ht="12.75" customHeight="1" outlineLevel="1">
      <c r="A93" s="1061">
        <v>78</v>
      </c>
      <c r="B93" s="1051" t="s">
        <v>3382</v>
      </c>
      <c r="C93" s="1066" t="s">
        <v>3342</v>
      </c>
      <c r="D93" s="1035" t="s">
        <v>3412</v>
      </c>
      <c r="E93" s="1035" t="s">
        <v>3393</v>
      </c>
      <c r="F93" s="1073" t="s">
        <v>3414</v>
      </c>
      <c r="G93" s="1068">
        <f t="shared" si="4"/>
        <v>100</v>
      </c>
      <c r="H93" s="1035"/>
      <c r="I93" s="1062">
        <v>2.5</v>
      </c>
      <c r="J93" s="1087"/>
      <c r="K93" s="1068">
        <f t="shared" si="2"/>
        <v>250</v>
      </c>
      <c r="L93" s="1030"/>
      <c r="M93" s="1030"/>
      <c r="N93" s="1030"/>
      <c r="O93" s="1030"/>
      <c r="P93" s="1030"/>
      <c r="Q93" s="1030"/>
      <c r="R93" s="1030"/>
      <c r="S93" s="1030"/>
      <c r="T93" s="1030"/>
      <c r="U93" s="1030"/>
      <c r="V93" s="1030"/>
      <c r="W93" s="1030"/>
      <c r="X93" s="1030"/>
      <c r="Y93" s="1030"/>
      <c r="Z93" s="1030"/>
    </row>
    <row r="94" spans="1:26" ht="12.75" customHeight="1" outlineLevel="1">
      <c r="A94" s="1061">
        <v>79</v>
      </c>
      <c r="B94" s="1051" t="s">
        <v>3382</v>
      </c>
      <c r="C94" s="1066" t="s">
        <v>3342</v>
      </c>
      <c r="D94" s="1035" t="s">
        <v>3404</v>
      </c>
      <c r="E94" s="1035" t="s">
        <v>3388</v>
      </c>
      <c r="F94" s="1073" t="s">
        <v>3414</v>
      </c>
      <c r="G94" s="1068">
        <f t="shared" si="4"/>
        <v>200</v>
      </c>
      <c r="H94" s="1035"/>
      <c r="I94" s="1062">
        <v>2.5</v>
      </c>
      <c r="J94" s="1087"/>
      <c r="K94" s="1068">
        <f t="shared" si="2"/>
        <v>500</v>
      </c>
      <c r="L94" s="1030"/>
      <c r="M94" s="1030"/>
      <c r="N94" s="1030"/>
      <c r="O94" s="1030"/>
      <c r="P94" s="1030"/>
      <c r="Q94" s="1030"/>
      <c r="R94" s="1030"/>
      <c r="S94" s="1030"/>
      <c r="T94" s="1030"/>
      <c r="U94" s="1030"/>
      <c r="V94" s="1030"/>
      <c r="W94" s="1030"/>
      <c r="X94" s="1030"/>
      <c r="Y94" s="1030"/>
      <c r="Z94" s="1030"/>
    </row>
    <row r="95" spans="1:26" ht="12.75" customHeight="1" outlineLevel="1">
      <c r="A95" s="1061">
        <v>80</v>
      </c>
      <c r="B95" s="1051" t="s">
        <v>3382</v>
      </c>
      <c r="C95" s="1066" t="s">
        <v>3342</v>
      </c>
      <c r="D95" s="1035" t="s">
        <v>3395</v>
      </c>
      <c r="E95" s="1035" t="s">
        <v>3388</v>
      </c>
      <c r="F95" s="1073" t="s">
        <v>3414</v>
      </c>
      <c r="G95" s="1068">
        <f t="shared" si="4"/>
        <v>200</v>
      </c>
      <c r="H95" s="1035"/>
      <c r="I95" s="1062">
        <v>2.5</v>
      </c>
      <c r="J95" s="1087"/>
      <c r="K95" s="1068">
        <f t="shared" si="2"/>
        <v>500</v>
      </c>
      <c r="L95" s="1030"/>
      <c r="M95" s="1030"/>
      <c r="N95" s="1030"/>
      <c r="O95" s="1030"/>
      <c r="P95" s="1030"/>
      <c r="Q95" s="1030"/>
      <c r="R95" s="1030"/>
      <c r="S95" s="1030"/>
      <c r="T95" s="1030"/>
      <c r="U95" s="1030"/>
      <c r="V95" s="1030"/>
      <c r="W95" s="1030"/>
      <c r="X95" s="1030"/>
      <c r="Y95" s="1030"/>
      <c r="Z95" s="1030"/>
    </row>
    <row r="96" spans="1:26" ht="12.75" customHeight="1" outlineLevel="1">
      <c r="A96" s="1061">
        <v>81</v>
      </c>
      <c r="B96" s="1051" t="s">
        <v>3382</v>
      </c>
      <c r="C96" s="1066" t="s">
        <v>3342</v>
      </c>
      <c r="D96" s="1035" t="s">
        <v>3398</v>
      </c>
      <c r="E96" s="1035" t="s">
        <v>3388</v>
      </c>
      <c r="F96" s="1073" t="s">
        <v>3414</v>
      </c>
      <c r="G96" s="1068">
        <f t="shared" si="4"/>
        <v>200</v>
      </c>
      <c r="H96" s="1035"/>
      <c r="I96" s="1062">
        <v>2</v>
      </c>
      <c r="J96" s="1087"/>
      <c r="K96" s="1068">
        <f t="shared" si="2"/>
        <v>400</v>
      </c>
      <c r="L96" s="1030"/>
      <c r="M96" s="1030"/>
      <c r="N96" s="1030"/>
      <c r="O96" s="1030"/>
      <c r="P96" s="1030"/>
      <c r="Q96" s="1030"/>
      <c r="R96" s="1030"/>
      <c r="S96" s="1030"/>
      <c r="T96" s="1030"/>
      <c r="U96" s="1030"/>
      <c r="V96" s="1030"/>
      <c r="W96" s="1030"/>
      <c r="X96" s="1030"/>
      <c r="Y96" s="1030"/>
      <c r="Z96" s="1030"/>
    </row>
    <row r="97" spans="1:26" ht="12.75" customHeight="1" outlineLevel="1">
      <c r="A97" s="1061">
        <v>82</v>
      </c>
      <c r="B97" s="1051" t="s">
        <v>3382</v>
      </c>
      <c r="C97" s="1066" t="s">
        <v>3342</v>
      </c>
      <c r="D97" s="1035" t="s">
        <v>3405</v>
      </c>
      <c r="E97" s="1035" t="s">
        <v>3388</v>
      </c>
      <c r="F97" s="1073" t="s">
        <v>3414</v>
      </c>
      <c r="G97" s="1068">
        <f t="shared" si="4"/>
        <v>200</v>
      </c>
      <c r="H97" s="1035"/>
      <c r="I97" s="1062">
        <v>2.5</v>
      </c>
      <c r="J97" s="1087"/>
      <c r="K97" s="1068">
        <f t="shared" si="2"/>
        <v>500</v>
      </c>
      <c r="L97" s="1030"/>
      <c r="M97" s="1030"/>
      <c r="N97" s="1030"/>
      <c r="O97" s="1030"/>
      <c r="P97" s="1030"/>
      <c r="Q97" s="1030"/>
      <c r="R97" s="1030"/>
      <c r="S97" s="1030"/>
      <c r="T97" s="1030"/>
      <c r="U97" s="1030"/>
      <c r="V97" s="1030"/>
      <c r="W97" s="1030"/>
      <c r="X97" s="1030"/>
      <c r="Y97" s="1030"/>
      <c r="Z97" s="1030"/>
    </row>
    <row r="98" spans="1:26" ht="12.75" customHeight="1" outlineLevel="1">
      <c r="A98" s="1061">
        <v>83</v>
      </c>
      <c r="B98" s="1051" t="s">
        <v>3382</v>
      </c>
      <c r="C98" s="1066" t="s">
        <v>3342</v>
      </c>
      <c r="D98" s="1035" t="s">
        <v>3408</v>
      </c>
      <c r="E98" s="1035" t="s">
        <v>3393</v>
      </c>
      <c r="F98" s="1073" t="s">
        <v>3414</v>
      </c>
      <c r="G98" s="1068">
        <f t="shared" si="4"/>
        <v>100</v>
      </c>
      <c r="H98" s="1074"/>
      <c r="I98" s="1062">
        <v>2.5</v>
      </c>
      <c r="J98" s="1071"/>
      <c r="K98" s="1072">
        <f t="shared" si="2"/>
        <v>250</v>
      </c>
      <c r="L98" s="1030"/>
      <c r="M98" s="1030"/>
      <c r="N98" s="1030"/>
      <c r="O98" s="1030"/>
      <c r="P98" s="1030"/>
      <c r="Q98" s="1030"/>
      <c r="R98" s="1030"/>
      <c r="S98" s="1030"/>
      <c r="T98" s="1030"/>
      <c r="U98" s="1030"/>
      <c r="V98" s="1030"/>
      <c r="W98" s="1030"/>
      <c r="X98" s="1030"/>
      <c r="Y98" s="1030"/>
      <c r="Z98" s="1030"/>
    </row>
    <row r="99" spans="1:26" ht="12.75" customHeight="1" outlineLevel="1">
      <c r="A99" s="1061">
        <v>84</v>
      </c>
      <c r="B99" s="1051" t="s">
        <v>3382</v>
      </c>
      <c r="C99" s="1066" t="s">
        <v>3342</v>
      </c>
      <c r="D99" s="1035" t="s">
        <v>3400</v>
      </c>
      <c r="E99" s="1035" t="s">
        <v>3388</v>
      </c>
      <c r="F99" s="1073" t="s">
        <v>3414</v>
      </c>
      <c r="G99" s="1068">
        <f t="shared" si="4"/>
        <v>200</v>
      </c>
      <c r="H99" s="1035"/>
      <c r="I99" s="1062">
        <v>2.5</v>
      </c>
      <c r="J99" s="1087"/>
      <c r="K99" s="1068">
        <f t="shared" si="2"/>
        <v>500</v>
      </c>
      <c r="L99" s="1030"/>
      <c r="M99" s="1030"/>
      <c r="N99" s="1030"/>
      <c r="O99" s="1030"/>
      <c r="P99" s="1030"/>
      <c r="Q99" s="1030"/>
      <c r="R99" s="1030"/>
      <c r="S99" s="1030"/>
      <c r="T99" s="1030"/>
      <c r="U99" s="1030"/>
      <c r="V99" s="1030"/>
      <c r="W99" s="1030"/>
      <c r="X99" s="1030"/>
      <c r="Y99" s="1030"/>
      <c r="Z99" s="1030"/>
    </row>
    <row r="100" spans="1:26" ht="12.75" customHeight="1" outlineLevel="1">
      <c r="A100" s="1061">
        <v>85</v>
      </c>
      <c r="B100" s="1051" t="s">
        <v>3382</v>
      </c>
      <c r="C100" s="1066" t="s">
        <v>3342</v>
      </c>
      <c r="D100" s="1035" t="s">
        <v>2802</v>
      </c>
      <c r="E100" s="1035" t="s">
        <v>3388</v>
      </c>
      <c r="F100" s="1073" t="s">
        <v>3414</v>
      </c>
      <c r="G100" s="1068">
        <f t="shared" si="4"/>
        <v>200</v>
      </c>
      <c r="H100" s="1035"/>
      <c r="I100" s="1062">
        <v>2.5</v>
      </c>
      <c r="J100" s="1087"/>
      <c r="K100" s="1068">
        <f t="shared" si="2"/>
        <v>500</v>
      </c>
      <c r="L100" s="1039"/>
      <c r="M100" s="1030"/>
      <c r="N100" s="1030"/>
      <c r="O100" s="1030"/>
      <c r="P100" s="1030"/>
      <c r="Q100" s="1030"/>
      <c r="R100" s="1030"/>
      <c r="S100" s="1030"/>
      <c r="T100" s="1030"/>
      <c r="U100" s="1030"/>
      <c r="V100" s="1030"/>
      <c r="W100" s="1030"/>
      <c r="X100" s="1030"/>
      <c r="Y100" s="1030"/>
      <c r="Z100" s="1030"/>
    </row>
    <row r="101" spans="1:26" ht="12.75" customHeight="1" outlineLevel="1">
      <c r="A101" s="1061">
        <v>86</v>
      </c>
      <c r="B101" s="1051" t="s">
        <v>3382</v>
      </c>
      <c r="C101" s="1066" t="s">
        <v>3342</v>
      </c>
      <c r="D101" s="1035" t="s">
        <v>3407</v>
      </c>
      <c r="E101" s="1035" t="s">
        <v>3409</v>
      </c>
      <c r="F101" s="1073" t="s">
        <v>3414</v>
      </c>
      <c r="G101" s="1068">
        <f t="shared" si="4"/>
        <v>150</v>
      </c>
      <c r="H101" s="1035"/>
      <c r="I101" s="1062">
        <v>2.5</v>
      </c>
      <c r="J101" s="1087"/>
      <c r="K101" s="1068">
        <f t="shared" si="2"/>
        <v>375</v>
      </c>
      <c r="L101" s="1039"/>
      <c r="M101" s="1030"/>
      <c r="N101" s="1030"/>
      <c r="O101" s="1030"/>
      <c r="P101" s="1030"/>
      <c r="Q101" s="1030"/>
      <c r="R101" s="1030"/>
      <c r="S101" s="1030"/>
      <c r="T101" s="1030"/>
      <c r="U101" s="1030"/>
      <c r="V101" s="1030"/>
      <c r="W101" s="1030"/>
      <c r="X101" s="1030"/>
      <c r="Y101" s="1030"/>
      <c r="Z101" s="1030"/>
    </row>
    <row r="102" spans="1:26" ht="12.75" customHeight="1">
      <c r="A102" s="1061"/>
      <c r="B102" s="1039"/>
      <c r="C102" s="1039"/>
      <c r="D102" s="1088" t="s">
        <v>3416</v>
      </c>
      <c r="E102" s="1089"/>
      <c r="F102" s="1089"/>
      <c r="G102" s="1089"/>
      <c r="H102" s="1090"/>
      <c r="I102" s="1089"/>
      <c r="J102" s="1089"/>
      <c r="K102" s="1091">
        <f>SUM(K15:K101)</f>
        <v>55675</v>
      </c>
      <c r="L102" s="1030"/>
      <c r="M102" s="1030"/>
      <c r="N102" s="1030"/>
      <c r="O102" s="1030"/>
      <c r="P102" s="1030"/>
      <c r="Q102" s="1030"/>
      <c r="R102" s="1030"/>
      <c r="S102" s="1030"/>
      <c r="T102" s="1030"/>
      <c r="U102" s="1030"/>
      <c r="V102" s="1030"/>
      <c r="W102" s="1030"/>
      <c r="X102" s="1030"/>
      <c r="Y102" s="1030"/>
      <c r="Z102" s="1030"/>
    </row>
    <row r="103" spans="1:26" ht="12.75" customHeight="1">
      <c r="A103" s="1061"/>
      <c r="B103" s="1039"/>
      <c r="C103" s="1039"/>
      <c r="D103" s="1092"/>
      <c r="E103" s="1092"/>
      <c r="F103" s="1092"/>
      <c r="G103" s="1092"/>
      <c r="H103" s="1093"/>
      <c r="I103" s="1092"/>
      <c r="J103" s="1092"/>
      <c r="K103" s="1094"/>
      <c r="L103" s="1030"/>
      <c r="M103" s="1030"/>
      <c r="N103" s="1030"/>
      <c r="O103" s="1030"/>
      <c r="P103" s="1030"/>
      <c r="Q103" s="1030"/>
      <c r="R103" s="1030"/>
      <c r="S103" s="1030"/>
      <c r="T103" s="1030"/>
      <c r="U103" s="1030"/>
      <c r="V103" s="1030"/>
      <c r="W103" s="1030"/>
      <c r="X103" s="1030"/>
      <c r="Y103" s="1030"/>
      <c r="Z103" s="1030"/>
    </row>
    <row r="104" spans="1:26" ht="12.75" customHeight="1">
      <c r="A104" s="1061"/>
      <c r="B104" s="1030"/>
      <c r="C104" s="1030"/>
      <c r="D104" s="1095" t="s">
        <v>3417</v>
      </c>
      <c r="E104" s="1031"/>
      <c r="F104" s="1031"/>
      <c r="G104" s="1031"/>
      <c r="H104" s="1031"/>
      <c r="I104" s="1032"/>
      <c r="J104" s="1031"/>
      <c r="K104" s="1033"/>
      <c r="L104" s="1030"/>
      <c r="M104" s="1030"/>
      <c r="N104" s="1030"/>
      <c r="O104" s="1030"/>
      <c r="P104" s="1030"/>
      <c r="Q104" s="1030"/>
      <c r="R104" s="1030"/>
      <c r="S104" s="1030"/>
      <c r="T104" s="1030"/>
      <c r="U104" s="1030"/>
      <c r="V104" s="1030"/>
      <c r="W104" s="1030"/>
      <c r="X104" s="1030"/>
      <c r="Y104" s="1030"/>
      <c r="Z104" s="1030"/>
    </row>
    <row r="105" spans="1:26" ht="27.75" customHeight="1">
      <c r="A105" s="1061"/>
      <c r="B105" s="1062" t="s">
        <v>3373</v>
      </c>
      <c r="C105" s="1063" t="s">
        <v>3374</v>
      </c>
      <c r="D105" s="1064" t="s">
        <v>3418</v>
      </c>
      <c r="E105" s="1096" t="s">
        <v>3419</v>
      </c>
      <c r="F105" s="1064" t="s">
        <v>3377</v>
      </c>
      <c r="G105" s="1064"/>
      <c r="H105" s="1064"/>
      <c r="I105" s="1064" t="s">
        <v>3420</v>
      </c>
      <c r="J105" s="1064" t="s">
        <v>3420</v>
      </c>
      <c r="K105" s="1097" t="s">
        <v>3421</v>
      </c>
      <c r="L105" s="1030"/>
      <c r="M105" s="1030"/>
      <c r="N105" s="1030"/>
      <c r="O105" s="1030"/>
      <c r="P105" s="1030"/>
      <c r="Q105" s="1030"/>
      <c r="R105" s="1030"/>
      <c r="S105" s="1030"/>
      <c r="T105" s="1030"/>
      <c r="U105" s="1030"/>
      <c r="V105" s="1030"/>
      <c r="W105" s="1030"/>
      <c r="X105" s="1030"/>
      <c r="Y105" s="1030"/>
      <c r="Z105" s="1030"/>
    </row>
    <row r="106" spans="1:26" ht="12.75" customHeight="1">
      <c r="A106" s="1098"/>
      <c r="B106" s="1051" t="s">
        <v>3419</v>
      </c>
      <c r="C106" s="1066" t="s">
        <v>3342</v>
      </c>
      <c r="D106" s="1099" t="s">
        <v>122</v>
      </c>
      <c r="E106" s="1035"/>
      <c r="F106" s="1100"/>
      <c r="G106" s="1100"/>
      <c r="H106" s="1100"/>
      <c r="I106" s="1035"/>
      <c r="J106" s="1035"/>
      <c r="K106" s="1101">
        <f>(2160+2160)</f>
        <v>4320</v>
      </c>
      <c r="L106" s="1102" t="s">
        <v>3422</v>
      </c>
      <c r="M106" s="1103"/>
      <c r="N106" s="1103"/>
      <c r="O106" s="1103"/>
      <c r="P106" s="1103"/>
      <c r="Q106" s="1103"/>
      <c r="R106" s="1103"/>
      <c r="S106" s="1103"/>
      <c r="T106" s="1103"/>
      <c r="U106" s="1103"/>
      <c r="V106" s="1103"/>
      <c r="W106" s="1103"/>
      <c r="X106" s="1103"/>
      <c r="Y106" s="1103"/>
      <c r="Z106" s="1103"/>
    </row>
    <row r="107" spans="1:26" ht="12.75" customHeight="1">
      <c r="A107" s="1098"/>
      <c r="B107" s="1104"/>
      <c r="C107" s="1105"/>
      <c r="D107" s="1106"/>
      <c r="E107" s="1106"/>
      <c r="F107" s="1106"/>
      <c r="G107" s="1106"/>
      <c r="H107" s="1107"/>
      <c r="I107" s="1106"/>
      <c r="J107" s="1106"/>
      <c r="K107" s="1108"/>
      <c r="L107" s="1103"/>
      <c r="M107" s="1103"/>
      <c r="N107" s="1103"/>
      <c r="O107" s="1103"/>
      <c r="P107" s="1103"/>
      <c r="Q107" s="1103"/>
      <c r="R107" s="1103"/>
      <c r="S107" s="1103"/>
      <c r="T107" s="1103"/>
      <c r="U107" s="1103"/>
      <c r="V107" s="1103"/>
      <c r="W107" s="1103"/>
      <c r="X107" s="1103"/>
      <c r="Y107" s="1103"/>
      <c r="Z107" s="1103"/>
    </row>
    <row r="108" spans="1:26" ht="12.75" customHeight="1">
      <c r="A108" s="1098"/>
      <c r="B108" s="1062" t="s">
        <v>3373</v>
      </c>
      <c r="C108" s="1063" t="s">
        <v>3374</v>
      </c>
      <c r="D108" s="1064" t="s">
        <v>3418</v>
      </c>
      <c r="E108" s="1109" t="s">
        <v>3339</v>
      </c>
      <c r="F108" s="1110" t="s">
        <v>3423</v>
      </c>
      <c r="G108" s="1109" t="s">
        <v>3424</v>
      </c>
      <c r="H108" s="1109" t="s">
        <v>24</v>
      </c>
      <c r="I108" s="1109" t="s">
        <v>3425</v>
      </c>
      <c r="J108" s="1111" t="s">
        <v>3426</v>
      </c>
      <c r="K108" s="1045" t="s">
        <v>3381</v>
      </c>
      <c r="L108" s="1103" t="s">
        <v>3427</v>
      </c>
      <c r="M108" s="1103"/>
      <c r="N108" s="1103"/>
      <c r="O108" s="1103"/>
      <c r="P108" s="1103"/>
      <c r="Q108" s="1103"/>
      <c r="R108" s="1103"/>
      <c r="S108" s="1103"/>
      <c r="T108" s="1103"/>
      <c r="U108" s="1103"/>
      <c r="V108" s="1103"/>
      <c r="W108" s="1103"/>
      <c r="X108" s="1103"/>
      <c r="Y108" s="1103"/>
      <c r="Z108" s="1103"/>
    </row>
    <row r="109" spans="1:26" ht="12.75" customHeight="1">
      <c r="A109" s="1098">
        <v>1</v>
      </c>
      <c r="B109" s="1051" t="s">
        <v>3428</v>
      </c>
      <c r="C109" s="1112" t="s">
        <v>3342</v>
      </c>
      <c r="D109" s="1113" t="s">
        <v>122</v>
      </c>
      <c r="E109" s="1114"/>
      <c r="F109" s="1073" t="s">
        <v>3384</v>
      </c>
      <c r="G109" s="1035" t="s">
        <v>3429</v>
      </c>
      <c r="H109" s="1115" t="s">
        <v>3385</v>
      </c>
      <c r="I109" s="1116">
        <v>120</v>
      </c>
      <c r="J109" s="1117">
        <v>0.3</v>
      </c>
      <c r="K109" s="1118">
        <f t="shared" ref="K109:K134" si="5">I109*J109</f>
        <v>36</v>
      </c>
      <c r="L109" s="1103" t="s">
        <v>3430</v>
      </c>
      <c r="M109" s="1103"/>
      <c r="N109" s="1103"/>
      <c r="O109" s="1103"/>
      <c r="P109" s="1103"/>
      <c r="Q109" s="1103"/>
      <c r="R109" s="1103"/>
      <c r="S109" s="1103"/>
      <c r="T109" s="1103"/>
      <c r="U109" s="1103"/>
      <c r="V109" s="1103"/>
      <c r="W109" s="1103"/>
      <c r="X109" s="1103"/>
      <c r="Y109" s="1103"/>
      <c r="Z109" s="1103"/>
    </row>
    <row r="110" spans="1:26" ht="12.75" customHeight="1">
      <c r="A110" s="1098">
        <v>2</v>
      </c>
      <c r="B110" s="1051" t="s">
        <v>3428</v>
      </c>
      <c r="C110" s="1119" t="s">
        <v>3342</v>
      </c>
      <c r="D110" s="1113" t="s">
        <v>122</v>
      </c>
      <c r="E110" s="1120"/>
      <c r="F110" s="1073" t="s">
        <v>3384</v>
      </c>
      <c r="G110" s="1035" t="s">
        <v>3431</v>
      </c>
      <c r="H110" s="1121" t="s">
        <v>3385</v>
      </c>
      <c r="I110" s="1116">
        <v>206</v>
      </c>
      <c r="J110" s="1122">
        <v>0.3</v>
      </c>
      <c r="K110" s="1118">
        <f t="shared" si="5"/>
        <v>61.8</v>
      </c>
      <c r="L110" s="1103" t="s">
        <v>3432</v>
      </c>
      <c r="M110" s="1103"/>
      <c r="N110" s="1103"/>
      <c r="O110" s="1103"/>
      <c r="P110" s="1103"/>
      <c r="Q110" s="1103"/>
      <c r="R110" s="1103"/>
      <c r="S110" s="1103"/>
      <c r="T110" s="1103"/>
      <c r="U110" s="1103"/>
      <c r="V110" s="1103"/>
      <c r="W110" s="1103"/>
      <c r="X110" s="1103"/>
      <c r="Y110" s="1103"/>
      <c r="Z110" s="1103"/>
    </row>
    <row r="111" spans="1:26" ht="12.75" customHeight="1">
      <c r="A111" s="1098">
        <v>3</v>
      </c>
      <c r="B111" s="1051" t="s">
        <v>3428</v>
      </c>
      <c r="C111" s="1119" t="s">
        <v>3342</v>
      </c>
      <c r="D111" s="1113" t="s">
        <v>122</v>
      </c>
      <c r="E111" s="1120"/>
      <c r="F111" s="1073" t="s">
        <v>3384</v>
      </c>
      <c r="G111" s="1035" t="s">
        <v>3433</v>
      </c>
      <c r="H111" s="1121" t="s">
        <v>3385</v>
      </c>
      <c r="I111" s="1116">
        <v>358</v>
      </c>
      <c r="J111" s="1122">
        <v>0.3</v>
      </c>
      <c r="K111" s="1118">
        <f t="shared" si="5"/>
        <v>107.39999999999999</v>
      </c>
      <c r="L111" s="1103" t="s">
        <v>3434</v>
      </c>
      <c r="M111" s="1103"/>
      <c r="N111" s="1103"/>
      <c r="O111" s="1103"/>
      <c r="P111" s="1103"/>
      <c r="Q111" s="1103"/>
      <c r="R111" s="1103"/>
      <c r="S111" s="1103"/>
      <c r="T111" s="1103"/>
      <c r="U111" s="1103"/>
      <c r="V111" s="1103"/>
      <c r="W111" s="1103"/>
      <c r="X111" s="1103"/>
      <c r="Y111" s="1103"/>
      <c r="Z111" s="1103"/>
    </row>
    <row r="112" spans="1:26" ht="12.75" customHeight="1">
      <c r="A112" s="1098">
        <v>4</v>
      </c>
      <c r="B112" s="1051" t="s">
        <v>3428</v>
      </c>
      <c r="C112" s="1119" t="s">
        <v>3342</v>
      </c>
      <c r="D112" s="1113" t="s">
        <v>122</v>
      </c>
      <c r="E112" s="1120"/>
      <c r="F112" s="1073" t="s">
        <v>3384</v>
      </c>
      <c r="G112" s="1035" t="s">
        <v>3435</v>
      </c>
      <c r="H112" s="1123" t="s">
        <v>3385</v>
      </c>
      <c r="I112" s="1116">
        <f>25*2</f>
        <v>50</v>
      </c>
      <c r="J112" s="1122">
        <v>0.3</v>
      </c>
      <c r="K112" s="1118">
        <f t="shared" si="5"/>
        <v>15</v>
      </c>
      <c r="L112" s="1103"/>
      <c r="M112" s="1103"/>
      <c r="N112" s="1103"/>
      <c r="O112" s="1103"/>
      <c r="P112" s="1103"/>
      <c r="Q112" s="1103"/>
      <c r="R112" s="1103"/>
      <c r="S112" s="1103"/>
      <c r="T112" s="1103"/>
      <c r="U112" s="1103"/>
      <c r="V112" s="1103"/>
      <c r="W112" s="1103"/>
      <c r="X112" s="1103"/>
      <c r="Y112" s="1103"/>
      <c r="Z112" s="1103"/>
    </row>
    <row r="113" spans="1:26" ht="12.75" customHeight="1">
      <c r="A113" s="1098">
        <v>5</v>
      </c>
      <c r="B113" s="1051" t="s">
        <v>3428</v>
      </c>
      <c r="C113" s="1119" t="s">
        <v>3342</v>
      </c>
      <c r="D113" s="1113" t="s">
        <v>122</v>
      </c>
      <c r="E113" s="1120"/>
      <c r="F113" s="1073" t="s">
        <v>3384</v>
      </c>
      <c r="G113" s="1035" t="s">
        <v>3436</v>
      </c>
      <c r="H113" s="1123" t="s">
        <v>3385</v>
      </c>
      <c r="I113" s="1116">
        <v>210</v>
      </c>
      <c r="J113" s="1122">
        <v>0.3</v>
      </c>
      <c r="K113" s="1118">
        <f t="shared" si="5"/>
        <v>63</v>
      </c>
      <c r="L113" s="1103"/>
      <c r="M113" s="1103"/>
      <c r="N113" s="1103"/>
      <c r="O113" s="1103"/>
      <c r="P113" s="1103"/>
      <c r="Q113" s="1103"/>
      <c r="R113" s="1103"/>
      <c r="S113" s="1103"/>
      <c r="T113" s="1103"/>
      <c r="U113" s="1103"/>
      <c r="V113" s="1103"/>
      <c r="W113" s="1103"/>
      <c r="X113" s="1103"/>
      <c r="Y113" s="1103"/>
      <c r="Z113" s="1103"/>
    </row>
    <row r="114" spans="1:26" ht="12.75" customHeight="1">
      <c r="A114" s="1098">
        <v>6</v>
      </c>
      <c r="B114" s="1051" t="s">
        <v>3428</v>
      </c>
      <c r="C114" s="1119" t="s">
        <v>3342</v>
      </c>
      <c r="D114" s="1113" t="s">
        <v>122</v>
      </c>
      <c r="E114" s="1120"/>
      <c r="F114" s="1073" t="s">
        <v>3384</v>
      </c>
      <c r="G114" s="1035" t="s">
        <v>3437</v>
      </c>
      <c r="H114" s="1123" t="s">
        <v>3385</v>
      </c>
      <c r="I114" s="1116">
        <v>0</v>
      </c>
      <c r="J114" s="1122">
        <v>0</v>
      </c>
      <c r="K114" s="1118">
        <f t="shared" si="5"/>
        <v>0</v>
      </c>
      <c r="L114" s="1124"/>
      <c r="M114" s="1124"/>
      <c r="N114" s="1124"/>
      <c r="O114" s="1124"/>
      <c r="P114" s="1124"/>
      <c r="Q114" s="1124"/>
      <c r="R114" s="1124"/>
      <c r="S114" s="1124"/>
      <c r="T114" s="1124"/>
      <c r="U114" s="1124"/>
      <c r="V114" s="1124"/>
      <c r="W114" s="1124"/>
      <c r="X114" s="1124"/>
      <c r="Y114" s="1124"/>
      <c r="Z114" s="1124"/>
    </row>
    <row r="115" spans="1:26" ht="12.75" customHeight="1">
      <c r="A115" s="1098">
        <v>7</v>
      </c>
      <c r="B115" s="1051" t="s">
        <v>3428</v>
      </c>
      <c r="C115" s="1119" t="s">
        <v>3342</v>
      </c>
      <c r="D115" s="1113" t="s">
        <v>122</v>
      </c>
      <c r="E115" s="1120"/>
      <c r="F115" s="1073" t="s">
        <v>3384</v>
      </c>
      <c r="G115" s="1035" t="s">
        <v>3438</v>
      </c>
      <c r="H115" s="1123" t="s">
        <v>3385</v>
      </c>
      <c r="I115" s="1116">
        <v>200</v>
      </c>
      <c r="J115" s="1122">
        <v>0.3</v>
      </c>
      <c r="K115" s="1118">
        <f t="shared" si="5"/>
        <v>60</v>
      </c>
      <c r="L115" s="1124"/>
      <c r="M115" s="1124"/>
      <c r="N115" s="1124"/>
      <c r="O115" s="1124"/>
      <c r="P115" s="1124"/>
      <c r="Q115" s="1124"/>
      <c r="R115" s="1124"/>
      <c r="S115" s="1124"/>
      <c r="T115" s="1124"/>
      <c r="U115" s="1124"/>
      <c r="V115" s="1124"/>
      <c r="W115" s="1124"/>
      <c r="X115" s="1124"/>
      <c r="Y115" s="1124"/>
      <c r="Z115" s="1124"/>
    </row>
    <row r="116" spans="1:26" ht="12.75" customHeight="1">
      <c r="A116" s="1098">
        <v>8</v>
      </c>
      <c r="B116" s="1051" t="s">
        <v>3428</v>
      </c>
      <c r="C116" s="1119" t="s">
        <v>3342</v>
      </c>
      <c r="D116" s="1113" t="s">
        <v>122</v>
      </c>
      <c r="E116" s="1120"/>
      <c r="F116" s="1073" t="s">
        <v>3384</v>
      </c>
      <c r="G116" s="1035" t="s">
        <v>3439</v>
      </c>
      <c r="H116" s="1123" t="s">
        <v>3385</v>
      </c>
      <c r="I116" s="1116">
        <v>400</v>
      </c>
      <c r="J116" s="1122">
        <v>0.3</v>
      </c>
      <c r="K116" s="1118">
        <f t="shared" si="5"/>
        <v>120</v>
      </c>
      <c r="L116" s="1124"/>
      <c r="M116" s="1124"/>
      <c r="N116" s="1124"/>
      <c r="O116" s="1124"/>
      <c r="P116" s="1124"/>
      <c r="Q116" s="1124"/>
      <c r="R116" s="1124"/>
      <c r="S116" s="1124"/>
      <c r="T116" s="1124"/>
      <c r="U116" s="1124"/>
      <c r="V116" s="1124"/>
      <c r="W116" s="1124"/>
      <c r="X116" s="1124"/>
      <c r="Y116" s="1124"/>
      <c r="Z116" s="1124"/>
    </row>
    <row r="117" spans="1:26" ht="12.75" customHeight="1">
      <c r="A117" s="1098">
        <v>9</v>
      </c>
      <c r="B117" s="1125" t="s">
        <v>3428</v>
      </c>
      <c r="C117" s="1126" t="s">
        <v>3342</v>
      </c>
      <c r="D117" s="1127" t="s">
        <v>122</v>
      </c>
      <c r="E117" s="1128"/>
      <c r="F117" s="1129" t="s">
        <v>3384</v>
      </c>
      <c r="G117" s="1130" t="s">
        <v>3440</v>
      </c>
      <c r="H117" s="1121" t="s">
        <v>3385</v>
      </c>
      <c r="I117" s="1116">
        <v>96</v>
      </c>
      <c r="J117" s="1131">
        <v>0.3</v>
      </c>
      <c r="K117" s="1118">
        <f t="shared" si="5"/>
        <v>28.799999999999997</v>
      </c>
      <c r="L117" s="1124"/>
      <c r="M117" s="1124"/>
      <c r="N117" s="1124"/>
      <c r="O117" s="1124"/>
      <c r="P117" s="1124"/>
      <c r="Q117" s="1124"/>
      <c r="R117" s="1124"/>
      <c r="S117" s="1124"/>
      <c r="T117" s="1124"/>
      <c r="U117" s="1124"/>
      <c r="V117" s="1124"/>
      <c r="W117" s="1124"/>
      <c r="X117" s="1124"/>
      <c r="Y117" s="1124"/>
      <c r="Z117" s="1124"/>
    </row>
    <row r="118" spans="1:26" ht="12.75" customHeight="1">
      <c r="A118" s="1098">
        <v>10</v>
      </c>
      <c r="B118" s="1125" t="s">
        <v>3428</v>
      </c>
      <c r="C118" s="1126" t="s">
        <v>3342</v>
      </c>
      <c r="D118" s="1127" t="s">
        <v>122</v>
      </c>
      <c r="E118" s="1128"/>
      <c r="F118" s="1129" t="s">
        <v>3384</v>
      </c>
      <c r="G118" s="1130" t="s">
        <v>3441</v>
      </c>
      <c r="H118" s="1121" t="s">
        <v>3385</v>
      </c>
      <c r="I118" s="1116">
        <f>170*2</f>
        <v>340</v>
      </c>
      <c r="J118" s="1131">
        <v>0.3</v>
      </c>
      <c r="K118" s="1118">
        <f t="shared" si="5"/>
        <v>102</v>
      </c>
      <c r="L118" s="1124"/>
      <c r="M118" s="1124"/>
      <c r="N118" s="1124"/>
      <c r="O118" s="1124"/>
      <c r="P118" s="1124"/>
      <c r="Q118" s="1124"/>
      <c r="R118" s="1124"/>
      <c r="S118" s="1124"/>
      <c r="T118" s="1124"/>
      <c r="U118" s="1124"/>
      <c r="V118" s="1124"/>
      <c r="W118" s="1124"/>
      <c r="X118" s="1124"/>
      <c r="Y118" s="1124"/>
      <c r="Z118" s="1124"/>
    </row>
    <row r="119" spans="1:26" ht="12.75" customHeight="1">
      <c r="A119" s="1098">
        <v>11</v>
      </c>
      <c r="B119" s="1125" t="s">
        <v>3428</v>
      </c>
      <c r="C119" s="1126" t="s">
        <v>3342</v>
      </c>
      <c r="D119" s="1127" t="s">
        <v>122</v>
      </c>
      <c r="E119" s="1128"/>
      <c r="F119" s="1129" t="s">
        <v>3384</v>
      </c>
      <c r="G119" s="1130" t="s">
        <v>3442</v>
      </c>
      <c r="H119" s="1121" t="s">
        <v>3385</v>
      </c>
      <c r="I119" s="1116">
        <f>328*2</f>
        <v>656</v>
      </c>
      <c r="J119" s="1131">
        <v>0.3</v>
      </c>
      <c r="K119" s="1118">
        <f t="shared" si="5"/>
        <v>196.79999999999998</v>
      </c>
      <c r="L119" s="1124"/>
      <c r="M119" s="1124"/>
      <c r="N119" s="1124"/>
      <c r="O119" s="1124"/>
      <c r="P119" s="1124"/>
      <c r="Q119" s="1124"/>
      <c r="R119" s="1124"/>
      <c r="S119" s="1124"/>
      <c r="T119" s="1124"/>
      <c r="U119" s="1124"/>
      <c r="V119" s="1124"/>
      <c r="W119" s="1124"/>
      <c r="X119" s="1124"/>
      <c r="Y119" s="1124"/>
      <c r="Z119" s="1124"/>
    </row>
    <row r="120" spans="1:26" ht="12.75" customHeight="1">
      <c r="A120" s="1098">
        <v>12</v>
      </c>
      <c r="B120" s="1125" t="s">
        <v>3428</v>
      </c>
      <c r="C120" s="1126" t="s">
        <v>3342</v>
      </c>
      <c r="D120" s="1127" t="s">
        <v>122</v>
      </c>
      <c r="E120" s="1132"/>
      <c r="F120" s="1129" t="s">
        <v>3384</v>
      </c>
      <c r="G120" s="1130" t="s">
        <v>3443</v>
      </c>
      <c r="H120" s="1121" t="s">
        <v>3385</v>
      </c>
      <c r="I120" s="1116">
        <v>480</v>
      </c>
      <c r="J120" s="1131">
        <v>0.3</v>
      </c>
      <c r="K120" s="1118">
        <f t="shared" si="5"/>
        <v>144</v>
      </c>
      <c r="L120" s="1124"/>
      <c r="M120" s="1124"/>
      <c r="N120" s="1124"/>
      <c r="O120" s="1124"/>
      <c r="P120" s="1124"/>
      <c r="Q120" s="1124"/>
      <c r="R120" s="1124"/>
      <c r="S120" s="1124"/>
      <c r="T120" s="1124"/>
      <c r="U120" s="1124"/>
      <c r="V120" s="1124"/>
      <c r="W120" s="1124"/>
      <c r="X120" s="1124"/>
      <c r="Y120" s="1124"/>
      <c r="Z120" s="1124"/>
    </row>
    <row r="121" spans="1:26" ht="12.75" customHeight="1">
      <c r="A121" s="1098">
        <v>13</v>
      </c>
      <c r="B121" s="1125" t="s">
        <v>3428</v>
      </c>
      <c r="C121" s="1126" t="s">
        <v>3342</v>
      </c>
      <c r="D121" s="1127" t="s">
        <v>122</v>
      </c>
      <c r="E121" s="1132"/>
      <c r="F121" s="1129" t="s">
        <v>3384</v>
      </c>
      <c r="G121" s="1130" t="s">
        <v>3444</v>
      </c>
      <c r="H121" s="1121" t="s">
        <v>3385</v>
      </c>
      <c r="I121" s="1116">
        <v>314</v>
      </c>
      <c r="J121" s="1131">
        <v>0.3</v>
      </c>
      <c r="K121" s="1118">
        <f t="shared" si="5"/>
        <v>94.2</v>
      </c>
      <c r="L121" s="1124"/>
      <c r="M121" s="1124"/>
      <c r="N121" s="1124"/>
      <c r="O121" s="1124"/>
      <c r="P121" s="1124"/>
      <c r="Q121" s="1124"/>
      <c r="R121" s="1124"/>
      <c r="S121" s="1124"/>
      <c r="T121" s="1124"/>
      <c r="U121" s="1124"/>
      <c r="V121" s="1124"/>
      <c r="W121" s="1124"/>
      <c r="X121" s="1124"/>
      <c r="Y121" s="1124"/>
      <c r="Z121" s="1124"/>
    </row>
    <row r="122" spans="1:26" ht="12.75" customHeight="1">
      <c r="A122" s="1098">
        <v>14</v>
      </c>
      <c r="B122" s="1125" t="s">
        <v>3428</v>
      </c>
      <c r="C122" s="1126" t="s">
        <v>3342</v>
      </c>
      <c r="D122" s="1127" t="s">
        <v>122</v>
      </c>
      <c r="E122" s="1128"/>
      <c r="F122" s="1129" t="s">
        <v>3384</v>
      </c>
      <c r="G122" s="1130" t="s">
        <v>3445</v>
      </c>
      <c r="H122" s="1121" t="s">
        <v>3385</v>
      </c>
      <c r="I122" s="1116">
        <v>592</v>
      </c>
      <c r="J122" s="1131">
        <v>0.3</v>
      </c>
      <c r="K122" s="1118">
        <f t="shared" si="5"/>
        <v>177.6</v>
      </c>
      <c r="L122" s="1124"/>
      <c r="M122" s="1124"/>
      <c r="N122" s="1124"/>
      <c r="O122" s="1124"/>
      <c r="P122" s="1124"/>
      <c r="Q122" s="1124"/>
      <c r="R122" s="1124"/>
      <c r="S122" s="1124"/>
      <c r="T122" s="1124"/>
      <c r="U122" s="1124"/>
      <c r="V122" s="1124"/>
      <c r="W122" s="1124"/>
      <c r="X122" s="1124"/>
      <c r="Y122" s="1124"/>
      <c r="Z122" s="1124"/>
    </row>
    <row r="123" spans="1:26" ht="12.75" customHeight="1">
      <c r="A123" s="1098">
        <v>15</v>
      </c>
      <c r="B123" s="1125" t="s">
        <v>3428</v>
      </c>
      <c r="C123" s="1126" t="s">
        <v>3342</v>
      </c>
      <c r="D123" s="1127" t="s">
        <v>122</v>
      </c>
      <c r="E123" s="1128"/>
      <c r="F123" s="1129" t="s">
        <v>3384</v>
      </c>
      <c r="G123" s="1130" t="s">
        <v>3446</v>
      </c>
      <c r="H123" s="1121" t="s">
        <v>3385</v>
      </c>
      <c r="I123" s="1116">
        <v>200</v>
      </c>
      <c r="J123" s="1131">
        <v>0.3</v>
      </c>
      <c r="K123" s="1118">
        <f t="shared" si="5"/>
        <v>60</v>
      </c>
      <c r="L123" s="1124"/>
      <c r="M123" s="1124"/>
      <c r="N123" s="1124"/>
      <c r="O123" s="1124"/>
      <c r="P123" s="1124"/>
      <c r="Q123" s="1124"/>
      <c r="R123" s="1124"/>
      <c r="S123" s="1124"/>
      <c r="T123" s="1124"/>
      <c r="U123" s="1124"/>
      <c r="V123" s="1124"/>
      <c r="W123" s="1124"/>
      <c r="X123" s="1124"/>
      <c r="Y123" s="1124"/>
      <c r="Z123" s="1124"/>
    </row>
    <row r="124" spans="1:26" ht="12.75" customHeight="1">
      <c r="A124" s="1098">
        <v>16</v>
      </c>
      <c r="B124" s="1125" t="s">
        <v>3428</v>
      </c>
      <c r="C124" s="1126" t="s">
        <v>3342</v>
      </c>
      <c r="D124" s="1127" t="s">
        <v>122</v>
      </c>
      <c r="E124" s="1128"/>
      <c r="F124" s="1129" t="s">
        <v>3384</v>
      </c>
      <c r="G124" s="1130" t="s">
        <v>3447</v>
      </c>
      <c r="H124" s="1121" t="s">
        <v>3385</v>
      </c>
      <c r="I124" s="1116">
        <v>0</v>
      </c>
      <c r="J124" s="1131">
        <v>0</v>
      </c>
      <c r="K124" s="1118">
        <f t="shared" si="5"/>
        <v>0</v>
      </c>
      <c r="L124" s="1124"/>
      <c r="M124" s="1124"/>
      <c r="N124" s="1124"/>
      <c r="O124" s="1124"/>
      <c r="P124" s="1124"/>
      <c r="Q124" s="1124"/>
      <c r="R124" s="1124"/>
      <c r="S124" s="1124"/>
      <c r="T124" s="1124"/>
      <c r="U124" s="1124"/>
      <c r="V124" s="1124"/>
      <c r="W124" s="1124"/>
      <c r="X124" s="1124"/>
      <c r="Y124" s="1124"/>
      <c r="Z124" s="1124"/>
    </row>
    <row r="125" spans="1:26" ht="12.75" customHeight="1">
      <c r="A125" s="1098">
        <v>17</v>
      </c>
      <c r="B125" s="1125" t="s">
        <v>3428</v>
      </c>
      <c r="C125" s="1126" t="s">
        <v>3342</v>
      </c>
      <c r="D125" s="1127" t="s">
        <v>122</v>
      </c>
      <c r="E125" s="1128"/>
      <c r="F125" s="1129" t="s">
        <v>3384</v>
      </c>
      <c r="G125" s="1130" t="s">
        <v>3448</v>
      </c>
      <c r="H125" s="1121" t="s">
        <v>3385</v>
      </c>
      <c r="I125" s="1116">
        <v>494</v>
      </c>
      <c r="J125" s="1131">
        <v>0.3</v>
      </c>
      <c r="K125" s="1118">
        <f t="shared" si="5"/>
        <v>148.19999999999999</v>
      </c>
      <c r="L125" s="1124"/>
      <c r="M125" s="1124"/>
      <c r="N125" s="1124"/>
      <c r="O125" s="1124"/>
      <c r="P125" s="1124"/>
      <c r="Q125" s="1124"/>
      <c r="R125" s="1124"/>
      <c r="S125" s="1124"/>
      <c r="T125" s="1124"/>
      <c r="U125" s="1124"/>
      <c r="V125" s="1124"/>
      <c r="W125" s="1124"/>
      <c r="X125" s="1124"/>
      <c r="Y125" s="1124"/>
      <c r="Z125" s="1124"/>
    </row>
    <row r="126" spans="1:26" ht="12.75" customHeight="1">
      <c r="A126" s="1098">
        <v>18</v>
      </c>
      <c r="B126" s="1125" t="s">
        <v>3428</v>
      </c>
      <c r="C126" s="1126" t="s">
        <v>3342</v>
      </c>
      <c r="D126" s="1127" t="s">
        <v>122</v>
      </c>
      <c r="E126" s="1128"/>
      <c r="F126" s="1129" t="s">
        <v>3384</v>
      </c>
      <c r="G126" s="1130" t="s">
        <v>3449</v>
      </c>
      <c r="H126" s="1121" t="s">
        <v>3385</v>
      </c>
      <c r="I126" s="1116">
        <v>300</v>
      </c>
      <c r="J126" s="1131">
        <v>0.3</v>
      </c>
      <c r="K126" s="1118">
        <f t="shared" si="5"/>
        <v>90</v>
      </c>
      <c r="L126" s="1124"/>
      <c r="M126" s="1124"/>
      <c r="N126" s="1124"/>
      <c r="O126" s="1124"/>
      <c r="P126" s="1124"/>
      <c r="Q126" s="1124"/>
      <c r="R126" s="1124"/>
      <c r="S126" s="1124"/>
      <c r="T126" s="1124"/>
      <c r="U126" s="1124"/>
      <c r="V126" s="1124"/>
      <c r="W126" s="1124"/>
      <c r="X126" s="1124"/>
      <c r="Y126" s="1124"/>
      <c r="Z126" s="1124"/>
    </row>
    <row r="127" spans="1:26" ht="12.75" customHeight="1">
      <c r="A127" s="1098">
        <v>19</v>
      </c>
      <c r="B127" s="1125" t="s">
        <v>3428</v>
      </c>
      <c r="C127" s="1126" t="s">
        <v>3342</v>
      </c>
      <c r="D127" s="1127" t="s">
        <v>122</v>
      </c>
      <c r="E127" s="1128"/>
      <c r="F127" s="1129" t="s">
        <v>3384</v>
      </c>
      <c r="G127" s="1130" t="s">
        <v>3450</v>
      </c>
      <c r="H127" s="1121" t="s">
        <v>3385</v>
      </c>
      <c r="I127" s="1116">
        <f>68*2</f>
        <v>136</v>
      </c>
      <c r="J127" s="1131">
        <v>0.3</v>
      </c>
      <c r="K127" s="1118">
        <f t="shared" si="5"/>
        <v>40.799999999999997</v>
      </c>
      <c r="L127" s="1124"/>
      <c r="M127" s="1124"/>
      <c r="N127" s="1124"/>
      <c r="O127" s="1124"/>
      <c r="P127" s="1124"/>
      <c r="Q127" s="1124"/>
      <c r="R127" s="1124"/>
      <c r="S127" s="1124"/>
      <c r="T127" s="1124"/>
      <c r="U127" s="1124"/>
      <c r="V127" s="1124"/>
      <c r="W127" s="1124"/>
      <c r="X127" s="1124"/>
      <c r="Y127" s="1124"/>
      <c r="Z127" s="1124"/>
    </row>
    <row r="128" spans="1:26" ht="12.75" customHeight="1">
      <c r="A128" s="1098">
        <v>20</v>
      </c>
      <c r="B128" s="1125" t="s">
        <v>3428</v>
      </c>
      <c r="C128" s="1126" t="s">
        <v>3342</v>
      </c>
      <c r="D128" s="1127" t="s">
        <v>122</v>
      </c>
      <c r="E128" s="1128"/>
      <c r="F128" s="1129" t="s">
        <v>3384</v>
      </c>
      <c r="G128" s="1130" t="s">
        <v>3451</v>
      </c>
      <c r="H128" s="1121" t="s">
        <v>3385</v>
      </c>
      <c r="I128" s="1116">
        <v>68</v>
      </c>
      <c r="J128" s="1131">
        <v>0.3</v>
      </c>
      <c r="K128" s="1118">
        <f t="shared" si="5"/>
        <v>20.399999999999999</v>
      </c>
      <c r="L128" s="1124"/>
      <c r="M128" s="1124"/>
      <c r="N128" s="1124"/>
      <c r="O128" s="1124"/>
      <c r="P128" s="1124"/>
      <c r="Q128" s="1124"/>
      <c r="R128" s="1124"/>
      <c r="S128" s="1124"/>
      <c r="T128" s="1124"/>
      <c r="U128" s="1124"/>
      <c r="V128" s="1124"/>
      <c r="W128" s="1124"/>
      <c r="X128" s="1124"/>
      <c r="Y128" s="1124"/>
      <c r="Z128" s="1124"/>
    </row>
    <row r="129" spans="1:26" ht="12.75" customHeight="1">
      <c r="A129" s="1098">
        <v>21</v>
      </c>
      <c r="B129" s="1125" t="s">
        <v>3428</v>
      </c>
      <c r="C129" s="1126" t="s">
        <v>3342</v>
      </c>
      <c r="D129" s="1127" t="s">
        <v>122</v>
      </c>
      <c r="E129" s="1128"/>
      <c r="F129" s="1129" t="s">
        <v>3384</v>
      </c>
      <c r="G129" s="1130" t="s">
        <v>3452</v>
      </c>
      <c r="H129" s="1121" t="s">
        <v>3385</v>
      </c>
      <c r="I129" s="1116">
        <v>244</v>
      </c>
      <c r="J129" s="1131">
        <v>0.3</v>
      </c>
      <c r="K129" s="1118">
        <f t="shared" si="5"/>
        <v>73.2</v>
      </c>
      <c r="L129" s="1124"/>
      <c r="M129" s="1124"/>
      <c r="N129" s="1124"/>
      <c r="O129" s="1124"/>
      <c r="P129" s="1124"/>
      <c r="Q129" s="1124"/>
      <c r="R129" s="1124"/>
      <c r="S129" s="1124"/>
      <c r="T129" s="1124"/>
      <c r="U129" s="1124"/>
      <c r="V129" s="1124"/>
      <c r="W129" s="1124"/>
      <c r="X129" s="1124"/>
      <c r="Y129" s="1124"/>
      <c r="Z129" s="1124"/>
    </row>
    <row r="130" spans="1:26" ht="12.75" customHeight="1">
      <c r="A130" s="1098">
        <v>22</v>
      </c>
      <c r="B130" s="1125" t="s">
        <v>3428</v>
      </c>
      <c r="C130" s="1126" t="s">
        <v>3342</v>
      </c>
      <c r="D130" s="1127" t="s">
        <v>122</v>
      </c>
      <c r="E130" s="1128"/>
      <c r="F130" s="1129" t="s">
        <v>3384</v>
      </c>
      <c r="G130" s="1130" t="s">
        <v>3453</v>
      </c>
      <c r="H130" s="1133" t="s">
        <v>3385</v>
      </c>
      <c r="I130" s="1116">
        <v>292</v>
      </c>
      <c r="J130" s="1131">
        <v>0.3</v>
      </c>
      <c r="K130" s="1118">
        <f t="shared" si="5"/>
        <v>87.6</v>
      </c>
      <c r="L130" s="1124"/>
      <c r="M130" s="1124"/>
      <c r="N130" s="1124"/>
      <c r="O130" s="1124"/>
      <c r="P130" s="1124"/>
      <c r="Q130" s="1124"/>
      <c r="R130" s="1124"/>
      <c r="S130" s="1124"/>
      <c r="T130" s="1124"/>
      <c r="U130" s="1124"/>
      <c r="V130" s="1124"/>
      <c r="W130" s="1124"/>
      <c r="X130" s="1124"/>
      <c r="Y130" s="1124"/>
      <c r="Z130" s="1124"/>
    </row>
    <row r="131" spans="1:26" ht="12.75" customHeight="1">
      <c r="A131" s="1098">
        <v>23</v>
      </c>
      <c r="B131" s="1125" t="s">
        <v>3428</v>
      </c>
      <c r="C131" s="1126" t="s">
        <v>3342</v>
      </c>
      <c r="D131" s="1127" t="s">
        <v>122</v>
      </c>
      <c r="E131" s="1128"/>
      <c r="F131" s="1129" t="s">
        <v>3384</v>
      </c>
      <c r="G131" s="1130" t="s">
        <v>3454</v>
      </c>
      <c r="H131" s="1121" t="s">
        <v>3385</v>
      </c>
      <c r="I131" s="1116">
        <v>40</v>
      </c>
      <c r="J131" s="1131">
        <v>0.3</v>
      </c>
      <c r="K131" s="1118">
        <f t="shared" si="5"/>
        <v>12</v>
      </c>
      <c r="L131" s="1124"/>
      <c r="M131" s="1124"/>
      <c r="N131" s="1124"/>
      <c r="O131" s="1124"/>
      <c r="P131" s="1124"/>
      <c r="Q131" s="1124"/>
      <c r="R131" s="1124"/>
      <c r="S131" s="1124"/>
      <c r="T131" s="1124"/>
      <c r="U131" s="1124"/>
      <c r="V131" s="1124"/>
      <c r="W131" s="1124"/>
      <c r="X131" s="1124"/>
      <c r="Y131" s="1124"/>
      <c r="Z131" s="1124"/>
    </row>
    <row r="132" spans="1:26" ht="12.75" customHeight="1">
      <c r="A132" s="1098">
        <v>24</v>
      </c>
      <c r="B132" s="1125" t="s">
        <v>3428</v>
      </c>
      <c r="C132" s="1126" t="s">
        <v>3342</v>
      </c>
      <c r="D132" s="1127" t="s">
        <v>122</v>
      </c>
      <c r="E132" s="1128"/>
      <c r="F132" s="1129" t="s">
        <v>3384</v>
      </c>
      <c r="G132" s="1130" t="s">
        <v>3455</v>
      </c>
      <c r="H132" s="1121" t="s">
        <v>3385</v>
      </c>
      <c r="I132" s="1116">
        <v>448</v>
      </c>
      <c r="J132" s="1131">
        <v>0.3</v>
      </c>
      <c r="K132" s="1118">
        <f t="shared" si="5"/>
        <v>134.4</v>
      </c>
      <c r="L132" s="1124"/>
      <c r="M132" s="1124"/>
      <c r="N132" s="1124"/>
      <c r="O132" s="1124"/>
      <c r="P132" s="1124"/>
      <c r="Q132" s="1124"/>
      <c r="R132" s="1124"/>
      <c r="S132" s="1124"/>
      <c r="T132" s="1124"/>
      <c r="U132" s="1124"/>
      <c r="V132" s="1124"/>
      <c r="W132" s="1124"/>
      <c r="X132" s="1124"/>
      <c r="Y132" s="1124"/>
      <c r="Z132" s="1124"/>
    </row>
    <row r="133" spans="1:26" ht="16.5" customHeight="1">
      <c r="A133" s="1098">
        <v>25</v>
      </c>
      <c r="B133" s="1125" t="s">
        <v>3428</v>
      </c>
      <c r="C133" s="1126" t="s">
        <v>3342</v>
      </c>
      <c r="D133" s="1127" t="s">
        <v>122</v>
      </c>
      <c r="E133" s="1128"/>
      <c r="F133" s="1129" t="s">
        <v>3384</v>
      </c>
      <c r="G133" s="1130" t="s">
        <v>3456</v>
      </c>
      <c r="H133" s="1121" t="s">
        <v>3385</v>
      </c>
      <c r="I133" s="1116">
        <v>340</v>
      </c>
      <c r="J133" s="1131">
        <v>0.3</v>
      </c>
      <c r="K133" s="1118">
        <f t="shared" si="5"/>
        <v>102</v>
      </c>
      <c r="L133" s="1134"/>
      <c r="M133" s="1030"/>
      <c r="N133" s="1030"/>
      <c r="O133" s="1030"/>
      <c r="P133" s="1030"/>
      <c r="Q133" s="1030"/>
      <c r="R133" s="1030"/>
      <c r="S133" s="1030"/>
      <c r="T133" s="1030"/>
      <c r="U133" s="1030"/>
      <c r="V133" s="1030"/>
      <c r="W133" s="1030"/>
      <c r="X133" s="1030"/>
      <c r="Y133" s="1030"/>
      <c r="Z133" s="1030"/>
    </row>
    <row r="134" spans="1:26" ht="16.5" customHeight="1">
      <c r="A134" s="1098">
        <v>26</v>
      </c>
      <c r="B134" s="1125" t="s">
        <v>3428</v>
      </c>
      <c r="C134" s="1126" t="s">
        <v>3342</v>
      </c>
      <c r="D134" s="1127" t="s">
        <v>122</v>
      </c>
      <c r="E134" s="1128"/>
      <c r="F134" s="1129" t="s">
        <v>3384</v>
      </c>
      <c r="G134" s="1130" t="s">
        <v>3457</v>
      </c>
      <c r="H134" s="1121" t="s">
        <v>3385</v>
      </c>
      <c r="I134" s="1116">
        <v>0</v>
      </c>
      <c r="J134" s="1131">
        <v>0.3</v>
      </c>
      <c r="K134" s="1118">
        <f t="shared" si="5"/>
        <v>0</v>
      </c>
      <c r="L134" s="1134"/>
      <c r="M134" s="1030"/>
      <c r="N134" s="1030"/>
      <c r="O134" s="1030"/>
      <c r="P134" s="1030"/>
      <c r="Q134" s="1030"/>
      <c r="R134" s="1030"/>
      <c r="S134" s="1030"/>
      <c r="T134" s="1030"/>
      <c r="U134" s="1030"/>
      <c r="V134" s="1030"/>
      <c r="W134" s="1030"/>
      <c r="X134" s="1030"/>
      <c r="Y134" s="1030"/>
      <c r="Z134" s="1030"/>
    </row>
    <row r="135" spans="1:26" ht="60" customHeight="1">
      <c r="A135" s="1098">
        <v>27</v>
      </c>
      <c r="B135" s="1125" t="s">
        <v>3428</v>
      </c>
      <c r="C135" s="1126" t="s">
        <v>3342</v>
      </c>
      <c r="D135" s="1127" t="s">
        <v>122</v>
      </c>
      <c r="E135" s="1128"/>
      <c r="F135" s="1129" t="s">
        <v>3384</v>
      </c>
      <c r="G135" s="1130" t="s">
        <v>3458</v>
      </c>
      <c r="H135" s="1133" t="s">
        <v>3459</v>
      </c>
      <c r="I135" s="1133"/>
      <c r="J135" s="1135" t="s">
        <v>3385</v>
      </c>
      <c r="K135" s="1118">
        <v>99.01</v>
      </c>
      <c r="L135" s="1030"/>
      <c r="M135" s="1030"/>
      <c r="N135" s="1030"/>
      <c r="O135" s="1030"/>
      <c r="P135" s="1030"/>
      <c r="Q135" s="1030"/>
      <c r="R135" s="1030"/>
      <c r="S135" s="1030"/>
      <c r="T135" s="1030"/>
      <c r="U135" s="1030"/>
      <c r="V135" s="1030"/>
      <c r="W135" s="1030"/>
      <c r="X135" s="1030"/>
      <c r="Y135" s="1030"/>
      <c r="Z135" s="1030"/>
    </row>
    <row r="136" spans="1:26" ht="16.5" customHeight="1">
      <c r="A136" s="1098">
        <v>28</v>
      </c>
      <c r="B136" s="1051" t="s">
        <v>3428</v>
      </c>
      <c r="C136" s="1066" t="s">
        <v>3342</v>
      </c>
      <c r="D136" s="1113" t="s">
        <v>122</v>
      </c>
      <c r="E136" s="1136"/>
      <c r="F136" s="1073" t="s">
        <v>3384</v>
      </c>
      <c r="G136" s="1035" t="s">
        <v>3460</v>
      </c>
      <c r="H136" s="1137" t="s">
        <v>3461</v>
      </c>
      <c r="I136" s="1138"/>
      <c r="J136" s="1139" t="s">
        <v>3385</v>
      </c>
      <c r="K136" s="1118">
        <f>179.3/1.1</f>
        <v>163</v>
      </c>
      <c r="L136" s="1140"/>
      <c r="M136" s="1141"/>
      <c r="N136" s="1030"/>
      <c r="O136" s="1030"/>
      <c r="P136" s="1030"/>
      <c r="Q136" s="1030"/>
      <c r="R136" s="1030"/>
      <c r="S136" s="1030"/>
      <c r="T136" s="1030"/>
      <c r="U136" s="1030"/>
      <c r="V136" s="1030"/>
      <c r="W136" s="1030"/>
      <c r="X136" s="1030"/>
      <c r="Y136" s="1030"/>
      <c r="Z136" s="1030"/>
    </row>
    <row r="137" spans="1:26" ht="15.75" customHeight="1">
      <c r="A137" s="1098">
        <v>29</v>
      </c>
      <c r="B137" s="1051" t="s">
        <v>3462</v>
      </c>
      <c r="C137" s="1066" t="s">
        <v>3342</v>
      </c>
      <c r="D137" s="1113" t="s">
        <v>122</v>
      </c>
      <c r="E137" s="1136"/>
      <c r="F137" s="1073" t="s">
        <v>3384</v>
      </c>
      <c r="G137" s="1035" t="s">
        <v>3463</v>
      </c>
      <c r="H137" s="1137" t="s">
        <v>3464</v>
      </c>
      <c r="I137" s="1137" t="s">
        <v>3465</v>
      </c>
      <c r="J137" s="1139" t="s">
        <v>3385</v>
      </c>
      <c r="K137" s="1118">
        <f>200*1.2</f>
        <v>240</v>
      </c>
      <c r="L137" s="1140"/>
      <c r="M137" s="1141"/>
      <c r="N137" s="1030"/>
      <c r="O137" s="1030"/>
      <c r="P137" s="1030"/>
      <c r="Q137" s="1030"/>
      <c r="R137" s="1030"/>
      <c r="S137" s="1030"/>
      <c r="T137" s="1030"/>
      <c r="U137" s="1030"/>
      <c r="V137" s="1030"/>
      <c r="W137" s="1030"/>
      <c r="X137" s="1030"/>
      <c r="Y137" s="1030"/>
      <c r="Z137" s="1030"/>
    </row>
    <row r="138" spans="1:26" ht="15.75" customHeight="1">
      <c r="A138" s="1098">
        <v>30</v>
      </c>
      <c r="B138" s="1051" t="s">
        <v>3466</v>
      </c>
      <c r="C138" s="1066" t="s">
        <v>3342</v>
      </c>
      <c r="D138" s="1113" t="s">
        <v>122</v>
      </c>
      <c r="E138" s="1136"/>
      <c r="F138" s="1142" t="s">
        <v>3384</v>
      </c>
      <c r="G138" s="1035" t="s">
        <v>3467</v>
      </c>
      <c r="H138" s="1137" t="s">
        <v>3468</v>
      </c>
      <c r="I138" s="1143" t="s">
        <v>3469</v>
      </c>
      <c r="J138" s="1139" t="s">
        <v>3385</v>
      </c>
      <c r="K138" s="1118">
        <f>9286.2+4109.09+121.5+3709.09+87.23</f>
        <v>17313.11</v>
      </c>
      <c r="L138" s="1140"/>
      <c r="M138" s="1141"/>
      <c r="N138" s="1030"/>
      <c r="O138" s="1030"/>
      <c r="P138" s="1030"/>
      <c r="Q138" s="1030"/>
      <c r="R138" s="1030"/>
      <c r="S138" s="1030"/>
      <c r="T138" s="1030"/>
      <c r="U138" s="1030"/>
      <c r="V138" s="1030"/>
      <c r="W138" s="1030"/>
      <c r="X138" s="1030"/>
      <c r="Y138" s="1030"/>
      <c r="Z138" s="1030"/>
    </row>
    <row r="139" spans="1:26" ht="25.5" customHeight="1">
      <c r="A139" s="1098">
        <v>31</v>
      </c>
      <c r="B139" s="1051" t="s">
        <v>3470</v>
      </c>
      <c r="C139" s="1066" t="s">
        <v>3342</v>
      </c>
      <c r="D139" s="1113" t="s">
        <v>122</v>
      </c>
      <c r="E139" s="1136"/>
      <c r="F139" s="1073" t="s">
        <v>3384</v>
      </c>
      <c r="G139" s="1035" t="s">
        <v>3471</v>
      </c>
      <c r="H139" s="1137" t="s">
        <v>3472</v>
      </c>
      <c r="I139" s="1143"/>
      <c r="J139" s="1139" t="s">
        <v>3385</v>
      </c>
      <c r="K139" s="1118">
        <v>1930</v>
      </c>
      <c r="L139" s="1140"/>
      <c r="M139" s="1141"/>
      <c r="N139" s="1030"/>
      <c r="O139" s="1030"/>
      <c r="P139" s="1030"/>
      <c r="Q139" s="1030"/>
      <c r="R139" s="1030"/>
      <c r="S139" s="1030"/>
      <c r="T139" s="1030"/>
      <c r="U139" s="1030"/>
      <c r="V139" s="1030"/>
      <c r="W139" s="1030"/>
      <c r="X139" s="1030"/>
      <c r="Y139" s="1030"/>
      <c r="Z139" s="1030"/>
    </row>
    <row r="140" spans="1:26" ht="29.25" customHeight="1">
      <c r="A140" s="1098">
        <v>32</v>
      </c>
      <c r="B140" s="1144" t="s">
        <v>3473</v>
      </c>
      <c r="C140" s="1112" t="s">
        <v>3342</v>
      </c>
      <c r="D140" s="1113" t="s">
        <v>122</v>
      </c>
      <c r="E140" s="1114"/>
      <c r="F140" s="1145" t="s">
        <v>3384</v>
      </c>
      <c r="G140" s="1136" t="s">
        <v>3474</v>
      </c>
      <c r="H140" s="1136" t="s">
        <v>3475</v>
      </c>
      <c r="I140" s="1146"/>
      <c r="J140" s="1147" t="s">
        <v>3385</v>
      </c>
      <c r="K140" s="1118">
        <v>2512.4699999999998</v>
      </c>
      <c r="L140" s="1140"/>
      <c r="M140" s="1141"/>
      <c r="N140" s="1030"/>
      <c r="O140" s="1030"/>
      <c r="P140" s="1030"/>
      <c r="Q140" s="1030"/>
      <c r="R140" s="1030"/>
      <c r="S140" s="1030"/>
      <c r="T140" s="1030"/>
      <c r="U140" s="1030"/>
      <c r="V140" s="1030"/>
      <c r="W140" s="1030"/>
      <c r="X140" s="1030"/>
      <c r="Y140" s="1030"/>
      <c r="Z140" s="1030"/>
    </row>
    <row r="141" spans="1:26" ht="15.75" customHeight="1">
      <c r="A141" s="1098">
        <v>33</v>
      </c>
      <c r="B141" s="1051" t="s">
        <v>3473</v>
      </c>
      <c r="C141" s="1066" t="s">
        <v>3342</v>
      </c>
      <c r="D141" s="1113" t="s">
        <v>122</v>
      </c>
      <c r="E141" s="1136"/>
      <c r="F141" s="1073" t="s">
        <v>3384</v>
      </c>
      <c r="G141" s="1035" t="s">
        <v>3476</v>
      </c>
      <c r="H141" s="1137" t="s">
        <v>3477</v>
      </c>
      <c r="I141" s="1137" t="s">
        <v>3478</v>
      </c>
      <c r="J141" s="1139" t="s">
        <v>3385</v>
      </c>
      <c r="K141" s="1118">
        <f>(1480.99/2000*550)+(600*0.52)</f>
        <v>719.27224999999999</v>
      </c>
      <c r="L141" s="1140"/>
      <c r="M141" s="1141"/>
      <c r="N141" s="1030"/>
      <c r="O141" s="1030"/>
      <c r="P141" s="1030"/>
      <c r="Q141" s="1030"/>
      <c r="R141" s="1030"/>
      <c r="S141" s="1030"/>
      <c r="T141" s="1030"/>
      <c r="U141" s="1030"/>
      <c r="V141" s="1030"/>
      <c r="W141" s="1030"/>
      <c r="X141" s="1030"/>
      <c r="Y141" s="1030"/>
      <c r="Z141" s="1030"/>
    </row>
    <row r="142" spans="1:26" ht="15.75" customHeight="1">
      <c r="A142" s="1098">
        <v>34</v>
      </c>
      <c r="B142" s="1051" t="s">
        <v>3473</v>
      </c>
      <c r="C142" s="1112" t="s">
        <v>3342</v>
      </c>
      <c r="D142" s="1113" t="s">
        <v>122</v>
      </c>
      <c r="E142" s="1114"/>
      <c r="F142" s="1073" t="s">
        <v>3384</v>
      </c>
      <c r="G142" s="1136" t="s">
        <v>3479</v>
      </c>
      <c r="H142" s="1035" t="s">
        <v>3480</v>
      </c>
      <c r="I142" s="1035" t="s">
        <v>3481</v>
      </c>
      <c r="J142" s="1147" t="s">
        <v>3385</v>
      </c>
      <c r="K142" s="1118">
        <f>3.84*180</f>
        <v>691.19999999999993</v>
      </c>
      <c r="L142" s="1134"/>
      <c r="M142" s="1030"/>
      <c r="N142" s="1030"/>
      <c r="O142" s="1030"/>
      <c r="P142" s="1030"/>
      <c r="Q142" s="1030"/>
      <c r="R142" s="1030"/>
      <c r="S142" s="1030"/>
      <c r="T142" s="1030"/>
      <c r="U142" s="1030"/>
      <c r="V142" s="1030"/>
      <c r="W142" s="1030"/>
      <c r="X142" s="1030"/>
      <c r="Y142" s="1030"/>
      <c r="Z142" s="1030"/>
    </row>
    <row r="143" spans="1:26" ht="15.75" customHeight="1">
      <c r="A143" s="1098">
        <v>35</v>
      </c>
      <c r="B143" s="1051" t="s">
        <v>3462</v>
      </c>
      <c r="C143" s="1066" t="s">
        <v>3342</v>
      </c>
      <c r="D143" s="1113" t="s">
        <v>122</v>
      </c>
      <c r="E143" s="1136"/>
      <c r="F143" s="1073" t="s">
        <v>3384</v>
      </c>
      <c r="G143" s="1035" t="s">
        <v>3482</v>
      </c>
      <c r="H143" s="1137" t="s">
        <v>3483</v>
      </c>
      <c r="I143" s="1137" t="s">
        <v>3484</v>
      </c>
      <c r="J143" s="1139" t="s">
        <v>3385</v>
      </c>
      <c r="K143" s="1118">
        <f>2.76*220</f>
        <v>607.19999999999993</v>
      </c>
      <c r="L143" s="1134"/>
      <c r="M143" s="1030"/>
      <c r="N143" s="1030"/>
      <c r="O143" s="1030"/>
      <c r="P143" s="1030"/>
      <c r="Q143" s="1030"/>
      <c r="R143" s="1030"/>
      <c r="S143" s="1030"/>
      <c r="T143" s="1030"/>
      <c r="U143" s="1030"/>
      <c r="V143" s="1030"/>
      <c r="W143" s="1030"/>
      <c r="X143" s="1030"/>
      <c r="Y143" s="1030"/>
      <c r="Z143" s="1030"/>
    </row>
    <row r="144" spans="1:26" ht="15.75" customHeight="1">
      <c r="A144" s="1098">
        <v>36</v>
      </c>
      <c r="B144" s="1051" t="s">
        <v>3485</v>
      </c>
      <c r="C144" s="1066" t="s">
        <v>3342</v>
      </c>
      <c r="D144" s="1113" t="s">
        <v>122</v>
      </c>
      <c r="E144" s="1136"/>
      <c r="F144" s="1148" t="s">
        <v>3384</v>
      </c>
      <c r="G144" s="1149" t="s">
        <v>3486</v>
      </c>
      <c r="H144" s="1150" t="s">
        <v>3487</v>
      </c>
      <c r="I144" s="1151"/>
      <c r="J144" s="1139"/>
      <c r="K144" s="1118">
        <f>20+20+25+25+25</f>
        <v>115</v>
      </c>
      <c r="L144" s="1134"/>
      <c r="M144" s="1030"/>
      <c r="N144" s="1030"/>
      <c r="O144" s="1030"/>
      <c r="P144" s="1030"/>
      <c r="Q144" s="1030"/>
      <c r="R144" s="1030"/>
      <c r="S144" s="1030"/>
      <c r="T144" s="1030"/>
      <c r="U144" s="1030"/>
      <c r="V144" s="1030"/>
      <c r="W144" s="1030"/>
      <c r="X144" s="1030"/>
      <c r="Y144" s="1030"/>
      <c r="Z144" s="1030"/>
    </row>
    <row r="145" spans="1:26" ht="15.75" customHeight="1">
      <c r="A145" s="1098">
        <v>37</v>
      </c>
      <c r="B145" s="1051" t="s">
        <v>3462</v>
      </c>
      <c r="C145" s="1066" t="s">
        <v>3342</v>
      </c>
      <c r="D145" s="1113" t="s">
        <v>122</v>
      </c>
      <c r="E145" s="1136"/>
      <c r="F145" s="1073" t="s">
        <v>3384</v>
      </c>
      <c r="G145" s="1035" t="s">
        <v>3488</v>
      </c>
      <c r="H145" s="1137" t="s">
        <v>3489</v>
      </c>
      <c r="I145" s="1137" t="s">
        <v>3490</v>
      </c>
      <c r="J145" s="1139" t="s">
        <v>3385</v>
      </c>
      <c r="K145" s="1118">
        <f>2.9*200</f>
        <v>580</v>
      </c>
      <c r="L145" s="1134"/>
      <c r="M145" s="1030"/>
      <c r="N145" s="1030"/>
      <c r="O145" s="1030"/>
      <c r="P145" s="1030"/>
      <c r="Q145" s="1030"/>
      <c r="R145" s="1030"/>
      <c r="S145" s="1030"/>
      <c r="T145" s="1030"/>
      <c r="U145" s="1030"/>
      <c r="V145" s="1030"/>
      <c r="W145" s="1030"/>
      <c r="X145" s="1030"/>
      <c r="Y145" s="1030"/>
      <c r="Z145" s="1030"/>
    </row>
    <row r="146" spans="1:26" ht="24" customHeight="1">
      <c r="A146" s="1098">
        <v>38</v>
      </c>
      <c r="B146" s="1051" t="s">
        <v>3485</v>
      </c>
      <c r="C146" s="1066" t="s">
        <v>3342</v>
      </c>
      <c r="D146" s="1113" t="s">
        <v>122</v>
      </c>
      <c r="E146" s="1136"/>
      <c r="F146" s="1142" t="s">
        <v>3384</v>
      </c>
      <c r="G146" s="1035" t="s">
        <v>3491</v>
      </c>
      <c r="H146" s="1137" t="s">
        <v>3492</v>
      </c>
      <c r="I146" s="1137"/>
      <c r="J146" s="1139" t="s">
        <v>3385</v>
      </c>
      <c r="K146" s="1118">
        <v>357.72</v>
      </c>
      <c r="L146" s="1134"/>
      <c r="M146" s="1030"/>
      <c r="N146" s="1030"/>
      <c r="O146" s="1030"/>
      <c r="P146" s="1030"/>
      <c r="Q146" s="1030"/>
      <c r="R146" s="1030"/>
      <c r="S146" s="1030"/>
      <c r="T146" s="1030"/>
      <c r="U146" s="1030"/>
      <c r="V146" s="1030"/>
      <c r="W146" s="1030"/>
      <c r="X146" s="1030"/>
      <c r="Y146" s="1030"/>
      <c r="Z146" s="1030"/>
    </row>
    <row r="147" spans="1:26" ht="12.75" customHeight="1">
      <c r="A147" s="1098">
        <v>39</v>
      </c>
      <c r="B147" s="1051" t="s">
        <v>3428</v>
      </c>
      <c r="C147" s="1066" t="s">
        <v>3342</v>
      </c>
      <c r="D147" s="1113" t="s">
        <v>122</v>
      </c>
      <c r="E147" s="1136"/>
      <c r="F147" s="1142" t="s">
        <v>3384</v>
      </c>
      <c r="G147" s="1035" t="s">
        <v>3493</v>
      </c>
      <c r="H147" s="1137" t="s">
        <v>3494</v>
      </c>
      <c r="I147" s="1137"/>
      <c r="J147" s="1139" t="s">
        <v>3385</v>
      </c>
      <c r="K147" s="1118">
        <v>12.81</v>
      </c>
      <c r="L147" s="1030"/>
      <c r="M147" s="1030"/>
      <c r="N147" s="1030"/>
      <c r="O147" s="1030"/>
      <c r="P147" s="1030"/>
      <c r="Q147" s="1030"/>
      <c r="R147" s="1030"/>
      <c r="S147" s="1030"/>
      <c r="T147" s="1030"/>
      <c r="U147" s="1030"/>
      <c r="V147" s="1030"/>
      <c r="W147" s="1030"/>
      <c r="X147" s="1030"/>
      <c r="Y147" s="1030"/>
      <c r="Z147" s="1030"/>
    </row>
    <row r="148" spans="1:26" ht="45" customHeight="1">
      <c r="A148" s="1098">
        <v>40</v>
      </c>
      <c r="B148" s="1051" t="s">
        <v>3485</v>
      </c>
      <c r="C148" s="1066" t="s">
        <v>3342</v>
      </c>
      <c r="D148" s="1113" t="s">
        <v>122</v>
      </c>
      <c r="E148" s="1136"/>
      <c r="F148" s="1142" t="s">
        <v>3384</v>
      </c>
      <c r="G148" s="1149" t="s">
        <v>3495</v>
      </c>
      <c r="H148" s="1137" t="s">
        <v>3494</v>
      </c>
      <c r="I148" s="1137" t="s">
        <v>3496</v>
      </c>
      <c r="J148" s="1139" t="s">
        <v>3385</v>
      </c>
      <c r="K148" s="1118">
        <f>3.7+3.7+26.84</f>
        <v>34.24</v>
      </c>
      <c r="L148" s="1030"/>
      <c r="M148" s="1030"/>
      <c r="N148" s="1030"/>
      <c r="O148" s="1030"/>
      <c r="P148" s="1030"/>
      <c r="Q148" s="1030"/>
      <c r="R148" s="1030"/>
      <c r="S148" s="1030"/>
      <c r="T148" s="1030"/>
      <c r="U148" s="1030"/>
      <c r="V148" s="1030"/>
      <c r="W148" s="1030"/>
      <c r="X148" s="1030"/>
      <c r="Y148" s="1030"/>
      <c r="Z148" s="1030"/>
    </row>
    <row r="149" spans="1:26" ht="45" customHeight="1">
      <c r="A149" s="1098">
        <v>41</v>
      </c>
      <c r="B149" s="1051" t="s">
        <v>3428</v>
      </c>
      <c r="C149" s="1066" t="s">
        <v>3342</v>
      </c>
      <c r="D149" s="1113" t="s">
        <v>122</v>
      </c>
      <c r="E149" s="1136"/>
      <c r="F149" s="1142" t="s">
        <v>3384</v>
      </c>
      <c r="G149" s="1035" t="s">
        <v>3497</v>
      </c>
      <c r="H149" s="1137" t="s">
        <v>3498</v>
      </c>
      <c r="I149" s="1137"/>
      <c r="J149" s="1139" t="s">
        <v>3385</v>
      </c>
      <c r="K149" s="1118">
        <v>0</v>
      </c>
      <c r="L149" s="1030"/>
      <c r="M149" s="1030"/>
      <c r="N149" s="1030"/>
      <c r="O149" s="1030"/>
      <c r="P149" s="1030"/>
      <c r="Q149" s="1030"/>
      <c r="R149" s="1030"/>
      <c r="S149" s="1030"/>
      <c r="T149" s="1030"/>
      <c r="U149" s="1030"/>
      <c r="V149" s="1030"/>
      <c r="W149" s="1030"/>
      <c r="X149" s="1030"/>
      <c r="Y149" s="1030"/>
      <c r="Z149" s="1030"/>
    </row>
    <row r="150" spans="1:26" ht="12.75" customHeight="1">
      <c r="A150" s="1098">
        <v>42</v>
      </c>
      <c r="B150" s="1051" t="s">
        <v>3473</v>
      </c>
      <c r="C150" s="1066" t="s">
        <v>3342</v>
      </c>
      <c r="D150" s="1113" t="s">
        <v>122</v>
      </c>
      <c r="E150" s="1136"/>
      <c r="F150" s="1073" t="s">
        <v>3384</v>
      </c>
      <c r="G150" s="1035" t="s">
        <v>3499</v>
      </c>
      <c r="H150" s="1137" t="s">
        <v>3500</v>
      </c>
      <c r="I150" s="1137" t="s">
        <v>3501</v>
      </c>
      <c r="J150" s="1139" t="s">
        <v>3385</v>
      </c>
      <c r="K150" s="1118">
        <f>8.52*100</f>
        <v>852</v>
      </c>
      <c r="L150" s="1030"/>
      <c r="M150" s="1030"/>
      <c r="N150" s="1030"/>
      <c r="O150" s="1030"/>
      <c r="P150" s="1030"/>
      <c r="Q150" s="1030"/>
      <c r="R150" s="1030"/>
      <c r="S150" s="1030"/>
      <c r="T150" s="1030"/>
      <c r="U150" s="1030"/>
      <c r="V150" s="1030"/>
      <c r="W150" s="1030"/>
      <c r="X150" s="1030"/>
      <c r="Y150" s="1030"/>
      <c r="Z150" s="1030"/>
    </row>
    <row r="151" spans="1:26" ht="12.75" customHeight="1" outlineLevel="1">
      <c r="A151" s="1098">
        <v>43</v>
      </c>
      <c r="B151" s="1051" t="s">
        <v>3428</v>
      </c>
      <c r="C151" s="1066" t="s">
        <v>3342</v>
      </c>
      <c r="D151" s="1113" t="s">
        <v>122</v>
      </c>
      <c r="E151" s="1152"/>
      <c r="F151" s="1073" t="s">
        <v>3410</v>
      </c>
      <c r="G151" s="1035" t="s">
        <v>3429</v>
      </c>
      <c r="H151" s="1115"/>
      <c r="I151" s="1116">
        <v>120</v>
      </c>
      <c r="J151" s="1117">
        <v>0.3</v>
      </c>
      <c r="K151" s="1118">
        <f t="shared" ref="K151:K178" si="6">I151*J151</f>
        <v>36</v>
      </c>
      <c r="L151" s="1030"/>
      <c r="M151" s="1030"/>
      <c r="N151" s="1030"/>
      <c r="O151" s="1030"/>
      <c r="P151" s="1030"/>
      <c r="Q151" s="1030"/>
      <c r="R151" s="1030"/>
      <c r="S151" s="1030"/>
      <c r="T151" s="1030"/>
      <c r="U151" s="1030"/>
      <c r="V151" s="1030"/>
      <c r="W151" s="1030"/>
      <c r="X151" s="1030"/>
      <c r="Y151" s="1030"/>
      <c r="Z151" s="1030"/>
    </row>
    <row r="152" spans="1:26" ht="12.75" customHeight="1" outlineLevel="1">
      <c r="A152" s="1098">
        <v>44</v>
      </c>
      <c r="B152" s="1051" t="s">
        <v>3428</v>
      </c>
      <c r="C152" s="1066" t="s">
        <v>3342</v>
      </c>
      <c r="D152" s="1113" t="s">
        <v>122</v>
      </c>
      <c r="E152" s="1152"/>
      <c r="F152" s="1073" t="s">
        <v>3410</v>
      </c>
      <c r="G152" s="1035" t="s">
        <v>3431</v>
      </c>
      <c r="H152" s="1121"/>
      <c r="I152" s="1116">
        <v>206</v>
      </c>
      <c r="J152" s="1122">
        <v>0.3</v>
      </c>
      <c r="K152" s="1118">
        <f t="shared" si="6"/>
        <v>61.8</v>
      </c>
      <c r="L152" s="1030"/>
      <c r="M152" s="1030"/>
      <c r="N152" s="1030"/>
      <c r="O152" s="1030"/>
      <c r="P152" s="1030"/>
      <c r="Q152" s="1030"/>
      <c r="R152" s="1030"/>
      <c r="S152" s="1030"/>
      <c r="T152" s="1030"/>
      <c r="U152" s="1030"/>
      <c r="V152" s="1030"/>
      <c r="W152" s="1030"/>
      <c r="X152" s="1030"/>
      <c r="Y152" s="1030"/>
      <c r="Z152" s="1030"/>
    </row>
    <row r="153" spans="1:26" ht="12.75" customHeight="1" outlineLevel="1">
      <c r="A153" s="1098">
        <v>45</v>
      </c>
      <c r="B153" s="1051" t="s">
        <v>3428</v>
      </c>
      <c r="C153" s="1066" t="s">
        <v>3342</v>
      </c>
      <c r="D153" s="1113" t="s">
        <v>122</v>
      </c>
      <c r="E153" s="1152"/>
      <c r="F153" s="1073" t="s">
        <v>3410</v>
      </c>
      <c r="G153" s="1035" t="s">
        <v>3433</v>
      </c>
      <c r="H153" s="1121"/>
      <c r="I153" s="1116">
        <v>358</v>
      </c>
      <c r="J153" s="1122">
        <v>0.3</v>
      </c>
      <c r="K153" s="1118">
        <f t="shared" si="6"/>
        <v>107.39999999999999</v>
      </c>
      <c r="L153" s="1030"/>
      <c r="M153" s="1030"/>
      <c r="N153" s="1030"/>
      <c r="O153" s="1030"/>
      <c r="P153" s="1030"/>
      <c r="Q153" s="1030"/>
      <c r="R153" s="1030"/>
      <c r="S153" s="1030"/>
      <c r="T153" s="1030"/>
      <c r="U153" s="1030"/>
      <c r="V153" s="1030"/>
      <c r="W153" s="1030"/>
      <c r="X153" s="1030"/>
      <c r="Y153" s="1030"/>
      <c r="Z153" s="1030"/>
    </row>
    <row r="154" spans="1:26" ht="12.75" customHeight="1" outlineLevel="1">
      <c r="A154" s="1098">
        <v>46</v>
      </c>
      <c r="B154" s="1051" t="s">
        <v>3428</v>
      </c>
      <c r="C154" s="1066" t="s">
        <v>3342</v>
      </c>
      <c r="D154" s="1113" t="s">
        <v>122</v>
      </c>
      <c r="E154" s="1153"/>
      <c r="F154" s="1073" t="s">
        <v>3410</v>
      </c>
      <c r="G154" s="1035" t="s">
        <v>3435</v>
      </c>
      <c r="H154" s="1123"/>
      <c r="I154" s="1116">
        <f>25*2</f>
        <v>50</v>
      </c>
      <c r="J154" s="1122">
        <v>0.3</v>
      </c>
      <c r="K154" s="1154">
        <f t="shared" si="6"/>
        <v>15</v>
      </c>
      <c r="L154" s="1030"/>
      <c r="M154" s="1030"/>
      <c r="N154" s="1030"/>
      <c r="O154" s="1030"/>
      <c r="P154" s="1030"/>
      <c r="Q154" s="1030"/>
      <c r="R154" s="1030"/>
      <c r="S154" s="1030"/>
      <c r="T154" s="1030"/>
      <c r="U154" s="1030"/>
      <c r="V154" s="1030"/>
      <c r="W154" s="1030"/>
      <c r="X154" s="1030"/>
      <c r="Y154" s="1030"/>
      <c r="Z154" s="1030"/>
    </row>
    <row r="155" spans="1:26" ht="12.75" customHeight="1" outlineLevel="1">
      <c r="A155" s="1098">
        <v>47</v>
      </c>
      <c r="B155" s="1051" t="s">
        <v>3428</v>
      </c>
      <c r="C155" s="1066" t="s">
        <v>3342</v>
      </c>
      <c r="D155" s="1113" t="s">
        <v>122</v>
      </c>
      <c r="E155" s="1153"/>
      <c r="F155" s="1073" t="s">
        <v>3410</v>
      </c>
      <c r="G155" s="1035" t="s">
        <v>3436</v>
      </c>
      <c r="H155" s="1123"/>
      <c r="I155" s="1116">
        <v>210</v>
      </c>
      <c r="J155" s="1122">
        <v>0.3</v>
      </c>
      <c r="K155" s="1154">
        <f t="shared" si="6"/>
        <v>63</v>
      </c>
      <c r="L155" s="1030"/>
      <c r="M155" s="1030"/>
      <c r="N155" s="1030"/>
      <c r="O155" s="1030"/>
      <c r="P155" s="1030"/>
      <c r="Q155" s="1030"/>
      <c r="R155" s="1030"/>
      <c r="S155" s="1030"/>
      <c r="T155" s="1030"/>
      <c r="U155" s="1030"/>
      <c r="V155" s="1030"/>
      <c r="W155" s="1030"/>
      <c r="X155" s="1030"/>
      <c r="Y155" s="1030"/>
      <c r="Z155" s="1030"/>
    </row>
    <row r="156" spans="1:26" ht="12.75" customHeight="1" outlineLevel="1">
      <c r="A156" s="1098">
        <v>48</v>
      </c>
      <c r="B156" s="1051" t="s">
        <v>3428</v>
      </c>
      <c r="C156" s="1066" t="s">
        <v>3342</v>
      </c>
      <c r="D156" s="1113" t="s">
        <v>122</v>
      </c>
      <c r="E156" s="1153"/>
      <c r="F156" s="1073" t="s">
        <v>3410</v>
      </c>
      <c r="G156" s="1035" t="s">
        <v>3437</v>
      </c>
      <c r="H156" s="1123"/>
      <c r="I156" s="1116">
        <v>0</v>
      </c>
      <c r="J156" s="1122">
        <v>0</v>
      </c>
      <c r="K156" s="1118">
        <f t="shared" si="6"/>
        <v>0</v>
      </c>
      <c r="L156" s="1030"/>
      <c r="M156" s="1030"/>
      <c r="N156" s="1030"/>
      <c r="O156" s="1030"/>
      <c r="P156" s="1030"/>
      <c r="Q156" s="1030"/>
      <c r="R156" s="1030"/>
      <c r="S156" s="1030"/>
      <c r="T156" s="1030"/>
      <c r="U156" s="1030"/>
      <c r="V156" s="1030"/>
      <c r="W156" s="1030"/>
      <c r="X156" s="1030"/>
      <c r="Y156" s="1030"/>
      <c r="Z156" s="1030"/>
    </row>
    <row r="157" spans="1:26" ht="12.75" customHeight="1" outlineLevel="1">
      <c r="A157" s="1098">
        <v>49</v>
      </c>
      <c r="B157" s="1051" t="s">
        <v>3428</v>
      </c>
      <c r="C157" s="1066" t="s">
        <v>3342</v>
      </c>
      <c r="D157" s="1113" t="s">
        <v>122</v>
      </c>
      <c r="E157" s="1152"/>
      <c r="F157" s="1073" t="s">
        <v>3410</v>
      </c>
      <c r="G157" s="1035" t="s">
        <v>3438</v>
      </c>
      <c r="H157" s="1123"/>
      <c r="I157" s="1116">
        <v>200</v>
      </c>
      <c r="J157" s="1122">
        <v>0.3</v>
      </c>
      <c r="K157" s="1118">
        <f t="shared" si="6"/>
        <v>60</v>
      </c>
      <c r="L157" s="1030"/>
      <c r="M157" s="1030"/>
      <c r="N157" s="1030"/>
      <c r="O157" s="1030"/>
      <c r="P157" s="1030"/>
      <c r="Q157" s="1030"/>
      <c r="R157" s="1030"/>
      <c r="S157" s="1030"/>
      <c r="T157" s="1030"/>
      <c r="U157" s="1030"/>
      <c r="V157" s="1030"/>
      <c r="W157" s="1030"/>
      <c r="X157" s="1030"/>
      <c r="Y157" s="1030"/>
      <c r="Z157" s="1030"/>
    </row>
    <row r="158" spans="1:26" ht="12.75" customHeight="1" outlineLevel="1">
      <c r="A158" s="1098">
        <v>50</v>
      </c>
      <c r="B158" s="1051" t="s">
        <v>3428</v>
      </c>
      <c r="C158" s="1066" t="s">
        <v>3342</v>
      </c>
      <c r="D158" s="1113" t="s">
        <v>122</v>
      </c>
      <c r="E158" s="1152"/>
      <c r="F158" s="1073" t="s">
        <v>3410</v>
      </c>
      <c r="G158" s="1035" t="s">
        <v>3439</v>
      </c>
      <c r="H158" s="1123"/>
      <c r="I158" s="1116">
        <v>400</v>
      </c>
      <c r="J158" s="1122">
        <v>0.3</v>
      </c>
      <c r="K158" s="1118">
        <f t="shared" si="6"/>
        <v>120</v>
      </c>
      <c r="L158" s="1030"/>
      <c r="M158" s="1030"/>
      <c r="N158" s="1030"/>
      <c r="O158" s="1030"/>
      <c r="P158" s="1030"/>
      <c r="Q158" s="1030"/>
      <c r="R158" s="1030"/>
      <c r="S158" s="1030"/>
      <c r="T158" s="1030"/>
      <c r="U158" s="1030"/>
      <c r="V158" s="1030"/>
      <c r="W158" s="1030"/>
      <c r="X158" s="1030"/>
      <c r="Y158" s="1030"/>
      <c r="Z158" s="1030"/>
    </row>
    <row r="159" spans="1:26" ht="12.75" customHeight="1" outlineLevel="1">
      <c r="A159" s="1098">
        <v>51</v>
      </c>
      <c r="B159" s="1051" t="s">
        <v>3428</v>
      </c>
      <c r="C159" s="1066" t="s">
        <v>3342</v>
      </c>
      <c r="D159" s="1113" t="s">
        <v>122</v>
      </c>
      <c r="E159" s="1152"/>
      <c r="F159" s="1073" t="s">
        <v>3410</v>
      </c>
      <c r="G159" s="1130" t="s">
        <v>3440</v>
      </c>
      <c r="H159" s="1121"/>
      <c r="I159" s="1116">
        <v>96</v>
      </c>
      <c r="J159" s="1131">
        <v>0.3</v>
      </c>
      <c r="K159" s="1118">
        <f t="shared" si="6"/>
        <v>28.799999999999997</v>
      </c>
      <c r="L159" s="1030"/>
      <c r="M159" s="1030"/>
      <c r="N159" s="1030"/>
      <c r="O159" s="1030"/>
      <c r="P159" s="1030"/>
      <c r="Q159" s="1030"/>
      <c r="R159" s="1030"/>
      <c r="S159" s="1030"/>
      <c r="T159" s="1030"/>
      <c r="U159" s="1030"/>
      <c r="V159" s="1030"/>
      <c r="W159" s="1030"/>
      <c r="X159" s="1030"/>
      <c r="Y159" s="1030"/>
      <c r="Z159" s="1030"/>
    </row>
    <row r="160" spans="1:26" ht="12.75" customHeight="1" outlineLevel="1">
      <c r="A160" s="1098">
        <v>52</v>
      </c>
      <c r="B160" s="1051" t="s">
        <v>3428</v>
      </c>
      <c r="C160" s="1066" t="s">
        <v>3342</v>
      </c>
      <c r="D160" s="1113" t="s">
        <v>122</v>
      </c>
      <c r="E160" s="1152"/>
      <c r="F160" s="1073" t="s">
        <v>3410</v>
      </c>
      <c r="G160" s="1130" t="s">
        <v>3441</v>
      </c>
      <c r="H160" s="1121"/>
      <c r="I160" s="1116">
        <f>170*2</f>
        <v>340</v>
      </c>
      <c r="J160" s="1131">
        <v>0.3</v>
      </c>
      <c r="K160" s="1118">
        <f t="shared" si="6"/>
        <v>102</v>
      </c>
      <c r="L160" s="1030"/>
      <c r="M160" s="1030"/>
      <c r="N160" s="1030"/>
      <c r="O160" s="1030"/>
      <c r="P160" s="1030"/>
      <c r="Q160" s="1030"/>
      <c r="R160" s="1030"/>
      <c r="S160" s="1030"/>
      <c r="T160" s="1030"/>
      <c r="U160" s="1030"/>
      <c r="V160" s="1030"/>
      <c r="W160" s="1030"/>
      <c r="X160" s="1030"/>
      <c r="Y160" s="1030"/>
      <c r="Z160" s="1030"/>
    </row>
    <row r="161" spans="1:26" ht="12.75" customHeight="1" outlineLevel="1">
      <c r="A161" s="1098">
        <v>53</v>
      </c>
      <c r="B161" s="1051" t="s">
        <v>3428</v>
      </c>
      <c r="C161" s="1066" t="s">
        <v>3342</v>
      </c>
      <c r="D161" s="1113" t="s">
        <v>122</v>
      </c>
      <c r="E161" s="1152"/>
      <c r="F161" s="1073" t="s">
        <v>3410</v>
      </c>
      <c r="G161" s="1130" t="s">
        <v>3442</v>
      </c>
      <c r="H161" s="1121"/>
      <c r="I161" s="1116">
        <v>656</v>
      </c>
      <c r="J161" s="1131">
        <v>0.3</v>
      </c>
      <c r="K161" s="1118">
        <f t="shared" si="6"/>
        <v>196.79999999999998</v>
      </c>
      <c r="L161" s="1030"/>
      <c r="M161" s="1030"/>
      <c r="N161" s="1030"/>
      <c r="O161" s="1030"/>
      <c r="P161" s="1030"/>
      <c r="Q161" s="1030"/>
      <c r="R161" s="1030"/>
      <c r="S161" s="1030"/>
      <c r="T161" s="1030"/>
      <c r="U161" s="1030"/>
      <c r="V161" s="1030"/>
      <c r="W161" s="1030"/>
      <c r="X161" s="1030"/>
      <c r="Y161" s="1030"/>
      <c r="Z161" s="1030"/>
    </row>
    <row r="162" spans="1:26" ht="12.75" customHeight="1" outlineLevel="1">
      <c r="A162" s="1098">
        <v>54</v>
      </c>
      <c r="B162" s="1051" t="s">
        <v>3428</v>
      </c>
      <c r="C162" s="1066" t="s">
        <v>3342</v>
      </c>
      <c r="D162" s="1113" t="s">
        <v>122</v>
      </c>
      <c r="E162" s="1136"/>
      <c r="F162" s="1073" t="s">
        <v>3410</v>
      </c>
      <c r="G162" s="1130" t="s">
        <v>3443</v>
      </c>
      <c r="H162" s="1121"/>
      <c r="I162" s="1116">
        <v>480</v>
      </c>
      <c r="J162" s="1131">
        <v>0.3</v>
      </c>
      <c r="K162" s="1118">
        <f t="shared" si="6"/>
        <v>144</v>
      </c>
      <c r="L162" s="1030"/>
      <c r="M162" s="1030"/>
      <c r="N162" s="1030"/>
      <c r="O162" s="1030"/>
      <c r="P162" s="1030"/>
      <c r="Q162" s="1030"/>
      <c r="R162" s="1030"/>
      <c r="S162" s="1030"/>
      <c r="T162" s="1030"/>
      <c r="U162" s="1030"/>
      <c r="V162" s="1030"/>
      <c r="W162" s="1030"/>
      <c r="X162" s="1030"/>
      <c r="Y162" s="1030"/>
      <c r="Z162" s="1030"/>
    </row>
    <row r="163" spans="1:26" ht="12.75" customHeight="1" outlineLevel="1">
      <c r="A163" s="1098">
        <v>55</v>
      </c>
      <c r="B163" s="1051" t="s">
        <v>3428</v>
      </c>
      <c r="C163" s="1066" t="s">
        <v>3342</v>
      </c>
      <c r="D163" s="1113" t="s">
        <v>122</v>
      </c>
      <c r="E163" s="1136"/>
      <c r="F163" s="1073" t="s">
        <v>3410</v>
      </c>
      <c r="G163" s="1130" t="s">
        <v>3502</v>
      </c>
      <c r="H163" s="1121"/>
      <c r="I163" s="1116">
        <f>170*2</f>
        <v>340</v>
      </c>
      <c r="J163" s="1131">
        <v>0.3</v>
      </c>
      <c r="K163" s="1118">
        <f t="shared" si="6"/>
        <v>102</v>
      </c>
      <c r="L163" s="1030"/>
      <c r="M163" s="1030"/>
      <c r="N163" s="1030"/>
      <c r="O163" s="1030"/>
      <c r="P163" s="1030"/>
      <c r="Q163" s="1030"/>
      <c r="R163" s="1030"/>
      <c r="S163" s="1030"/>
      <c r="T163" s="1030"/>
      <c r="U163" s="1030"/>
      <c r="V163" s="1030"/>
      <c r="W163" s="1030"/>
      <c r="X163" s="1030"/>
      <c r="Y163" s="1030"/>
      <c r="Z163" s="1030"/>
    </row>
    <row r="164" spans="1:26" ht="12.75" customHeight="1" outlineLevel="1">
      <c r="A164" s="1098">
        <v>56</v>
      </c>
      <c r="B164" s="1051" t="s">
        <v>3428</v>
      </c>
      <c r="C164" s="1066" t="s">
        <v>3342</v>
      </c>
      <c r="D164" s="1113" t="s">
        <v>122</v>
      </c>
      <c r="E164" s="1136"/>
      <c r="F164" s="1073" t="s">
        <v>3410</v>
      </c>
      <c r="G164" s="1130" t="s">
        <v>3444</v>
      </c>
      <c r="H164" s="1121"/>
      <c r="I164" s="1116">
        <v>314</v>
      </c>
      <c r="J164" s="1131">
        <v>0.3</v>
      </c>
      <c r="K164" s="1118">
        <f t="shared" si="6"/>
        <v>94.2</v>
      </c>
      <c r="L164" s="1030"/>
      <c r="M164" s="1030"/>
      <c r="N164" s="1030"/>
      <c r="O164" s="1030"/>
      <c r="P164" s="1030"/>
      <c r="Q164" s="1030"/>
      <c r="R164" s="1030"/>
      <c r="S164" s="1030"/>
      <c r="T164" s="1030"/>
      <c r="U164" s="1030"/>
      <c r="V164" s="1030"/>
      <c r="W164" s="1030"/>
      <c r="X164" s="1030"/>
      <c r="Y164" s="1030"/>
      <c r="Z164" s="1030"/>
    </row>
    <row r="165" spans="1:26" ht="12.75" customHeight="1" outlineLevel="1">
      <c r="A165" s="1098">
        <v>57</v>
      </c>
      <c r="B165" s="1051" t="s">
        <v>3428</v>
      </c>
      <c r="C165" s="1066" t="s">
        <v>3342</v>
      </c>
      <c r="D165" s="1113" t="s">
        <v>122</v>
      </c>
      <c r="E165" s="1136"/>
      <c r="F165" s="1073" t="s">
        <v>3410</v>
      </c>
      <c r="G165" s="1130" t="s">
        <v>3445</v>
      </c>
      <c r="H165" s="1121"/>
      <c r="I165" s="1116">
        <v>592</v>
      </c>
      <c r="J165" s="1131">
        <v>0.3</v>
      </c>
      <c r="K165" s="1118">
        <f t="shared" si="6"/>
        <v>177.6</v>
      </c>
      <c r="L165" s="1030"/>
      <c r="M165" s="1030"/>
      <c r="N165" s="1030"/>
      <c r="O165" s="1030"/>
      <c r="P165" s="1030"/>
      <c r="Q165" s="1030"/>
      <c r="R165" s="1030"/>
      <c r="S165" s="1030"/>
      <c r="T165" s="1030"/>
      <c r="U165" s="1030"/>
      <c r="V165" s="1030"/>
      <c r="W165" s="1030"/>
      <c r="X165" s="1030"/>
      <c r="Y165" s="1030"/>
      <c r="Z165" s="1030"/>
    </row>
    <row r="166" spans="1:26" ht="12.75" customHeight="1" outlineLevel="1">
      <c r="A166" s="1098">
        <v>58</v>
      </c>
      <c r="B166" s="1051" t="s">
        <v>3428</v>
      </c>
      <c r="C166" s="1066" t="s">
        <v>3342</v>
      </c>
      <c r="D166" s="1113" t="s">
        <v>122</v>
      </c>
      <c r="E166" s="1136"/>
      <c r="F166" s="1073" t="s">
        <v>3410</v>
      </c>
      <c r="G166" s="1130" t="s">
        <v>3446</v>
      </c>
      <c r="H166" s="1121"/>
      <c r="I166" s="1116">
        <v>200</v>
      </c>
      <c r="J166" s="1131">
        <v>0.3</v>
      </c>
      <c r="K166" s="1118">
        <f t="shared" si="6"/>
        <v>60</v>
      </c>
      <c r="L166" s="1030"/>
      <c r="M166" s="1030"/>
      <c r="N166" s="1030"/>
      <c r="O166" s="1030"/>
      <c r="P166" s="1030"/>
      <c r="Q166" s="1030"/>
      <c r="R166" s="1030"/>
      <c r="S166" s="1030"/>
      <c r="T166" s="1030"/>
      <c r="U166" s="1030"/>
      <c r="V166" s="1030"/>
      <c r="W166" s="1030"/>
      <c r="X166" s="1030"/>
      <c r="Y166" s="1030"/>
      <c r="Z166" s="1030"/>
    </row>
    <row r="167" spans="1:26" ht="12.75" customHeight="1" outlineLevel="1">
      <c r="A167" s="1098">
        <v>59</v>
      </c>
      <c r="B167" s="1051" t="s">
        <v>3428</v>
      </c>
      <c r="C167" s="1066" t="s">
        <v>3342</v>
      </c>
      <c r="D167" s="1113" t="s">
        <v>122</v>
      </c>
      <c r="E167" s="1136"/>
      <c r="F167" s="1073" t="s">
        <v>3410</v>
      </c>
      <c r="G167" s="1130" t="s">
        <v>3447</v>
      </c>
      <c r="H167" s="1121"/>
      <c r="I167" s="1116">
        <v>0</v>
      </c>
      <c r="J167" s="1131">
        <v>0</v>
      </c>
      <c r="K167" s="1118">
        <f t="shared" si="6"/>
        <v>0</v>
      </c>
      <c r="L167" s="1030"/>
      <c r="M167" s="1030"/>
      <c r="N167" s="1030"/>
      <c r="O167" s="1030"/>
      <c r="P167" s="1030"/>
      <c r="Q167" s="1030"/>
      <c r="R167" s="1030"/>
      <c r="S167" s="1030"/>
      <c r="T167" s="1030"/>
      <c r="U167" s="1030"/>
      <c r="V167" s="1030"/>
      <c r="W167" s="1030"/>
      <c r="X167" s="1030"/>
      <c r="Y167" s="1030"/>
      <c r="Z167" s="1030"/>
    </row>
    <row r="168" spans="1:26" ht="12.75" customHeight="1" outlineLevel="1">
      <c r="A168" s="1098">
        <v>60</v>
      </c>
      <c r="B168" s="1051" t="s">
        <v>3428</v>
      </c>
      <c r="C168" s="1066" t="s">
        <v>3342</v>
      </c>
      <c r="D168" s="1113" t="s">
        <v>122</v>
      </c>
      <c r="E168" s="1136"/>
      <c r="F168" s="1073" t="s">
        <v>3410</v>
      </c>
      <c r="G168" s="1130" t="s">
        <v>3448</v>
      </c>
      <c r="H168" s="1121"/>
      <c r="I168" s="1116">
        <v>494</v>
      </c>
      <c r="J168" s="1131">
        <v>0.3</v>
      </c>
      <c r="K168" s="1154">
        <f t="shared" si="6"/>
        <v>148.19999999999999</v>
      </c>
      <c r="L168" s="1030"/>
      <c r="M168" s="1030"/>
      <c r="N168" s="1030"/>
      <c r="O168" s="1030"/>
      <c r="P168" s="1030"/>
      <c r="Q168" s="1030"/>
      <c r="R168" s="1030"/>
      <c r="S168" s="1030"/>
      <c r="T168" s="1030"/>
      <c r="U168" s="1030"/>
      <c r="V168" s="1030"/>
      <c r="W168" s="1030"/>
      <c r="X168" s="1030"/>
      <c r="Y168" s="1030"/>
      <c r="Z168" s="1030"/>
    </row>
    <row r="169" spans="1:26" ht="12.75" customHeight="1" outlineLevel="1">
      <c r="A169" s="1098">
        <v>61</v>
      </c>
      <c r="B169" s="1051" t="s">
        <v>3428</v>
      </c>
      <c r="C169" s="1066" t="s">
        <v>3342</v>
      </c>
      <c r="D169" s="1113" t="s">
        <v>122</v>
      </c>
      <c r="E169" s="1136"/>
      <c r="F169" s="1073" t="s">
        <v>3410</v>
      </c>
      <c r="G169" s="1130" t="s">
        <v>3449</v>
      </c>
      <c r="H169" s="1121"/>
      <c r="I169" s="1116">
        <v>300</v>
      </c>
      <c r="J169" s="1131">
        <v>0.3</v>
      </c>
      <c r="K169" s="1118">
        <f t="shared" si="6"/>
        <v>90</v>
      </c>
      <c r="L169" s="1030"/>
      <c r="M169" s="1030"/>
      <c r="N169" s="1030"/>
      <c r="O169" s="1030"/>
      <c r="P169" s="1030"/>
      <c r="Q169" s="1030"/>
      <c r="R169" s="1030"/>
      <c r="S169" s="1030"/>
      <c r="T169" s="1030"/>
      <c r="U169" s="1030"/>
      <c r="V169" s="1030"/>
      <c r="W169" s="1030"/>
      <c r="X169" s="1030"/>
      <c r="Y169" s="1030"/>
      <c r="Z169" s="1030"/>
    </row>
    <row r="170" spans="1:26" ht="12.75" customHeight="1" outlineLevel="1">
      <c r="A170" s="1098">
        <v>62</v>
      </c>
      <c r="B170" s="1051" t="s">
        <v>3428</v>
      </c>
      <c r="C170" s="1066" t="s">
        <v>3342</v>
      </c>
      <c r="D170" s="1113" t="s">
        <v>122</v>
      </c>
      <c r="E170" s="1136"/>
      <c r="F170" s="1073" t="s">
        <v>3410</v>
      </c>
      <c r="G170" s="1130" t="s">
        <v>3450</v>
      </c>
      <c r="H170" s="1121"/>
      <c r="I170" s="1116">
        <f>68*2</f>
        <v>136</v>
      </c>
      <c r="J170" s="1131">
        <v>0.3</v>
      </c>
      <c r="K170" s="1118">
        <f t="shared" si="6"/>
        <v>40.799999999999997</v>
      </c>
      <c r="L170" s="1030"/>
      <c r="M170" s="1030"/>
      <c r="N170" s="1030"/>
      <c r="O170" s="1030"/>
      <c r="P170" s="1030"/>
      <c r="Q170" s="1030"/>
      <c r="R170" s="1030"/>
      <c r="S170" s="1030"/>
      <c r="T170" s="1030"/>
      <c r="U170" s="1030"/>
      <c r="V170" s="1030"/>
      <c r="W170" s="1030"/>
      <c r="X170" s="1030"/>
      <c r="Y170" s="1030"/>
      <c r="Z170" s="1030"/>
    </row>
    <row r="171" spans="1:26" ht="12.75" customHeight="1" outlineLevel="1">
      <c r="A171" s="1098">
        <v>63</v>
      </c>
      <c r="B171" s="1051" t="s">
        <v>3428</v>
      </c>
      <c r="C171" s="1066" t="s">
        <v>3342</v>
      </c>
      <c r="D171" s="1113" t="s">
        <v>122</v>
      </c>
      <c r="E171" s="1136"/>
      <c r="F171" s="1073" t="s">
        <v>3410</v>
      </c>
      <c r="G171" s="1130" t="s">
        <v>3451</v>
      </c>
      <c r="H171" s="1121"/>
      <c r="I171" s="1116">
        <v>68</v>
      </c>
      <c r="J171" s="1131">
        <v>0.3</v>
      </c>
      <c r="K171" s="1118">
        <f t="shared" si="6"/>
        <v>20.399999999999999</v>
      </c>
      <c r="L171" s="1030"/>
      <c r="M171" s="1030"/>
      <c r="N171" s="1030"/>
      <c r="O171" s="1030"/>
      <c r="P171" s="1030"/>
      <c r="Q171" s="1030"/>
      <c r="R171" s="1030"/>
      <c r="S171" s="1030"/>
      <c r="T171" s="1030"/>
      <c r="U171" s="1030"/>
      <c r="V171" s="1030"/>
      <c r="W171" s="1030"/>
      <c r="X171" s="1030"/>
      <c r="Y171" s="1030"/>
      <c r="Z171" s="1030"/>
    </row>
    <row r="172" spans="1:26" ht="12.75" customHeight="1" outlineLevel="1">
      <c r="A172" s="1098">
        <v>64</v>
      </c>
      <c r="B172" s="1051" t="s">
        <v>3428</v>
      </c>
      <c r="C172" s="1066" t="s">
        <v>3342</v>
      </c>
      <c r="D172" s="1113" t="s">
        <v>122</v>
      </c>
      <c r="E172" s="1136"/>
      <c r="F172" s="1073" t="s">
        <v>3410</v>
      </c>
      <c r="G172" s="1130" t="s">
        <v>3452</v>
      </c>
      <c r="H172" s="1121"/>
      <c r="I172" s="1116">
        <v>244</v>
      </c>
      <c r="J172" s="1131">
        <v>0.3</v>
      </c>
      <c r="K172" s="1118">
        <f t="shared" si="6"/>
        <v>73.2</v>
      </c>
      <c r="L172" s="1030"/>
      <c r="M172" s="1030"/>
      <c r="N172" s="1030"/>
      <c r="O172" s="1030"/>
      <c r="P172" s="1030"/>
      <c r="Q172" s="1030"/>
      <c r="R172" s="1030"/>
      <c r="S172" s="1030"/>
      <c r="T172" s="1030"/>
      <c r="U172" s="1030"/>
      <c r="V172" s="1030"/>
      <c r="W172" s="1030"/>
      <c r="X172" s="1030"/>
      <c r="Y172" s="1030"/>
      <c r="Z172" s="1030"/>
    </row>
    <row r="173" spans="1:26" ht="12.75" customHeight="1" outlineLevel="1">
      <c r="A173" s="1098">
        <v>65</v>
      </c>
      <c r="B173" s="1051" t="s">
        <v>3428</v>
      </c>
      <c r="C173" s="1066" t="s">
        <v>3342</v>
      </c>
      <c r="D173" s="1113" t="s">
        <v>122</v>
      </c>
      <c r="E173" s="1136"/>
      <c r="F173" s="1073" t="s">
        <v>3410</v>
      </c>
      <c r="G173" s="1130" t="s">
        <v>3453</v>
      </c>
      <c r="H173" s="1133"/>
      <c r="I173" s="1116">
        <v>292</v>
      </c>
      <c r="J173" s="1131">
        <v>0.3</v>
      </c>
      <c r="K173" s="1118">
        <f t="shared" si="6"/>
        <v>87.6</v>
      </c>
      <c r="L173" s="1030"/>
      <c r="M173" s="1030"/>
      <c r="N173" s="1030"/>
      <c r="O173" s="1030"/>
      <c r="P173" s="1030"/>
      <c r="Q173" s="1030"/>
      <c r="R173" s="1030"/>
      <c r="S173" s="1030"/>
      <c r="T173" s="1030"/>
      <c r="U173" s="1030"/>
      <c r="V173" s="1030"/>
      <c r="W173" s="1030"/>
      <c r="X173" s="1030"/>
      <c r="Y173" s="1030"/>
      <c r="Z173" s="1030"/>
    </row>
    <row r="174" spans="1:26" ht="12.75" customHeight="1" outlineLevel="1">
      <c r="A174" s="1098">
        <v>66</v>
      </c>
      <c r="B174" s="1051" t="s">
        <v>3428</v>
      </c>
      <c r="C174" s="1066" t="s">
        <v>3342</v>
      </c>
      <c r="D174" s="1113" t="s">
        <v>122</v>
      </c>
      <c r="E174" s="1136"/>
      <c r="F174" s="1073" t="s">
        <v>3410</v>
      </c>
      <c r="G174" s="1130" t="s">
        <v>3454</v>
      </c>
      <c r="H174" s="1121"/>
      <c r="I174" s="1116">
        <v>40</v>
      </c>
      <c r="J174" s="1131">
        <v>0.3</v>
      </c>
      <c r="K174" s="1118">
        <f t="shared" si="6"/>
        <v>12</v>
      </c>
      <c r="L174" s="1030"/>
      <c r="M174" s="1030"/>
      <c r="N174" s="1030"/>
      <c r="O174" s="1030"/>
      <c r="P174" s="1030"/>
      <c r="Q174" s="1030"/>
      <c r="R174" s="1030"/>
      <c r="S174" s="1030"/>
      <c r="T174" s="1030"/>
      <c r="U174" s="1030"/>
      <c r="V174" s="1030"/>
      <c r="W174" s="1030"/>
      <c r="X174" s="1030"/>
      <c r="Y174" s="1030"/>
      <c r="Z174" s="1030"/>
    </row>
    <row r="175" spans="1:26" ht="12.75" customHeight="1" outlineLevel="1">
      <c r="A175" s="1098">
        <v>67</v>
      </c>
      <c r="B175" s="1051" t="s">
        <v>3428</v>
      </c>
      <c r="C175" s="1066" t="s">
        <v>3342</v>
      </c>
      <c r="D175" s="1113" t="s">
        <v>122</v>
      </c>
      <c r="E175" s="1136"/>
      <c r="F175" s="1073" t="s">
        <v>3410</v>
      </c>
      <c r="G175" s="1130" t="s">
        <v>3455</v>
      </c>
      <c r="H175" s="1121"/>
      <c r="I175" s="1116">
        <v>448</v>
      </c>
      <c r="J175" s="1131">
        <v>0.3</v>
      </c>
      <c r="K175" s="1118">
        <f t="shared" si="6"/>
        <v>134.4</v>
      </c>
      <c r="L175" s="1030"/>
      <c r="M175" s="1030"/>
      <c r="N175" s="1030"/>
      <c r="O175" s="1030"/>
      <c r="P175" s="1030"/>
      <c r="Q175" s="1030"/>
      <c r="R175" s="1030"/>
      <c r="S175" s="1030"/>
      <c r="T175" s="1030"/>
      <c r="U175" s="1030"/>
      <c r="V175" s="1030"/>
      <c r="W175" s="1030"/>
      <c r="X175" s="1030"/>
      <c r="Y175" s="1030"/>
      <c r="Z175" s="1030"/>
    </row>
    <row r="176" spans="1:26" ht="12.75" customHeight="1" outlineLevel="1">
      <c r="A176" s="1098">
        <v>68</v>
      </c>
      <c r="B176" s="1051" t="s">
        <v>3428</v>
      </c>
      <c r="C176" s="1066" t="s">
        <v>3342</v>
      </c>
      <c r="D176" s="1113" t="s">
        <v>122</v>
      </c>
      <c r="E176" s="1136"/>
      <c r="F176" s="1073" t="s">
        <v>3410</v>
      </c>
      <c r="G176" s="1130" t="s">
        <v>3456</v>
      </c>
      <c r="H176" s="1121" t="s">
        <v>3413</v>
      </c>
      <c r="I176" s="1116">
        <v>0</v>
      </c>
      <c r="J176" s="1131">
        <v>0.3</v>
      </c>
      <c r="K176" s="1118">
        <f t="shared" si="6"/>
        <v>0</v>
      </c>
      <c r="L176" s="1030"/>
      <c r="M176" s="1030"/>
      <c r="N176" s="1030"/>
      <c r="O176" s="1030"/>
      <c r="P176" s="1030"/>
      <c r="Q176" s="1030"/>
      <c r="R176" s="1030"/>
      <c r="S176" s="1030"/>
      <c r="T176" s="1030"/>
      <c r="U176" s="1030"/>
      <c r="V176" s="1030"/>
      <c r="W176" s="1030"/>
      <c r="X176" s="1030"/>
      <c r="Y176" s="1030"/>
      <c r="Z176" s="1030"/>
    </row>
    <row r="177" spans="1:26" ht="12.75" customHeight="1" outlineLevel="1">
      <c r="A177" s="1077">
        <v>69</v>
      </c>
      <c r="B177" s="1078" t="s">
        <v>3428</v>
      </c>
      <c r="C177" s="1079" t="s">
        <v>3342</v>
      </c>
      <c r="D177" s="1155" t="s">
        <v>122</v>
      </c>
      <c r="E177" s="1083"/>
      <c r="F177" s="1081" t="s">
        <v>3410</v>
      </c>
      <c r="G177" s="1080" t="s">
        <v>3457</v>
      </c>
      <c r="H177" s="1083"/>
      <c r="I177" s="1156">
        <v>578</v>
      </c>
      <c r="J177" s="1157">
        <v>0.3</v>
      </c>
      <c r="K177" s="1158">
        <f t="shared" si="6"/>
        <v>173.4</v>
      </c>
      <c r="L177" s="1086"/>
      <c r="M177" s="1086"/>
      <c r="N177" s="1086"/>
      <c r="O177" s="1086"/>
      <c r="P177" s="1086"/>
      <c r="Q177" s="1086"/>
      <c r="R177" s="1086"/>
      <c r="S177" s="1086"/>
      <c r="T177" s="1086"/>
      <c r="U177" s="1086"/>
      <c r="V177" s="1086"/>
      <c r="W177" s="1086"/>
      <c r="X177" s="1086"/>
      <c r="Y177" s="1086"/>
      <c r="Z177" s="1086"/>
    </row>
    <row r="178" spans="1:26" ht="12.75" customHeight="1" outlineLevel="1">
      <c r="A178" s="1098">
        <v>69</v>
      </c>
      <c r="B178" s="1051" t="s">
        <v>3428</v>
      </c>
      <c r="C178" s="1066" t="s">
        <v>3342</v>
      </c>
      <c r="D178" s="1113" t="s">
        <v>122</v>
      </c>
      <c r="E178" s="1136"/>
      <c r="F178" s="1073" t="s">
        <v>3410</v>
      </c>
      <c r="G178" s="1130" t="s">
        <v>3503</v>
      </c>
      <c r="H178" s="1121"/>
      <c r="I178" s="1116">
        <v>500</v>
      </c>
      <c r="J178" s="1131">
        <v>0.3</v>
      </c>
      <c r="K178" s="1118">
        <f t="shared" si="6"/>
        <v>150</v>
      </c>
      <c r="L178" s="1030"/>
      <c r="M178" s="1030"/>
      <c r="N178" s="1030"/>
      <c r="O178" s="1030"/>
      <c r="P178" s="1030"/>
      <c r="Q178" s="1030"/>
      <c r="R178" s="1030"/>
      <c r="S178" s="1030"/>
      <c r="T178" s="1030"/>
      <c r="U178" s="1030"/>
      <c r="V178" s="1030"/>
      <c r="W178" s="1030"/>
      <c r="X178" s="1030"/>
      <c r="Y178" s="1030"/>
      <c r="Z178" s="1030"/>
    </row>
    <row r="179" spans="1:26" ht="12.75" customHeight="1" outlineLevel="1">
      <c r="A179" s="1098">
        <v>70</v>
      </c>
      <c r="B179" s="1051" t="s">
        <v>3428</v>
      </c>
      <c r="C179" s="1066" t="s">
        <v>3342</v>
      </c>
      <c r="D179" s="1113" t="s">
        <v>122</v>
      </c>
      <c r="E179" s="1136"/>
      <c r="F179" s="1073" t="s">
        <v>3410</v>
      </c>
      <c r="G179" s="1035" t="s">
        <v>3458</v>
      </c>
      <c r="H179" s="1114" t="s">
        <v>3459</v>
      </c>
      <c r="I179" s="1114"/>
      <c r="J179" s="1114"/>
      <c r="K179" s="1118">
        <v>80</v>
      </c>
      <c r="L179" s="1030"/>
      <c r="M179" s="1030"/>
      <c r="N179" s="1030"/>
      <c r="O179" s="1030"/>
      <c r="P179" s="1030"/>
      <c r="Q179" s="1030"/>
      <c r="R179" s="1030"/>
      <c r="S179" s="1030"/>
      <c r="T179" s="1030"/>
      <c r="U179" s="1030"/>
      <c r="V179" s="1030"/>
      <c r="W179" s="1030"/>
      <c r="X179" s="1030"/>
      <c r="Y179" s="1030"/>
      <c r="Z179" s="1030"/>
    </row>
    <row r="180" spans="1:26" ht="12.75" customHeight="1" outlineLevel="1">
      <c r="A180" s="1098">
        <v>71</v>
      </c>
      <c r="B180" s="1051" t="s">
        <v>3473</v>
      </c>
      <c r="C180" s="1066" t="s">
        <v>3342</v>
      </c>
      <c r="D180" s="1113" t="s">
        <v>122</v>
      </c>
      <c r="E180" s="1136"/>
      <c r="F180" s="1073" t="s">
        <v>3410</v>
      </c>
      <c r="G180" s="1035" t="s">
        <v>3504</v>
      </c>
      <c r="H180" s="1114"/>
      <c r="I180" s="1114"/>
      <c r="J180" s="1114"/>
      <c r="K180" s="1118"/>
      <c r="L180" s="1030"/>
      <c r="M180" s="1030"/>
      <c r="N180" s="1030"/>
      <c r="O180" s="1030"/>
      <c r="P180" s="1030"/>
      <c r="Q180" s="1030"/>
      <c r="R180" s="1030"/>
      <c r="S180" s="1030"/>
      <c r="T180" s="1030"/>
      <c r="U180" s="1030"/>
      <c r="V180" s="1030"/>
      <c r="W180" s="1030"/>
      <c r="X180" s="1030"/>
      <c r="Y180" s="1030"/>
      <c r="Z180" s="1030"/>
    </row>
    <row r="181" spans="1:26" ht="12.75" customHeight="1" outlineLevel="1">
      <c r="A181" s="1098">
        <v>72</v>
      </c>
      <c r="B181" s="1051" t="s">
        <v>3473</v>
      </c>
      <c r="C181" s="1066" t="s">
        <v>3342</v>
      </c>
      <c r="D181" s="1113" t="s">
        <v>122</v>
      </c>
      <c r="E181" s="1136"/>
      <c r="F181" s="1073" t="s">
        <v>3410</v>
      </c>
      <c r="G181" s="1035" t="s">
        <v>3505</v>
      </c>
      <c r="H181" s="1114" t="s">
        <v>3506</v>
      </c>
      <c r="I181" s="1114"/>
      <c r="J181" s="1114"/>
      <c r="K181" s="1118">
        <v>43.92</v>
      </c>
      <c r="L181" s="1030"/>
      <c r="M181" s="1030"/>
      <c r="N181" s="1030"/>
      <c r="O181" s="1030"/>
      <c r="P181" s="1030"/>
      <c r="Q181" s="1030"/>
      <c r="R181" s="1030"/>
      <c r="S181" s="1030"/>
      <c r="T181" s="1030"/>
      <c r="U181" s="1030"/>
      <c r="V181" s="1030"/>
      <c r="W181" s="1030"/>
      <c r="X181" s="1030"/>
      <c r="Y181" s="1030"/>
      <c r="Z181" s="1030"/>
    </row>
    <row r="182" spans="1:26" ht="12.75" customHeight="1" outlineLevel="1">
      <c r="A182" s="1098">
        <f t="shared" ref="A182:A183" si="7">A181+1</f>
        <v>73</v>
      </c>
      <c r="B182" s="1051" t="s">
        <v>3428</v>
      </c>
      <c r="C182" s="1066" t="s">
        <v>3342</v>
      </c>
      <c r="D182" s="1113" t="s">
        <v>122</v>
      </c>
      <c r="E182" s="1136"/>
      <c r="F182" s="1073" t="s">
        <v>3410</v>
      </c>
      <c r="G182" s="1035" t="s">
        <v>3460</v>
      </c>
      <c r="H182" s="1114" t="s">
        <v>3461</v>
      </c>
      <c r="I182" s="1114"/>
      <c r="J182" s="1114"/>
      <c r="K182" s="1118">
        <v>251.9</v>
      </c>
      <c r="L182" s="1030"/>
      <c r="M182" s="1030"/>
      <c r="N182" s="1030"/>
      <c r="O182" s="1030"/>
      <c r="P182" s="1030"/>
      <c r="Q182" s="1030"/>
      <c r="R182" s="1030"/>
      <c r="S182" s="1030"/>
      <c r="T182" s="1030"/>
      <c r="U182" s="1030"/>
      <c r="V182" s="1030"/>
      <c r="W182" s="1030"/>
      <c r="X182" s="1030"/>
      <c r="Y182" s="1030"/>
      <c r="Z182" s="1030"/>
    </row>
    <row r="183" spans="1:26" ht="12.75" customHeight="1" outlineLevel="1">
      <c r="A183" s="1098">
        <f t="shared" si="7"/>
        <v>74</v>
      </c>
      <c r="B183" s="1051" t="s">
        <v>3428</v>
      </c>
      <c r="C183" s="1066" t="s">
        <v>3342</v>
      </c>
      <c r="D183" s="1113" t="s">
        <v>122</v>
      </c>
      <c r="E183" s="1136"/>
      <c r="F183" s="1073" t="s">
        <v>3410</v>
      </c>
      <c r="G183" s="1035" t="s">
        <v>3507</v>
      </c>
      <c r="H183" s="1114"/>
      <c r="I183" s="1114"/>
      <c r="J183" s="1114"/>
      <c r="K183" s="1118">
        <v>0</v>
      </c>
      <c r="L183" s="1159"/>
      <c r="M183" s="1030"/>
      <c r="N183" s="1030"/>
      <c r="O183" s="1030"/>
      <c r="P183" s="1030"/>
      <c r="Q183" s="1030"/>
      <c r="R183" s="1030"/>
      <c r="S183" s="1030"/>
      <c r="T183" s="1030"/>
      <c r="U183" s="1030"/>
      <c r="V183" s="1030"/>
      <c r="W183" s="1030"/>
      <c r="X183" s="1030"/>
      <c r="Y183" s="1030"/>
      <c r="Z183" s="1030"/>
    </row>
    <row r="184" spans="1:26" ht="15.75" customHeight="1" outlineLevel="1">
      <c r="A184" s="1098">
        <v>30</v>
      </c>
      <c r="B184" s="1051" t="s">
        <v>3466</v>
      </c>
      <c r="C184" s="1066" t="s">
        <v>3342</v>
      </c>
      <c r="D184" s="1113" t="s">
        <v>122</v>
      </c>
      <c r="E184" s="1136"/>
      <c r="F184" s="1142" t="s">
        <v>3410</v>
      </c>
      <c r="G184" s="1035" t="s">
        <v>3467</v>
      </c>
      <c r="H184" s="1137" t="s">
        <v>3508</v>
      </c>
      <c r="I184" s="1143" t="s">
        <v>3469</v>
      </c>
      <c r="J184" s="1139"/>
      <c r="K184" s="1118">
        <f>9286.2+4109.09+121.5+3709.09+87.23</f>
        <v>17313.11</v>
      </c>
      <c r="L184" s="1140"/>
      <c r="M184" s="1141"/>
      <c r="N184" s="1030"/>
      <c r="O184" s="1030"/>
      <c r="P184" s="1030"/>
      <c r="Q184" s="1030"/>
      <c r="R184" s="1030"/>
      <c r="S184" s="1030"/>
      <c r="T184" s="1030"/>
      <c r="U184" s="1030"/>
      <c r="V184" s="1030"/>
      <c r="W184" s="1030"/>
      <c r="X184" s="1030"/>
      <c r="Y184" s="1030"/>
      <c r="Z184" s="1030"/>
    </row>
    <row r="185" spans="1:26" ht="25.5" customHeight="1" outlineLevel="1">
      <c r="A185" s="1098">
        <v>31</v>
      </c>
      <c r="B185" s="1051" t="s">
        <v>3470</v>
      </c>
      <c r="C185" s="1066" t="s">
        <v>3342</v>
      </c>
      <c r="D185" s="1113" t="s">
        <v>122</v>
      </c>
      <c r="E185" s="1136"/>
      <c r="F185" s="1073" t="s">
        <v>3410</v>
      </c>
      <c r="G185" s="1035" t="s">
        <v>3471</v>
      </c>
      <c r="H185" s="1137" t="s">
        <v>3509</v>
      </c>
      <c r="I185" s="1143"/>
      <c r="J185" s="1139"/>
      <c r="K185" s="1118">
        <v>1930</v>
      </c>
      <c r="L185" s="1140"/>
      <c r="M185" s="1141"/>
      <c r="N185" s="1030"/>
      <c r="O185" s="1030"/>
      <c r="P185" s="1030"/>
      <c r="Q185" s="1030"/>
      <c r="R185" s="1030"/>
      <c r="S185" s="1030"/>
      <c r="T185" s="1030"/>
      <c r="U185" s="1030"/>
      <c r="V185" s="1030"/>
      <c r="W185" s="1030"/>
      <c r="X185" s="1030"/>
      <c r="Y185" s="1030"/>
      <c r="Z185" s="1030"/>
    </row>
    <row r="186" spans="1:26" ht="15.75" customHeight="1" outlineLevel="1">
      <c r="A186" s="1098">
        <f>A185+1</f>
        <v>32</v>
      </c>
      <c r="B186" s="1051" t="s">
        <v>3485</v>
      </c>
      <c r="C186" s="1066" t="s">
        <v>3342</v>
      </c>
      <c r="D186" s="1113" t="s">
        <v>122</v>
      </c>
      <c r="E186" s="1136"/>
      <c r="F186" s="1073" t="s">
        <v>3410</v>
      </c>
      <c r="G186" s="1035" t="s">
        <v>3510</v>
      </c>
      <c r="H186" s="1114" t="s">
        <v>3511</v>
      </c>
      <c r="I186" s="1114" t="s">
        <v>3512</v>
      </c>
      <c r="J186" s="1114"/>
      <c r="K186" s="1118">
        <v>115</v>
      </c>
      <c r="L186" s="1160"/>
      <c r="M186" s="1103"/>
      <c r="N186" s="1103"/>
      <c r="O186" s="1103"/>
      <c r="P186" s="1103"/>
      <c r="Q186" s="1103"/>
      <c r="R186" s="1103"/>
      <c r="S186" s="1103"/>
      <c r="T186" s="1103"/>
      <c r="U186" s="1103"/>
      <c r="V186" s="1103"/>
      <c r="W186" s="1103"/>
      <c r="X186" s="1103"/>
      <c r="Y186" s="1103"/>
      <c r="Z186" s="1103"/>
    </row>
    <row r="187" spans="1:26" ht="15.75" customHeight="1" outlineLevel="1">
      <c r="A187" s="1098">
        <v>37</v>
      </c>
      <c r="B187" s="1051" t="s">
        <v>3462</v>
      </c>
      <c r="C187" s="1066" t="s">
        <v>3342</v>
      </c>
      <c r="D187" s="1113" t="s">
        <v>122</v>
      </c>
      <c r="E187" s="1136"/>
      <c r="F187" s="1073" t="s">
        <v>3410</v>
      </c>
      <c r="G187" s="1035" t="s">
        <v>3513</v>
      </c>
      <c r="H187" s="1137" t="s">
        <v>3514</v>
      </c>
      <c r="I187" s="1137" t="s">
        <v>3484</v>
      </c>
      <c r="J187" s="1139"/>
      <c r="K187" s="1118">
        <f>2.9*220</f>
        <v>638</v>
      </c>
      <c r="L187" s="1134"/>
      <c r="M187" s="1030"/>
      <c r="N187" s="1030"/>
      <c r="O187" s="1030"/>
      <c r="P187" s="1030"/>
      <c r="Q187" s="1030"/>
      <c r="R187" s="1030"/>
      <c r="S187" s="1030"/>
      <c r="T187" s="1030"/>
      <c r="U187" s="1030"/>
      <c r="V187" s="1030"/>
      <c r="W187" s="1030"/>
      <c r="X187" s="1030"/>
      <c r="Y187" s="1030"/>
      <c r="Z187" s="1030"/>
    </row>
    <row r="188" spans="1:26" ht="26.25" customHeight="1" outlineLevel="1">
      <c r="A188" s="1098">
        <f t="shared" ref="A188:A189" si="8">A187+1</f>
        <v>38</v>
      </c>
      <c r="B188" s="1051" t="s">
        <v>3473</v>
      </c>
      <c r="C188" s="1112" t="s">
        <v>3342</v>
      </c>
      <c r="D188" s="1113" t="s">
        <v>122</v>
      </c>
      <c r="E188" s="1114"/>
      <c r="F188" s="1073" t="s">
        <v>3410</v>
      </c>
      <c r="G188" s="1035" t="s">
        <v>3474</v>
      </c>
      <c r="H188" s="1114" t="s">
        <v>3515</v>
      </c>
      <c r="I188" s="1114"/>
      <c r="J188" s="1114"/>
      <c r="K188" s="1161">
        <v>2500</v>
      </c>
      <c r="L188" s="1162"/>
      <c r="M188" s="1030"/>
      <c r="N188" s="1030"/>
      <c r="O188" s="1030"/>
      <c r="P188" s="1030"/>
      <c r="Q188" s="1030"/>
      <c r="R188" s="1030"/>
      <c r="S188" s="1030"/>
      <c r="T188" s="1030"/>
      <c r="U188" s="1030"/>
      <c r="V188" s="1030"/>
      <c r="W188" s="1030"/>
      <c r="X188" s="1030"/>
      <c r="Y188" s="1030"/>
      <c r="Z188" s="1030"/>
    </row>
    <row r="189" spans="1:26" ht="15.75" customHeight="1" outlineLevel="1">
      <c r="A189" s="1098">
        <f t="shared" si="8"/>
        <v>39</v>
      </c>
      <c r="B189" s="1051" t="s">
        <v>3473</v>
      </c>
      <c r="C189" s="1112" t="s">
        <v>3342</v>
      </c>
      <c r="D189" s="1113" t="s">
        <v>122</v>
      </c>
      <c r="E189" s="1114"/>
      <c r="F189" s="1073" t="s">
        <v>3410</v>
      </c>
      <c r="G189" s="1035" t="s">
        <v>3474</v>
      </c>
      <c r="H189" s="1114" t="s">
        <v>3516</v>
      </c>
      <c r="I189" s="1114" t="s">
        <v>3517</v>
      </c>
      <c r="J189" s="1114"/>
      <c r="K189" s="1118">
        <v>180</v>
      </c>
      <c r="L189" s="1162"/>
      <c r="M189" s="1030"/>
      <c r="N189" s="1030"/>
      <c r="O189" s="1030"/>
      <c r="P189" s="1030"/>
      <c r="Q189" s="1030"/>
      <c r="R189" s="1030"/>
      <c r="S189" s="1030"/>
      <c r="T189" s="1030"/>
      <c r="U189" s="1030"/>
      <c r="V189" s="1030"/>
      <c r="W189" s="1030"/>
      <c r="X189" s="1030"/>
      <c r="Y189" s="1030"/>
      <c r="Z189" s="1030"/>
    </row>
    <row r="190" spans="1:26" ht="15.75" customHeight="1" outlineLevel="1">
      <c r="A190" s="1098">
        <v>34</v>
      </c>
      <c r="B190" s="1051" t="s">
        <v>3473</v>
      </c>
      <c r="C190" s="1112" t="s">
        <v>3342</v>
      </c>
      <c r="D190" s="1113" t="s">
        <v>122</v>
      </c>
      <c r="E190" s="1114"/>
      <c r="F190" s="1073" t="s">
        <v>3410</v>
      </c>
      <c r="G190" s="1136" t="s">
        <v>3479</v>
      </c>
      <c r="H190" s="1035" t="s">
        <v>3480</v>
      </c>
      <c r="I190" s="1035" t="s">
        <v>3518</v>
      </c>
      <c r="J190" s="1147"/>
      <c r="K190" s="1118">
        <f>3.84*220</f>
        <v>844.8</v>
      </c>
      <c r="L190" s="1134"/>
      <c r="M190" s="1030"/>
      <c r="N190" s="1030"/>
      <c r="O190" s="1030"/>
      <c r="P190" s="1030"/>
      <c r="Q190" s="1030"/>
      <c r="R190" s="1030"/>
      <c r="S190" s="1030"/>
      <c r="T190" s="1030"/>
      <c r="U190" s="1030"/>
      <c r="V190" s="1030"/>
      <c r="W190" s="1030"/>
      <c r="X190" s="1030"/>
      <c r="Y190" s="1030"/>
      <c r="Z190" s="1030"/>
    </row>
    <row r="191" spans="1:26" ht="12.75" customHeight="1" outlineLevel="1">
      <c r="A191" s="1098">
        <f>A190+1</f>
        <v>35</v>
      </c>
      <c r="B191" s="1051" t="s">
        <v>3462</v>
      </c>
      <c r="C191" s="1066" t="s">
        <v>3342</v>
      </c>
      <c r="D191" s="1113" t="s">
        <v>122</v>
      </c>
      <c r="E191" s="1136"/>
      <c r="F191" s="1073" t="s">
        <v>3410</v>
      </c>
      <c r="G191" s="1035" t="s">
        <v>3519</v>
      </c>
      <c r="H191" s="1114" t="s">
        <v>3520</v>
      </c>
      <c r="I191" s="1114"/>
      <c r="J191" s="1114"/>
      <c r="K191" s="1118">
        <v>4200</v>
      </c>
      <c r="L191" s="1159"/>
      <c r="M191" s="1030"/>
      <c r="N191" s="1030"/>
      <c r="O191" s="1030"/>
      <c r="P191" s="1030"/>
      <c r="Q191" s="1030"/>
      <c r="R191" s="1030"/>
      <c r="S191" s="1030"/>
      <c r="T191" s="1030"/>
      <c r="U191" s="1030"/>
      <c r="V191" s="1030"/>
      <c r="W191" s="1030"/>
      <c r="X191" s="1030"/>
      <c r="Y191" s="1030"/>
      <c r="Z191" s="1030"/>
    </row>
    <row r="192" spans="1:26" ht="24" customHeight="1" outlineLevel="1">
      <c r="A192" s="1098">
        <v>38</v>
      </c>
      <c r="B192" s="1051" t="s">
        <v>3485</v>
      </c>
      <c r="C192" s="1066" t="s">
        <v>3342</v>
      </c>
      <c r="D192" s="1113" t="s">
        <v>122</v>
      </c>
      <c r="E192" s="1136"/>
      <c r="F192" s="1142" t="s">
        <v>3410</v>
      </c>
      <c r="G192" s="1035" t="s">
        <v>3491</v>
      </c>
      <c r="H192" s="1137" t="s">
        <v>3521</v>
      </c>
      <c r="I192" s="1137"/>
      <c r="J192" s="1139"/>
      <c r="K192" s="1118">
        <v>357.72</v>
      </c>
      <c r="L192" s="1134"/>
      <c r="M192" s="1030"/>
      <c r="N192" s="1030"/>
      <c r="O192" s="1030"/>
      <c r="P192" s="1030"/>
      <c r="Q192" s="1030"/>
      <c r="R192" s="1030"/>
      <c r="S192" s="1030"/>
      <c r="T192" s="1030"/>
      <c r="U192" s="1030"/>
      <c r="V192" s="1030"/>
      <c r="W192" s="1030"/>
      <c r="X192" s="1030"/>
      <c r="Y192" s="1030"/>
      <c r="Z192" s="1030"/>
    </row>
    <row r="193" spans="1:26" ht="45" customHeight="1" outlineLevel="1">
      <c r="A193" s="1098">
        <v>40</v>
      </c>
      <c r="B193" s="1051" t="s">
        <v>3485</v>
      </c>
      <c r="C193" s="1066" t="s">
        <v>3342</v>
      </c>
      <c r="D193" s="1113" t="s">
        <v>122</v>
      </c>
      <c r="E193" s="1136"/>
      <c r="F193" s="1142" t="s">
        <v>3410</v>
      </c>
      <c r="G193" s="1149" t="s">
        <v>3495</v>
      </c>
      <c r="H193" s="1137" t="s">
        <v>3494</v>
      </c>
      <c r="I193" s="1137" t="s">
        <v>3496</v>
      </c>
      <c r="J193" s="1139"/>
      <c r="K193" s="1118">
        <f>3.7+3.7+26.84</f>
        <v>34.24</v>
      </c>
      <c r="L193" s="1030"/>
      <c r="M193" s="1030"/>
      <c r="N193" s="1030"/>
      <c r="O193" s="1030"/>
      <c r="P193" s="1030"/>
      <c r="Q193" s="1030"/>
      <c r="R193" s="1030"/>
      <c r="S193" s="1030"/>
      <c r="T193" s="1030"/>
      <c r="U193" s="1030"/>
      <c r="V193" s="1030"/>
      <c r="W193" s="1030"/>
      <c r="X193" s="1030"/>
      <c r="Y193" s="1030"/>
      <c r="Z193" s="1030"/>
    </row>
    <row r="194" spans="1:26" ht="12.75" customHeight="1" outlineLevel="1">
      <c r="A194" s="1098">
        <f t="shared" ref="A194:A196" si="9">A193+1</f>
        <v>41</v>
      </c>
      <c r="B194" s="1051" t="s">
        <v>3428</v>
      </c>
      <c r="C194" s="1066" t="s">
        <v>3342</v>
      </c>
      <c r="D194" s="1113" t="s">
        <v>122</v>
      </c>
      <c r="E194" s="1152"/>
      <c r="F194" s="1073" t="s">
        <v>3414</v>
      </c>
      <c r="G194" s="1035" t="s">
        <v>3429</v>
      </c>
      <c r="H194" s="1114"/>
      <c r="I194" s="1114">
        <v>120</v>
      </c>
      <c r="J194" s="1117">
        <v>0.3</v>
      </c>
      <c r="K194" s="1118">
        <f t="shared" ref="K194:K222" si="10">I194*J194</f>
        <v>36</v>
      </c>
      <c r="L194" s="1030"/>
      <c r="M194" s="1030"/>
      <c r="N194" s="1030"/>
      <c r="O194" s="1030"/>
      <c r="P194" s="1030"/>
      <c r="Q194" s="1030"/>
      <c r="R194" s="1030"/>
      <c r="S194" s="1030"/>
      <c r="T194" s="1030"/>
      <c r="U194" s="1030"/>
      <c r="V194" s="1030"/>
      <c r="W194" s="1030"/>
      <c r="X194" s="1030"/>
      <c r="Y194" s="1030"/>
      <c r="Z194" s="1030"/>
    </row>
    <row r="195" spans="1:26" ht="12.75" customHeight="1" outlineLevel="1">
      <c r="A195" s="1098">
        <f t="shared" si="9"/>
        <v>42</v>
      </c>
      <c r="B195" s="1051" t="s">
        <v>3428</v>
      </c>
      <c r="C195" s="1066" t="s">
        <v>3342</v>
      </c>
      <c r="D195" s="1113" t="s">
        <v>122</v>
      </c>
      <c r="E195" s="1152"/>
      <c r="F195" s="1073" t="s">
        <v>3414</v>
      </c>
      <c r="G195" s="1035" t="s">
        <v>3431</v>
      </c>
      <c r="H195" s="1114"/>
      <c r="I195" s="1114">
        <v>0</v>
      </c>
      <c r="J195" s="1122">
        <v>0.3</v>
      </c>
      <c r="K195" s="1118">
        <f t="shared" si="10"/>
        <v>0</v>
      </c>
      <c r="L195" s="1030"/>
      <c r="M195" s="1030"/>
      <c r="N195" s="1030"/>
      <c r="O195" s="1030"/>
      <c r="P195" s="1030"/>
      <c r="Q195" s="1030"/>
      <c r="R195" s="1030"/>
      <c r="S195" s="1030"/>
      <c r="T195" s="1030"/>
      <c r="U195" s="1030"/>
      <c r="V195" s="1030"/>
      <c r="W195" s="1030"/>
      <c r="X195" s="1030"/>
      <c r="Y195" s="1030"/>
      <c r="Z195" s="1030"/>
    </row>
    <row r="196" spans="1:26" ht="12.75" customHeight="1" outlineLevel="1">
      <c r="A196" s="1098">
        <f t="shared" si="9"/>
        <v>43</v>
      </c>
      <c r="B196" s="1051" t="s">
        <v>3428</v>
      </c>
      <c r="C196" s="1066" t="s">
        <v>3342</v>
      </c>
      <c r="D196" s="1113" t="s">
        <v>122</v>
      </c>
      <c r="E196" s="1152"/>
      <c r="F196" s="1073" t="s">
        <v>3414</v>
      </c>
      <c r="G196" s="1035" t="s">
        <v>3433</v>
      </c>
      <c r="H196" s="1114"/>
      <c r="I196" s="1114">
        <f>179*2</f>
        <v>358</v>
      </c>
      <c r="J196" s="1122">
        <v>0.3</v>
      </c>
      <c r="K196" s="1118">
        <f t="shared" si="10"/>
        <v>107.39999999999999</v>
      </c>
      <c r="L196" s="1030"/>
      <c r="M196" s="1030"/>
      <c r="N196" s="1030"/>
      <c r="O196" s="1030"/>
      <c r="P196" s="1030"/>
      <c r="Q196" s="1030"/>
      <c r="R196" s="1030"/>
      <c r="S196" s="1030"/>
      <c r="T196" s="1030"/>
      <c r="U196" s="1030"/>
      <c r="V196" s="1030"/>
      <c r="W196" s="1030"/>
      <c r="X196" s="1030"/>
      <c r="Y196" s="1030"/>
      <c r="Z196" s="1030"/>
    </row>
    <row r="197" spans="1:26" ht="12.75" customHeight="1" outlineLevel="1">
      <c r="A197" s="1098">
        <v>46</v>
      </c>
      <c r="B197" s="1051" t="s">
        <v>3428</v>
      </c>
      <c r="C197" s="1066" t="s">
        <v>3342</v>
      </c>
      <c r="D197" s="1113" t="s">
        <v>122</v>
      </c>
      <c r="E197" s="1153"/>
      <c r="F197" s="1073" t="s">
        <v>3414</v>
      </c>
      <c r="G197" s="1035" t="s">
        <v>3435</v>
      </c>
      <c r="H197" s="1123"/>
      <c r="I197" s="1116">
        <f>25*2</f>
        <v>50</v>
      </c>
      <c r="J197" s="1122">
        <v>0.3</v>
      </c>
      <c r="K197" s="1154">
        <f t="shared" si="10"/>
        <v>15</v>
      </c>
      <c r="L197" s="1030"/>
      <c r="M197" s="1030"/>
      <c r="N197" s="1030"/>
      <c r="O197" s="1030"/>
      <c r="P197" s="1030"/>
      <c r="Q197" s="1030"/>
      <c r="R197" s="1030"/>
      <c r="S197" s="1030"/>
      <c r="T197" s="1030"/>
      <c r="U197" s="1030"/>
      <c r="V197" s="1030"/>
      <c r="W197" s="1030"/>
      <c r="X197" s="1030"/>
      <c r="Y197" s="1030"/>
      <c r="Z197" s="1030"/>
    </row>
    <row r="198" spans="1:26" ht="12.75" customHeight="1" outlineLevel="1">
      <c r="A198" s="1098">
        <f>A196+1</f>
        <v>44</v>
      </c>
      <c r="B198" s="1051" t="s">
        <v>3428</v>
      </c>
      <c r="C198" s="1066" t="s">
        <v>3342</v>
      </c>
      <c r="D198" s="1113" t="s">
        <v>122</v>
      </c>
      <c r="E198" s="1153"/>
      <c r="F198" s="1073" t="s">
        <v>3414</v>
      </c>
      <c r="G198" s="1035" t="s">
        <v>3436</v>
      </c>
      <c r="H198" s="1114"/>
      <c r="I198" s="1114">
        <v>210</v>
      </c>
      <c r="J198" s="1122">
        <v>0.3</v>
      </c>
      <c r="K198" s="1118">
        <f t="shared" si="10"/>
        <v>63</v>
      </c>
      <c r="L198" s="1030"/>
      <c r="M198" s="1030"/>
      <c r="N198" s="1030"/>
      <c r="O198" s="1030"/>
      <c r="P198" s="1030"/>
      <c r="Q198" s="1030"/>
      <c r="R198" s="1030"/>
      <c r="S198" s="1030"/>
      <c r="T198" s="1030"/>
      <c r="U198" s="1030"/>
      <c r="V198" s="1030"/>
      <c r="W198" s="1030"/>
      <c r="X198" s="1030"/>
      <c r="Y198" s="1030"/>
      <c r="Z198" s="1030"/>
    </row>
    <row r="199" spans="1:26" ht="12.75" customHeight="1" outlineLevel="1">
      <c r="A199" s="1098">
        <f t="shared" ref="A199:A205" si="11">A198+1</f>
        <v>45</v>
      </c>
      <c r="B199" s="1051" t="s">
        <v>3428</v>
      </c>
      <c r="C199" s="1066" t="s">
        <v>3342</v>
      </c>
      <c r="D199" s="1113" t="s">
        <v>122</v>
      </c>
      <c r="E199" s="1153"/>
      <c r="F199" s="1073" t="s">
        <v>3414</v>
      </c>
      <c r="G199" s="1035" t="s">
        <v>3522</v>
      </c>
      <c r="H199" s="1114"/>
      <c r="I199" s="1114">
        <v>0</v>
      </c>
      <c r="J199" s="1122">
        <v>0.3</v>
      </c>
      <c r="K199" s="1118">
        <f t="shared" si="10"/>
        <v>0</v>
      </c>
      <c r="L199" s="1030"/>
      <c r="M199" s="1030"/>
      <c r="N199" s="1030"/>
      <c r="O199" s="1030"/>
      <c r="P199" s="1030"/>
      <c r="Q199" s="1030"/>
      <c r="R199" s="1030"/>
      <c r="S199" s="1030"/>
      <c r="T199" s="1030"/>
      <c r="U199" s="1030"/>
      <c r="V199" s="1030"/>
      <c r="W199" s="1030"/>
      <c r="X199" s="1030"/>
      <c r="Y199" s="1030"/>
      <c r="Z199" s="1030"/>
    </row>
    <row r="200" spans="1:26" ht="12.75" customHeight="1" outlineLevel="1">
      <c r="A200" s="1098">
        <f t="shared" si="11"/>
        <v>46</v>
      </c>
      <c r="B200" s="1051" t="s">
        <v>3428</v>
      </c>
      <c r="C200" s="1066" t="s">
        <v>3342</v>
      </c>
      <c r="D200" s="1113" t="s">
        <v>122</v>
      </c>
      <c r="E200" s="1152"/>
      <c r="F200" s="1073" t="s">
        <v>3414</v>
      </c>
      <c r="G200" s="1035" t="s">
        <v>3523</v>
      </c>
      <c r="H200" s="1114"/>
      <c r="I200" s="1114">
        <v>290</v>
      </c>
      <c r="J200" s="1122">
        <v>0.3</v>
      </c>
      <c r="K200" s="1118">
        <f t="shared" si="10"/>
        <v>87</v>
      </c>
      <c r="L200" s="1030"/>
      <c r="M200" s="1030"/>
      <c r="N200" s="1030"/>
      <c r="O200" s="1030"/>
      <c r="P200" s="1030"/>
      <c r="Q200" s="1030"/>
      <c r="R200" s="1030"/>
      <c r="S200" s="1030"/>
      <c r="T200" s="1030"/>
      <c r="U200" s="1030"/>
      <c r="V200" s="1030"/>
      <c r="W200" s="1030"/>
      <c r="X200" s="1030"/>
      <c r="Y200" s="1030"/>
      <c r="Z200" s="1030"/>
    </row>
    <row r="201" spans="1:26" ht="12.75" customHeight="1" outlineLevel="1">
      <c r="A201" s="1098">
        <f t="shared" si="11"/>
        <v>47</v>
      </c>
      <c r="B201" s="1051" t="s">
        <v>3428</v>
      </c>
      <c r="C201" s="1066" t="s">
        <v>3342</v>
      </c>
      <c r="D201" s="1113" t="s">
        <v>122</v>
      </c>
      <c r="E201" s="1152"/>
      <c r="F201" s="1073" t="s">
        <v>3414</v>
      </c>
      <c r="G201" s="1035" t="s">
        <v>3439</v>
      </c>
      <c r="H201" s="1114"/>
      <c r="I201" s="1114">
        <v>400</v>
      </c>
      <c r="J201" s="1122">
        <v>0.3</v>
      </c>
      <c r="K201" s="1118">
        <f t="shared" si="10"/>
        <v>120</v>
      </c>
      <c r="L201" s="1030"/>
      <c r="M201" s="1030"/>
      <c r="N201" s="1030"/>
      <c r="O201" s="1030"/>
      <c r="P201" s="1030"/>
      <c r="Q201" s="1030"/>
      <c r="R201" s="1030"/>
      <c r="S201" s="1030"/>
      <c r="T201" s="1030"/>
      <c r="U201" s="1030"/>
      <c r="V201" s="1030"/>
      <c r="W201" s="1030"/>
      <c r="X201" s="1030"/>
      <c r="Y201" s="1030"/>
      <c r="Z201" s="1030"/>
    </row>
    <row r="202" spans="1:26" ht="12.75" customHeight="1" outlineLevel="1">
      <c r="A202" s="1098">
        <f t="shared" si="11"/>
        <v>48</v>
      </c>
      <c r="B202" s="1051" t="s">
        <v>3428</v>
      </c>
      <c r="C202" s="1066" t="s">
        <v>3342</v>
      </c>
      <c r="D202" s="1113" t="s">
        <v>122</v>
      </c>
      <c r="E202" s="1152"/>
      <c r="F202" s="1073" t="s">
        <v>3414</v>
      </c>
      <c r="G202" s="1035" t="s">
        <v>3440</v>
      </c>
      <c r="H202" s="1114"/>
      <c r="I202" s="1114">
        <v>72</v>
      </c>
      <c r="J202" s="1122">
        <v>0.3</v>
      </c>
      <c r="K202" s="1118">
        <f t="shared" si="10"/>
        <v>21.599999999999998</v>
      </c>
      <c r="L202" s="1030"/>
      <c r="M202" s="1030"/>
      <c r="N202" s="1030"/>
      <c r="O202" s="1030"/>
      <c r="P202" s="1030"/>
      <c r="Q202" s="1030"/>
      <c r="R202" s="1030"/>
      <c r="S202" s="1030"/>
      <c r="T202" s="1030"/>
      <c r="U202" s="1030"/>
      <c r="V202" s="1030"/>
      <c r="W202" s="1030"/>
      <c r="X202" s="1030"/>
      <c r="Y202" s="1030"/>
      <c r="Z202" s="1030"/>
    </row>
    <row r="203" spans="1:26" ht="12.75" customHeight="1" outlineLevel="1">
      <c r="A203" s="1098">
        <f t="shared" si="11"/>
        <v>49</v>
      </c>
      <c r="B203" s="1051" t="s">
        <v>3428</v>
      </c>
      <c r="C203" s="1066" t="s">
        <v>3342</v>
      </c>
      <c r="D203" s="1113" t="s">
        <v>122</v>
      </c>
      <c r="E203" s="1152"/>
      <c r="F203" s="1073" t="s">
        <v>3414</v>
      </c>
      <c r="G203" s="1035" t="s">
        <v>3441</v>
      </c>
      <c r="H203" s="1114"/>
      <c r="I203" s="1114">
        <f>170*2</f>
        <v>340</v>
      </c>
      <c r="J203" s="1122">
        <v>0.3</v>
      </c>
      <c r="K203" s="1118">
        <f t="shared" si="10"/>
        <v>102</v>
      </c>
      <c r="L203" s="1030"/>
      <c r="M203" s="1030"/>
      <c r="N203" s="1030"/>
      <c r="O203" s="1030"/>
      <c r="P203" s="1030"/>
      <c r="Q203" s="1030"/>
      <c r="R203" s="1030"/>
      <c r="S203" s="1030"/>
      <c r="T203" s="1030"/>
      <c r="U203" s="1030"/>
      <c r="V203" s="1030"/>
      <c r="W203" s="1030"/>
      <c r="X203" s="1030"/>
      <c r="Y203" s="1030"/>
      <c r="Z203" s="1030"/>
    </row>
    <row r="204" spans="1:26" ht="12.75" customHeight="1" outlineLevel="1">
      <c r="A204" s="1098">
        <f t="shared" si="11"/>
        <v>50</v>
      </c>
      <c r="B204" s="1051" t="s">
        <v>3428</v>
      </c>
      <c r="C204" s="1066" t="s">
        <v>3342</v>
      </c>
      <c r="D204" s="1113" t="s">
        <v>122</v>
      </c>
      <c r="E204" s="1152"/>
      <c r="F204" s="1073" t="s">
        <v>3414</v>
      </c>
      <c r="G204" s="1035" t="s">
        <v>3442</v>
      </c>
      <c r="H204" s="1114"/>
      <c r="I204" s="1114">
        <f>324*2</f>
        <v>648</v>
      </c>
      <c r="J204" s="1122">
        <v>0.3</v>
      </c>
      <c r="K204" s="1118">
        <f t="shared" si="10"/>
        <v>194.4</v>
      </c>
      <c r="L204" s="1030"/>
      <c r="M204" s="1030"/>
      <c r="N204" s="1030"/>
      <c r="O204" s="1030"/>
      <c r="P204" s="1030"/>
      <c r="Q204" s="1030"/>
      <c r="R204" s="1030"/>
      <c r="S204" s="1030"/>
      <c r="T204" s="1030"/>
      <c r="U204" s="1030"/>
      <c r="V204" s="1030"/>
      <c r="W204" s="1030"/>
      <c r="X204" s="1030"/>
      <c r="Y204" s="1030"/>
      <c r="Z204" s="1030"/>
    </row>
    <row r="205" spans="1:26" ht="12.75" customHeight="1" outlineLevel="1">
      <c r="A205" s="1098">
        <f t="shared" si="11"/>
        <v>51</v>
      </c>
      <c r="B205" s="1051" t="s">
        <v>3428</v>
      </c>
      <c r="C205" s="1066" t="s">
        <v>3342</v>
      </c>
      <c r="D205" s="1113" t="s">
        <v>122</v>
      </c>
      <c r="E205" s="1136"/>
      <c r="F205" s="1073" t="s">
        <v>3414</v>
      </c>
      <c r="G205" s="1035" t="s">
        <v>3443</v>
      </c>
      <c r="H205" s="1114"/>
      <c r="I205" s="1114">
        <v>480</v>
      </c>
      <c r="J205" s="1122">
        <v>0.3</v>
      </c>
      <c r="K205" s="1118">
        <f t="shared" si="10"/>
        <v>144</v>
      </c>
      <c r="L205" s="1030"/>
      <c r="M205" s="1030"/>
      <c r="N205" s="1030"/>
      <c r="O205" s="1030"/>
      <c r="P205" s="1030"/>
      <c r="Q205" s="1030"/>
      <c r="R205" s="1030"/>
      <c r="S205" s="1030"/>
      <c r="T205" s="1030"/>
      <c r="U205" s="1030"/>
      <c r="V205" s="1030"/>
      <c r="W205" s="1030"/>
      <c r="X205" s="1030"/>
      <c r="Y205" s="1030"/>
      <c r="Z205" s="1030"/>
    </row>
    <row r="206" spans="1:26" ht="12.75" customHeight="1" outlineLevel="1">
      <c r="A206" s="1098">
        <v>55</v>
      </c>
      <c r="B206" s="1051" t="s">
        <v>3428</v>
      </c>
      <c r="C206" s="1066" t="s">
        <v>3342</v>
      </c>
      <c r="D206" s="1113" t="s">
        <v>122</v>
      </c>
      <c r="E206" s="1136"/>
      <c r="F206" s="1073" t="s">
        <v>3414</v>
      </c>
      <c r="G206" s="1130" t="s">
        <v>3502</v>
      </c>
      <c r="H206" s="1121"/>
      <c r="I206" s="1116">
        <f>170*2</f>
        <v>340</v>
      </c>
      <c r="J206" s="1131">
        <v>0.3</v>
      </c>
      <c r="K206" s="1118">
        <f t="shared" si="10"/>
        <v>102</v>
      </c>
      <c r="L206" s="1030"/>
      <c r="M206" s="1030"/>
      <c r="N206" s="1030"/>
      <c r="O206" s="1030"/>
      <c r="P206" s="1030"/>
      <c r="Q206" s="1030"/>
      <c r="R206" s="1030"/>
      <c r="S206" s="1030"/>
      <c r="T206" s="1030"/>
      <c r="U206" s="1030"/>
      <c r="V206" s="1030"/>
      <c r="W206" s="1030"/>
      <c r="X206" s="1030"/>
      <c r="Y206" s="1030"/>
      <c r="Z206" s="1030"/>
    </row>
    <row r="207" spans="1:26" ht="12.75" customHeight="1" outlineLevel="1">
      <c r="A207" s="1098">
        <v>57</v>
      </c>
      <c r="B207" s="1051" t="s">
        <v>3428</v>
      </c>
      <c r="C207" s="1066" t="s">
        <v>3342</v>
      </c>
      <c r="D207" s="1113" t="s">
        <v>122</v>
      </c>
      <c r="E207" s="1136"/>
      <c r="F207" s="1073" t="s">
        <v>3414</v>
      </c>
      <c r="G207" s="1130" t="s">
        <v>3445</v>
      </c>
      <c r="H207" s="1121"/>
      <c r="I207" s="1116">
        <v>592</v>
      </c>
      <c r="J207" s="1131">
        <v>0.3</v>
      </c>
      <c r="K207" s="1118">
        <f t="shared" si="10"/>
        <v>177.6</v>
      </c>
      <c r="L207" s="1030"/>
      <c r="M207" s="1030"/>
      <c r="N207" s="1030"/>
      <c r="O207" s="1030"/>
      <c r="P207" s="1030"/>
      <c r="Q207" s="1030"/>
      <c r="R207" s="1030"/>
      <c r="S207" s="1030"/>
      <c r="T207" s="1030"/>
      <c r="U207" s="1030"/>
      <c r="V207" s="1030"/>
      <c r="W207" s="1030"/>
      <c r="X207" s="1030"/>
      <c r="Y207" s="1030"/>
      <c r="Z207" s="1030"/>
    </row>
    <row r="208" spans="1:26" ht="12.75" customHeight="1" outlineLevel="1">
      <c r="A208" s="1098">
        <f t="shared" ref="A208:A228" si="12">A207+1</f>
        <v>58</v>
      </c>
      <c r="B208" s="1051" t="s">
        <v>3428</v>
      </c>
      <c r="C208" s="1066" t="s">
        <v>3342</v>
      </c>
      <c r="D208" s="1113" t="s">
        <v>122</v>
      </c>
      <c r="E208" s="1136"/>
      <c r="F208" s="1073" t="s">
        <v>3414</v>
      </c>
      <c r="G208" s="1035" t="s">
        <v>3444</v>
      </c>
      <c r="H208" s="1114"/>
      <c r="I208" s="1114">
        <v>320</v>
      </c>
      <c r="J208" s="1122">
        <v>0.3</v>
      </c>
      <c r="K208" s="1118">
        <f t="shared" si="10"/>
        <v>96</v>
      </c>
      <c r="L208" s="1030"/>
      <c r="M208" s="1030"/>
      <c r="N208" s="1030"/>
      <c r="O208" s="1030"/>
      <c r="P208" s="1030"/>
      <c r="Q208" s="1030"/>
      <c r="R208" s="1030"/>
      <c r="S208" s="1030"/>
      <c r="T208" s="1030"/>
      <c r="U208" s="1030"/>
      <c r="V208" s="1030"/>
      <c r="W208" s="1030"/>
      <c r="X208" s="1030"/>
      <c r="Y208" s="1030"/>
      <c r="Z208" s="1030"/>
    </row>
    <row r="209" spans="1:26" ht="12.75" customHeight="1" outlineLevel="1">
      <c r="A209" s="1098">
        <f t="shared" si="12"/>
        <v>59</v>
      </c>
      <c r="B209" s="1051" t="s">
        <v>3428</v>
      </c>
      <c r="C209" s="1066" t="s">
        <v>3342</v>
      </c>
      <c r="D209" s="1113" t="s">
        <v>122</v>
      </c>
      <c r="E209" s="1136"/>
      <c r="F209" s="1073" t="s">
        <v>3414</v>
      </c>
      <c r="G209" s="1035" t="s">
        <v>3446</v>
      </c>
      <c r="H209" s="1114"/>
      <c r="I209" s="1114">
        <v>239</v>
      </c>
      <c r="J209" s="1122">
        <v>0.3</v>
      </c>
      <c r="K209" s="1118">
        <f t="shared" si="10"/>
        <v>71.7</v>
      </c>
      <c r="L209" s="1030"/>
      <c r="M209" s="1030"/>
      <c r="N209" s="1030"/>
      <c r="O209" s="1030"/>
      <c r="P209" s="1030"/>
      <c r="Q209" s="1030"/>
      <c r="R209" s="1030"/>
      <c r="S209" s="1030"/>
      <c r="T209" s="1030"/>
      <c r="U209" s="1030"/>
      <c r="V209" s="1030"/>
      <c r="W209" s="1030"/>
      <c r="X209" s="1030"/>
      <c r="Y209" s="1030"/>
      <c r="Z209" s="1030"/>
    </row>
    <row r="210" spans="1:26" ht="12.75" customHeight="1" outlineLevel="1">
      <c r="A210" s="1098">
        <f t="shared" si="12"/>
        <v>60</v>
      </c>
      <c r="B210" s="1051" t="s">
        <v>3428</v>
      </c>
      <c r="C210" s="1066" t="s">
        <v>3342</v>
      </c>
      <c r="D210" s="1113" t="s">
        <v>122</v>
      </c>
      <c r="E210" s="1136"/>
      <c r="F210" s="1073" t="s">
        <v>3414</v>
      </c>
      <c r="G210" s="1035" t="s">
        <v>3447</v>
      </c>
      <c r="H210" s="1114"/>
      <c r="I210" s="1114">
        <v>0</v>
      </c>
      <c r="J210" s="1122">
        <v>0.3</v>
      </c>
      <c r="K210" s="1118">
        <f t="shared" si="10"/>
        <v>0</v>
      </c>
      <c r="L210" s="1030"/>
      <c r="M210" s="1030"/>
      <c r="N210" s="1030"/>
      <c r="O210" s="1030"/>
      <c r="P210" s="1030"/>
      <c r="Q210" s="1030"/>
      <c r="R210" s="1030"/>
      <c r="S210" s="1030"/>
      <c r="T210" s="1030"/>
      <c r="U210" s="1030"/>
      <c r="V210" s="1030"/>
      <c r="W210" s="1030"/>
      <c r="X210" s="1030"/>
      <c r="Y210" s="1030"/>
      <c r="Z210" s="1030"/>
    </row>
    <row r="211" spans="1:26" ht="12.75" customHeight="1" outlineLevel="1">
      <c r="A211" s="1098">
        <f t="shared" si="12"/>
        <v>61</v>
      </c>
      <c r="B211" s="1051" t="s">
        <v>3428</v>
      </c>
      <c r="C211" s="1066" t="s">
        <v>3342</v>
      </c>
      <c r="D211" s="1113" t="s">
        <v>122</v>
      </c>
      <c r="E211" s="1136"/>
      <c r="F211" s="1073" t="s">
        <v>3414</v>
      </c>
      <c r="G211" s="1035" t="s">
        <v>3448</v>
      </c>
      <c r="H211" s="1114"/>
      <c r="I211" s="1114">
        <v>400</v>
      </c>
      <c r="J211" s="1122">
        <v>0.3</v>
      </c>
      <c r="K211" s="1118">
        <f t="shared" si="10"/>
        <v>120</v>
      </c>
      <c r="L211" s="1030"/>
      <c r="M211" s="1030"/>
      <c r="N211" s="1030"/>
      <c r="O211" s="1030"/>
      <c r="P211" s="1030"/>
      <c r="Q211" s="1030"/>
      <c r="R211" s="1030"/>
      <c r="S211" s="1030"/>
      <c r="T211" s="1030"/>
      <c r="U211" s="1030"/>
      <c r="V211" s="1030"/>
      <c r="W211" s="1030"/>
      <c r="X211" s="1030"/>
      <c r="Y211" s="1030"/>
      <c r="Z211" s="1030"/>
    </row>
    <row r="212" spans="1:26" ht="12.75" customHeight="1" outlineLevel="1">
      <c r="A212" s="1098">
        <f t="shared" si="12"/>
        <v>62</v>
      </c>
      <c r="B212" s="1051" t="s">
        <v>3428</v>
      </c>
      <c r="C212" s="1066" t="s">
        <v>3342</v>
      </c>
      <c r="D212" s="1113" t="s">
        <v>122</v>
      </c>
      <c r="E212" s="1136"/>
      <c r="F212" s="1073" t="s">
        <v>3414</v>
      </c>
      <c r="G212" s="1035" t="s">
        <v>3449</v>
      </c>
      <c r="H212" s="1114"/>
      <c r="I212" s="1114">
        <v>140</v>
      </c>
      <c r="J212" s="1122">
        <v>0.3</v>
      </c>
      <c r="K212" s="1118">
        <f t="shared" si="10"/>
        <v>42</v>
      </c>
      <c r="L212" s="1030"/>
      <c r="M212" s="1030"/>
      <c r="N212" s="1030"/>
      <c r="O212" s="1030"/>
      <c r="P212" s="1030"/>
      <c r="Q212" s="1030"/>
      <c r="R212" s="1030"/>
      <c r="S212" s="1030"/>
      <c r="T212" s="1030"/>
      <c r="U212" s="1030"/>
      <c r="V212" s="1030"/>
      <c r="W212" s="1030"/>
      <c r="X212" s="1030"/>
      <c r="Y212" s="1030"/>
      <c r="Z212" s="1030"/>
    </row>
    <row r="213" spans="1:26" ht="12.75" customHeight="1" outlineLevel="1">
      <c r="A213" s="1098">
        <f t="shared" si="12"/>
        <v>63</v>
      </c>
      <c r="B213" s="1051" t="s">
        <v>3428</v>
      </c>
      <c r="C213" s="1066" t="s">
        <v>3342</v>
      </c>
      <c r="D213" s="1113" t="s">
        <v>122</v>
      </c>
      <c r="E213" s="1136"/>
      <c r="F213" s="1073" t="s">
        <v>3414</v>
      </c>
      <c r="G213" s="1035" t="s">
        <v>3450</v>
      </c>
      <c r="H213" s="1114"/>
      <c r="I213" s="1114">
        <v>136</v>
      </c>
      <c r="J213" s="1122">
        <v>0.3</v>
      </c>
      <c r="K213" s="1118">
        <f t="shared" si="10"/>
        <v>40.799999999999997</v>
      </c>
      <c r="L213" s="1030"/>
      <c r="M213" s="1030"/>
      <c r="N213" s="1030"/>
      <c r="O213" s="1030"/>
      <c r="P213" s="1030"/>
      <c r="Q213" s="1030"/>
      <c r="R213" s="1030"/>
      <c r="S213" s="1030"/>
      <c r="T213" s="1030"/>
      <c r="U213" s="1030"/>
      <c r="V213" s="1030"/>
      <c r="W213" s="1030"/>
      <c r="X213" s="1030"/>
      <c r="Y213" s="1030"/>
      <c r="Z213" s="1030"/>
    </row>
    <row r="214" spans="1:26" ht="12.75" customHeight="1" outlineLevel="1">
      <c r="A214" s="1098">
        <f t="shared" si="12"/>
        <v>64</v>
      </c>
      <c r="B214" s="1051" t="s">
        <v>3428</v>
      </c>
      <c r="C214" s="1066" t="s">
        <v>3342</v>
      </c>
      <c r="D214" s="1113" t="s">
        <v>122</v>
      </c>
      <c r="E214" s="1136"/>
      <c r="F214" s="1073" t="s">
        <v>3414</v>
      </c>
      <c r="G214" s="1035" t="s">
        <v>3524</v>
      </c>
      <c r="H214" s="1114"/>
      <c r="I214" s="1114">
        <v>0</v>
      </c>
      <c r="J214" s="1122">
        <v>0.3</v>
      </c>
      <c r="K214" s="1118">
        <f t="shared" si="10"/>
        <v>0</v>
      </c>
      <c r="L214" s="1030"/>
      <c r="M214" s="1030"/>
      <c r="N214" s="1030"/>
      <c r="O214" s="1030"/>
      <c r="P214" s="1030"/>
      <c r="Q214" s="1030"/>
      <c r="R214" s="1030"/>
      <c r="S214" s="1030"/>
      <c r="T214" s="1030"/>
      <c r="U214" s="1030"/>
      <c r="V214" s="1030"/>
      <c r="W214" s="1030"/>
      <c r="X214" s="1030"/>
      <c r="Y214" s="1030"/>
      <c r="Z214" s="1030"/>
    </row>
    <row r="215" spans="1:26" ht="12.75" customHeight="1" outlineLevel="1">
      <c r="A215" s="1098">
        <f t="shared" si="12"/>
        <v>65</v>
      </c>
      <c r="B215" s="1051" t="s">
        <v>3428</v>
      </c>
      <c r="C215" s="1066" t="s">
        <v>3342</v>
      </c>
      <c r="D215" s="1113" t="s">
        <v>122</v>
      </c>
      <c r="E215" s="1136"/>
      <c r="F215" s="1073" t="s">
        <v>3414</v>
      </c>
      <c r="G215" s="1035" t="s">
        <v>3451</v>
      </c>
      <c r="H215" s="1114"/>
      <c r="I215" s="1114">
        <v>136</v>
      </c>
      <c r="J215" s="1122">
        <v>0.3</v>
      </c>
      <c r="K215" s="1118">
        <f t="shared" si="10"/>
        <v>40.799999999999997</v>
      </c>
      <c r="L215" s="1030"/>
      <c r="M215" s="1030"/>
      <c r="N215" s="1030"/>
      <c r="O215" s="1030"/>
      <c r="P215" s="1030"/>
      <c r="Q215" s="1030"/>
      <c r="R215" s="1030"/>
      <c r="S215" s="1030"/>
      <c r="T215" s="1030"/>
      <c r="U215" s="1030"/>
      <c r="V215" s="1030"/>
      <c r="W215" s="1030"/>
      <c r="X215" s="1030"/>
      <c r="Y215" s="1030"/>
      <c r="Z215" s="1030"/>
    </row>
    <row r="216" spans="1:26" ht="12.75" customHeight="1" outlineLevel="1">
      <c r="A216" s="1098">
        <f t="shared" si="12"/>
        <v>66</v>
      </c>
      <c r="B216" s="1051" t="s">
        <v>3428</v>
      </c>
      <c r="C216" s="1066" t="s">
        <v>3342</v>
      </c>
      <c r="D216" s="1113" t="s">
        <v>122</v>
      </c>
      <c r="E216" s="1136"/>
      <c r="F216" s="1073" t="s">
        <v>3414</v>
      </c>
      <c r="G216" s="1035" t="s">
        <v>3452</v>
      </c>
      <c r="H216" s="1114"/>
      <c r="I216" s="1114">
        <v>244</v>
      </c>
      <c r="J216" s="1122">
        <v>0.3</v>
      </c>
      <c r="K216" s="1118">
        <f t="shared" si="10"/>
        <v>73.2</v>
      </c>
      <c r="L216" s="1030"/>
      <c r="M216" s="1030"/>
      <c r="N216" s="1030"/>
      <c r="O216" s="1030"/>
      <c r="P216" s="1030"/>
      <c r="Q216" s="1030"/>
      <c r="R216" s="1030"/>
      <c r="S216" s="1030"/>
      <c r="T216" s="1030"/>
      <c r="U216" s="1030"/>
      <c r="V216" s="1030"/>
      <c r="W216" s="1030"/>
      <c r="X216" s="1030"/>
      <c r="Y216" s="1030"/>
      <c r="Z216" s="1030"/>
    </row>
    <row r="217" spans="1:26" ht="12.75" customHeight="1" outlineLevel="1">
      <c r="A217" s="1098">
        <f t="shared" si="12"/>
        <v>67</v>
      </c>
      <c r="B217" s="1051" t="s">
        <v>3428</v>
      </c>
      <c r="C217" s="1066" t="s">
        <v>3342</v>
      </c>
      <c r="D217" s="1113" t="s">
        <v>122</v>
      </c>
      <c r="E217" s="1136"/>
      <c r="F217" s="1073" t="s">
        <v>3414</v>
      </c>
      <c r="G217" s="1035" t="s">
        <v>3453</v>
      </c>
      <c r="H217" s="1114"/>
      <c r="I217" s="1114">
        <v>286</v>
      </c>
      <c r="J217" s="1122">
        <v>0.3</v>
      </c>
      <c r="K217" s="1118">
        <f t="shared" si="10"/>
        <v>85.8</v>
      </c>
      <c r="L217" s="1030"/>
      <c r="M217" s="1030"/>
      <c r="N217" s="1030"/>
      <c r="O217" s="1030"/>
      <c r="P217" s="1030"/>
      <c r="Q217" s="1030"/>
      <c r="R217" s="1030"/>
      <c r="S217" s="1030"/>
      <c r="T217" s="1030"/>
      <c r="U217" s="1030"/>
      <c r="V217" s="1030"/>
      <c r="W217" s="1030"/>
      <c r="X217" s="1030"/>
      <c r="Y217" s="1030"/>
      <c r="Z217" s="1030"/>
    </row>
    <row r="218" spans="1:26" ht="12.75" customHeight="1" outlineLevel="1">
      <c r="A218" s="1098">
        <f t="shared" si="12"/>
        <v>68</v>
      </c>
      <c r="B218" s="1051" t="s">
        <v>3428</v>
      </c>
      <c r="C218" s="1066" t="s">
        <v>3342</v>
      </c>
      <c r="D218" s="1113" t="s">
        <v>122</v>
      </c>
      <c r="E218" s="1136"/>
      <c r="F218" s="1073" t="s">
        <v>3414</v>
      </c>
      <c r="G218" s="1035" t="s">
        <v>3454</v>
      </c>
      <c r="H218" s="1114"/>
      <c r="I218" s="1114">
        <v>100</v>
      </c>
      <c r="J218" s="1122">
        <v>0.3</v>
      </c>
      <c r="K218" s="1118">
        <f t="shared" si="10"/>
        <v>30</v>
      </c>
      <c r="L218" s="1030"/>
      <c r="M218" s="1030"/>
      <c r="N218" s="1030"/>
      <c r="O218" s="1030"/>
      <c r="P218" s="1030"/>
      <c r="Q218" s="1030"/>
      <c r="R218" s="1030"/>
      <c r="S218" s="1030"/>
      <c r="T218" s="1030"/>
      <c r="U218" s="1030"/>
      <c r="V218" s="1030"/>
      <c r="W218" s="1030"/>
      <c r="X218" s="1030"/>
      <c r="Y218" s="1030"/>
      <c r="Z218" s="1030"/>
    </row>
    <row r="219" spans="1:26" ht="12.75" customHeight="1" outlineLevel="1">
      <c r="A219" s="1098">
        <f t="shared" si="12"/>
        <v>69</v>
      </c>
      <c r="B219" s="1051" t="s">
        <v>3428</v>
      </c>
      <c r="C219" s="1066" t="s">
        <v>3342</v>
      </c>
      <c r="D219" s="1113" t="s">
        <v>122</v>
      </c>
      <c r="E219" s="1136"/>
      <c r="F219" s="1073" t="s">
        <v>3414</v>
      </c>
      <c r="G219" s="1035" t="s">
        <v>3525</v>
      </c>
      <c r="H219" s="1114"/>
      <c r="I219" s="1114">
        <v>470</v>
      </c>
      <c r="J219" s="1122">
        <v>0.3</v>
      </c>
      <c r="K219" s="1118">
        <f t="shared" si="10"/>
        <v>141</v>
      </c>
      <c r="L219" s="1030"/>
      <c r="M219" s="1030"/>
      <c r="N219" s="1030"/>
      <c r="O219" s="1030"/>
      <c r="P219" s="1030"/>
      <c r="Q219" s="1030"/>
      <c r="R219" s="1030"/>
      <c r="S219" s="1030"/>
      <c r="T219" s="1030"/>
      <c r="U219" s="1030"/>
      <c r="V219" s="1030"/>
      <c r="W219" s="1030"/>
      <c r="X219" s="1030"/>
      <c r="Y219" s="1030"/>
      <c r="Z219" s="1030"/>
    </row>
    <row r="220" spans="1:26" ht="12.75" customHeight="1" outlineLevel="1">
      <c r="A220" s="1098">
        <f t="shared" si="12"/>
        <v>70</v>
      </c>
      <c r="B220" s="1051" t="s">
        <v>3428</v>
      </c>
      <c r="C220" s="1066" t="s">
        <v>3342</v>
      </c>
      <c r="D220" s="1113" t="s">
        <v>122</v>
      </c>
      <c r="E220" s="1136"/>
      <c r="F220" s="1073" t="s">
        <v>3414</v>
      </c>
      <c r="G220" s="1035" t="s">
        <v>3455</v>
      </c>
      <c r="H220" s="1114"/>
      <c r="I220" s="1114">
        <v>448</v>
      </c>
      <c r="J220" s="1122">
        <v>0.3</v>
      </c>
      <c r="K220" s="1118">
        <f t="shared" si="10"/>
        <v>134.4</v>
      </c>
      <c r="L220" s="1030"/>
      <c r="M220" s="1030"/>
      <c r="N220" s="1030"/>
      <c r="O220" s="1030"/>
      <c r="P220" s="1030"/>
      <c r="Q220" s="1030"/>
      <c r="R220" s="1030"/>
      <c r="S220" s="1030"/>
      <c r="T220" s="1030"/>
      <c r="U220" s="1030"/>
      <c r="V220" s="1030"/>
      <c r="W220" s="1030"/>
      <c r="X220" s="1030"/>
      <c r="Y220" s="1030"/>
      <c r="Z220" s="1030"/>
    </row>
    <row r="221" spans="1:26" ht="12.75" customHeight="1" outlineLevel="1">
      <c r="A221" s="1098">
        <f t="shared" si="12"/>
        <v>71</v>
      </c>
      <c r="B221" s="1051" t="s">
        <v>3428</v>
      </c>
      <c r="C221" s="1066" t="s">
        <v>3342</v>
      </c>
      <c r="D221" s="1113" t="s">
        <v>122</v>
      </c>
      <c r="E221" s="1136"/>
      <c r="F221" s="1073" t="s">
        <v>3414</v>
      </c>
      <c r="G221" s="1035" t="s">
        <v>3456</v>
      </c>
      <c r="H221" s="1114"/>
      <c r="I221" s="1114">
        <v>340</v>
      </c>
      <c r="J221" s="1122">
        <v>0.3</v>
      </c>
      <c r="K221" s="1118">
        <f t="shared" si="10"/>
        <v>102</v>
      </c>
      <c r="L221" s="1030"/>
      <c r="M221" s="1030"/>
      <c r="N221" s="1030"/>
      <c r="O221" s="1030"/>
      <c r="P221" s="1030"/>
      <c r="Q221" s="1030"/>
      <c r="R221" s="1030"/>
      <c r="S221" s="1030"/>
      <c r="T221" s="1030"/>
      <c r="U221" s="1030"/>
      <c r="V221" s="1030"/>
      <c r="W221" s="1030"/>
      <c r="X221" s="1030"/>
      <c r="Y221" s="1030"/>
      <c r="Z221" s="1030"/>
    </row>
    <row r="222" spans="1:26" ht="12.75" customHeight="1" outlineLevel="1">
      <c r="A222" s="1098">
        <f t="shared" si="12"/>
        <v>72</v>
      </c>
      <c r="B222" s="1051" t="s">
        <v>3428</v>
      </c>
      <c r="C222" s="1066" t="s">
        <v>3342</v>
      </c>
      <c r="D222" s="1113" t="s">
        <v>122</v>
      </c>
      <c r="E222" s="1136"/>
      <c r="F222" s="1073" t="s">
        <v>3414</v>
      </c>
      <c r="G222" s="1035" t="s">
        <v>3457</v>
      </c>
      <c r="H222" s="1114"/>
      <c r="I222" s="1114">
        <v>578</v>
      </c>
      <c r="J222" s="1122">
        <v>0.3</v>
      </c>
      <c r="K222" s="1118">
        <f t="shared" si="10"/>
        <v>173.4</v>
      </c>
      <c r="L222" s="1030"/>
      <c r="M222" s="1030"/>
      <c r="N222" s="1030"/>
      <c r="O222" s="1030"/>
      <c r="P222" s="1030"/>
      <c r="Q222" s="1030"/>
      <c r="R222" s="1030"/>
      <c r="S222" s="1030"/>
      <c r="T222" s="1030"/>
      <c r="U222" s="1030"/>
      <c r="V222" s="1030"/>
      <c r="W222" s="1030"/>
      <c r="X222" s="1030"/>
      <c r="Y222" s="1030"/>
      <c r="Z222" s="1030"/>
    </row>
    <row r="223" spans="1:26" ht="12.75" customHeight="1" outlineLevel="1">
      <c r="A223" s="1098">
        <f t="shared" si="12"/>
        <v>73</v>
      </c>
      <c r="B223" s="1051" t="s">
        <v>3428</v>
      </c>
      <c r="C223" s="1066" t="s">
        <v>3342</v>
      </c>
      <c r="D223" s="1113" t="s">
        <v>122</v>
      </c>
      <c r="E223" s="1136"/>
      <c r="F223" s="1073" t="s">
        <v>3414</v>
      </c>
      <c r="G223" s="1035" t="s">
        <v>3458</v>
      </c>
      <c r="H223" s="1114" t="s">
        <v>3459</v>
      </c>
      <c r="I223" s="1114"/>
      <c r="J223" s="1122"/>
      <c r="K223" s="1118">
        <v>81.510000000000005</v>
      </c>
      <c r="L223" s="1030"/>
      <c r="M223" s="1030"/>
      <c r="N223" s="1030"/>
      <c r="O223" s="1030"/>
      <c r="P223" s="1030"/>
      <c r="Q223" s="1030"/>
      <c r="R223" s="1030"/>
      <c r="S223" s="1030"/>
      <c r="T223" s="1030"/>
      <c r="U223" s="1030"/>
      <c r="V223" s="1030"/>
      <c r="W223" s="1030"/>
      <c r="X223" s="1030"/>
      <c r="Y223" s="1030"/>
      <c r="Z223" s="1030"/>
    </row>
    <row r="224" spans="1:26" ht="12.75" customHeight="1" outlineLevel="1">
      <c r="A224" s="1098">
        <f t="shared" si="12"/>
        <v>74</v>
      </c>
      <c r="B224" s="1051" t="s">
        <v>3428</v>
      </c>
      <c r="C224" s="1066" t="s">
        <v>3342</v>
      </c>
      <c r="D224" s="1113" t="s">
        <v>122</v>
      </c>
      <c r="E224" s="1136"/>
      <c r="F224" s="1073" t="s">
        <v>3414</v>
      </c>
      <c r="G224" s="1035" t="s">
        <v>3460</v>
      </c>
      <c r="H224" s="1114" t="s">
        <v>3461</v>
      </c>
      <c r="I224" s="1114"/>
      <c r="J224" s="1122"/>
      <c r="K224" s="1118">
        <v>241.5</v>
      </c>
      <c r="L224" s="1030"/>
      <c r="M224" s="1030"/>
      <c r="N224" s="1030"/>
      <c r="O224" s="1030"/>
      <c r="P224" s="1030"/>
      <c r="Q224" s="1030"/>
      <c r="R224" s="1030"/>
      <c r="S224" s="1030"/>
      <c r="T224" s="1030"/>
      <c r="U224" s="1030"/>
      <c r="V224" s="1030"/>
      <c r="W224" s="1030"/>
      <c r="X224" s="1030"/>
      <c r="Y224" s="1030"/>
      <c r="Z224" s="1030"/>
    </row>
    <row r="225" spans="1:26" ht="63.75" customHeight="1" outlineLevel="1">
      <c r="A225" s="1098">
        <f t="shared" si="12"/>
        <v>75</v>
      </c>
      <c r="B225" s="1051" t="s">
        <v>3466</v>
      </c>
      <c r="C225" s="1066" t="s">
        <v>3342</v>
      </c>
      <c r="D225" s="1113" t="s">
        <v>122</v>
      </c>
      <c r="E225" s="1136"/>
      <c r="F225" s="1073" t="s">
        <v>3414</v>
      </c>
      <c r="G225" s="1035" t="s">
        <v>3526</v>
      </c>
      <c r="H225" s="1163" t="s">
        <v>3527</v>
      </c>
      <c r="I225" s="1163" t="s">
        <v>3528</v>
      </c>
      <c r="J225" s="1122"/>
      <c r="K225" s="1118">
        <v>13000</v>
      </c>
      <c r="L225" s="1134"/>
      <c r="M225" s="1030"/>
      <c r="N225" s="1030"/>
      <c r="O225" s="1030"/>
      <c r="P225" s="1030"/>
      <c r="Q225" s="1030"/>
      <c r="R225" s="1030"/>
      <c r="S225" s="1030"/>
      <c r="T225" s="1030"/>
      <c r="U225" s="1030"/>
      <c r="V225" s="1030"/>
      <c r="W225" s="1030"/>
      <c r="X225" s="1030"/>
      <c r="Y225" s="1030"/>
      <c r="Z225" s="1030"/>
    </row>
    <row r="226" spans="1:26" ht="12.75" customHeight="1" outlineLevel="1">
      <c r="A226" s="1098">
        <f t="shared" si="12"/>
        <v>76</v>
      </c>
      <c r="B226" s="1051" t="s">
        <v>3428</v>
      </c>
      <c r="C226" s="1066" t="s">
        <v>3342</v>
      </c>
      <c r="D226" s="1113" t="s">
        <v>122</v>
      </c>
      <c r="E226" s="1136"/>
      <c r="F226" s="1073" t="s">
        <v>3414</v>
      </c>
      <c r="G226" s="1035" t="s">
        <v>3529</v>
      </c>
      <c r="H226" s="1114" t="s">
        <v>3530</v>
      </c>
      <c r="I226" s="1114"/>
      <c r="J226" s="1122"/>
      <c r="K226" s="1118">
        <v>400</v>
      </c>
      <c r="L226" s="1134"/>
      <c r="M226" s="1030"/>
      <c r="N226" s="1030"/>
      <c r="O226" s="1030"/>
      <c r="P226" s="1030"/>
      <c r="Q226" s="1030"/>
      <c r="R226" s="1030"/>
      <c r="S226" s="1030"/>
      <c r="T226" s="1030"/>
      <c r="U226" s="1030"/>
      <c r="V226" s="1030"/>
      <c r="W226" s="1030"/>
      <c r="X226" s="1030"/>
      <c r="Y226" s="1030"/>
      <c r="Z226" s="1030"/>
    </row>
    <row r="227" spans="1:26" ht="15.75" customHeight="1" outlineLevel="1">
      <c r="A227" s="1098">
        <f t="shared" si="12"/>
        <v>77</v>
      </c>
      <c r="B227" s="1051" t="s">
        <v>3470</v>
      </c>
      <c r="C227" s="1066" t="s">
        <v>3342</v>
      </c>
      <c r="D227" s="1113" t="s">
        <v>122</v>
      </c>
      <c r="E227" s="1136"/>
      <c r="F227" s="1073" t="s">
        <v>3414</v>
      </c>
      <c r="G227" s="1035" t="s">
        <v>3531</v>
      </c>
      <c r="H227" s="1114" t="s">
        <v>3532</v>
      </c>
      <c r="I227" s="1114"/>
      <c r="J227" s="1122"/>
      <c r="K227" s="1118">
        <f>1650+150</f>
        <v>1800</v>
      </c>
      <c r="L227" s="1103"/>
      <c r="M227" s="1103"/>
      <c r="N227" s="1103"/>
      <c r="O227" s="1103"/>
      <c r="P227" s="1103"/>
      <c r="Q227" s="1103"/>
      <c r="R227" s="1103"/>
      <c r="S227" s="1103"/>
      <c r="T227" s="1103"/>
      <c r="U227" s="1103"/>
      <c r="V227" s="1103"/>
      <c r="W227" s="1103"/>
      <c r="X227" s="1103"/>
      <c r="Y227" s="1103"/>
      <c r="Z227" s="1103"/>
    </row>
    <row r="228" spans="1:26" ht="36" customHeight="1" outlineLevel="1">
      <c r="A228" s="1098">
        <f t="shared" si="12"/>
        <v>78</v>
      </c>
      <c r="B228" s="1051" t="s">
        <v>3485</v>
      </c>
      <c r="C228" s="1066" t="s">
        <v>3342</v>
      </c>
      <c r="D228" s="1113" t="s">
        <v>122</v>
      </c>
      <c r="E228" s="1136"/>
      <c r="F228" s="1073" t="s">
        <v>3414</v>
      </c>
      <c r="G228" s="1035" t="s">
        <v>3510</v>
      </c>
      <c r="H228" s="1114"/>
      <c r="I228" s="1114"/>
      <c r="J228" s="1122"/>
      <c r="K228" s="1118">
        <v>115</v>
      </c>
      <c r="L228" s="1134"/>
      <c r="M228" s="1030"/>
      <c r="N228" s="1030"/>
      <c r="O228" s="1030"/>
      <c r="P228" s="1030"/>
      <c r="Q228" s="1030"/>
      <c r="R228" s="1030"/>
      <c r="S228" s="1030"/>
      <c r="T228" s="1030"/>
      <c r="U228" s="1030"/>
      <c r="V228" s="1030"/>
      <c r="W228" s="1030"/>
      <c r="X228" s="1030"/>
      <c r="Y228" s="1030"/>
      <c r="Z228" s="1030"/>
    </row>
    <row r="229" spans="1:26" ht="15.75" customHeight="1" outlineLevel="1">
      <c r="A229" s="1098">
        <v>37</v>
      </c>
      <c r="B229" s="1051" t="s">
        <v>3462</v>
      </c>
      <c r="C229" s="1066" t="s">
        <v>3342</v>
      </c>
      <c r="D229" s="1113" t="s">
        <v>122</v>
      </c>
      <c r="E229" s="1136"/>
      <c r="F229" s="1073" t="s">
        <v>3414</v>
      </c>
      <c r="G229" s="1035" t="s">
        <v>3513</v>
      </c>
      <c r="H229" s="1137" t="s">
        <v>3533</v>
      </c>
      <c r="I229" s="1137" t="s">
        <v>3484</v>
      </c>
      <c r="J229" s="1139"/>
      <c r="K229" s="1118">
        <f>2.9*220</f>
        <v>638</v>
      </c>
      <c r="L229" s="1134"/>
      <c r="M229" s="1030"/>
      <c r="N229" s="1030"/>
      <c r="O229" s="1030"/>
      <c r="P229" s="1030"/>
      <c r="Q229" s="1030"/>
      <c r="R229" s="1030"/>
      <c r="S229" s="1030"/>
      <c r="T229" s="1030"/>
      <c r="U229" s="1030"/>
      <c r="V229" s="1030"/>
      <c r="W229" s="1030"/>
      <c r="X229" s="1030"/>
      <c r="Y229" s="1030"/>
      <c r="Z229" s="1030"/>
    </row>
    <row r="230" spans="1:26" ht="36" customHeight="1" outlineLevel="1">
      <c r="A230" s="1098">
        <f>A229+1</f>
        <v>38</v>
      </c>
      <c r="B230" s="1051" t="s">
        <v>3473</v>
      </c>
      <c r="C230" s="1112" t="s">
        <v>3342</v>
      </c>
      <c r="D230" s="1113" t="s">
        <v>122</v>
      </c>
      <c r="E230" s="1114"/>
      <c r="F230" s="1073" t="s">
        <v>3414</v>
      </c>
      <c r="G230" s="1035" t="s">
        <v>3474</v>
      </c>
      <c r="H230" s="1114" t="s">
        <v>3534</v>
      </c>
      <c r="I230" s="1114"/>
      <c r="J230" s="1122"/>
      <c r="K230" s="1118">
        <v>1974.55</v>
      </c>
      <c r="L230" s="1134"/>
      <c r="M230" s="1030"/>
      <c r="N230" s="1030"/>
      <c r="O230" s="1030"/>
      <c r="P230" s="1030"/>
      <c r="Q230" s="1030"/>
      <c r="R230" s="1030"/>
      <c r="S230" s="1030"/>
      <c r="T230" s="1030"/>
      <c r="U230" s="1030"/>
      <c r="V230" s="1030"/>
      <c r="W230" s="1030"/>
      <c r="X230" s="1030"/>
      <c r="Y230" s="1030"/>
      <c r="Z230" s="1030"/>
    </row>
    <row r="231" spans="1:26" ht="15.75" customHeight="1" outlineLevel="1">
      <c r="A231" s="1098">
        <v>34</v>
      </c>
      <c r="B231" s="1051" t="s">
        <v>3473</v>
      </c>
      <c r="C231" s="1112" t="s">
        <v>3342</v>
      </c>
      <c r="D231" s="1113" t="s">
        <v>122</v>
      </c>
      <c r="E231" s="1114"/>
      <c r="F231" s="1073" t="s">
        <v>3414</v>
      </c>
      <c r="G231" s="1136" t="s">
        <v>3479</v>
      </c>
      <c r="H231" s="1035" t="s">
        <v>3480</v>
      </c>
      <c r="I231" s="1035" t="s">
        <v>3518</v>
      </c>
      <c r="J231" s="1147"/>
      <c r="K231" s="1118">
        <f>3.84*220</f>
        <v>844.8</v>
      </c>
      <c r="L231" s="1134"/>
      <c r="M231" s="1030"/>
      <c r="N231" s="1030"/>
      <c r="O231" s="1030"/>
      <c r="P231" s="1030"/>
      <c r="Q231" s="1030"/>
      <c r="R231" s="1030"/>
      <c r="S231" s="1030"/>
      <c r="T231" s="1030"/>
      <c r="U231" s="1030"/>
      <c r="V231" s="1030"/>
      <c r="W231" s="1030"/>
      <c r="X231" s="1030"/>
      <c r="Y231" s="1030"/>
      <c r="Z231" s="1030"/>
    </row>
    <row r="232" spans="1:26" ht="13.5" customHeight="1" outlineLevel="1">
      <c r="A232" s="1098">
        <f>A231+1</f>
        <v>35</v>
      </c>
      <c r="B232" s="1051" t="s">
        <v>3462</v>
      </c>
      <c r="C232" s="1066" t="s">
        <v>3342</v>
      </c>
      <c r="D232" s="1113" t="s">
        <v>122</v>
      </c>
      <c r="E232" s="1136"/>
      <c r="F232" s="1073" t="s">
        <v>3414</v>
      </c>
      <c r="G232" s="1035" t="s">
        <v>3535</v>
      </c>
      <c r="H232" s="1137" t="s">
        <v>3536</v>
      </c>
      <c r="I232" s="1137"/>
      <c r="J232" s="1139"/>
      <c r="K232" s="1118">
        <v>0</v>
      </c>
      <c r="L232" s="1039"/>
      <c r="M232" s="1039"/>
      <c r="N232" s="1039"/>
      <c r="O232" s="1039"/>
      <c r="P232" s="1039"/>
      <c r="Q232" s="1039"/>
      <c r="R232" s="1039"/>
      <c r="S232" s="1039"/>
      <c r="T232" s="1039"/>
      <c r="U232" s="1039"/>
      <c r="V232" s="1039"/>
      <c r="W232" s="1039"/>
      <c r="X232" s="1039"/>
      <c r="Y232" s="1039"/>
      <c r="Z232" s="1039"/>
    </row>
    <row r="233" spans="1:26" ht="45" customHeight="1" outlineLevel="1">
      <c r="A233" s="1098">
        <v>40</v>
      </c>
      <c r="B233" s="1051" t="s">
        <v>3485</v>
      </c>
      <c r="C233" s="1066" t="s">
        <v>3342</v>
      </c>
      <c r="D233" s="1113" t="s">
        <v>122</v>
      </c>
      <c r="E233" s="1136"/>
      <c r="F233" s="1142" t="s">
        <v>3414</v>
      </c>
      <c r="G233" s="1149" t="s">
        <v>3495</v>
      </c>
      <c r="H233" s="1137" t="s">
        <v>3494</v>
      </c>
      <c r="I233" s="1137" t="s">
        <v>3496</v>
      </c>
      <c r="J233" s="1139"/>
      <c r="K233" s="1118">
        <f>3.7+3.7+26.84</f>
        <v>34.24</v>
      </c>
      <c r="L233" s="1030"/>
      <c r="M233" s="1030"/>
      <c r="N233" s="1030"/>
      <c r="O233" s="1030"/>
      <c r="P233" s="1030"/>
      <c r="Q233" s="1030"/>
      <c r="R233" s="1030"/>
      <c r="S233" s="1030"/>
      <c r="T233" s="1030"/>
      <c r="U233" s="1030"/>
      <c r="V233" s="1030"/>
      <c r="W233" s="1030"/>
      <c r="X233" s="1030"/>
      <c r="Y233" s="1030"/>
      <c r="Z233" s="1030"/>
    </row>
    <row r="234" spans="1:26" ht="24" customHeight="1" outlineLevel="1">
      <c r="A234" s="1098">
        <v>38</v>
      </c>
      <c r="B234" s="1051" t="s">
        <v>3485</v>
      </c>
      <c r="C234" s="1066" t="s">
        <v>3342</v>
      </c>
      <c r="D234" s="1113" t="s">
        <v>122</v>
      </c>
      <c r="E234" s="1136"/>
      <c r="F234" s="1142" t="s">
        <v>3414</v>
      </c>
      <c r="G234" s="1035" t="s">
        <v>3491</v>
      </c>
      <c r="H234" s="1137" t="s">
        <v>3521</v>
      </c>
      <c r="I234" s="1137"/>
      <c r="J234" s="1139" t="s">
        <v>3385</v>
      </c>
      <c r="K234" s="1118">
        <v>357.72</v>
      </c>
      <c r="L234" s="1134"/>
      <c r="M234" s="1030"/>
      <c r="N234" s="1030"/>
      <c r="O234" s="1030"/>
      <c r="P234" s="1030"/>
      <c r="Q234" s="1030"/>
      <c r="R234" s="1030"/>
      <c r="S234" s="1030"/>
      <c r="T234" s="1030"/>
      <c r="U234" s="1030"/>
      <c r="V234" s="1030"/>
      <c r="W234" s="1030"/>
      <c r="X234" s="1030"/>
      <c r="Y234" s="1030"/>
      <c r="Z234" s="1030"/>
    </row>
    <row r="235" spans="1:26" ht="12.75" customHeight="1">
      <c r="A235" s="1061"/>
      <c r="B235" s="1039"/>
      <c r="C235" s="1039"/>
      <c r="D235" s="1088" t="s">
        <v>3537</v>
      </c>
      <c r="E235" s="1089"/>
      <c r="F235" s="1089"/>
      <c r="G235" s="1089"/>
      <c r="H235" s="1090"/>
      <c r="I235" s="1089"/>
      <c r="J235" s="1164"/>
      <c r="K235" s="1091">
        <f>SUM(K109:K234)</f>
        <v>80797.942250000036</v>
      </c>
      <c r="L235" s="1030"/>
      <c r="M235" s="1030"/>
      <c r="N235" s="1030"/>
      <c r="O235" s="1030"/>
      <c r="P235" s="1030"/>
      <c r="Q235" s="1030"/>
      <c r="R235" s="1030"/>
      <c r="S235" s="1030"/>
      <c r="T235" s="1030"/>
      <c r="U235" s="1030"/>
      <c r="V235" s="1030"/>
      <c r="W235" s="1030"/>
      <c r="X235" s="1030"/>
      <c r="Y235" s="1030"/>
      <c r="Z235" s="1030"/>
    </row>
    <row r="236" spans="1:26" ht="12.75" customHeight="1">
      <c r="A236" s="1061"/>
      <c r="B236" s="1039"/>
      <c r="C236" s="1039"/>
      <c r="D236" s="1092"/>
      <c r="E236" s="1092"/>
      <c r="F236" s="1092"/>
      <c r="G236" s="1092"/>
      <c r="H236" s="1093"/>
      <c r="I236" s="1092"/>
      <c r="J236" s="1092"/>
      <c r="K236" s="1094"/>
      <c r="L236" s="1060"/>
      <c r="M236" s="1030"/>
      <c r="N236" s="1030"/>
      <c r="O236" s="1030"/>
      <c r="P236" s="1030"/>
      <c r="Q236" s="1030"/>
      <c r="R236" s="1030"/>
      <c r="S236" s="1030"/>
      <c r="T236" s="1030"/>
      <c r="U236" s="1030"/>
      <c r="V236" s="1030"/>
      <c r="W236" s="1030"/>
      <c r="X236" s="1030"/>
      <c r="Y236" s="1030"/>
      <c r="Z236" s="1030"/>
    </row>
    <row r="237" spans="1:26" ht="12.75" hidden="1" customHeight="1" outlineLevel="1">
      <c r="A237" s="1039"/>
      <c r="B237" s="1030"/>
      <c r="C237" s="1030"/>
      <c r="D237" s="1031" t="s">
        <v>3538</v>
      </c>
      <c r="E237" s="1031"/>
      <c r="F237" s="1031"/>
      <c r="G237" s="1031"/>
      <c r="H237" s="1031"/>
      <c r="I237" s="1032"/>
      <c r="J237" s="1031"/>
      <c r="K237" s="1033"/>
      <c r="L237" s="1039"/>
      <c r="M237" s="1039"/>
      <c r="N237" s="1039"/>
      <c r="O237" s="1039"/>
      <c r="P237" s="1039"/>
      <c r="Q237" s="1039"/>
      <c r="R237" s="1039"/>
      <c r="S237" s="1039"/>
      <c r="T237" s="1039"/>
      <c r="U237" s="1039"/>
      <c r="V237" s="1039"/>
      <c r="W237" s="1039"/>
      <c r="X237" s="1039"/>
      <c r="Y237" s="1039"/>
      <c r="Z237" s="1039"/>
    </row>
    <row r="238" spans="1:26" ht="12.75" hidden="1" customHeight="1" outlineLevel="1">
      <c r="A238" s="1039"/>
      <c r="B238" s="1062" t="s">
        <v>3373</v>
      </c>
      <c r="C238" s="1063" t="s">
        <v>3374</v>
      </c>
      <c r="D238" s="1064" t="s">
        <v>3539</v>
      </c>
      <c r="E238" s="1064" t="s">
        <v>3376</v>
      </c>
      <c r="F238" s="1064" t="s">
        <v>3539</v>
      </c>
      <c r="G238" s="1064" t="s">
        <v>3377</v>
      </c>
      <c r="H238" s="1064" t="s">
        <v>3540</v>
      </c>
      <c r="I238" s="1064" t="s">
        <v>3379</v>
      </c>
      <c r="J238" s="1064" t="s">
        <v>3380</v>
      </c>
      <c r="K238" s="1065" t="s">
        <v>3381</v>
      </c>
      <c r="L238" s="1039"/>
      <c r="M238" s="1039"/>
      <c r="N238" s="1039"/>
      <c r="O238" s="1039"/>
      <c r="P238" s="1039"/>
      <c r="Q238" s="1039"/>
      <c r="R238" s="1039"/>
      <c r="S238" s="1039"/>
      <c r="T238" s="1039"/>
      <c r="U238" s="1039"/>
      <c r="V238" s="1039"/>
      <c r="W238" s="1039"/>
      <c r="X238" s="1039"/>
      <c r="Y238" s="1039"/>
      <c r="Z238" s="1039"/>
    </row>
    <row r="239" spans="1:26" ht="12.75" hidden="1" customHeight="1" outlineLevel="1">
      <c r="A239" s="1039"/>
      <c r="B239" s="1051" t="s">
        <v>3541</v>
      </c>
      <c r="C239" s="1066" t="s">
        <v>3342</v>
      </c>
      <c r="D239" s="1062">
        <f>E8</f>
        <v>0</v>
      </c>
      <c r="E239" s="1035"/>
      <c r="F239" s="1138" t="s">
        <v>122</v>
      </c>
      <c r="G239" s="1087"/>
      <c r="H239" s="1068">
        <f>IF(F239="x",IF(AND($F$257&gt;=4000,OR(E239="MT",E239="MTcod",E239="ET",E239="ETcod")),IF((10*($F$257-4000)/100)&lt;=300,10*($F$257-4000)/100,300),0))+IF(F239="x",IF(AND($F$257&gt;=2500,OR(E239="ST",E239="STcod")),IF((10*($F$257-2500)/100)&lt;=200,10*($F$257-2500)/100,200),0))+IF(F239="x",IF(AND($F$257&gt;=1500,OR(E239="T",E239="Tcod")),IF((10*($F$257-1500)/100)&lt;=100,10*($F$257-1500)/100,100),0))+IF(F239="x",IF(AND($F$257&gt;=1500,OR(E239="HTS",E239="STS",E239="TS")),IF((10*($F$257-1500)/100)&lt;=100,10*($F$257-1500)/100,100),0))+IF(F239="x",IF(AND($F$257&gt;=2000,OR(E239="MTCoach",E239="ETCoach")),IF((10*($F$257-2000)/100*2)&lt;=300,10*($F$257-2000)/100*2,300),0))+IF(F239="x",IF(AND($F$257&gt;=1500,E239="STCoach"),IF((10*($F$257-1500)/100*2)&lt;=200,10*($F$257-1500)/100*2,200),0))+IF(F239="x",IF(AND($F$257&gt;=1000,E239="TCoach"),IF((10*($F$257-1000)/100*2)&lt;=100,10*($F$257-1000)/100*2,100),0))</f>
        <v>0</v>
      </c>
      <c r="I239" s="1062">
        <f>$E$3</f>
        <v>8</v>
      </c>
      <c r="J239" s="1035"/>
      <c r="K239" s="1068">
        <f>I239*(H239)+J239</f>
        <v>0</v>
      </c>
      <c r="L239" s="1039"/>
      <c r="M239" s="1039"/>
      <c r="N239" s="1039"/>
      <c r="O239" s="1039"/>
      <c r="P239" s="1039"/>
      <c r="Q239" s="1039"/>
      <c r="R239" s="1039"/>
      <c r="S239" s="1039"/>
      <c r="T239" s="1039"/>
      <c r="U239" s="1039"/>
      <c r="V239" s="1039"/>
      <c r="W239" s="1039"/>
      <c r="X239" s="1039"/>
      <c r="Y239" s="1039"/>
      <c r="Z239" s="1039"/>
    </row>
    <row r="240" spans="1:26" ht="12.75" hidden="1" customHeight="1" outlineLevel="1">
      <c r="A240" s="1039"/>
      <c r="B240" s="1030"/>
      <c r="C240" s="1030"/>
      <c r="D240" s="1060"/>
      <c r="E240" s="1060"/>
      <c r="F240" s="1060"/>
      <c r="G240" s="1060"/>
      <c r="H240" s="1060"/>
      <c r="I240" s="1165"/>
      <c r="J240" s="1060"/>
      <c r="K240" s="1166"/>
      <c r="L240" s="1039"/>
      <c r="M240" s="1039"/>
      <c r="N240" s="1039"/>
      <c r="O240" s="1039"/>
      <c r="P240" s="1039"/>
      <c r="Q240" s="1039"/>
      <c r="R240" s="1039"/>
      <c r="S240" s="1039"/>
      <c r="T240" s="1039"/>
      <c r="U240" s="1039"/>
      <c r="V240" s="1039"/>
      <c r="W240" s="1039"/>
      <c r="X240" s="1039"/>
      <c r="Y240" s="1039"/>
      <c r="Z240" s="1039"/>
    </row>
    <row r="241" spans="1:26" ht="12.75" hidden="1" customHeight="1" outlineLevel="1">
      <c r="A241" s="1039"/>
      <c r="B241" s="1062" t="s">
        <v>3373</v>
      </c>
      <c r="C241" s="1063" t="s">
        <v>3374</v>
      </c>
      <c r="D241" s="1064" t="s">
        <v>3359</v>
      </c>
      <c r="E241" s="1064" t="s">
        <v>3542</v>
      </c>
      <c r="F241" s="1064"/>
      <c r="G241" s="1064"/>
      <c r="H241" s="1064" t="s">
        <v>3377</v>
      </c>
      <c r="I241" s="1064"/>
      <c r="J241" s="1064"/>
      <c r="K241" s="1065" t="s">
        <v>3381</v>
      </c>
      <c r="L241" s="1039"/>
      <c r="M241" s="1039"/>
      <c r="N241" s="1039"/>
      <c r="O241" s="1039"/>
      <c r="P241" s="1039"/>
      <c r="Q241" s="1039"/>
      <c r="R241" s="1039"/>
      <c r="S241" s="1039"/>
      <c r="T241" s="1039"/>
      <c r="U241" s="1039"/>
      <c r="V241" s="1039"/>
      <c r="W241" s="1039"/>
      <c r="X241" s="1039"/>
      <c r="Y241" s="1039"/>
      <c r="Z241" s="1039"/>
    </row>
    <row r="242" spans="1:26" ht="12.75" hidden="1" customHeight="1" outlineLevel="1">
      <c r="A242" s="1039"/>
      <c r="B242" s="1051" t="s">
        <v>3541</v>
      </c>
      <c r="C242" s="1066" t="s">
        <v>117</v>
      </c>
      <c r="D242" s="1050" t="str">
        <f t="shared" ref="D242:D246" si="13">K7</f>
        <v>-</v>
      </c>
      <c r="E242" s="1167" t="s">
        <v>3543</v>
      </c>
      <c r="F242" s="1168"/>
      <c r="G242" s="1169"/>
      <c r="H242" s="1170"/>
      <c r="I242" s="1168"/>
      <c r="J242" s="1169"/>
      <c r="K242" s="1068">
        <v>0</v>
      </c>
      <c r="L242" s="1039"/>
      <c r="M242" s="1039"/>
      <c r="N242" s="1039"/>
      <c r="O242" s="1039"/>
      <c r="P242" s="1039"/>
      <c r="Q242" s="1039"/>
      <c r="R242" s="1039"/>
      <c r="S242" s="1039"/>
      <c r="T242" s="1039"/>
      <c r="U242" s="1039"/>
      <c r="V242" s="1039"/>
      <c r="W242" s="1039"/>
      <c r="X242" s="1039"/>
      <c r="Y242" s="1039"/>
      <c r="Z242" s="1039"/>
    </row>
    <row r="243" spans="1:26" ht="12.75" hidden="1" customHeight="1" outlineLevel="1">
      <c r="A243" s="1039"/>
      <c r="B243" s="1051" t="s">
        <v>3541</v>
      </c>
      <c r="C243" s="1066" t="s">
        <v>117</v>
      </c>
      <c r="D243" s="1050" t="str">
        <f t="shared" si="13"/>
        <v>-</v>
      </c>
      <c r="E243" s="1167" t="s">
        <v>3544</v>
      </c>
      <c r="F243" s="1168"/>
      <c r="G243" s="1169"/>
      <c r="H243" s="1170"/>
      <c r="I243" s="1168"/>
      <c r="J243" s="1169"/>
      <c r="K243" s="1068">
        <v>0</v>
      </c>
      <c r="L243" s="1039"/>
      <c r="M243" s="1039"/>
      <c r="N243" s="1039"/>
      <c r="O243" s="1039"/>
      <c r="P243" s="1039"/>
      <c r="Q243" s="1039"/>
      <c r="R243" s="1039"/>
      <c r="S243" s="1039"/>
      <c r="T243" s="1039"/>
      <c r="U243" s="1039"/>
      <c r="V243" s="1039"/>
      <c r="W243" s="1039"/>
      <c r="X243" s="1039"/>
      <c r="Y243" s="1039"/>
      <c r="Z243" s="1039"/>
    </row>
    <row r="244" spans="1:26" ht="12.75" hidden="1" customHeight="1" outlineLevel="1">
      <c r="A244" s="1039"/>
      <c r="B244" s="1051" t="s">
        <v>3541</v>
      </c>
      <c r="C244" s="1066" t="s">
        <v>117</v>
      </c>
      <c r="D244" s="1050" t="str">
        <f t="shared" si="13"/>
        <v>-</v>
      </c>
      <c r="E244" s="1167" t="s">
        <v>3545</v>
      </c>
      <c r="F244" s="1168"/>
      <c r="G244" s="1169"/>
      <c r="H244" s="1170"/>
      <c r="I244" s="1168"/>
      <c r="J244" s="1169"/>
      <c r="K244" s="1068">
        <v>0</v>
      </c>
      <c r="L244" s="1039"/>
      <c r="M244" s="1039"/>
      <c r="N244" s="1039"/>
      <c r="O244" s="1039"/>
      <c r="P244" s="1039"/>
      <c r="Q244" s="1039"/>
      <c r="R244" s="1039"/>
      <c r="S244" s="1039"/>
      <c r="T244" s="1039"/>
      <c r="U244" s="1039"/>
      <c r="V244" s="1039"/>
      <c r="W244" s="1039"/>
      <c r="X244" s="1039"/>
      <c r="Y244" s="1039"/>
      <c r="Z244" s="1039"/>
    </row>
    <row r="245" spans="1:26" ht="12.75" hidden="1" customHeight="1" outlineLevel="1">
      <c r="A245" s="1039"/>
      <c r="B245" s="1051" t="s">
        <v>3541</v>
      </c>
      <c r="C245" s="1066" t="s">
        <v>117</v>
      </c>
      <c r="D245" s="1050">
        <f t="shared" si="13"/>
        <v>0</v>
      </c>
      <c r="E245" s="1167" t="s">
        <v>3546</v>
      </c>
      <c r="F245" s="1168"/>
      <c r="G245" s="1169"/>
      <c r="H245" s="1168"/>
      <c r="I245" s="1168"/>
      <c r="J245" s="1169"/>
      <c r="K245" s="1068">
        <f t="shared" ref="K245:K246" si="14">F264</f>
        <v>0</v>
      </c>
      <c r="L245" s="1039"/>
      <c r="M245" s="1039"/>
      <c r="N245" s="1039"/>
      <c r="O245" s="1039"/>
      <c r="P245" s="1039"/>
      <c r="Q245" s="1039"/>
      <c r="R245" s="1039"/>
      <c r="S245" s="1039"/>
      <c r="T245" s="1039"/>
      <c r="U245" s="1039"/>
      <c r="V245" s="1039"/>
      <c r="W245" s="1039"/>
      <c r="X245" s="1039"/>
      <c r="Y245" s="1039"/>
      <c r="Z245" s="1039"/>
    </row>
    <row r="246" spans="1:26" ht="12.75" hidden="1" customHeight="1" outlineLevel="1">
      <c r="A246" s="1039"/>
      <c r="B246" s="1051" t="s">
        <v>3541</v>
      </c>
      <c r="C246" s="1066" t="s">
        <v>117</v>
      </c>
      <c r="D246" s="1050" t="str">
        <f t="shared" si="13"/>
        <v>-</v>
      </c>
      <c r="E246" s="1167" t="s">
        <v>3547</v>
      </c>
      <c r="F246" s="1168"/>
      <c r="G246" s="1169"/>
      <c r="H246" s="1168"/>
      <c r="I246" s="1168"/>
      <c r="J246" s="1169"/>
      <c r="K246" s="1068">
        <f t="shared" si="14"/>
        <v>0</v>
      </c>
      <c r="L246" s="1039"/>
      <c r="M246" s="1030"/>
      <c r="N246" s="1030"/>
      <c r="O246" s="1030"/>
      <c r="P246" s="1030"/>
      <c r="Q246" s="1030"/>
      <c r="R246" s="1030"/>
      <c r="S246" s="1030"/>
      <c r="T246" s="1030"/>
      <c r="U246" s="1030"/>
      <c r="V246" s="1030"/>
      <c r="W246" s="1030"/>
      <c r="X246" s="1030"/>
      <c r="Y246" s="1030"/>
      <c r="Z246" s="1030"/>
    </row>
    <row r="247" spans="1:26" ht="15.75" hidden="1" customHeight="1" outlineLevel="1">
      <c r="A247" s="1039"/>
      <c r="B247" s="1030"/>
      <c r="C247" s="1030"/>
      <c r="D247" s="1088" t="s">
        <v>3548</v>
      </c>
      <c r="E247" s="1089"/>
      <c r="F247" s="1089"/>
      <c r="G247" s="1089"/>
      <c r="H247" s="1090"/>
      <c r="I247" s="1089"/>
      <c r="J247" s="1089"/>
      <c r="K247" s="1091">
        <f>K239+SUM(K242:K246)</f>
        <v>0</v>
      </c>
      <c r="L247" s="1039"/>
      <c r="M247" s="1171"/>
      <c r="N247" s="1171"/>
      <c r="O247" s="1171"/>
      <c r="P247" s="1171"/>
      <c r="Q247" s="1171"/>
      <c r="R247" s="1171"/>
      <c r="S247" s="1171"/>
      <c r="T247" s="1171"/>
      <c r="U247" s="1171"/>
      <c r="V247" s="1171"/>
      <c r="W247" s="1171"/>
      <c r="X247" s="1171"/>
      <c r="Y247" s="1171"/>
      <c r="Z247" s="1171"/>
    </row>
    <row r="248" spans="1:26" ht="12.75" hidden="1" customHeight="1" outlineLevel="1">
      <c r="A248" s="1030"/>
      <c r="B248" s="1030"/>
      <c r="C248" s="1030"/>
      <c r="D248" s="1030"/>
      <c r="E248" s="1172"/>
      <c r="F248" s="1172"/>
      <c r="G248" s="1172"/>
      <c r="H248" s="1172"/>
      <c r="I248" s="1172"/>
      <c r="J248" s="1172"/>
      <c r="K248" s="1172"/>
      <c r="L248" s="1030"/>
      <c r="M248" s="1030"/>
      <c r="N248" s="1030"/>
      <c r="O248" s="1030"/>
      <c r="P248" s="1030"/>
      <c r="Q248" s="1030"/>
      <c r="R248" s="1030"/>
      <c r="S248" s="1030"/>
      <c r="T248" s="1030"/>
      <c r="U248" s="1030"/>
      <c r="V248" s="1030"/>
      <c r="W248" s="1030"/>
      <c r="X248" s="1030"/>
      <c r="Y248" s="1030"/>
      <c r="Z248" s="1030"/>
    </row>
    <row r="249" spans="1:26" ht="12.75" hidden="1" customHeight="1" outlineLevel="1">
      <c r="A249" s="1030"/>
      <c r="B249" s="1030"/>
      <c r="C249" s="1030"/>
      <c r="D249" s="1173" t="s">
        <v>3549</v>
      </c>
      <c r="E249" s="1174"/>
      <c r="F249" s="1174"/>
      <c r="G249" s="1174"/>
      <c r="H249" s="1174"/>
      <c r="I249" s="1175"/>
      <c r="J249" s="1174"/>
      <c r="K249" s="1176"/>
      <c r="L249" s="1030"/>
      <c r="M249" s="1030"/>
      <c r="N249" s="1030"/>
      <c r="O249" s="1030"/>
      <c r="P249" s="1030"/>
      <c r="Q249" s="1030"/>
      <c r="R249" s="1030"/>
      <c r="S249" s="1030"/>
      <c r="T249" s="1030"/>
      <c r="U249" s="1030"/>
      <c r="V249" s="1030"/>
      <c r="W249" s="1030"/>
      <c r="X249" s="1030"/>
      <c r="Y249" s="1030"/>
      <c r="Z249" s="1030"/>
    </row>
    <row r="250" spans="1:26" ht="12.75" hidden="1" customHeight="1" outlineLevel="1">
      <c r="A250" s="1030"/>
      <c r="B250" s="1062" t="s">
        <v>3550</v>
      </c>
      <c r="C250" s="1063" t="s">
        <v>3374</v>
      </c>
      <c r="D250" s="1177" t="s">
        <v>3551</v>
      </c>
      <c r="E250" s="1064"/>
      <c r="F250" s="1064"/>
      <c r="G250" s="1064"/>
      <c r="H250" s="1064"/>
      <c r="I250" s="1097" t="s">
        <v>3377</v>
      </c>
      <c r="J250" s="1064"/>
      <c r="K250" s="1064" t="s">
        <v>3381</v>
      </c>
      <c r="L250" s="1030"/>
      <c r="M250" s="1030"/>
      <c r="N250" s="1030"/>
      <c r="O250" s="1030"/>
      <c r="P250" s="1030"/>
      <c r="Q250" s="1030"/>
      <c r="R250" s="1030"/>
      <c r="S250" s="1030"/>
      <c r="T250" s="1030"/>
      <c r="U250" s="1030"/>
      <c r="V250" s="1030"/>
      <c r="W250" s="1030"/>
      <c r="X250" s="1030"/>
      <c r="Y250" s="1030"/>
      <c r="Z250" s="1030"/>
    </row>
    <row r="251" spans="1:26" ht="15.75" hidden="1" customHeight="1" outlineLevel="1">
      <c r="A251" s="1030"/>
      <c r="B251" s="1051" t="s">
        <v>3552</v>
      </c>
      <c r="C251" s="1066" t="s">
        <v>117</v>
      </c>
      <c r="D251" s="1178" t="str">
        <f>I2</f>
        <v>Master in Vendita</v>
      </c>
      <c r="E251" s="1179"/>
      <c r="F251" s="1180"/>
      <c r="G251" s="1181" t="str">
        <f>G2</f>
        <v>20-21-22 ottobre, 10-11-12 novembre e 25, 26 novembre</v>
      </c>
      <c r="H251" s="1180" t="str">
        <f>G3</f>
        <v>Bussolengo (VR)</v>
      </c>
      <c r="I251" s="1167"/>
      <c r="J251" s="1116"/>
      <c r="K251" s="1182">
        <f>F256</f>
        <v>412815.14</v>
      </c>
      <c r="L251" s="1030"/>
      <c r="M251" s="1171"/>
      <c r="N251" s="1171"/>
      <c r="O251" s="1171"/>
      <c r="P251" s="1171"/>
      <c r="Q251" s="1171"/>
      <c r="R251" s="1171"/>
      <c r="S251" s="1171"/>
      <c r="T251" s="1171"/>
      <c r="U251" s="1171"/>
      <c r="V251" s="1171"/>
      <c r="W251" s="1171"/>
      <c r="X251" s="1171"/>
      <c r="Y251" s="1171"/>
      <c r="Z251" s="1171"/>
    </row>
    <row r="252" spans="1:26" ht="15.75" hidden="1" customHeight="1" outlineLevel="1">
      <c r="A252" s="1030"/>
      <c r="B252" s="1051" t="s">
        <v>3553</v>
      </c>
      <c r="C252" s="1066" t="s">
        <v>117</v>
      </c>
      <c r="D252" s="1183" t="s">
        <v>3352</v>
      </c>
      <c r="E252" s="1184"/>
      <c r="F252" s="1179"/>
      <c r="G252" s="1179"/>
      <c r="H252" s="1185"/>
      <c r="I252" s="1167"/>
      <c r="J252" s="1116"/>
      <c r="K252" s="1068">
        <f>K235-SUMIF(D109:D234,"x",K109:K234)</f>
        <v>0</v>
      </c>
      <c r="L252" s="1030"/>
      <c r="M252" s="1030"/>
      <c r="N252" s="1030"/>
      <c r="O252" s="1030"/>
      <c r="P252" s="1030"/>
      <c r="Q252" s="1030"/>
      <c r="R252" s="1030"/>
      <c r="S252" s="1030"/>
      <c r="T252" s="1030"/>
      <c r="U252" s="1030"/>
      <c r="V252" s="1030"/>
      <c r="W252" s="1030"/>
      <c r="X252" s="1030"/>
      <c r="Y252" s="1030"/>
      <c r="Z252" s="1030"/>
    </row>
    <row r="253" spans="1:26" ht="15.75" customHeight="1" collapsed="1">
      <c r="A253" s="1171"/>
      <c r="B253" s="1030"/>
      <c r="C253" s="1030"/>
      <c r="D253" s="1030"/>
      <c r="E253" s="1030"/>
      <c r="F253" s="1030"/>
      <c r="G253" s="1030"/>
      <c r="H253" s="1186"/>
      <c r="I253" s="1030"/>
      <c r="J253" s="1030"/>
      <c r="K253" s="1030"/>
      <c r="L253" s="1171"/>
      <c r="M253" s="1030"/>
      <c r="N253" s="1030"/>
      <c r="O253" s="1030"/>
      <c r="P253" s="1030"/>
      <c r="Q253" s="1030"/>
      <c r="R253" s="1030"/>
      <c r="S253" s="1030"/>
      <c r="T253" s="1030"/>
      <c r="U253" s="1030"/>
      <c r="V253" s="1030"/>
      <c r="W253" s="1030"/>
      <c r="X253" s="1030"/>
      <c r="Y253" s="1030"/>
      <c r="Z253" s="1030"/>
    </row>
    <row r="254" spans="1:26" ht="15.75" customHeight="1">
      <c r="A254" s="1171"/>
      <c r="B254" s="1030"/>
      <c r="C254" s="1030"/>
      <c r="D254" s="1088" t="s">
        <v>3554</v>
      </c>
      <c r="E254" s="1089"/>
      <c r="F254" s="1187"/>
      <c r="G254" s="1030"/>
      <c r="H254" s="1030"/>
      <c r="I254" s="1030"/>
      <c r="J254" s="1030" t="s">
        <v>3555</v>
      </c>
      <c r="K254" s="1186"/>
      <c r="L254" s="1171"/>
      <c r="M254" s="1030"/>
      <c r="N254" s="1030"/>
      <c r="O254" s="1030"/>
      <c r="P254" s="1030"/>
      <c r="Q254" s="1030"/>
      <c r="R254" s="1030"/>
      <c r="S254" s="1030"/>
      <c r="T254" s="1030"/>
      <c r="U254" s="1030"/>
      <c r="V254" s="1030"/>
      <c r="W254" s="1030"/>
      <c r="X254" s="1030"/>
      <c r="Y254" s="1030"/>
      <c r="Z254" s="1030"/>
    </row>
    <row r="255" spans="1:26" ht="15.75" customHeight="1">
      <c r="A255" s="1030"/>
      <c r="B255" s="1030"/>
      <c r="C255" s="1030"/>
      <c r="D255" s="1034" t="s">
        <v>3556</v>
      </c>
      <c r="E255" s="1034"/>
      <c r="F255" s="1072">
        <f>K102+SUMIF(D106,"x",K106)+SUMIF(D109:D234,"x",K109:K234)</f>
        <v>140792.94225000002</v>
      </c>
      <c r="G255" s="1030"/>
      <c r="H255" s="1134"/>
      <c r="I255" s="1030"/>
      <c r="J255" s="1060"/>
      <c r="K255" s="1060"/>
      <c r="L255" s="1030"/>
      <c r="M255" s="1030"/>
      <c r="N255" s="1030"/>
      <c r="O255" s="1030"/>
      <c r="P255" s="1030"/>
      <c r="Q255" s="1030"/>
      <c r="R255" s="1030"/>
      <c r="S255" s="1030"/>
      <c r="T255" s="1030"/>
      <c r="U255" s="1030"/>
      <c r="V255" s="1030"/>
      <c r="W255" s="1030"/>
      <c r="X255" s="1030"/>
      <c r="Y255" s="1030"/>
      <c r="Z255" s="1030"/>
    </row>
    <row r="256" spans="1:26" ht="15.75" customHeight="1">
      <c r="A256" s="1030"/>
      <c r="B256" s="1030"/>
      <c r="C256" s="1030"/>
      <c r="D256" s="1034" t="s">
        <v>3343</v>
      </c>
      <c r="E256" s="1188"/>
      <c r="F256" s="1072">
        <f>K2</f>
        <v>412815.14</v>
      </c>
      <c r="G256" s="1171"/>
      <c r="H256" s="1134"/>
      <c r="I256" s="1171"/>
      <c r="J256" s="1060"/>
      <c r="K256" s="1060"/>
      <c r="L256" s="1030"/>
      <c r="M256" s="1030"/>
      <c r="N256" s="1030"/>
      <c r="O256" s="1030"/>
      <c r="P256" s="1030"/>
      <c r="Q256" s="1030"/>
      <c r="R256" s="1030"/>
      <c r="S256" s="1030"/>
      <c r="T256" s="1030"/>
      <c r="U256" s="1030"/>
      <c r="V256" s="1030"/>
      <c r="W256" s="1030"/>
      <c r="X256" s="1030"/>
      <c r="Y256" s="1030"/>
      <c r="Z256" s="1030"/>
    </row>
    <row r="257" spans="1:26" ht="15.75" customHeight="1">
      <c r="A257" s="1030"/>
      <c r="B257" s="1030"/>
      <c r="C257" s="1030"/>
      <c r="D257" s="1034" t="s">
        <v>3557</v>
      </c>
      <c r="E257" s="1188"/>
      <c r="F257" s="1072">
        <f>IF(E3=0,0,F256/E3)</f>
        <v>51601.892500000002</v>
      </c>
      <c r="G257" s="1189"/>
      <c r="H257" s="1134"/>
      <c r="I257" s="1171"/>
      <c r="J257" s="1030"/>
      <c r="K257" s="1030"/>
      <c r="L257" s="1030"/>
      <c r="M257" s="1030"/>
      <c r="N257" s="1030"/>
      <c r="O257" s="1030"/>
      <c r="P257" s="1030"/>
      <c r="Q257" s="1030"/>
      <c r="R257" s="1030"/>
      <c r="S257" s="1030"/>
      <c r="T257" s="1030"/>
      <c r="U257" s="1030"/>
      <c r="V257" s="1030"/>
      <c r="W257" s="1030"/>
      <c r="X257" s="1030"/>
      <c r="Y257" s="1030"/>
      <c r="Z257" s="1030"/>
    </row>
    <row r="258" spans="1:26" ht="15" customHeight="1">
      <c r="A258" s="1030"/>
      <c r="B258" s="1030"/>
      <c r="C258" s="1030"/>
      <c r="D258" s="1034" t="s">
        <v>3352</v>
      </c>
      <c r="E258" s="1188"/>
      <c r="F258" s="1190" t="str">
        <f>K3</f>
        <v>Incluse</v>
      </c>
      <c r="G258" s="1189"/>
      <c r="H258" s="1134"/>
      <c r="I258" s="1171"/>
      <c r="J258" s="1039"/>
      <c r="K258" s="1039"/>
      <c r="L258" s="1030"/>
      <c r="M258" s="1030"/>
      <c r="N258" s="1030"/>
      <c r="O258" s="1030"/>
      <c r="P258" s="1030"/>
      <c r="Q258" s="1030"/>
      <c r="R258" s="1030"/>
      <c r="S258" s="1030"/>
      <c r="T258" s="1030"/>
      <c r="U258" s="1030"/>
      <c r="V258" s="1030"/>
      <c r="W258" s="1030"/>
      <c r="X258" s="1030"/>
      <c r="Y258" s="1030"/>
      <c r="Z258" s="1030"/>
    </row>
    <row r="259" spans="1:26" ht="15.75" customHeight="1">
      <c r="A259" s="1030"/>
      <c r="B259" s="1030"/>
      <c r="C259" s="1030"/>
      <c r="D259" s="1034" t="s">
        <v>3350</v>
      </c>
      <c r="E259" s="1188"/>
      <c r="F259" s="1190" t="str">
        <f>I3</f>
        <v>Autofinanziato</v>
      </c>
      <c r="G259" s="1189"/>
      <c r="H259" s="1134"/>
      <c r="I259" s="1030"/>
      <c r="J259" s="1060"/>
      <c r="K259" s="1172"/>
      <c r="L259" s="1030"/>
      <c r="M259" s="1030"/>
      <c r="N259" s="1030"/>
      <c r="O259" s="1030"/>
      <c r="P259" s="1030"/>
      <c r="Q259" s="1030"/>
      <c r="R259" s="1030"/>
      <c r="S259" s="1030"/>
      <c r="T259" s="1030"/>
      <c r="U259" s="1030"/>
      <c r="V259" s="1030"/>
      <c r="W259" s="1030"/>
      <c r="X259" s="1030"/>
      <c r="Y259" s="1030"/>
      <c r="Z259" s="1030"/>
    </row>
    <row r="260" spans="1:26" ht="15.75" customHeight="1">
      <c r="A260" s="1030"/>
      <c r="B260" s="1030"/>
      <c r="C260" s="1030"/>
      <c r="D260" s="1034" t="s">
        <v>3558</v>
      </c>
      <c r="E260" s="1188"/>
      <c r="F260" s="1072">
        <f>K239</f>
        <v>0</v>
      </c>
      <c r="G260" s="1189"/>
      <c r="H260" s="1134"/>
      <c r="I260" s="1030"/>
      <c r="J260" s="1060"/>
      <c r="K260" s="1172"/>
      <c r="L260" s="1030"/>
      <c r="M260" s="1030"/>
      <c r="N260" s="1030"/>
      <c r="O260" s="1030"/>
      <c r="P260" s="1030"/>
      <c r="Q260" s="1030"/>
      <c r="R260" s="1030"/>
      <c r="S260" s="1030"/>
      <c r="T260" s="1030"/>
      <c r="U260" s="1030"/>
      <c r="V260" s="1030"/>
      <c r="W260" s="1030"/>
      <c r="X260" s="1030"/>
      <c r="Y260" s="1030"/>
      <c r="Z260" s="1030"/>
    </row>
    <row r="261" spans="1:26" ht="15.75" customHeight="1">
      <c r="A261" s="1030"/>
      <c r="B261" s="1030"/>
      <c r="C261" s="1030"/>
      <c r="D261" s="1034" t="s">
        <v>3361</v>
      </c>
      <c r="E261" s="1191">
        <f t="shared" ref="E261:E265" si="15">J7</f>
        <v>0</v>
      </c>
      <c r="F261" s="1072">
        <f>'Lista Corso'!BU490</f>
        <v>49778.57700000007</v>
      </c>
      <c r="G261" s="1189"/>
      <c r="H261" s="1134"/>
      <c r="I261" s="1171"/>
      <c r="J261" s="1060"/>
      <c r="K261" s="1172"/>
      <c r="L261" s="1030"/>
      <c r="M261" s="1030"/>
      <c r="N261" s="1030"/>
      <c r="O261" s="1030"/>
      <c r="P261" s="1030"/>
      <c r="Q261" s="1030"/>
      <c r="R261" s="1030"/>
      <c r="S261" s="1030"/>
      <c r="T261" s="1030"/>
      <c r="U261" s="1030"/>
      <c r="V261" s="1030"/>
      <c r="W261" s="1030"/>
      <c r="X261" s="1030"/>
      <c r="Y261" s="1030"/>
      <c r="Z261" s="1030"/>
    </row>
    <row r="262" spans="1:26" ht="15.75" customHeight="1">
      <c r="A262" s="1030"/>
      <c r="B262" s="1030"/>
      <c r="C262" s="1030"/>
      <c r="D262" s="1034" t="s">
        <v>3559</v>
      </c>
      <c r="E262" s="1191">
        <f t="shared" si="15"/>
        <v>0</v>
      </c>
      <c r="F262" s="1072">
        <f>'Lista Corso'!CC490</f>
        <v>19555.077000000001</v>
      </c>
      <c r="G262" s="1189"/>
      <c r="H262" s="1134"/>
      <c r="I262" s="1030"/>
      <c r="J262" s="1060"/>
      <c r="K262" s="1172"/>
      <c r="L262" s="1030"/>
      <c r="M262" s="1030"/>
      <c r="N262" s="1030"/>
      <c r="O262" s="1030"/>
      <c r="P262" s="1030"/>
      <c r="Q262" s="1030"/>
      <c r="R262" s="1030"/>
      <c r="S262" s="1030"/>
      <c r="T262" s="1030"/>
      <c r="U262" s="1030"/>
      <c r="V262" s="1030"/>
      <c r="W262" s="1030"/>
      <c r="X262" s="1030"/>
      <c r="Y262" s="1030"/>
      <c r="Z262" s="1030"/>
    </row>
    <row r="263" spans="1:26" ht="12.75" customHeight="1">
      <c r="A263" s="1030"/>
      <c r="B263" s="1030"/>
      <c r="C263" s="1030"/>
      <c r="D263" s="1034" t="s">
        <v>3365</v>
      </c>
      <c r="E263" s="1191">
        <f t="shared" si="15"/>
        <v>0</v>
      </c>
      <c r="F263" s="1072">
        <f>K244</f>
        <v>0</v>
      </c>
      <c r="G263" s="1189"/>
      <c r="H263" s="1134"/>
      <c r="I263" s="1030"/>
      <c r="J263" s="1060"/>
      <c r="K263" s="1172"/>
      <c r="L263" s="1030"/>
      <c r="M263" s="1030"/>
      <c r="N263" s="1030"/>
      <c r="O263" s="1030"/>
      <c r="P263" s="1030"/>
      <c r="Q263" s="1030"/>
      <c r="R263" s="1030"/>
      <c r="S263" s="1030"/>
      <c r="T263" s="1030"/>
      <c r="U263" s="1030"/>
      <c r="V263" s="1030"/>
      <c r="W263" s="1030"/>
      <c r="X263" s="1030"/>
      <c r="Y263" s="1030"/>
      <c r="Z263" s="1030"/>
    </row>
    <row r="264" spans="1:26" ht="12.75" customHeight="1">
      <c r="A264" s="1030"/>
      <c r="B264" s="1030"/>
      <c r="C264" s="1030"/>
      <c r="D264" s="1034" t="s">
        <v>3367</v>
      </c>
      <c r="E264" s="1191">
        <f t="shared" si="15"/>
        <v>0</v>
      </c>
      <c r="F264" s="1072">
        <f>E264*(F256-SUMIF(D106,"x",K106)-SUMIF(D117:D234,"x",K117:K234))</f>
        <v>0</v>
      </c>
      <c r="G264" s="1192"/>
      <c r="H264" s="1134"/>
      <c r="I264" s="1030"/>
      <c r="J264" s="1193"/>
      <c r="K264" s="1172"/>
      <c r="L264" s="1030"/>
      <c r="M264" s="1030"/>
      <c r="N264" s="1030"/>
      <c r="O264" s="1030"/>
      <c r="P264" s="1030"/>
      <c r="Q264" s="1030"/>
      <c r="R264" s="1030"/>
      <c r="S264" s="1030"/>
      <c r="T264" s="1030"/>
      <c r="U264" s="1030"/>
      <c r="V264" s="1030"/>
      <c r="W264" s="1030"/>
      <c r="X264" s="1030"/>
      <c r="Y264" s="1030"/>
      <c r="Z264" s="1030"/>
    </row>
    <row r="265" spans="1:26" ht="12.75" customHeight="1">
      <c r="A265" s="1030"/>
      <c r="B265" s="1030"/>
      <c r="C265" s="1030"/>
      <c r="D265" s="1034" t="s">
        <v>3369</v>
      </c>
      <c r="E265" s="1191">
        <f t="shared" si="15"/>
        <v>0</v>
      </c>
      <c r="F265" s="1072">
        <f>E265*(F256-SUMIF(D106,"x",K106)-SUMIF(D117:D234,"x",K117:K234))</f>
        <v>0</v>
      </c>
      <c r="G265" s="1189"/>
      <c r="H265" s="1186"/>
      <c r="I265" s="1030"/>
      <c r="J265" s="1030"/>
      <c r="K265" s="1030"/>
      <c r="L265" s="1030"/>
      <c r="M265" s="1030"/>
      <c r="N265" s="1030"/>
      <c r="O265" s="1030"/>
      <c r="P265" s="1030"/>
      <c r="Q265" s="1030"/>
      <c r="R265" s="1030"/>
      <c r="S265" s="1030"/>
      <c r="T265" s="1030"/>
      <c r="U265" s="1030"/>
      <c r="V265" s="1030"/>
      <c r="W265" s="1030"/>
      <c r="X265" s="1030"/>
      <c r="Y265" s="1030"/>
      <c r="Z265" s="1030"/>
    </row>
    <row r="266" spans="1:26" ht="12.75" customHeight="1">
      <c r="A266" s="1030"/>
      <c r="B266" s="1030"/>
      <c r="C266" s="1030"/>
      <c r="D266" s="1034" t="s">
        <v>3560</v>
      </c>
      <c r="E266" s="1034"/>
      <c r="F266" s="1072">
        <f>F256-F255-F260-F261-F262-F263-F264-F265</f>
        <v>202688.54374999992</v>
      </c>
      <c r="G266" s="1030"/>
      <c r="H266" s="1186"/>
      <c r="I266" s="1030"/>
      <c r="J266" s="1030"/>
      <c r="K266" s="1030"/>
      <c r="L266" s="1030"/>
      <c r="M266" s="1030"/>
      <c r="N266" s="1030"/>
      <c r="O266" s="1030"/>
      <c r="P266" s="1030"/>
      <c r="Q266" s="1030"/>
      <c r="R266" s="1030"/>
      <c r="S266" s="1030"/>
      <c r="T266" s="1030"/>
      <c r="U266" s="1030"/>
      <c r="V266" s="1030"/>
      <c r="W266" s="1030"/>
      <c r="X266" s="1030"/>
      <c r="Y266" s="1030"/>
      <c r="Z266" s="1030"/>
    </row>
    <row r="267" spans="1:26" ht="12.75" customHeight="1">
      <c r="A267" s="1030"/>
      <c r="B267" s="1030"/>
      <c r="C267" s="1030"/>
      <c r="D267" s="1034" t="s">
        <v>3561</v>
      </c>
      <c r="E267" s="1034"/>
      <c r="F267" s="1194">
        <f>IF(F256=0,0,F266/F256)</f>
        <v>0.49099106139857157</v>
      </c>
      <c r="G267" s="1186"/>
      <c r="H267" s="1030"/>
      <c r="I267" s="1030"/>
      <c r="J267" s="1030"/>
      <c r="K267" s="1030"/>
      <c r="L267" s="1030"/>
      <c r="M267" s="1030"/>
      <c r="N267" s="1030"/>
      <c r="O267" s="1030"/>
      <c r="P267" s="1030"/>
      <c r="Q267" s="1030"/>
      <c r="R267" s="1030"/>
      <c r="S267" s="1030"/>
      <c r="T267" s="1030"/>
      <c r="U267" s="1030"/>
      <c r="V267" s="1030"/>
      <c r="W267" s="1030"/>
      <c r="X267" s="1030"/>
      <c r="Y267" s="1030"/>
      <c r="Z267" s="1030"/>
    </row>
    <row r="268" spans="1:26" ht="12.75" customHeight="1">
      <c r="A268" s="1030"/>
      <c r="B268" s="1030"/>
      <c r="C268" s="1030"/>
      <c r="D268" s="1030"/>
      <c r="E268" s="1030"/>
      <c r="F268" s="1030"/>
      <c r="G268" s="1186"/>
      <c r="H268" s="1030"/>
      <c r="I268" s="1030"/>
      <c r="J268" s="1030"/>
      <c r="K268" s="1030"/>
      <c r="L268" s="1030"/>
      <c r="M268" s="1030"/>
      <c r="N268" s="1030"/>
      <c r="O268" s="1030"/>
      <c r="P268" s="1030"/>
      <c r="Q268" s="1030"/>
      <c r="R268" s="1030"/>
      <c r="S268" s="1030"/>
      <c r="T268" s="1030"/>
      <c r="U268" s="1030"/>
      <c r="V268" s="1030"/>
      <c r="W268" s="1030"/>
      <c r="X268" s="1030"/>
      <c r="Y268" s="1030"/>
      <c r="Z268" s="1030"/>
    </row>
    <row r="269" spans="1:26" ht="12.75" customHeight="1">
      <c r="A269" s="1030"/>
      <c r="B269" s="1030"/>
      <c r="C269" s="1030"/>
      <c r="D269" s="1030"/>
      <c r="E269" s="1030"/>
      <c r="F269" s="1030"/>
      <c r="G269" s="1030"/>
      <c r="H269" s="1186"/>
      <c r="I269" s="1030"/>
      <c r="J269" s="1030"/>
      <c r="K269" s="1030"/>
      <c r="L269" s="1030"/>
      <c r="M269" s="1030"/>
      <c r="N269" s="1030"/>
      <c r="O269" s="1030"/>
      <c r="P269" s="1030"/>
      <c r="Q269" s="1030"/>
      <c r="R269" s="1030"/>
      <c r="S269" s="1030"/>
      <c r="T269" s="1030"/>
      <c r="U269" s="1030"/>
      <c r="V269" s="1030"/>
      <c r="W269" s="1030"/>
      <c r="X269" s="1030"/>
      <c r="Y269" s="1030"/>
      <c r="Z269" s="1030"/>
    </row>
    <row r="270" spans="1:26" ht="12.75" customHeight="1">
      <c r="A270" s="1030"/>
      <c r="B270" s="1030"/>
      <c r="C270" s="1030"/>
      <c r="D270" s="1030"/>
      <c r="E270" s="1030"/>
      <c r="F270" s="1030"/>
      <c r="G270" s="1030"/>
      <c r="H270" s="1186"/>
      <c r="I270" s="1030"/>
      <c r="J270" s="1030"/>
      <c r="K270" s="1030"/>
      <c r="L270" s="1030"/>
      <c r="M270" s="1030"/>
      <c r="N270" s="1030"/>
      <c r="O270" s="1030"/>
      <c r="P270" s="1030"/>
      <c r="Q270" s="1030"/>
      <c r="R270" s="1030"/>
      <c r="S270" s="1030"/>
      <c r="T270" s="1030"/>
      <c r="U270" s="1030"/>
      <c r="V270" s="1030"/>
      <c r="W270" s="1030"/>
      <c r="X270" s="1030"/>
      <c r="Y270" s="1030"/>
      <c r="Z270" s="1030"/>
    </row>
    <row r="271" spans="1:26" ht="12.75" customHeight="1">
      <c r="A271" s="1030"/>
      <c r="B271" s="1030"/>
      <c r="C271" s="1030"/>
      <c r="D271" s="1030"/>
      <c r="E271" s="1030"/>
      <c r="F271" s="1030"/>
      <c r="G271" s="1030"/>
      <c r="H271" s="1186"/>
      <c r="I271" s="1030"/>
      <c r="J271" s="1030"/>
      <c r="K271" s="1030"/>
      <c r="L271" s="1030"/>
      <c r="M271" s="1030"/>
      <c r="N271" s="1030"/>
      <c r="O271" s="1030"/>
      <c r="P271" s="1030"/>
      <c r="Q271" s="1030"/>
      <c r="R271" s="1030"/>
      <c r="S271" s="1030"/>
      <c r="T271" s="1030"/>
      <c r="U271" s="1030"/>
      <c r="V271" s="1030"/>
      <c r="W271" s="1030"/>
      <c r="X271" s="1030"/>
      <c r="Y271" s="1030"/>
      <c r="Z271" s="1030"/>
    </row>
    <row r="272" spans="1:26" ht="12.75" customHeight="1">
      <c r="A272" s="1030"/>
      <c r="B272" s="1030"/>
      <c r="C272" s="1030"/>
      <c r="D272" s="1030"/>
      <c r="E272" s="1030"/>
      <c r="F272" s="1030"/>
      <c r="G272" s="1030"/>
      <c r="H272" s="1186"/>
      <c r="I272" s="1030"/>
      <c r="J272" s="1030"/>
      <c r="K272" s="1030"/>
      <c r="L272" s="1030"/>
      <c r="M272" s="1030"/>
      <c r="N272" s="1030"/>
      <c r="O272" s="1030"/>
      <c r="P272" s="1030"/>
      <c r="Q272" s="1030"/>
      <c r="R272" s="1030"/>
      <c r="S272" s="1030"/>
      <c r="T272" s="1030"/>
      <c r="U272" s="1030"/>
      <c r="V272" s="1030"/>
      <c r="W272" s="1030"/>
      <c r="X272" s="1030"/>
      <c r="Y272" s="1030"/>
      <c r="Z272" s="1030"/>
    </row>
    <row r="273" spans="1:26" ht="12.75" customHeight="1">
      <c r="A273" s="1030"/>
      <c r="B273" s="1030"/>
      <c r="C273" s="1030"/>
      <c r="D273" s="1030"/>
      <c r="E273" s="1030"/>
      <c r="F273" s="1030"/>
      <c r="G273" s="1030"/>
      <c r="H273" s="1186"/>
      <c r="I273" s="1030"/>
      <c r="J273" s="1030"/>
      <c r="K273" s="1030"/>
      <c r="L273" s="1030"/>
      <c r="M273" s="1030"/>
      <c r="N273" s="1030"/>
      <c r="O273" s="1030"/>
      <c r="P273" s="1030"/>
      <c r="Q273" s="1030"/>
      <c r="R273" s="1030"/>
      <c r="S273" s="1030"/>
      <c r="T273" s="1030"/>
      <c r="U273" s="1030"/>
      <c r="V273" s="1030"/>
      <c r="W273" s="1030"/>
      <c r="X273" s="1030"/>
      <c r="Y273" s="1030"/>
      <c r="Z273" s="1030"/>
    </row>
    <row r="274" spans="1:26" ht="12.75" customHeight="1">
      <c r="A274" s="1030"/>
      <c r="B274" s="1030"/>
      <c r="C274" s="1030"/>
      <c r="D274" s="1030"/>
      <c r="E274" s="1030"/>
      <c r="F274" s="1030"/>
      <c r="G274" s="1030"/>
      <c r="H274" s="1186"/>
      <c r="I274" s="1030"/>
      <c r="J274" s="1030"/>
      <c r="K274" s="1030"/>
      <c r="L274" s="1030"/>
      <c r="M274" s="1030"/>
      <c r="N274" s="1030"/>
      <c r="O274" s="1030"/>
      <c r="P274" s="1030"/>
      <c r="Q274" s="1030"/>
      <c r="R274" s="1030"/>
      <c r="S274" s="1030"/>
      <c r="T274" s="1030"/>
      <c r="U274" s="1030"/>
      <c r="V274" s="1030"/>
      <c r="W274" s="1030"/>
      <c r="X274" s="1030"/>
      <c r="Y274" s="1030"/>
      <c r="Z274" s="1030"/>
    </row>
    <row r="275" spans="1:26" ht="12.75" customHeight="1">
      <c r="A275" s="1030"/>
      <c r="B275" s="1030"/>
      <c r="C275" s="1030"/>
      <c r="D275" s="1030"/>
      <c r="E275" s="1030"/>
      <c r="F275" s="1030"/>
      <c r="G275" s="1030"/>
      <c r="H275" s="1186"/>
      <c r="I275" s="1030"/>
      <c r="J275" s="1030"/>
      <c r="K275" s="1030"/>
      <c r="L275" s="1030"/>
      <c r="M275" s="1030"/>
      <c r="N275" s="1030"/>
      <c r="O275" s="1030"/>
      <c r="P275" s="1030"/>
      <c r="Q275" s="1030"/>
      <c r="R275" s="1030"/>
      <c r="S275" s="1030"/>
      <c r="T275" s="1030"/>
      <c r="U275" s="1030"/>
      <c r="V275" s="1030"/>
      <c r="W275" s="1030"/>
      <c r="X275" s="1030"/>
      <c r="Y275" s="1030"/>
      <c r="Z275" s="1030"/>
    </row>
    <row r="276" spans="1:26" ht="12.75" customHeight="1">
      <c r="A276" s="1030"/>
      <c r="B276" s="1030"/>
      <c r="C276" s="1030"/>
      <c r="D276" s="1030"/>
      <c r="E276" s="1030"/>
      <c r="F276" s="1030"/>
      <c r="G276" s="1030"/>
      <c r="H276" s="1186"/>
      <c r="I276" s="1030"/>
      <c r="J276" s="1030"/>
      <c r="K276" s="1030"/>
      <c r="L276" s="1030"/>
      <c r="M276" s="1030"/>
      <c r="N276" s="1030"/>
      <c r="O276" s="1030"/>
      <c r="P276" s="1030"/>
      <c r="Q276" s="1030"/>
      <c r="R276" s="1030"/>
      <c r="S276" s="1030"/>
      <c r="T276" s="1030"/>
      <c r="U276" s="1030"/>
      <c r="V276" s="1030"/>
      <c r="W276" s="1030"/>
      <c r="X276" s="1030"/>
      <c r="Y276" s="1030"/>
      <c r="Z276" s="1030"/>
    </row>
    <row r="277" spans="1:26" ht="12.75" customHeight="1">
      <c r="A277" s="1030"/>
      <c r="B277" s="1030"/>
      <c r="C277" s="1030"/>
      <c r="D277" s="1030"/>
      <c r="E277" s="1030"/>
      <c r="F277" s="1030"/>
      <c r="G277" s="1030"/>
      <c r="H277" s="1186"/>
      <c r="I277" s="1030"/>
      <c r="J277" s="1030"/>
      <c r="K277" s="1030"/>
      <c r="L277" s="1030"/>
      <c r="M277" s="1030"/>
      <c r="N277" s="1030"/>
      <c r="O277" s="1030"/>
      <c r="P277" s="1030"/>
      <c r="Q277" s="1030"/>
      <c r="R277" s="1030"/>
      <c r="S277" s="1030"/>
      <c r="T277" s="1030"/>
      <c r="U277" s="1030"/>
      <c r="V277" s="1030"/>
      <c r="W277" s="1030"/>
      <c r="X277" s="1030"/>
      <c r="Y277" s="1030"/>
      <c r="Z277" s="1030"/>
    </row>
    <row r="278" spans="1:26" ht="12.75" customHeight="1">
      <c r="A278" s="1030"/>
      <c r="B278" s="1030"/>
      <c r="C278" s="1030"/>
      <c r="D278" s="1030"/>
      <c r="E278" s="1030"/>
      <c r="F278" s="1030"/>
      <c r="G278" s="1030"/>
      <c r="H278" s="1186"/>
      <c r="I278" s="1030"/>
      <c r="J278" s="1030"/>
      <c r="K278" s="1030"/>
      <c r="L278" s="1030"/>
      <c r="M278" s="1030"/>
      <c r="N278" s="1030"/>
      <c r="O278" s="1030"/>
      <c r="P278" s="1030"/>
      <c r="Q278" s="1030"/>
      <c r="R278" s="1030"/>
      <c r="S278" s="1030"/>
      <c r="T278" s="1030"/>
      <c r="U278" s="1030"/>
      <c r="V278" s="1030"/>
      <c r="W278" s="1030"/>
      <c r="X278" s="1030"/>
      <c r="Y278" s="1030"/>
      <c r="Z278" s="1030"/>
    </row>
    <row r="279" spans="1:26" ht="12.75" customHeight="1">
      <c r="A279" s="1030"/>
      <c r="B279" s="1030"/>
      <c r="C279" s="1030"/>
      <c r="D279" s="1030"/>
      <c r="E279" s="1030"/>
      <c r="F279" s="1030"/>
      <c r="G279" s="1030"/>
      <c r="H279" s="1186"/>
      <c r="I279" s="1030"/>
      <c r="J279" s="1030"/>
      <c r="K279" s="1030"/>
      <c r="L279" s="1030"/>
      <c r="M279" s="1030"/>
      <c r="N279" s="1030"/>
      <c r="O279" s="1030"/>
      <c r="P279" s="1030"/>
      <c r="Q279" s="1030"/>
      <c r="R279" s="1030"/>
      <c r="S279" s="1030"/>
      <c r="T279" s="1030"/>
      <c r="U279" s="1030"/>
      <c r="V279" s="1030"/>
      <c r="W279" s="1030"/>
      <c r="X279" s="1030"/>
      <c r="Y279" s="1030"/>
      <c r="Z279" s="1030"/>
    </row>
    <row r="280" spans="1:26" ht="12.75" customHeight="1">
      <c r="A280" s="1030"/>
      <c r="B280" s="1030"/>
      <c r="C280" s="1030"/>
      <c r="D280" s="1030"/>
      <c r="E280" s="1030"/>
      <c r="F280" s="1030"/>
      <c r="G280" s="1030"/>
      <c r="H280" s="1186"/>
      <c r="I280" s="1030"/>
      <c r="J280" s="1030"/>
      <c r="K280" s="1030"/>
      <c r="L280" s="1030"/>
      <c r="M280" s="1030"/>
      <c r="N280" s="1030"/>
      <c r="O280" s="1030"/>
      <c r="P280" s="1030"/>
      <c r="Q280" s="1030"/>
      <c r="R280" s="1030"/>
      <c r="S280" s="1030"/>
      <c r="T280" s="1030"/>
      <c r="U280" s="1030"/>
      <c r="V280" s="1030"/>
      <c r="W280" s="1030"/>
      <c r="X280" s="1030"/>
      <c r="Y280" s="1030"/>
      <c r="Z280" s="1030"/>
    </row>
    <row r="281" spans="1:26" ht="12.75" customHeight="1">
      <c r="A281" s="1030"/>
      <c r="B281" s="1030"/>
      <c r="C281" s="1030"/>
      <c r="D281" s="1030"/>
      <c r="E281" s="1030"/>
      <c r="F281" s="1030"/>
      <c r="G281" s="1030"/>
      <c r="H281" s="1186"/>
      <c r="I281" s="1030"/>
      <c r="J281" s="1030"/>
      <c r="K281" s="1030"/>
      <c r="L281" s="1030"/>
      <c r="M281" s="1030"/>
      <c r="N281" s="1030"/>
      <c r="O281" s="1030"/>
      <c r="P281" s="1030"/>
      <c r="Q281" s="1030"/>
      <c r="R281" s="1030"/>
      <c r="S281" s="1030"/>
      <c r="T281" s="1030"/>
      <c r="U281" s="1030"/>
      <c r="V281" s="1030"/>
      <c r="W281" s="1030"/>
      <c r="X281" s="1030"/>
      <c r="Y281" s="1030"/>
      <c r="Z281" s="1030"/>
    </row>
    <row r="282" spans="1:26" ht="12.75" customHeight="1">
      <c r="A282" s="1030"/>
      <c r="B282" s="1030"/>
      <c r="C282" s="1030"/>
      <c r="D282" s="1030"/>
      <c r="E282" s="1030"/>
      <c r="F282" s="1030"/>
      <c r="G282" s="1030"/>
      <c r="H282" s="1186"/>
      <c r="I282" s="1030"/>
      <c r="J282" s="1030"/>
      <c r="K282" s="1030"/>
      <c r="L282" s="1030"/>
      <c r="M282" s="1030"/>
      <c r="N282" s="1030"/>
      <c r="O282" s="1030"/>
      <c r="P282" s="1030"/>
      <c r="Q282" s="1030"/>
      <c r="R282" s="1030"/>
      <c r="S282" s="1030"/>
      <c r="T282" s="1030"/>
      <c r="U282" s="1030"/>
      <c r="V282" s="1030"/>
      <c r="W282" s="1030"/>
      <c r="X282" s="1030"/>
      <c r="Y282" s="1030"/>
      <c r="Z282" s="1030"/>
    </row>
    <row r="283" spans="1:26" ht="12.75" customHeight="1">
      <c r="A283" s="1030"/>
      <c r="B283" s="1030"/>
      <c r="C283" s="1030"/>
      <c r="D283" s="1030"/>
      <c r="E283" s="1030"/>
      <c r="F283" s="1030"/>
      <c r="G283" s="1030"/>
      <c r="H283" s="1186"/>
      <c r="I283" s="1030"/>
      <c r="J283" s="1030"/>
      <c r="K283" s="1030"/>
      <c r="L283" s="1030"/>
      <c r="M283" s="1030"/>
      <c r="N283" s="1030"/>
      <c r="O283" s="1030"/>
      <c r="P283" s="1030"/>
      <c r="Q283" s="1030"/>
      <c r="R283" s="1030"/>
      <c r="S283" s="1030"/>
      <c r="T283" s="1030"/>
      <c r="U283" s="1030"/>
      <c r="V283" s="1030"/>
      <c r="W283" s="1030"/>
      <c r="X283" s="1030"/>
      <c r="Y283" s="1030"/>
      <c r="Z283" s="1030"/>
    </row>
    <row r="284" spans="1:26" ht="12.75" customHeight="1">
      <c r="A284" s="1030"/>
      <c r="B284" s="1030"/>
      <c r="C284" s="1030"/>
      <c r="D284" s="1030"/>
      <c r="E284" s="1030"/>
      <c r="F284" s="1030"/>
      <c r="G284" s="1030"/>
      <c r="H284" s="1186"/>
      <c r="I284" s="1030"/>
      <c r="J284" s="1030"/>
      <c r="K284" s="1030"/>
      <c r="L284" s="1030"/>
      <c r="M284" s="1030"/>
      <c r="N284" s="1030"/>
      <c r="O284" s="1030"/>
      <c r="P284" s="1030"/>
      <c r="Q284" s="1030"/>
      <c r="R284" s="1030"/>
      <c r="S284" s="1030"/>
      <c r="T284" s="1030"/>
      <c r="U284" s="1030"/>
      <c r="V284" s="1030"/>
      <c r="W284" s="1030"/>
      <c r="X284" s="1030"/>
      <c r="Y284" s="1030"/>
      <c r="Z284" s="1030"/>
    </row>
    <row r="285" spans="1:26" ht="12.75" customHeight="1">
      <c r="A285" s="1030"/>
      <c r="B285" s="1030"/>
      <c r="C285" s="1030"/>
      <c r="D285" s="1030"/>
      <c r="E285" s="1030"/>
      <c r="F285" s="1030"/>
      <c r="G285" s="1030"/>
      <c r="H285" s="1186"/>
      <c r="I285" s="1030"/>
      <c r="J285" s="1030"/>
      <c r="K285" s="1030"/>
      <c r="L285" s="1030"/>
      <c r="M285" s="1030"/>
      <c r="N285" s="1030"/>
      <c r="O285" s="1030"/>
      <c r="P285" s="1030"/>
      <c r="Q285" s="1030"/>
      <c r="R285" s="1030"/>
      <c r="S285" s="1030"/>
      <c r="T285" s="1030"/>
      <c r="U285" s="1030"/>
      <c r="V285" s="1030"/>
      <c r="W285" s="1030"/>
      <c r="X285" s="1030"/>
      <c r="Y285" s="1030"/>
      <c r="Z285" s="1030"/>
    </row>
    <row r="286" spans="1:26" ht="12.75" customHeight="1">
      <c r="A286" s="1030"/>
      <c r="B286" s="1030"/>
      <c r="C286" s="1030"/>
      <c r="D286" s="1030"/>
      <c r="E286" s="1030"/>
      <c r="F286" s="1030"/>
      <c r="G286" s="1030"/>
      <c r="H286" s="1186"/>
      <c r="I286" s="1030"/>
      <c r="J286" s="1030"/>
      <c r="K286" s="1030"/>
      <c r="L286" s="1030"/>
      <c r="M286" s="1030"/>
      <c r="N286" s="1030"/>
      <c r="O286" s="1030"/>
      <c r="P286" s="1030"/>
      <c r="Q286" s="1030"/>
      <c r="R286" s="1030"/>
      <c r="S286" s="1030"/>
      <c r="T286" s="1030"/>
      <c r="U286" s="1030"/>
      <c r="V286" s="1030"/>
      <c r="W286" s="1030"/>
      <c r="X286" s="1030"/>
      <c r="Y286" s="1030"/>
      <c r="Z286" s="1030"/>
    </row>
    <row r="287" spans="1:26" ht="12.75" customHeight="1">
      <c r="A287" s="1030"/>
      <c r="B287" s="1030"/>
      <c r="C287" s="1030"/>
      <c r="D287" s="1030"/>
      <c r="E287" s="1030"/>
      <c r="F287" s="1030"/>
      <c r="G287" s="1030"/>
      <c r="H287" s="1186"/>
      <c r="I287" s="1030"/>
      <c r="J287" s="1030"/>
      <c r="K287" s="1030"/>
      <c r="L287" s="1030"/>
      <c r="M287" s="1030"/>
      <c r="N287" s="1030"/>
      <c r="O287" s="1030"/>
      <c r="P287" s="1030"/>
      <c r="Q287" s="1030"/>
      <c r="R287" s="1030"/>
      <c r="S287" s="1030"/>
      <c r="T287" s="1030"/>
      <c r="U287" s="1030"/>
      <c r="V287" s="1030"/>
      <c r="W287" s="1030"/>
      <c r="X287" s="1030"/>
      <c r="Y287" s="1030"/>
      <c r="Z287" s="1030"/>
    </row>
    <row r="288" spans="1:26" ht="12.75" customHeight="1">
      <c r="A288" s="1030"/>
      <c r="B288" s="1030"/>
      <c r="C288" s="1030"/>
      <c r="D288" s="1030"/>
      <c r="E288" s="1030"/>
      <c r="F288" s="1030"/>
      <c r="G288" s="1030"/>
      <c r="H288" s="1186"/>
      <c r="I288" s="1030"/>
      <c r="J288" s="1030"/>
      <c r="K288" s="1030"/>
      <c r="L288" s="1030"/>
      <c r="M288" s="1030"/>
      <c r="N288" s="1030"/>
      <c r="O288" s="1030"/>
      <c r="P288" s="1030"/>
      <c r="Q288" s="1030"/>
      <c r="R288" s="1030"/>
      <c r="S288" s="1030"/>
      <c r="T288" s="1030"/>
      <c r="U288" s="1030"/>
      <c r="V288" s="1030"/>
      <c r="W288" s="1030"/>
      <c r="X288" s="1030"/>
      <c r="Y288" s="1030"/>
      <c r="Z288" s="1030"/>
    </row>
    <row r="289" spans="1:26" ht="12.75" customHeight="1">
      <c r="A289" s="1030"/>
      <c r="B289" s="1030"/>
      <c r="C289" s="1030"/>
      <c r="D289" s="1030"/>
      <c r="E289" s="1030"/>
      <c r="F289" s="1030"/>
      <c r="G289" s="1030"/>
      <c r="H289" s="1186"/>
      <c r="I289" s="1030"/>
      <c r="J289" s="1030"/>
      <c r="K289" s="1030"/>
      <c r="L289" s="1030"/>
      <c r="M289" s="1030"/>
      <c r="N289" s="1030"/>
      <c r="O289" s="1030"/>
      <c r="P289" s="1030"/>
      <c r="Q289" s="1030"/>
      <c r="R289" s="1030"/>
      <c r="S289" s="1030"/>
      <c r="T289" s="1030"/>
      <c r="U289" s="1030"/>
      <c r="V289" s="1030"/>
      <c r="W289" s="1030"/>
      <c r="X289" s="1030"/>
      <c r="Y289" s="1030"/>
      <c r="Z289" s="1030"/>
    </row>
    <row r="290" spans="1:26" ht="12.75" customHeight="1">
      <c r="A290" s="1030"/>
      <c r="B290" s="1030"/>
      <c r="C290" s="1030"/>
      <c r="D290" s="1030"/>
      <c r="E290" s="1030"/>
      <c r="F290" s="1030"/>
      <c r="G290" s="1030"/>
      <c r="H290" s="1186"/>
      <c r="I290" s="1030"/>
      <c r="J290" s="1030"/>
      <c r="K290" s="1030"/>
      <c r="L290" s="1030"/>
      <c r="M290" s="1030"/>
      <c r="N290" s="1030"/>
      <c r="O290" s="1030"/>
      <c r="P290" s="1030"/>
      <c r="Q290" s="1030"/>
      <c r="R290" s="1030"/>
      <c r="S290" s="1030"/>
      <c r="T290" s="1030"/>
      <c r="U290" s="1030"/>
      <c r="V290" s="1030"/>
      <c r="W290" s="1030"/>
      <c r="X290" s="1030"/>
      <c r="Y290" s="1030"/>
      <c r="Z290" s="1030"/>
    </row>
    <row r="291" spans="1:26" ht="12.75" customHeight="1">
      <c r="A291" s="1030"/>
      <c r="B291" s="1030"/>
      <c r="C291" s="1030"/>
      <c r="D291" s="1030"/>
      <c r="E291" s="1030"/>
      <c r="F291" s="1030"/>
      <c r="G291" s="1030"/>
      <c r="H291" s="1186"/>
      <c r="I291" s="1030"/>
      <c r="J291" s="1030"/>
      <c r="K291" s="1030"/>
      <c r="L291" s="1030"/>
      <c r="M291" s="1030"/>
      <c r="N291" s="1030"/>
      <c r="O291" s="1030"/>
      <c r="P291" s="1030"/>
      <c r="Q291" s="1030"/>
      <c r="R291" s="1030"/>
      <c r="S291" s="1030"/>
      <c r="T291" s="1030"/>
      <c r="U291" s="1030"/>
      <c r="V291" s="1030"/>
      <c r="W291" s="1030"/>
      <c r="X291" s="1030"/>
      <c r="Y291" s="1030"/>
      <c r="Z291" s="1030"/>
    </row>
    <row r="292" spans="1:26" ht="12.75" customHeight="1">
      <c r="A292" s="1030"/>
      <c r="B292" s="1030"/>
      <c r="C292" s="1030"/>
      <c r="D292" s="1030"/>
      <c r="E292" s="1030"/>
      <c r="F292" s="1030"/>
      <c r="G292" s="1030"/>
      <c r="H292" s="1186"/>
      <c r="I292" s="1030"/>
      <c r="J292" s="1030"/>
      <c r="K292" s="1030"/>
      <c r="L292" s="1030"/>
      <c r="M292" s="1030"/>
      <c r="N292" s="1030"/>
      <c r="O292" s="1030"/>
      <c r="P292" s="1030"/>
      <c r="Q292" s="1030"/>
      <c r="R292" s="1030"/>
      <c r="S292" s="1030"/>
      <c r="T292" s="1030"/>
      <c r="U292" s="1030"/>
      <c r="V292" s="1030"/>
      <c r="W292" s="1030"/>
      <c r="X292" s="1030"/>
      <c r="Y292" s="1030"/>
      <c r="Z292" s="1030"/>
    </row>
    <row r="293" spans="1:26" ht="12.75" customHeight="1">
      <c r="A293" s="1030"/>
      <c r="B293" s="1030"/>
      <c r="C293" s="1030"/>
      <c r="D293" s="1030"/>
      <c r="E293" s="1030"/>
      <c r="F293" s="1030"/>
      <c r="G293" s="1030"/>
      <c r="H293" s="1186"/>
      <c r="I293" s="1030"/>
      <c r="J293" s="1030"/>
      <c r="K293" s="1030"/>
      <c r="L293" s="1030"/>
      <c r="M293" s="1030"/>
      <c r="N293" s="1030"/>
      <c r="O293" s="1030"/>
      <c r="P293" s="1030"/>
      <c r="Q293" s="1030"/>
      <c r="R293" s="1030"/>
      <c r="S293" s="1030"/>
      <c r="T293" s="1030"/>
      <c r="U293" s="1030"/>
      <c r="V293" s="1030"/>
      <c r="W293" s="1030"/>
      <c r="X293" s="1030"/>
      <c r="Y293" s="1030"/>
      <c r="Z293" s="1030"/>
    </row>
    <row r="294" spans="1:26" ht="12.75" customHeight="1">
      <c r="A294" s="1030"/>
      <c r="B294" s="1030"/>
      <c r="C294" s="1030"/>
      <c r="D294" s="1030"/>
      <c r="E294" s="1030"/>
      <c r="F294" s="1030"/>
      <c r="G294" s="1030"/>
      <c r="H294" s="1186"/>
      <c r="I294" s="1030"/>
      <c r="J294" s="1030"/>
      <c r="K294" s="1030"/>
      <c r="L294" s="1030"/>
      <c r="M294" s="1030"/>
      <c r="N294" s="1030"/>
      <c r="O294" s="1030"/>
      <c r="P294" s="1030"/>
      <c r="Q294" s="1030"/>
      <c r="R294" s="1030"/>
      <c r="S294" s="1030"/>
      <c r="T294" s="1030"/>
      <c r="U294" s="1030"/>
      <c r="V294" s="1030"/>
      <c r="W294" s="1030"/>
      <c r="X294" s="1030"/>
      <c r="Y294" s="1030"/>
      <c r="Z294" s="1030"/>
    </row>
    <row r="295" spans="1:26" ht="12.75" customHeight="1">
      <c r="A295" s="1030"/>
      <c r="B295" s="1030"/>
      <c r="C295" s="1030"/>
      <c r="D295" s="1030"/>
      <c r="E295" s="1030"/>
      <c r="F295" s="1030"/>
      <c r="G295" s="1030"/>
      <c r="H295" s="1186"/>
      <c r="I295" s="1030"/>
      <c r="J295" s="1030"/>
      <c r="K295" s="1030"/>
      <c r="L295" s="1030"/>
      <c r="M295" s="1030"/>
      <c r="N295" s="1030"/>
      <c r="O295" s="1030"/>
      <c r="P295" s="1030"/>
      <c r="Q295" s="1030"/>
      <c r="R295" s="1030"/>
      <c r="S295" s="1030"/>
      <c r="T295" s="1030"/>
      <c r="U295" s="1030"/>
      <c r="V295" s="1030"/>
      <c r="W295" s="1030"/>
      <c r="X295" s="1030"/>
      <c r="Y295" s="1030"/>
      <c r="Z295" s="1030"/>
    </row>
    <row r="296" spans="1:26" ht="12.75" customHeight="1">
      <c r="A296" s="1030"/>
      <c r="B296" s="1030"/>
      <c r="C296" s="1030"/>
      <c r="D296" s="1030"/>
      <c r="E296" s="1030"/>
      <c r="F296" s="1030"/>
      <c r="G296" s="1030"/>
      <c r="H296" s="1186"/>
      <c r="I296" s="1030"/>
      <c r="J296" s="1030"/>
      <c r="K296" s="1030"/>
      <c r="L296" s="1030"/>
      <c r="M296" s="1030"/>
      <c r="N296" s="1030"/>
      <c r="O296" s="1030"/>
      <c r="P296" s="1030"/>
      <c r="Q296" s="1030"/>
      <c r="R296" s="1030"/>
      <c r="S296" s="1030"/>
      <c r="T296" s="1030"/>
      <c r="U296" s="1030"/>
      <c r="V296" s="1030"/>
      <c r="W296" s="1030"/>
      <c r="X296" s="1030"/>
      <c r="Y296" s="1030"/>
      <c r="Z296" s="1030"/>
    </row>
    <row r="297" spans="1:26" ht="12.75" customHeight="1">
      <c r="A297" s="1030"/>
      <c r="B297" s="1030"/>
      <c r="C297" s="1030"/>
      <c r="D297" s="1030"/>
      <c r="E297" s="1030"/>
      <c r="F297" s="1030"/>
      <c r="G297" s="1030"/>
      <c r="H297" s="1186"/>
      <c r="I297" s="1030"/>
      <c r="J297" s="1030"/>
      <c r="K297" s="1030"/>
      <c r="L297" s="1030"/>
      <c r="M297" s="1030"/>
      <c r="N297" s="1030"/>
      <c r="O297" s="1030"/>
      <c r="P297" s="1030"/>
      <c r="Q297" s="1030"/>
      <c r="R297" s="1030"/>
      <c r="S297" s="1030"/>
      <c r="T297" s="1030"/>
      <c r="U297" s="1030"/>
      <c r="V297" s="1030"/>
      <c r="W297" s="1030"/>
      <c r="X297" s="1030"/>
      <c r="Y297" s="1030"/>
      <c r="Z297" s="1030"/>
    </row>
    <row r="298" spans="1:26" ht="12.75" customHeight="1">
      <c r="A298" s="1030"/>
      <c r="B298" s="1030"/>
      <c r="C298" s="1030"/>
      <c r="D298" s="1030"/>
      <c r="E298" s="1030"/>
      <c r="F298" s="1030"/>
      <c r="G298" s="1030"/>
      <c r="H298" s="1186"/>
      <c r="I298" s="1030"/>
      <c r="J298" s="1030"/>
      <c r="K298" s="1030"/>
      <c r="L298" s="1030"/>
      <c r="M298" s="1030"/>
      <c r="N298" s="1030"/>
      <c r="O298" s="1030"/>
      <c r="P298" s="1030"/>
      <c r="Q298" s="1030"/>
      <c r="R298" s="1030"/>
      <c r="S298" s="1030"/>
      <c r="T298" s="1030"/>
      <c r="U298" s="1030"/>
      <c r="V298" s="1030"/>
      <c r="W298" s="1030"/>
      <c r="X298" s="1030"/>
      <c r="Y298" s="1030"/>
      <c r="Z298" s="1030"/>
    </row>
    <row r="299" spans="1:26" ht="12.75" customHeight="1">
      <c r="A299" s="1030"/>
      <c r="B299" s="1030"/>
      <c r="C299" s="1030"/>
      <c r="D299" s="1030"/>
      <c r="E299" s="1030"/>
      <c r="F299" s="1030"/>
      <c r="G299" s="1030"/>
      <c r="H299" s="1186"/>
      <c r="I299" s="1030"/>
      <c r="J299" s="1030"/>
      <c r="K299" s="1030"/>
      <c r="L299" s="1030"/>
      <c r="M299" s="1030"/>
      <c r="N299" s="1030"/>
      <c r="O299" s="1030"/>
      <c r="P299" s="1030"/>
      <c r="Q299" s="1030"/>
      <c r="R299" s="1030"/>
      <c r="S299" s="1030"/>
      <c r="T299" s="1030"/>
      <c r="U299" s="1030"/>
      <c r="V299" s="1030"/>
      <c r="W299" s="1030"/>
      <c r="X299" s="1030"/>
      <c r="Y299" s="1030"/>
      <c r="Z299" s="1030"/>
    </row>
    <row r="300" spans="1:26" ht="12.75" customHeight="1">
      <c r="A300" s="1030"/>
      <c r="B300" s="1030"/>
      <c r="C300" s="1030"/>
      <c r="D300" s="1030"/>
      <c r="E300" s="1030"/>
      <c r="F300" s="1030"/>
      <c r="G300" s="1030"/>
      <c r="H300" s="1186"/>
      <c r="I300" s="1030"/>
      <c r="J300" s="1030"/>
      <c r="K300" s="1030"/>
      <c r="L300" s="1030"/>
      <c r="M300" s="1030"/>
      <c r="N300" s="1030"/>
      <c r="O300" s="1030"/>
      <c r="P300" s="1030"/>
      <c r="Q300" s="1030"/>
      <c r="R300" s="1030"/>
      <c r="S300" s="1030"/>
      <c r="T300" s="1030"/>
      <c r="U300" s="1030"/>
      <c r="V300" s="1030"/>
      <c r="W300" s="1030"/>
      <c r="X300" s="1030"/>
      <c r="Y300" s="1030"/>
      <c r="Z300" s="1030"/>
    </row>
    <row r="301" spans="1:26" ht="12.75" customHeight="1">
      <c r="A301" s="1030"/>
      <c r="B301" s="1030"/>
      <c r="C301" s="1030"/>
      <c r="D301" s="1030"/>
      <c r="E301" s="1030"/>
      <c r="F301" s="1030"/>
      <c r="G301" s="1030"/>
      <c r="H301" s="1186"/>
      <c r="I301" s="1030"/>
      <c r="J301" s="1030"/>
      <c r="K301" s="1030"/>
      <c r="L301" s="1030"/>
      <c r="M301" s="1030"/>
      <c r="N301" s="1030"/>
      <c r="O301" s="1030"/>
      <c r="P301" s="1030"/>
      <c r="Q301" s="1030"/>
      <c r="R301" s="1030"/>
      <c r="S301" s="1030"/>
      <c r="T301" s="1030"/>
      <c r="U301" s="1030"/>
      <c r="V301" s="1030"/>
      <c r="W301" s="1030"/>
      <c r="X301" s="1030"/>
      <c r="Y301" s="1030"/>
      <c r="Z301" s="1030"/>
    </row>
    <row r="302" spans="1:26" ht="12.75" customHeight="1">
      <c r="A302" s="1030"/>
      <c r="B302" s="1030"/>
      <c r="C302" s="1030"/>
      <c r="D302" s="1030"/>
      <c r="E302" s="1030"/>
      <c r="F302" s="1030"/>
      <c r="G302" s="1030"/>
      <c r="H302" s="1186"/>
      <c r="I302" s="1030"/>
      <c r="J302" s="1030"/>
      <c r="K302" s="1030"/>
      <c r="L302" s="1030"/>
      <c r="M302" s="1030"/>
      <c r="N302" s="1030"/>
      <c r="O302" s="1030"/>
      <c r="P302" s="1030"/>
      <c r="Q302" s="1030"/>
      <c r="R302" s="1030"/>
      <c r="S302" s="1030"/>
      <c r="T302" s="1030"/>
      <c r="U302" s="1030"/>
      <c r="V302" s="1030"/>
      <c r="W302" s="1030"/>
      <c r="X302" s="1030"/>
      <c r="Y302" s="1030"/>
      <c r="Z302" s="1030"/>
    </row>
    <row r="303" spans="1:26" ht="12.75" customHeight="1">
      <c r="A303" s="1030"/>
      <c r="B303" s="1030"/>
      <c r="C303" s="1030"/>
      <c r="D303" s="1030"/>
      <c r="E303" s="1030"/>
      <c r="F303" s="1030"/>
      <c r="G303" s="1030"/>
      <c r="H303" s="1186"/>
      <c r="I303" s="1030"/>
      <c r="J303" s="1030"/>
      <c r="K303" s="1030"/>
      <c r="L303" s="1030"/>
      <c r="M303" s="1030"/>
      <c r="N303" s="1030"/>
      <c r="O303" s="1030"/>
      <c r="P303" s="1030"/>
      <c r="Q303" s="1030"/>
      <c r="R303" s="1030"/>
      <c r="S303" s="1030"/>
      <c r="T303" s="1030"/>
      <c r="U303" s="1030"/>
      <c r="V303" s="1030"/>
      <c r="W303" s="1030"/>
      <c r="X303" s="1030"/>
      <c r="Y303" s="1030"/>
      <c r="Z303" s="1030"/>
    </row>
    <row r="304" spans="1:26" ht="12.75" customHeight="1">
      <c r="A304" s="1030"/>
      <c r="B304" s="1030"/>
      <c r="C304" s="1030"/>
      <c r="D304" s="1030"/>
      <c r="E304" s="1030"/>
      <c r="F304" s="1030"/>
      <c r="G304" s="1030"/>
      <c r="H304" s="1186"/>
      <c r="I304" s="1030"/>
      <c r="J304" s="1030"/>
      <c r="K304" s="1030"/>
      <c r="L304" s="1030"/>
      <c r="M304" s="1030"/>
      <c r="N304" s="1030"/>
      <c r="O304" s="1030"/>
      <c r="P304" s="1030"/>
      <c r="Q304" s="1030"/>
      <c r="R304" s="1030"/>
      <c r="S304" s="1030"/>
      <c r="T304" s="1030"/>
      <c r="U304" s="1030"/>
      <c r="V304" s="1030"/>
      <c r="W304" s="1030"/>
      <c r="X304" s="1030"/>
      <c r="Y304" s="1030"/>
      <c r="Z304" s="1030"/>
    </row>
    <row r="305" spans="1:26" ht="12.75" customHeight="1">
      <c r="A305" s="1030"/>
      <c r="B305" s="1030"/>
      <c r="C305" s="1030"/>
      <c r="D305" s="1030"/>
      <c r="E305" s="1030"/>
      <c r="F305" s="1030"/>
      <c r="G305" s="1030"/>
      <c r="H305" s="1186"/>
      <c r="I305" s="1030"/>
      <c r="J305" s="1030"/>
      <c r="K305" s="1030"/>
      <c r="L305" s="1030"/>
      <c r="M305" s="1030"/>
      <c r="N305" s="1030"/>
      <c r="O305" s="1030"/>
      <c r="P305" s="1030"/>
      <c r="Q305" s="1030"/>
      <c r="R305" s="1030"/>
      <c r="S305" s="1030"/>
      <c r="T305" s="1030"/>
      <c r="U305" s="1030"/>
      <c r="V305" s="1030"/>
      <c r="W305" s="1030"/>
      <c r="X305" s="1030"/>
      <c r="Y305" s="1030"/>
      <c r="Z305" s="1030"/>
    </row>
    <row r="306" spans="1:26" ht="12.75" customHeight="1">
      <c r="A306" s="1030"/>
      <c r="B306" s="1030"/>
      <c r="C306" s="1030"/>
      <c r="D306" s="1030"/>
      <c r="E306" s="1030"/>
      <c r="F306" s="1030"/>
      <c r="G306" s="1030"/>
      <c r="H306" s="1186"/>
      <c r="I306" s="1030"/>
      <c r="J306" s="1030"/>
      <c r="K306" s="1030"/>
      <c r="L306" s="1030"/>
      <c r="M306" s="1030"/>
      <c r="N306" s="1030"/>
      <c r="O306" s="1030"/>
      <c r="P306" s="1030"/>
      <c r="Q306" s="1030"/>
      <c r="R306" s="1030"/>
      <c r="S306" s="1030"/>
      <c r="T306" s="1030"/>
      <c r="U306" s="1030"/>
      <c r="V306" s="1030"/>
      <c r="W306" s="1030"/>
      <c r="X306" s="1030"/>
      <c r="Y306" s="1030"/>
      <c r="Z306" s="1030"/>
    </row>
    <row r="307" spans="1:26" ht="12.75" customHeight="1">
      <c r="A307" s="1030"/>
      <c r="B307" s="1030"/>
      <c r="C307" s="1030"/>
      <c r="D307" s="1030"/>
      <c r="E307" s="1030"/>
      <c r="F307" s="1030"/>
      <c r="G307" s="1030"/>
      <c r="H307" s="1186"/>
      <c r="I307" s="1030"/>
      <c r="J307" s="1030"/>
      <c r="K307" s="1030"/>
      <c r="L307" s="1030"/>
      <c r="M307" s="1030"/>
      <c r="N307" s="1030"/>
      <c r="O307" s="1030"/>
      <c r="P307" s="1030"/>
      <c r="Q307" s="1030"/>
      <c r="R307" s="1030"/>
      <c r="S307" s="1030"/>
      <c r="T307" s="1030"/>
      <c r="U307" s="1030"/>
      <c r="V307" s="1030"/>
      <c r="W307" s="1030"/>
      <c r="X307" s="1030"/>
      <c r="Y307" s="1030"/>
      <c r="Z307" s="1030"/>
    </row>
    <row r="308" spans="1:26" ht="12.75" customHeight="1">
      <c r="A308" s="1030"/>
      <c r="B308" s="1030"/>
      <c r="C308" s="1030"/>
      <c r="D308" s="1030"/>
      <c r="E308" s="1030"/>
      <c r="F308" s="1030"/>
      <c r="G308" s="1030"/>
      <c r="H308" s="1186"/>
      <c r="I308" s="1030"/>
      <c r="J308" s="1030"/>
      <c r="K308" s="1030"/>
      <c r="L308" s="1030"/>
      <c r="M308" s="1030"/>
      <c r="N308" s="1030"/>
      <c r="O308" s="1030"/>
      <c r="P308" s="1030"/>
      <c r="Q308" s="1030"/>
      <c r="R308" s="1030"/>
      <c r="S308" s="1030"/>
      <c r="T308" s="1030"/>
      <c r="U308" s="1030"/>
      <c r="V308" s="1030"/>
      <c r="W308" s="1030"/>
      <c r="X308" s="1030"/>
      <c r="Y308" s="1030"/>
      <c r="Z308" s="1030"/>
    </row>
    <row r="309" spans="1:26" ht="12.75" customHeight="1">
      <c r="A309" s="1030"/>
      <c r="B309" s="1030"/>
      <c r="C309" s="1030"/>
      <c r="D309" s="1030"/>
      <c r="E309" s="1030"/>
      <c r="F309" s="1030"/>
      <c r="G309" s="1030"/>
      <c r="H309" s="1186"/>
      <c r="I309" s="1030"/>
      <c r="J309" s="1030"/>
      <c r="K309" s="1030"/>
      <c r="L309" s="1030"/>
      <c r="M309" s="1030"/>
      <c r="N309" s="1030"/>
      <c r="O309" s="1030"/>
      <c r="P309" s="1030"/>
      <c r="Q309" s="1030"/>
      <c r="R309" s="1030"/>
      <c r="S309" s="1030"/>
      <c r="T309" s="1030"/>
      <c r="U309" s="1030"/>
      <c r="V309" s="1030"/>
      <c r="W309" s="1030"/>
      <c r="X309" s="1030"/>
      <c r="Y309" s="1030"/>
      <c r="Z309" s="1030"/>
    </row>
    <row r="310" spans="1:26" ht="12.75" customHeight="1">
      <c r="A310" s="1030"/>
      <c r="B310" s="1030"/>
      <c r="C310" s="1030"/>
      <c r="D310" s="1030"/>
      <c r="E310" s="1030"/>
      <c r="F310" s="1030"/>
      <c r="G310" s="1030"/>
      <c r="H310" s="1186"/>
      <c r="I310" s="1030"/>
      <c r="J310" s="1030"/>
      <c r="K310" s="1030"/>
      <c r="L310" s="1030"/>
      <c r="M310" s="1030"/>
      <c r="N310" s="1030"/>
      <c r="O310" s="1030"/>
      <c r="P310" s="1030"/>
      <c r="Q310" s="1030"/>
      <c r="R310" s="1030"/>
      <c r="S310" s="1030"/>
      <c r="T310" s="1030"/>
      <c r="U310" s="1030"/>
      <c r="V310" s="1030"/>
      <c r="W310" s="1030"/>
      <c r="X310" s="1030"/>
      <c r="Y310" s="1030"/>
      <c r="Z310" s="1030"/>
    </row>
    <row r="311" spans="1:26" ht="12.75" customHeight="1">
      <c r="A311" s="1030"/>
      <c r="B311" s="1030"/>
      <c r="C311" s="1030"/>
      <c r="D311" s="1030"/>
      <c r="E311" s="1030"/>
      <c r="F311" s="1030"/>
      <c r="G311" s="1030"/>
      <c r="H311" s="1186"/>
      <c r="I311" s="1030"/>
      <c r="J311" s="1030"/>
      <c r="K311" s="1030"/>
      <c r="L311" s="1030"/>
      <c r="M311" s="1030"/>
      <c r="N311" s="1030"/>
      <c r="O311" s="1030"/>
      <c r="P311" s="1030"/>
      <c r="Q311" s="1030"/>
      <c r="R311" s="1030"/>
      <c r="S311" s="1030"/>
      <c r="T311" s="1030"/>
      <c r="U311" s="1030"/>
      <c r="V311" s="1030"/>
      <c r="W311" s="1030"/>
      <c r="X311" s="1030"/>
      <c r="Y311" s="1030"/>
      <c r="Z311" s="1030"/>
    </row>
    <row r="312" spans="1:26" ht="12.75" customHeight="1">
      <c r="A312" s="1030"/>
      <c r="B312" s="1030"/>
      <c r="C312" s="1030"/>
      <c r="D312" s="1030"/>
      <c r="E312" s="1030"/>
      <c r="F312" s="1030"/>
      <c r="G312" s="1030"/>
      <c r="H312" s="1186"/>
      <c r="I312" s="1030"/>
      <c r="J312" s="1030"/>
      <c r="K312" s="1030"/>
      <c r="L312" s="1030"/>
      <c r="M312" s="1030"/>
      <c r="N312" s="1030"/>
      <c r="O312" s="1030"/>
      <c r="P312" s="1030"/>
      <c r="Q312" s="1030"/>
      <c r="R312" s="1030"/>
      <c r="S312" s="1030"/>
      <c r="T312" s="1030"/>
      <c r="U312" s="1030"/>
      <c r="V312" s="1030"/>
      <c r="W312" s="1030"/>
      <c r="X312" s="1030"/>
      <c r="Y312" s="1030"/>
      <c r="Z312" s="1030"/>
    </row>
    <row r="313" spans="1:26" ht="12.75" customHeight="1">
      <c r="A313" s="1030"/>
      <c r="B313" s="1030"/>
      <c r="C313" s="1030"/>
      <c r="D313" s="1030"/>
      <c r="E313" s="1030"/>
      <c r="F313" s="1030"/>
      <c r="G313" s="1030"/>
      <c r="H313" s="1186"/>
      <c r="I313" s="1030"/>
      <c r="J313" s="1030"/>
      <c r="K313" s="1030"/>
      <c r="L313" s="1030"/>
      <c r="M313" s="1030"/>
      <c r="N313" s="1030"/>
      <c r="O313" s="1030"/>
      <c r="P313" s="1030"/>
      <c r="Q313" s="1030"/>
      <c r="R313" s="1030"/>
      <c r="S313" s="1030"/>
      <c r="T313" s="1030"/>
      <c r="U313" s="1030"/>
      <c r="V313" s="1030"/>
      <c r="W313" s="1030"/>
      <c r="X313" s="1030"/>
      <c r="Y313" s="1030"/>
      <c r="Z313" s="1030"/>
    </row>
    <row r="314" spans="1:26" ht="12.75" customHeight="1">
      <c r="A314" s="1030"/>
      <c r="B314" s="1030"/>
      <c r="C314" s="1030"/>
      <c r="D314" s="1030"/>
      <c r="E314" s="1030"/>
      <c r="F314" s="1030"/>
      <c r="G314" s="1030"/>
      <c r="H314" s="1186"/>
      <c r="I314" s="1030"/>
      <c r="J314" s="1030"/>
      <c r="K314" s="1030"/>
      <c r="L314" s="1030"/>
      <c r="M314" s="1030"/>
      <c r="N314" s="1030"/>
      <c r="O314" s="1030"/>
      <c r="P314" s="1030"/>
      <c r="Q314" s="1030"/>
      <c r="R314" s="1030"/>
      <c r="S314" s="1030"/>
      <c r="T314" s="1030"/>
      <c r="U314" s="1030"/>
      <c r="V314" s="1030"/>
      <c r="W314" s="1030"/>
      <c r="X314" s="1030"/>
      <c r="Y314" s="1030"/>
      <c r="Z314" s="1030"/>
    </row>
    <row r="315" spans="1:26" ht="12.75" customHeight="1">
      <c r="A315" s="1030"/>
      <c r="B315" s="1030"/>
      <c r="C315" s="1030"/>
      <c r="D315" s="1030"/>
      <c r="E315" s="1030"/>
      <c r="F315" s="1030"/>
      <c r="G315" s="1030"/>
      <c r="H315" s="1186"/>
      <c r="I315" s="1030"/>
      <c r="J315" s="1030"/>
      <c r="K315" s="1030"/>
      <c r="L315" s="1030"/>
      <c r="M315" s="1030"/>
      <c r="N315" s="1030"/>
      <c r="O315" s="1030"/>
      <c r="P315" s="1030"/>
      <c r="Q315" s="1030"/>
      <c r="R315" s="1030"/>
      <c r="S315" s="1030"/>
      <c r="T315" s="1030"/>
      <c r="U315" s="1030"/>
      <c r="V315" s="1030"/>
      <c r="W315" s="1030"/>
      <c r="X315" s="1030"/>
      <c r="Y315" s="1030"/>
      <c r="Z315" s="1030"/>
    </row>
    <row r="316" spans="1:26" ht="12.75" customHeight="1">
      <c r="A316" s="1030"/>
      <c r="B316" s="1030"/>
      <c r="C316" s="1030"/>
      <c r="D316" s="1030"/>
      <c r="E316" s="1030"/>
      <c r="F316" s="1030"/>
      <c r="G316" s="1030"/>
      <c r="H316" s="1186"/>
      <c r="I316" s="1030"/>
      <c r="J316" s="1030"/>
      <c r="K316" s="1030"/>
      <c r="L316" s="1030"/>
      <c r="M316" s="1030"/>
      <c r="N316" s="1030"/>
      <c r="O316" s="1030"/>
      <c r="P316" s="1030"/>
      <c r="Q316" s="1030"/>
      <c r="R316" s="1030"/>
      <c r="S316" s="1030"/>
      <c r="T316" s="1030"/>
      <c r="U316" s="1030"/>
      <c r="V316" s="1030"/>
      <c r="W316" s="1030"/>
      <c r="X316" s="1030"/>
      <c r="Y316" s="1030"/>
      <c r="Z316" s="1030"/>
    </row>
    <row r="317" spans="1:26" ht="12.75" customHeight="1">
      <c r="A317" s="1030"/>
      <c r="B317" s="1030"/>
      <c r="C317" s="1030"/>
      <c r="D317" s="1030"/>
      <c r="E317" s="1030"/>
      <c r="F317" s="1030"/>
      <c r="G317" s="1030"/>
      <c r="H317" s="1186"/>
      <c r="I317" s="1030"/>
      <c r="J317" s="1030"/>
      <c r="K317" s="1030"/>
      <c r="L317" s="1030"/>
      <c r="M317" s="1030"/>
      <c r="N317" s="1030"/>
      <c r="O317" s="1030"/>
      <c r="P317" s="1030"/>
      <c r="Q317" s="1030"/>
      <c r="R317" s="1030"/>
      <c r="S317" s="1030"/>
      <c r="T317" s="1030"/>
      <c r="U317" s="1030"/>
      <c r="V317" s="1030"/>
      <c r="W317" s="1030"/>
      <c r="X317" s="1030"/>
      <c r="Y317" s="1030"/>
      <c r="Z317" s="1030"/>
    </row>
    <row r="318" spans="1:26" ht="12.75" customHeight="1">
      <c r="A318" s="1030"/>
      <c r="B318" s="1030"/>
      <c r="C318" s="1030"/>
      <c r="D318" s="1030"/>
      <c r="E318" s="1030"/>
      <c r="F318" s="1030"/>
      <c r="G318" s="1030"/>
      <c r="H318" s="1186"/>
      <c r="I318" s="1030"/>
      <c r="J318" s="1030"/>
      <c r="K318" s="1030"/>
      <c r="L318" s="1030"/>
      <c r="M318" s="1030"/>
      <c r="N318" s="1030"/>
      <c r="O318" s="1030"/>
      <c r="P318" s="1030"/>
      <c r="Q318" s="1030"/>
      <c r="R318" s="1030"/>
      <c r="S318" s="1030"/>
      <c r="T318" s="1030"/>
      <c r="U318" s="1030"/>
      <c r="V318" s="1030"/>
      <c r="W318" s="1030"/>
      <c r="X318" s="1030"/>
      <c r="Y318" s="1030"/>
      <c r="Z318" s="1030"/>
    </row>
    <row r="319" spans="1:26" ht="12.75" customHeight="1">
      <c r="A319" s="1030"/>
      <c r="B319" s="1030"/>
      <c r="C319" s="1030"/>
      <c r="D319" s="1030"/>
      <c r="E319" s="1030"/>
      <c r="F319" s="1030"/>
      <c r="G319" s="1030"/>
      <c r="H319" s="1186"/>
      <c r="I319" s="1030"/>
      <c r="J319" s="1030"/>
      <c r="K319" s="1030"/>
      <c r="L319" s="1030"/>
      <c r="M319" s="1030"/>
      <c r="N319" s="1030"/>
      <c r="O319" s="1030"/>
      <c r="P319" s="1030"/>
      <c r="Q319" s="1030"/>
      <c r="R319" s="1030"/>
      <c r="S319" s="1030"/>
      <c r="T319" s="1030"/>
      <c r="U319" s="1030"/>
      <c r="V319" s="1030"/>
      <c r="W319" s="1030"/>
      <c r="X319" s="1030"/>
      <c r="Y319" s="1030"/>
      <c r="Z319" s="1030"/>
    </row>
    <row r="320" spans="1:26" ht="12.75" customHeight="1">
      <c r="A320" s="1030"/>
      <c r="B320" s="1030"/>
      <c r="C320" s="1030"/>
      <c r="D320" s="1030"/>
      <c r="E320" s="1030"/>
      <c r="F320" s="1030"/>
      <c r="G320" s="1030"/>
      <c r="H320" s="1186"/>
      <c r="I320" s="1030"/>
      <c r="J320" s="1030"/>
      <c r="K320" s="1030"/>
      <c r="L320" s="1030"/>
      <c r="M320" s="1030"/>
      <c r="N320" s="1030"/>
      <c r="O320" s="1030"/>
      <c r="P320" s="1030"/>
      <c r="Q320" s="1030"/>
      <c r="R320" s="1030"/>
      <c r="S320" s="1030"/>
      <c r="T320" s="1030"/>
      <c r="U320" s="1030"/>
      <c r="V320" s="1030"/>
      <c r="W320" s="1030"/>
      <c r="X320" s="1030"/>
      <c r="Y320" s="1030"/>
      <c r="Z320" s="1030"/>
    </row>
    <row r="321" spans="1:26" ht="12.75" customHeight="1">
      <c r="A321" s="1030"/>
      <c r="B321" s="1030"/>
      <c r="C321" s="1030"/>
      <c r="D321" s="1030"/>
      <c r="E321" s="1030"/>
      <c r="F321" s="1030"/>
      <c r="G321" s="1030"/>
      <c r="H321" s="1186"/>
      <c r="I321" s="1030"/>
      <c r="J321" s="1030"/>
      <c r="K321" s="1030"/>
      <c r="L321" s="1030"/>
      <c r="M321" s="1030"/>
      <c r="N321" s="1030"/>
      <c r="O321" s="1030"/>
      <c r="P321" s="1030"/>
      <c r="Q321" s="1030"/>
      <c r="R321" s="1030"/>
      <c r="S321" s="1030"/>
      <c r="T321" s="1030"/>
      <c r="U321" s="1030"/>
      <c r="V321" s="1030"/>
      <c r="W321" s="1030"/>
      <c r="X321" s="1030"/>
      <c r="Y321" s="1030"/>
      <c r="Z321" s="1030"/>
    </row>
    <row r="322" spans="1:26" ht="12.75" customHeight="1">
      <c r="A322" s="1030"/>
      <c r="B322" s="1030"/>
      <c r="C322" s="1030"/>
      <c r="D322" s="1030"/>
      <c r="E322" s="1030"/>
      <c r="F322" s="1030"/>
      <c r="G322" s="1030"/>
      <c r="H322" s="1186"/>
      <c r="I322" s="1030"/>
      <c r="J322" s="1030"/>
      <c r="K322" s="1030"/>
      <c r="L322" s="1030"/>
      <c r="M322" s="1030"/>
      <c r="N322" s="1030"/>
      <c r="O322" s="1030"/>
      <c r="P322" s="1030"/>
      <c r="Q322" s="1030"/>
      <c r="R322" s="1030"/>
      <c r="S322" s="1030"/>
      <c r="T322" s="1030"/>
      <c r="U322" s="1030"/>
      <c r="V322" s="1030"/>
      <c r="W322" s="1030"/>
      <c r="X322" s="1030"/>
      <c r="Y322" s="1030"/>
      <c r="Z322" s="1030"/>
    </row>
    <row r="323" spans="1:26" ht="12.75" customHeight="1">
      <c r="A323" s="1030"/>
      <c r="B323" s="1030"/>
      <c r="C323" s="1030"/>
      <c r="D323" s="1030"/>
      <c r="E323" s="1030"/>
      <c r="F323" s="1030"/>
      <c r="G323" s="1030"/>
      <c r="H323" s="1186"/>
      <c r="I323" s="1030"/>
      <c r="J323" s="1030"/>
      <c r="K323" s="1030"/>
      <c r="L323" s="1030"/>
      <c r="M323" s="1030"/>
      <c r="N323" s="1030"/>
      <c r="O323" s="1030"/>
      <c r="P323" s="1030"/>
      <c r="Q323" s="1030"/>
      <c r="R323" s="1030"/>
      <c r="S323" s="1030"/>
      <c r="T323" s="1030"/>
      <c r="U323" s="1030"/>
      <c r="V323" s="1030"/>
      <c r="W323" s="1030"/>
      <c r="X323" s="1030"/>
      <c r="Y323" s="1030"/>
      <c r="Z323" s="1030"/>
    </row>
    <row r="324" spans="1:26" ht="12.75" customHeight="1">
      <c r="A324" s="1030"/>
      <c r="B324" s="1030"/>
      <c r="C324" s="1030"/>
      <c r="D324" s="1030"/>
      <c r="E324" s="1030"/>
      <c r="F324" s="1030"/>
      <c r="G324" s="1030"/>
      <c r="H324" s="1186"/>
      <c r="I324" s="1030"/>
      <c r="J324" s="1030"/>
      <c r="K324" s="1030"/>
      <c r="L324" s="1030"/>
      <c r="M324" s="1030"/>
      <c r="N324" s="1030"/>
      <c r="O324" s="1030"/>
      <c r="P324" s="1030"/>
      <c r="Q324" s="1030"/>
      <c r="R324" s="1030"/>
      <c r="S324" s="1030"/>
      <c r="T324" s="1030"/>
      <c r="U324" s="1030"/>
      <c r="V324" s="1030"/>
      <c r="W324" s="1030"/>
      <c r="X324" s="1030"/>
      <c r="Y324" s="1030"/>
      <c r="Z324" s="1030"/>
    </row>
    <row r="325" spans="1:26" ht="12.75" customHeight="1">
      <c r="A325" s="1030"/>
      <c r="B325" s="1030"/>
      <c r="C325" s="1030"/>
      <c r="D325" s="1030"/>
      <c r="E325" s="1030"/>
      <c r="F325" s="1030"/>
      <c r="G325" s="1030"/>
      <c r="H325" s="1186"/>
      <c r="I325" s="1030"/>
      <c r="J325" s="1030"/>
      <c r="K325" s="1030"/>
      <c r="L325" s="1030"/>
      <c r="M325" s="1030"/>
      <c r="N325" s="1030"/>
      <c r="O325" s="1030"/>
      <c r="P325" s="1030"/>
      <c r="Q325" s="1030"/>
      <c r="R325" s="1030"/>
      <c r="S325" s="1030"/>
      <c r="T325" s="1030"/>
      <c r="U325" s="1030"/>
      <c r="V325" s="1030"/>
      <c r="W325" s="1030"/>
      <c r="X325" s="1030"/>
      <c r="Y325" s="1030"/>
      <c r="Z325" s="1030"/>
    </row>
    <row r="326" spans="1:26" ht="12.75" customHeight="1">
      <c r="A326" s="1030"/>
      <c r="B326" s="1030"/>
      <c r="C326" s="1030"/>
      <c r="D326" s="1030"/>
      <c r="E326" s="1030"/>
      <c r="F326" s="1030"/>
      <c r="G326" s="1030"/>
      <c r="H326" s="1186"/>
      <c r="I326" s="1030"/>
      <c r="J326" s="1030"/>
      <c r="K326" s="1030"/>
      <c r="L326" s="1030"/>
      <c r="M326" s="1030"/>
      <c r="N326" s="1030"/>
      <c r="O326" s="1030"/>
      <c r="P326" s="1030"/>
      <c r="Q326" s="1030"/>
      <c r="R326" s="1030"/>
      <c r="S326" s="1030"/>
      <c r="T326" s="1030"/>
      <c r="U326" s="1030"/>
      <c r="V326" s="1030"/>
      <c r="W326" s="1030"/>
      <c r="X326" s="1030"/>
      <c r="Y326" s="1030"/>
      <c r="Z326" s="1030"/>
    </row>
    <row r="327" spans="1:26" ht="12.75" customHeight="1">
      <c r="A327" s="1030"/>
      <c r="B327" s="1030"/>
      <c r="C327" s="1030"/>
      <c r="D327" s="1030"/>
      <c r="E327" s="1030"/>
      <c r="F327" s="1030"/>
      <c r="G327" s="1030"/>
      <c r="H327" s="1186"/>
      <c r="I327" s="1030"/>
      <c r="J327" s="1030"/>
      <c r="K327" s="1030"/>
      <c r="L327" s="1030"/>
      <c r="M327" s="1030"/>
      <c r="N327" s="1030"/>
      <c r="O327" s="1030"/>
      <c r="P327" s="1030"/>
      <c r="Q327" s="1030"/>
      <c r="R327" s="1030"/>
      <c r="S327" s="1030"/>
      <c r="T327" s="1030"/>
      <c r="U327" s="1030"/>
      <c r="V327" s="1030"/>
      <c r="W327" s="1030"/>
      <c r="X327" s="1030"/>
      <c r="Y327" s="1030"/>
      <c r="Z327" s="1030"/>
    </row>
    <row r="328" spans="1:26" ht="12.75" customHeight="1">
      <c r="A328" s="1030"/>
      <c r="B328" s="1030"/>
      <c r="C328" s="1030"/>
      <c r="D328" s="1030"/>
      <c r="E328" s="1030"/>
      <c r="F328" s="1030"/>
      <c r="G328" s="1030"/>
      <c r="H328" s="1186"/>
      <c r="I328" s="1030"/>
      <c r="J328" s="1030"/>
      <c r="K328" s="1030"/>
      <c r="L328" s="1030"/>
      <c r="M328" s="1030"/>
      <c r="N328" s="1030"/>
      <c r="O328" s="1030"/>
      <c r="P328" s="1030"/>
      <c r="Q328" s="1030"/>
      <c r="R328" s="1030"/>
      <c r="S328" s="1030"/>
      <c r="T328" s="1030"/>
      <c r="U328" s="1030"/>
      <c r="V328" s="1030"/>
      <c r="W328" s="1030"/>
      <c r="X328" s="1030"/>
      <c r="Y328" s="1030"/>
      <c r="Z328" s="1030"/>
    </row>
    <row r="329" spans="1:26" ht="12.75" customHeight="1">
      <c r="A329" s="1030"/>
      <c r="B329" s="1030"/>
      <c r="C329" s="1030"/>
      <c r="D329" s="1030"/>
      <c r="E329" s="1030"/>
      <c r="F329" s="1030"/>
      <c r="G329" s="1030"/>
      <c r="H329" s="1186"/>
      <c r="I329" s="1030"/>
      <c r="J329" s="1030"/>
      <c r="K329" s="1030"/>
      <c r="L329" s="1030"/>
      <c r="M329" s="1030"/>
      <c r="N329" s="1030"/>
      <c r="O329" s="1030"/>
      <c r="P329" s="1030"/>
      <c r="Q329" s="1030"/>
      <c r="R329" s="1030"/>
      <c r="S329" s="1030"/>
      <c r="T329" s="1030"/>
      <c r="U329" s="1030"/>
      <c r="V329" s="1030"/>
      <c r="W329" s="1030"/>
      <c r="X329" s="1030"/>
      <c r="Y329" s="1030"/>
      <c r="Z329" s="1030"/>
    </row>
    <row r="330" spans="1:26" ht="12.75" customHeight="1">
      <c r="A330" s="1030"/>
      <c r="B330" s="1030"/>
      <c r="C330" s="1030"/>
      <c r="D330" s="1030"/>
      <c r="E330" s="1030"/>
      <c r="F330" s="1030"/>
      <c r="G330" s="1030"/>
      <c r="H330" s="1186"/>
      <c r="I330" s="1030"/>
      <c r="J330" s="1030"/>
      <c r="K330" s="1030"/>
      <c r="L330" s="1030"/>
      <c r="M330" s="1030"/>
      <c r="N330" s="1030"/>
      <c r="O330" s="1030"/>
      <c r="P330" s="1030"/>
      <c r="Q330" s="1030"/>
      <c r="R330" s="1030"/>
      <c r="S330" s="1030"/>
      <c r="T330" s="1030"/>
      <c r="U330" s="1030"/>
      <c r="V330" s="1030"/>
      <c r="W330" s="1030"/>
      <c r="X330" s="1030"/>
      <c r="Y330" s="1030"/>
      <c r="Z330" s="1030"/>
    </row>
    <row r="331" spans="1:26" ht="12.75" customHeight="1">
      <c r="A331" s="1030"/>
      <c r="B331" s="1030"/>
      <c r="C331" s="1030"/>
      <c r="D331" s="1030"/>
      <c r="E331" s="1030"/>
      <c r="F331" s="1030"/>
      <c r="G331" s="1030"/>
      <c r="H331" s="1186"/>
      <c r="I331" s="1030"/>
      <c r="J331" s="1030"/>
      <c r="K331" s="1030"/>
      <c r="L331" s="1030"/>
      <c r="M331" s="1030"/>
      <c r="N331" s="1030"/>
      <c r="O331" s="1030"/>
      <c r="P331" s="1030"/>
      <c r="Q331" s="1030"/>
      <c r="R331" s="1030"/>
      <c r="S331" s="1030"/>
      <c r="T331" s="1030"/>
      <c r="U331" s="1030"/>
      <c r="V331" s="1030"/>
      <c r="W331" s="1030"/>
      <c r="X331" s="1030"/>
      <c r="Y331" s="1030"/>
      <c r="Z331" s="1030"/>
    </row>
    <row r="332" spans="1:26" ht="12.75" customHeight="1">
      <c r="A332" s="1030"/>
      <c r="B332" s="1030"/>
      <c r="C332" s="1030"/>
      <c r="D332" s="1030"/>
      <c r="E332" s="1030"/>
      <c r="F332" s="1030"/>
      <c r="G332" s="1030"/>
      <c r="H332" s="1186"/>
      <c r="I332" s="1030"/>
      <c r="J332" s="1030"/>
      <c r="K332" s="1030"/>
      <c r="L332" s="1030"/>
      <c r="M332" s="1030"/>
      <c r="N332" s="1030"/>
      <c r="O332" s="1030"/>
      <c r="P332" s="1030"/>
      <c r="Q332" s="1030"/>
      <c r="R332" s="1030"/>
      <c r="S332" s="1030"/>
      <c r="T332" s="1030"/>
      <c r="U332" s="1030"/>
      <c r="V332" s="1030"/>
      <c r="W332" s="1030"/>
      <c r="X332" s="1030"/>
      <c r="Y332" s="1030"/>
      <c r="Z332" s="1030"/>
    </row>
    <row r="333" spans="1:26" ht="12.75" customHeight="1">
      <c r="A333" s="1030"/>
      <c r="B333" s="1030"/>
      <c r="C333" s="1030"/>
      <c r="D333" s="1030"/>
      <c r="E333" s="1030"/>
      <c r="F333" s="1030"/>
      <c r="G333" s="1030"/>
      <c r="H333" s="1186"/>
      <c r="I333" s="1030"/>
      <c r="J333" s="1030"/>
      <c r="K333" s="1030"/>
      <c r="L333" s="1030"/>
      <c r="M333" s="1030"/>
      <c r="N333" s="1030"/>
      <c r="O333" s="1030"/>
      <c r="P333" s="1030"/>
      <c r="Q333" s="1030"/>
      <c r="R333" s="1030"/>
      <c r="S333" s="1030"/>
      <c r="T333" s="1030"/>
      <c r="U333" s="1030"/>
      <c r="V333" s="1030"/>
      <c r="W333" s="1030"/>
      <c r="X333" s="1030"/>
      <c r="Y333" s="1030"/>
      <c r="Z333" s="1030"/>
    </row>
    <row r="334" spans="1:26" ht="12.75" customHeight="1">
      <c r="A334" s="1030"/>
      <c r="B334" s="1030"/>
      <c r="C334" s="1030"/>
      <c r="D334" s="1030"/>
      <c r="E334" s="1030"/>
      <c r="F334" s="1030"/>
      <c r="G334" s="1030"/>
      <c r="H334" s="1186"/>
      <c r="I334" s="1030"/>
      <c r="J334" s="1030"/>
      <c r="K334" s="1030"/>
      <c r="L334" s="1030"/>
      <c r="M334" s="1030"/>
      <c r="N334" s="1030"/>
      <c r="O334" s="1030"/>
      <c r="P334" s="1030"/>
      <c r="Q334" s="1030"/>
      <c r="R334" s="1030"/>
      <c r="S334" s="1030"/>
      <c r="T334" s="1030"/>
      <c r="U334" s="1030"/>
      <c r="V334" s="1030"/>
      <c r="W334" s="1030"/>
      <c r="X334" s="1030"/>
      <c r="Y334" s="1030"/>
      <c r="Z334" s="1030"/>
    </row>
    <row r="335" spans="1:26" ht="12.75" customHeight="1">
      <c r="A335" s="1030"/>
      <c r="B335" s="1030"/>
      <c r="C335" s="1030"/>
      <c r="D335" s="1030"/>
      <c r="E335" s="1030"/>
      <c r="F335" s="1030"/>
      <c r="G335" s="1030"/>
      <c r="H335" s="1186"/>
      <c r="I335" s="1030"/>
      <c r="J335" s="1030"/>
      <c r="K335" s="1030"/>
      <c r="L335" s="1030"/>
      <c r="M335" s="1030"/>
      <c r="N335" s="1030"/>
      <c r="O335" s="1030"/>
      <c r="P335" s="1030"/>
      <c r="Q335" s="1030"/>
      <c r="R335" s="1030"/>
      <c r="S335" s="1030"/>
      <c r="T335" s="1030"/>
      <c r="U335" s="1030"/>
      <c r="V335" s="1030"/>
      <c r="W335" s="1030"/>
      <c r="X335" s="1030"/>
      <c r="Y335" s="1030"/>
      <c r="Z335" s="1030"/>
    </row>
    <row r="336" spans="1:26" ht="12.75" customHeight="1">
      <c r="A336" s="1030"/>
      <c r="B336" s="1030"/>
      <c r="C336" s="1030"/>
      <c r="D336" s="1030"/>
      <c r="E336" s="1030"/>
      <c r="F336" s="1030"/>
      <c r="G336" s="1030"/>
      <c r="H336" s="1186"/>
      <c r="I336" s="1030"/>
      <c r="J336" s="1030"/>
      <c r="K336" s="1030"/>
      <c r="L336" s="1030"/>
      <c r="M336" s="1030"/>
      <c r="N336" s="1030"/>
      <c r="O336" s="1030"/>
      <c r="P336" s="1030"/>
      <c r="Q336" s="1030"/>
      <c r="R336" s="1030"/>
      <c r="S336" s="1030"/>
      <c r="T336" s="1030"/>
      <c r="U336" s="1030"/>
      <c r="V336" s="1030"/>
      <c r="W336" s="1030"/>
      <c r="X336" s="1030"/>
      <c r="Y336" s="1030"/>
      <c r="Z336" s="1030"/>
    </row>
    <row r="337" spans="1:26" ht="12.75" customHeight="1">
      <c r="A337" s="1030"/>
      <c r="B337" s="1030"/>
      <c r="C337" s="1030"/>
      <c r="D337" s="1030"/>
      <c r="E337" s="1030"/>
      <c r="F337" s="1030"/>
      <c r="G337" s="1030"/>
      <c r="H337" s="1186"/>
      <c r="I337" s="1030"/>
      <c r="J337" s="1030"/>
      <c r="K337" s="1030"/>
      <c r="L337" s="1030"/>
      <c r="M337" s="1030"/>
      <c r="N337" s="1030"/>
      <c r="O337" s="1030"/>
      <c r="P337" s="1030"/>
      <c r="Q337" s="1030"/>
      <c r="R337" s="1030"/>
      <c r="S337" s="1030"/>
      <c r="T337" s="1030"/>
      <c r="U337" s="1030"/>
      <c r="V337" s="1030"/>
      <c r="W337" s="1030"/>
      <c r="X337" s="1030"/>
      <c r="Y337" s="1030"/>
      <c r="Z337" s="1030"/>
    </row>
    <row r="338" spans="1:26" ht="12.75" customHeight="1">
      <c r="A338" s="1030"/>
      <c r="B338" s="1030"/>
      <c r="C338" s="1030"/>
      <c r="D338" s="1030"/>
      <c r="E338" s="1030"/>
      <c r="F338" s="1030"/>
      <c r="G338" s="1030"/>
      <c r="H338" s="1186"/>
      <c r="I338" s="1030"/>
      <c r="J338" s="1030"/>
      <c r="K338" s="1030"/>
      <c r="L338" s="1030"/>
      <c r="M338" s="1030"/>
      <c r="N338" s="1030"/>
      <c r="O338" s="1030"/>
      <c r="P338" s="1030"/>
      <c r="Q338" s="1030"/>
      <c r="R338" s="1030"/>
      <c r="S338" s="1030"/>
      <c r="T338" s="1030"/>
      <c r="U338" s="1030"/>
      <c r="V338" s="1030"/>
      <c r="W338" s="1030"/>
      <c r="X338" s="1030"/>
      <c r="Y338" s="1030"/>
      <c r="Z338" s="1030"/>
    </row>
    <row r="339" spans="1:26" ht="12.75" customHeight="1">
      <c r="A339" s="1030"/>
      <c r="B339" s="1030"/>
      <c r="C339" s="1030"/>
      <c r="D339" s="1030"/>
      <c r="E339" s="1030"/>
      <c r="F339" s="1030"/>
      <c r="G339" s="1030"/>
      <c r="H339" s="1186"/>
      <c r="I339" s="1030"/>
      <c r="J339" s="1030"/>
      <c r="K339" s="1030"/>
      <c r="L339" s="1030"/>
      <c r="M339" s="1030"/>
      <c r="N339" s="1030"/>
      <c r="O339" s="1030"/>
      <c r="P339" s="1030"/>
      <c r="Q339" s="1030"/>
      <c r="R339" s="1030"/>
      <c r="S339" s="1030"/>
      <c r="T339" s="1030"/>
      <c r="U339" s="1030"/>
      <c r="V339" s="1030"/>
      <c r="W339" s="1030"/>
      <c r="X339" s="1030"/>
      <c r="Y339" s="1030"/>
      <c r="Z339" s="1030"/>
    </row>
    <row r="340" spans="1:26" ht="12.75" customHeight="1">
      <c r="A340" s="1030"/>
      <c r="B340" s="1030"/>
      <c r="C340" s="1030"/>
      <c r="D340" s="1030"/>
      <c r="E340" s="1030"/>
      <c r="F340" s="1030"/>
      <c r="G340" s="1030"/>
      <c r="H340" s="1186"/>
      <c r="I340" s="1030"/>
      <c r="J340" s="1030"/>
      <c r="K340" s="1030"/>
      <c r="L340" s="1030"/>
      <c r="M340" s="1030"/>
      <c r="N340" s="1030"/>
      <c r="O340" s="1030"/>
      <c r="P340" s="1030"/>
      <c r="Q340" s="1030"/>
      <c r="R340" s="1030"/>
      <c r="S340" s="1030"/>
      <c r="T340" s="1030"/>
      <c r="U340" s="1030"/>
      <c r="V340" s="1030"/>
      <c r="W340" s="1030"/>
      <c r="X340" s="1030"/>
      <c r="Y340" s="1030"/>
      <c r="Z340" s="1030"/>
    </row>
    <row r="341" spans="1:26" ht="12.75" customHeight="1">
      <c r="A341" s="1030"/>
      <c r="B341" s="1030"/>
      <c r="C341" s="1030"/>
      <c r="D341" s="1030"/>
      <c r="E341" s="1030"/>
      <c r="F341" s="1030"/>
      <c r="G341" s="1030"/>
      <c r="H341" s="1186"/>
      <c r="I341" s="1030"/>
      <c r="J341" s="1030"/>
      <c r="K341" s="1030"/>
      <c r="L341" s="1030"/>
      <c r="M341" s="1030"/>
      <c r="N341" s="1030"/>
      <c r="O341" s="1030"/>
      <c r="P341" s="1030"/>
      <c r="Q341" s="1030"/>
      <c r="R341" s="1030"/>
      <c r="S341" s="1030"/>
      <c r="T341" s="1030"/>
      <c r="U341" s="1030"/>
      <c r="V341" s="1030"/>
      <c r="W341" s="1030"/>
      <c r="X341" s="1030"/>
      <c r="Y341" s="1030"/>
      <c r="Z341" s="1030"/>
    </row>
    <row r="342" spans="1:26" ht="12.75" customHeight="1">
      <c r="A342" s="1030"/>
      <c r="B342" s="1030"/>
      <c r="C342" s="1030"/>
      <c r="D342" s="1030"/>
      <c r="E342" s="1030"/>
      <c r="F342" s="1030"/>
      <c r="G342" s="1030"/>
      <c r="H342" s="1186"/>
      <c r="I342" s="1030"/>
      <c r="J342" s="1030"/>
      <c r="K342" s="1030"/>
      <c r="L342" s="1030"/>
      <c r="M342" s="1030"/>
      <c r="N342" s="1030"/>
      <c r="O342" s="1030"/>
      <c r="P342" s="1030"/>
      <c r="Q342" s="1030"/>
      <c r="R342" s="1030"/>
      <c r="S342" s="1030"/>
      <c r="T342" s="1030"/>
      <c r="U342" s="1030"/>
      <c r="V342" s="1030"/>
      <c r="W342" s="1030"/>
      <c r="X342" s="1030"/>
      <c r="Y342" s="1030"/>
      <c r="Z342" s="1030"/>
    </row>
    <row r="343" spans="1:26" ht="12.75" customHeight="1">
      <c r="A343" s="1030"/>
      <c r="B343" s="1030"/>
      <c r="C343" s="1030"/>
      <c r="D343" s="1030"/>
      <c r="E343" s="1030"/>
      <c r="F343" s="1030"/>
      <c r="G343" s="1030"/>
      <c r="H343" s="1186"/>
      <c r="I343" s="1030"/>
      <c r="J343" s="1030"/>
      <c r="K343" s="1030"/>
      <c r="L343" s="1030"/>
      <c r="M343" s="1030"/>
      <c r="N343" s="1030"/>
      <c r="O343" s="1030"/>
      <c r="P343" s="1030"/>
      <c r="Q343" s="1030"/>
      <c r="R343" s="1030"/>
      <c r="S343" s="1030"/>
      <c r="T343" s="1030"/>
      <c r="U343" s="1030"/>
      <c r="V343" s="1030"/>
      <c r="W343" s="1030"/>
      <c r="X343" s="1030"/>
      <c r="Y343" s="1030"/>
      <c r="Z343" s="1030"/>
    </row>
    <row r="344" spans="1:26" ht="12.75" customHeight="1">
      <c r="A344" s="1030"/>
      <c r="B344" s="1030"/>
      <c r="C344" s="1030"/>
      <c r="D344" s="1030"/>
      <c r="E344" s="1030"/>
      <c r="F344" s="1030"/>
      <c r="G344" s="1030"/>
      <c r="H344" s="1186"/>
      <c r="I344" s="1030"/>
      <c r="J344" s="1030"/>
      <c r="K344" s="1030"/>
      <c r="L344" s="1030"/>
      <c r="M344" s="1030"/>
      <c r="N344" s="1030"/>
      <c r="O344" s="1030"/>
      <c r="P344" s="1030"/>
      <c r="Q344" s="1030"/>
      <c r="R344" s="1030"/>
      <c r="S344" s="1030"/>
      <c r="T344" s="1030"/>
      <c r="U344" s="1030"/>
      <c r="V344" s="1030"/>
      <c r="W344" s="1030"/>
      <c r="X344" s="1030"/>
      <c r="Y344" s="1030"/>
      <c r="Z344" s="1030"/>
    </row>
    <row r="345" spans="1:26" ht="12.75" customHeight="1">
      <c r="A345" s="1030"/>
      <c r="B345" s="1030"/>
      <c r="C345" s="1030"/>
      <c r="D345" s="1030"/>
      <c r="E345" s="1030"/>
      <c r="F345" s="1030"/>
      <c r="G345" s="1030"/>
      <c r="H345" s="1186"/>
      <c r="I345" s="1030"/>
      <c r="J345" s="1030"/>
      <c r="K345" s="1030"/>
      <c r="L345" s="1030"/>
      <c r="M345" s="1030"/>
      <c r="N345" s="1030"/>
      <c r="O345" s="1030"/>
      <c r="P345" s="1030"/>
      <c r="Q345" s="1030"/>
      <c r="R345" s="1030"/>
      <c r="S345" s="1030"/>
      <c r="T345" s="1030"/>
      <c r="U345" s="1030"/>
      <c r="V345" s="1030"/>
      <c r="W345" s="1030"/>
      <c r="X345" s="1030"/>
      <c r="Y345" s="1030"/>
      <c r="Z345" s="1030"/>
    </row>
    <row r="346" spans="1:26" ht="12.75" customHeight="1">
      <c r="A346" s="1030"/>
      <c r="B346" s="1030"/>
      <c r="C346" s="1030"/>
      <c r="D346" s="1030"/>
      <c r="E346" s="1030"/>
      <c r="F346" s="1030"/>
      <c r="G346" s="1030"/>
      <c r="H346" s="1186"/>
      <c r="I346" s="1030"/>
      <c r="J346" s="1030"/>
      <c r="K346" s="1030"/>
      <c r="L346" s="1030"/>
      <c r="M346" s="1030"/>
      <c r="N346" s="1030"/>
      <c r="O346" s="1030"/>
      <c r="P346" s="1030"/>
      <c r="Q346" s="1030"/>
      <c r="R346" s="1030"/>
      <c r="S346" s="1030"/>
      <c r="T346" s="1030"/>
      <c r="U346" s="1030"/>
      <c r="V346" s="1030"/>
      <c r="W346" s="1030"/>
      <c r="X346" s="1030"/>
      <c r="Y346" s="1030"/>
      <c r="Z346" s="1030"/>
    </row>
    <row r="347" spans="1:26" ht="12.75" customHeight="1">
      <c r="A347" s="1030"/>
      <c r="B347" s="1030"/>
      <c r="C347" s="1030"/>
      <c r="D347" s="1030"/>
      <c r="E347" s="1030"/>
      <c r="F347" s="1030"/>
      <c r="G347" s="1030"/>
      <c r="H347" s="1186"/>
      <c r="I347" s="1030"/>
      <c r="J347" s="1030"/>
      <c r="K347" s="1030"/>
      <c r="L347" s="1030"/>
      <c r="M347" s="1030"/>
      <c r="N347" s="1030"/>
      <c r="O347" s="1030"/>
      <c r="P347" s="1030"/>
      <c r="Q347" s="1030"/>
      <c r="R347" s="1030"/>
      <c r="S347" s="1030"/>
      <c r="T347" s="1030"/>
      <c r="U347" s="1030"/>
      <c r="V347" s="1030"/>
      <c r="W347" s="1030"/>
      <c r="X347" s="1030"/>
      <c r="Y347" s="1030"/>
      <c r="Z347" s="1030"/>
    </row>
    <row r="348" spans="1:26" ht="12.75" customHeight="1">
      <c r="A348" s="1030"/>
      <c r="B348" s="1030"/>
      <c r="C348" s="1030"/>
      <c r="D348" s="1030"/>
      <c r="E348" s="1030"/>
      <c r="F348" s="1030"/>
      <c r="G348" s="1030"/>
      <c r="H348" s="1186"/>
      <c r="I348" s="1030"/>
      <c r="J348" s="1030"/>
      <c r="K348" s="1030"/>
      <c r="L348" s="1030"/>
      <c r="M348" s="1030"/>
      <c r="N348" s="1030"/>
      <c r="O348" s="1030"/>
      <c r="P348" s="1030"/>
      <c r="Q348" s="1030"/>
      <c r="R348" s="1030"/>
      <c r="S348" s="1030"/>
      <c r="T348" s="1030"/>
      <c r="U348" s="1030"/>
      <c r="V348" s="1030"/>
      <c r="W348" s="1030"/>
      <c r="X348" s="1030"/>
      <c r="Y348" s="1030"/>
      <c r="Z348" s="1030"/>
    </row>
    <row r="349" spans="1:26" ht="12.75" customHeight="1">
      <c r="A349" s="1030"/>
      <c r="B349" s="1030"/>
      <c r="C349" s="1030"/>
      <c r="D349" s="1030"/>
      <c r="E349" s="1030"/>
      <c r="F349" s="1030"/>
      <c r="G349" s="1030"/>
      <c r="H349" s="1186"/>
      <c r="I349" s="1030"/>
      <c r="J349" s="1030"/>
      <c r="K349" s="1030"/>
      <c r="L349" s="1030"/>
      <c r="M349" s="1030"/>
      <c r="N349" s="1030"/>
      <c r="O349" s="1030"/>
      <c r="P349" s="1030"/>
      <c r="Q349" s="1030"/>
      <c r="R349" s="1030"/>
      <c r="S349" s="1030"/>
      <c r="T349" s="1030"/>
      <c r="U349" s="1030"/>
      <c r="V349" s="1030"/>
      <c r="W349" s="1030"/>
      <c r="X349" s="1030"/>
      <c r="Y349" s="1030"/>
      <c r="Z349" s="1030"/>
    </row>
    <row r="350" spans="1:26" ht="12.75" customHeight="1">
      <c r="A350" s="1030"/>
      <c r="B350" s="1030"/>
      <c r="C350" s="1030"/>
      <c r="D350" s="1030"/>
      <c r="E350" s="1030"/>
      <c r="F350" s="1030"/>
      <c r="G350" s="1030"/>
      <c r="H350" s="1186"/>
      <c r="I350" s="1030"/>
      <c r="J350" s="1030"/>
      <c r="K350" s="1030"/>
      <c r="L350" s="1030"/>
      <c r="M350" s="1030"/>
      <c r="N350" s="1030"/>
      <c r="O350" s="1030"/>
      <c r="P350" s="1030"/>
      <c r="Q350" s="1030"/>
      <c r="R350" s="1030"/>
      <c r="S350" s="1030"/>
      <c r="T350" s="1030"/>
      <c r="U350" s="1030"/>
      <c r="V350" s="1030"/>
      <c r="W350" s="1030"/>
      <c r="X350" s="1030"/>
      <c r="Y350" s="1030"/>
      <c r="Z350" s="1030"/>
    </row>
    <row r="351" spans="1:26" ht="12.75" customHeight="1">
      <c r="A351" s="1030"/>
      <c r="B351" s="1030"/>
      <c r="C351" s="1030"/>
      <c r="D351" s="1030"/>
      <c r="E351" s="1030"/>
      <c r="F351" s="1030"/>
      <c r="G351" s="1030"/>
      <c r="H351" s="1186"/>
      <c r="I351" s="1030"/>
      <c r="J351" s="1030"/>
      <c r="K351" s="1030"/>
      <c r="L351" s="1030"/>
      <c r="M351" s="1030"/>
      <c r="N351" s="1030"/>
      <c r="O351" s="1030"/>
      <c r="P351" s="1030"/>
      <c r="Q351" s="1030"/>
      <c r="R351" s="1030"/>
      <c r="S351" s="1030"/>
      <c r="T351" s="1030"/>
      <c r="U351" s="1030"/>
      <c r="V351" s="1030"/>
      <c r="W351" s="1030"/>
      <c r="X351" s="1030"/>
      <c r="Y351" s="1030"/>
      <c r="Z351" s="1030"/>
    </row>
    <row r="352" spans="1:26" ht="12.75" customHeight="1">
      <c r="A352" s="1030"/>
      <c r="B352" s="1030"/>
      <c r="C352" s="1030"/>
      <c r="D352" s="1030"/>
      <c r="E352" s="1030"/>
      <c r="F352" s="1030"/>
      <c r="G352" s="1030"/>
      <c r="H352" s="1186"/>
      <c r="I352" s="1030"/>
      <c r="J352" s="1030"/>
      <c r="K352" s="1030"/>
      <c r="L352" s="1030"/>
      <c r="M352" s="1030"/>
      <c r="N352" s="1030"/>
      <c r="O352" s="1030"/>
      <c r="P352" s="1030"/>
      <c r="Q352" s="1030"/>
      <c r="R352" s="1030"/>
      <c r="S352" s="1030"/>
      <c r="T352" s="1030"/>
      <c r="U352" s="1030"/>
      <c r="V352" s="1030"/>
      <c r="W352" s="1030"/>
      <c r="X352" s="1030"/>
      <c r="Y352" s="1030"/>
      <c r="Z352" s="1030"/>
    </row>
    <row r="353" spans="1:26" ht="12.75" customHeight="1">
      <c r="A353" s="1030"/>
      <c r="B353" s="1030"/>
      <c r="C353" s="1030"/>
      <c r="D353" s="1030"/>
      <c r="E353" s="1030"/>
      <c r="F353" s="1030"/>
      <c r="G353" s="1030"/>
      <c r="H353" s="1186"/>
      <c r="I353" s="1030"/>
      <c r="J353" s="1030"/>
      <c r="K353" s="1030"/>
      <c r="L353" s="1030"/>
      <c r="M353" s="1030"/>
      <c r="N353" s="1030"/>
      <c r="O353" s="1030"/>
      <c r="P353" s="1030"/>
      <c r="Q353" s="1030"/>
      <c r="R353" s="1030"/>
      <c r="S353" s="1030"/>
      <c r="T353" s="1030"/>
      <c r="U353" s="1030"/>
      <c r="V353" s="1030"/>
      <c r="W353" s="1030"/>
      <c r="X353" s="1030"/>
      <c r="Y353" s="1030"/>
      <c r="Z353" s="1030"/>
    </row>
    <row r="354" spans="1:26" ht="12.75" customHeight="1">
      <c r="A354" s="1030"/>
      <c r="B354" s="1030"/>
      <c r="C354" s="1030"/>
      <c r="D354" s="1030"/>
      <c r="E354" s="1030"/>
      <c r="F354" s="1030"/>
      <c r="G354" s="1030"/>
      <c r="H354" s="1186"/>
      <c r="I354" s="1030"/>
      <c r="J354" s="1030"/>
      <c r="K354" s="1030"/>
      <c r="L354" s="1030"/>
      <c r="M354" s="1030"/>
      <c r="N354" s="1030"/>
      <c r="O354" s="1030"/>
      <c r="P354" s="1030"/>
      <c r="Q354" s="1030"/>
      <c r="R354" s="1030"/>
      <c r="S354" s="1030"/>
      <c r="T354" s="1030"/>
      <c r="U354" s="1030"/>
      <c r="V354" s="1030"/>
      <c r="W354" s="1030"/>
      <c r="X354" s="1030"/>
      <c r="Y354" s="1030"/>
      <c r="Z354" s="1030"/>
    </row>
    <row r="355" spans="1:26" ht="12.75" customHeight="1">
      <c r="A355" s="1030"/>
      <c r="B355" s="1030"/>
      <c r="C355" s="1030"/>
      <c r="D355" s="1030"/>
      <c r="E355" s="1030"/>
      <c r="F355" s="1030"/>
      <c r="G355" s="1030"/>
      <c r="H355" s="1186"/>
      <c r="I355" s="1030"/>
      <c r="J355" s="1030"/>
      <c r="K355" s="1030"/>
      <c r="L355" s="1030"/>
      <c r="M355" s="1030"/>
      <c r="N355" s="1030"/>
      <c r="O355" s="1030"/>
      <c r="P355" s="1030"/>
      <c r="Q355" s="1030"/>
      <c r="R355" s="1030"/>
      <c r="S355" s="1030"/>
      <c r="T355" s="1030"/>
      <c r="U355" s="1030"/>
      <c r="V355" s="1030"/>
      <c r="W355" s="1030"/>
      <c r="X355" s="1030"/>
      <c r="Y355" s="1030"/>
      <c r="Z355" s="1030"/>
    </row>
    <row r="356" spans="1:26" ht="12.75" customHeight="1">
      <c r="A356" s="1030"/>
      <c r="B356" s="1030"/>
      <c r="C356" s="1030"/>
      <c r="D356" s="1030"/>
      <c r="E356" s="1030"/>
      <c r="F356" s="1030"/>
      <c r="G356" s="1030"/>
      <c r="H356" s="1186"/>
      <c r="I356" s="1030"/>
      <c r="J356" s="1030"/>
      <c r="K356" s="1030"/>
      <c r="L356" s="1030"/>
      <c r="M356" s="1030"/>
      <c r="N356" s="1030"/>
      <c r="O356" s="1030"/>
      <c r="P356" s="1030"/>
      <c r="Q356" s="1030"/>
      <c r="R356" s="1030"/>
      <c r="S356" s="1030"/>
      <c r="T356" s="1030"/>
      <c r="U356" s="1030"/>
      <c r="V356" s="1030"/>
      <c r="W356" s="1030"/>
      <c r="X356" s="1030"/>
      <c r="Y356" s="1030"/>
      <c r="Z356" s="1030"/>
    </row>
    <row r="357" spans="1:26" ht="12.75" customHeight="1">
      <c r="A357" s="1030"/>
      <c r="B357" s="1030"/>
      <c r="C357" s="1030"/>
      <c r="D357" s="1030"/>
      <c r="E357" s="1030"/>
      <c r="F357" s="1030"/>
      <c r="G357" s="1030"/>
      <c r="H357" s="1186"/>
      <c r="I357" s="1030"/>
      <c r="J357" s="1030"/>
      <c r="K357" s="1030"/>
      <c r="L357" s="1030"/>
      <c r="M357" s="1030"/>
      <c r="N357" s="1030"/>
      <c r="O357" s="1030"/>
      <c r="P357" s="1030"/>
      <c r="Q357" s="1030"/>
      <c r="R357" s="1030"/>
      <c r="S357" s="1030"/>
      <c r="T357" s="1030"/>
      <c r="U357" s="1030"/>
      <c r="V357" s="1030"/>
      <c r="W357" s="1030"/>
      <c r="X357" s="1030"/>
      <c r="Y357" s="1030"/>
      <c r="Z357" s="1030"/>
    </row>
    <row r="358" spans="1:26" ht="12.75" customHeight="1">
      <c r="A358" s="1030"/>
      <c r="B358" s="1030"/>
      <c r="C358" s="1030"/>
      <c r="D358" s="1030"/>
      <c r="E358" s="1030"/>
      <c r="F358" s="1030"/>
      <c r="G358" s="1030"/>
      <c r="H358" s="1186"/>
      <c r="I358" s="1030"/>
      <c r="J358" s="1030"/>
      <c r="K358" s="1030"/>
      <c r="L358" s="1030"/>
      <c r="M358" s="1030"/>
      <c r="N358" s="1030"/>
      <c r="O358" s="1030"/>
      <c r="P358" s="1030"/>
      <c r="Q358" s="1030"/>
      <c r="R358" s="1030"/>
      <c r="S358" s="1030"/>
      <c r="T358" s="1030"/>
      <c r="U358" s="1030"/>
      <c r="V358" s="1030"/>
      <c r="W358" s="1030"/>
      <c r="X358" s="1030"/>
      <c r="Y358" s="1030"/>
      <c r="Z358" s="1030"/>
    </row>
    <row r="359" spans="1:26" ht="12.75" customHeight="1">
      <c r="A359" s="1030"/>
      <c r="B359" s="1030"/>
      <c r="C359" s="1030"/>
      <c r="D359" s="1030"/>
      <c r="E359" s="1030"/>
      <c r="F359" s="1030"/>
      <c r="G359" s="1030"/>
      <c r="H359" s="1186"/>
      <c r="I359" s="1030"/>
      <c r="J359" s="1030"/>
      <c r="K359" s="1030"/>
      <c r="L359" s="1030"/>
      <c r="M359" s="1030"/>
      <c r="N359" s="1030"/>
      <c r="O359" s="1030"/>
      <c r="P359" s="1030"/>
      <c r="Q359" s="1030"/>
      <c r="R359" s="1030"/>
      <c r="S359" s="1030"/>
      <c r="T359" s="1030"/>
      <c r="U359" s="1030"/>
      <c r="V359" s="1030"/>
      <c r="W359" s="1030"/>
      <c r="X359" s="1030"/>
      <c r="Y359" s="1030"/>
      <c r="Z359" s="1030"/>
    </row>
    <row r="360" spans="1:26" ht="12.75" customHeight="1">
      <c r="A360" s="1030"/>
      <c r="B360" s="1030"/>
      <c r="C360" s="1030"/>
      <c r="D360" s="1030"/>
      <c r="E360" s="1030"/>
      <c r="F360" s="1030"/>
      <c r="G360" s="1030"/>
      <c r="H360" s="1186"/>
      <c r="I360" s="1030"/>
      <c r="J360" s="1030"/>
      <c r="K360" s="1030"/>
      <c r="L360" s="1030"/>
      <c r="M360" s="1030"/>
      <c r="N360" s="1030"/>
      <c r="O360" s="1030"/>
      <c r="P360" s="1030"/>
      <c r="Q360" s="1030"/>
      <c r="R360" s="1030"/>
      <c r="S360" s="1030"/>
      <c r="T360" s="1030"/>
      <c r="U360" s="1030"/>
      <c r="V360" s="1030"/>
      <c r="W360" s="1030"/>
      <c r="X360" s="1030"/>
      <c r="Y360" s="1030"/>
      <c r="Z360" s="1030"/>
    </row>
    <row r="361" spans="1:26" ht="12.75" customHeight="1">
      <c r="A361" s="1030"/>
      <c r="B361" s="1030"/>
      <c r="C361" s="1030"/>
      <c r="D361" s="1030"/>
      <c r="E361" s="1030"/>
      <c r="F361" s="1030"/>
      <c r="G361" s="1030"/>
      <c r="H361" s="1186"/>
      <c r="I361" s="1030"/>
      <c r="J361" s="1030"/>
      <c r="K361" s="1030"/>
      <c r="L361" s="1030"/>
      <c r="M361" s="1030"/>
      <c r="N361" s="1030"/>
      <c r="O361" s="1030"/>
      <c r="P361" s="1030"/>
      <c r="Q361" s="1030"/>
      <c r="R361" s="1030"/>
      <c r="S361" s="1030"/>
      <c r="T361" s="1030"/>
      <c r="U361" s="1030"/>
      <c r="V361" s="1030"/>
      <c r="W361" s="1030"/>
      <c r="X361" s="1030"/>
      <c r="Y361" s="1030"/>
      <c r="Z361" s="1030"/>
    </row>
    <row r="362" spans="1:26" ht="12.75" customHeight="1">
      <c r="A362" s="1030"/>
      <c r="B362" s="1030"/>
      <c r="C362" s="1030"/>
      <c r="D362" s="1030"/>
      <c r="E362" s="1030"/>
      <c r="F362" s="1030"/>
      <c r="G362" s="1030"/>
      <c r="H362" s="1186"/>
      <c r="I362" s="1030"/>
      <c r="J362" s="1030"/>
      <c r="K362" s="1030"/>
      <c r="L362" s="1030"/>
      <c r="M362" s="1030"/>
      <c r="N362" s="1030"/>
      <c r="O362" s="1030"/>
      <c r="P362" s="1030"/>
      <c r="Q362" s="1030"/>
      <c r="R362" s="1030"/>
      <c r="S362" s="1030"/>
      <c r="T362" s="1030"/>
      <c r="U362" s="1030"/>
      <c r="V362" s="1030"/>
      <c r="W362" s="1030"/>
      <c r="X362" s="1030"/>
      <c r="Y362" s="1030"/>
      <c r="Z362" s="1030"/>
    </row>
    <row r="363" spans="1:26" ht="12.75" customHeight="1">
      <c r="A363" s="1030"/>
      <c r="B363" s="1030"/>
      <c r="C363" s="1030"/>
      <c r="D363" s="1030"/>
      <c r="E363" s="1030"/>
      <c r="F363" s="1030"/>
      <c r="G363" s="1030"/>
      <c r="H363" s="1186"/>
      <c r="I363" s="1030"/>
      <c r="J363" s="1030"/>
      <c r="K363" s="1030"/>
      <c r="L363" s="1030"/>
      <c r="M363" s="1030"/>
      <c r="N363" s="1030"/>
      <c r="O363" s="1030"/>
      <c r="P363" s="1030"/>
      <c r="Q363" s="1030"/>
      <c r="R363" s="1030"/>
      <c r="S363" s="1030"/>
      <c r="T363" s="1030"/>
      <c r="U363" s="1030"/>
      <c r="V363" s="1030"/>
      <c r="W363" s="1030"/>
      <c r="X363" s="1030"/>
      <c r="Y363" s="1030"/>
      <c r="Z363" s="1030"/>
    </row>
    <row r="364" spans="1:26" ht="12.75" customHeight="1">
      <c r="A364" s="1030"/>
      <c r="B364" s="1030"/>
      <c r="C364" s="1030"/>
      <c r="D364" s="1030"/>
      <c r="E364" s="1030"/>
      <c r="F364" s="1030"/>
      <c r="G364" s="1030"/>
      <c r="H364" s="1186"/>
      <c r="I364" s="1030"/>
      <c r="J364" s="1030"/>
      <c r="K364" s="1030"/>
      <c r="L364" s="1030"/>
      <c r="M364" s="1030"/>
      <c r="N364" s="1030"/>
      <c r="O364" s="1030"/>
      <c r="P364" s="1030"/>
      <c r="Q364" s="1030"/>
      <c r="R364" s="1030"/>
      <c r="S364" s="1030"/>
      <c r="T364" s="1030"/>
      <c r="U364" s="1030"/>
      <c r="V364" s="1030"/>
      <c r="W364" s="1030"/>
      <c r="X364" s="1030"/>
      <c r="Y364" s="1030"/>
      <c r="Z364" s="1030"/>
    </row>
    <row r="365" spans="1:26" ht="12.75" customHeight="1">
      <c r="A365" s="1030"/>
      <c r="B365" s="1030"/>
      <c r="C365" s="1030"/>
      <c r="D365" s="1030"/>
      <c r="E365" s="1030"/>
      <c r="F365" s="1030"/>
      <c r="G365" s="1030"/>
      <c r="H365" s="1186"/>
      <c r="I365" s="1030"/>
      <c r="J365" s="1030"/>
      <c r="K365" s="1030"/>
      <c r="L365" s="1030"/>
      <c r="M365" s="1030"/>
      <c r="N365" s="1030"/>
      <c r="O365" s="1030"/>
      <c r="P365" s="1030"/>
      <c r="Q365" s="1030"/>
      <c r="R365" s="1030"/>
      <c r="S365" s="1030"/>
      <c r="T365" s="1030"/>
      <c r="U365" s="1030"/>
      <c r="V365" s="1030"/>
      <c r="W365" s="1030"/>
      <c r="X365" s="1030"/>
      <c r="Y365" s="1030"/>
      <c r="Z365" s="1030"/>
    </row>
    <row r="366" spans="1:26" ht="12.75" customHeight="1">
      <c r="A366" s="1030"/>
      <c r="B366" s="1030"/>
      <c r="C366" s="1030"/>
      <c r="D366" s="1030"/>
      <c r="E366" s="1030"/>
      <c r="F366" s="1030"/>
      <c r="G366" s="1030"/>
      <c r="H366" s="1186"/>
      <c r="I366" s="1030"/>
      <c r="J366" s="1030"/>
      <c r="K366" s="1030"/>
      <c r="L366" s="1030"/>
      <c r="M366" s="1030"/>
      <c r="N366" s="1030"/>
      <c r="O366" s="1030"/>
      <c r="P366" s="1030"/>
      <c r="Q366" s="1030"/>
      <c r="R366" s="1030"/>
      <c r="S366" s="1030"/>
      <c r="T366" s="1030"/>
      <c r="U366" s="1030"/>
      <c r="V366" s="1030"/>
      <c r="W366" s="1030"/>
      <c r="X366" s="1030"/>
      <c r="Y366" s="1030"/>
      <c r="Z366" s="1030"/>
    </row>
    <row r="367" spans="1:26" ht="12.75" customHeight="1">
      <c r="A367" s="1030"/>
      <c r="B367" s="1030"/>
      <c r="C367" s="1030"/>
      <c r="D367" s="1030"/>
      <c r="E367" s="1030"/>
      <c r="F367" s="1030"/>
      <c r="G367" s="1030"/>
      <c r="H367" s="1186"/>
      <c r="I367" s="1030"/>
      <c r="J367" s="1030"/>
      <c r="K367" s="1030"/>
      <c r="L367" s="1030"/>
      <c r="M367" s="1030"/>
      <c r="N367" s="1030"/>
      <c r="O367" s="1030"/>
      <c r="P367" s="1030"/>
      <c r="Q367" s="1030"/>
      <c r="R367" s="1030"/>
      <c r="S367" s="1030"/>
      <c r="T367" s="1030"/>
      <c r="U367" s="1030"/>
      <c r="V367" s="1030"/>
      <c r="W367" s="1030"/>
      <c r="X367" s="1030"/>
      <c r="Y367" s="1030"/>
      <c r="Z367" s="1030"/>
    </row>
    <row r="368" spans="1:26" ht="12.75" customHeight="1">
      <c r="A368" s="1030"/>
      <c r="B368" s="1030"/>
      <c r="C368" s="1030"/>
      <c r="D368" s="1030"/>
      <c r="E368" s="1030"/>
      <c r="F368" s="1030"/>
      <c r="G368" s="1030"/>
      <c r="H368" s="1186"/>
      <c r="I368" s="1030"/>
      <c r="J368" s="1030"/>
      <c r="K368" s="1030"/>
      <c r="L368" s="1030"/>
      <c r="M368" s="1030"/>
      <c r="N368" s="1030"/>
      <c r="O368" s="1030"/>
      <c r="P368" s="1030"/>
      <c r="Q368" s="1030"/>
      <c r="R368" s="1030"/>
      <c r="S368" s="1030"/>
      <c r="T368" s="1030"/>
      <c r="U368" s="1030"/>
      <c r="V368" s="1030"/>
      <c r="W368" s="1030"/>
      <c r="X368" s="1030"/>
      <c r="Y368" s="1030"/>
      <c r="Z368" s="1030"/>
    </row>
    <row r="369" spans="1:26" ht="12.75" customHeight="1">
      <c r="A369" s="1030"/>
      <c r="B369" s="1030"/>
      <c r="C369" s="1030"/>
      <c r="D369" s="1030"/>
      <c r="E369" s="1030"/>
      <c r="F369" s="1030"/>
      <c r="G369" s="1030"/>
      <c r="H369" s="1186"/>
      <c r="I369" s="1030"/>
      <c r="J369" s="1030"/>
      <c r="K369" s="1030"/>
      <c r="L369" s="1030"/>
      <c r="M369" s="1030"/>
      <c r="N369" s="1030"/>
      <c r="O369" s="1030"/>
      <c r="P369" s="1030"/>
      <c r="Q369" s="1030"/>
      <c r="R369" s="1030"/>
      <c r="S369" s="1030"/>
      <c r="T369" s="1030"/>
      <c r="U369" s="1030"/>
      <c r="V369" s="1030"/>
      <c r="W369" s="1030"/>
      <c r="X369" s="1030"/>
      <c r="Y369" s="1030"/>
      <c r="Z369" s="1030"/>
    </row>
    <row r="370" spans="1:26" ht="12.75" customHeight="1">
      <c r="A370" s="1030"/>
      <c r="B370" s="1030"/>
      <c r="C370" s="1030"/>
      <c r="D370" s="1030"/>
      <c r="E370" s="1030"/>
      <c r="F370" s="1030"/>
      <c r="G370" s="1030"/>
      <c r="H370" s="1186"/>
      <c r="I370" s="1030"/>
      <c r="J370" s="1030"/>
      <c r="K370" s="1030"/>
      <c r="L370" s="1030"/>
      <c r="M370" s="1030"/>
      <c r="N370" s="1030"/>
      <c r="O370" s="1030"/>
      <c r="P370" s="1030"/>
      <c r="Q370" s="1030"/>
      <c r="R370" s="1030"/>
      <c r="S370" s="1030"/>
      <c r="T370" s="1030"/>
      <c r="U370" s="1030"/>
      <c r="V370" s="1030"/>
      <c r="W370" s="1030"/>
      <c r="X370" s="1030"/>
      <c r="Y370" s="1030"/>
      <c r="Z370" s="1030"/>
    </row>
    <row r="371" spans="1:26" ht="12.75" customHeight="1">
      <c r="A371" s="1030"/>
      <c r="B371" s="1030"/>
      <c r="C371" s="1030"/>
      <c r="D371" s="1030"/>
      <c r="E371" s="1030"/>
      <c r="F371" s="1030"/>
      <c r="G371" s="1030"/>
      <c r="H371" s="1186"/>
      <c r="I371" s="1030"/>
      <c r="J371" s="1030"/>
      <c r="K371" s="1030"/>
      <c r="L371" s="1030"/>
      <c r="M371" s="1030"/>
      <c r="N371" s="1030"/>
      <c r="O371" s="1030"/>
      <c r="P371" s="1030"/>
      <c r="Q371" s="1030"/>
      <c r="R371" s="1030"/>
      <c r="S371" s="1030"/>
      <c r="T371" s="1030"/>
      <c r="U371" s="1030"/>
      <c r="V371" s="1030"/>
      <c r="W371" s="1030"/>
      <c r="X371" s="1030"/>
      <c r="Y371" s="1030"/>
      <c r="Z371" s="1030"/>
    </row>
    <row r="372" spans="1:26" ht="12.75" customHeight="1">
      <c r="A372" s="1030"/>
      <c r="B372" s="1030"/>
      <c r="C372" s="1030"/>
      <c r="D372" s="1030"/>
      <c r="E372" s="1030"/>
      <c r="F372" s="1030"/>
      <c r="G372" s="1030"/>
      <c r="H372" s="1186"/>
      <c r="I372" s="1030"/>
      <c r="J372" s="1030"/>
      <c r="K372" s="1030"/>
      <c r="L372" s="1030"/>
      <c r="M372" s="1030"/>
      <c r="N372" s="1030"/>
      <c r="O372" s="1030"/>
      <c r="P372" s="1030"/>
      <c r="Q372" s="1030"/>
      <c r="R372" s="1030"/>
      <c r="S372" s="1030"/>
      <c r="T372" s="1030"/>
      <c r="U372" s="1030"/>
      <c r="V372" s="1030"/>
      <c r="W372" s="1030"/>
      <c r="X372" s="1030"/>
      <c r="Y372" s="1030"/>
      <c r="Z372" s="1030"/>
    </row>
    <row r="373" spans="1:26" ht="12.75" customHeight="1">
      <c r="A373" s="1030"/>
      <c r="B373" s="1030"/>
      <c r="C373" s="1030"/>
      <c r="D373" s="1030"/>
      <c r="E373" s="1030"/>
      <c r="F373" s="1030"/>
      <c r="G373" s="1030"/>
      <c r="H373" s="1186"/>
      <c r="I373" s="1030"/>
      <c r="J373" s="1030"/>
      <c r="K373" s="1030"/>
      <c r="L373" s="1030"/>
      <c r="M373" s="1030"/>
      <c r="N373" s="1030"/>
      <c r="O373" s="1030"/>
      <c r="P373" s="1030"/>
      <c r="Q373" s="1030"/>
      <c r="R373" s="1030"/>
      <c r="S373" s="1030"/>
      <c r="T373" s="1030"/>
      <c r="U373" s="1030"/>
      <c r="V373" s="1030"/>
      <c r="W373" s="1030"/>
      <c r="X373" s="1030"/>
      <c r="Y373" s="1030"/>
      <c r="Z373" s="1030"/>
    </row>
    <row r="374" spans="1:26" ht="12.75" customHeight="1">
      <c r="A374" s="1030"/>
      <c r="B374" s="1030"/>
      <c r="C374" s="1030"/>
      <c r="D374" s="1030"/>
      <c r="E374" s="1030"/>
      <c r="F374" s="1030"/>
      <c r="G374" s="1030"/>
      <c r="H374" s="1186"/>
      <c r="I374" s="1030"/>
      <c r="J374" s="1030"/>
      <c r="K374" s="1030"/>
      <c r="L374" s="1030"/>
      <c r="M374" s="1030"/>
      <c r="N374" s="1030"/>
      <c r="O374" s="1030"/>
      <c r="P374" s="1030"/>
      <c r="Q374" s="1030"/>
      <c r="R374" s="1030"/>
      <c r="S374" s="1030"/>
      <c r="T374" s="1030"/>
      <c r="U374" s="1030"/>
      <c r="V374" s="1030"/>
      <c r="W374" s="1030"/>
      <c r="X374" s="1030"/>
      <c r="Y374" s="1030"/>
      <c r="Z374" s="1030"/>
    </row>
    <row r="375" spans="1:26" ht="12.75" customHeight="1">
      <c r="A375" s="1030"/>
      <c r="B375" s="1030"/>
      <c r="C375" s="1030"/>
      <c r="D375" s="1030"/>
      <c r="E375" s="1030"/>
      <c r="F375" s="1030"/>
      <c r="G375" s="1030"/>
      <c r="H375" s="1186"/>
      <c r="I375" s="1030"/>
      <c r="J375" s="1030"/>
      <c r="K375" s="1030"/>
      <c r="L375" s="1030"/>
      <c r="M375" s="1030"/>
      <c r="N375" s="1030"/>
      <c r="O375" s="1030"/>
      <c r="P375" s="1030"/>
      <c r="Q375" s="1030"/>
      <c r="R375" s="1030"/>
      <c r="S375" s="1030"/>
      <c r="T375" s="1030"/>
      <c r="U375" s="1030"/>
      <c r="V375" s="1030"/>
      <c r="W375" s="1030"/>
      <c r="X375" s="1030"/>
      <c r="Y375" s="1030"/>
      <c r="Z375" s="1030"/>
    </row>
    <row r="376" spans="1:26" ht="12.75" customHeight="1">
      <c r="A376" s="1030"/>
      <c r="B376" s="1030"/>
      <c r="C376" s="1030"/>
      <c r="D376" s="1030"/>
      <c r="E376" s="1030"/>
      <c r="F376" s="1030"/>
      <c r="G376" s="1030"/>
      <c r="H376" s="1186"/>
      <c r="I376" s="1030"/>
      <c r="J376" s="1030"/>
      <c r="K376" s="1030"/>
      <c r="L376" s="1030"/>
      <c r="M376" s="1030"/>
      <c r="N376" s="1030"/>
      <c r="O376" s="1030"/>
      <c r="P376" s="1030"/>
      <c r="Q376" s="1030"/>
      <c r="R376" s="1030"/>
      <c r="S376" s="1030"/>
      <c r="T376" s="1030"/>
      <c r="U376" s="1030"/>
      <c r="V376" s="1030"/>
      <c r="W376" s="1030"/>
      <c r="X376" s="1030"/>
      <c r="Y376" s="1030"/>
      <c r="Z376" s="1030"/>
    </row>
    <row r="377" spans="1:26" ht="12.75" customHeight="1">
      <c r="A377" s="1030"/>
      <c r="B377" s="1030"/>
      <c r="C377" s="1030"/>
      <c r="D377" s="1030"/>
      <c r="E377" s="1030"/>
      <c r="F377" s="1030"/>
      <c r="G377" s="1030"/>
      <c r="H377" s="1186"/>
      <c r="I377" s="1030"/>
      <c r="J377" s="1030"/>
      <c r="K377" s="1030"/>
      <c r="L377" s="1030"/>
      <c r="M377" s="1030"/>
      <c r="N377" s="1030"/>
      <c r="O377" s="1030"/>
      <c r="P377" s="1030"/>
      <c r="Q377" s="1030"/>
      <c r="R377" s="1030"/>
      <c r="S377" s="1030"/>
      <c r="T377" s="1030"/>
      <c r="U377" s="1030"/>
      <c r="V377" s="1030"/>
      <c r="W377" s="1030"/>
      <c r="X377" s="1030"/>
      <c r="Y377" s="1030"/>
      <c r="Z377" s="1030"/>
    </row>
    <row r="378" spans="1:26" ht="12.75" customHeight="1">
      <c r="A378" s="1030"/>
      <c r="B378" s="1030"/>
      <c r="C378" s="1030"/>
      <c r="D378" s="1030"/>
      <c r="E378" s="1030"/>
      <c r="F378" s="1030"/>
      <c r="G378" s="1030"/>
      <c r="H378" s="1186"/>
      <c r="I378" s="1030"/>
      <c r="J378" s="1030"/>
      <c r="K378" s="1030"/>
      <c r="L378" s="1030"/>
      <c r="M378" s="1030"/>
      <c r="N378" s="1030"/>
      <c r="O378" s="1030"/>
      <c r="P378" s="1030"/>
      <c r="Q378" s="1030"/>
      <c r="R378" s="1030"/>
      <c r="S378" s="1030"/>
      <c r="T378" s="1030"/>
      <c r="U378" s="1030"/>
      <c r="V378" s="1030"/>
      <c r="W378" s="1030"/>
      <c r="X378" s="1030"/>
      <c r="Y378" s="1030"/>
      <c r="Z378" s="1030"/>
    </row>
    <row r="379" spans="1:26" ht="12.75" customHeight="1">
      <c r="A379" s="1030"/>
      <c r="B379" s="1030"/>
      <c r="C379" s="1030"/>
      <c r="D379" s="1030"/>
      <c r="E379" s="1030"/>
      <c r="F379" s="1030"/>
      <c r="G379" s="1030"/>
      <c r="H379" s="1186"/>
      <c r="I379" s="1030"/>
      <c r="J379" s="1030"/>
      <c r="K379" s="1030"/>
      <c r="L379" s="1030"/>
      <c r="M379" s="1030"/>
      <c r="N379" s="1030"/>
      <c r="O379" s="1030"/>
      <c r="P379" s="1030"/>
      <c r="Q379" s="1030"/>
      <c r="R379" s="1030"/>
      <c r="S379" s="1030"/>
      <c r="T379" s="1030"/>
      <c r="U379" s="1030"/>
      <c r="V379" s="1030"/>
      <c r="W379" s="1030"/>
      <c r="X379" s="1030"/>
      <c r="Y379" s="1030"/>
      <c r="Z379" s="1030"/>
    </row>
    <row r="380" spans="1:26" ht="12.75" customHeight="1">
      <c r="A380" s="1030"/>
      <c r="B380" s="1030"/>
      <c r="C380" s="1030"/>
      <c r="D380" s="1030"/>
      <c r="E380" s="1030"/>
      <c r="F380" s="1030"/>
      <c r="G380" s="1030"/>
      <c r="H380" s="1186"/>
      <c r="I380" s="1030"/>
      <c r="J380" s="1030"/>
      <c r="K380" s="1030"/>
      <c r="L380" s="1030"/>
      <c r="M380" s="1030"/>
      <c r="N380" s="1030"/>
      <c r="O380" s="1030"/>
      <c r="P380" s="1030"/>
      <c r="Q380" s="1030"/>
      <c r="R380" s="1030"/>
      <c r="S380" s="1030"/>
      <c r="T380" s="1030"/>
      <c r="U380" s="1030"/>
      <c r="V380" s="1030"/>
      <c r="W380" s="1030"/>
      <c r="X380" s="1030"/>
      <c r="Y380" s="1030"/>
      <c r="Z380" s="1030"/>
    </row>
    <row r="381" spans="1:26" ht="12.75" customHeight="1">
      <c r="A381" s="1030"/>
      <c r="B381" s="1030"/>
      <c r="C381" s="1030"/>
      <c r="D381" s="1030"/>
      <c r="E381" s="1030"/>
      <c r="F381" s="1030"/>
      <c r="G381" s="1030"/>
      <c r="H381" s="1186"/>
      <c r="I381" s="1030"/>
      <c r="J381" s="1030"/>
      <c r="K381" s="1030"/>
      <c r="L381" s="1030"/>
      <c r="M381" s="1030"/>
      <c r="N381" s="1030"/>
      <c r="O381" s="1030"/>
      <c r="P381" s="1030"/>
      <c r="Q381" s="1030"/>
      <c r="R381" s="1030"/>
      <c r="S381" s="1030"/>
      <c r="T381" s="1030"/>
      <c r="U381" s="1030"/>
      <c r="V381" s="1030"/>
      <c r="W381" s="1030"/>
      <c r="X381" s="1030"/>
      <c r="Y381" s="1030"/>
      <c r="Z381" s="1030"/>
    </row>
    <row r="382" spans="1:26" ht="12.75" customHeight="1">
      <c r="A382" s="1030"/>
      <c r="B382" s="1030"/>
      <c r="C382" s="1030"/>
      <c r="D382" s="1030"/>
      <c r="E382" s="1030"/>
      <c r="F382" s="1030"/>
      <c r="G382" s="1030"/>
      <c r="H382" s="1186"/>
      <c r="I382" s="1030"/>
      <c r="J382" s="1030"/>
      <c r="K382" s="1030"/>
      <c r="L382" s="1030"/>
      <c r="M382" s="1030"/>
      <c r="N382" s="1030"/>
      <c r="O382" s="1030"/>
      <c r="P382" s="1030"/>
      <c r="Q382" s="1030"/>
      <c r="R382" s="1030"/>
      <c r="S382" s="1030"/>
      <c r="T382" s="1030"/>
      <c r="U382" s="1030"/>
      <c r="V382" s="1030"/>
      <c r="W382" s="1030"/>
      <c r="X382" s="1030"/>
      <c r="Y382" s="1030"/>
      <c r="Z382" s="1030"/>
    </row>
    <row r="383" spans="1:26" ht="12.75" customHeight="1">
      <c r="A383" s="1030"/>
      <c r="B383" s="1030"/>
      <c r="C383" s="1030"/>
      <c r="D383" s="1030"/>
      <c r="E383" s="1030"/>
      <c r="F383" s="1030"/>
      <c r="G383" s="1030"/>
      <c r="H383" s="1186"/>
      <c r="I383" s="1030"/>
      <c r="J383" s="1030"/>
      <c r="K383" s="1030"/>
      <c r="L383" s="1030"/>
      <c r="M383" s="1030"/>
      <c r="N383" s="1030"/>
      <c r="O383" s="1030"/>
      <c r="P383" s="1030"/>
      <c r="Q383" s="1030"/>
      <c r="R383" s="1030"/>
      <c r="S383" s="1030"/>
      <c r="T383" s="1030"/>
      <c r="U383" s="1030"/>
      <c r="V383" s="1030"/>
      <c r="W383" s="1030"/>
      <c r="X383" s="1030"/>
      <c r="Y383" s="1030"/>
      <c r="Z383" s="1030"/>
    </row>
    <row r="384" spans="1:26" ht="12.75" customHeight="1">
      <c r="A384" s="1030"/>
      <c r="B384" s="1030"/>
      <c r="C384" s="1030"/>
      <c r="D384" s="1030"/>
      <c r="E384" s="1030"/>
      <c r="F384" s="1030"/>
      <c r="G384" s="1030"/>
      <c r="H384" s="1186"/>
      <c r="I384" s="1030"/>
      <c r="J384" s="1030"/>
      <c r="K384" s="1030"/>
      <c r="L384" s="1030"/>
      <c r="M384" s="1030"/>
      <c r="N384" s="1030"/>
      <c r="O384" s="1030"/>
      <c r="P384" s="1030"/>
      <c r="Q384" s="1030"/>
      <c r="R384" s="1030"/>
      <c r="S384" s="1030"/>
      <c r="T384" s="1030"/>
      <c r="U384" s="1030"/>
      <c r="V384" s="1030"/>
      <c r="W384" s="1030"/>
      <c r="X384" s="1030"/>
      <c r="Y384" s="1030"/>
      <c r="Z384" s="1030"/>
    </row>
    <row r="385" spans="1:26" ht="12.75" customHeight="1">
      <c r="A385" s="1030"/>
      <c r="B385" s="1030"/>
      <c r="C385" s="1030"/>
      <c r="D385" s="1030"/>
      <c r="E385" s="1030"/>
      <c r="F385" s="1030"/>
      <c r="G385" s="1030"/>
      <c r="H385" s="1186"/>
      <c r="I385" s="1030"/>
      <c r="J385" s="1030"/>
      <c r="K385" s="1030"/>
      <c r="L385" s="1030"/>
      <c r="M385" s="1030"/>
      <c r="N385" s="1030"/>
      <c r="O385" s="1030"/>
      <c r="P385" s="1030"/>
      <c r="Q385" s="1030"/>
      <c r="R385" s="1030"/>
      <c r="S385" s="1030"/>
      <c r="T385" s="1030"/>
      <c r="U385" s="1030"/>
      <c r="V385" s="1030"/>
      <c r="W385" s="1030"/>
      <c r="X385" s="1030"/>
      <c r="Y385" s="1030"/>
      <c r="Z385" s="1030"/>
    </row>
    <row r="386" spans="1:26" ht="12.75" customHeight="1">
      <c r="A386" s="1030"/>
      <c r="B386" s="1030"/>
      <c r="C386" s="1030"/>
      <c r="D386" s="1030"/>
      <c r="E386" s="1030"/>
      <c r="F386" s="1030"/>
      <c r="G386" s="1030"/>
      <c r="H386" s="1186"/>
      <c r="I386" s="1030"/>
      <c r="J386" s="1030"/>
      <c r="K386" s="1030"/>
      <c r="L386" s="1030"/>
      <c r="M386" s="1030"/>
      <c r="N386" s="1030"/>
      <c r="O386" s="1030"/>
      <c r="P386" s="1030"/>
      <c r="Q386" s="1030"/>
      <c r="R386" s="1030"/>
      <c r="S386" s="1030"/>
      <c r="T386" s="1030"/>
      <c r="U386" s="1030"/>
      <c r="V386" s="1030"/>
      <c r="W386" s="1030"/>
      <c r="X386" s="1030"/>
      <c r="Y386" s="1030"/>
      <c r="Z386" s="1030"/>
    </row>
    <row r="387" spans="1:26" ht="12.75" customHeight="1">
      <c r="A387" s="1030"/>
      <c r="B387" s="1030"/>
      <c r="C387" s="1030"/>
      <c r="D387" s="1030"/>
      <c r="E387" s="1030"/>
      <c r="F387" s="1030"/>
      <c r="G387" s="1030"/>
      <c r="H387" s="1186"/>
      <c r="I387" s="1030"/>
      <c r="J387" s="1030"/>
      <c r="K387" s="1030"/>
      <c r="L387" s="1030"/>
      <c r="M387" s="1030"/>
      <c r="N387" s="1030"/>
      <c r="O387" s="1030"/>
      <c r="P387" s="1030"/>
      <c r="Q387" s="1030"/>
      <c r="R387" s="1030"/>
      <c r="S387" s="1030"/>
      <c r="T387" s="1030"/>
      <c r="U387" s="1030"/>
      <c r="V387" s="1030"/>
      <c r="W387" s="1030"/>
      <c r="X387" s="1030"/>
      <c r="Y387" s="1030"/>
      <c r="Z387" s="1030"/>
    </row>
    <row r="388" spans="1:26" ht="12.75" customHeight="1">
      <c r="A388" s="1030"/>
      <c r="B388" s="1030"/>
      <c r="C388" s="1030"/>
      <c r="D388" s="1030"/>
      <c r="E388" s="1030"/>
      <c r="F388" s="1030"/>
      <c r="G388" s="1030"/>
      <c r="H388" s="1186"/>
      <c r="I388" s="1030"/>
      <c r="J388" s="1030"/>
      <c r="K388" s="1030"/>
      <c r="L388" s="1030"/>
      <c r="M388" s="1030"/>
      <c r="N388" s="1030"/>
      <c r="O388" s="1030"/>
      <c r="P388" s="1030"/>
      <c r="Q388" s="1030"/>
      <c r="R388" s="1030"/>
      <c r="S388" s="1030"/>
      <c r="T388" s="1030"/>
      <c r="U388" s="1030"/>
      <c r="V388" s="1030"/>
      <c r="W388" s="1030"/>
      <c r="X388" s="1030"/>
      <c r="Y388" s="1030"/>
      <c r="Z388" s="1030"/>
    </row>
    <row r="389" spans="1:26" ht="12.75" customHeight="1">
      <c r="A389" s="1030"/>
      <c r="B389" s="1030"/>
      <c r="C389" s="1030"/>
      <c r="D389" s="1030"/>
      <c r="E389" s="1030"/>
      <c r="F389" s="1030"/>
      <c r="G389" s="1030"/>
      <c r="H389" s="1186"/>
      <c r="I389" s="1030"/>
      <c r="J389" s="1030"/>
      <c r="K389" s="1030"/>
      <c r="L389" s="1030"/>
      <c r="M389" s="1030"/>
      <c r="N389" s="1030"/>
      <c r="O389" s="1030"/>
      <c r="P389" s="1030"/>
      <c r="Q389" s="1030"/>
      <c r="R389" s="1030"/>
      <c r="S389" s="1030"/>
      <c r="T389" s="1030"/>
      <c r="U389" s="1030"/>
      <c r="V389" s="1030"/>
      <c r="W389" s="1030"/>
      <c r="X389" s="1030"/>
      <c r="Y389" s="1030"/>
      <c r="Z389" s="1030"/>
    </row>
    <row r="390" spans="1:26" ht="12.75" customHeight="1">
      <c r="A390" s="1030"/>
      <c r="B390" s="1030"/>
      <c r="C390" s="1030"/>
      <c r="D390" s="1030"/>
      <c r="E390" s="1030"/>
      <c r="F390" s="1030"/>
      <c r="G390" s="1030"/>
      <c r="H390" s="1186"/>
      <c r="I390" s="1030"/>
      <c r="J390" s="1030"/>
      <c r="K390" s="1030"/>
      <c r="L390" s="1030"/>
      <c r="M390" s="1030"/>
      <c r="N390" s="1030"/>
      <c r="O390" s="1030"/>
      <c r="P390" s="1030"/>
      <c r="Q390" s="1030"/>
      <c r="R390" s="1030"/>
      <c r="S390" s="1030"/>
      <c r="T390" s="1030"/>
      <c r="U390" s="1030"/>
      <c r="V390" s="1030"/>
      <c r="W390" s="1030"/>
      <c r="X390" s="1030"/>
      <c r="Y390" s="1030"/>
      <c r="Z390" s="1030"/>
    </row>
    <row r="391" spans="1:26" ht="12.75" customHeight="1">
      <c r="A391" s="1030"/>
      <c r="B391" s="1030"/>
      <c r="C391" s="1030"/>
      <c r="D391" s="1030"/>
      <c r="E391" s="1030"/>
      <c r="F391" s="1030"/>
      <c r="G391" s="1030"/>
      <c r="H391" s="1186"/>
      <c r="I391" s="1030"/>
      <c r="J391" s="1030"/>
      <c r="K391" s="1030"/>
      <c r="L391" s="1030"/>
      <c r="M391" s="1030"/>
      <c r="N391" s="1030"/>
      <c r="O391" s="1030"/>
      <c r="P391" s="1030"/>
      <c r="Q391" s="1030"/>
      <c r="R391" s="1030"/>
      <c r="S391" s="1030"/>
      <c r="T391" s="1030"/>
      <c r="U391" s="1030"/>
      <c r="V391" s="1030"/>
      <c r="W391" s="1030"/>
      <c r="X391" s="1030"/>
      <c r="Y391" s="1030"/>
      <c r="Z391" s="1030"/>
    </row>
    <row r="392" spans="1:26" ht="12.75" customHeight="1">
      <c r="A392" s="1030"/>
      <c r="B392" s="1030"/>
      <c r="C392" s="1030"/>
      <c r="D392" s="1030"/>
      <c r="E392" s="1030"/>
      <c r="F392" s="1030"/>
      <c r="G392" s="1030"/>
      <c r="H392" s="1186"/>
      <c r="I392" s="1030"/>
      <c r="J392" s="1030"/>
      <c r="K392" s="1030"/>
      <c r="L392" s="1030"/>
      <c r="M392" s="1030"/>
      <c r="N392" s="1030"/>
      <c r="O392" s="1030"/>
      <c r="P392" s="1030"/>
      <c r="Q392" s="1030"/>
      <c r="R392" s="1030"/>
      <c r="S392" s="1030"/>
      <c r="T392" s="1030"/>
      <c r="U392" s="1030"/>
      <c r="V392" s="1030"/>
      <c r="W392" s="1030"/>
      <c r="X392" s="1030"/>
      <c r="Y392" s="1030"/>
      <c r="Z392" s="1030"/>
    </row>
    <row r="393" spans="1:26" ht="12.75" customHeight="1">
      <c r="A393" s="1030"/>
      <c r="B393" s="1030"/>
      <c r="C393" s="1030"/>
      <c r="D393" s="1030"/>
      <c r="E393" s="1030"/>
      <c r="F393" s="1030"/>
      <c r="G393" s="1030"/>
      <c r="H393" s="1186"/>
      <c r="I393" s="1030"/>
      <c r="J393" s="1030"/>
      <c r="K393" s="1030"/>
      <c r="L393" s="1030"/>
      <c r="M393" s="1030"/>
      <c r="N393" s="1030"/>
      <c r="O393" s="1030"/>
      <c r="P393" s="1030"/>
      <c r="Q393" s="1030"/>
      <c r="R393" s="1030"/>
      <c r="S393" s="1030"/>
      <c r="T393" s="1030"/>
      <c r="U393" s="1030"/>
      <c r="V393" s="1030"/>
      <c r="W393" s="1030"/>
      <c r="X393" s="1030"/>
      <c r="Y393" s="1030"/>
      <c r="Z393" s="1030"/>
    </row>
    <row r="394" spans="1:26" ht="12.75" customHeight="1">
      <c r="A394" s="1030"/>
      <c r="B394" s="1030"/>
      <c r="C394" s="1030"/>
      <c r="D394" s="1030"/>
      <c r="E394" s="1030"/>
      <c r="F394" s="1030"/>
      <c r="G394" s="1030"/>
      <c r="H394" s="1186"/>
      <c r="I394" s="1030"/>
      <c r="J394" s="1030"/>
      <c r="K394" s="1030"/>
      <c r="L394" s="1030"/>
      <c r="M394" s="1030"/>
      <c r="N394" s="1030"/>
      <c r="O394" s="1030"/>
      <c r="P394" s="1030"/>
      <c r="Q394" s="1030"/>
      <c r="R394" s="1030"/>
      <c r="S394" s="1030"/>
      <c r="T394" s="1030"/>
      <c r="U394" s="1030"/>
      <c r="V394" s="1030"/>
      <c r="W394" s="1030"/>
      <c r="X394" s="1030"/>
      <c r="Y394" s="1030"/>
      <c r="Z394" s="1030"/>
    </row>
    <row r="395" spans="1:26" ht="12.75" customHeight="1">
      <c r="A395" s="1030"/>
      <c r="B395" s="1030"/>
      <c r="C395" s="1030"/>
      <c r="D395" s="1030"/>
      <c r="E395" s="1030"/>
      <c r="F395" s="1030"/>
      <c r="G395" s="1030"/>
      <c r="H395" s="1186"/>
      <c r="I395" s="1030"/>
      <c r="J395" s="1030"/>
      <c r="K395" s="1030"/>
      <c r="L395" s="1030"/>
      <c r="M395" s="1030"/>
      <c r="N395" s="1030"/>
      <c r="O395" s="1030"/>
      <c r="P395" s="1030"/>
      <c r="Q395" s="1030"/>
      <c r="R395" s="1030"/>
      <c r="S395" s="1030"/>
      <c r="T395" s="1030"/>
      <c r="U395" s="1030"/>
      <c r="V395" s="1030"/>
      <c r="W395" s="1030"/>
      <c r="X395" s="1030"/>
      <c r="Y395" s="1030"/>
      <c r="Z395" s="1030"/>
    </row>
    <row r="396" spans="1:26" ht="12.75" customHeight="1">
      <c r="A396" s="1030"/>
      <c r="B396" s="1030"/>
      <c r="C396" s="1030"/>
      <c r="D396" s="1030"/>
      <c r="E396" s="1030"/>
      <c r="F396" s="1030"/>
      <c r="G396" s="1030"/>
      <c r="H396" s="1186"/>
      <c r="I396" s="1030"/>
      <c r="J396" s="1030"/>
      <c r="K396" s="1030"/>
      <c r="L396" s="1030"/>
      <c r="M396" s="1030"/>
      <c r="N396" s="1030"/>
      <c r="O396" s="1030"/>
      <c r="P396" s="1030"/>
      <c r="Q396" s="1030"/>
      <c r="R396" s="1030"/>
      <c r="S396" s="1030"/>
      <c r="T396" s="1030"/>
      <c r="U396" s="1030"/>
      <c r="V396" s="1030"/>
      <c r="W396" s="1030"/>
      <c r="X396" s="1030"/>
      <c r="Y396" s="1030"/>
      <c r="Z396" s="1030"/>
    </row>
    <row r="397" spans="1:26" ht="12.75" customHeight="1">
      <c r="A397" s="1030"/>
      <c r="B397" s="1030"/>
      <c r="C397" s="1030"/>
      <c r="D397" s="1030"/>
      <c r="E397" s="1030"/>
      <c r="F397" s="1030"/>
      <c r="G397" s="1030"/>
      <c r="H397" s="1186"/>
      <c r="I397" s="1030"/>
      <c r="J397" s="1030"/>
      <c r="K397" s="1030"/>
      <c r="L397" s="1030"/>
      <c r="M397" s="1030"/>
      <c r="N397" s="1030"/>
      <c r="O397" s="1030"/>
      <c r="P397" s="1030"/>
      <c r="Q397" s="1030"/>
      <c r="R397" s="1030"/>
      <c r="S397" s="1030"/>
      <c r="T397" s="1030"/>
      <c r="U397" s="1030"/>
      <c r="V397" s="1030"/>
      <c r="W397" s="1030"/>
      <c r="X397" s="1030"/>
      <c r="Y397" s="1030"/>
      <c r="Z397" s="1030"/>
    </row>
    <row r="398" spans="1:26" ht="12.75" customHeight="1">
      <c r="A398" s="1030"/>
      <c r="B398" s="1030"/>
      <c r="C398" s="1030"/>
      <c r="D398" s="1030"/>
      <c r="E398" s="1030"/>
      <c r="F398" s="1030"/>
      <c r="G398" s="1030"/>
      <c r="H398" s="1186"/>
      <c r="I398" s="1030"/>
      <c r="J398" s="1030"/>
      <c r="K398" s="1030"/>
      <c r="L398" s="1030"/>
      <c r="M398" s="1030"/>
      <c r="N398" s="1030"/>
      <c r="O398" s="1030"/>
      <c r="P398" s="1030"/>
      <c r="Q398" s="1030"/>
      <c r="R398" s="1030"/>
      <c r="S398" s="1030"/>
      <c r="T398" s="1030"/>
      <c r="U398" s="1030"/>
      <c r="V398" s="1030"/>
      <c r="W398" s="1030"/>
      <c r="X398" s="1030"/>
      <c r="Y398" s="1030"/>
      <c r="Z398" s="1030"/>
    </row>
    <row r="399" spans="1:26" ht="12.75" customHeight="1">
      <c r="A399" s="1030"/>
      <c r="B399" s="1030"/>
      <c r="C399" s="1030"/>
      <c r="D399" s="1030"/>
      <c r="E399" s="1030"/>
      <c r="F399" s="1030"/>
      <c r="G399" s="1030"/>
      <c r="H399" s="1186"/>
      <c r="I399" s="1030"/>
      <c r="J399" s="1030"/>
      <c r="K399" s="1030"/>
      <c r="L399" s="1030"/>
      <c r="M399" s="1030"/>
      <c r="N399" s="1030"/>
      <c r="O399" s="1030"/>
      <c r="P399" s="1030"/>
      <c r="Q399" s="1030"/>
      <c r="R399" s="1030"/>
      <c r="S399" s="1030"/>
      <c r="T399" s="1030"/>
      <c r="U399" s="1030"/>
      <c r="V399" s="1030"/>
      <c r="W399" s="1030"/>
      <c r="X399" s="1030"/>
      <c r="Y399" s="1030"/>
      <c r="Z399" s="1030"/>
    </row>
    <row r="400" spans="1:26" ht="12.75" customHeight="1">
      <c r="A400" s="1030"/>
      <c r="B400" s="1030"/>
      <c r="C400" s="1030"/>
      <c r="D400" s="1030"/>
      <c r="E400" s="1030"/>
      <c r="F400" s="1030"/>
      <c r="G400" s="1030"/>
      <c r="H400" s="1186"/>
      <c r="I400" s="1030"/>
      <c r="J400" s="1030"/>
      <c r="K400" s="1030"/>
      <c r="L400" s="1030"/>
      <c r="M400" s="1030"/>
      <c r="N400" s="1030"/>
      <c r="O400" s="1030"/>
      <c r="P400" s="1030"/>
      <c r="Q400" s="1030"/>
      <c r="R400" s="1030"/>
      <c r="S400" s="1030"/>
      <c r="T400" s="1030"/>
      <c r="U400" s="1030"/>
      <c r="V400" s="1030"/>
      <c r="W400" s="1030"/>
      <c r="X400" s="1030"/>
      <c r="Y400" s="1030"/>
      <c r="Z400" s="1030"/>
    </row>
    <row r="401" spans="1:26" ht="12.75" customHeight="1">
      <c r="A401" s="1030"/>
      <c r="B401" s="1030"/>
      <c r="C401" s="1030"/>
      <c r="D401" s="1030"/>
      <c r="E401" s="1030"/>
      <c r="F401" s="1030"/>
      <c r="G401" s="1030"/>
      <c r="H401" s="1186"/>
      <c r="I401" s="1030"/>
      <c r="J401" s="1030"/>
      <c r="K401" s="1030"/>
      <c r="L401" s="1030"/>
      <c r="M401" s="1030"/>
      <c r="N401" s="1030"/>
      <c r="O401" s="1030"/>
      <c r="P401" s="1030"/>
      <c r="Q401" s="1030"/>
      <c r="R401" s="1030"/>
      <c r="S401" s="1030"/>
      <c r="T401" s="1030"/>
      <c r="U401" s="1030"/>
      <c r="V401" s="1030"/>
      <c r="W401" s="1030"/>
      <c r="X401" s="1030"/>
      <c r="Y401" s="1030"/>
      <c r="Z401" s="1030"/>
    </row>
    <row r="402" spans="1:26" ht="12.75" customHeight="1">
      <c r="A402" s="1030"/>
      <c r="B402" s="1030"/>
      <c r="C402" s="1030"/>
      <c r="D402" s="1030"/>
      <c r="E402" s="1030"/>
      <c r="F402" s="1030"/>
      <c r="G402" s="1030"/>
      <c r="H402" s="1186"/>
      <c r="I402" s="1030"/>
      <c r="J402" s="1030"/>
      <c r="K402" s="1030"/>
      <c r="L402" s="1030"/>
      <c r="M402" s="1030"/>
      <c r="N402" s="1030"/>
      <c r="O402" s="1030"/>
      <c r="P402" s="1030"/>
      <c r="Q402" s="1030"/>
      <c r="R402" s="1030"/>
      <c r="S402" s="1030"/>
      <c r="T402" s="1030"/>
      <c r="U402" s="1030"/>
      <c r="V402" s="1030"/>
      <c r="W402" s="1030"/>
      <c r="X402" s="1030"/>
      <c r="Y402" s="1030"/>
      <c r="Z402" s="1030"/>
    </row>
    <row r="403" spans="1:26" ht="12.75" customHeight="1">
      <c r="A403" s="1030"/>
      <c r="B403" s="1030"/>
      <c r="C403" s="1030"/>
      <c r="D403" s="1030"/>
      <c r="E403" s="1030"/>
      <c r="F403" s="1030"/>
      <c r="G403" s="1030"/>
      <c r="H403" s="1186"/>
      <c r="I403" s="1030"/>
      <c r="J403" s="1030"/>
      <c r="K403" s="1030"/>
      <c r="L403" s="1030"/>
      <c r="M403" s="1030"/>
      <c r="N403" s="1030"/>
      <c r="O403" s="1030"/>
      <c r="P403" s="1030"/>
      <c r="Q403" s="1030"/>
      <c r="R403" s="1030"/>
      <c r="S403" s="1030"/>
      <c r="T403" s="1030"/>
      <c r="U403" s="1030"/>
      <c r="V403" s="1030"/>
      <c r="W403" s="1030"/>
      <c r="X403" s="1030"/>
      <c r="Y403" s="1030"/>
      <c r="Z403" s="1030"/>
    </row>
    <row r="404" spans="1:26" ht="12.75" customHeight="1">
      <c r="A404" s="1030"/>
      <c r="B404" s="1030"/>
      <c r="C404" s="1030"/>
      <c r="D404" s="1030"/>
      <c r="E404" s="1030"/>
      <c r="F404" s="1030"/>
      <c r="G404" s="1030"/>
      <c r="H404" s="1186"/>
      <c r="I404" s="1030"/>
      <c r="J404" s="1030"/>
      <c r="K404" s="1030"/>
      <c r="L404" s="1030"/>
      <c r="M404" s="1030"/>
      <c r="N404" s="1030"/>
      <c r="O404" s="1030"/>
      <c r="P404" s="1030"/>
      <c r="Q404" s="1030"/>
      <c r="R404" s="1030"/>
      <c r="S404" s="1030"/>
      <c r="T404" s="1030"/>
      <c r="U404" s="1030"/>
      <c r="V404" s="1030"/>
      <c r="W404" s="1030"/>
      <c r="X404" s="1030"/>
      <c r="Y404" s="1030"/>
      <c r="Z404" s="1030"/>
    </row>
    <row r="405" spans="1:26" ht="12.75" customHeight="1">
      <c r="A405" s="1030"/>
      <c r="B405" s="1030"/>
      <c r="C405" s="1030"/>
      <c r="D405" s="1030"/>
      <c r="E405" s="1030"/>
      <c r="F405" s="1030"/>
      <c r="G405" s="1030"/>
      <c r="H405" s="1186"/>
      <c r="I405" s="1030"/>
      <c r="J405" s="1030"/>
      <c r="K405" s="1030"/>
      <c r="L405" s="1030"/>
      <c r="M405" s="1030"/>
      <c r="N405" s="1030"/>
      <c r="O405" s="1030"/>
      <c r="P405" s="1030"/>
      <c r="Q405" s="1030"/>
      <c r="R405" s="1030"/>
      <c r="S405" s="1030"/>
      <c r="T405" s="1030"/>
      <c r="U405" s="1030"/>
      <c r="V405" s="1030"/>
      <c r="W405" s="1030"/>
      <c r="X405" s="1030"/>
      <c r="Y405" s="1030"/>
      <c r="Z405" s="1030"/>
    </row>
    <row r="406" spans="1:26" ht="12.75" customHeight="1">
      <c r="A406" s="1030"/>
      <c r="B406" s="1030"/>
      <c r="C406" s="1030"/>
      <c r="D406" s="1030"/>
      <c r="E406" s="1030"/>
      <c r="F406" s="1030"/>
      <c r="G406" s="1030"/>
      <c r="H406" s="1186"/>
      <c r="I406" s="1030"/>
      <c r="J406" s="1030"/>
      <c r="K406" s="1030"/>
      <c r="L406" s="1030"/>
      <c r="M406" s="1030"/>
      <c r="N406" s="1030"/>
      <c r="O406" s="1030"/>
      <c r="P406" s="1030"/>
      <c r="Q406" s="1030"/>
      <c r="R406" s="1030"/>
      <c r="S406" s="1030"/>
      <c r="T406" s="1030"/>
      <c r="U406" s="1030"/>
      <c r="V406" s="1030"/>
      <c r="W406" s="1030"/>
      <c r="X406" s="1030"/>
      <c r="Y406" s="1030"/>
      <c r="Z406" s="1030"/>
    </row>
    <row r="407" spans="1:26" ht="12.75" customHeight="1">
      <c r="A407" s="1030"/>
      <c r="B407" s="1030"/>
      <c r="C407" s="1030"/>
      <c r="D407" s="1030"/>
      <c r="E407" s="1030"/>
      <c r="F407" s="1030"/>
      <c r="G407" s="1030"/>
      <c r="H407" s="1186"/>
      <c r="I407" s="1030"/>
      <c r="J407" s="1030"/>
      <c r="K407" s="1030"/>
      <c r="L407" s="1030"/>
      <c r="M407" s="1030"/>
      <c r="N407" s="1030"/>
      <c r="O407" s="1030"/>
      <c r="P407" s="1030"/>
      <c r="Q407" s="1030"/>
      <c r="R407" s="1030"/>
      <c r="S407" s="1030"/>
      <c r="T407" s="1030"/>
      <c r="U407" s="1030"/>
      <c r="V407" s="1030"/>
      <c r="W407" s="1030"/>
      <c r="X407" s="1030"/>
      <c r="Y407" s="1030"/>
      <c r="Z407" s="1030"/>
    </row>
    <row r="408" spans="1:26" ht="12.75" customHeight="1">
      <c r="A408" s="1030"/>
      <c r="B408" s="1030"/>
      <c r="C408" s="1030"/>
      <c r="D408" s="1030"/>
      <c r="E408" s="1030"/>
      <c r="F408" s="1030"/>
      <c r="G408" s="1030"/>
      <c r="H408" s="1186"/>
      <c r="I408" s="1030"/>
      <c r="J408" s="1030"/>
      <c r="K408" s="1030"/>
      <c r="L408" s="1030"/>
      <c r="M408" s="1030"/>
      <c r="N408" s="1030"/>
      <c r="O408" s="1030"/>
      <c r="P408" s="1030"/>
      <c r="Q408" s="1030"/>
      <c r="R408" s="1030"/>
      <c r="S408" s="1030"/>
      <c r="T408" s="1030"/>
      <c r="U408" s="1030"/>
      <c r="V408" s="1030"/>
      <c r="W408" s="1030"/>
      <c r="X408" s="1030"/>
      <c r="Y408" s="1030"/>
      <c r="Z408" s="1030"/>
    </row>
    <row r="409" spans="1:26" ht="12.75" customHeight="1">
      <c r="A409" s="1030"/>
      <c r="B409" s="1030"/>
      <c r="C409" s="1030"/>
      <c r="D409" s="1030"/>
      <c r="E409" s="1030"/>
      <c r="F409" s="1030"/>
      <c r="G409" s="1030"/>
      <c r="H409" s="1186"/>
      <c r="I409" s="1030"/>
      <c r="J409" s="1030"/>
      <c r="K409" s="1030"/>
      <c r="L409" s="1030"/>
      <c r="M409" s="1030"/>
      <c r="N409" s="1030"/>
      <c r="O409" s="1030"/>
      <c r="P409" s="1030"/>
      <c r="Q409" s="1030"/>
      <c r="R409" s="1030"/>
      <c r="S409" s="1030"/>
      <c r="T409" s="1030"/>
      <c r="U409" s="1030"/>
      <c r="V409" s="1030"/>
      <c r="W409" s="1030"/>
      <c r="X409" s="1030"/>
      <c r="Y409" s="1030"/>
      <c r="Z409" s="1030"/>
    </row>
    <row r="410" spans="1:26" ht="12.75" customHeight="1">
      <c r="A410" s="1030"/>
      <c r="B410" s="1030"/>
      <c r="C410" s="1030"/>
      <c r="D410" s="1030"/>
      <c r="E410" s="1030"/>
      <c r="F410" s="1030"/>
      <c r="G410" s="1030"/>
      <c r="H410" s="1186"/>
      <c r="I410" s="1030"/>
      <c r="J410" s="1030"/>
      <c r="K410" s="1030"/>
      <c r="L410" s="1030"/>
      <c r="M410" s="1030"/>
      <c r="N410" s="1030"/>
      <c r="O410" s="1030"/>
      <c r="P410" s="1030"/>
      <c r="Q410" s="1030"/>
      <c r="R410" s="1030"/>
      <c r="S410" s="1030"/>
      <c r="T410" s="1030"/>
      <c r="U410" s="1030"/>
      <c r="V410" s="1030"/>
      <c r="W410" s="1030"/>
      <c r="X410" s="1030"/>
      <c r="Y410" s="1030"/>
      <c r="Z410" s="1030"/>
    </row>
    <row r="411" spans="1:26" ht="12.75" customHeight="1">
      <c r="A411" s="1030"/>
      <c r="B411" s="1030"/>
      <c r="C411" s="1030"/>
      <c r="D411" s="1030"/>
      <c r="E411" s="1030"/>
      <c r="F411" s="1030"/>
      <c r="G411" s="1030"/>
      <c r="H411" s="1186"/>
      <c r="I411" s="1030"/>
      <c r="J411" s="1030"/>
      <c r="K411" s="1030"/>
      <c r="L411" s="1030"/>
      <c r="M411" s="1030"/>
      <c r="N411" s="1030"/>
      <c r="O411" s="1030"/>
      <c r="P411" s="1030"/>
      <c r="Q411" s="1030"/>
      <c r="R411" s="1030"/>
      <c r="S411" s="1030"/>
      <c r="T411" s="1030"/>
      <c r="U411" s="1030"/>
      <c r="V411" s="1030"/>
      <c r="W411" s="1030"/>
      <c r="X411" s="1030"/>
      <c r="Y411" s="1030"/>
      <c r="Z411" s="1030"/>
    </row>
    <row r="412" spans="1:26" ht="12.75" customHeight="1">
      <c r="A412" s="1030"/>
      <c r="B412" s="1030"/>
      <c r="C412" s="1030"/>
      <c r="D412" s="1030"/>
      <c r="E412" s="1030"/>
      <c r="F412" s="1030"/>
      <c r="G412" s="1030"/>
      <c r="H412" s="1186"/>
      <c r="I412" s="1030"/>
      <c r="J412" s="1030"/>
      <c r="K412" s="1030"/>
      <c r="L412" s="1030"/>
      <c r="M412" s="1030"/>
      <c r="N412" s="1030"/>
      <c r="O412" s="1030"/>
      <c r="P412" s="1030"/>
      <c r="Q412" s="1030"/>
      <c r="R412" s="1030"/>
      <c r="S412" s="1030"/>
      <c r="T412" s="1030"/>
      <c r="U412" s="1030"/>
      <c r="V412" s="1030"/>
      <c r="W412" s="1030"/>
      <c r="X412" s="1030"/>
      <c r="Y412" s="1030"/>
      <c r="Z412" s="1030"/>
    </row>
    <row r="413" spans="1:26" ht="12.75" customHeight="1">
      <c r="A413" s="1030"/>
      <c r="B413" s="1030"/>
      <c r="C413" s="1030"/>
      <c r="D413" s="1030"/>
      <c r="E413" s="1030"/>
      <c r="F413" s="1030"/>
      <c r="G413" s="1030"/>
      <c r="H413" s="1186"/>
      <c r="I413" s="1030"/>
      <c r="J413" s="1030"/>
      <c r="K413" s="1030"/>
      <c r="L413" s="1030"/>
      <c r="M413" s="1030"/>
      <c r="N413" s="1030"/>
      <c r="O413" s="1030"/>
      <c r="P413" s="1030"/>
      <c r="Q413" s="1030"/>
      <c r="R413" s="1030"/>
      <c r="S413" s="1030"/>
      <c r="T413" s="1030"/>
      <c r="U413" s="1030"/>
      <c r="V413" s="1030"/>
      <c r="W413" s="1030"/>
      <c r="X413" s="1030"/>
      <c r="Y413" s="1030"/>
      <c r="Z413" s="1030"/>
    </row>
    <row r="414" spans="1:26" ht="12.75" customHeight="1">
      <c r="A414" s="1030"/>
      <c r="B414" s="1030"/>
      <c r="C414" s="1030"/>
      <c r="D414" s="1030"/>
      <c r="E414" s="1030"/>
      <c r="F414" s="1030"/>
      <c r="G414" s="1030"/>
      <c r="H414" s="1186"/>
      <c r="I414" s="1030"/>
      <c r="J414" s="1030"/>
      <c r="K414" s="1030"/>
      <c r="L414" s="1030"/>
      <c r="M414" s="1030"/>
      <c r="N414" s="1030"/>
      <c r="O414" s="1030"/>
      <c r="P414" s="1030"/>
      <c r="Q414" s="1030"/>
      <c r="R414" s="1030"/>
      <c r="S414" s="1030"/>
      <c r="T414" s="1030"/>
      <c r="U414" s="1030"/>
      <c r="V414" s="1030"/>
      <c r="W414" s="1030"/>
      <c r="X414" s="1030"/>
      <c r="Y414" s="1030"/>
      <c r="Z414" s="1030"/>
    </row>
    <row r="415" spans="1:26" ht="12.75" customHeight="1">
      <c r="A415" s="1030"/>
      <c r="B415" s="1030"/>
      <c r="C415" s="1030"/>
      <c r="D415" s="1030"/>
      <c r="E415" s="1030"/>
      <c r="F415" s="1030"/>
      <c r="G415" s="1030"/>
      <c r="H415" s="1186"/>
      <c r="I415" s="1030"/>
      <c r="J415" s="1030"/>
      <c r="K415" s="1030"/>
      <c r="L415" s="1030"/>
      <c r="M415" s="1030"/>
      <c r="N415" s="1030"/>
      <c r="O415" s="1030"/>
      <c r="P415" s="1030"/>
      <c r="Q415" s="1030"/>
      <c r="R415" s="1030"/>
      <c r="S415" s="1030"/>
      <c r="T415" s="1030"/>
      <c r="U415" s="1030"/>
      <c r="V415" s="1030"/>
      <c r="W415" s="1030"/>
      <c r="X415" s="1030"/>
      <c r="Y415" s="1030"/>
      <c r="Z415" s="1030"/>
    </row>
    <row r="416" spans="1:26" ht="12.75" customHeight="1">
      <c r="A416" s="1030"/>
      <c r="B416" s="1030"/>
      <c r="C416" s="1030"/>
      <c r="D416" s="1030"/>
      <c r="E416" s="1030"/>
      <c r="F416" s="1030"/>
      <c r="G416" s="1030"/>
      <c r="H416" s="1186"/>
      <c r="I416" s="1030"/>
      <c r="J416" s="1030"/>
      <c r="K416" s="1030"/>
      <c r="L416" s="1030"/>
      <c r="M416" s="1030"/>
      <c r="N416" s="1030"/>
      <c r="O416" s="1030"/>
      <c r="P416" s="1030"/>
      <c r="Q416" s="1030"/>
      <c r="R416" s="1030"/>
      <c r="S416" s="1030"/>
      <c r="T416" s="1030"/>
      <c r="U416" s="1030"/>
      <c r="V416" s="1030"/>
      <c r="W416" s="1030"/>
      <c r="X416" s="1030"/>
      <c r="Y416" s="1030"/>
      <c r="Z416" s="1030"/>
    </row>
    <row r="417" spans="1:26" ht="12.75" customHeight="1">
      <c r="A417" s="1030"/>
      <c r="B417" s="1030"/>
      <c r="C417" s="1030"/>
      <c r="D417" s="1030"/>
      <c r="E417" s="1030"/>
      <c r="F417" s="1030"/>
      <c r="G417" s="1030"/>
      <c r="H417" s="1186"/>
      <c r="I417" s="1030"/>
      <c r="J417" s="1030"/>
      <c r="K417" s="1030"/>
      <c r="L417" s="1030"/>
      <c r="M417" s="1030"/>
      <c r="N417" s="1030"/>
      <c r="O417" s="1030"/>
      <c r="P417" s="1030"/>
      <c r="Q417" s="1030"/>
      <c r="R417" s="1030"/>
      <c r="S417" s="1030"/>
      <c r="T417" s="1030"/>
      <c r="U417" s="1030"/>
      <c r="V417" s="1030"/>
      <c r="W417" s="1030"/>
      <c r="X417" s="1030"/>
      <c r="Y417" s="1030"/>
      <c r="Z417" s="1030"/>
    </row>
    <row r="418" spans="1:26" ht="12.75" customHeight="1">
      <c r="A418" s="1030"/>
      <c r="B418" s="1030"/>
      <c r="C418" s="1030"/>
      <c r="D418" s="1030"/>
      <c r="E418" s="1030"/>
      <c r="F418" s="1030"/>
      <c r="G418" s="1030"/>
      <c r="H418" s="1186"/>
      <c r="I418" s="1030"/>
      <c r="J418" s="1030"/>
      <c r="K418" s="1030"/>
      <c r="L418" s="1030"/>
      <c r="M418" s="1030"/>
      <c r="N418" s="1030"/>
      <c r="O418" s="1030"/>
      <c r="P418" s="1030"/>
      <c r="Q418" s="1030"/>
      <c r="R418" s="1030"/>
      <c r="S418" s="1030"/>
      <c r="T418" s="1030"/>
      <c r="U418" s="1030"/>
      <c r="V418" s="1030"/>
      <c r="W418" s="1030"/>
      <c r="X418" s="1030"/>
      <c r="Y418" s="1030"/>
      <c r="Z418" s="1030"/>
    </row>
    <row r="419" spans="1:26" ht="12.75" customHeight="1">
      <c r="A419" s="1030"/>
      <c r="B419" s="1030"/>
      <c r="C419" s="1030"/>
      <c r="D419" s="1030"/>
      <c r="E419" s="1030"/>
      <c r="F419" s="1030"/>
      <c r="G419" s="1030"/>
      <c r="H419" s="1186"/>
      <c r="I419" s="1030"/>
      <c r="J419" s="1030"/>
      <c r="K419" s="1030"/>
      <c r="L419" s="1030"/>
      <c r="M419" s="1030"/>
      <c r="N419" s="1030"/>
      <c r="O419" s="1030"/>
      <c r="P419" s="1030"/>
      <c r="Q419" s="1030"/>
      <c r="R419" s="1030"/>
      <c r="S419" s="1030"/>
      <c r="T419" s="1030"/>
      <c r="U419" s="1030"/>
      <c r="V419" s="1030"/>
      <c r="W419" s="1030"/>
      <c r="X419" s="1030"/>
      <c r="Y419" s="1030"/>
      <c r="Z419" s="1030"/>
    </row>
    <row r="420" spans="1:26" ht="12.75" customHeight="1">
      <c r="A420" s="1030"/>
      <c r="B420" s="1030"/>
      <c r="C420" s="1030"/>
      <c r="D420" s="1030"/>
      <c r="E420" s="1030"/>
      <c r="F420" s="1030"/>
      <c r="G420" s="1030"/>
      <c r="H420" s="1186"/>
      <c r="I420" s="1030"/>
      <c r="J420" s="1030"/>
      <c r="K420" s="1030"/>
      <c r="L420" s="1030"/>
      <c r="M420" s="1030"/>
      <c r="N420" s="1030"/>
      <c r="O420" s="1030"/>
      <c r="P420" s="1030"/>
      <c r="Q420" s="1030"/>
      <c r="R420" s="1030"/>
      <c r="S420" s="1030"/>
      <c r="T420" s="1030"/>
      <c r="U420" s="1030"/>
      <c r="V420" s="1030"/>
      <c r="W420" s="1030"/>
      <c r="X420" s="1030"/>
      <c r="Y420" s="1030"/>
      <c r="Z420" s="1030"/>
    </row>
    <row r="421" spans="1:26" ht="12.75" customHeight="1">
      <c r="A421" s="1030"/>
      <c r="B421" s="1030"/>
      <c r="C421" s="1030"/>
      <c r="D421" s="1030"/>
      <c r="E421" s="1030"/>
      <c r="F421" s="1030"/>
      <c r="G421" s="1030"/>
      <c r="H421" s="1186"/>
      <c r="I421" s="1030"/>
      <c r="J421" s="1030"/>
      <c r="K421" s="1030"/>
      <c r="L421" s="1030"/>
      <c r="M421" s="1030"/>
      <c r="N421" s="1030"/>
      <c r="O421" s="1030"/>
      <c r="P421" s="1030"/>
      <c r="Q421" s="1030"/>
      <c r="R421" s="1030"/>
      <c r="S421" s="1030"/>
      <c r="T421" s="1030"/>
      <c r="U421" s="1030"/>
      <c r="V421" s="1030"/>
      <c r="W421" s="1030"/>
      <c r="X421" s="1030"/>
      <c r="Y421" s="1030"/>
      <c r="Z421" s="1030"/>
    </row>
    <row r="422" spans="1:26" ht="12.75" customHeight="1">
      <c r="A422" s="1030"/>
      <c r="B422" s="1030"/>
      <c r="C422" s="1030"/>
      <c r="D422" s="1030"/>
      <c r="E422" s="1030"/>
      <c r="F422" s="1030"/>
      <c r="G422" s="1030"/>
      <c r="H422" s="1186"/>
      <c r="I422" s="1030"/>
      <c r="J422" s="1030"/>
      <c r="K422" s="1030"/>
      <c r="L422" s="1030"/>
      <c r="M422" s="1030"/>
      <c r="N422" s="1030"/>
      <c r="O422" s="1030"/>
      <c r="P422" s="1030"/>
      <c r="Q422" s="1030"/>
      <c r="R422" s="1030"/>
      <c r="S422" s="1030"/>
      <c r="T422" s="1030"/>
      <c r="U422" s="1030"/>
      <c r="V422" s="1030"/>
      <c r="W422" s="1030"/>
      <c r="X422" s="1030"/>
      <c r="Y422" s="1030"/>
      <c r="Z422" s="1030"/>
    </row>
    <row r="423" spans="1:26" ht="12.75" customHeight="1">
      <c r="A423" s="1030"/>
      <c r="B423" s="1030"/>
      <c r="C423" s="1030"/>
      <c r="D423" s="1030"/>
      <c r="E423" s="1030"/>
      <c r="F423" s="1030"/>
      <c r="G423" s="1030"/>
      <c r="H423" s="1186"/>
      <c r="I423" s="1030"/>
      <c r="J423" s="1030"/>
      <c r="K423" s="1030"/>
      <c r="L423" s="1030"/>
      <c r="M423" s="1030"/>
      <c r="N423" s="1030"/>
      <c r="O423" s="1030"/>
      <c r="P423" s="1030"/>
      <c r="Q423" s="1030"/>
      <c r="R423" s="1030"/>
      <c r="S423" s="1030"/>
      <c r="T423" s="1030"/>
      <c r="U423" s="1030"/>
      <c r="V423" s="1030"/>
      <c r="W423" s="1030"/>
      <c r="X423" s="1030"/>
      <c r="Y423" s="1030"/>
      <c r="Z423" s="1030"/>
    </row>
    <row r="424" spans="1:26" ht="12.75" customHeight="1">
      <c r="A424" s="1030"/>
      <c r="B424" s="1030"/>
      <c r="C424" s="1030"/>
      <c r="D424" s="1030"/>
      <c r="E424" s="1030"/>
      <c r="F424" s="1030"/>
      <c r="G424" s="1030"/>
      <c r="H424" s="1186"/>
      <c r="I424" s="1030"/>
      <c r="J424" s="1030"/>
      <c r="K424" s="1030"/>
      <c r="L424" s="1030"/>
      <c r="M424" s="1030"/>
      <c r="N424" s="1030"/>
      <c r="O424" s="1030"/>
      <c r="P424" s="1030"/>
      <c r="Q424" s="1030"/>
      <c r="R424" s="1030"/>
      <c r="S424" s="1030"/>
      <c r="T424" s="1030"/>
      <c r="U424" s="1030"/>
      <c r="V424" s="1030"/>
      <c r="W424" s="1030"/>
      <c r="X424" s="1030"/>
      <c r="Y424" s="1030"/>
      <c r="Z424" s="1030"/>
    </row>
    <row r="425" spans="1:26" ht="12.75" customHeight="1">
      <c r="A425" s="1030"/>
      <c r="B425" s="1030"/>
      <c r="C425" s="1030"/>
      <c r="D425" s="1030"/>
      <c r="E425" s="1030"/>
      <c r="F425" s="1030"/>
      <c r="G425" s="1030"/>
      <c r="H425" s="1186"/>
      <c r="I425" s="1030"/>
      <c r="J425" s="1030"/>
      <c r="K425" s="1030"/>
      <c r="L425" s="1030"/>
      <c r="M425" s="1030"/>
      <c r="N425" s="1030"/>
      <c r="O425" s="1030"/>
      <c r="P425" s="1030"/>
      <c r="Q425" s="1030"/>
      <c r="R425" s="1030"/>
      <c r="S425" s="1030"/>
      <c r="T425" s="1030"/>
      <c r="U425" s="1030"/>
      <c r="V425" s="1030"/>
      <c r="W425" s="1030"/>
      <c r="X425" s="1030"/>
      <c r="Y425" s="1030"/>
      <c r="Z425" s="1030"/>
    </row>
    <row r="426" spans="1:26" ht="12.75" customHeight="1">
      <c r="A426" s="1030"/>
      <c r="B426" s="1030"/>
      <c r="C426" s="1030"/>
      <c r="D426" s="1030"/>
      <c r="E426" s="1030"/>
      <c r="F426" s="1030"/>
      <c r="G426" s="1030"/>
      <c r="H426" s="1186"/>
      <c r="I426" s="1030"/>
      <c r="J426" s="1030"/>
      <c r="K426" s="1030"/>
      <c r="L426" s="1030"/>
      <c r="M426" s="1030"/>
      <c r="N426" s="1030"/>
      <c r="O426" s="1030"/>
      <c r="P426" s="1030"/>
      <c r="Q426" s="1030"/>
      <c r="R426" s="1030"/>
      <c r="S426" s="1030"/>
      <c r="T426" s="1030"/>
      <c r="U426" s="1030"/>
      <c r="V426" s="1030"/>
      <c r="W426" s="1030"/>
      <c r="X426" s="1030"/>
      <c r="Y426" s="1030"/>
      <c r="Z426" s="1030"/>
    </row>
    <row r="427" spans="1:26" ht="12.75" customHeight="1">
      <c r="A427" s="1030"/>
      <c r="B427" s="1030"/>
      <c r="C427" s="1030"/>
      <c r="D427" s="1030"/>
      <c r="E427" s="1030"/>
      <c r="F427" s="1030"/>
      <c r="G427" s="1030"/>
      <c r="H427" s="1186"/>
      <c r="I427" s="1030"/>
      <c r="J427" s="1030"/>
      <c r="K427" s="1030"/>
      <c r="L427" s="1030"/>
      <c r="M427" s="1030"/>
      <c r="N427" s="1030"/>
      <c r="O427" s="1030"/>
      <c r="P427" s="1030"/>
      <c r="Q427" s="1030"/>
      <c r="R427" s="1030"/>
      <c r="S427" s="1030"/>
      <c r="T427" s="1030"/>
      <c r="U427" s="1030"/>
      <c r="V427" s="1030"/>
      <c r="W427" s="1030"/>
      <c r="X427" s="1030"/>
      <c r="Y427" s="1030"/>
      <c r="Z427" s="1030"/>
    </row>
    <row r="428" spans="1:26" ht="12.75" customHeight="1">
      <c r="A428" s="1030"/>
      <c r="B428" s="1030"/>
      <c r="C428" s="1030"/>
      <c r="D428" s="1030"/>
      <c r="E428" s="1030"/>
      <c r="F428" s="1030"/>
      <c r="G428" s="1030"/>
      <c r="H428" s="1186"/>
      <c r="I428" s="1030"/>
      <c r="J428" s="1030"/>
      <c r="K428" s="1030"/>
      <c r="L428" s="1030"/>
      <c r="M428" s="1030"/>
      <c r="N428" s="1030"/>
      <c r="O428" s="1030"/>
      <c r="P428" s="1030"/>
      <c r="Q428" s="1030"/>
      <c r="R428" s="1030"/>
      <c r="S428" s="1030"/>
      <c r="T428" s="1030"/>
      <c r="U428" s="1030"/>
      <c r="V428" s="1030"/>
      <c r="W428" s="1030"/>
      <c r="X428" s="1030"/>
      <c r="Y428" s="1030"/>
      <c r="Z428" s="1030"/>
    </row>
    <row r="429" spans="1:26" ht="12.75" customHeight="1">
      <c r="A429" s="1030"/>
      <c r="B429" s="1030"/>
      <c r="C429" s="1030"/>
      <c r="D429" s="1030"/>
      <c r="E429" s="1030"/>
      <c r="F429" s="1030"/>
      <c r="G429" s="1030"/>
      <c r="H429" s="1186"/>
      <c r="I429" s="1030"/>
      <c r="J429" s="1030"/>
      <c r="K429" s="1030"/>
      <c r="L429" s="1030"/>
      <c r="M429" s="1030"/>
      <c r="N429" s="1030"/>
      <c r="O429" s="1030"/>
      <c r="P429" s="1030"/>
      <c r="Q429" s="1030"/>
      <c r="R429" s="1030"/>
      <c r="S429" s="1030"/>
      <c r="T429" s="1030"/>
      <c r="U429" s="1030"/>
      <c r="V429" s="1030"/>
      <c r="W429" s="1030"/>
      <c r="X429" s="1030"/>
      <c r="Y429" s="1030"/>
      <c r="Z429" s="1030"/>
    </row>
    <row r="430" spans="1:26" ht="12.75" customHeight="1">
      <c r="A430" s="1030"/>
      <c r="B430" s="1030"/>
      <c r="C430" s="1030"/>
      <c r="D430" s="1030"/>
      <c r="E430" s="1030"/>
      <c r="F430" s="1030"/>
      <c r="G430" s="1030"/>
      <c r="H430" s="1186"/>
      <c r="I430" s="1030"/>
      <c r="J430" s="1030"/>
      <c r="K430" s="1030"/>
      <c r="L430" s="1030"/>
      <c r="M430" s="1030"/>
      <c r="N430" s="1030"/>
      <c r="O430" s="1030"/>
      <c r="P430" s="1030"/>
      <c r="Q430" s="1030"/>
      <c r="R430" s="1030"/>
      <c r="S430" s="1030"/>
      <c r="T430" s="1030"/>
      <c r="U430" s="1030"/>
      <c r="V430" s="1030"/>
      <c r="W430" s="1030"/>
      <c r="X430" s="1030"/>
      <c r="Y430" s="1030"/>
      <c r="Z430" s="1030"/>
    </row>
    <row r="431" spans="1:26" ht="12.75" customHeight="1">
      <c r="A431" s="1030"/>
      <c r="B431" s="1030"/>
      <c r="C431" s="1030"/>
      <c r="D431" s="1030"/>
      <c r="E431" s="1030"/>
      <c r="F431" s="1030"/>
      <c r="G431" s="1030"/>
      <c r="H431" s="1186"/>
      <c r="I431" s="1030"/>
      <c r="J431" s="1030"/>
      <c r="K431" s="1030"/>
      <c r="L431" s="1030"/>
      <c r="M431" s="1030"/>
      <c r="N431" s="1030"/>
      <c r="O431" s="1030"/>
      <c r="P431" s="1030"/>
      <c r="Q431" s="1030"/>
      <c r="R431" s="1030"/>
      <c r="S431" s="1030"/>
      <c r="T431" s="1030"/>
      <c r="U431" s="1030"/>
      <c r="V431" s="1030"/>
      <c r="W431" s="1030"/>
      <c r="X431" s="1030"/>
      <c r="Y431" s="1030"/>
      <c r="Z431" s="1030"/>
    </row>
    <row r="432" spans="1:26" ht="12.75" customHeight="1">
      <c r="A432" s="1030"/>
      <c r="B432" s="1030"/>
      <c r="C432" s="1030"/>
      <c r="D432" s="1030"/>
      <c r="E432" s="1030"/>
      <c r="F432" s="1030"/>
      <c r="G432" s="1030"/>
      <c r="H432" s="1186"/>
      <c r="I432" s="1030"/>
      <c r="J432" s="1030"/>
      <c r="K432" s="1030"/>
      <c r="L432" s="1030"/>
      <c r="M432" s="1030"/>
      <c r="N432" s="1030"/>
      <c r="O432" s="1030"/>
      <c r="P432" s="1030"/>
      <c r="Q432" s="1030"/>
      <c r="R432" s="1030"/>
      <c r="S432" s="1030"/>
      <c r="T432" s="1030"/>
      <c r="U432" s="1030"/>
      <c r="V432" s="1030"/>
      <c r="W432" s="1030"/>
      <c r="X432" s="1030"/>
      <c r="Y432" s="1030"/>
      <c r="Z432" s="1030"/>
    </row>
    <row r="433" spans="1:26" ht="12.75" customHeight="1">
      <c r="A433" s="1030"/>
      <c r="B433" s="1030"/>
      <c r="C433" s="1030"/>
      <c r="D433" s="1030"/>
      <c r="E433" s="1030"/>
      <c r="F433" s="1030"/>
      <c r="G433" s="1030"/>
      <c r="H433" s="1186"/>
      <c r="I433" s="1030"/>
      <c r="J433" s="1030"/>
      <c r="K433" s="1030"/>
      <c r="L433" s="1030"/>
      <c r="M433" s="1030"/>
      <c r="N433" s="1030"/>
      <c r="O433" s="1030"/>
      <c r="P433" s="1030"/>
      <c r="Q433" s="1030"/>
      <c r="R433" s="1030"/>
      <c r="S433" s="1030"/>
      <c r="T433" s="1030"/>
      <c r="U433" s="1030"/>
      <c r="V433" s="1030"/>
      <c r="W433" s="1030"/>
      <c r="X433" s="1030"/>
      <c r="Y433" s="1030"/>
      <c r="Z433" s="1030"/>
    </row>
    <row r="434" spans="1:26" ht="12.75" customHeight="1">
      <c r="A434" s="1030"/>
      <c r="B434" s="1030"/>
      <c r="C434" s="1030"/>
      <c r="D434" s="1030"/>
      <c r="E434" s="1030"/>
      <c r="F434" s="1030"/>
      <c r="G434" s="1030"/>
      <c r="H434" s="1186"/>
      <c r="I434" s="1030"/>
      <c r="J434" s="1030"/>
      <c r="K434" s="1030"/>
      <c r="L434" s="1030"/>
      <c r="M434" s="1030"/>
      <c r="N434" s="1030"/>
      <c r="O434" s="1030"/>
      <c r="P434" s="1030"/>
      <c r="Q434" s="1030"/>
      <c r="R434" s="1030"/>
      <c r="S434" s="1030"/>
      <c r="T434" s="1030"/>
      <c r="U434" s="1030"/>
      <c r="V434" s="1030"/>
      <c r="W434" s="1030"/>
      <c r="X434" s="1030"/>
      <c r="Y434" s="1030"/>
      <c r="Z434" s="1030"/>
    </row>
    <row r="435" spans="1:26" ht="12.75" customHeight="1">
      <c r="A435" s="1030"/>
      <c r="B435" s="1030"/>
      <c r="C435" s="1030"/>
      <c r="D435" s="1030"/>
      <c r="E435" s="1030"/>
      <c r="F435" s="1030"/>
      <c r="G435" s="1030"/>
      <c r="H435" s="1186"/>
      <c r="I435" s="1030"/>
      <c r="J435" s="1030"/>
      <c r="K435" s="1030"/>
      <c r="L435" s="1030"/>
      <c r="M435" s="1030"/>
      <c r="N435" s="1030"/>
      <c r="O435" s="1030"/>
      <c r="P435" s="1030"/>
      <c r="Q435" s="1030"/>
      <c r="R435" s="1030"/>
      <c r="S435" s="1030"/>
      <c r="T435" s="1030"/>
      <c r="U435" s="1030"/>
      <c r="V435" s="1030"/>
      <c r="W435" s="1030"/>
      <c r="X435" s="1030"/>
      <c r="Y435" s="1030"/>
      <c r="Z435" s="1030"/>
    </row>
    <row r="436" spans="1:26" ht="12.75" customHeight="1">
      <c r="A436" s="1030"/>
      <c r="B436" s="1030"/>
      <c r="C436" s="1030"/>
      <c r="D436" s="1030"/>
      <c r="E436" s="1030"/>
      <c r="F436" s="1030"/>
      <c r="G436" s="1030"/>
      <c r="H436" s="1186"/>
      <c r="I436" s="1030"/>
      <c r="J436" s="1030"/>
      <c r="K436" s="1030"/>
      <c r="L436" s="1030"/>
      <c r="M436" s="1030"/>
      <c r="N436" s="1030"/>
      <c r="O436" s="1030"/>
      <c r="P436" s="1030"/>
      <c r="Q436" s="1030"/>
      <c r="R436" s="1030"/>
      <c r="S436" s="1030"/>
      <c r="T436" s="1030"/>
      <c r="U436" s="1030"/>
      <c r="V436" s="1030"/>
      <c r="W436" s="1030"/>
      <c r="X436" s="1030"/>
      <c r="Y436" s="1030"/>
      <c r="Z436" s="1030"/>
    </row>
    <row r="437" spans="1:26" ht="12.75" customHeight="1">
      <c r="A437" s="1030"/>
      <c r="B437" s="1030"/>
      <c r="C437" s="1030"/>
      <c r="D437" s="1030"/>
      <c r="E437" s="1030"/>
      <c r="F437" s="1030"/>
      <c r="G437" s="1030"/>
      <c r="H437" s="1186"/>
      <c r="I437" s="1030"/>
      <c r="J437" s="1030"/>
      <c r="K437" s="1030"/>
      <c r="L437" s="1030"/>
      <c r="M437" s="1030"/>
      <c r="N437" s="1030"/>
      <c r="O437" s="1030"/>
      <c r="P437" s="1030"/>
      <c r="Q437" s="1030"/>
      <c r="R437" s="1030"/>
      <c r="S437" s="1030"/>
      <c r="T437" s="1030"/>
      <c r="U437" s="1030"/>
      <c r="V437" s="1030"/>
      <c r="W437" s="1030"/>
      <c r="X437" s="1030"/>
      <c r="Y437" s="1030"/>
      <c r="Z437" s="1030"/>
    </row>
    <row r="438" spans="1:26" ht="12.75" customHeight="1">
      <c r="A438" s="1030"/>
      <c r="B438" s="1030"/>
      <c r="C438" s="1030"/>
      <c r="D438" s="1030"/>
      <c r="E438" s="1030"/>
      <c r="F438" s="1030"/>
      <c r="G438" s="1030"/>
      <c r="H438" s="1186"/>
      <c r="I438" s="1030"/>
      <c r="J438" s="1030"/>
      <c r="K438" s="1030"/>
      <c r="L438" s="1030"/>
      <c r="M438" s="1030"/>
      <c r="N438" s="1030"/>
      <c r="O438" s="1030"/>
      <c r="P438" s="1030"/>
      <c r="Q438" s="1030"/>
      <c r="R438" s="1030"/>
      <c r="S438" s="1030"/>
      <c r="T438" s="1030"/>
      <c r="U438" s="1030"/>
      <c r="V438" s="1030"/>
      <c r="W438" s="1030"/>
      <c r="X438" s="1030"/>
      <c r="Y438" s="1030"/>
      <c r="Z438" s="1030"/>
    </row>
    <row r="439" spans="1:26" ht="12.75" customHeight="1">
      <c r="A439" s="1030"/>
      <c r="B439" s="1030"/>
      <c r="C439" s="1030"/>
      <c r="D439" s="1030"/>
      <c r="E439" s="1030"/>
      <c r="F439" s="1030"/>
      <c r="G439" s="1030"/>
      <c r="H439" s="1186"/>
      <c r="I439" s="1030"/>
      <c r="J439" s="1030"/>
      <c r="K439" s="1030"/>
      <c r="L439" s="1030"/>
      <c r="M439" s="1030"/>
      <c r="N439" s="1030"/>
      <c r="O439" s="1030"/>
      <c r="P439" s="1030"/>
      <c r="Q439" s="1030"/>
      <c r="R439" s="1030"/>
      <c r="S439" s="1030"/>
      <c r="T439" s="1030"/>
      <c r="U439" s="1030"/>
      <c r="V439" s="1030"/>
      <c r="W439" s="1030"/>
      <c r="X439" s="1030"/>
      <c r="Y439" s="1030"/>
      <c r="Z439" s="1030"/>
    </row>
    <row r="440" spans="1:26" ht="12.75" customHeight="1">
      <c r="A440" s="1030"/>
      <c r="B440" s="1030"/>
      <c r="C440" s="1030"/>
      <c r="D440" s="1030"/>
      <c r="E440" s="1030"/>
      <c r="F440" s="1030"/>
      <c r="G440" s="1030"/>
      <c r="H440" s="1186"/>
      <c r="I440" s="1030"/>
      <c r="J440" s="1030"/>
      <c r="K440" s="1030"/>
      <c r="L440" s="1030"/>
      <c r="M440" s="1030"/>
      <c r="N440" s="1030"/>
      <c r="O440" s="1030"/>
      <c r="P440" s="1030"/>
      <c r="Q440" s="1030"/>
      <c r="R440" s="1030"/>
      <c r="S440" s="1030"/>
      <c r="T440" s="1030"/>
      <c r="U440" s="1030"/>
      <c r="V440" s="1030"/>
      <c r="W440" s="1030"/>
      <c r="X440" s="1030"/>
      <c r="Y440" s="1030"/>
      <c r="Z440" s="1030"/>
    </row>
    <row r="441" spans="1:26" ht="12.75" customHeight="1">
      <c r="A441" s="1030"/>
      <c r="B441" s="1030"/>
      <c r="C441" s="1030"/>
      <c r="D441" s="1030"/>
      <c r="E441" s="1030"/>
      <c r="F441" s="1030"/>
      <c r="G441" s="1030"/>
      <c r="H441" s="1186"/>
      <c r="I441" s="1030"/>
      <c r="J441" s="1030"/>
      <c r="K441" s="1030"/>
      <c r="L441" s="1030"/>
      <c r="M441" s="1030"/>
      <c r="N441" s="1030"/>
      <c r="O441" s="1030"/>
      <c r="P441" s="1030"/>
      <c r="Q441" s="1030"/>
      <c r="R441" s="1030"/>
      <c r="S441" s="1030"/>
      <c r="T441" s="1030"/>
      <c r="U441" s="1030"/>
      <c r="V441" s="1030"/>
      <c r="W441" s="1030"/>
      <c r="X441" s="1030"/>
      <c r="Y441" s="1030"/>
      <c r="Z441" s="1030"/>
    </row>
    <row r="442" spans="1:26" ht="12.75" customHeight="1">
      <c r="A442" s="1030"/>
      <c r="B442" s="1030"/>
      <c r="C442" s="1030"/>
      <c r="D442" s="1030"/>
      <c r="E442" s="1030"/>
      <c r="F442" s="1030"/>
      <c r="G442" s="1030"/>
      <c r="H442" s="1186"/>
      <c r="I442" s="1030"/>
      <c r="J442" s="1030"/>
      <c r="K442" s="1030"/>
      <c r="L442" s="1030"/>
      <c r="M442" s="1030"/>
      <c r="N442" s="1030"/>
      <c r="O442" s="1030"/>
      <c r="P442" s="1030"/>
      <c r="Q442" s="1030"/>
      <c r="R442" s="1030"/>
      <c r="S442" s="1030"/>
      <c r="T442" s="1030"/>
      <c r="U442" s="1030"/>
      <c r="V442" s="1030"/>
      <c r="W442" s="1030"/>
      <c r="X442" s="1030"/>
      <c r="Y442" s="1030"/>
      <c r="Z442" s="1030"/>
    </row>
    <row r="443" spans="1:26" ht="12.75" customHeight="1">
      <c r="A443" s="1030"/>
      <c r="B443" s="1030"/>
      <c r="C443" s="1030"/>
      <c r="D443" s="1030"/>
      <c r="E443" s="1030"/>
      <c r="F443" s="1030"/>
      <c r="G443" s="1030"/>
      <c r="H443" s="1186"/>
      <c r="I443" s="1030"/>
      <c r="J443" s="1030"/>
      <c r="K443" s="1030"/>
      <c r="L443" s="1030"/>
      <c r="M443" s="1030"/>
      <c r="N443" s="1030"/>
      <c r="O443" s="1030"/>
      <c r="P443" s="1030"/>
      <c r="Q443" s="1030"/>
      <c r="R443" s="1030"/>
      <c r="S443" s="1030"/>
      <c r="T443" s="1030"/>
      <c r="U443" s="1030"/>
      <c r="V443" s="1030"/>
      <c r="W443" s="1030"/>
      <c r="X443" s="1030"/>
      <c r="Y443" s="1030"/>
      <c r="Z443" s="1030"/>
    </row>
    <row r="444" spans="1:26" ht="12.75" customHeight="1">
      <c r="A444" s="1030"/>
      <c r="B444" s="1030"/>
      <c r="C444" s="1030"/>
      <c r="D444" s="1030"/>
      <c r="E444" s="1030"/>
      <c r="F444" s="1030"/>
      <c r="G444" s="1030"/>
      <c r="H444" s="1186"/>
      <c r="I444" s="1030"/>
      <c r="J444" s="1030"/>
      <c r="K444" s="1030"/>
      <c r="L444" s="1030"/>
      <c r="M444" s="1030"/>
      <c r="N444" s="1030"/>
      <c r="O444" s="1030"/>
      <c r="P444" s="1030"/>
      <c r="Q444" s="1030"/>
      <c r="R444" s="1030"/>
      <c r="S444" s="1030"/>
      <c r="T444" s="1030"/>
      <c r="U444" s="1030"/>
      <c r="V444" s="1030"/>
      <c r="W444" s="1030"/>
      <c r="X444" s="1030"/>
      <c r="Y444" s="1030"/>
      <c r="Z444" s="1030"/>
    </row>
    <row r="445" spans="1:26" ht="12.75" customHeight="1">
      <c r="A445" s="1030"/>
      <c r="B445" s="1030"/>
      <c r="C445" s="1030"/>
      <c r="D445" s="1030"/>
      <c r="E445" s="1030"/>
      <c r="F445" s="1030"/>
      <c r="G445" s="1030"/>
      <c r="H445" s="1186"/>
      <c r="I445" s="1030"/>
      <c r="J445" s="1030"/>
      <c r="K445" s="1030"/>
      <c r="L445" s="1030"/>
      <c r="M445" s="1030"/>
      <c r="N445" s="1030"/>
      <c r="O445" s="1030"/>
      <c r="P445" s="1030"/>
      <c r="Q445" s="1030"/>
      <c r="R445" s="1030"/>
      <c r="S445" s="1030"/>
      <c r="T445" s="1030"/>
      <c r="U445" s="1030"/>
      <c r="V445" s="1030"/>
      <c r="W445" s="1030"/>
      <c r="X445" s="1030"/>
      <c r="Y445" s="1030"/>
      <c r="Z445" s="1030"/>
    </row>
    <row r="446" spans="1:26" ht="12.75" customHeight="1">
      <c r="A446" s="1030"/>
      <c r="B446" s="1030"/>
      <c r="C446" s="1030"/>
      <c r="D446" s="1030"/>
      <c r="E446" s="1030"/>
      <c r="F446" s="1030"/>
      <c r="G446" s="1030"/>
      <c r="H446" s="1186"/>
      <c r="I446" s="1030"/>
      <c r="J446" s="1030"/>
      <c r="K446" s="1030"/>
      <c r="L446" s="1030"/>
      <c r="M446" s="1030"/>
      <c r="N446" s="1030"/>
      <c r="O446" s="1030"/>
      <c r="P446" s="1030"/>
      <c r="Q446" s="1030"/>
      <c r="R446" s="1030"/>
      <c r="S446" s="1030"/>
      <c r="T446" s="1030"/>
      <c r="U446" s="1030"/>
      <c r="V446" s="1030"/>
      <c r="W446" s="1030"/>
      <c r="X446" s="1030"/>
      <c r="Y446" s="1030"/>
      <c r="Z446" s="1030"/>
    </row>
    <row r="447" spans="1:26" ht="12.75" customHeight="1">
      <c r="A447" s="1030"/>
      <c r="B447" s="1030"/>
      <c r="C447" s="1030"/>
      <c r="D447" s="1030"/>
      <c r="E447" s="1030"/>
      <c r="F447" s="1030"/>
      <c r="G447" s="1030"/>
      <c r="H447" s="1186"/>
      <c r="I447" s="1030"/>
      <c r="J447" s="1030"/>
      <c r="K447" s="1030"/>
      <c r="L447" s="1030"/>
      <c r="M447" s="1030"/>
      <c r="N447" s="1030"/>
      <c r="O447" s="1030"/>
      <c r="P447" s="1030"/>
      <c r="Q447" s="1030"/>
      <c r="R447" s="1030"/>
      <c r="S447" s="1030"/>
      <c r="T447" s="1030"/>
      <c r="U447" s="1030"/>
      <c r="V447" s="1030"/>
      <c r="W447" s="1030"/>
      <c r="X447" s="1030"/>
      <c r="Y447" s="1030"/>
      <c r="Z447" s="1030"/>
    </row>
    <row r="448" spans="1:26" ht="12.75" customHeight="1">
      <c r="A448" s="1030"/>
      <c r="B448" s="1030"/>
      <c r="C448" s="1030"/>
      <c r="D448" s="1030"/>
      <c r="E448" s="1030"/>
      <c r="F448" s="1030"/>
      <c r="G448" s="1030"/>
      <c r="H448" s="1186"/>
      <c r="I448" s="1030"/>
      <c r="J448" s="1030"/>
      <c r="K448" s="1030"/>
      <c r="L448" s="1030"/>
      <c r="M448" s="1030"/>
      <c r="N448" s="1030"/>
      <c r="O448" s="1030"/>
      <c r="P448" s="1030"/>
      <c r="Q448" s="1030"/>
      <c r="R448" s="1030"/>
      <c r="S448" s="1030"/>
      <c r="T448" s="1030"/>
      <c r="U448" s="1030"/>
      <c r="V448" s="1030"/>
      <c r="W448" s="1030"/>
      <c r="X448" s="1030"/>
      <c r="Y448" s="1030"/>
      <c r="Z448" s="1030"/>
    </row>
    <row r="449" spans="1:26" ht="12.75" customHeight="1">
      <c r="A449" s="1030"/>
      <c r="B449" s="1030"/>
      <c r="C449" s="1030"/>
      <c r="D449" s="1030"/>
      <c r="E449" s="1030"/>
      <c r="F449" s="1030"/>
      <c r="G449" s="1030"/>
      <c r="H449" s="1186"/>
      <c r="I449" s="1030"/>
      <c r="J449" s="1030"/>
      <c r="K449" s="1030"/>
      <c r="L449" s="1030"/>
      <c r="M449" s="1030"/>
      <c r="N449" s="1030"/>
      <c r="O449" s="1030"/>
      <c r="P449" s="1030"/>
      <c r="Q449" s="1030"/>
      <c r="R449" s="1030"/>
      <c r="S449" s="1030"/>
      <c r="T449" s="1030"/>
      <c r="U449" s="1030"/>
      <c r="V449" s="1030"/>
      <c r="W449" s="1030"/>
      <c r="X449" s="1030"/>
      <c r="Y449" s="1030"/>
      <c r="Z449" s="1030"/>
    </row>
    <row r="450" spans="1:26" ht="12.75" customHeight="1">
      <c r="A450" s="1030"/>
      <c r="B450" s="1030"/>
      <c r="C450" s="1030"/>
      <c r="D450" s="1030"/>
      <c r="E450" s="1030"/>
      <c r="F450" s="1030"/>
      <c r="G450" s="1030"/>
      <c r="H450" s="1186"/>
      <c r="I450" s="1030"/>
      <c r="J450" s="1030"/>
      <c r="K450" s="1030"/>
      <c r="L450" s="1030"/>
      <c r="M450" s="1030"/>
      <c r="N450" s="1030"/>
      <c r="O450" s="1030"/>
      <c r="P450" s="1030"/>
      <c r="Q450" s="1030"/>
      <c r="R450" s="1030"/>
      <c r="S450" s="1030"/>
      <c r="T450" s="1030"/>
      <c r="U450" s="1030"/>
      <c r="V450" s="1030"/>
      <c r="W450" s="1030"/>
      <c r="X450" s="1030"/>
      <c r="Y450" s="1030"/>
      <c r="Z450" s="1030"/>
    </row>
    <row r="451" spans="1:26" ht="12.75" customHeight="1">
      <c r="A451" s="1030"/>
      <c r="B451" s="1030"/>
      <c r="C451" s="1030"/>
      <c r="D451" s="1030"/>
      <c r="E451" s="1030"/>
      <c r="F451" s="1030"/>
      <c r="G451" s="1030"/>
      <c r="H451" s="1186"/>
      <c r="I451" s="1030"/>
      <c r="J451" s="1030"/>
      <c r="K451" s="1030"/>
      <c r="L451" s="1030"/>
      <c r="M451" s="1030"/>
      <c r="N451" s="1030"/>
      <c r="O451" s="1030"/>
      <c r="P451" s="1030"/>
      <c r="Q451" s="1030"/>
      <c r="R451" s="1030"/>
      <c r="S451" s="1030"/>
      <c r="T451" s="1030"/>
      <c r="U451" s="1030"/>
      <c r="V451" s="1030"/>
      <c r="W451" s="1030"/>
      <c r="X451" s="1030"/>
      <c r="Y451" s="1030"/>
      <c r="Z451" s="1030"/>
    </row>
    <row r="452" spans="1:26" ht="12.75" customHeight="1">
      <c r="A452" s="1030"/>
      <c r="B452" s="1030"/>
      <c r="C452" s="1030"/>
      <c r="D452" s="1030"/>
      <c r="E452" s="1030"/>
      <c r="F452" s="1030"/>
      <c r="G452" s="1030"/>
      <c r="H452" s="1186"/>
      <c r="I452" s="1030"/>
      <c r="J452" s="1030"/>
      <c r="K452" s="1030"/>
      <c r="L452" s="1030"/>
      <c r="M452" s="1030"/>
      <c r="N452" s="1030"/>
      <c r="O452" s="1030"/>
      <c r="P452" s="1030"/>
      <c r="Q452" s="1030"/>
      <c r="R452" s="1030"/>
      <c r="S452" s="1030"/>
      <c r="T452" s="1030"/>
      <c r="U452" s="1030"/>
      <c r="V452" s="1030"/>
      <c r="W452" s="1030"/>
      <c r="X452" s="1030"/>
      <c r="Y452" s="1030"/>
      <c r="Z452" s="1030"/>
    </row>
    <row r="453" spans="1:26" ht="12.75" customHeight="1">
      <c r="A453" s="1030"/>
      <c r="B453" s="1030"/>
      <c r="C453" s="1030"/>
      <c r="D453" s="1030"/>
      <c r="E453" s="1030"/>
      <c r="F453" s="1030"/>
      <c r="G453" s="1030"/>
      <c r="H453" s="1186"/>
      <c r="I453" s="1030"/>
      <c r="J453" s="1030"/>
      <c r="K453" s="1030"/>
      <c r="L453" s="1030"/>
      <c r="M453" s="1030"/>
      <c r="N453" s="1030"/>
      <c r="O453" s="1030"/>
      <c r="P453" s="1030"/>
      <c r="Q453" s="1030"/>
      <c r="R453" s="1030"/>
      <c r="S453" s="1030"/>
      <c r="T453" s="1030"/>
      <c r="U453" s="1030"/>
      <c r="V453" s="1030"/>
      <c r="W453" s="1030"/>
      <c r="X453" s="1030"/>
      <c r="Y453" s="1030"/>
      <c r="Z453" s="1030"/>
    </row>
    <row r="454" spans="1:26" ht="12.75" customHeight="1">
      <c r="A454" s="1030"/>
      <c r="B454" s="1030"/>
      <c r="C454" s="1030"/>
      <c r="D454" s="1030"/>
      <c r="E454" s="1030"/>
      <c r="F454" s="1030"/>
      <c r="G454" s="1030"/>
      <c r="H454" s="1186"/>
      <c r="I454" s="1030"/>
      <c r="J454" s="1030"/>
      <c r="K454" s="1030"/>
      <c r="L454" s="1030"/>
      <c r="M454" s="1030"/>
      <c r="N454" s="1030"/>
      <c r="O454" s="1030"/>
      <c r="P454" s="1030"/>
      <c r="Q454" s="1030"/>
      <c r="R454" s="1030"/>
      <c r="S454" s="1030"/>
      <c r="T454" s="1030"/>
      <c r="U454" s="1030"/>
      <c r="V454" s="1030"/>
      <c r="W454" s="1030"/>
      <c r="X454" s="1030"/>
      <c r="Y454" s="1030"/>
      <c r="Z454" s="1030"/>
    </row>
    <row r="455" spans="1:26" ht="12.75" customHeight="1">
      <c r="A455" s="1030"/>
      <c r="B455" s="1030"/>
      <c r="C455" s="1030"/>
      <c r="D455" s="1030"/>
      <c r="E455" s="1030"/>
      <c r="F455" s="1030"/>
      <c r="G455" s="1030"/>
      <c r="H455" s="1186"/>
      <c r="I455" s="1030"/>
      <c r="J455" s="1030"/>
      <c r="K455" s="1030"/>
      <c r="L455" s="1030"/>
      <c r="M455" s="1030"/>
      <c r="N455" s="1030"/>
      <c r="O455" s="1030"/>
      <c r="P455" s="1030"/>
      <c r="Q455" s="1030"/>
      <c r="R455" s="1030"/>
      <c r="S455" s="1030"/>
      <c r="T455" s="1030"/>
      <c r="U455" s="1030"/>
      <c r="V455" s="1030"/>
      <c r="W455" s="1030"/>
      <c r="X455" s="1030"/>
      <c r="Y455" s="1030"/>
      <c r="Z455" s="1030"/>
    </row>
    <row r="456" spans="1:26" ht="12.75" customHeight="1">
      <c r="A456" s="1030"/>
      <c r="B456" s="1030"/>
      <c r="C456" s="1030"/>
      <c r="D456" s="1030"/>
      <c r="E456" s="1030"/>
      <c r="F456" s="1030"/>
      <c r="G456" s="1030"/>
      <c r="H456" s="1186"/>
      <c r="I456" s="1030"/>
      <c r="J456" s="1030"/>
      <c r="K456" s="1030"/>
      <c r="L456" s="1030"/>
      <c r="M456" s="1030"/>
      <c r="N456" s="1030"/>
      <c r="O456" s="1030"/>
      <c r="P456" s="1030"/>
      <c r="Q456" s="1030"/>
      <c r="R456" s="1030"/>
      <c r="S456" s="1030"/>
      <c r="T456" s="1030"/>
      <c r="U456" s="1030"/>
      <c r="V456" s="1030"/>
      <c r="W456" s="1030"/>
      <c r="X456" s="1030"/>
      <c r="Y456" s="1030"/>
      <c r="Z456" s="1030"/>
    </row>
    <row r="457" spans="1:26" ht="12.75" customHeight="1">
      <c r="A457" s="1030"/>
      <c r="B457" s="1030"/>
      <c r="C457" s="1030"/>
      <c r="D457" s="1030"/>
      <c r="E457" s="1030"/>
      <c r="F457" s="1030"/>
      <c r="G457" s="1030"/>
      <c r="H457" s="1186"/>
      <c r="I457" s="1030"/>
      <c r="J457" s="1030"/>
      <c r="K457" s="1030"/>
      <c r="L457" s="1030"/>
      <c r="M457" s="1030"/>
      <c r="N457" s="1030"/>
      <c r="O457" s="1030"/>
      <c r="P457" s="1030"/>
      <c r="Q457" s="1030"/>
      <c r="R457" s="1030"/>
      <c r="S457" s="1030"/>
      <c r="T457" s="1030"/>
      <c r="U457" s="1030"/>
      <c r="V457" s="1030"/>
      <c r="W457" s="1030"/>
      <c r="X457" s="1030"/>
      <c r="Y457" s="1030"/>
      <c r="Z457" s="1030"/>
    </row>
    <row r="458" spans="1:26" ht="12.75" customHeight="1">
      <c r="A458" s="1030"/>
      <c r="B458" s="1030"/>
      <c r="C458" s="1030"/>
      <c r="D458" s="1030"/>
      <c r="E458" s="1030"/>
      <c r="F458" s="1030"/>
      <c r="G458" s="1030"/>
      <c r="H458" s="1186"/>
      <c r="I458" s="1030"/>
      <c r="J458" s="1030"/>
      <c r="K458" s="1030"/>
      <c r="L458" s="1030"/>
      <c r="M458" s="1030"/>
      <c r="N458" s="1030"/>
      <c r="O458" s="1030"/>
      <c r="P458" s="1030"/>
      <c r="Q458" s="1030"/>
      <c r="R458" s="1030"/>
      <c r="S458" s="1030"/>
      <c r="T458" s="1030"/>
      <c r="U458" s="1030"/>
      <c r="V458" s="1030"/>
      <c r="W458" s="1030"/>
      <c r="X458" s="1030"/>
      <c r="Y458" s="1030"/>
      <c r="Z458" s="1030"/>
    </row>
    <row r="459" spans="1:26" ht="12.75" customHeight="1">
      <c r="A459" s="1030"/>
      <c r="B459" s="1030"/>
      <c r="C459" s="1030"/>
      <c r="D459" s="1030"/>
      <c r="E459" s="1030"/>
      <c r="F459" s="1030"/>
      <c r="G459" s="1030"/>
      <c r="H459" s="1186"/>
      <c r="I459" s="1030"/>
      <c r="J459" s="1030"/>
      <c r="K459" s="1030"/>
      <c r="L459" s="1030"/>
      <c r="M459" s="1030"/>
      <c r="N459" s="1030"/>
      <c r="O459" s="1030"/>
      <c r="P459" s="1030"/>
      <c r="Q459" s="1030"/>
      <c r="R459" s="1030"/>
      <c r="S459" s="1030"/>
      <c r="T459" s="1030"/>
      <c r="U459" s="1030"/>
      <c r="V459" s="1030"/>
      <c r="W459" s="1030"/>
      <c r="X459" s="1030"/>
      <c r="Y459" s="1030"/>
      <c r="Z459" s="1030"/>
    </row>
    <row r="460" spans="1:26" ht="12.75" customHeight="1">
      <c r="A460" s="1030"/>
      <c r="B460" s="1030"/>
      <c r="C460" s="1030"/>
      <c r="D460" s="1030"/>
      <c r="E460" s="1030"/>
      <c r="F460" s="1030"/>
      <c r="G460" s="1030"/>
      <c r="H460" s="1186"/>
      <c r="I460" s="1030"/>
      <c r="J460" s="1030"/>
      <c r="K460" s="1030"/>
      <c r="L460" s="1030"/>
      <c r="M460" s="1030"/>
      <c r="N460" s="1030"/>
      <c r="O460" s="1030"/>
      <c r="P460" s="1030"/>
      <c r="Q460" s="1030"/>
      <c r="R460" s="1030"/>
      <c r="S460" s="1030"/>
      <c r="T460" s="1030"/>
      <c r="U460" s="1030"/>
      <c r="V460" s="1030"/>
      <c r="W460" s="1030"/>
      <c r="X460" s="1030"/>
      <c r="Y460" s="1030"/>
      <c r="Z460" s="1030"/>
    </row>
    <row r="461" spans="1:26" ht="12.75" customHeight="1">
      <c r="A461" s="1030"/>
      <c r="B461" s="1030"/>
      <c r="C461" s="1030"/>
      <c r="D461" s="1030"/>
      <c r="E461" s="1030"/>
      <c r="F461" s="1030"/>
      <c r="G461" s="1030"/>
      <c r="H461" s="1186"/>
      <c r="I461" s="1030"/>
      <c r="J461" s="1030"/>
      <c r="K461" s="1030"/>
      <c r="L461" s="1030"/>
      <c r="M461" s="1030"/>
      <c r="N461" s="1030"/>
      <c r="O461" s="1030"/>
      <c r="P461" s="1030"/>
      <c r="Q461" s="1030"/>
      <c r="R461" s="1030"/>
      <c r="S461" s="1030"/>
      <c r="T461" s="1030"/>
      <c r="U461" s="1030"/>
      <c r="V461" s="1030"/>
      <c r="W461" s="1030"/>
      <c r="X461" s="1030"/>
      <c r="Y461" s="1030"/>
      <c r="Z461" s="1030"/>
    </row>
    <row r="462" spans="1:26" ht="12.75" customHeight="1">
      <c r="A462" s="1030"/>
      <c r="B462" s="1030"/>
      <c r="C462" s="1030"/>
      <c r="D462" s="1030"/>
      <c r="E462" s="1030"/>
      <c r="F462" s="1030"/>
      <c r="G462" s="1030"/>
      <c r="H462" s="1186"/>
      <c r="I462" s="1030"/>
      <c r="J462" s="1030"/>
      <c r="K462" s="1030"/>
      <c r="L462" s="1030"/>
      <c r="M462" s="1030"/>
      <c r="N462" s="1030"/>
      <c r="O462" s="1030"/>
      <c r="P462" s="1030"/>
      <c r="Q462" s="1030"/>
      <c r="R462" s="1030"/>
      <c r="S462" s="1030"/>
      <c r="T462" s="1030"/>
      <c r="U462" s="1030"/>
      <c r="V462" s="1030"/>
      <c r="W462" s="1030"/>
      <c r="X462" s="1030"/>
      <c r="Y462" s="1030"/>
      <c r="Z462" s="1030"/>
    </row>
    <row r="463" spans="1:26" ht="12.75" customHeight="1">
      <c r="A463" s="1030"/>
      <c r="B463" s="1030"/>
      <c r="C463" s="1030"/>
      <c r="D463" s="1030"/>
      <c r="E463" s="1030"/>
      <c r="F463" s="1030"/>
      <c r="G463" s="1030"/>
      <c r="H463" s="1186"/>
      <c r="I463" s="1030"/>
      <c r="J463" s="1030"/>
      <c r="K463" s="1030"/>
      <c r="L463" s="1030"/>
      <c r="M463" s="1030"/>
      <c r="N463" s="1030"/>
      <c r="O463" s="1030"/>
      <c r="P463" s="1030"/>
      <c r="Q463" s="1030"/>
      <c r="R463" s="1030"/>
      <c r="S463" s="1030"/>
      <c r="T463" s="1030"/>
      <c r="U463" s="1030"/>
      <c r="V463" s="1030"/>
      <c r="W463" s="1030"/>
      <c r="X463" s="1030"/>
      <c r="Y463" s="1030"/>
      <c r="Z463" s="1030"/>
    </row>
    <row r="464" spans="1:26" ht="12.75" customHeight="1">
      <c r="A464" s="1030"/>
      <c r="B464" s="1030"/>
      <c r="C464" s="1030"/>
      <c r="D464" s="1030"/>
      <c r="E464" s="1030"/>
      <c r="F464" s="1030"/>
      <c r="G464" s="1030"/>
      <c r="H464" s="1186"/>
      <c r="I464" s="1030"/>
      <c r="J464" s="1030"/>
      <c r="K464" s="1030"/>
      <c r="L464" s="1030"/>
      <c r="M464" s="1030"/>
      <c r="N464" s="1030"/>
      <c r="O464" s="1030"/>
      <c r="P464" s="1030"/>
      <c r="Q464" s="1030"/>
      <c r="R464" s="1030"/>
      <c r="S464" s="1030"/>
      <c r="T464" s="1030"/>
      <c r="U464" s="1030"/>
      <c r="V464" s="1030"/>
      <c r="W464" s="1030"/>
      <c r="X464" s="1030"/>
      <c r="Y464" s="1030"/>
      <c r="Z464" s="1030"/>
    </row>
    <row r="465" spans="1:26" ht="15.75" customHeight="1">
      <c r="A465" s="937"/>
      <c r="B465" s="1030"/>
      <c r="C465" s="1030"/>
      <c r="D465" s="1030"/>
      <c r="E465" s="1030"/>
      <c r="F465" s="1030"/>
      <c r="G465" s="1030"/>
      <c r="H465" s="1186"/>
      <c r="I465" s="1030"/>
      <c r="J465" s="1030"/>
      <c r="K465" s="1030"/>
      <c r="L465" s="937"/>
      <c r="M465" s="937"/>
      <c r="N465" s="937"/>
      <c r="O465" s="937"/>
      <c r="P465" s="937"/>
      <c r="Q465" s="937"/>
      <c r="R465" s="937"/>
      <c r="S465" s="937"/>
      <c r="T465" s="937"/>
      <c r="U465" s="937"/>
      <c r="V465" s="937"/>
      <c r="W465" s="937"/>
      <c r="X465" s="937"/>
      <c r="Y465" s="937"/>
      <c r="Z465" s="937"/>
    </row>
    <row r="466" spans="1:26" ht="15.75" customHeight="1">
      <c r="A466" s="937"/>
      <c r="B466" s="1030"/>
      <c r="C466" s="1030"/>
      <c r="D466" s="1030"/>
      <c r="E466" s="1030"/>
      <c r="F466" s="1030"/>
      <c r="G466" s="1030"/>
      <c r="H466" s="1186"/>
      <c r="I466" s="1030"/>
      <c r="J466" s="1030"/>
      <c r="K466" s="1030"/>
      <c r="L466" s="937"/>
      <c r="M466" s="937"/>
      <c r="N466" s="937"/>
      <c r="O466" s="937"/>
      <c r="P466" s="937"/>
      <c r="Q466" s="937"/>
      <c r="R466" s="937"/>
      <c r="S466" s="937"/>
      <c r="T466" s="937"/>
      <c r="U466" s="937"/>
      <c r="V466" s="937"/>
      <c r="W466" s="937"/>
      <c r="X466" s="937"/>
      <c r="Y466" s="937"/>
      <c r="Z466" s="937"/>
    </row>
    <row r="467" spans="1:26" ht="15.75" customHeight="1">
      <c r="A467" s="937"/>
      <c r="B467" s="1030"/>
      <c r="C467" s="1030"/>
      <c r="D467" s="1030"/>
      <c r="E467" s="1030"/>
      <c r="F467" s="1030"/>
      <c r="G467" s="1030"/>
      <c r="H467" s="1186"/>
      <c r="I467" s="1030"/>
      <c r="J467" s="1030"/>
      <c r="K467" s="1030"/>
      <c r="L467" s="937"/>
      <c r="M467" s="937"/>
      <c r="N467" s="937"/>
      <c r="O467" s="937"/>
      <c r="P467" s="937"/>
      <c r="Q467" s="937"/>
      <c r="R467" s="937"/>
      <c r="S467" s="937"/>
      <c r="T467" s="937"/>
      <c r="U467" s="937"/>
      <c r="V467" s="937"/>
      <c r="W467" s="937"/>
      <c r="X467" s="937"/>
      <c r="Y467" s="937"/>
      <c r="Z467" s="937"/>
    </row>
    <row r="468" spans="1:26" ht="15.75" customHeight="1"/>
    <row r="469" spans="1:26" ht="15.75" customHeight="1"/>
    <row r="470" spans="1:26" ht="15.75" customHeight="1"/>
    <row r="471" spans="1:26" ht="15.75" customHeight="1"/>
    <row r="472" spans="1:26" ht="15.75" customHeight="1"/>
    <row r="473" spans="1:26" ht="15.75" customHeight="1"/>
    <row r="474" spans="1:26" ht="15.75" customHeight="1"/>
    <row r="475" spans="1:26" ht="15.75" customHeight="1"/>
    <row r="476" spans="1:26" ht="15.75" customHeight="1"/>
    <row r="477" spans="1:26" ht="15.75" customHeight="1"/>
    <row r="478" spans="1:26" ht="15.75" customHeight="1"/>
    <row r="479" spans="1:26" ht="15.75" customHeight="1"/>
    <row r="480" spans="1:26"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sheetData>
  <autoFilter ref="A108:Z235" xr:uid="{00000000-0009-0000-0000-000001000000}"/>
  <conditionalFormatting sqref="F267">
    <cfRule type="cellIs" dxfId="25" priority="1" operator="greaterThanOrEqual">
      <formula>0.4</formula>
    </cfRule>
    <cfRule type="cellIs" dxfId="24" priority="2" operator="between">
      <formula>0.35</formula>
      <formula>0.3999</formula>
    </cfRule>
    <cfRule type="cellIs" dxfId="23" priority="3" operator="between">
      <formula>0.3</formula>
      <formula>0.3499</formula>
    </cfRule>
    <cfRule type="cellIs" dxfId="22" priority="4" operator="lessThan">
      <formula>0.3</formula>
    </cfRule>
  </conditionalFormatting>
  <conditionalFormatting sqref="K4:K6 J5:J12 I7:I11 K12 G254:G265">
    <cfRule type="cellIs" dxfId="21" priority="5" stopIfTrue="1" operator="lessThan">
      <formula>0</formula>
    </cfRule>
  </conditionalFormatting>
  <dataValidations count="14">
    <dataValidation type="list" allowBlank="1" showErrorMessage="1" sqref="E15:E101 E239" xr:uid="{00000000-0002-0000-0100-000000000000}">
      <formula1>"MT,MTcod,MTCoach,ET,ETcod,ETCoach,ST,STcod,STCoach,T,Tcod,TCoach,HTS,STS,TS"</formula1>
    </dataValidation>
    <dataValidation type="list" allowBlank="1" sqref="J264" xr:uid="{00000000-0002-0000-0100-000001000000}">
      <formula1>"Bruno,Davide Z."</formula1>
    </dataValidation>
    <dataValidation type="list" allowBlank="1" showErrorMessage="1" sqref="B251:B252" xr:uid="{00000000-0002-0000-0100-000002000000}">
      <formula1>"Corsi,Ricavi da Spese Fatturate al Cliente"</formula1>
    </dataValidation>
    <dataValidation type="list" allowBlank="1" showErrorMessage="1" sqref="I3" xr:uid="{00000000-0002-0000-0100-000003000000}">
      <formula1>"Finanziato,Autofinanziato"</formula1>
    </dataValidation>
    <dataValidation type="list" allowBlank="1" showErrorMessage="1" sqref="B106" xr:uid="{00000000-0002-0000-0100-000004000000}">
      <formula1>"Royalties"</formula1>
    </dataValidation>
    <dataValidation type="list" allowBlank="1" showErrorMessage="1" sqref="C15:C101 C106 C109:C234 C239 C242:C246 C251:C252" xr:uid="{00000000-0002-0000-0100-000005000000}">
      <formula1>"blackship,Master in Vendita"</formula1>
    </dataValidation>
    <dataValidation type="list" allowBlank="1" showErrorMessage="1" sqref="D109:D234 F239" xr:uid="{00000000-0002-0000-0100-000006000000}">
      <formula1>"x"</formula1>
    </dataValidation>
    <dataValidation type="list" allowBlank="1" showErrorMessage="1" sqref="B239 B242:B246" xr:uid="{00000000-0002-0000-0100-000007000000}">
      <formula1>"Provvigioni"</formula1>
    </dataValidation>
    <dataValidation type="list" allowBlank="1" sqref="E8" xr:uid="{00000000-0002-0000-0100-000008000000}">
      <formula1>$N$2:$N$23</formula1>
    </dataValidation>
    <dataValidation type="list" allowBlank="1" showErrorMessage="1" sqref="B109:B234" xr:uid="{00000000-0002-0000-0100-000009000000}">
      <formula1>"Rimborsi Spese,Sale &amp; Hotel,Service,Manuali &amp; Materiali,Gadget,Furgone &amp; Facchino"</formula1>
    </dataValidation>
    <dataValidation type="list" allowBlank="1" showErrorMessage="1" sqref="K10" xr:uid="{00000000-0002-0000-0100-00000A000000}">
      <formula1>$O$2:$O$19</formula1>
    </dataValidation>
    <dataValidation type="list" allowBlank="1" showErrorMessage="1" sqref="K3" xr:uid="{00000000-0002-0000-0100-00000B000000}">
      <formula1>"Incluse,Escluse"</formula1>
    </dataValidation>
    <dataValidation type="list" allowBlank="1" sqref="E7" xr:uid="{00000000-0002-0000-0100-00000C000000}">
      <formula1>$M$2:$M$56</formula1>
    </dataValidation>
    <dataValidation type="list" allowBlank="1" showErrorMessage="1" sqref="B15:B101" xr:uid="{00000000-0002-0000-0100-00000D000000}">
      <formula1>"Docenze e Assistenze"</formula1>
    </dataValidation>
  </dataValidations>
  <pageMargins left="0.75" right="0.75" top="1" bottom="1"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159"/>
  <sheetViews>
    <sheetView workbookViewId="0"/>
  </sheetViews>
  <sheetFormatPr defaultColWidth="14.42578125" defaultRowHeight="15" customHeight="1" outlineLevelRow="1"/>
  <cols>
    <col min="1" max="1" width="4.140625" customWidth="1"/>
    <col min="2" max="2" width="20.7109375" customWidth="1"/>
    <col min="4" max="4" width="36.42578125" customWidth="1"/>
    <col min="5" max="5" width="12.85546875" customWidth="1"/>
    <col min="6" max="6" width="16.140625" customWidth="1"/>
    <col min="7" max="7" width="37.28515625" customWidth="1"/>
    <col min="8" max="8" width="30.7109375" customWidth="1"/>
    <col min="9" max="9" width="26.28515625" customWidth="1"/>
    <col min="10" max="10" width="10.7109375" customWidth="1"/>
    <col min="11" max="11" width="12.7109375" customWidth="1"/>
    <col min="12" max="12" width="15.7109375" customWidth="1"/>
    <col min="13" max="16" width="22.42578125" customWidth="1"/>
    <col min="17" max="26" width="8.7109375" customWidth="1"/>
  </cols>
  <sheetData>
    <row r="1" spans="1:26" ht="12.75" customHeight="1">
      <c r="A1" s="1030"/>
      <c r="B1" s="1030"/>
      <c r="C1" s="1030"/>
      <c r="D1" s="1031" t="s">
        <v>3333</v>
      </c>
      <c r="E1" s="1031"/>
      <c r="F1" s="1031"/>
      <c r="G1" s="1031"/>
      <c r="H1" s="1031"/>
      <c r="I1" s="1032"/>
      <c r="J1" s="1031"/>
      <c r="K1" s="1033"/>
      <c r="L1" s="1030"/>
      <c r="M1" s="1030" t="s">
        <v>3334</v>
      </c>
      <c r="N1" s="1030" t="s">
        <v>3335</v>
      </c>
      <c r="O1" s="1030" t="s">
        <v>3336</v>
      </c>
      <c r="P1" s="1030" t="s">
        <v>3337</v>
      </c>
      <c r="Q1" s="1030"/>
      <c r="R1" s="1030"/>
      <c r="S1" s="1030"/>
      <c r="T1" s="1030"/>
      <c r="U1" s="1030"/>
      <c r="V1" s="1030"/>
      <c r="W1" s="1030"/>
      <c r="X1" s="1030"/>
      <c r="Y1" s="1030"/>
      <c r="Z1" s="1030"/>
    </row>
    <row r="2" spans="1:26" ht="30.75" customHeight="1">
      <c r="A2" s="1030"/>
      <c r="B2" s="1030"/>
      <c r="C2" s="1030"/>
      <c r="D2" s="1034" t="s">
        <v>3338</v>
      </c>
      <c r="E2" s="1035" t="s">
        <v>117</v>
      </c>
      <c r="F2" s="1036" t="s">
        <v>3339</v>
      </c>
      <c r="G2" s="1035" t="s">
        <v>3562</v>
      </c>
      <c r="H2" s="1036" t="s">
        <v>3341</v>
      </c>
      <c r="I2" s="1037" t="s">
        <v>3342</v>
      </c>
      <c r="J2" s="1038" t="s">
        <v>3343</v>
      </c>
      <c r="K2" s="1037">
        <f>'Lista Corso'!BM490</f>
        <v>158923.85</v>
      </c>
      <c r="L2" s="1039"/>
      <c r="M2" s="1040" t="s">
        <v>3344</v>
      </c>
      <c r="N2" s="1040" t="s">
        <v>3345</v>
      </c>
      <c r="O2" s="1040" t="s">
        <v>3346</v>
      </c>
      <c r="P2" s="1040" t="s">
        <v>3346</v>
      </c>
      <c r="Q2" s="1030"/>
      <c r="R2" s="1030"/>
      <c r="S2" s="1030"/>
      <c r="T2" s="1030"/>
      <c r="U2" s="1030"/>
      <c r="V2" s="1030"/>
      <c r="W2" s="1030"/>
      <c r="X2" s="1030"/>
      <c r="Y2" s="1030"/>
      <c r="Z2" s="1030"/>
    </row>
    <row r="3" spans="1:26" ht="12.75" customHeight="1">
      <c r="A3" s="1030"/>
      <c r="B3" s="1030"/>
      <c r="C3" s="1030"/>
      <c r="D3" s="1034" t="s">
        <v>3347</v>
      </c>
      <c r="E3" s="1035">
        <f>3+3+2</f>
        <v>8</v>
      </c>
      <c r="F3" s="1034" t="s">
        <v>3348</v>
      </c>
      <c r="G3" s="1035" t="s">
        <v>3349</v>
      </c>
      <c r="H3" s="1038" t="s">
        <v>3350</v>
      </c>
      <c r="I3" s="1037" t="s">
        <v>3351</v>
      </c>
      <c r="J3" s="1038" t="s">
        <v>3352</v>
      </c>
      <c r="K3" s="1037" t="s">
        <v>3353</v>
      </c>
      <c r="L3" s="1039"/>
      <c r="M3" s="1040" t="s">
        <v>690</v>
      </c>
      <c r="N3" s="1040" t="s">
        <v>3354</v>
      </c>
      <c r="O3" s="1040" t="s">
        <v>998</v>
      </c>
      <c r="P3" s="1040" t="s">
        <v>998</v>
      </c>
      <c r="Q3" s="1030"/>
      <c r="R3" s="1030"/>
      <c r="S3" s="1030"/>
      <c r="T3" s="1030"/>
      <c r="U3" s="1030"/>
      <c r="V3" s="1030"/>
      <c r="W3" s="1030"/>
      <c r="X3" s="1030"/>
      <c r="Y3" s="1030"/>
      <c r="Z3" s="1030"/>
    </row>
    <row r="4" spans="1:26" ht="12.75" customHeight="1">
      <c r="A4" s="1030"/>
      <c r="B4" s="1030"/>
      <c r="C4" s="1030"/>
      <c r="D4" s="1039"/>
      <c r="E4" s="1030"/>
      <c r="F4" s="1039"/>
      <c r="G4" s="1039"/>
      <c r="H4" s="1030"/>
      <c r="I4" s="1041"/>
      <c r="J4" s="1038" t="s">
        <v>3355</v>
      </c>
      <c r="K4" s="1042" t="str">
        <f>IF(E3=0,"",IF(K2/E3&lt;2500,"C",IF(K2/E3&lt;4000,"B","A")))</f>
        <v>A</v>
      </c>
      <c r="L4" s="1039"/>
      <c r="M4" s="1040" t="s">
        <v>117</v>
      </c>
      <c r="N4" s="1040" t="s">
        <v>3346</v>
      </c>
      <c r="O4" s="1040" t="s">
        <v>3356</v>
      </c>
      <c r="P4" s="1040" t="s">
        <v>3356</v>
      </c>
      <c r="Q4" s="1030"/>
      <c r="R4" s="1030"/>
      <c r="S4" s="1030"/>
      <c r="T4" s="1030"/>
      <c r="U4" s="1030"/>
      <c r="V4" s="1030"/>
      <c r="W4" s="1030"/>
      <c r="X4" s="1030"/>
      <c r="Y4" s="1030"/>
      <c r="Z4" s="1030"/>
    </row>
    <row r="5" spans="1:26" ht="12.75" customHeight="1">
      <c r="A5" s="1030"/>
      <c r="B5" s="1030"/>
      <c r="C5" s="1030"/>
      <c r="D5" s="1039"/>
      <c r="E5" s="1030"/>
      <c r="F5" s="1039"/>
      <c r="G5" s="1039"/>
      <c r="H5" s="1030"/>
      <c r="I5" s="1041"/>
      <c r="J5" s="1043"/>
      <c r="K5" s="1044"/>
      <c r="L5" s="1039"/>
      <c r="M5" s="1040" t="s">
        <v>3346</v>
      </c>
      <c r="N5" s="1040" t="s">
        <v>998</v>
      </c>
      <c r="O5" s="1040" t="s">
        <v>1077</v>
      </c>
      <c r="P5" s="1040" t="s">
        <v>3357</v>
      </c>
      <c r="Q5" s="1030"/>
      <c r="R5" s="1030"/>
      <c r="S5" s="1030"/>
      <c r="T5" s="1030"/>
      <c r="U5" s="1030"/>
      <c r="V5" s="1030"/>
      <c r="W5" s="1030"/>
      <c r="X5" s="1030"/>
      <c r="Y5" s="1030"/>
      <c r="Z5" s="1030"/>
    </row>
    <row r="6" spans="1:26" ht="12.75" customHeight="1">
      <c r="A6" s="1030"/>
      <c r="B6" s="1030"/>
      <c r="C6" s="1030"/>
      <c r="D6" s="1039"/>
      <c r="E6" s="1030"/>
      <c r="F6" s="1039"/>
      <c r="G6" s="1039"/>
      <c r="H6" s="1030"/>
      <c r="I6" s="1041"/>
      <c r="J6" s="1045" t="s">
        <v>3358</v>
      </c>
      <c r="K6" s="1045" t="s">
        <v>3359</v>
      </c>
      <c r="L6" s="1039"/>
      <c r="M6" s="1040" t="s">
        <v>998</v>
      </c>
      <c r="N6" s="1040" t="s">
        <v>3356</v>
      </c>
      <c r="O6" s="1040" t="s">
        <v>976</v>
      </c>
      <c r="P6" s="1040" t="s">
        <v>1077</v>
      </c>
      <c r="Q6" s="1030"/>
      <c r="R6" s="1030"/>
      <c r="S6" s="1030"/>
      <c r="T6" s="1030"/>
      <c r="U6" s="1030"/>
      <c r="V6" s="1030"/>
      <c r="W6" s="1030"/>
      <c r="X6" s="1030"/>
      <c r="Y6" s="1030"/>
      <c r="Z6" s="1030"/>
    </row>
    <row r="7" spans="1:26" ht="26.25" customHeight="1">
      <c r="A7" s="1030"/>
      <c r="B7" s="1030"/>
      <c r="C7" s="1030"/>
      <c r="D7" s="1046" t="s">
        <v>3360</v>
      </c>
      <c r="E7" s="1035"/>
      <c r="F7" s="1035"/>
      <c r="G7" s="1047"/>
      <c r="H7" s="1047"/>
      <c r="I7" s="1048" t="s">
        <v>3361</v>
      </c>
      <c r="J7" s="1049">
        <v>0</v>
      </c>
      <c r="K7" s="1050" t="str">
        <f t="shared" ref="K7:K8" si="0">IF(E7=0,"-",E7)</f>
        <v>-</v>
      </c>
      <c r="L7" s="1030"/>
      <c r="M7" s="1040" t="s">
        <v>3356</v>
      </c>
      <c r="N7" s="1040" t="s">
        <v>1077</v>
      </c>
      <c r="O7" s="1040" t="s">
        <v>1388</v>
      </c>
      <c r="P7" s="1040" t="s">
        <v>976</v>
      </c>
      <c r="Q7" s="1030"/>
      <c r="R7" s="1030"/>
      <c r="S7" s="1030"/>
      <c r="T7" s="1030"/>
      <c r="U7" s="1030"/>
      <c r="V7" s="1030"/>
      <c r="W7" s="1030"/>
      <c r="X7" s="1030"/>
      <c r="Y7" s="1030"/>
      <c r="Z7" s="1030"/>
    </row>
    <row r="8" spans="1:26" ht="12.75" customHeight="1">
      <c r="A8" s="1030"/>
      <c r="B8" s="1030"/>
      <c r="C8" s="1030"/>
      <c r="D8" s="1046" t="s">
        <v>3362</v>
      </c>
      <c r="E8" s="1035"/>
      <c r="F8" s="1035"/>
      <c r="G8" s="1047"/>
      <c r="H8" s="1047"/>
      <c r="I8" s="1038" t="s">
        <v>3363</v>
      </c>
      <c r="J8" s="1049">
        <v>0</v>
      </c>
      <c r="K8" s="1050" t="str">
        <f t="shared" si="0"/>
        <v>-</v>
      </c>
      <c r="L8" s="1030"/>
      <c r="M8" s="1040" t="s">
        <v>3357</v>
      </c>
      <c r="N8" s="1040" t="s">
        <v>976</v>
      </c>
      <c r="O8" s="1040" t="s">
        <v>2642</v>
      </c>
      <c r="P8" s="1040" t="s">
        <v>3364</v>
      </c>
      <c r="Q8" s="1030"/>
      <c r="R8" s="1030"/>
      <c r="S8" s="1030"/>
      <c r="T8" s="1030"/>
      <c r="U8" s="1030"/>
      <c r="V8" s="1030"/>
      <c r="W8" s="1030"/>
      <c r="X8" s="1030"/>
      <c r="Y8" s="1030"/>
      <c r="Z8" s="1030"/>
    </row>
    <row r="9" spans="1:26" ht="12.75" customHeight="1">
      <c r="A9" s="1030"/>
      <c r="B9" s="1030"/>
      <c r="C9" s="1030"/>
      <c r="D9" s="1051"/>
      <c r="E9" s="1051"/>
      <c r="F9" s="1034"/>
      <c r="G9" s="1047"/>
      <c r="H9" s="1047"/>
      <c r="I9" s="1038" t="s">
        <v>3365</v>
      </c>
      <c r="J9" s="1049">
        <v>0</v>
      </c>
      <c r="K9" s="1050" t="str">
        <f>IF(E8=0,"-",E8)</f>
        <v>-</v>
      </c>
      <c r="L9" s="1030"/>
      <c r="M9" s="1040" t="s">
        <v>1077</v>
      </c>
      <c r="N9" s="1040" t="s">
        <v>3364</v>
      </c>
      <c r="O9" s="1040" t="s">
        <v>3366</v>
      </c>
      <c r="P9" s="1040" t="s">
        <v>1388</v>
      </c>
      <c r="Q9" s="1030"/>
      <c r="R9" s="1030"/>
      <c r="S9" s="1030"/>
      <c r="T9" s="1030"/>
      <c r="U9" s="1030"/>
      <c r="V9" s="1030"/>
      <c r="W9" s="1030"/>
      <c r="X9" s="1030"/>
      <c r="Y9" s="1030"/>
      <c r="Z9" s="1030"/>
    </row>
    <row r="10" spans="1:26" ht="12.75" customHeight="1">
      <c r="A10" s="1030"/>
      <c r="B10" s="1030"/>
      <c r="C10" s="1030"/>
      <c r="D10" s="1051"/>
      <c r="E10" s="1051"/>
      <c r="F10" s="1034"/>
      <c r="G10" s="1047"/>
      <c r="H10" s="1052"/>
      <c r="I10" s="1038" t="s">
        <v>3367</v>
      </c>
      <c r="J10" s="1049">
        <v>0</v>
      </c>
      <c r="K10" s="1053"/>
      <c r="L10" s="1030"/>
      <c r="M10" s="1040" t="s">
        <v>976</v>
      </c>
      <c r="N10" s="1040" t="s">
        <v>1388</v>
      </c>
      <c r="O10" s="1040" t="s">
        <v>3368</v>
      </c>
      <c r="P10" s="1040" t="s">
        <v>2642</v>
      </c>
      <c r="Q10" s="1030"/>
      <c r="R10" s="1030"/>
      <c r="S10" s="1030"/>
      <c r="T10" s="1030"/>
      <c r="U10" s="1030"/>
      <c r="V10" s="1030"/>
      <c r="W10" s="1030"/>
      <c r="X10" s="1030"/>
      <c r="Y10" s="1030"/>
      <c r="Z10" s="1030"/>
    </row>
    <row r="11" spans="1:26" ht="12.75" customHeight="1">
      <c r="A11" s="1030"/>
      <c r="B11" s="1030"/>
      <c r="C11" s="1030"/>
      <c r="D11" s="1051"/>
      <c r="E11" s="1051"/>
      <c r="F11" s="1034"/>
      <c r="G11" s="1047"/>
      <c r="H11" s="1052"/>
      <c r="I11" s="1038" t="s">
        <v>3369</v>
      </c>
      <c r="J11" s="1049"/>
      <c r="K11" s="1054" t="s">
        <v>118</v>
      </c>
      <c r="L11" s="1030"/>
      <c r="M11" s="1040" t="s">
        <v>3364</v>
      </c>
      <c r="N11" s="1040" t="s">
        <v>2642</v>
      </c>
      <c r="O11" s="1040" t="s">
        <v>3370</v>
      </c>
      <c r="P11" s="1040" t="s">
        <v>3366</v>
      </c>
      <c r="Q11" s="1030"/>
      <c r="R11" s="1030"/>
      <c r="S11" s="1030"/>
      <c r="T11" s="1030"/>
      <c r="U11" s="1030"/>
      <c r="V11" s="1030"/>
      <c r="W11" s="1030"/>
      <c r="X11" s="1030"/>
      <c r="Y11" s="1030"/>
      <c r="Z11" s="1030"/>
    </row>
    <row r="12" spans="1:26" ht="12.75" customHeight="1">
      <c r="A12" s="1030"/>
      <c r="B12" s="1030"/>
      <c r="C12" s="1030"/>
      <c r="D12" s="1055"/>
      <c r="E12" s="1056"/>
      <c r="F12" s="1055"/>
      <c r="G12" s="1055"/>
      <c r="H12" s="1056"/>
      <c r="I12" s="1057"/>
      <c r="J12" s="1058"/>
      <c r="K12" s="1059"/>
      <c r="L12" s="1039"/>
      <c r="M12" s="1040" t="s">
        <v>1388</v>
      </c>
      <c r="N12" s="1040" t="s">
        <v>3366</v>
      </c>
      <c r="O12" s="1040" t="s">
        <v>2940</v>
      </c>
      <c r="P12" s="1040" t="s">
        <v>3368</v>
      </c>
      <c r="Q12" s="1030"/>
      <c r="R12" s="1030"/>
      <c r="S12" s="1030"/>
      <c r="T12" s="1030"/>
      <c r="U12" s="1030"/>
      <c r="V12" s="1030"/>
      <c r="W12" s="1030"/>
      <c r="X12" s="1030"/>
      <c r="Y12" s="1030"/>
      <c r="Z12" s="1030"/>
    </row>
    <row r="13" spans="1:26" ht="12.75" customHeight="1">
      <c r="A13" s="1060"/>
      <c r="B13" s="1030"/>
      <c r="C13" s="1030"/>
      <c r="D13" s="1031" t="s">
        <v>3371</v>
      </c>
      <c r="E13" s="1031"/>
      <c r="F13" s="1031"/>
      <c r="G13" s="1031"/>
      <c r="H13" s="1031"/>
      <c r="I13" s="1032"/>
      <c r="J13" s="1031"/>
      <c r="K13" s="1033"/>
      <c r="L13" s="1030"/>
      <c r="M13" s="1040" t="s">
        <v>2642</v>
      </c>
      <c r="N13" s="1040" t="s">
        <v>3370</v>
      </c>
      <c r="O13" s="1040" t="s">
        <v>3372</v>
      </c>
      <c r="P13" s="1040" t="s">
        <v>3370</v>
      </c>
      <c r="Q13" s="1030"/>
      <c r="R13" s="1030"/>
      <c r="S13" s="1030"/>
      <c r="T13" s="1030"/>
      <c r="U13" s="1030"/>
      <c r="V13" s="1030"/>
      <c r="W13" s="1030"/>
      <c r="X13" s="1030"/>
      <c r="Y13" s="1030"/>
      <c r="Z13" s="1030"/>
    </row>
    <row r="14" spans="1:26" ht="12.75" customHeight="1">
      <c r="A14" s="1061"/>
      <c r="B14" s="1062" t="s">
        <v>3373</v>
      </c>
      <c r="C14" s="1063" t="s">
        <v>3374</v>
      </c>
      <c r="D14" s="1064" t="s">
        <v>3375</v>
      </c>
      <c r="E14" s="1064" t="s">
        <v>3376</v>
      </c>
      <c r="F14" s="1064" t="s">
        <v>3377</v>
      </c>
      <c r="G14" s="1064" t="s">
        <v>3378</v>
      </c>
      <c r="H14" s="1064" t="s">
        <v>3377</v>
      </c>
      <c r="I14" s="1064" t="s">
        <v>3379</v>
      </c>
      <c r="J14" s="1064" t="s">
        <v>3380</v>
      </c>
      <c r="K14" s="1065" t="s">
        <v>3381</v>
      </c>
      <c r="L14" s="1030"/>
      <c r="M14" s="1040" t="s">
        <v>3366</v>
      </c>
      <c r="N14" s="1040" t="s">
        <v>2940</v>
      </c>
      <c r="O14" s="1040" t="s">
        <v>2667</v>
      </c>
      <c r="P14" s="1040" t="s">
        <v>2940</v>
      </c>
      <c r="Q14" s="1030"/>
      <c r="R14" s="1030"/>
      <c r="S14" s="1030"/>
      <c r="T14" s="1030"/>
      <c r="U14" s="1030"/>
      <c r="V14" s="1030"/>
      <c r="W14" s="1030"/>
      <c r="X14" s="1030"/>
      <c r="Y14" s="1030"/>
      <c r="Z14" s="1030"/>
    </row>
    <row r="15" spans="1:26" ht="12.75" hidden="1" customHeight="1" outlineLevel="1">
      <c r="A15" s="1061">
        <v>1</v>
      </c>
      <c r="B15" s="1051" t="s">
        <v>3382</v>
      </c>
      <c r="C15" s="1066" t="s">
        <v>3342</v>
      </c>
      <c r="D15" s="1035" t="s">
        <v>3145</v>
      </c>
      <c r="E15" s="1035" t="s">
        <v>3383</v>
      </c>
      <c r="F15" s="1073" t="s">
        <v>3384</v>
      </c>
      <c r="G15" s="1068">
        <f t="shared" ref="G15:G68" si="1">IF(E15="MT",800,IF(E15="ET",600,IF(E15="ST",400,IF(E15="T",300,IF(E15="HTS",200,IF(E15="STS",150,IF(E15="TS",100,))))))+IF(E15="MTcod",600,IF(E15="ETcod",450,IF(E15="STcod",350,IF(E15="Tcod",250,)))+IF(E15="MTCoach",800,IF(E15="ETCoach",600,IF(E15="STCoach",400,IF(E15="TCoach",300,))))))</f>
        <v>600</v>
      </c>
      <c r="H15" s="1074"/>
      <c r="I15" s="1070">
        <v>3</v>
      </c>
      <c r="J15" s="1071"/>
      <c r="K15" s="1072">
        <f t="shared" ref="K15:K124" si="2">I15*(G15)+J15</f>
        <v>1800</v>
      </c>
      <c r="L15" s="1064" t="s">
        <v>3386</v>
      </c>
      <c r="M15" s="1040" t="s">
        <v>3368</v>
      </c>
      <c r="N15" s="1040" t="s">
        <v>3372</v>
      </c>
      <c r="O15" s="1040" t="s">
        <v>3387</v>
      </c>
      <c r="P15" s="1040" t="s">
        <v>3372</v>
      </c>
      <c r="Q15" s="1030"/>
      <c r="R15" s="1030"/>
      <c r="S15" s="1030"/>
      <c r="T15" s="1030"/>
      <c r="U15" s="1030"/>
      <c r="V15" s="1030"/>
      <c r="W15" s="1030"/>
      <c r="X15" s="1030"/>
      <c r="Y15" s="1030"/>
      <c r="Z15" s="1030"/>
    </row>
    <row r="16" spans="1:26" ht="12.75" hidden="1" customHeight="1" outlineLevel="1">
      <c r="A16" s="1061">
        <v>2</v>
      </c>
      <c r="B16" s="1051" t="s">
        <v>3382</v>
      </c>
      <c r="C16" s="1066" t="s">
        <v>3342</v>
      </c>
      <c r="D16" s="1035" t="s">
        <v>3346</v>
      </c>
      <c r="E16" s="1035" t="s">
        <v>3388</v>
      </c>
      <c r="F16" s="1073" t="s">
        <v>3384</v>
      </c>
      <c r="G16" s="1068">
        <f t="shared" si="1"/>
        <v>200</v>
      </c>
      <c r="H16" s="1074"/>
      <c r="I16" s="1070">
        <v>3.5</v>
      </c>
      <c r="J16" s="1071"/>
      <c r="K16" s="1072">
        <f t="shared" si="2"/>
        <v>700</v>
      </c>
      <c r="L16" s="1064" t="s">
        <v>3389</v>
      </c>
      <c r="M16" s="1040" t="s">
        <v>3370</v>
      </c>
      <c r="N16" s="1040" t="s">
        <v>2667</v>
      </c>
      <c r="O16" s="1040" t="s">
        <v>2689</v>
      </c>
      <c r="P16" s="1040" t="s">
        <v>2667</v>
      </c>
      <c r="Q16" s="1030"/>
      <c r="R16" s="1030"/>
      <c r="S16" s="1030"/>
      <c r="T16" s="1030"/>
      <c r="U16" s="1030"/>
      <c r="V16" s="1030"/>
      <c r="W16" s="1030"/>
      <c r="X16" s="1030"/>
      <c r="Y16" s="1030"/>
      <c r="Z16" s="1030"/>
    </row>
    <row r="17" spans="1:26" ht="12.75" hidden="1" customHeight="1" outlineLevel="1">
      <c r="A17" s="1061">
        <v>3</v>
      </c>
      <c r="B17" s="1051" t="s">
        <v>3382</v>
      </c>
      <c r="C17" s="1066" t="s">
        <v>3342</v>
      </c>
      <c r="D17" s="1035" t="s">
        <v>998</v>
      </c>
      <c r="E17" s="1035" t="s">
        <v>3388</v>
      </c>
      <c r="F17" s="1073" t="s">
        <v>3384</v>
      </c>
      <c r="G17" s="1068">
        <f t="shared" si="1"/>
        <v>200</v>
      </c>
      <c r="H17" s="1074"/>
      <c r="I17" s="1070">
        <v>0</v>
      </c>
      <c r="J17" s="1071"/>
      <c r="K17" s="1072">
        <f t="shared" si="2"/>
        <v>0</v>
      </c>
      <c r="L17" s="1064" t="s">
        <v>3390</v>
      </c>
      <c r="M17" s="1040" t="s">
        <v>2940</v>
      </c>
      <c r="N17" s="1040" t="s">
        <v>3387</v>
      </c>
      <c r="O17" s="1040" t="s">
        <v>3145</v>
      </c>
      <c r="P17" s="1040" t="s">
        <v>3391</v>
      </c>
      <c r="Q17" s="1030"/>
      <c r="R17" s="1030"/>
      <c r="S17" s="1030"/>
      <c r="T17" s="1030"/>
      <c r="U17" s="1030"/>
      <c r="V17" s="1030"/>
      <c r="W17" s="1030"/>
      <c r="X17" s="1030"/>
      <c r="Y17" s="1030"/>
      <c r="Z17" s="1030"/>
    </row>
    <row r="18" spans="1:26" ht="12.75" hidden="1" customHeight="1" outlineLevel="1">
      <c r="A18" s="1061">
        <f t="shared" ref="A18:A76" si="3">A17+1</f>
        <v>4</v>
      </c>
      <c r="B18" s="1051" t="s">
        <v>3382</v>
      </c>
      <c r="C18" s="1066" t="s">
        <v>3342</v>
      </c>
      <c r="D18" s="1035" t="s">
        <v>3392</v>
      </c>
      <c r="E18" s="1035" t="s">
        <v>3393</v>
      </c>
      <c r="F18" s="1073" t="s">
        <v>3384</v>
      </c>
      <c r="G18" s="1068">
        <f t="shared" si="1"/>
        <v>100</v>
      </c>
      <c r="H18" s="1074"/>
      <c r="I18" s="1070">
        <v>3</v>
      </c>
      <c r="J18" s="1071"/>
      <c r="K18" s="1072">
        <f t="shared" si="2"/>
        <v>300</v>
      </c>
      <c r="L18" s="1064" t="s">
        <v>3394</v>
      </c>
      <c r="M18" s="1040" t="s">
        <v>3372</v>
      </c>
      <c r="N18" s="1040" t="s">
        <v>2689</v>
      </c>
      <c r="O18" s="1040" t="s">
        <v>3395</v>
      </c>
      <c r="P18" s="1040" t="s">
        <v>3396</v>
      </c>
      <c r="Q18" s="1030"/>
      <c r="R18" s="1030"/>
      <c r="S18" s="1030"/>
      <c r="T18" s="1030"/>
      <c r="U18" s="1030"/>
      <c r="V18" s="1030"/>
      <c r="W18" s="1030"/>
      <c r="X18" s="1030"/>
      <c r="Y18" s="1030"/>
      <c r="Z18" s="1030"/>
    </row>
    <row r="19" spans="1:26" ht="12.75" hidden="1" customHeight="1" outlineLevel="1">
      <c r="A19" s="1061">
        <f t="shared" si="3"/>
        <v>5</v>
      </c>
      <c r="B19" s="1051" t="s">
        <v>3382</v>
      </c>
      <c r="C19" s="1066" t="s">
        <v>3342</v>
      </c>
      <c r="D19" s="1035" t="s">
        <v>3356</v>
      </c>
      <c r="E19" s="1035" t="s">
        <v>3383</v>
      </c>
      <c r="F19" s="1073" t="s">
        <v>3384</v>
      </c>
      <c r="G19" s="1068">
        <f t="shared" si="1"/>
        <v>600</v>
      </c>
      <c r="H19" s="1074"/>
      <c r="I19" s="1070">
        <v>3</v>
      </c>
      <c r="J19" s="1071"/>
      <c r="K19" s="1072">
        <f t="shared" si="2"/>
        <v>1800</v>
      </c>
      <c r="L19" s="1064" t="s">
        <v>3397</v>
      </c>
      <c r="M19" s="1040" t="s">
        <v>2667</v>
      </c>
      <c r="N19" s="1040" t="s">
        <v>3145</v>
      </c>
      <c r="O19" s="1040" t="s">
        <v>3398</v>
      </c>
      <c r="P19" s="1040" t="s">
        <v>3399</v>
      </c>
      <c r="Q19" s="1030"/>
      <c r="R19" s="1030"/>
      <c r="S19" s="1030"/>
      <c r="T19" s="1030"/>
      <c r="U19" s="1030"/>
      <c r="V19" s="1030"/>
      <c r="W19" s="1030"/>
      <c r="X19" s="1030"/>
      <c r="Y19" s="1030"/>
      <c r="Z19" s="1030"/>
    </row>
    <row r="20" spans="1:26" ht="12.75" hidden="1" customHeight="1" outlineLevel="1">
      <c r="A20" s="1061">
        <f t="shared" si="3"/>
        <v>6</v>
      </c>
      <c r="B20" s="1051" t="s">
        <v>3382</v>
      </c>
      <c r="C20" s="1066" t="s">
        <v>3342</v>
      </c>
      <c r="D20" s="1035" t="s">
        <v>3357</v>
      </c>
      <c r="E20" s="1035" t="s">
        <v>3388</v>
      </c>
      <c r="F20" s="1073" t="s">
        <v>3384</v>
      </c>
      <c r="G20" s="1068">
        <f t="shared" si="1"/>
        <v>200</v>
      </c>
      <c r="H20" s="1074"/>
      <c r="I20" s="1070">
        <v>3</v>
      </c>
      <c r="J20" s="1071"/>
      <c r="K20" s="1072">
        <f t="shared" si="2"/>
        <v>600</v>
      </c>
      <c r="L20" s="1030"/>
      <c r="M20" s="1030" t="s">
        <v>3391</v>
      </c>
      <c r="N20" s="1030" t="s">
        <v>3395</v>
      </c>
      <c r="O20" s="1030" t="s">
        <v>3400</v>
      </c>
      <c r="P20" s="1030" t="s">
        <v>3387</v>
      </c>
      <c r="Q20" s="1030"/>
      <c r="R20" s="1030"/>
      <c r="S20" s="1030"/>
      <c r="T20" s="1030"/>
      <c r="U20" s="1030"/>
      <c r="V20" s="1030"/>
      <c r="W20" s="1030"/>
      <c r="X20" s="1030"/>
      <c r="Y20" s="1030"/>
      <c r="Z20" s="1030"/>
    </row>
    <row r="21" spans="1:26" ht="12.75" hidden="1" customHeight="1" outlineLevel="1">
      <c r="A21" s="1061">
        <f t="shared" si="3"/>
        <v>7</v>
      </c>
      <c r="B21" s="1051" t="s">
        <v>3382</v>
      </c>
      <c r="C21" s="1066" t="s">
        <v>3342</v>
      </c>
      <c r="D21" s="1035" t="s">
        <v>1077</v>
      </c>
      <c r="E21" s="1035" t="s">
        <v>3383</v>
      </c>
      <c r="F21" s="1073" t="s">
        <v>3384</v>
      </c>
      <c r="G21" s="1068">
        <f t="shared" si="1"/>
        <v>600</v>
      </c>
      <c r="H21" s="1074"/>
      <c r="I21" s="1070">
        <v>3</v>
      </c>
      <c r="J21" s="1071"/>
      <c r="K21" s="1072">
        <f t="shared" si="2"/>
        <v>1800</v>
      </c>
      <c r="L21" s="1030"/>
      <c r="M21" s="1030" t="s">
        <v>3145</v>
      </c>
      <c r="N21" s="1030"/>
      <c r="O21" s="1030"/>
      <c r="P21" s="1030" t="s">
        <v>3401</v>
      </c>
      <c r="Q21" s="1030"/>
      <c r="R21" s="1030"/>
      <c r="S21" s="1030"/>
      <c r="T21" s="1030"/>
      <c r="U21" s="1030"/>
      <c r="V21" s="1030"/>
      <c r="W21" s="1030"/>
      <c r="X21" s="1030"/>
      <c r="Y21" s="1030"/>
      <c r="Z21" s="1030"/>
    </row>
    <row r="22" spans="1:26" ht="12.75" hidden="1" customHeight="1" outlineLevel="1">
      <c r="A22" s="1061">
        <f t="shared" si="3"/>
        <v>8</v>
      </c>
      <c r="B22" s="1051" t="s">
        <v>3382</v>
      </c>
      <c r="C22" s="1066" t="s">
        <v>3342</v>
      </c>
      <c r="D22" s="1035" t="s">
        <v>976</v>
      </c>
      <c r="E22" s="1035" t="s">
        <v>3388</v>
      </c>
      <c r="F22" s="1073" t="s">
        <v>3384</v>
      </c>
      <c r="G22" s="1068">
        <f t="shared" si="1"/>
        <v>200</v>
      </c>
      <c r="H22" s="1074"/>
      <c r="I22" s="1070">
        <v>3.5</v>
      </c>
      <c r="J22" s="1071"/>
      <c r="K22" s="1072">
        <f t="shared" si="2"/>
        <v>700</v>
      </c>
      <c r="L22" s="1030"/>
      <c r="M22" s="1030" t="s">
        <v>2689</v>
      </c>
      <c r="N22" s="1030"/>
      <c r="O22" s="1030"/>
      <c r="P22" s="1030" t="s">
        <v>3398</v>
      </c>
      <c r="Q22" s="1030"/>
      <c r="R22" s="1030"/>
      <c r="S22" s="1030"/>
      <c r="T22" s="1030"/>
      <c r="U22" s="1030"/>
      <c r="V22" s="1030"/>
      <c r="W22" s="1030"/>
      <c r="X22" s="1030"/>
      <c r="Y22" s="1030"/>
      <c r="Z22" s="1030"/>
    </row>
    <row r="23" spans="1:26" ht="12.75" hidden="1" customHeight="1" outlineLevel="1">
      <c r="A23" s="1061">
        <f t="shared" si="3"/>
        <v>9</v>
      </c>
      <c r="B23" s="1051" t="s">
        <v>3382</v>
      </c>
      <c r="C23" s="1066" t="s">
        <v>3342</v>
      </c>
      <c r="D23" s="1035" t="s">
        <v>3364</v>
      </c>
      <c r="E23" s="1035" t="s">
        <v>3409</v>
      </c>
      <c r="F23" s="1073" t="s">
        <v>3384</v>
      </c>
      <c r="G23" s="1068">
        <f t="shared" si="1"/>
        <v>150</v>
      </c>
      <c r="H23" s="1074"/>
      <c r="I23" s="1070">
        <v>3.5</v>
      </c>
      <c r="J23" s="1071"/>
      <c r="K23" s="1072">
        <f t="shared" si="2"/>
        <v>525</v>
      </c>
      <c r="L23" s="1030"/>
      <c r="M23" s="1030" t="s">
        <v>3402</v>
      </c>
      <c r="N23" s="1030" t="s">
        <v>3398</v>
      </c>
      <c r="O23" s="1030" t="s">
        <v>2802</v>
      </c>
      <c r="P23" s="1030" t="s">
        <v>2689</v>
      </c>
      <c r="Q23" s="1030"/>
      <c r="R23" s="1030"/>
      <c r="S23" s="1030"/>
      <c r="T23" s="1030"/>
      <c r="U23" s="1030"/>
      <c r="V23" s="1030"/>
      <c r="W23" s="1030"/>
      <c r="X23" s="1030"/>
      <c r="Y23" s="1030"/>
      <c r="Z23" s="1030"/>
    </row>
    <row r="24" spans="1:26" ht="12.75" hidden="1" customHeight="1" outlineLevel="1">
      <c r="A24" s="1061">
        <f t="shared" si="3"/>
        <v>10</v>
      </c>
      <c r="B24" s="1051" t="s">
        <v>3382</v>
      </c>
      <c r="C24" s="1066" t="s">
        <v>3342</v>
      </c>
      <c r="D24" s="1035" t="s">
        <v>1388</v>
      </c>
      <c r="E24" s="1035" t="s">
        <v>3388</v>
      </c>
      <c r="F24" s="1073" t="s">
        <v>3384</v>
      </c>
      <c r="G24" s="1068">
        <f t="shared" si="1"/>
        <v>200</v>
      </c>
      <c r="H24" s="1074"/>
      <c r="I24" s="1070">
        <v>3</v>
      </c>
      <c r="J24" s="1071"/>
      <c r="K24" s="1072">
        <f t="shared" si="2"/>
        <v>600</v>
      </c>
      <c r="L24" s="1030"/>
      <c r="M24" s="1030" t="s">
        <v>3396</v>
      </c>
      <c r="N24" s="1030" t="s">
        <v>3400</v>
      </c>
      <c r="O24" s="1030" t="s">
        <v>3403</v>
      </c>
      <c r="P24" s="1030" t="s">
        <v>3404</v>
      </c>
      <c r="Q24" s="1030"/>
      <c r="R24" s="1030"/>
      <c r="S24" s="1030"/>
      <c r="T24" s="1030"/>
      <c r="U24" s="1030"/>
      <c r="V24" s="1030"/>
      <c r="W24" s="1030"/>
      <c r="X24" s="1030"/>
      <c r="Y24" s="1030"/>
      <c r="Z24" s="1030"/>
    </row>
    <row r="25" spans="1:26" ht="12.75" hidden="1" customHeight="1" outlineLevel="1">
      <c r="A25" s="1061">
        <f t="shared" si="3"/>
        <v>11</v>
      </c>
      <c r="B25" s="1051" t="s">
        <v>3382</v>
      </c>
      <c r="C25" s="1066" t="s">
        <v>3342</v>
      </c>
      <c r="D25" s="1035" t="s">
        <v>2642</v>
      </c>
      <c r="E25" s="1035" t="s">
        <v>3388</v>
      </c>
      <c r="F25" s="1073" t="s">
        <v>3384</v>
      </c>
      <c r="G25" s="1068">
        <f t="shared" si="1"/>
        <v>200</v>
      </c>
      <c r="H25" s="1074"/>
      <c r="I25" s="1070">
        <v>3.5</v>
      </c>
      <c r="J25" s="1071"/>
      <c r="K25" s="1072">
        <f t="shared" si="2"/>
        <v>700</v>
      </c>
      <c r="L25" s="1030"/>
      <c r="M25" s="1030" t="s">
        <v>3399</v>
      </c>
      <c r="N25" s="1030" t="s">
        <v>2802</v>
      </c>
      <c r="O25" s="1030"/>
      <c r="P25" s="1030" t="s">
        <v>3145</v>
      </c>
      <c r="Q25" s="1030"/>
      <c r="R25" s="1030"/>
      <c r="S25" s="1030"/>
      <c r="T25" s="1030"/>
      <c r="U25" s="1030"/>
      <c r="V25" s="1030"/>
      <c r="W25" s="1030"/>
      <c r="X25" s="1030"/>
      <c r="Y25" s="1030"/>
      <c r="Z25" s="1030"/>
    </row>
    <row r="26" spans="1:26" ht="12.75" hidden="1" customHeight="1" outlineLevel="1">
      <c r="A26" s="1061">
        <f t="shared" si="3"/>
        <v>12</v>
      </c>
      <c r="B26" s="1051" t="s">
        <v>3382</v>
      </c>
      <c r="C26" s="1066" t="s">
        <v>3342</v>
      </c>
      <c r="D26" s="1035" t="s">
        <v>3366</v>
      </c>
      <c r="E26" s="1035" t="s">
        <v>3388</v>
      </c>
      <c r="F26" s="1073" t="s">
        <v>3384</v>
      </c>
      <c r="G26" s="1068">
        <f t="shared" si="1"/>
        <v>200</v>
      </c>
      <c r="H26" s="1074"/>
      <c r="I26" s="1070">
        <v>3.5</v>
      </c>
      <c r="J26" s="1071"/>
      <c r="K26" s="1072">
        <f t="shared" si="2"/>
        <v>700</v>
      </c>
      <c r="L26" s="1030"/>
      <c r="M26" s="1030" t="s">
        <v>3387</v>
      </c>
      <c r="N26" s="1030" t="s">
        <v>3403</v>
      </c>
      <c r="O26" s="1030"/>
      <c r="P26" s="1030" t="s">
        <v>3395</v>
      </c>
      <c r="Q26" s="1030"/>
      <c r="R26" s="1030"/>
      <c r="S26" s="1030"/>
      <c r="T26" s="1030"/>
      <c r="U26" s="1030"/>
      <c r="V26" s="1030"/>
      <c r="W26" s="1030"/>
      <c r="X26" s="1030"/>
      <c r="Y26" s="1030"/>
      <c r="Z26" s="1030"/>
    </row>
    <row r="27" spans="1:26" ht="12.75" hidden="1" customHeight="1" outlineLevel="1">
      <c r="A27" s="1061">
        <f t="shared" si="3"/>
        <v>13</v>
      </c>
      <c r="B27" s="1051" t="s">
        <v>3382</v>
      </c>
      <c r="C27" s="1066" t="s">
        <v>3342</v>
      </c>
      <c r="D27" s="1035" t="s">
        <v>3370</v>
      </c>
      <c r="E27" s="1035" t="s">
        <v>3388</v>
      </c>
      <c r="F27" s="1073" t="s">
        <v>3384</v>
      </c>
      <c r="G27" s="1068">
        <f t="shared" si="1"/>
        <v>200</v>
      </c>
      <c r="H27" s="1074"/>
      <c r="I27" s="1070">
        <v>0</v>
      </c>
      <c r="J27" s="1071"/>
      <c r="K27" s="1072">
        <f t="shared" si="2"/>
        <v>0</v>
      </c>
      <c r="L27" s="1030"/>
      <c r="M27" s="1030" t="s">
        <v>3404</v>
      </c>
      <c r="N27" s="1030"/>
      <c r="O27" s="1030"/>
      <c r="P27" s="1030" t="s">
        <v>3405</v>
      </c>
      <c r="Q27" s="1030"/>
      <c r="R27" s="1030"/>
      <c r="S27" s="1030"/>
      <c r="T27" s="1030"/>
      <c r="U27" s="1030"/>
      <c r="V27" s="1030"/>
      <c r="W27" s="1030"/>
      <c r="X27" s="1030"/>
      <c r="Y27" s="1030"/>
      <c r="Z27" s="1030"/>
    </row>
    <row r="28" spans="1:26" ht="12.75" hidden="1" customHeight="1" outlineLevel="1">
      <c r="A28" s="1061">
        <f t="shared" si="3"/>
        <v>14</v>
      </c>
      <c r="B28" s="1051" t="s">
        <v>3382</v>
      </c>
      <c r="C28" s="1066" t="s">
        <v>3342</v>
      </c>
      <c r="D28" s="1035" t="s">
        <v>2940</v>
      </c>
      <c r="E28" s="1035" t="s">
        <v>3388</v>
      </c>
      <c r="F28" s="1073" t="s">
        <v>3384</v>
      </c>
      <c r="G28" s="1068">
        <f t="shared" si="1"/>
        <v>200</v>
      </c>
      <c r="H28" s="1074"/>
      <c r="I28" s="1070">
        <v>3</v>
      </c>
      <c r="J28" s="1071"/>
      <c r="K28" s="1072">
        <f t="shared" si="2"/>
        <v>600</v>
      </c>
      <c r="L28" s="1030"/>
      <c r="M28" s="1030" t="s">
        <v>3395</v>
      </c>
      <c r="N28" s="1030"/>
      <c r="O28" s="1030"/>
      <c r="P28" s="1030" t="s">
        <v>3400</v>
      </c>
      <c r="Q28" s="1030"/>
      <c r="R28" s="1030"/>
      <c r="S28" s="1030"/>
      <c r="T28" s="1030"/>
      <c r="U28" s="1030"/>
      <c r="V28" s="1030"/>
      <c r="W28" s="1030"/>
      <c r="X28" s="1030"/>
      <c r="Y28" s="1030"/>
      <c r="Z28" s="1030"/>
    </row>
    <row r="29" spans="1:26" ht="12.75" hidden="1" customHeight="1" outlineLevel="1">
      <c r="A29" s="1061">
        <f t="shared" si="3"/>
        <v>15</v>
      </c>
      <c r="B29" s="1051" t="s">
        <v>3382</v>
      </c>
      <c r="C29" s="1066" t="s">
        <v>3342</v>
      </c>
      <c r="D29" s="1035" t="s">
        <v>2667</v>
      </c>
      <c r="E29" s="1035" t="s">
        <v>3388</v>
      </c>
      <c r="F29" s="1073" t="s">
        <v>3384</v>
      </c>
      <c r="G29" s="1068">
        <f t="shared" si="1"/>
        <v>200</v>
      </c>
      <c r="H29" s="1074"/>
      <c r="I29" s="1070">
        <v>0</v>
      </c>
      <c r="J29" s="1071"/>
      <c r="K29" s="1072">
        <f t="shared" si="2"/>
        <v>0</v>
      </c>
      <c r="L29" s="1030"/>
      <c r="M29" s="1030" t="s">
        <v>3405</v>
      </c>
      <c r="N29" s="1030"/>
      <c r="O29" s="1030"/>
      <c r="P29" s="1030" t="s">
        <v>3407</v>
      </c>
      <c r="Q29" s="1030"/>
      <c r="R29" s="1030"/>
      <c r="S29" s="1030"/>
      <c r="T29" s="1030"/>
      <c r="U29" s="1030"/>
      <c r="V29" s="1030"/>
      <c r="W29" s="1030"/>
      <c r="X29" s="1030"/>
      <c r="Y29" s="1030"/>
      <c r="Z29" s="1030"/>
    </row>
    <row r="30" spans="1:26" ht="12.75" hidden="1" customHeight="1" outlineLevel="1">
      <c r="A30" s="1061">
        <f t="shared" si="3"/>
        <v>16</v>
      </c>
      <c r="B30" s="1051" t="s">
        <v>3382</v>
      </c>
      <c r="C30" s="1066" t="s">
        <v>3342</v>
      </c>
      <c r="D30" s="1035" t="s">
        <v>3396</v>
      </c>
      <c r="E30" s="1035" t="s">
        <v>3409</v>
      </c>
      <c r="F30" s="1073" t="s">
        <v>3384</v>
      </c>
      <c r="G30" s="1068">
        <f t="shared" si="1"/>
        <v>150</v>
      </c>
      <c r="H30" s="1074"/>
      <c r="I30" s="1070">
        <v>0</v>
      </c>
      <c r="J30" s="1071"/>
      <c r="K30" s="1072">
        <f t="shared" si="2"/>
        <v>0</v>
      </c>
      <c r="L30" s="1030"/>
      <c r="M30" s="1030" t="s">
        <v>3401</v>
      </c>
      <c r="N30" s="1030"/>
      <c r="O30" s="1030"/>
      <c r="P30" s="1030" t="s">
        <v>3403</v>
      </c>
      <c r="Q30" s="1030"/>
      <c r="R30" s="1030"/>
      <c r="S30" s="1030"/>
      <c r="T30" s="1030"/>
      <c r="U30" s="1030"/>
      <c r="V30" s="1030"/>
      <c r="W30" s="1030"/>
      <c r="X30" s="1030"/>
      <c r="Y30" s="1030"/>
      <c r="Z30" s="1030"/>
    </row>
    <row r="31" spans="1:26" ht="12.75" hidden="1" customHeight="1" outlineLevel="1">
      <c r="A31" s="1061">
        <f t="shared" si="3"/>
        <v>17</v>
      </c>
      <c r="B31" s="1051" t="s">
        <v>3382</v>
      </c>
      <c r="C31" s="1066" t="s">
        <v>3342</v>
      </c>
      <c r="D31" s="1035" t="s">
        <v>3399</v>
      </c>
      <c r="E31" s="1035" t="s">
        <v>3409</v>
      </c>
      <c r="F31" s="1073" t="s">
        <v>3384</v>
      </c>
      <c r="G31" s="1068">
        <f t="shared" si="1"/>
        <v>150</v>
      </c>
      <c r="H31" s="1074"/>
      <c r="I31" s="1070">
        <v>3.5</v>
      </c>
      <c r="J31" s="1071"/>
      <c r="K31" s="1072">
        <f t="shared" si="2"/>
        <v>525</v>
      </c>
      <c r="L31" s="1030"/>
      <c r="M31" s="1030" t="s">
        <v>3400</v>
      </c>
      <c r="N31" s="1030"/>
      <c r="O31" s="1030"/>
      <c r="P31" s="1030"/>
      <c r="Q31" s="1030"/>
      <c r="R31" s="1030"/>
      <c r="S31" s="1030"/>
      <c r="T31" s="1030"/>
      <c r="U31" s="1030"/>
      <c r="V31" s="1030"/>
      <c r="W31" s="1030"/>
      <c r="X31" s="1030"/>
      <c r="Y31" s="1030"/>
      <c r="Z31" s="1030"/>
    </row>
    <row r="32" spans="1:26" ht="12.75" hidden="1" customHeight="1" outlineLevel="1">
      <c r="A32" s="1061">
        <f t="shared" si="3"/>
        <v>18</v>
      </c>
      <c r="B32" s="1051" t="s">
        <v>3382</v>
      </c>
      <c r="C32" s="1066" t="s">
        <v>3342</v>
      </c>
      <c r="D32" s="1035" t="s">
        <v>3387</v>
      </c>
      <c r="E32" s="1035" t="s">
        <v>3388</v>
      </c>
      <c r="F32" s="1073" t="s">
        <v>3384</v>
      </c>
      <c r="G32" s="1068">
        <f t="shared" si="1"/>
        <v>200</v>
      </c>
      <c r="H32" s="1074"/>
      <c r="I32" s="1070">
        <v>3.5</v>
      </c>
      <c r="J32" s="1071"/>
      <c r="K32" s="1072">
        <f t="shared" si="2"/>
        <v>700</v>
      </c>
      <c r="L32" s="1030"/>
      <c r="M32" s="1030" t="s">
        <v>2802</v>
      </c>
      <c r="N32" s="1030"/>
      <c r="O32" s="1030"/>
      <c r="P32" s="1030"/>
      <c r="Q32" s="1030"/>
      <c r="R32" s="1030"/>
      <c r="S32" s="1030"/>
      <c r="T32" s="1030"/>
      <c r="U32" s="1030"/>
      <c r="V32" s="1030"/>
      <c r="W32" s="1030"/>
      <c r="X32" s="1030"/>
      <c r="Y32" s="1030"/>
      <c r="Z32" s="1030"/>
    </row>
    <row r="33" spans="1:26" ht="12.75" hidden="1" customHeight="1" outlineLevel="1">
      <c r="A33" s="1061">
        <f t="shared" si="3"/>
        <v>19</v>
      </c>
      <c r="B33" s="1051" t="s">
        <v>3382</v>
      </c>
      <c r="C33" s="1066" t="s">
        <v>3342</v>
      </c>
      <c r="D33" s="1035" t="s">
        <v>2689</v>
      </c>
      <c r="E33" s="1035" t="s">
        <v>3388</v>
      </c>
      <c r="F33" s="1073" t="s">
        <v>3384</v>
      </c>
      <c r="G33" s="1068">
        <f t="shared" si="1"/>
        <v>200</v>
      </c>
      <c r="H33" s="1074"/>
      <c r="I33" s="1070">
        <v>3</v>
      </c>
      <c r="J33" s="1071"/>
      <c r="K33" s="1072">
        <f t="shared" si="2"/>
        <v>600</v>
      </c>
      <c r="L33" s="1030"/>
      <c r="M33" s="1030" t="s">
        <v>3407</v>
      </c>
      <c r="N33" s="1030"/>
      <c r="O33" s="1030"/>
      <c r="P33" s="1030"/>
      <c r="Q33" s="1030"/>
      <c r="R33" s="1030"/>
      <c r="S33" s="1030"/>
      <c r="T33" s="1030"/>
      <c r="U33" s="1030"/>
      <c r="V33" s="1030"/>
      <c r="W33" s="1030"/>
      <c r="X33" s="1030"/>
      <c r="Y33" s="1030"/>
      <c r="Z33" s="1030"/>
    </row>
    <row r="34" spans="1:26" ht="12.75" hidden="1" customHeight="1" outlineLevel="1">
      <c r="A34" s="1061">
        <f t="shared" si="3"/>
        <v>20</v>
      </c>
      <c r="B34" s="1051" t="s">
        <v>3382</v>
      </c>
      <c r="C34" s="1066" t="s">
        <v>3342</v>
      </c>
      <c r="D34" s="1035" t="s">
        <v>3404</v>
      </c>
      <c r="E34" s="1035" t="s">
        <v>3388</v>
      </c>
      <c r="F34" s="1073" t="s">
        <v>3384</v>
      </c>
      <c r="G34" s="1068">
        <f t="shared" si="1"/>
        <v>200</v>
      </c>
      <c r="H34" s="1074"/>
      <c r="I34" s="1070">
        <v>3.5</v>
      </c>
      <c r="J34" s="1071"/>
      <c r="K34" s="1072">
        <f t="shared" si="2"/>
        <v>700</v>
      </c>
      <c r="L34" s="1030"/>
      <c r="M34" s="1030" t="s">
        <v>3403</v>
      </c>
      <c r="N34" s="1030"/>
      <c r="O34" s="1030"/>
      <c r="P34" s="1030"/>
      <c r="Q34" s="1030"/>
      <c r="R34" s="1030"/>
      <c r="S34" s="1030"/>
      <c r="T34" s="1030"/>
      <c r="U34" s="1030"/>
      <c r="V34" s="1030"/>
      <c r="W34" s="1030"/>
      <c r="X34" s="1030"/>
      <c r="Y34" s="1030"/>
      <c r="Z34" s="1030"/>
    </row>
    <row r="35" spans="1:26" ht="12.75" hidden="1" customHeight="1" outlineLevel="1">
      <c r="A35" s="1061">
        <f t="shared" si="3"/>
        <v>21</v>
      </c>
      <c r="B35" s="1051" t="s">
        <v>3382</v>
      </c>
      <c r="C35" s="1066" t="s">
        <v>3342</v>
      </c>
      <c r="D35" s="1035" t="s">
        <v>3395</v>
      </c>
      <c r="E35" s="1035" t="s">
        <v>3388</v>
      </c>
      <c r="F35" s="1073" t="s">
        <v>3384</v>
      </c>
      <c r="G35" s="1068">
        <f t="shared" si="1"/>
        <v>200</v>
      </c>
      <c r="H35" s="1074"/>
      <c r="I35" s="1070">
        <v>3.5</v>
      </c>
      <c r="J35" s="1071"/>
      <c r="K35" s="1072">
        <f t="shared" si="2"/>
        <v>700</v>
      </c>
      <c r="L35" s="1030"/>
      <c r="M35" s="1030"/>
      <c r="N35" s="1030"/>
      <c r="O35" s="1030"/>
      <c r="P35" s="1030"/>
      <c r="Q35" s="1030"/>
      <c r="R35" s="1030"/>
      <c r="S35" s="1030"/>
      <c r="T35" s="1030"/>
      <c r="U35" s="1030"/>
      <c r="V35" s="1030"/>
      <c r="W35" s="1030"/>
      <c r="X35" s="1030"/>
      <c r="Y35" s="1030"/>
      <c r="Z35" s="1030"/>
    </row>
    <row r="36" spans="1:26" ht="12.75" hidden="1" customHeight="1" outlineLevel="1">
      <c r="A36" s="1061">
        <f t="shared" si="3"/>
        <v>22</v>
      </c>
      <c r="B36" s="1051" t="s">
        <v>3382</v>
      </c>
      <c r="C36" s="1066" t="s">
        <v>3342</v>
      </c>
      <c r="D36" s="1035" t="s">
        <v>3398</v>
      </c>
      <c r="E36" s="1035" t="s">
        <v>3388</v>
      </c>
      <c r="F36" s="1073" t="s">
        <v>3384</v>
      </c>
      <c r="G36" s="1068">
        <f t="shared" si="1"/>
        <v>200</v>
      </c>
      <c r="H36" s="1074"/>
      <c r="I36" s="1070">
        <v>2</v>
      </c>
      <c r="J36" s="1071"/>
      <c r="K36" s="1072">
        <f t="shared" si="2"/>
        <v>400</v>
      </c>
      <c r="L36" s="1030"/>
      <c r="M36" s="1030"/>
      <c r="N36" s="1030"/>
      <c r="O36" s="1030"/>
      <c r="P36" s="1030"/>
      <c r="Q36" s="1030"/>
      <c r="R36" s="1030"/>
      <c r="S36" s="1030"/>
      <c r="T36" s="1030"/>
      <c r="U36" s="1030"/>
      <c r="V36" s="1030"/>
      <c r="W36" s="1030"/>
      <c r="X36" s="1030"/>
      <c r="Y36" s="1030"/>
      <c r="Z36" s="1030"/>
    </row>
    <row r="37" spans="1:26" ht="12.75" hidden="1" customHeight="1" outlineLevel="1">
      <c r="A37" s="1061">
        <f t="shared" si="3"/>
        <v>23</v>
      </c>
      <c r="B37" s="1051" t="s">
        <v>3382</v>
      </c>
      <c r="C37" s="1066" t="s">
        <v>3342</v>
      </c>
      <c r="D37" s="1035" t="s">
        <v>3405</v>
      </c>
      <c r="E37" s="1035" t="s">
        <v>3388</v>
      </c>
      <c r="F37" s="1073" t="s">
        <v>3384</v>
      </c>
      <c r="G37" s="1068">
        <f t="shared" si="1"/>
        <v>200</v>
      </c>
      <c r="H37" s="1074"/>
      <c r="I37" s="1070">
        <v>3.5</v>
      </c>
      <c r="J37" s="1071"/>
      <c r="K37" s="1072">
        <f t="shared" si="2"/>
        <v>700</v>
      </c>
      <c r="L37" s="1030"/>
      <c r="M37" s="1030"/>
      <c r="N37" s="1030"/>
      <c r="O37" s="1030"/>
      <c r="P37" s="1030"/>
      <c r="Q37" s="1030"/>
      <c r="R37" s="1030"/>
      <c r="S37" s="1030"/>
      <c r="T37" s="1030"/>
      <c r="U37" s="1030"/>
      <c r="V37" s="1030"/>
      <c r="W37" s="1030"/>
      <c r="X37" s="1030"/>
      <c r="Y37" s="1030"/>
      <c r="Z37" s="1030"/>
    </row>
    <row r="38" spans="1:26" ht="12.75" hidden="1" customHeight="1" outlineLevel="1">
      <c r="A38" s="1061">
        <f t="shared" si="3"/>
        <v>24</v>
      </c>
      <c r="B38" s="1051" t="s">
        <v>3382</v>
      </c>
      <c r="C38" s="1066" t="s">
        <v>3342</v>
      </c>
      <c r="D38" s="1035" t="s">
        <v>3408</v>
      </c>
      <c r="E38" s="1035" t="s">
        <v>3393</v>
      </c>
      <c r="F38" s="1073" t="s">
        <v>3384</v>
      </c>
      <c r="G38" s="1068">
        <f t="shared" si="1"/>
        <v>100</v>
      </c>
      <c r="H38" s="1074"/>
      <c r="I38" s="1070">
        <v>0</v>
      </c>
      <c r="J38" s="1071"/>
      <c r="K38" s="1072">
        <f t="shared" si="2"/>
        <v>0</v>
      </c>
      <c r="L38" s="1030"/>
      <c r="M38" s="1030"/>
      <c r="N38" s="1030"/>
      <c r="O38" s="1030"/>
      <c r="P38" s="1030"/>
      <c r="Q38" s="1030"/>
      <c r="R38" s="1030"/>
      <c r="S38" s="1030"/>
      <c r="T38" s="1030"/>
      <c r="U38" s="1030"/>
      <c r="V38" s="1030"/>
      <c r="W38" s="1030"/>
      <c r="X38" s="1030"/>
      <c r="Y38" s="1030"/>
      <c r="Z38" s="1030"/>
    </row>
    <row r="39" spans="1:26" ht="12.75" hidden="1" customHeight="1" outlineLevel="1">
      <c r="A39" s="1061">
        <f t="shared" si="3"/>
        <v>25</v>
      </c>
      <c r="B39" s="1051" t="s">
        <v>3382</v>
      </c>
      <c r="C39" s="1066" t="s">
        <v>3342</v>
      </c>
      <c r="D39" s="1035" t="s">
        <v>3400</v>
      </c>
      <c r="E39" s="1035" t="s">
        <v>3388</v>
      </c>
      <c r="F39" s="1073" t="s">
        <v>3384</v>
      </c>
      <c r="G39" s="1068">
        <f t="shared" si="1"/>
        <v>200</v>
      </c>
      <c r="H39" s="1074"/>
      <c r="I39" s="1070">
        <v>3.5</v>
      </c>
      <c r="J39" s="1071"/>
      <c r="K39" s="1072">
        <f t="shared" si="2"/>
        <v>700</v>
      </c>
      <c r="L39" s="1030"/>
      <c r="M39" s="1030"/>
      <c r="N39" s="1030"/>
      <c r="O39" s="1030"/>
      <c r="P39" s="1030"/>
      <c r="Q39" s="1030"/>
      <c r="R39" s="1030"/>
      <c r="S39" s="1030"/>
      <c r="T39" s="1030"/>
      <c r="U39" s="1030"/>
      <c r="V39" s="1030"/>
      <c r="W39" s="1030"/>
      <c r="X39" s="1030"/>
      <c r="Y39" s="1030"/>
      <c r="Z39" s="1030"/>
    </row>
    <row r="40" spans="1:26" ht="12.75" hidden="1" customHeight="1" outlineLevel="1">
      <c r="A40" s="1061">
        <f t="shared" si="3"/>
        <v>26</v>
      </c>
      <c r="B40" s="1051" t="s">
        <v>3382</v>
      </c>
      <c r="C40" s="1066" t="s">
        <v>3342</v>
      </c>
      <c r="D40" s="1035" t="s">
        <v>2802</v>
      </c>
      <c r="E40" s="1035" t="s">
        <v>3388</v>
      </c>
      <c r="F40" s="1073" t="s">
        <v>3384</v>
      </c>
      <c r="G40" s="1068">
        <f t="shared" si="1"/>
        <v>200</v>
      </c>
      <c r="H40" s="1074"/>
      <c r="I40" s="1070">
        <v>3</v>
      </c>
      <c r="J40" s="1071"/>
      <c r="K40" s="1072">
        <f t="shared" si="2"/>
        <v>600</v>
      </c>
      <c r="L40" s="1030"/>
      <c r="M40" s="1030"/>
      <c r="N40" s="1030"/>
      <c r="O40" s="1030"/>
      <c r="P40" s="1030"/>
      <c r="Q40" s="1030"/>
      <c r="R40" s="1030"/>
      <c r="S40" s="1030"/>
      <c r="T40" s="1030"/>
      <c r="U40" s="1030"/>
      <c r="V40" s="1030"/>
      <c r="W40" s="1030"/>
      <c r="X40" s="1030"/>
      <c r="Y40" s="1030"/>
      <c r="Z40" s="1030"/>
    </row>
    <row r="41" spans="1:26" ht="12.75" hidden="1" customHeight="1" outlineLevel="1">
      <c r="A41" s="1061">
        <f t="shared" si="3"/>
        <v>27</v>
      </c>
      <c r="B41" s="1051" t="s">
        <v>3382</v>
      </c>
      <c r="C41" s="1066" t="s">
        <v>3342</v>
      </c>
      <c r="D41" s="1035" t="s">
        <v>3407</v>
      </c>
      <c r="E41" s="1035" t="s">
        <v>3409</v>
      </c>
      <c r="F41" s="1073" t="s">
        <v>3384</v>
      </c>
      <c r="G41" s="1068">
        <f t="shared" si="1"/>
        <v>150</v>
      </c>
      <c r="H41" s="1074"/>
      <c r="I41" s="1070">
        <v>3.5</v>
      </c>
      <c r="J41" s="1071"/>
      <c r="K41" s="1068">
        <f t="shared" si="2"/>
        <v>525</v>
      </c>
      <c r="L41" s="1030"/>
      <c r="M41" s="1030"/>
      <c r="N41" s="1030"/>
      <c r="O41" s="1039"/>
      <c r="P41" s="1039"/>
      <c r="Q41" s="1039"/>
      <c r="R41" s="1039"/>
      <c r="S41" s="1039"/>
      <c r="T41" s="1039"/>
      <c r="U41" s="1039"/>
      <c r="V41" s="1039"/>
      <c r="W41" s="1039"/>
      <c r="X41" s="1039"/>
      <c r="Y41" s="1039"/>
      <c r="Z41" s="1039"/>
    </row>
    <row r="42" spans="1:26" ht="12.75" hidden="1" customHeight="1" outlineLevel="1">
      <c r="A42" s="1061">
        <f t="shared" si="3"/>
        <v>28</v>
      </c>
      <c r="B42" s="1051" t="s">
        <v>3382</v>
      </c>
      <c r="C42" s="1066" t="s">
        <v>3342</v>
      </c>
      <c r="D42" s="1035" t="s">
        <v>3145</v>
      </c>
      <c r="E42" s="1035" t="s">
        <v>3383</v>
      </c>
      <c r="F42" s="1073" t="s">
        <v>3410</v>
      </c>
      <c r="G42" s="1068">
        <f t="shared" si="1"/>
        <v>600</v>
      </c>
      <c r="H42" s="1035"/>
      <c r="I42" s="1062">
        <v>3</v>
      </c>
      <c r="J42" s="1071"/>
      <c r="K42" s="1068">
        <f t="shared" si="2"/>
        <v>1800</v>
      </c>
      <c r="L42" s="1030"/>
      <c r="M42" s="1030"/>
      <c r="N42" s="1030"/>
      <c r="O42" s="1030"/>
      <c r="P42" s="1030"/>
      <c r="Q42" s="1030"/>
      <c r="R42" s="1030"/>
      <c r="S42" s="1030"/>
      <c r="T42" s="1030"/>
      <c r="U42" s="1030"/>
      <c r="V42" s="1030"/>
      <c r="W42" s="1030"/>
      <c r="X42" s="1030"/>
      <c r="Y42" s="1030"/>
      <c r="Z42" s="1030"/>
    </row>
    <row r="43" spans="1:26" ht="12.75" hidden="1" customHeight="1" outlineLevel="1">
      <c r="A43" s="1061">
        <f t="shared" si="3"/>
        <v>29</v>
      </c>
      <c r="B43" s="1051" t="s">
        <v>3382</v>
      </c>
      <c r="C43" s="1066" t="s">
        <v>3342</v>
      </c>
      <c r="D43" s="1035" t="s">
        <v>3346</v>
      </c>
      <c r="E43" s="1035" t="s">
        <v>3388</v>
      </c>
      <c r="F43" s="1073" t="s">
        <v>3410</v>
      </c>
      <c r="G43" s="1068">
        <f t="shared" si="1"/>
        <v>200</v>
      </c>
      <c r="H43" s="1035"/>
      <c r="I43" s="1062">
        <v>3.5</v>
      </c>
      <c r="J43" s="1071"/>
      <c r="K43" s="1068">
        <f t="shared" si="2"/>
        <v>700</v>
      </c>
      <c r="L43" s="1030"/>
      <c r="M43" s="1030"/>
      <c r="N43" s="1030"/>
      <c r="O43" s="1030"/>
      <c r="P43" s="1030"/>
      <c r="Q43" s="1030"/>
      <c r="R43" s="1030"/>
      <c r="S43" s="1030"/>
      <c r="T43" s="1030"/>
      <c r="U43" s="1030"/>
      <c r="V43" s="1030"/>
      <c r="W43" s="1030"/>
      <c r="X43" s="1030"/>
      <c r="Y43" s="1030"/>
      <c r="Z43" s="1030"/>
    </row>
    <row r="44" spans="1:26" ht="12.75" hidden="1" customHeight="1" outlineLevel="1">
      <c r="A44" s="1061">
        <f t="shared" si="3"/>
        <v>30</v>
      </c>
      <c r="B44" s="1051" t="s">
        <v>3382</v>
      </c>
      <c r="C44" s="1066" t="s">
        <v>3342</v>
      </c>
      <c r="D44" s="1035" t="s">
        <v>998</v>
      </c>
      <c r="E44" s="1035" t="s">
        <v>3388</v>
      </c>
      <c r="F44" s="1073" t="s">
        <v>3410</v>
      </c>
      <c r="G44" s="1068">
        <f t="shared" si="1"/>
        <v>200</v>
      </c>
      <c r="H44" s="1035"/>
      <c r="I44" s="1062">
        <v>3.5</v>
      </c>
      <c r="J44" s="1071"/>
      <c r="K44" s="1068">
        <f t="shared" si="2"/>
        <v>700</v>
      </c>
      <c r="L44" s="1030"/>
      <c r="M44" s="1040"/>
      <c r="N44" s="1030"/>
      <c r="O44" s="1039"/>
      <c r="P44" s="1039"/>
      <c r="Q44" s="1039"/>
      <c r="R44" s="1039"/>
      <c r="S44" s="1039"/>
      <c r="T44" s="1039"/>
      <c r="U44" s="1039"/>
      <c r="V44" s="1039"/>
      <c r="W44" s="1039"/>
      <c r="X44" s="1039"/>
      <c r="Y44" s="1039"/>
      <c r="Z44" s="1039"/>
    </row>
    <row r="45" spans="1:26" ht="12.75" hidden="1" customHeight="1" outlineLevel="1">
      <c r="A45" s="1061">
        <f t="shared" si="3"/>
        <v>31</v>
      </c>
      <c r="B45" s="1051" t="s">
        <v>3382</v>
      </c>
      <c r="C45" s="1066" t="s">
        <v>3342</v>
      </c>
      <c r="D45" s="1035" t="s">
        <v>3392</v>
      </c>
      <c r="E45" s="1035" t="s">
        <v>3393</v>
      </c>
      <c r="F45" s="1073" t="s">
        <v>3410</v>
      </c>
      <c r="G45" s="1068">
        <f t="shared" si="1"/>
        <v>100</v>
      </c>
      <c r="H45" s="1074"/>
      <c r="I45" s="1062">
        <v>2.5</v>
      </c>
      <c r="J45" s="1071"/>
      <c r="K45" s="1072">
        <f t="shared" si="2"/>
        <v>250</v>
      </c>
      <c r="L45" s="1030"/>
      <c r="M45" s="1030"/>
      <c r="N45" s="1030"/>
      <c r="O45" s="1039"/>
      <c r="P45" s="1039"/>
      <c r="Q45" s="1039"/>
      <c r="R45" s="1039"/>
      <c r="S45" s="1039"/>
      <c r="T45" s="1039"/>
      <c r="U45" s="1039"/>
      <c r="V45" s="1039"/>
      <c r="W45" s="1039"/>
      <c r="X45" s="1039"/>
      <c r="Y45" s="1039"/>
      <c r="Z45" s="1039"/>
    </row>
    <row r="46" spans="1:26" ht="12.75" hidden="1" customHeight="1" outlineLevel="1">
      <c r="A46" s="1061">
        <f t="shared" si="3"/>
        <v>32</v>
      </c>
      <c r="B46" s="1051" t="s">
        <v>3382</v>
      </c>
      <c r="C46" s="1066" t="s">
        <v>3342</v>
      </c>
      <c r="D46" s="1035" t="s">
        <v>3356</v>
      </c>
      <c r="E46" s="1035" t="s">
        <v>3383</v>
      </c>
      <c r="F46" s="1073" t="s">
        <v>3410</v>
      </c>
      <c r="G46" s="1068">
        <f t="shared" si="1"/>
        <v>600</v>
      </c>
      <c r="H46" s="1035"/>
      <c r="I46" s="1062">
        <v>3</v>
      </c>
      <c r="J46" s="1071"/>
      <c r="K46" s="1075">
        <f t="shared" si="2"/>
        <v>1800</v>
      </c>
      <c r="L46" s="1040"/>
      <c r="M46" s="1040"/>
      <c r="N46" s="1040"/>
      <c r="O46" s="1040"/>
      <c r="P46" s="1040"/>
      <c r="Q46" s="1030"/>
      <c r="R46" s="1030"/>
      <c r="S46" s="1030"/>
      <c r="T46" s="1030"/>
      <c r="U46" s="1030"/>
      <c r="V46" s="1030"/>
      <c r="W46" s="1030"/>
      <c r="X46" s="1030"/>
      <c r="Y46" s="1030"/>
      <c r="Z46" s="1030"/>
    </row>
    <row r="47" spans="1:26" ht="12.75" hidden="1" customHeight="1" outlineLevel="1">
      <c r="A47" s="1061">
        <f t="shared" si="3"/>
        <v>33</v>
      </c>
      <c r="B47" s="1051" t="s">
        <v>3382</v>
      </c>
      <c r="C47" s="1066" t="s">
        <v>3342</v>
      </c>
      <c r="D47" s="1035" t="s">
        <v>3357</v>
      </c>
      <c r="E47" s="1035" t="s">
        <v>3388</v>
      </c>
      <c r="F47" s="1073" t="s">
        <v>3410</v>
      </c>
      <c r="G47" s="1068">
        <f t="shared" si="1"/>
        <v>200</v>
      </c>
      <c r="H47" s="1035"/>
      <c r="I47" s="1062">
        <v>3.5</v>
      </c>
      <c r="J47" s="1071"/>
      <c r="K47" s="1068">
        <f t="shared" si="2"/>
        <v>700</v>
      </c>
      <c r="L47" s="1030"/>
      <c r="M47" s="1030"/>
      <c r="N47" s="1030"/>
      <c r="O47" s="1030"/>
      <c r="P47" s="1030"/>
      <c r="Q47" s="1030"/>
      <c r="R47" s="1030"/>
      <c r="S47" s="1030"/>
      <c r="T47" s="1030"/>
      <c r="U47" s="1030"/>
      <c r="V47" s="1030"/>
      <c r="W47" s="1030"/>
      <c r="X47" s="1030"/>
      <c r="Y47" s="1030"/>
      <c r="Z47" s="1030"/>
    </row>
    <row r="48" spans="1:26" ht="12.75" hidden="1" customHeight="1" outlineLevel="1">
      <c r="A48" s="1061">
        <f t="shared" si="3"/>
        <v>34</v>
      </c>
      <c r="B48" s="1051" t="s">
        <v>3382</v>
      </c>
      <c r="C48" s="1066" t="s">
        <v>3342</v>
      </c>
      <c r="D48" s="1035" t="s">
        <v>1077</v>
      </c>
      <c r="E48" s="1035" t="s">
        <v>3383</v>
      </c>
      <c r="F48" s="1073" t="s">
        <v>3410</v>
      </c>
      <c r="G48" s="1068">
        <f t="shared" si="1"/>
        <v>600</v>
      </c>
      <c r="H48" s="1035"/>
      <c r="I48" s="1062">
        <v>3</v>
      </c>
      <c r="J48" s="1071"/>
      <c r="K48" s="1068">
        <f t="shared" si="2"/>
        <v>1800</v>
      </c>
      <c r="L48" s="1030"/>
      <c r="M48" s="1040"/>
      <c r="N48" s="1030"/>
      <c r="O48" s="1039"/>
      <c r="P48" s="1039"/>
      <c r="Q48" s="1039"/>
      <c r="R48" s="1039"/>
      <c r="S48" s="1039"/>
      <c r="T48" s="1039"/>
      <c r="U48" s="1039"/>
      <c r="V48" s="1039"/>
      <c r="W48" s="1039"/>
      <c r="X48" s="1039"/>
      <c r="Y48" s="1039"/>
      <c r="Z48" s="1039"/>
    </row>
    <row r="49" spans="1:26" ht="12.75" hidden="1" customHeight="1" outlineLevel="1">
      <c r="A49" s="1061">
        <f t="shared" si="3"/>
        <v>35</v>
      </c>
      <c r="B49" s="1051" t="s">
        <v>3382</v>
      </c>
      <c r="C49" s="1066" t="s">
        <v>3342</v>
      </c>
      <c r="D49" s="1035" t="s">
        <v>976</v>
      </c>
      <c r="E49" s="1035" t="s">
        <v>3388</v>
      </c>
      <c r="F49" s="1073" t="s">
        <v>3410</v>
      </c>
      <c r="G49" s="1068">
        <f t="shared" si="1"/>
        <v>200</v>
      </c>
      <c r="H49" s="1035"/>
      <c r="I49" s="1062">
        <v>3</v>
      </c>
      <c r="J49" s="1071"/>
      <c r="K49" s="1068">
        <f t="shared" si="2"/>
        <v>600</v>
      </c>
      <c r="L49" s="1030"/>
      <c r="M49" s="1030"/>
      <c r="N49" s="1030"/>
      <c r="O49" s="1030"/>
      <c r="P49" s="1030"/>
      <c r="Q49" s="1030"/>
      <c r="R49" s="1030"/>
      <c r="S49" s="1030"/>
      <c r="T49" s="1030"/>
      <c r="U49" s="1030"/>
      <c r="V49" s="1030"/>
      <c r="W49" s="1030"/>
      <c r="X49" s="1030"/>
      <c r="Y49" s="1030"/>
      <c r="Z49" s="1030"/>
    </row>
    <row r="50" spans="1:26" ht="12.75" hidden="1" customHeight="1" outlineLevel="1">
      <c r="A50" s="1061">
        <f t="shared" si="3"/>
        <v>36</v>
      </c>
      <c r="B50" s="1051" t="s">
        <v>3382</v>
      </c>
      <c r="C50" s="1066" t="s">
        <v>3342</v>
      </c>
      <c r="D50" s="1035" t="s">
        <v>3364</v>
      </c>
      <c r="E50" s="1035" t="s">
        <v>3409</v>
      </c>
      <c r="F50" s="1073" t="s">
        <v>3410</v>
      </c>
      <c r="G50" s="1068">
        <f t="shared" si="1"/>
        <v>150</v>
      </c>
      <c r="H50" s="1035"/>
      <c r="I50" s="1062">
        <v>3.5</v>
      </c>
      <c r="J50" s="1071"/>
      <c r="K50" s="1068">
        <f t="shared" si="2"/>
        <v>525</v>
      </c>
      <c r="L50" s="1030"/>
      <c r="M50" s="1040"/>
      <c r="N50" s="1030"/>
      <c r="O50" s="1039"/>
      <c r="P50" s="1039"/>
      <c r="Q50" s="1039"/>
      <c r="R50" s="1039"/>
      <c r="S50" s="1039"/>
      <c r="T50" s="1039"/>
      <c r="U50" s="1039"/>
      <c r="V50" s="1039"/>
      <c r="W50" s="1039"/>
      <c r="X50" s="1039"/>
      <c r="Y50" s="1039"/>
      <c r="Z50" s="1039"/>
    </row>
    <row r="51" spans="1:26" ht="12.75" hidden="1" customHeight="1" outlineLevel="1">
      <c r="A51" s="1061">
        <f t="shared" si="3"/>
        <v>37</v>
      </c>
      <c r="B51" s="1051" t="s">
        <v>3382</v>
      </c>
      <c r="C51" s="1066" t="s">
        <v>3342</v>
      </c>
      <c r="D51" s="1035" t="s">
        <v>1388</v>
      </c>
      <c r="E51" s="1035" t="s">
        <v>3388</v>
      </c>
      <c r="F51" s="1073" t="s">
        <v>3410</v>
      </c>
      <c r="G51" s="1068">
        <f t="shared" si="1"/>
        <v>200</v>
      </c>
      <c r="H51" s="1035"/>
      <c r="I51" s="1062">
        <v>3</v>
      </c>
      <c r="J51" s="1071"/>
      <c r="K51" s="1068">
        <f t="shared" si="2"/>
        <v>600</v>
      </c>
      <c r="L51" s="1030"/>
      <c r="M51" s="1030"/>
      <c r="N51" s="1030"/>
      <c r="O51" s="1030"/>
      <c r="P51" s="1030"/>
      <c r="Q51" s="1030"/>
      <c r="R51" s="1030"/>
      <c r="S51" s="1030"/>
      <c r="T51" s="1030"/>
      <c r="U51" s="1030"/>
      <c r="V51" s="1030"/>
      <c r="W51" s="1030"/>
      <c r="X51" s="1030"/>
      <c r="Y51" s="1030"/>
      <c r="Z51" s="1030"/>
    </row>
    <row r="52" spans="1:26" ht="12.75" hidden="1" customHeight="1" outlineLevel="1">
      <c r="A52" s="1061">
        <f t="shared" si="3"/>
        <v>38</v>
      </c>
      <c r="B52" s="1051" t="s">
        <v>3382</v>
      </c>
      <c r="C52" s="1066" t="s">
        <v>3342</v>
      </c>
      <c r="D52" s="1035" t="s">
        <v>2642</v>
      </c>
      <c r="E52" s="1035" t="s">
        <v>3388</v>
      </c>
      <c r="F52" s="1073" t="s">
        <v>3410</v>
      </c>
      <c r="G52" s="1068">
        <f t="shared" si="1"/>
        <v>200</v>
      </c>
      <c r="H52" s="1035"/>
      <c r="I52" s="1062">
        <v>3.5</v>
      </c>
      <c r="J52" s="1071"/>
      <c r="K52" s="1068">
        <f t="shared" si="2"/>
        <v>700</v>
      </c>
      <c r="L52" s="1030"/>
      <c r="M52" s="1030"/>
      <c r="N52" s="1030"/>
      <c r="O52" s="1030"/>
      <c r="P52" s="1030"/>
      <c r="Q52" s="1030"/>
      <c r="R52" s="1030"/>
      <c r="S52" s="1030"/>
      <c r="T52" s="1030"/>
      <c r="U52" s="1030"/>
      <c r="V52" s="1030"/>
      <c r="W52" s="1030"/>
      <c r="X52" s="1030"/>
      <c r="Y52" s="1030"/>
      <c r="Z52" s="1030"/>
    </row>
    <row r="53" spans="1:26" ht="12.75" hidden="1" customHeight="1" outlineLevel="1">
      <c r="A53" s="1061">
        <f t="shared" si="3"/>
        <v>39</v>
      </c>
      <c r="B53" s="1051" t="s">
        <v>3382</v>
      </c>
      <c r="C53" s="1066" t="s">
        <v>3342</v>
      </c>
      <c r="D53" s="1035" t="s">
        <v>3366</v>
      </c>
      <c r="E53" s="1035" t="s">
        <v>3388</v>
      </c>
      <c r="F53" s="1073" t="s">
        <v>3410</v>
      </c>
      <c r="G53" s="1068">
        <f t="shared" si="1"/>
        <v>200</v>
      </c>
      <c r="H53" s="1035"/>
      <c r="I53" s="1062">
        <v>3.5</v>
      </c>
      <c r="J53" s="1071"/>
      <c r="K53" s="1068">
        <f t="shared" si="2"/>
        <v>700</v>
      </c>
      <c r="L53" s="1030"/>
      <c r="M53" s="1030"/>
      <c r="N53" s="1030"/>
      <c r="O53" s="1030"/>
      <c r="P53" s="1030"/>
      <c r="Q53" s="1030"/>
      <c r="R53" s="1030"/>
      <c r="S53" s="1030"/>
      <c r="T53" s="1030"/>
      <c r="U53" s="1030"/>
      <c r="V53" s="1030"/>
      <c r="W53" s="1030"/>
      <c r="X53" s="1030"/>
      <c r="Y53" s="1030"/>
      <c r="Z53" s="1030"/>
    </row>
    <row r="54" spans="1:26" ht="12.75" hidden="1" customHeight="1" outlineLevel="1">
      <c r="A54" s="1061">
        <f t="shared" si="3"/>
        <v>40</v>
      </c>
      <c r="B54" s="1051" t="s">
        <v>3382</v>
      </c>
      <c r="C54" s="1066" t="s">
        <v>3342</v>
      </c>
      <c r="D54" s="1035" t="s">
        <v>3370</v>
      </c>
      <c r="E54" s="1035" t="s">
        <v>3388</v>
      </c>
      <c r="F54" s="1073" t="s">
        <v>3410</v>
      </c>
      <c r="G54" s="1068">
        <f t="shared" si="1"/>
        <v>200</v>
      </c>
      <c r="H54" s="1035" t="s">
        <v>3563</v>
      </c>
      <c r="I54" s="1062">
        <v>0</v>
      </c>
      <c r="J54" s="1071"/>
      <c r="K54" s="1068">
        <f t="shared" si="2"/>
        <v>0</v>
      </c>
      <c r="L54" s="1030"/>
      <c r="M54" s="1030"/>
      <c r="N54" s="1030"/>
      <c r="O54" s="1030"/>
      <c r="P54" s="1030"/>
      <c r="Q54" s="1030"/>
      <c r="R54" s="1030"/>
      <c r="S54" s="1030"/>
      <c r="T54" s="1030"/>
      <c r="U54" s="1030"/>
      <c r="V54" s="1030"/>
      <c r="W54" s="1030"/>
      <c r="X54" s="1030"/>
      <c r="Y54" s="1030"/>
      <c r="Z54" s="1030"/>
    </row>
    <row r="55" spans="1:26" ht="12.75" hidden="1" customHeight="1" outlineLevel="1">
      <c r="A55" s="1061">
        <f t="shared" si="3"/>
        <v>41</v>
      </c>
      <c r="B55" s="1051" t="s">
        <v>3382</v>
      </c>
      <c r="C55" s="1066" t="s">
        <v>3342</v>
      </c>
      <c r="D55" s="1035" t="s">
        <v>2940</v>
      </c>
      <c r="E55" s="1035" t="s">
        <v>3388</v>
      </c>
      <c r="F55" s="1073" t="s">
        <v>3410</v>
      </c>
      <c r="G55" s="1068">
        <f t="shared" si="1"/>
        <v>200</v>
      </c>
      <c r="H55" s="1035" t="s">
        <v>3563</v>
      </c>
      <c r="I55" s="1062">
        <v>0</v>
      </c>
      <c r="J55" s="1071"/>
      <c r="K55" s="1068">
        <f t="shared" si="2"/>
        <v>0</v>
      </c>
      <c r="L55" s="1030"/>
      <c r="M55" s="1030"/>
      <c r="N55" s="1030"/>
      <c r="O55" s="1030"/>
      <c r="P55" s="1030"/>
      <c r="Q55" s="1030"/>
      <c r="R55" s="1030"/>
      <c r="S55" s="1030"/>
      <c r="T55" s="1030"/>
      <c r="U55" s="1030"/>
      <c r="V55" s="1030"/>
      <c r="W55" s="1030"/>
      <c r="X55" s="1030"/>
      <c r="Y55" s="1030"/>
      <c r="Z55" s="1030"/>
    </row>
    <row r="56" spans="1:26" ht="12.75" hidden="1" customHeight="1" outlineLevel="1">
      <c r="A56" s="1061">
        <f t="shared" si="3"/>
        <v>42</v>
      </c>
      <c r="B56" s="1051" t="s">
        <v>3382</v>
      </c>
      <c r="C56" s="1066" t="s">
        <v>3342</v>
      </c>
      <c r="D56" s="1035" t="s">
        <v>2667</v>
      </c>
      <c r="E56" s="1035" t="s">
        <v>3388</v>
      </c>
      <c r="F56" s="1073" t="s">
        <v>3410</v>
      </c>
      <c r="G56" s="1068">
        <f t="shared" si="1"/>
        <v>200</v>
      </c>
      <c r="H56" s="1035"/>
      <c r="I56" s="1062">
        <v>3</v>
      </c>
      <c r="J56" s="1071"/>
      <c r="K56" s="1068">
        <f t="shared" si="2"/>
        <v>600</v>
      </c>
      <c r="L56" s="1030"/>
      <c r="M56" s="1040"/>
      <c r="N56" s="1030"/>
      <c r="O56" s="1039"/>
      <c r="P56" s="1039"/>
      <c r="Q56" s="1039"/>
      <c r="R56" s="1039"/>
      <c r="S56" s="1039"/>
      <c r="T56" s="1039"/>
      <c r="U56" s="1039"/>
      <c r="V56" s="1039"/>
      <c r="W56" s="1039"/>
      <c r="X56" s="1039"/>
      <c r="Y56" s="1039"/>
      <c r="Z56" s="1039"/>
    </row>
    <row r="57" spans="1:26" ht="12.75" hidden="1" customHeight="1" outlineLevel="1">
      <c r="A57" s="1061">
        <f t="shared" si="3"/>
        <v>43</v>
      </c>
      <c r="B57" s="1051" t="s">
        <v>3382</v>
      </c>
      <c r="C57" s="1066" t="s">
        <v>3342</v>
      </c>
      <c r="D57" s="1035" t="s">
        <v>3396</v>
      </c>
      <c r="E57" s="1035" t="s">
        <v>3409</v>
      </c>
      <c r="F57" s="1073" t="s">
        <v>3410</v>
      </c>
      <c r="G57" s="1068">
        <f t="shared" si="1"/>
        <v>150</v>
      </c>
      <c r="H57" s="1035"/>
      <c r="I57" s="1062">
        <v>3.5</v>
      </c>
      <c r="J57" s="1071"/>
      <c r="K57" s="1068">
        <f t="shared" si="2"/>
        <v>525</v>
      </c>
      <c r="L57" s="1030"/>
      <c r="M57" s="1030"/>
      <c r="N57" s="1030"/>
      <c r="O57" s="1039"/>
      <c r="P57" s="1039"/>
      <c r="Q57" s="1039"/>
      <c r="R57" s="1039"/>
      <c r="S57" s="1039"/>
      <c r="T57" s="1039"/>
      <c r="U57" s="1039"/>
      <c r="V57" s="1039"/>
      <c r="W57" s="1039"/>
      <c r="X57" s="1039"/>
      <c r="Y57" s="1039"/>
      <c r="Z57" s="1039"/>
    </row>
    <row r="58" spans="1:26" ht="12.75" hidden="1" customHeight="1" outlineLevel="1">
      <c r="A58" s="1061">
        <f t="shared" si="3"/>
        <v>44</v>
      </c>
      <c r="B58" s="1051" t="s">
        <v>3382</v>
      </c>
      <c r="C58" s="1066" t="s">
        <v>3342</v>
      </c>
      <c r="D58" s="1035" t="s">
        <v>3399</v>
      </c>
      <c r="E58" s="1035" t="s">
        <v>3409</v>
      </c>
      <c r="F58" s="1073" t="s">
        <v>3410</v>
      </c>
      <c r="G58" s="1068">
        <f t="shared" si="1"/>
        <v>150</v>
      </c>
      <c r="H58" s="1035"/>
      <c r="I58" s="1062">
        <v>3.5</v>
      </c>
      <c r="J58" s="1076"/>
      <c r="K58" s="1075">
        <f t="shared" si="2"/>
        <v>525</v>
      </c>
      <c r="L58" s="1030"/>
      <c r="M58" s="1030"/>
      <c r="N58" s="1030"/>
      <c r="O58" s="1030"/>
      <c r="P58" s="1030"/>
      <c r="Q58" s="1030"/>
      <c r="R58" s="1030"/>
      <c r="S58" s="1030"/>
      <c r="T58" s="1030"/>
      <c r="U58" s="1030"/>
      <c r="V58" s="1030"/>
      <c r="W58" s="1030"/>
      <c r="X58" s="1030"/>
      <c r="Y58" s="1030"/>
      <c r="Z58" s="1030"/>
    </row>
    <row r="59" spans="1:26" ht="12.75" hidden="1" customHeight="1" outlineLevel="1">
      <c r="A59" s="1061">
        <f t="shared" si="3"/>
        <v>45</v>
      </c>
      <c r="B59" s="1051" t="s">
        <v>3382</v>
      </c>
      <c r="C59" s="1066" t="s">
        <v>3342</v>
      </c>
      <c r="D59" s="1035" t="s">
        <v>3387</v>
      </c>
      <c r="E59" s="1035" t="s">
        <v>3388</v>
      </c>
      <c r="F59" s="1073" t="s">
        <v>3410</v>
      </c>
      <c r="G59" s="1068">
        <f t="shared" si="1"/>
        <v>200</v>
      </c>
      <c r="H59" s="1035"/>
      <c r="I59" s="1062">
        <v>3.5</v>
      </c>
      <c r="J59" s="1071"/>
      <c r="K59" s="1068">
        <f t="shared" si="2"/>
        <v>700</v>
      </c>
      <c r="L59" s="1030"/>
      <c r="M59" s="1040"/>
      <c r="N59" s="1030"/>
      <c r="O59" s="1039"/>
      <c r="P59" s="1039"/>
      <c r="Q59" s="1039"/>
      <c r="R59" s="1039"/>
      <c r="S59" s="1039"/>
      <c r="T59" s="1039"/>
      <c r="U59" s="1039"/>
      <c r="V59" s="1039"/>
      <c r="W59" s="1039"/>
      <c r="X59" s="1039"/>
      <c r="Y59" s="1039"/>
      <c r="Z59" s="1039"/>
    </row>
    <row r="60" spans="1:26" ht="12.75" hidden="1" customHeight="1" outlineLevel="1">
      <c r="A60" s="1061">
        <f t="shared" si="3"/>
        <v>46</v>
      </c>
      <c r="B60" s="1051" t="s">
        <v>3382</v>
      </c>
      <c r="C60" s="1066" t="s">
        <v>3342</v>
      </c>
      <c r="D60" s="1035" t="s">
        <v>2689</v>
      </c>
      <c r="E60" s="1035" t="s">
        <v>3388</v>
      </c>
      <c r="F60" s="1073" t="s">
        <v>3410</v>
      </c>
      <c r="G60" s="1068">
        <f t="shared" si="1"/>
        <v>200</v>
      </c>
      <c r="H60" s="1035"/>
      <c r="I60" s="1062">
        <v>3</v>
      </c>
      <c r="J60" s="1071"/>
      <c r="K60" s="1068">
        <f t="shared" si="2"/>
        <v>600</v>
      </c>
      <c r="L60" s="1030"/>
      <c r="M60" s="1040"/>
      <c r="N60" s="1030"/>
      <c r="O60" s="1039"/>
      <c r="P60" s="1039"/>
      <c r="Q60" s="1039"/>
      <c r="R60" s="1039"/>
      <c r="S60" s="1039"/>
      <c r="T60" s="1039"/>
      <c r="U60" s="1039"/>
      <c r="V60" s="1039"/>
      <c r="W60" s="1039"/>
      <c r="X60" s="1039"/>
      <c r="Y60" s="1039"/>
      <c r="Z60" s="1039"/>
    </row>
    <row r="61" spans="1:26" ht="12.75" hidden="1" customHeight="1" outlineLevel="1">
      <c r="A61" s="1061">
        <f t="shared" si="3"/>
        <v>47</v>
      </c>
      <c r="B61" s="1051" t="s">
        <v>3382</v>
      </c>
      <c r="C61" s="1066" t="s">
        <v>3342</v>
      </c>
      <c r="D61" s="1035" t="s">
        <v>3412</v>
      </c>
      <c r="E61" s="1035" t="s">
        <v>3393</v>
      </c>
      <c r="F61" s="1073" t="s">
        <v>3410</v>
      </c>
      <c r="G61" s="1068">
        <f t="shared" si="1"/>
        <v>100</v>
      </c>
      <c r="H61" s="1074"/>
      <c r="I61" s="1062">
        <v>3.5</v>
      </c>
      <c r="J61" s="1071"/>
      <c r="K61" s="1072">
        <f t="shared" si="2"/>
        <v>350</v>
      </c>
      <c r="L61" s="1030"/>
      <c r="M61" s="1030"/>
      <c r="N61" s="1030"/>
      <c r="O61" s="1039"/>
      <c r="P61" s="1039"/>
      <c r="Q61" s="1039"/>
      <c r="R61" s="1039"/>
      <c r="S61" s="1039"/>
      <c r="T61" s="1039"/>
      <c r="U61" s="1039"/>
      <c r="V61" s="1039"/>
      <c r="W61" s="1039"/>
      <c r="X61" s="1039"/>
      <c r="Y61" s="1039"/>
      <c r="Z61" s="1039"/>
    </row>
    <row r="62" spans="1:26" ht="12.75" hidden="1" customHeight="1" outlineLevel="1">
      <c r="A62" s="1061">
        <f t="shared" si="3"/>
        <v>48</v>
      </c>
      <c r="B62" s="1051" t="s">
        <v>3382</v>
      </c>
      <c r="C62" s="1066" t="s">
        <v>3342</v>
      </c>
      <c r="D62" s="1035" t="s">
        <v>3404</v>
      </c>
      <c r="E62" s="1035" t="s">
        <v>3388</v>
      </c>
      <c r="F62" s="1073" t="s">
        <v>3410</v>
      </c>
      <c r="G62" s="1068">
        <f t="shared" si="1"/>
        <v>200</v>
      </c>
      <c r="H62" s="1035"/>
      <c r="I62" s="1062">
        <v>3</v>
      </c>
      <c r="J62" s="1071"/>
      <c r="K62" s="1068">
        <f t="shared" si="2"/>
        <v>600</v>
      </c>
      <c r="L62" s="1040"/>
      <c r="M62" s="1040"/>
      <c r="N62" s="1040"/>
      <c r="O62" s="1040"/>
      <c r="P62" s="1040"/>
      <c r="Q62" s="1030"/>
      <c r="R62" s="1030"/>
      <c r="S62" s="1030"/>
      <c r="T62" s="1030"/>
      <c r="U62" s="1030"/>
      <c r="V62" s="1030"/>
      <c r="W62" s="1030"/>
      <c r="X62" s="1030"/>
      <c r="Y62" s="1030"/>
      <c r="Z62" s="1030"/>
    </row>
    <row r="63" spans="1:26" ht="12.75" hidden="1" customHeight="1" outlineLevel="1">
      <c r="A63" s="1061">
        <f t="shared" si="3"/>
        <v>49</v>
      </c>
      <c r="B63" s="1051" t="s">
        <v>3382</v>
      </c>
      <c r="C63" s="1066" t="s">
        <v>3342</v>
      </c>
      <c r="D63" s="1035" t="s">
        <v>3395</v>
      </c>
      <c r="E63" s="1035" t="s">
        <v>3388</v>
      </c>
      <c r="F63" s="1073" t="s">
        <v>3410</v>
      </c>
      <c r="G63" s="1068">
        <f t="shared" si="1"/>
        <v>200</v>
      </c>
      <c r="H63" s="1035"/>
      <c r="I63" s="1062">
        <v>3</v>
      </c>
      <c r="J63" s="1071"/>
      <c r="K63" s="1068">
        <f t="shared" si="2"/>
        <v>600</v>
      </c>
      <c r="L63" s="1030"/>
      <c r="M63" s="1030"/>
      <c r="N63" s="1030"/>
      <c r="O63" s="1030"/>
      <c r="P63" s="1030"/>
      <c r="Q63" s="1030"/>
      <c r="R63" s="1030"/>
      <c r="S63" s="1030"/>
      <c r="T63" s="1030"/>
      <c r="U63" s="1030"/>
      <c r="V63" s="1030"/>
      <c r="W63" s="1030"/>
      <c r="X63" s="1030"/>
      <c r="Y63" s="1030"/>
      <c r="Z63" s="1030"/>
    </row>
    <row r="64" spans="1:26" ht="12.75" hidden="1" customHeight="1" outlineLevel="1">
      <c r="A64" s="1061">
        <f t="shared" si="3"/>
        <v>50</v>
      </c>
      <c r="B64" s="1051" t="s">
        <v>3382</v>
      </c>
      <c r="C64" s="1066" t="s">
        <v>3342</v>
      </c>
      <c r="D64" s="1035" t="s">
        <v>3398</v>
      </c>
      <c r="E64" s="1035" t="s">
        <v>3388</v>
      </c>
      <c r="F64" s="1073" t="s">
        <v>3410</v>
      </c>
      <c r="G64" s="1068">
        <f t="shared" si="1"/>
        <v>200</v>
      </c>
      <c r="H64" s="1035"/>
      <c r="I64" s="1062">
        <v>2</v>
      </c>
      <c r="J64" s="1071"/>
      <c r="K64" s="1068">
        <f t="shared" si="2"/>
        <v>400</v>
      </c>
      <c r="L64" s="1030"/>
      <c r="M64" s="1040"/>
      <c r="N64" s="1030"/>
      <c r="O64" s="1039"/>
      <c r="P64" s="1039"/>
      <c r="Q64" s="1039"/>
      <c r="R64" s="1039"/>
      <c r="S64" s="1039"/>
      <c r="T64" s="1039"/>
      <c r="U64" s="1039"/>
      <c r="V64" s="1039"/>
      <c r="W64" s="1039"/>
      <c r="X64" s="1039"/>
      <c r="Y64" s="1039"/>
      <c r="Z64" s="1039"/>
    </row>
    <row r="65" spans="1:26" ht="12.75" hidden="1" customHeight="1" outlineLevel="1">
      <c r="A65" s="1061">
        <f t="shared" si="3"/>
        <v>51</v>
      </c>
      <c r="B65" s="1051" t="s">
        <v>3382</v>
      </c>
      <c r="C65" s="1066" t="s">
        <v>3342</v>
      </c>
      <c r="D65" s="1035" t="s">
        <v>3405</v>
      </c>
      <c r="E65" s="1035" t="s">
        <v>3388</v>
      </c>
      <c r="F65" s="1073" t="s">
        <v>3410</v>
      </c>
      <c r="G65" s="1068">
        <f t="shared" si="1"/>
        <v>200</v>
      </c>
      <c r="H65" s="1035"/>
      <c r="I65" s="1062">
        <v>3.5</v>
      </c>
      <c r="J65" s="1071"/>
      <c r="K65" s="1068">
        <f t="shared" si="2"/>
        <v>700</v>
      </c>
      <c r="L65" s="1030"/>
      <c r="M65" s="1030"/>
      <c r="N65" s="1030"/>
      <c r="O65" s="1030"/>
      <c r="P65" s="1030"/>
      <c r="Q65" s="1030"/>
      <c r="R65" s="1030"/>
      <c r="S65" s="1030"/>
      <c r="T65" s="1030"/>
      <c r="U65" s="1030"/>
      <c r="V65" s="1030"/>
      <c r="W65" s="1030"/>
      <c r="X65" s="1030"/>
      <c r="Y65" s="1030"/>
      <c r="Z65" s="1030"/>
    </row>
    <row r="66" spans="1:26" ht="12.75" hidden="1" customHeight="1" outlineLevel="1">
      <c r="A66" s="1061">
        <f t="shared" si="3"/>
        <v>52</v>
      </c>
      <c r="B66" s="1051" t="s">
        <v>3382</v>
      </c>
      <c r="C66" s="1066" t="s">
        <v>3342</v>
      </c>
      <c r="D66" s="1035" t="s">
        <v>3408</v>
      </c>
      <c r="E66" s="1035" t="s">
        <v>3393</v>
      </c>
      <c r="F66" s="1073" t="s">
        <v>3410</v>
      </c>
      <c r="G66" s="1068">
        <f t="shared" si="1"/>
        <v>100</v>
      </c>
      <c r="H66" s="1074"/>
      <c r="I66" s="1062">
        <v>3.5</v>
      </c>
      <c r="J66" s="1071"/>
      <c r="K66" s="1072">
        <f t="shared" si="2"/>
        <v>350</v>
      </c>
      <c r="L66" s="1030"/>
      <c r="M66" s="1040"/>
      <c r="N66" s="1030"/>
      <c r="O66" s="1039"/>
      <c r="P66" s="1039"/>
      <c r="Q66" s="1039"/>
      <c r="R66" s="1039"/>
      <c r="S66" s="1039"/>
      <c r="T66" s="1039"/>
      <c r="U66" s="1039"/>
      <c r="V66" s="1039"/>
      <c r="W66" s="1039"/>
      <c r="X66" s="1039"/>
      <c r="Y66" s="1039"/>
      <c r="Z66" s="1039"/>
    </row>
    <row r="67" spans="1:26" ht="12.75" hidden="1" customHeight="1" outlineLevel="1">
      <c r="A67" s="1061">
        <f t="shared" si="3"/>
        <v>53</v>
      </c>
      <c r="B67" s="1051" t="s">
        <v>3382</v>
      </c>
      <c r="C67" s="1066" t="s">
        <v>3342</v>
      </c>
      <c r="D67" s="1035" t="s">
        <v>3400</v>
      </c>
      <c r="E67" s="1035" t="s">
        <v>3388</v>
      </c>
      <c r="F67" s="1073" t="s">
        <v>3410</v>
      </c>
      <c r="G67" s="1068">
        <f t="shared" si="1"/>
        <v>200</v>
      </c>
      <c r="H67" s="1035"/>
      <c r="I67" s="1062">
        <v>3.5</v>
      </c>
      <c r="J67" s="1071"/>
      <c r="K67" s="1068">
        <f t="shared" si="2"/>
        <v>700</v>
      </c>
      <c r="L67" s="1030"/>
      <c r="M67" s="1030"/>
      <c r="N67" s="1030"/>
      <c r="O67" s="1030"/>
      <c r="P67" s="1030"/>
      <c r="Q67" s="1030"/>
      <c r="R67" s="1030"/>
      <c r="S67" s="1030"/>
      <c r="T67" s="1030"/>
      <c r="U67" s="1030"/>
      <c r="V67" s="1030"/>
      <c r="W67" s="1030"/>
      <c r="X67" s="1030"/>
      <c r="Y67" s="1030"/>
      <c r="Z67" s="1030"/>
    </row>
    <row r="68" spans="1:26" ht="12.75" hidden="1" customHeight="1" outlineLevel="1">
      <c r="A68" s="1061">
        <f t="shared" si="3"/>
        <v>54</v>
      </c>
      <c r="B68" s="1051" t="s">
        <v>3382</v>
      </c>
      <c r="C68" s="1066" t="s">
        <v>3342</v>
      </c>
      <c r="D68" s="1035" t="s">
        <v>2802</v>
      </c>
      <c r="E68" s="1035" t="s">
        <v>3388</v>
      </c>
      <c r="F68" s="1073" t="s">
        <v>3410</v>
      </c>
      <c r="G68" s="1068">
        <f t="shared" si="1"/>
        <v>200</v>
      </c>
      <c r="H68" s="1035"/>
      <c r="I68" s="1062">
        <v>3.5</v>
      </c>
      <c r="J68" s="1071"/>
      <c r="K68" s="1068">
        <f t="shared" si="2"/>
        <v>700</v>
      </c>
      <c r="L68" s="1030"/>
      <c r="M68" s="1030"/>
      <c r="N68" s="1030"/>
      <c r="O68" s="1030"/>
      <c r="P68" s="1030"/>
      <c r="Q68" s="1030"/>
      <c r="R68" s="1030"/>
      <c r="S68" s="1030"/>
      <c r="T68" s="1030"/>
      <c r="U68" s="1030"/>
      <c r="V68" s="1030"/>
      <c r="W68" s="1030"/>
      <c r="X68" s="1030"/>
      <c r="Y68" s="1030"/>
      <c r="Z68" s="1030"/>
    </row>
    <row r="69" spans="1:26" ht="12.75" hidden="1" customHeight="1" outlineLevel="1">
      <c r="A69" s="1061">
        <f t="shared" si="3"/>
        <v>55</v>
      </c>
      <c r="B69" s="1051" t="s">
        <v>3382</v>
      </c>
      <c r="C69" s="1066" t="s">
        <v>3342</v>
      </c>
      <c r="D69" s="1035" t="s">
        <v>3407</v>
      </c>
      <c r="E69" s="1035" t="s">
        <v>3409</v>
      </c>
      <c r="F69" s="1073" t="s">
        <v>3410</v>
      </c>
      <c r="G69" s="1075">
        <v>150</v>
      </c>
      <c r="H69" s="1035"/>
      <c r="I69" s="1062">
        <v>3</v>
      </c>
      <c r="J69" s="1071"/>
      <c r="K69" s="1068">
        <f t="shared" si="2"/>
        <v>450</v>
      </c>
      <c r="L69" s="1030"/>
      <c r="M69" s="1040"/>
      <c r="N69" s="1030"/>
      <c r="O69" s="1039"/>
      <c r="P69" s="1039"/>
      <c r="Q69" s="1039"/>
      <c r="R69" s="1039"/>
      <c r="S69" s="1039"/>
      <c r="T69" s="1039"/>
      <c r="U69" s="1039"/>
      <c r="V69" s="1039"/>
      <c r="W69" s="1039"/>
      <c r="X69" s="1039"/>
      <c r="Y69" s="1039"/>
      <c r="Z69" s="1039"/>
    </row>
    <row r="70" spans="1:26" ht="12.75" customHeight="1" collapsed="1">
      <c r="A70" s="1061">
        <f t="shared" si="3"/>
        <v>56</v>
      </c>
      <c r="B70" s="1051" t="s">
        <v>3382</v>
      </c>
      <c r="C70" s="1066" t="s">
        <v>3342</v>
      </c>
      <c r="D70" s="1035" t="s">
        <v>3145</v>
      </c>
      <c r="E70" s="1035" t="s">
        <v>3383</v>
      </c>
      <c r="F70" s="1073" t="s">
        <v>3414</v>
      </c>
      <c r="G70" s="1068">
        <f t="shared" ref="G70:G77" si="4">IF(E70="MT",800,IF(E70="ET",600,IF(E70="ST",400,IF(E70="T",300,IF(E70="HTS",200,IF(E70="STS",150,IF(E70="TS",100,))))))+IF(E70="MTcod",600,IF(E70="ETcod",450,IF(E70="STcod",350,IF(E70="Tcod",250,)))+IF(E70="MTCoach",800,IF(E70="ETCoach",600,IF(E70="STCoach",400,IF(E70="TCoach",300,))))))</f>
        <v>600</v>
      </c>
      <c r="H70" s="1035"/>
      <c r="I70" s="1062">
        <v>2</v>
      </c>
      <c r="J70" s="1087"/>
      <c r="K70" s="1068">
        <f t="shared" si="2"/>
        <v>1200</v>
      </c>
      <c r="L70" s="1030"/>
      <c r="M70" s="1030"/>
      <c r="N70" s="1030"/>
      <c r="O70" s="1030"/>
      <c r="P70" s="1030"/>
      <c r="Q70" s="1030"/>
      <c r="R70" s="1030"/>
      <c r="S70" s="1030"/>
      <c r="T70" s="1030"/>
      <c r="U70" s="1030"/>
      <c r="V70" s="1030"/>
      <c r="W70" s="1030"/>
      <c r="X70" s="1030"/>
      <c r="Y70" s="1030"/>
      <c r="Z70" s="1030"/>
    </row>
    <row r="71" spans="1:26" ht="12.75" customHeight="1">
      <c r="A71" s="1061">
        <f t="shared" si="3"/>
        <v>57</v>
      </c>
      <c r="B71" s="1051" t="s">
        <v>3382</v>
      </c>
      <c r="C71" s="1066" t="s">
        <v>3342</v>
      </c>
      <c r="D71" s="1035" t="s">
        <v>3346</v>
      </c>
      <c r="E71" s="1035" t="s">
        <v>3388</v>
      </c>
      <c r="F71" s="1073" t="s">
        <v>3414</v>
      </c>
      <c r="G71" s="1068">
        <f t="shared" si="4"/>
        <v>200</v>
      </c>
      <c r="H71" s="1035" t="s">
        <v>3563</v>
      </c>
      <c r="I71" s="1062">
        <v>0</v>
      </c>
      <c r="J71" s="1087"/>
      <c r="K71" s="1068">
        <f t="shared" si="2"/>
        <v>0</v>
      </c>
      <c r="L71" s="1030"/>
      <c r="M71" s="1030"/>
      <c r="N71" s="1030"/>
      <c r="O71" s="1030"/>
      <c r="P71" s="1030"/>
      <c r="Q71" s="1030"/>
      <c r="R71" s="1030"/>
      <c r="S71" s="1030"/>
      <c r="T71" s="1030"/>
      <c r="U71" s="1030"/>
      <c r="V71" s="1030"/>
      <c r="W71" s="1030"/>
      <c r="X71" s="1030"/>
      <c r="Y71" s="1030"/>
      <c r="Z71" s="1030"/>
    </row>
    <row r="72" spans="1:26" ht="12.75" customHeight="1">
      <c r="A72" s="1061">
        <f t="shared" si="3"/>
        <v>58</v>
      </c>
      <c r="B72" s="1051" t="s">
        <v>3382</v>
      </c>
      <c r="C72" s="1066" t="s">
        <v>3342</v>
      </c>
      <c r="D72" s="1035" t="s">
        <v>998</v>
      </c>
      <c r="E72" s="1035" t="s">
        <v>3388</v>
      </c>
      <c r="F72" s="1073" t="s">
        <v>3414</v>
      </c>
      <c r="G72" s="1068">
        <f t="shared" si="4"/>
        <v>200</v>
      </c>
      <c r="H72" s="1035"/>
      <c r="I72" s="1062">
        <v>2.5</v>
      </c>
      <c r="J72" s="1087"/>
      <c r="K72" s="1068">
        <f t="shared" si="2"/>
        <v>500</v>
      </c>
      <c r="L72" s="1030"/>
      <c r="M72" s="1030"/>
      <c r="N72" s="1030"/>
      <c r="O72" s="1030"/>
      <c r="P72" s="1030"/>
      <c r="Q72" s="1030"/>
      <c r="R72" s="1030"/>
      <c r="S72" s="1030"/>
      <c r="T72" s="1030"/>
      <c r="U72" s="1030"/>
      <c r="V72" s="1030"/>
      <c r="W72" s="1030"/>
      <c r="X72" s="1030"/>
      <c r="Y72" s="1030"/>
      <c r="Z72" s="1030"/>
    </row>
    <row r="73" spans="1:26" ht="12.75" customHeight="1">
      <c r="A73" s="1061">
        <f t="shared" si="3"/>
        <v>59</v>
      </c>
      <c r="B73" s="1051" t="s">
        <v>3382</v>
      </c>
      <c r="C73" s="1066" t="s">
        <v>3342</v>
      </c>
      <c r="D73" s="1035" t="s">
        <v>3356</v>
      </c>
      <c r="E73" s="1035" t="s">
        <v>3383</v>
      </c>
      <c r="F73" s="1073" t="s">
        <v>3414</v>
      </c>
      <c r="G73" s="1068">
        <f t="shared" si="4"/>
        <v>600</v>
      </c>
      <c r="H73" s="1035"/>
      <c r="I73" s="1062">
        <v>2</v>
      </c>
      <c r="J73" s="1087"/>
      <c r="K73" s="1068">
        <f t="shared" si="2"/>
        <v>1200</v>
      </c>
      <c r="L73" s="1030"/>
      <c r="M73" s="1030"/>
      <c r="N73" s="1030"/>
      <c r="O73" s="1030"/>
      <c r="P73" s="1030"/>
      <c r="Q73" s="1030"/>
      <c r="R73" s="1030"/>
      <c r="S73" s="1030"/>
      <c r="T73" s="1030"/>
      <c r="U73" s="1030"/>
      <c r="V73" s="1030"/>
      <c r="W73" s="1030"/>
      <c r="X73" s="1030"/>
      <c r="Y73" s="1030"/>
      <c r="Z73" s="1030"/>
    </row>
    <row r="74" spans="1:26" ht="12.75" customHeight="1">
      <c r="A74" s="1061">
        <f t="shared" si="3"/>
        <v>60</v>
      </c>
      <c r="B74" s="1051" t="s">
        <v>3382</v>
      </c>
      <c r="C74" s="1066" t="s">
        <v>3342</v>
      </c>
      <c r="D74" s="1035" t="s">
        <v>3357</v>
      </c>
      <c r="E74" s="1035" t="s">
        <v>3388</v>
      </c>
      <c r="F74" s="1073" t="s">
        <v>3414</v>
      </c>
      <c r="G74" s="1068">
        <f t="shared" si="4"/>
        <v>200</v>
      </c>
      <c r="H74" s="1035"/>
      <c r="I74" s="1062">
        <v>2</v>
      </c>
      <c r="J74" s="1087"/>
      <c r="K74" s="1068">
        <f t="shared" si="2"/>
        <v>400</v>
      </c>
      <c r="L74" s="1030"/>
      <c r="M74" s="1030"/>
      <c r="N74" s="1030"/>
      <c r="O74" s="1030"/>
      <c r="P74" s="1030"/>
      <c r="Q74" s="1030"/>
      <c r="R74" s="1030"/>
      <c r="S74" s="1030"/>
      <c r="T74" s="1030"/>
      <c r="U74" s="1030"/>
      <c r="V74" s="1030"/>
      <c r="W74" s="1030"/>
      <c r="X74" s="1030"/>
      <c r="Y74" s="1030"/>
      <c r="Z74" s="1030"/>
    </row>
    <row r="75" spans="1:26" ht="12.75" customHeight="1">
      <c r="A75" s="1061">
        <f t="shared" si="3"/>
        <v>61</v>
      </c>
      <c r="B75" s="1051" t="s">
        <v>3382</v>
      </c>
      <c r="C75" s="1066" t="s">
        <v>3342</v>
      </c>
      <c r="D75" s="1035" t="s">
        <v>1077</v>
      </c>
      <c r="E75" s="1035" t="s">
        <v>3383</v>
      </c>
      <c r="F75" s="1073" t="s">
        <v>3414</v>
      </c>
      <c r="G75" s="1068">
        <f t="shared" si="4"/>
        <v>600</v>
      </c>
      <c r="H75" s="1035"/>
      <c r="I75" s="1062">
        <v>2</v>
      </c>
      <c r="J75" s="1087"/>
      <c r="K75" s="1068">
        <f t="shared" si="2"/>
        <v>1200</v>
      </c>
      <c r="L75" s="1030"/>
      <c r="M75" s="1030"/>
      <c r="N75" s="1030"/>
      <c r="O75" s="1030"/>
      <c r="P75" s="1030"/>
      <c r="Q75" s="1030"/>
      <c r="R75" s="1030"/>
      <c r="S75" s="1030"/>
      <c r="T75" s="1030"/>
      <c r="U75" s="1030"/>
      <c r="V75" s="1030"/>
      <c r="W75" s="1030"/>
      <c r="X75" s="1030"/>
      <c r="Y75" s="1030"/>
      <c r="Z75" s="1030"/>
    </row>
    <row r="76" spans="1:26" ht="12.75" customHeight="1">
      <c r="A76" s="1061">
        <f t="shared" si="3"/>
        <v>62</v>
      </c>
      <c r="B76" s="1051" t="s">
        <v>3382</v>
      </c>
      <c r="C76" s="1066" t="s">
        <v>3342</v>
      </c>
      <c r="D76" s="1035" t="s">
        <v>1077</v>
      </c>
      <c r="E76" s="1035" t="s">
        <v>3388</v>
      </c>
      <c r="F76" s="1073" t="s">
        <v>3414</v>
      </c>
      <c r="G76" s="1068">
        <f t="shared" si="4"/>
        <v>200</v>
      </c>
      <c r="H76" s="1035" t="s">
        <v>3415</v>
      </c>
      <c r="I76" s="1070">
        <v>0.5</v>
      </c>
      <c r="J76" s="1087"/>
      <c r="K76" s="1068">
        <f t="shared" si="2"/>
        <v>100</v>
      </c>
      <c r="L76" s="1030"/>
      <c r="M76" s="1030"/>
      <c r="N76" s="1030"/>
      <c r="O76" s="1030"/>
      <c r="P76" s="1030"/>
      <c r="Q76" s="1030"/>
      <c r="R76" s="1030"/>
      <c r="S76" s="1030"/>
      <c r="T76" s="1030"/>
      <c r="U76" s="1030"/>
      <c r="V76" s="1030"/>
      <c r="W76" s="1030"/>
      <c r="X76" s="1030"/>
      <c r="Y76" s="1030"/>
      <c r="Z76" s="1030"/>
    </row>
    <row r="77" spans="1:26" ht="12.75" customHeight="1">
      <c r="A77" s="1061">
        <f>A75+1</f>
        <v>62</v>
      </c>
      <c r="B77" s="1051" t="s">
        <v>3382</v>
      </c>
      <c r="C77" s="1066" t="s">
        <v>3342</v>
      </c>
      <c r="D77" s="1035" t="s">
        <v>976</v>
      </c>
      <c r="E77" s="1035" t="s">
        <v>3388</v>
      </c>
      <c r="F77" s="1073" t="s">
        <v>3414</v>
      </c>
      <c r="G77" s="1068">
        <f t="shared" si="4"/>
        <v>200</v>
      </c>
      <c r="H77" s="1035"/>
      <c r="I77" s="1062">
        <v>2.5</v>
      </c>
      <c r="J77" s="1087"/>
      <c r="K77" s="1068">
        <f t="shared" si="2"/>
        <v>500</v>
      </c>
      <c r="L77" s="1030"/>
      <c r="M77" s="1030"/>
      <c r="N77" s="1030"/>
      <c r="O77" s="1030"/>
      <c r="P77" s="1030"/>
      <c r="Q77" s="1030"/>
      <c r="R77" s="1030"/>
      <c r="S77" s="1030"/>
      <c r="T77" s="1030"/>
      <c r="U77" s="1030"/>
      <c r="V77" s="1030"/>
      <c r="W77" s="1030"/>
      <c r="X77" s="1030"/>
      <c r="Y77" s="1030"/>
      <c r="Z77" s="1030"/>
    </row>
    <row r="78" spans="1:26" ht="12.75" customHeight="1">
      <c r="A78" s="1061">
        <f t="shared" ref="A78:A121" si="5">A77+1</f>
        <v>63</v>
      </c>
      <c r="B78" s="1051" t="s">
        <v>3382</v>
      </c>
      <c r="C78" s="1066" t="s">
        <v>3342</v>
      </c>
      <c r="D78" s="1035" t="s">
        <v>3364</v>
      </c>
      <c r="E78" s="1035" t="s">
        <v>3409</v>
      </c>
      <c r="F78" s="1073" t="s">
        <v>3414</v>
      </c>
      <c r="G78" s="1075">
        <v>150</v>
      </c>
      <c r="H78" s="1035"/>
      <c r="I78" s="1062">
        <v>2.5</v>
      </c>
      <c r="J78" s="1087"/>
      <c r="K78" s="1068">
        <f t="shared" si="2"/>
        <v>375</v>
      </c>
      <c r="L78" s="1030"/>
      <c r="M78" s="1030"/>
      <c r="N78" s="1030"/>
      <c r="O78" s="1030"/>
      <c r="P78" s="1030"/>
      <c r="Q78" s="1030"/>
      <c r="R78" s="1030"/>
      <c r="S78" s="1030"/>
      <c r="T78" s="1030"/>
      <c r="U78" s="1030"/>
      <c r="V78" s="1030"/>
      <c r="W78" s="1030"/>
      <c r="X78" s="1030"/>
      <c r="Y78" s="1030"/>
      <c r="Z78" s="1030"/>
    </row>
    <row r="79" spans="1:26" ht="12.75" customHeight="1">
      <c r="A79" s="1061">
        <f t="shared" si="5"/>
        <v>64</v>
      </c>
      <c r="B79" s="1051" t="s">
        <v>3382</v>
      </c>
      <c r="C79" s="1066" t="s">
        <v>3342</v>
      </c>
      <c r="D79" s="1035" t="s">
        <v>1388</v>
      </c>
      <c r="E79" s="1035" t="s">
        <v>3388</v>
      </c>
      <c r="F79" s="1073" t="s">
        <v>3414</v>
      </c>
      <c r="G79" s="1068">
        <f t="shared" ref="G79:G104" si="6">IF(E79="MT",800,IF(E79="ET",600,IF(E79="ST",400,IF(E79="T",300,IF(E79="HTS",200,IF(E79="STS",150,IF(E79="TS",100,))))))+IF(E79="MTcod",600,IF(E79="ETcod",450,IF(E79="STcod",350,IF(E79="Tcod",250,)))+IF(E79="MTCoach",800,IF(E79="ETCoach",600,IF(E79="STCoach",400,IF(E79="TCoach",300,))))))</f>
        <v>200</v>
      </c>
      <c r="H79" s="1035"/>
      <c r="I79" s="1062">
        <v>2.5</v>
      </c>
      <c r="J79" s="1087"/>
      <c r="K79" s="1068">
        <f t="shared" si="2"/>
        <v>500</v>
      </c>
      <c r="L79" s="1030"/>
      <c r="M79" s="1030"/>
      <c r="N79" s="1030"/>
      <c r="O79" s="1030"/>
      <c r="P79" s="1030"/>
      <c r="Q79" s="1030"/>
      <c r="R79" s="1030"/>
      <c r="S79" s="1030"/>
      <c r="T79" s="1030"/>
      <c r="U79" s="1030"/>
      <c r="V79" s="1030"/>
      <c r="W79" s="1030"/>
      <c r="X79" s="1030"/>
      <c r="Y79" s="1030"/>
      <c r="Z79" s="1030"/>
    </row>
    <row r="80" spans="1:26" ht="12.75" customHeight="1">
      <c r="A80" s="1061">
        <f t="shared" si="5"/>
        <v>65</v>
      </c>
      <c r="B80" s="1051" t="s">
        <v>3382</v>
      </c>
      <c r="C80" s="1066" t="s">
        <v>3342</v>
      </c>
      <c r="D80" s="1035" t="s">
        <v>2642</v>
      </c>
      <c r="E80" s="1035" t="s">
        <v>3388</v>
      </c>
      <c r="F80" s="1073" t="s">
        <v>3414</v>
      </c>
      <c r="G80" s="1068">
        <f t="shared" si="6"/>
        <v>200</v>
      </c>
      <c r="H80" s="1035"/>
      <c r="I80" s="1062">
        <v>2.5</v>
      </c>
      <c r="J80" s="1087"/>
      <c r="K80" s="1068">
        <f t="shared" si="2"/>
        <v>500</v>
      </c>
      <c r="L80" s="1030"/>
      <c r="M80" s="1030"/>
      <c r="N80" s="1030"/>
      <c r="O80" s="1030"/>
      <c r="P80" s="1030"/>
      <c r="Q80" s="1030"/>
      <c r="R80" s="1030"/>
      <c r="S80" s="1030"/>
      <c r="T80" s="1030"/>
      <c r="U80" s="1030"/>
      <c r="V80" s="1030"/>
      <c r="W80" s="1030"/>
      <c r="X80" s="1030"/>
      <c r="Y80" s="1030"/>
      <c r="Z80" s="1030"/>
    </row>
    <row r="81" spans="1:26" ht="12.75" customHeight="1">
      <c r="A81" s="1061">
        <f t="shared" si="5"/>
        <v>66</v>
      </c>
      <c r="B81" s="1051" t="s">
        <v>3382</v>
      </c>
      <c r="C81" s="1066" t="s">
        <v>3342</v>
      </c>
      <c r="D81" s="1035" t="s">
        <v>3366</v>
      </c>
      <c r="E81" s="1035" t="s">
        <v>3388</v>
      </c>
      <c r="F81" s="1073" t="s">
        <v>3414</v>
      </c>
      <c r="G81" s="1068">
        <f t="shared" si="6"/>
        <v>200</v>
      </c>
      <c r="H81" s="1035"/>
      <c r="I81" s="1062">
        <v>2.5</v>
      </c>
      <c r="J81" s="1087"/>
      <c r="K81" s="1068">
        <f t="shared" si="2"/>
        <v>500</v>
      </c>
      <c r="L81" s="1030"/>
      <c r="M81" s="1030"/>
      <c r="N81" s="1030"/>
      <c r="O81" s="1030"/>
      <c r="P81" s="1030"/>
      <c r="Q81" s="1030"/>
      <c r="R81" s="1030"/>
      <c r="S81" s="1030"/>
      <c r="T81" s="1030"/>
      <c r="U81" s="1030"/>
      <c r="V81" s="1030"/>
      <c r="W81" s="1030"/>
      <c r="X81" s="1030"/>
      <c r="Y81" s="1030"/>
      <c r="Z81" s="1030"/>
    </row>
    <row r="82" spans="1:26" ht="12.75" customHeight="1">
      <c r="A82" s="1061">
        <f t="shared" si="5"/>
        <v>67</v>
      </c>
      <c r="B82" s="1051" t="s">
        <v>3382</v>
      </c>
      <c r="C82" s="1066" t="s">
        <v>3342</v>
      </c>
      <c r="D82" s="1035" t="s">
        <v>3370</v>
      </c>
      <c r="E82" s="1035" t="s">
        <v>3388</v>
      </c>
      <c r="F82" s="1073" t="s">
        <v>3414</v>
      </c>
      <c r="G82" s="1068">
        <f t="shared" si="6"/>
        <v>200</v>
      </c>
      <c r="H82" s="1035" t="s">
        <v>3563</v>
      </c>
      <c r="I82" s="1062">
        <v>0</v>
      </c>
      <c r="J82" s="1087"/>
      <c r="K82" s="1068">
        <f t="shared" si="2"/>
        <v>0</v>
      </c>
      <c r="L82" s="1030"/>
      <c r="M82" s="1030"/>
      <c r="N82" s="1030"/>
      <c r="O82" s="1030"/>
      <c r="P82" s="1030"/>
      <c r="Q82" s="1030"/>
      <c r="R82" s="1030"/>
      <c r="S82" s="1030"/>
      <c r="T82" s="1030"/>
      <c r="U82" s="1030"/>
      <c r="V82" s="1030"/>
      <c r="W82" s="1030"/>
      <c r="X82" s="1030"/>
      <c r="Y82" s="1030"/>
      <c r="Z82" s="1030"/>
    </row>
    <row r="83" spans="1:26" ht="12.75" customHeight="1">
      <c r="A83" s="1061">
        <f t="shared" si="5"/>
        <v>68</v>
      </c>
      <c r="B83" s="1051" t="s">
        <v>3382</v>
      </c>
      <c r="C83" s="1066" t="s">
        <v>3342</v>
      </c>
      <c r="D83" s="1035" t="s">
        <v>2940</v>
      </c>
      <c r="E83" s="1035" t="s">
        <v>3388</v>
      </c>
      <c r="F83" s="1073" t="s">
        <v>3414</v>
      </c>
      <c r="G83" s="1068">
        <f t="shared" si="6"/>
        <v>200</v>
      </c>
      <c r="H83" s="1035"/>
      <c r="I83" s="1062">
        <v>2</v>
      </c>
      <c r="J83" s="1087"/>
      <c r="K83" s="1068">
        <f t="shared" si="2"/>
        <v>400</v>
      </c>
      <c r="L83" s="1030"/>
      <c r="M83" s="1030"/>
      <c r="N83" s="1030"/>
      <c r="O83" s="1030"/>
      <c r="P83" s="1030"/>
      <c r="Q83" s="1030"/>
      <c r="R83" s="1030"/>
      <c r="S83" s="1030"/>
      <c r="T83" s="1030"/>
      <c r="U83" s="1030"/>
      <c r="V83" s="1030"/>
      <c r="W83" s="1030"/>
      <c r="X83" s="1030"/>
      <c r="Y83" s="1030"/>
      <c r="Z83" s="1030"/>
    </row>
    <row r="84" spans="1:26" ht="12.75" customHeight="1">
      <c r="A84" s="1061">
        <f t="shared" si="5"/>
        <v>69</v>
      </c>
      <c r="B84" s="1051" t="s">
        <v>3382</v>
      </c>
      <c r="C84" s="1066" t="s">
        <v>3342</v>
      </c>
      <c r="D84" s="1035" t="s">
        <v>2667</v>
      </c>
      <c r="E84" s="1035" t="s">
        <v>3388</v>
      </c>
      <c r="F84" s="1073" t="s">
        <v>3414</v>
      </c>
      <c r="G84" s="1068">
        <f t="shared" si="6"/>
        <v>200</v>
      </c>
      <c r="H84" s="1035"/>
      <c r="I84" s="1062">
        <v>2.5</v>
      </c>
      <c r="J84" s="1087"/>
      <c r="K84" s="1068">
        <f t="shared" si="2"/>
        <v>500</v>
      </c>
      <c r="L84" s="1030"/>
      <c r="M84" s="1030"/>
      <c r="N84" s="1030"/>
      <c r="O84" s="1030"/>
      <c r="P84" s="1030"/>
      <c r="Q84" s="1030"/>
      <c r="R84" s="1030"/>
      <c r="S84" s="1030"/>
      <c r="T84" s="1030"/>
      <c r="U84" s="1030"/>
      <c r="V84" s="1030"/>
      <c r="W84" s="1030"/>
      <c r="X84" s="1030"/>
      <c r="Y84" s="1030"/>
      <c r="Z84" s="1030"/>
    </row>
    <row r="85" spans="1:26" ht="12.75" customHeight="1">
      <c r="A85" s="1061">
        <f t="shared" si="5"/>
        <v>70</v>
      </c>
      <c r="B85" s="1051" t="s">
        <v>3382</v>
      </c>
      <c r="C85" s="1066" t="s">
        <v>3342</v>
      </c>
      <c r="D85" s="1035" t="s">
        <v>3396</v>
      </c>
      <c r="E85" s="1035" t="s">
        <v>3409</v>
      </c>
      <c r="F85" s="1073" t="s">
        <v>3414</v>
      </c>
      <c r="G85" s="1068">
        <f t="shared" si="6"/>
        <v>150</v>
      </c>
      <c r="H85" s="1035"/>
      <c r="I85" s="1062">
        <v>2.5</v>
      </c>
      <c r="J85" s="1087"/>
      <c r="K85" s="1068">
        <f t="shared" si="2"/>
        <v>375</v>
      </c>
      <c r="L85" s="1030"/>
      <c r="M85" s="1030"/>
      <c r="N85" s="1030"/>
      <c r="O85" s="1030"/>
      <c r="P85" s="1030"/>
      <c r="Q85" s="1030"/>
      <c r="R85" s="1030"/>
      <c r="S85" s="1030"/>
      <c r="T85" s="1030"/>
      <c r="U85" s="1030"/>
      <c r="V85" s="1030"/>
      <c r="W85" s="1030"/>
      <c r="X85" s="1030"/>
      <c r="Y85" s="1030"/>
      <c r="Z85" s="1030"/>
    </row>
    <row r="86" spans="1:26" ht="12.75" customHeight="1">
      <c r="A86" s="1061">
        <f t="shared" si="5"/>
        <v>71</v>
      </c>
      <c r="B86" s="1051" t="s">
        <v>3382</v>
      </c>
      <c r="C86" s="1066" t="s">
        <v>3342</v>
      </c>
      <c r="D86" s="1035" t="s">
        <v>3399</v>
      </c>
      <c r="E86" s="1035" t="s">
        <v>3409</v>
      </c>
      <c r="F86" s="1073" t="s">
        <v>3414</v>
      </c>
      <c r="G86" s="1068">
        <f t="shared" si="6"/>
        <v>150</v>
      </c>
      <c r="H86" s="1035"/>
      <c r="I86" s="1062">
        <v>2.5</v>
      </c>
      <c r="J86" s="1087"/>
      <c r="K86" s="1068">
        <f t="shared" si="2"/>
        <v>375</v>
      </c>
      <c r="L86" s="1030"/>
      <c r="M86" s="1030"/>
      <c r="N86" s="1030"/>
      <c r="O86" s="1030"/>
      <c r="P86" s="1030"/>
      <c r="Q86" s="1030"/>
      <c r="R86" s="1030"/>
      <c r="S86" s="1030"/>
      <c r="T86" s="1030"/>
      <c r="U86" s="1030"/>
      <c r="V86" s="1030"/>
      <c r="W86" s="1030"/>
      <c r="X86" s="1030"/>
      <c r="Y86" s="1030"/>
      <c r="Z86" s="1030"/>
    </row>
    <row r="87" spans="1:26" ht="12.75" customHeight="1">
      <c r="A87" s="1061">
        <f t="shared" si="5"/>
        <v>72</v>
      </c>
      <c r="B87" s="1051" t="s">
        <v>3382</v>
      </c>
      <c r="C87" s="1066" t="s">
        <v>3342</v>
      </c>
      <c r="D87" s="1035" t="s">
        <v>3387</v>
      </c>
      <c r="E87" s="1035" t="s">
        <v>3388</v>
      </c>
      <c r="F87" s="1073" t="s">
        <v>3414</v>
      </c>
      <c r="G87" s="1068">
        <f t="shared" si="6"/>
        <v>200</v>
      </c>
      <c r="H87" s="1035"/>
      <c r="I87" s="1062">
        <v>2.5</v>
      </c>
      <c r="J87" s="1087"/>
      <c r="K87" s="1068">
        <f t="shared" si="2"/>
        <v>500</v>
      </c>
      <c r="L87" s="1030"/>
      <c r="M87" s="1030"/>
      <c r="N87" s="1030"/>
      <c r="O87" s="1030"/>
      <c r="P87" s="1030"/>
      <c r="Q87" s="1030"/>
      <c r="R87" s="1030"/>
      <c r="S87" s="1030"/>
      <c r="T87" s="1030"/>
      <c r="U87" s="1030"/>
      <c r="V87" s="1030"/>
      <c r="W87" s="1030"/>
      <c r="X87" s="1030"/>
      <c r="Y87" s="1030"/>
      <c r="Z87" s="1030"/>
    </row>
    <row r="88" spans="1:26" ht="12.75" customHeight="1">
      <c r="A88" s="1061">
        <f t="shared" si="5"/>
        <v>73</v>
      </c>
      <c r="B88" s="1051" t="s">
        <v>3382</v>
      </c>
      <c r="C88" s="1066" t="s">
        <v>3342</v>
      </c>
      <c r="D88" s="1035" t="s">
        <v>2689</v>
      </c>
      <c r="E88" s="1035" t="s">
        <v>3388</v>
      </c>
      <c r="F88" s="1073" t="s">
        <v>3414</v>
      </c>
      <c r="G88" s="1068">
        <f t="shared" si="6"/>
        <v>200</v>
      </c>
      <c r="H88" s="1035"/>
      <c r="I88" s="1062">
        <v>2.5</v>
      </c>
      <c r="J88" s="1087"/>
      <c r="K88" s="1068">
        <f t="shared" si="2"/>
        <v>500</v>
      </c>
      <c r="L88" s="1030"/>
      <c r="M88" s="1030"/>
      <c r="N88" s="1030"/>
      <c r="O88" s="1030"/>
      <c r="P88" s="1030"/>
      <c r="Q88" s="1030"/>
      <c r="R88" s="1030"/>
      <c r="S88" s="1030"/>
      <c r="T88" s="1030"/>
      <c r="U88" s="1030"/>
      <c r="V88" s="1030"/>
      <c r="W88" s="1030"/>
      <c r="X88" s="1030"/>
      <c r="Y88" s="1030"/>
      <c r="Z88" s="1030"/>
    </row>
    <row r="89" spans="1:26" ht="12.75" customHeight="1">
      <c r="A89" s="1061">
        <f t="shared" si="5"/>
        <v>74</v>
      </c>
      <c r="B89" s="1051" t="s">
        <v>3382</v>
      </c>
      <c r="C89" s="1066" t="s">
        <v>3342</v>
      </c>
      <c r="D89" s="1035" t="s">
        <v>3412</v>
      </c>
      <c r="E89" s="1035" t="s">
        <v>3393</v>
      </c>
      <c r="F89" s="1073" t="s">
        <v>3414</v>
      </c>
      <c r="G89" s="1068">
        <f t="shared" si="6"/>
        <v>100</v>
      </c>
      <c r="H89" s="1035"/>
      <c r="I89" s="1062">
        <v>2.5</v>
      </c>
      <c r="J89" s="1087"/>
      <c r="K89" s="1068">
        <f t="shared" si="2"/>
        <v>250</v>
      </c>
      <c r="L89" s="1030"/>
      <c r="M89" s="1030"/>
      <c r="N89" s="1030"/>
      <c r="O89" s="1030"/>
      <c r="P89" s="1030"/>
      <c r="Q89" s="1030"/>
      <c r="R89" s="1030"/>
      <c r="S89" s="1030"/>
      <c r="T89" s="1030"/>
      <c r="U89" s="1030"/>
      <c r="V89" s="1030"/>
      <c r="W89" s="1030"/>
      <c r="X89" s="1030"/>
      <c r="Y89" s="1030"/>
      <c r="Z89" s="1030"/>
    </row>
    <row r="90" spans="1:26" ht="12.75" customHeight="1">
      <c r="A90" s="1061">
        <f t="shared" si="5"/>
        <v>75</v>
      </c>
      <c r="B90" s="1051" t="s">
        <v>3382</v>
      </c>
      <c r="C90" s="1066" t="s">
        <v>3342</v>
      </c>
      <c r="D90" s="1035" t="s">
        <v>3404</v>
      </c>
      <c r="E90" s="1035" t="s">
        <v>3388</v>
      </c>
      <c r="F90" s="1073" t="s">
        <v>3414</v>
      </c>
      <c r="G90" s="1068">
        <f t="shared" si="6"/>
        <v>200</v>
      </c>
      <c r="H90" s="1035"/>
      <c r="I90" s="1062">
        <v>2.5</v>
      </c>
      <c r="J90" s="1087"/>
      <c r="K90" s="1068">
        <f t="shared" si="2"/>
        <v>500</v>
      </c>
      <c r="L90" s="1030"/>
      <c r="M90" s="1030"/>
      <c r="N90" s="1030"/>
      <c r="O90" s="1030"/>
      <c r="P90" s="1030"/>
      <c r="Q90" s="1030"/>
      <c r="R90" s="1030"/>
      <c r="S90" s="1030"/>
      <c r="T90" s="1030"/>
      <c r="U90" s="1030"/>
      <c r="V90" s="1030"/>
      <c r="W90" s="1030"/>
      <c r="X90" s="1030"/>
      <c r="Y90" s="1030"/>
      <c r="Z90" s="1030"/>
    </row>
    <row r="91" spans="1:26" ht="12.75" customHeight="1">
      <c r="A91" s="1061">
        <f t="shared" si="5"/>
        <v>76</v>
      </c>
      <c r="B91" s="1051" t="s">
        <v>3382</v>
      </c>
      <c r="C91" s="1066" t="s">
        <v>3342</v>
      </c>
      <c r="D91" s="1035" t="s">
        <v>3395</v>
      </c>
      <c r="E91" s="1035" t="s">
        <v>3388</v>
      </c>
      <c r="F91" s="1073" t="s">
        <v>3414</v>
      </c>
      <c r="G91" s="1068">
        <f t="shared" si="6"/>
        <v>200</v>
      </c>
      <c r="H91" s="1035"/>
      <c r="I91" s="1062">
        <v>2.5</v>
      </c>
      <c r="J91" s="1087"/>
      <c r="K91" s="1068">
        <f t="shared" si="2"/>
        <v>500</v>
      </c>
      <c r="L91" s="1030"/>
      <c r="M91" s="1030"/>
      <c r="N91" s="1030"/>
      <c r="O91" s="1030"/>
      <c r="P91" s="1030"/>
      <c r="Q91" s="1030"/>
      <c r="R91" s="1030"/>
      <c r="S91" s="1030"/>
      <c r="T91" s="1030"/>
      <c r="U91" s="1030"/>
      <c r="V91" s="1030"/>
      <c r="W91" s="1030"/>
      <c r="X91" s="1030"/>
      <c r="Y91" s="1030"/>
      <c r="Z91" s="1030"/>
    </row>
    <row r="92" spans="1:26" ht="12.75" customHeight="1">
      <c r="A92" s="1061">
        <f t="shared" si="5"/>
        <v>77</v>
      </c>
      <c r="B92" s="1051" t="s">
        <v>3382</v>
      </c>
      <c r="C92" s="1066" t="s">
        <v>3342</v>
      </c>
      <c r="D92" s="1035" t="s">
        <v>3398</v>
      </c>
      <c r="E92" s="1035" t="s">
        <v>3388</v>
      </c>
      <c r="F92" s="1073" t="s">
        <v>3414</v>
      </c>
      <c r="G92" s="1068">
        <f t="shared" si="6"/>
        <v>200</v>
      </c>
      <c r="H92" s="1035"/>
      <c r="I92" s="1062">
        <v>2</v>
      </c>
      <c r="J92" s="1087"/>
      <c r="K92" s="1068">
        <f t="shared" si="2"/>
        <v>400</v>
      </c>
      <c r="L92" s="1030"/>
      <c r="M92" s="1030"/>
      <c r="N92" s="1030"/>
      <c r="O92" s="1030"/>
      <c r="P92" s="1030"/>
      <c r="Q92" s="1030"/>
      <c r="R92" s="1030"/>
      <c r="S92" s="1030"/>
      <c r="T92" s="1030"/>
      <c r="U92" s="1030"/>
      <c r="V92" s="1030"/>
      <c r="W92" s="1030"/>
      <c r="X92" s="1030"/>
      <c r="Y92" s="1030"/>
      <c r="Z92" s="1030"/>
    </row>
    <row r="93" spans="1:26" ht="12.75" customHeight="1">
      <c r="A93" s="1061">
        <f t="shared" si="5"/>
        <v>78</v>
      </c>
      <c r="B93" s="1051" t="s">
        <v>3382</v>
      </c>
      <c r="C93" s="1066" t="s">
        <v>3342</v>
      </c>
      <c r="D93" s="1035" t="s">
        <v>3405</v>
      </c>
      <c r="E93" s="1035" t="s">
        <v>3388</v>
      </c>
      <c r="F93" s="1073" t="s">
        <v>3414</v>
      </c>
      <c r="G93" s="1068">
        <f t="shared" si="6"/>
        <v>200</v>
      </c>
      <c r="H93" s="1035"/>
      <c r="I93" s="1062">
        <v>2.5</v>
      </c>
      <c r="J93" s="1087"/>
      <c r="K93" s="1068">
        <f t="shared" si="2"/>
        <v>500</v>
      </c>
      <c r="L93" s="1030"/>
      <c r="M93" s="1030"/>
      <c r="N93" s="1030"/>
      <c r="O93" s="1030"/>
      <c r="P93" s="1030"/>
      <c r="Q93" s="1030"/>
      <c r="R93" s="1030"/>
      <c r="S93" s="1030"/>
      <c r="T93" s="1030"/>
      <c r="U93" s="1030"/>
      <c r="V93" s="1030"/>
      <c r="W93" s="1030"/>
      <c r="X93" s="1030"/>
      <c r="Y93" s="1030"/>
      <c r="Z93" s="1030"/>
    </row>
    <row r="94" spans="1:26" ht="12.75" customHeight="1">
      <c r="A94" s="1061">
        <f t="shared" si="5"/>
        <v>79</v>
      </c>
      <c r="B94" s="1051" t="s">
        <v>3382</v>
      </c>
      <c r="C94" s="1066" t="s">
        <v>3342</v>
      </c>
      <c r="D94" s="1035" t="s">
        <v>3408</v>
      </c>
      <c r="E94" s="1035" t="s">
        <v>3393</v>
      </c>
      <c r="F94" s="1073" t="s">
        <v>3414</v>
      </c>
      <c r="G94" s="1068">
        <f t="shared" si="6"/>
        <v>100</v>
      </c>
      <c r="H94" s="1074"/>
      <c r="I94" s="1062">
        <v>2.5</v>
      </c>
      <c r="J94" s="1071"/>
      <c r="K94" s="1072">
        <f t="shared" si="2"/>
        <v>250</v>
      </c>
      <c r="L94" s="1030"/>
      <c r="M94" s="1030"/>
      <c r="N94" s="1030"/>
      <c r="O94" s="1030"/>
      <c r="P94" s="1030"/>
      <c r="Q94" s="1030"/>
      <c r="R94" s="1030"/>
      <c r="S94" s="1030"/>
      <c r="T94" s="1030"/>
      <c r="U94" s="1030"/>
      <c r="V94" s="1030"/>
      <c r="W94" s="1030"/>
      <c r="X94" s="1030"/>
      <c r="Y94" s="1030"/>
      <c r="Z94" s="1030"/>
    </row>
    <row r="95" spans="1:26" ht="12.75" customHeight="1">
      <c r="A95" s="1061">
        <f t="shared" si="5"/>
        <v>80</v>
      </c>
      <c r="B95" s="1051" t="s">
        <v>3382</v>
      </c>
      <c r="C95" s="1066" t="s">
        <v>3342</v>
      </c>
      <c r="D95" s="1035" t="s">
        <v>3400</v>
      </c>
      <c r="E95" s="1035" t="s">
        <v>3388</v>
      </c>
      <c r="F95" s="1073" t="s">
        <v>3414</v>
      </c>
      <c r="G95" s="1068">
        <f t="shared" si="6"/>
        <v>200</v>
      </c>
      <c r="H95" s="1035"/>
      <c r="I95" s="1062">
        <v>2.5</v>
      </c>
      <c r="J95" s="1087"/>
      <c r="K95" s="1068">
        <f t="shared" si="2"/>
        <v>500</v>
      </c>
      <c r="L95" s="1030"/>
      <c r="M95" s="1030"/>
      <c r="N95" s="1030"/>
      <c r="O95" s="1030"/>
      <c r="P95" s="1030"/>
      <c r="Q95" s="1030"/>
      <c r="R95" s="1030"/>
      <c r="S95" s="1030"/>
      <c r="T95" s="1030"/>
      <c r="U95" s="1030"/>
      <c r="V95" s="1030"/>
      <c r="W95" s="1030"/>
      <c r="X95" s="1030"/>
      <c r="Y95" s="1030"/>
      <c r="Z95" s="1030"/>
    </row>
    <row r="96" spans="1:26" ht="12.75" customHeight="1">
      <c r="A96" s="1061">
        <f t="shared" si="5"/>
        <v>81</v>
      </c>
      <c r="B96" s="1051" t="s">
        <v>3382</v>
      </c>
      <c r="C96" s="1066" t="s">
        <v>3342</v>
      </c>
      <c r="D96" s="1035" t="s">
        <v>2802</v>
      </c>
      <c r="E96" s="1035" t="s">
        <v>3388</v>
      </c>
      <c r="F96" s="1073" t="s">
        <v>3414</v>
      </c>
      <c r="G96" s="1068">
        <f t="shared" si="6"/>
        <v>200</v>
      </c>
      <c r="H96" s="1035"/>
      <c r="I96" s="1062">
        <v>2.5</v>
      </c>
      <c r="J96" s="1087"/>
      <c r="K96" s="1068">
        <f t="shared" si="2"/>
        <v>500</v>
      </c>
      <c r="L96" s="1039"/>
      <c r="M96" s="1030"/>
      <c r="N96" s="1030"/>
      <c r="O96" s="1030"/>
      <c r="P96" s="1030"/>
      <c r="Q96" s="1030"/>
      <c r="R96" s="1030"/>
      <c r="S96" s="1030"/>
      <c r="T96" s="1030"/>
      <c r="U96" s="1030"/>
      <c r="V96" s="1030"/>
      <c r="W96" s="1030"/>
      <c r="X96" s="1030"/>
      <c r="Y96" s="1030"/>
      <c r="Z96" s="1030"/>
    </row>
    <row r="97" spans="1:26" ht="12.75" customHeight="1">
      <c r="A97" s="1061">
        <f t="shared" si="5"/>
        <v>82</v>
      </c>
      <c r="B97" s="1051" t="s">
        <v>3382</v>
      </c>
      <c r="C97" s="1066" t="s">
        <v>3342</v>
      </c>
      <c r="D97" s="1035" t="s">
        <v>3407</v>
      </c>
      <c r="E97" s="1035" t="s">
        <v>3409</v>
      </c>
      <c r="F97" s="1073" t="s">
        <v>3414</v>
      </c>
      <c r="G97" s="1068">
        <f t="shared" si="6"/>
        <v>150</v>
      </c>
      <c r="H97" s="1035"/>
      <c r="I97" s="1062">
        <v>2.5</v>
      </c>
      <c r="J97" s="1087"/>
      <c r="K97" s="1068">
        <f t="shared" si="2"/>
        <v>375</v>
      </c>
      <c r="L97" s="1039"/>
      <c r="M97" s="1030"/>
      <c r="N97" s="1030"/>
      <c r="O97" s="1030"/>
      <c r="P97" s="1030"/>
      <c r="Q97" s="1030"/>
      <c r="R97" s="1030"/>
      <c r="S97" s="1030"/>
      <c r="T97" s="1030"/>
      <c r="U97" s="1030"/>
      <c r="V97" s="1030"/>
      <c r="W97" s="1030"/>
      <c r="X97" s="1030"/>
      <c r="Y97" s="1030"/>
      <c r="Z97" s="1030"/>
    </row>
    <row r="98" spans="1:26" ht="12.75" customHeight="1" outlineLevel="1">
      <c r="A98" s="1061">
        <f t="shared" si="5"/>
        <v>83</v>
      </c>
      <c r="B98" s="1051" t="s">
        <v>3382</v>
      </c>
      <c r="C98" s="1066" t="s">
        <v>3342</v>
      </c>
      <c r="D98" s="1035" t="s">
        <v>3145</v>
      </c>
      <c r="E98" s="1035" t="s">
        <v>3383</v>
      </c>
      <c r="F98" s="1073" t="s">
        <v>3564</v>
      </c>
      <c r="G98" s="1068">
        <f t="shared" si="6"/>
        <v>600</v>
      </c>
      <c r="H98" s="1035"/>
      <c r="I98" s="1062">
        <v>3</v>
      </c>
      <c r="J98" s="1087"/>
      <c r="K98" s="1068">
        <f t="shared" si="2"/>
        <v>1800</v>
      </c>
      <c r="L98" s="1030"/>
      <c r="M98" s="1030"/>
      <c r="N98" s="1030"/>
      <c r="O98" s="1030"/>
      <c r="P98" s="1030"/>
      <c r="Q98" s="1030"/>
      <c r="R98" s="1030"/>
      <c r="S98" s="1030"/>
      <c r="T98" s="1030"/>
      <c r="U98" s="1030"/>
      <c r="V98" s="1030"/>
      <c r="W98" s="1030"/>
      <c r="X98" s="1030"/>
      <c r="Y98" s="1030"/>
      <c r="Z98" s="1030"/>
    </row>
    <row r="99" spans="1:26" ht="12.75" customHeight="1" outlineLevel="1">
      <c r="A99" s="1061">
        <f t="shared" si="5"/>
        <v>84</v>
      </c>
      <c r="B99" s="1051" t="s">
        <v>3382</v>
      </c>
      <c r="C99" s="1066" t="s">
        <v>3342</v>
      </c>
      <c r="D99" s="1035" t="s">
        <v>3346</v>
      </c>
      <c r="E99" s="1035" t="s">
        <v>3388</v>
      </c>
      <c r="F99" s="1073" t="s">
        <v>3564</v>
      </c>
      <c r="G99" s="1068">
        <f t="shared" si="6"/>
        <v>200</v>
      </c>
      <c r="H99" s="1035"/>
      <c r="I99" s="1062">
        <v>3</v>
      </c>
      <c r="J99" s="1087"/>
      <c r="K99" s="1068">
        <f t="shared" si="2"/>
        <v>600</v>
      </c>
      <c r="L99" s="1030"/>
      <c r="M99" s="1030"/>
      <c r="N99" s="1030"/>
      <c r="O99" s="1030"/>
      <c r="P99" s="1030"/>
      <c r="Q99" s="1030"/>
      <c r="R99" s="1030"/>
      <c r="S99" s="1030"/>
      <c r="T99" s="1030"/>
      <c r="U99" s="1030"/>
      <c r="V99" s="1030"/>
      <c r="W99" s="1030"/>
      <c r="X99" s="1030"/>
      <c r="Y99" s="1030"/>
      <c r="Z99" s="1030"/>
    </row>
    <row r="100" spans="1:26" ht="12.75" customHeight="1" outlineLevel="1">
      <c r="A100" s="1061">
        <f t="shared" si="5"/>
        <v>85</v>
      </c>
      <c r="B100" s="1051" t="s">
        <v>3382</v>
      </c>
      <c r="C100" s="1066" t="s">
        <v>3342</v>
      </c>
      <c r="D100" s="1035" t="s">
        <v>998</v>
      </c>
      <c r="E100" s="1035" t="s">
        <v>3388</v>
      </c>
      <c r="F100" s="1073" t="s">
        <v>3564</v>
      </c>
      <c r="G100" s="1068">
        <f t="shared" si="6"/>
        <v>200</v>
      </c>
      <c r="H100" s="1035"/>
      <c r="I100" s="1062">
        <v>3.5</v>
      </c>
      <c r="J100" s="1087"/>
      <c r="K100" s="1068">
        <f t="shared" si="2"/>
        <v>700</v>
      </c>
      <c r="L100" s="1030"/>
      <c r="M100" s="1030"/>
      <c r="N100" s="1030"/>
      <c r="O100" s="1030"/>
      <c r="P100" s="1030"/>
      <c r="Q100" s="1030"/>
      <c r="R100" s="1030"/>
      <c r="S100" s="1030"/>
      <c r="T100" s="1030"/>
      <c r="U100" s="1030"/>
      <c r="V100" s="1030"/>
      <c r="W100" s="1030"/>
      <c r="X100" s="1030"/>
      <c r="Y100" s="1030"/>
      <c r="Z100" s="1030"/>
    </row>
    <row r="101" spans="1:26" ht="12.75" customHeight="1" outlineLevel="1">
      <c r="A101" s="1061">
        <f t="shared" si="5"/>
        <v>86</v>
      </c>
      <c r="B101" s="1051" t="s">
        <v>3382</v>
      </c>
      <c r="C101" s="1066" t="s">
        <v>3342</v>
      </c>
      <c r="D101" s="1035" t="s">
        <v>3356</v>
      </c>
      <c r="E101" s="1035" t="s">
        <v>3383</v>
      </c>
      <c r="F101" s="1073" t="s">
        <v>3564</v>
      </c>
      <c r="G101" s="1068">
        <f t="shared" si="6"/>
        <v>600</v>
      </c>
      <c r="H101" s="1035"/>
      <c r="I101" s="1062">
        <v>3</v>
      </c>
      <c r="J101" s="1087"/>
      <c r="K101" s="1068">
        <f t="shared" si="2"/>
        <v>1800</v>
      </c>
      <c r="L101" s="1030"/>
      <c r="M101" s="1030"/>
      <c r="N101" s="1030"/>
      <c r="O101" s="1030"/>
      <c r="P101" s="1030"/>
      <c r="Q101" s="1030"/>
      <c r="R101" s="1030"/>
      <c r="S101" s="1030"/>
      <c r="T101" s="1030"/>
      <c r="U101" s="1030"/>
      <c r="V101" s="1030"/>
      <c r="W101" s="1030"/>
      <c r="X101" s="1030"/>
      <c r="Y101" s="1030"/>
      <c r="Z101" s="1030"/>
    </row>
    <row r="102" spans="1:26" ht="12.75" customHeight="1" outlineLevel="1">
      <c r="A102" s="1061">
        <f t="shared" si="5"/>
        <v>87</v>
      </c>
      <c r="B102" s="1051" t="s">
        <v>3382</v>
      </c>
      <c r="C102" s="1066" t="s">
        <v>3342</v>
      </c>
      <c r="D102" s="1035" t="s">
        <v>3357</v>
      </c>
      <c r="E102" s="1035" t="s">
        <v>3388</v>
      </c>
      <c r="F102" s="1073" t="s">
        <v>3564</v>
      </c>
      <c r="G102" s="1068">
        <f t="shared" si="6"/>
        <v>200</v>
      </c>
      <c r="H102" s="1035"/>
      <c r="I102" s="1062">
        <v>3</v>
      </c>
      <c r="J102" s="1087"/>
      <c r="K102" s="1068">
        <f t="shared" si="2"/>
        <v>600</v>
      </c>
      <c r="L102" s="1030"/>
      <c r="M102" s="1030"/>
      <c r="N102" s="1030"/>
      <c r="O102" s="1030"/>
      <c r="P102" s="1030"/>
      <c r="Q102" s="1030"/>
      <c r="R102" s="1030"/>
      <c r="S102" s="1030"/>
      <c r="T102" s="1030"/>
      <c r="U102" s="1030"/>
      <c r="V102" s="1030"/>
      <c r="W102" s="1030"/>
      <c r="X102" s="1030"/>
      <c r="Y102" s="1030"/>
      <c r="Z102" s="1030"/>
    </row>
    <row r="103" spans="1:26" ht="12.75" customHeight="1" outlineLevel="1">
      <c r="A103" s="1061">
        <f t="shared" si="5"/>
        <v>88</v>
      </c>
      <c r="B103" s="1051" t="s">
        <v>3382</v>
      </c>
      <c r="C103" s="1066" t="s">
        <v>3342</v>
      </c>
      <c r="D103" s="1035" t="s">
        <v>1077</v>
      </c>
      <c r="E103" s="1035" t="s">
        <v>3388</v>
      </c>
      <c r="F103" s="1073" t="s">
        <v>3564</v>
      </c>
      <c r="G103" s="1068">
        <f t="shared" si="6"/>
        <v>200</v>
      </c>
      <c r="H103" s="1035"/>
      <c r="I103" s="1062">
        <v>3</v>
      </c>
      <c r="J103" s="1087"/>
      <c r="K103" s="1068">
        <f t="shared" si="2"/>
        <v>600</v>
      </c>
      <c r="L103" s="1030"/>
      <c r="M103" s="1030"/>
      <c r="N103" s="1030"/>
      <c r="O103" s="1030"/>
      <c r="P103" s="1030"/>
      <c r="Q103" s="1030"/>
      <c r="R103" s="1030"/>
      <c r="S103" s="1030"/>
      <c r="T103" s="1030"/>
      <c r="U103" s="1030"/>
      <c r="V103" s="1030"/>
      <c r="W103" s="1030"/>
      <c r="X103" s="1030"/>
      <c r="Y103" s="1030"/>
      <c r="Z103" s="1030"/>
    </row>
    <row r="104" spans="1:26" ht="12.75" customHeight="1" outlineLevel="1">
      <c r="A104" s="1061">
        <f t="shared" si="5"/>
        <v>89</v>
      </c>
      <c r="B104" s="1051" t="s">
        <v>3382</v>
      </c>
      <c r="C104" s="1066" t="s">
        <v>3342</v>
      </c>
      <c r="D104" s="1035" t="s">
        <v>976</v>
      </c>
      <c r="E104" s="1035" t="s">
        <v>3388</v>
      </c>
      <c r="F104" s="1073" t="s">
        <v>3564</v>
      </c>
      <c r="G104" s="1068">
        <f t="shared" si="6"/>
        <v>200</v>
      </c>
      <c r="H104" s="1035"/>
      <c r="I104" s="1062">
        <v>3</v>
      </c>
      <c r="J104" s="1087"/>
      <c r="K104" s="1068">
        <f t="shared" si="2"/>
        <v>600</v>
      </c>
      <c r="L104" s="1030"/>
      <c r="M104" s="1030"/>
      <c r="N104" s="1030"/>
      <c r="O104" s="1030"/>
      <c r="P104" s="1030"/>
      <c r="Q104" s="1030"/>
      <c r="R104" s="1030"/>
      <c r="S104" s="1030"/>
      <c r="T104" s="1030"/>
      <c r="U104" s="1030"/>
      <c r="V104" s="1030"/>
      <c r="W104" s="1030"/>
      <c r="X104" s="1030"/>
      <c r="Y104" s="1030"/>
      <c r="Z104" s="1030"/>
    </row>
    <row r="105" spans="1:26" ht="12.75" customHeight="1" outlineLevel="1">
      <c r="A105" s="1061">
        <f t="shared" si="5"/>
        <v>90</v>
      </c>
      <c r="B105" s="1051" t="s">
        <v>3382</v>
      </c>
      <c r="C105" s="1066" t="s">
        <v>3342</v>
      </c>
      <c r="D105" s="1035" t="s">
        <v>3364</v>
      </c>
      <c r="E105" s="1035" t="s">
        <v>3409</v>
      </c>
      <c r="F105" s="1073" t="s">
        <v>3564</v>
      </c>
      <c r="G105" s="1075">
        <v>150</v>
      </c>
      <c r="H105" s="1035"/>
      <c r="I105" s="1062">
        <v>3.5</v>
      </c>
      <c r="J105" s="1087"/>
      <c r="K105" s="1068">
        <f t="shared" si="2"/>
        <v>525</v>
      </c>
      <c r="L105" s="1030"/>
      <c r="M105" s="1030"/>
      <c r="N105" s="1030"/>
      <c r="O105" s="1030"/>
      <c r="P105" s="1030"/>
      <c r="Q105" s="1030"/>
      <c r="R105" s="1030"/>
      <c r="S105" s="1030"/>
      <c r="T105" s="1030"/>
      <c r="U105" s="1030"/>
      <c r="V105" s="1030"/>
      <c r="W105" s="1030"/>
      <c r="X105" s="1030"/>
      <c r="Y105" s="1030"/>
      <c r="Z105" s="1030"/>
    </row>
    <row r="106" spans="1:26" ht="12.75" customHeight="1" outlineLevel="1">
      <c r="A106" s="1061">
        <f t="shared" si="5"/>
        <v>91</v>
      </c>
      <c r="B106" s="1051" t="s">
        <v>3382</v>
      </c>
      <c r="C106" s="1066" t="s">
        <v>3342</v>
      </c>
      <c r="D106" s="1035" t="s">
        <v>1388</v>
      </c>
      <c r="E106" s="1035" t="s">
        <v>3388</v>
      </c>
      <c r="F106" s="1073" t="s">
        <v>3564</v>
      </c>
      <c r="G106" s="1068">
        <f t="shared" ref="G106:G124" si="7">IF(E106="MT",800,IF(E106="ET",600,IF(E106="ST",400,IF(E106="T",300,IF(E106="HTS",200,IF(E106="STS",150,IF(E106="TS",100,))))))+IF(E106="MTcod",600,IF(E106="ETcod",450,IF(E106="STcod",350,IF(E106="Tcod",250,)))+IF(E106="MTCoach",800,IF(E106="ETCoach",600,IF(E106="STCoach",400,IF(E106="TCoach",300,))))))</f>
        <v>200</v>
      </c>
      <c r="H106" s="1035"/>
      <c r="I106" s="1062">
        <v>3</v>
      </c>
      <c r="J106" s="1087"/>
      <c r="K106" s="1068">
        <f t="shared" si="2"/>
        <v>600</v>
      </c>
      <c r="L106" s="1030"/>
      <c r="M106" s="1030"/>
      <c r="N106" s="1030"/>
      <c r="O106" s="1030"/>
      <c r="P106" s="1030"/>
      <c r="Q106" s="1030"/>
      <c r="R106" s="1030"/>
      <c r="S106" s="1030"/>
      <c r="T106" s="1030"/>
      <c r="U106" s="1030"/>
      <c r="V106" s="1030"/>
      <c r="W106" s="1030"/>
      <c r="X106" s="1030"/>
      <c r="Y106" s="1030"/>
      <c r="Z106" s="1030"/>
    </row>
    <row r="107" spans="1:26" ht="12.75" customHeight="1" outlineLevel="1">
      <c r="A107" s="1061">
        <f t="shared" si="5"/>
        <v>92</v>
      </c>
      <c r="B107" s="1051" t="s">
        <v>3382</v>
      </c>
      <c r="C107" s="1066" t="s">
        <v>3342</v>
      </c>
      <c r="D107" s="1035" t="s">
        <v>2642</v>
      </c>
      <c r="E107" s="1035" t="s">
        <v>3388</v>
      </c>
      <c r="F107" s="1073" t="s">
        <v>3564</v>
      </c>
      <c r="G107" s="1068">
        <f t="shared" si="7"/>
        <v>200</v>
      </c>
      <c r="H107" s="1035"/>
      <c r="I107" s="1062">
        <v>3.5</v>
      </c>
      <c r="J107" s="1087"/>
      <c r="K107" s="1068">
        <f t="shared" si="2"/>
        <v>700</v>
      </c>
      <c r="L107" s="1030"/>
      <c r="M107" s="1030"/>
      <c r="N107" s="1030"/>
      <c r="O107" s="1030"/>
      <c r="P107" s="1030"/>
      <c r="Q107" s="1030"/>
      <c r="R107" s="1030"/>
      <c r="S107" s="1030"/>
      <c r="T107" s="1030"/>
      <c r="U107" s="1030"/>
      <c r="V107" s="1030"/>
      <c r="W107" s="1030"/>
      <c r="X107" s="1030"/>
      <c r="Y107" s="1030"/>
      <c r="Z107" s="1030"/>
    </row>
    <row r="108" spans="1:26" ht="12.75" customHeight="1" outlineLevel="1">
      <c r="A108" s="1061">
        <f t="shared" si="5"/>
        <v>93</v>
      </c>
      <c r="B108" s="1051" t="s">
        <v>3382</v>
      </c>
      <c r="C108" s="1066" t="s">
        <v>3342</v>
      </c>
      <c r="D108" s="1035" t="s">
        <v>3366</v>
      </c>
      <c r="E108" s="1035" t="s">
        <v>3388</v>
      </c>
      <c r="F108" s="1073" t="s">
        <v>3564</v>
      </c>
      <c r="G108" s="1068">
        <f t="shared" si="7"/>
        <v>200</v>
      </c>
      <c r="H108" s="1035"/>
      <c r="I108" s="1062">
        <v>3.5</v>
      </c>
      <c r="J108" s="1087"/>
      <c r="K108" s="1068">
        <f t="shared" si="2"/>
        <v>700</v>
      </c>
      <c r="L108" s="1030"/>
      <c r="M108" s="1030"/>
      <c r="N108" s="1030"/>
      <c r="O108" s="1030"/>
      <c r="P108" s="1030"/>
      <c r="Q108" s="1030"/>
      <c r="R108" s="1030"/>
      <c r="S108" s="1030"/>
      <c r="T108" s="1030"/>
      <c r="U108" s="1030"/>
      <c r="V108" s="1030"/>
      <c r="W108" s="1030"/>
      <c r="X108" s="1030"/>
      <c r="Y108" s="1030"/>
      <c r="Z108" s="1030"/>
    </row>
    <row r="109" spans="1:26" ht="12.75" customHeight="1" outlineLevel="1">
      <c r="A109" s="1061">
        <f t="shared" si="5"/>
        <v>94</v>
      </c>
      <c r="B109" s="1051" t="s">
        <v>3382</v>
      </c>
      <c r="C109" s="1066" t="s">
        <v>3342</v>
      </c>
      <c r="D109" s="1035" t="s">
        <v>3370</v>
      </c>
      <c r="E109" s="1035" t="s">
        <v>3388</v>
      </c>
      <c r="F109" s="1073" t="s">
        <v>3564</v>
      </c>
      <c r="G109" s="1068">
        <f t="shared" si="7"/>
        <v>200</v>
      </c>
      <c r="H109" s="1035" t="s">
        <v>3563</v>
      </c>
      <c r="I109" s="1062">
        <v>0</v>
      </c>
      <c r="J109" s="1087"/>
      <c r="K109" s="1068">
        <f t="shared" si="2"/>
        <v>0</v>
      </c>
      <c r="L109" s="1030"/>
      <c r="M109" s="1030"/>
      <c r="N109" s="1030"/>
      <c r="O109" s="1030"/>
      <c r="P109" s="1030"/>
      <c r="Q109" s="1030"/>
      <c r="R109" s="1030"/>
      <c r="S109" s="1030"/>
      <c r="T109" s="1030"/>
      <c r="U109" s="1030"/>
      <c r="V109" s="1030"/>
      <c r="W109" s="1030"/>
      <c r="X109" s="1030"/>
      <c r="Y109" s="1030"/>
      <c r="Z109" s="1030"/>
    </row>
    <row r="110" spans="1:26" ht="12.75" customHeight="1" outlineLevel="1">
      <c r="A110" s="1061">
        <f t="shared" si="5"/>
        <v>95</v>
      </c>
      <c r="B110" s="1051" t="s">
        <v>3382</v>
      </c>
      <c r="C110" s="1066" t="s">
        <v>3342</v>
      </c>
      <c r="D110" s="1035" t="s">
        <v>2940</v>
      </c>
      <c r="E110" s="1035" t="s">
        <v>3388</v>
      </c>
      <c r="F110" s="1073" t="s">
        <v>3564</v>
      </c>
      <c r="G110" s="1068">
        <f t="shared" si="7"/>
        <v>200</v>
      </c>
      <c r="H110" s="1035" t="s">
        <v>3563</v>
      </c>
      <c r="I110" s="1062">
        <v>0</v>
      </c>
      <c r="J110" s="1087"/>
      <c r="K110" s="1068">
        <f t="shared" si="2"/>
        <v>0</v>
      </c>
      <c r="L110" s="1030"/>
      <c r="M110" s="1030"/>
      <c r="N110" s="1030"/>
      <c r="O110" s="1030"/>
      <c r="P110" s="1030"/>
      <c r="Q110" s="1030"/>
      <c r="R110" s="1030"/>
      <c r="S110" s="1030"/>
      <c r="T110" s="1030"/>
      <c r="U110" s="1030"/>
      <c r="V110" s="1030"/>
      <c r="W110" s="1030"/>
      <c r="X110" s="1030"/>
      <c r="Y110" s="1030"/>
      <c r="Z110" s="1030"/>
    </row>
    <row r="111" spans="1:26" ht="12.75" customHeight="1" outlineLevel="1">
      <c r="A111" s="1061">
        <f t="shared" si="5"/>
        <v>96</v>
      </c>
      <c r="B111" s="1051" t="s">
        <v>3382</v>
      </c>
      <c r="C111" s="1066" t="s">
        <v>3342</v>
      </c>
      <c r="D111" s="1035" t="s">
        <v>2667</v>
      </c>
      <c r="E111" s="1035" t="s">
        <v>3388</v>
      </c>
      <c r="F111" s="1073" t="s">
        <v>3564</v>
      </c>
      <c r="G111" s="1068">
        <f t="shared" si="7"/>
        <v>200</v>
      </c>
      <c r="H111" s="1035"/>
      <c r="I111" s="1062">
        <v>3</v>
      </c>
      <c r="J111" s="1087"/>
      <c r="K111" s="1068">
        <f t="shared" si="2"/>
        <v>600</v>
      </c>
      <c r="L111" s="1030"/>
      <c r="M111" s="1030"/>
      <c r="N111" s="1030"/>
      <c r="O111" s="1030"/>
      <c r="P111" s="1030"/>
      <c r="Q111" s="1030"/>
      <c r="R111" s="1030"/>
      <c r="S111" s="1030"/>
      <c r="T111" s="1030"/>
      <c r="U111" s="1030"/>
      <c r="V111" s="1030"/>
      <c r="W111" s="1030"/>
      <c r="X111" s="1030"/>
      <c r="Y111" s="1030"/>
      <c r="Z111" s="1030"/>
    </row>
    <row r="112" spans="1:26" ht="12.75" customHeight="1" outlineLevel="1">
      <c r="A112" s="1061">
        <f t="shared" si="5"/>
        <v>97</v>
      </c>
      <c r="B112" s="1051" t="s">
        <v>3382</v>
      </c>
      <c r="C112" s="1066" t="s">
        <v>3342</v>
      </c>
      <c r="D112" s="1035" t="s">
        <v>3396</v>
      </c>
      <c r="E112" s="1035" t="s">
        <v>3409</v>
      </c>
      <c r="F112" s="1073" t="s">
        <v>3564</v>
      </c>
      <c r="G112" s="1068">
        <f t="shared" si="7"/>
        <v>150</v>
      </c>
      <c r="H112" s="1035"/>
      <c r="I112" s="1062">
        <v>3.5</v>
      </c>
      <c r="J112" s="1087"/>
      <c r="K112" s="1068">
        <f t="shared" si="2"/>
        <v>525</v>
      </c>
      <c r="L112" s="1030"/>
      <c r="M112" s="1030"/>
      <c r="N112" s="1030"/>
      <c r="O112" s="1030"/>
      <c r="P112" s="1030"/>
      <c r="Q112" s="1030"/>
      <c r="R112" s="1030"/>
      <c r="S112" s="1030"/>
      <c r="T112" s="1030"/>
      <c r="U112" s="1030"/>
      <c r="V112" s="1030"/>
      <c r="W112" s="1030"/>
      <c r="X112" s="1030"/>
      <c r="Y112" s="1030"/>
      <c r="Z112" s="1030"/>
    </row>
    <row r="113" spans="1:26" ht="12.75" customHeight="1" outlineLevel="1">
      <c r="A113" s="1061">
        <f t="shared" si="5"/>
        <v>98</v>
      </c>
      <c r="B113" s="1051" t="s">
        <v>3382</v>
      </c>
      <c r="C113" s="1066" t="s">
        <v>3342</v>
      </c>
      <c r="D113" s="1035" t="s">
        <v>3399</v>
      </c>
      <c r="E113" s="1035" t="s">
        <v>3409</v>
      </c>
      <c r="F113" s="1073" t="s">
        <v>3564</v>
      </c>
      <c r="G113" s="1068">
        <f t="shared" si="7"/>
        <v>150</v>
      </c>
      <c r="H113" s="1035"/>
      <c r="I113" s="1062">
        <v>3.5</v>
      </c>
      <c r="J113" s="1087"/>
      <c r="K113" s="1068">
        <f t="shared" si="2"/>
        <v>525</v>
      </c>
      <c r="L113" s="1030"/>
      <c r="M113" s="1030"/>
      <c r="N113" s="1030"/>
      <c r="O113" s="1030"/>
      <c r="P113" s="1030"/>
      <c r="Q113" s="1030"/>
      <c r="R113" s="1030"/>
      <c r="S113" s="1030"/>
      <c r="T113" s="1030"/>
      <c r="U113" s="1030"/>
      <c r="V113" s="1030"/>
      <c r="W113" s="1030"/>
      <c r="X113" s="1030"/>
      <c r="Y113" s="1030"/>
      <c r="Z113" s="1030"/>
    </row>
    <row r="114" spans="1:26" ht="12.75" customHeight="1" outlineLevel="1">
      <c r="A114" s="1061">
        <f t="shared" si="5"/>
        <v>99</v>
      </c>
      <c r="B114" s="1051" t="s">
        <v>3382</v>
      </c>
      <c r="C114" s="1066" t="s">
        <v>3342</v>
      </c>
      <c r="D114" s="1035" t="s">
        <v>3387</v>
      </c>
      <c r="E114" s="1035" t="s">
        <v>3388</v>
      </c>
      <c r="F114" s="1073" t="s">
        <v>3564</v>
      </c>
      <c r="G114" s="1068">
        <f t="shared" si="7"/>
        <v>200</v>
      </c>
      <c r="H114" s="1035" t="s">
        <v>3563</v>
      </c>
      <c r="I114" s="1062">
        <v>0</v>
      </c>
      <c r="J114" s="1087"/>
      <c r="K114" s="1068">
        <f t="shared" si="2"/>
        <v>0</v>
      </c>
      <c r="L114" s="1030"/>
      <c r="M114" s="1030"/>
      <c r="N114" s="1030"/>
      <c r="O114" s="1030"/>
      <c r="P114" s="1030"/>
      <c r="Q114" s="1030"/>
      <c r="R114" s="1030"/>
      <c r="S114" s="1030"/>
      <c r="T114" s="1030"/>
      <c r="U114" s="1030"/>
      <c r="V114" s="1030"/>
      <c r="W114" s="1030"/>
      <c r="X114" s="1030"/>
      <c r="Y114" s="1030"/>
      <c r="Z114" s="1030"/>
    </row>
    <row r="115" spans="1:26" ht="12.75" customHeight="1" outlineLevel="1">
      <c r="A115" s="1061">
        <f t="shared" si="5"/>
        <v>100</v>
      </c>
      <c r="B115" s="1051" t="s">
        <v>3382</v>
      </c>
      <c r="C115" s="1066" t="s">
        <v>3342</v>
      </c>
      <c r="D115" s="1035" t="s">
        <v>2689</v>
      </c>
      <c r="E115" s="1035" t="s">
        <v>3388</v>
      </c>
      <c r="F115" s="1073" t="s">
        <v>3564</v>
      </c>
      <c r="G115" s="1068">
        <f t="shared" si="7"/>
        <v>200</v>
      </c>
      <c r="H115" s="1035"/>
      <c r="I115" s="1062">
        <v>2</v>
      </c>
      <c r="J115" s="1087"/>
      <c r="K115" s="1068">
        <f t="shared" si="2"/>
        <v>400</v>
      </c>
      <c r="L115" s="1030"/>
      <c r="M115" s="1030"/>
      <c r="N115" s="1030"/>
      <c r="O115" s="1030"/>
      <c r="P115" s="1030"/>
      <c r="Q115" s="1030"/>
      <c r="R115" s="1030"/>
      <c r="S115" s="1030"/>
      <c r="T115" s="1030"/>
      <c r="U115" s="1030"/>
      <c r="V115" s="1030"/>
      <c r="W115" s="1030"/>
      <c r="X115" s="1030"/>
      <c r="Y115" s="1030"/>
      <c r="Z115" s="1030"/>
    </row>
    <row r="116" spans="1:26" ht="12.75" customHeight="1" outlineLevel="1">
      <c r="A116" s="1061">
        <f t="shared" si="5"/>
        <v>101</v>
      </c>
      <c r="B116" s="1051" t="s">
        <v>3382</v>
      </c>
      <c r="C116" s="1066" t="s">
        <v>3342</v>
      </c>
      <c r="D116" s="1035" t="s">
        <v>3412</v>
      </c>
      <c r="E116" s="1035" t="s">
        <v>3393</v>
      </c>
      <c r="F116" s="1073" t="s">
        <v>3564</v>
      </c>
      <c r="G116" s="1068">
        <f t="shared" si="7"/>
        <v>100</v>
      </c>
      <c r="H116" s="1035"/>
      <c r="I116" s="1062">
        <v>3.5</v>
      </c>
      <c r="J116" s="1087"/>
      <c r="K116" s="1068">
        <f t="shared" si="2"/>
        <v>350</v>
      </c>
      <c r="L116" s="1030"/>
      <c r="M116" s="1030"/>
      <c r="N116" s="1030"/>
      <c r="O116" s="1030"/>
      <c r="P116" s="1030"/>
      <c r="Q116" s="1030"/>
      <c r="R116" s="1030"/>
      <c r="S116" s="1030"/>
      <c r="T116" s="1030"/>
      <c r="U116" s="1030"/>
      <c r="V116" s="1030"/>
      <c r="W116" s="1030"/>
      <c r="X116" s="1030"/>
      <c r="Y116" s="1030"/>
      <c r="Z116" s="1030"/>
    </row>
    <row r="117" spans="1:26" ht="12.75" customHeight="1" outlineLevel="1">
      <c r="A117" s="1061">
        <f t="shared" si="5"/>
        <v>102</v>
      </c>
      <c r="B117" s="1051" t="s">
        <v>3382</v>
      </c>
      <c r="C117" s="1066" t="s">
        <v>3342</v>
      </c>
      <c r="D117" s="1035" t="s">
        <v>3404</v>
      </c>
      <c r="E117" s="1035" t="s">
        <v>3388</v>
      </c>
      <c r="F117" s="1073" t="s">
        <v>3564</v>
      </c>
      <c r="G117" s="1068">
        <f t="shared" si="7"/>
        <v>200</v>
      </c>
      <c r="H117" s="1035"/>
      <c r="I117" s="1062">
        <v>2.5</v>
      </c>
      <c r="J117" s="1087"/>
      <c r="K117" s="1068">
        <f t="shared" si="2"/>
        <v>500</v>
      </c>
      <c r="L117" s="1030"/>
      <c r="M117" s="1030"/>
      <c r="N117" s="1030"/>
      <c r="O117" s="1030"/>
      <c r="P117" s="1030"/>
      <c r="Q117" s="1030"/>
      <c r="R117" s="1030"/>
      <c r="S117" s="1030"/>
      <c r="T117" s="1030"/>
      <c r="U117" s="1030"/>
      <c r="V117" s="1030"/>
      <c r="W117" s="1030"/>
      <c r="X117" s="1030"/>
      <c r="Y117" s="1030"/>
      <c r="Z117" s="1030"/>
    </row>
    <row r="118" spans="1:26" ht="12.75" customHeight="1" outlineLevel="1">
      <c r="A118" s="1061">
        <f t="shared" si="5"/>
        <v>103</v>
      </c>
      <c r="B118" s="1051" t="s">
        <v>3382</v>
      </c>
      <c r="C118" s="1066" t="s">
        <v>3342</v>
      </c>
      <c r="D118" s="1035" t="s">
        <v>3395</v>
      </c>
      <c r="E118" s="1035" t="s">
        <v>3388</v>
      </c>
      <c r="F118" s="1073" t="s">
        <v>3564</v>
      </c>
      <c r="G118" s="1068">
        <f t="shared" si="7"/>
        <v>200</v>
      </c>
      <c r="H118" s="1035"/>
      <c r="I118" s="1062">
        <v>3</v>
      </c>
      <c r="J118" s="1087"/>
      <c r="K118" s="1068">
        <f t="shared" si="2"/>
        <v>600</v>
      </c>
      <c r="L118" s="1030"/>
      <c r="M118" s="1030"/>
      <c r="N118" s="1030"/>
      <c r="O118" s="1030"/>
      <c r="P118" s="1030"/>
      <c r="Q118" s="1030"/>
      <c r="R118" s="1030"/>
      <c r="S118" s="1030"/>
      <c r="T118" s="1030"/>
      <c r="U118" s="1030"/>
      <c r="V118" s="1030"/>
      <c r="W118" s="1030"/>
      <c r="X118" s="1030"/>
      <c r="Y118" s="1030"/>
      <c r="Z118" s="1030"/>
    </row>
    <row r="119" spans="1:26" ht="12.75" customHeight="1" outlineLevel="1">
      <c r="A119" s="1061">
        <f t="shared" si="5"/>
        <v>104</v>
      </c>
      <c r="B119" s="1051" t="s">
        <v>3382</v>
      </c>
      <c r="C119" s="1066" t="s">
        <v>3342</v>
      </c>
      <c r="D119" s="1035" t="s">
        <v>3398</v>
      </c>
      <c r="E119" s="1035" t="s">
        <v>3388</v>
      </c>
      <c r="F119" s="1073" t="s">
        <v>3564</v>
      </c>
      <c r="G119" s="1068">
        <f t="shared" si="7"/>
        <v>200</v>
      </c>
      <c r="H119" s="1035"/>
      <c r="I119" s="1062">
        <v>2</v>
      </c>
      <c r="J119" s="1087"/>
      <c r="K119" s="1068">
        <f t="shared" si="2"/>
        <v>400</v>
      </c>
      <c r="L119" s="1030"/>
      <c r="M119" s="1030"/>
      <c r="N119" s="1030"/>
      <c r="O119" s="1030"/>
      <c r="P119" s="1030"/>
      <c r="Q119" s="1030"/>
      <c r="R119" s="1030"/>
      <c r="S119" s="1030"/>
      <c r="T119" s="1030"/>
      <c r="U119" s="1030"/>
      <c r="V119" s="1030"/>
      <c r="W119" s="1030"/>
      <c r="X119" s="1030"/>
      <c r="Y119" s="1030"/>
      <c r="Z119" s="1030"/>
    </row>
    <row r="120" spans="1:26" ht="12.75" customHeight="1" outlineLevel="1">
      <c r="A120" s="1061">
        <f t="shared" si="5"/>
        <v>105</v>
      </c>
      <c r="B120" s="1051" t="s">
        <v>3382</v>
      </c>
      <c r="C120" s="1066" t="s">
        <v>3342</v>
      </c>
      <c r="D120" s="1035" t="s">
        <v>3405</v>
      </c>
      <c r="E120" s="1035" t="s">
        <v>3388</v>
      </c>
      <c r="F120" s="1073" t="s">
        <v>3564</v>
      </c>
      <c r="G120" s="1068">
        <f t="shared" si="7"/>
        <v>200</v>
      </c>
      <c r="H120" s="1035"/>
      <c r="I120" s="1062">
        <v>3.5</v>
      </c>
      <c r="J120" s="1087"/>
      <c r="K120" s="1068">
        <f t="shared" si="2"/>
        <v>700</v>
      </c>
      <c r="L120" s="1030"/>
      <c r="M120" s="1030"/>
      <c r="N120" s="1030"/>
      <c r="O120" s="1030"/>
      <c r="P120" s="1030"/>
      <c r="Q120" s="1030"/>
      <c r="R120" s="1030"/>
      <c r="S120" s="1030"/>
      <c r="T120" s="1030"/>
      <c r="U120" s="1030"/>
      <c r="V120" s="1030"/>
      <c r="W120" s="1030"/>
      <c r="X120" s="1030"/>
      <c r="Y120" s="1030"/>
      <c r="Z120" s="1030"/>
    </row>
    <row r="121" spans="1:26" ht="12.75" customHeight="1" outlineLevel="1">
      <c r="A121" s="1061">
        <f t="shared" si="5"/>
        <v>106</v>
      </c>
      <c r="B121" s="1051" t="s">
        <v>3382</v>
      </c>
      <c r="C121" s="1066" t="s">
        <v>3342</v>
      </c>
      <c r="D121" s="1035" t="s">
        <v>3408</v>
      </c>
      <c r="E121" s="1035" t="s">
        <v>3393</v>
      </c>
      <c r="F121" s="1073" t="s">
        <v>3564</v>
      </c>
      <c r="G121" s="1068">
        <f t="shared" si="7"/>
        <v>100</v>
      </c>
      <c r="H121" s="1035" t="s">
        <v>3563</v>
      </c>
      <c r="I121" s="1062">
        <v>0</v>
      </c>
      <c r="J121" s="1071"/>
      <c r="K121" s="1072">
        <f t="shared" si="2"/>
        <v>0</v>
      </c>
      <c r="L121" s="1030"/>
      <c r="M121" s="1030"/>
      <c r="N121" s="1030"/>
      <c r="O121" s="1030"/>
      <c r="P121" s="1030"/>
      <c r="Q121" s="1030"/>
      <c r="R121" s="1030"/>
      <c r="S121" s="1030"/>
      <c r="T121" s="1030"/>
      <c r="U121" s="1030"/>
      <c r="V121" s="1030"/>
      <c r="W121" s="1030"/>
      <c r="X121" s="1030"/>
      <c r="Y121" s="1030"/>
      <c r="Z121" s="1030"/>
    </row>
    <row r="122" spans="1:26" ht="12.75" customHeight="1" outlineLevel="1">
      <c r="A122" s="1061">
        <f>A120+1</f>
        <v>106</v>
      </c>
      <c r="B122" s="1051" t="s">
        <v>3382</v>
      </c>
      <c r="C122" s="1066" t="s">
        <v>3342</v>
      </c>
      <c r="D122" s="1035" t="s">
        <v>3400</v>
      </c>
      <c r="E122" s="1035" t="s">
        <v>3388</v>
      </c>
      <c r="F122" s="1073" t="s">
        <v>3564</v>
      </c>
      <c r="G122" s="1068">
        <f t="shared" si="7"/>
        <v>200</v>
      </c>
      <c r="H122" s="1035"/>
      <c r="I122" s="1062">
        <v>3</v>
      </c>
      <c r="J122" s="1087"/>
      <c r="K122" s="1068">
        <f t="shared" si="2"/>
        <v>600</v>
      </c>
      <c r="L122" s="1030"/>
      <c r="M122" s="1030"/>
      <c r="N122" s="1030"/>
      <c r="O122" s="1030"/>
      <c r="P122" s="1030"/>
      <c r="Q122" s="1030"/>
      <c r="R122" s="1030"/>
      <c r="S122" s="1030"/>
      <c r="T122" s="1030"/>
      <c r="U122" s="1030"/>
      <c r="V122" s="1030"/>
      <c r="W122" s="1030"/>
      <c r="X122" s="1030"/>
      <c r="Y122" s="1030"/>
      <c r="Z122" s="1030"/>
    </row>
    <row r="123" spans="1:26" ht="12.75" customHeight="1" outlineLevel="1">
      <c r="A123" s="1061">
        <f t="shared" ref="A123:A124" si="8">A122+1</f>
        <v>107</v>
      </c>
      <c r="B123" s="1051" t="s">
        <v>3382</v>
      </c>
      <c r="C123" s="1066" t="s">
        <v>3342</v>
      </c>
      <c r="D123" s="1035" t="s">
        <v>2802</v>
      </c>
      <c r="E123" s="1035" t="s">
        <v>3388</v>
      </c>
      <c r="F123" s="1073" t="s">
        <v>3564</v>
      </c>
      <c r="G123" s="1068">
        <f t="shared" si="7"/>
        <v>200</v>
      </c>
      <c r="H123" s="1035"/>
      <c r="I123" s="1062">
        <v>3.5</v>
      </c>
      <c r="J123" s="1087"/>
      <c r="K123" s="1068">
        <f t="shared" si="2"/>
        <v>700</v>
      </c>
      <c r="L123" s="1039"/>
      <c r="M123" s="1030"/>
      <c r="N123" s="1030"/>
      <c r="O123" s="1030"/>
      <c r="P123" s="1030"/>
      <c r="Q123" s="1030"/>
      <c r="R123" s="1030"/>
      <c r="S123" s="1030"/>
      <c r="T123" s="1030"/>
      <c r="U123" s="1030"/>
      <c r="V123" s="1030"/>
      <c r="W123" s="1030"/>
      <c r="X123" s="1030"/>
      <c r="Y123" s="1030"/>
      <c r="Z123" s="1030"/>
    </row>
    <row r="124" spans="1:26" ht="12.75" customHeight="1" outlineLevel="1">
      <c r="A124" s="1061">
        <f t="shared" si="8"/>
        <v>108</v>
      </c>
      <c r="B124" s="1051" t="s">
        <v>3382</v>
      </c>
      <c r="C124" s="1066" t="s">
        <v>3342</v>
      </c>
      <c r="D124" s="1035" t="s">
        <v>3407</v>
      </c>
      <c r="E124" s="1035" t="s">
        <v>3409</v>
      </c>
      <c r="F124" s="1073" t="s">
        <v>3564</v>
      </c>
      <c r="G124" s="1068">
        <f t="shared" si="7"/>
        <v>150</v>
      </c>
      <c r="H124" s="1035"/>
      <c r="I124" s="1062">
        <v>3.5</v>
      </c>
      <c r="J124" s="1087"/>
      <c r="K124" s="1068">
        <f t="shared" si="2"/>
        <v>525</v>
      </c>
      <c r="L124" s="1039"/>
      <c r="M124" s="1030"/>
      <c r="N124" s="1030"/>
      <c r="O124" s="1030"/>
      <c r="P124" s="1030"/>
      <c r="Q124" s="1030"/>
      <c r="R124" s="1030"/>
      <c r="S124" s="1030"/>
      <c r="T124" s="1030"/>
      <c r="U124" s="1030"/>
      <c r="V124" s="1030"/>
      <c r="W124" s="1030"/>
      <c r="X124" s="1030"/>
      <c r="Y124" s="1030"/>
      <c r="Z124" s="1030"/>
    </row>
    <row r="125" spans="1:26" ht="12.75" customHeight="1">
      <c r="A125" s="1061"/>
      <c r="B125" s="1039"/>
      <c r="C125" s="1039"/>
      <c r="D125" s="1088" t="s">
        <v>3416</v>
      </c>
      <c r="E125" s="1089"/>
      <c r="F125" s="1089"/>
      <c r="G125" s="1089"/>
      <c r="H125" s="1090"/>
      <c r="I125" s="1089"/>
      <c r="J125" s="1089"/>
      <c r="K125" s="1091">
        <f>SUM(K15:K124)</f>
        <v>64700</v>
      </c>
      <c r="L125" s="1030"/>
      <c r="M125" s="1030"/>
      <c r="N125" s="1030"/>
      <c r="O125" s="1030"/>
      <c r="P125" s="1030"/>
      <c r="Q125" s="1030"/>
      <c r="R125" s="1030"/>
      <c r="S125" s="1030"/>
      <c r="T125" s="1030"/>
      <c r="U125" s="1030"/>
      <c r="V125" s="1030"/>
      <c r="W125" s="1030"/>
      <c r="X125" s="1030"/>
      <c r="Y125" s="1030"/>
      <c r="Z125" s="1030"/>
    </row>
    <row r="126" spans="1:26" ht="12.75" customHeight="1">
      <c r="A126" s="1061"/>
      <c r="B126" s="1039"/>
      <c r="C126" s="1039"/>
      <c r="D126" s="1092"/>
      <c r="E126" s="1092"/>
      <c r="F126" s="1092"/>
      <c r="G126" s="1092"/>
      <c r="H126" s="1093"/>
      <c r="I126" s="1092"/>
      <c r="J126" s="1092"/>
      <c r="K126" s="1094"/>
      <c r="L126" s="1030"/>
      <c r="M126" s="1030"/>
      <c r="N126" s="1030"/>
      <c r="O126" s="1030"/>
      <c r="P126" s="1030"/>
      <c r="Q126" s="1030"/>
      <c r="R126" s="1030"/>
      <c r="S126" s="1030"/>
      <c r="T126" s="1030"/>
      <c r="U126" s="1030"/>
      <c r="V126" s="1030"/>
      <c r="W126" s="1030"/>
      <c r="X126" s="1030"/>
      <c r="Y126" s="1030"/>
      <c r="Z126" s="1030"/>
    </row>
    <row r="127" spans="1:26" ht="12.75" customHeight="1">
      <c r="A127" s="1061"/>
      <c r="B127" s="1030"/>
      <c r="C127" s="1030"/>
      <c r="D127" s="1095" t="s">
        <v>3417</v>
      </c>
      <c r="E127" s="1031"/>
      <c r="F127" s="1031"/>
      <c r="G127" s="1031"/>
      <c r="H127" s="1031"/>
      <c r="I127" s="1032"/>
      <c r="J127" s="1031"/>
      <c r="K127" s="1033"/>
      <c r="L127" s="1030"/>
      <c r="M127" s="1030"/>
      <c r="N127" s="1030"/>
      <c r="O127" s="1030"/>
      <c r="P127" s="1030"/>
      <c r="Q127" s="1030"/>
      <c r="R127" s="1030"/>
      <c r="S127" s="1030"/>
      <c r="T127" s="1030"/>
      <c r="U127" s="1030"/>
      <c r="V127" s="1030"/>
      <c r="W127" s="1030"/>
      <c r="X127" s="1030"/>
      <c r="Y127" s="1030"/>
      <c r="Z127" s="1030"/>
    </row>
    <row r="128" spans="1:26" ht="27.75" customHeight="1">
      <c r="A128" s="1061"/>
      <c r="B128" s="1062" t="s">
        <v>3373</v>
      </c>
      <c r="C128" s="1063" t="s">
        <v>3374</v>
      </c>
      <c r="D128" s="1064" t="s">
        <v>3418</v>
      </c>
      <c r="E128" s="1096" t="s">
        <v>3419</v>
      </c>
      <c r="F128" s="1064" t="s">
        <v>3377</v>
      </c>
      <c r="G128" s="1064"/>
      <c r="H128" s="1064"/>
      <c r="I128" s="1064" t="s">
        <v>3420</v>
      </c>
      <c r="J128" s="1064" t="s">
        <v>3420</v>
      </c>
      <c r="K128" s="1097" t="s">
        <v>3421</v>
      </c>
      <c r="L128" s="1030"/>
      <c r="M128" s="1030"/>
      <c r="N128" s="1030"/>
      <c r="O128" s="1030"/>
      <c r="P128" s="1030"/>
      <c r="Q128" s="1030"/>
      <c r="R128" s="1030"/>
      <c r="S128" s="1030"/>
      <c r="T128" s="1030"/>
      <c r="U128" s="1030"/>
      <c r="V128" s="1030"/>
      <c r="W128" s="1030"/>
      <c r="X128" s="1030"/>
      <c r="Y128" s="1030"/>
      <c r="Z128" s="1030"/>
    </row>
    <row r="129" spans="1:26" ht="12.75" customHeight="1">
      <c r="A129" s="1098"/>
      <c r="B129" s="1051" t="s">
        <v>3419</v>
      </c>
      <c r="C129" s="1066" t="s">
        <v>3342</v>
      </c>
      <c r="D129" s="1099" t="s">
        <v>122</v>
      </c>
      <c r="E129" s="1035"/>
      <c r="F129" s="1100"/>
      <c r="G129" s="1100"/>
      <c r="H129" s="1100"/>
      <c r="I129" s="1035"/>
      <c r="J129" s="1035"/>
      <c r="K129" s="1101">
        <f>(2160+2160)</f>
        <v>4320</v>
      </c>
      <c r="L129" s="1102" t="s">
        <v>3422</v>
      </c>
      <c r="M129" s="1103"/>
      <c r="N129" s="1103"/>
      <c r="O129" s="1103"/>
      <c r="P129" s="1103"/>
      <c r="Q129" s="1103"/>
      <c r="R129" s="1103"/>
      <c r="S129" s="1103"/>
      <c r="T129" s="1103"/>
      <c r="U129" s="1103"/>
      <c r="V129" s="1103"/>
      <c r="W129" s="1103"/>
      <c r="X129" s="1103"/>
      <c r="Y129" s="1103"/>
      <c r="Z129" s="1103"/>
    </row>
    <row r="130" spans="1:26" ht="12.75" customHeight="1">
      <c r="A130" s="1098"/>
      <c r="B130" s="1104"/>
      <c r="C130" s="1105"/>
      <c r="D130" s="1106"/>
      <c r="E130" s="1106"/>
      <c r="F130" s="1106"/>
      <c r="G130" s="1106"/>
      <c r="H130" s="1107"/>
      <c r="I130" s="1106"/>
      <c r="J130" s="1106"/>
      <c r="K130" s="1108"/>
      <c r="L130" s="1103"/>
      <c r="M130" s="1103"/>
      <c r="N130" s="1103"/>
      <c r="O130" s="1103"/>
      <c r="P130" s="1103"/>
      <c r="Q130" s="1103"/>
      <c r="R130" s="1103"/>
      <c r="S130" s="1103"/>
      <c r="T130" s="1103"/>
      <c r="U130" s="1103"/>
      <c r="V130" s="1103"/>
      <c r="W130" s="1103"/>
      <c r="X130" s="1103"/>
      <c r="Y130" s="1103"/>
      <c r="Z130" s="1103"/>
    </row>
    <row r="131" spans="1:26" ht="12.75" customHeight="1">
      <c r="A131" s="1098"/>
      <c r="B131" s="1062" t="s">
        <v>3373</v>
      </c>
      <c r="C131" s="1063" t="s">
        <v>3374</v>
      </c>
      <c r="D131" s="1064" t="s">
        <v>3418</v>
      </c>
      <c r="E131" s="1109" t="s">
        <v>3339</v>
      </c>
      <c r="F131" s="1110" t="s">
        <v>3423</v>
      </c>
      <c r="G131" s="1109" t="s">
        <v>3424</v>
      </c>
      <c r="H131" s="1109" t="s">
        <v>24</v>
      </c>
      <c r="I131" s="1109" t="s">
        <v>3425</v>
      </c>
      <c r="J131" s="1111" t="s">
        <v>3426</v>
      </c>
      <c r="K131" s="1045" t="s">
        <v>3381</v>
      </c>
      <c r="L131" s="1103" t="s">
        <v>3427</v>
      </c>
      <c r="M131" s="1103"/>
      <c r="N131" s="1103"/>
      <c r="O131" s="1103"/>
      <c r="P131" s="1103"/>
      <c r="Q131" s="1103"/>
      <c r="R131" s="1103"/>
      <c r="S131" s="1103"/>
      <c r="T131" s="1103"/>
      <c r="U131" s="1103"/>
      <c r="V131" s="1103"/>
      <c r="W131" s="1103"/>
      <c r="X131" s="1103"/>
      <c r="Y131" s="1103"/>
      <c r="Z131" s="1103"/>
    </row>
    <row r="132" spans="1:26" ht="12.75" hidden="1" customHeight="1" outlineLevel="1">
      <c r="A132" s="1098">
        <v>1</v>
      </c>
      <c r="B132" s="1051" t="s">
        <v>3428</v>
      </c>
      <c r="C132" s="1112" t="s">
        <v>3342</v>
      </c>
      <c r="D132" s="1113" t="s">
        <v>122</v>
      </c>
      <c r="E132" s="1114"/>
      <c r="F132" s="1073" t="s">
        <v>3384</v>
      </c>
      <c r="G132" s="1035" t="s">
        <v>3429</v>
      </c>
      <c r="H132" s="1114"/>
      <c r="I132" s="1116">
        <v>120</v>
      </c>
      <c r="J132" s="1117">
        <v>0.3</v>
      </c>
      <c r="K132" s="1118">
        <f t="shared" ref="K132:K157" si="9">I132*J132</f>
        <v>36</v>
      </c>
      <c r="L132" s="1103" t="s">
        <v>3430</v>
      </c>
      <c r="M132" s="1103"/>
      <c r="N132" s="1103"/>
      <c r="O132" s="1103"/>
      <c r="P132" s="1103"/>
      <c r="Q132" s="1103"/>
      <c r="R132" s="1103"/>
      <c r="S132" s="1103"/>
      <c r="T132" s="1103"/>
      <c r="U132" s="1103"/>
      <c r="V132" s="1103"/>
      <c r="W132" s="1103"/>
      <c r="X132" s="1103"/>
      <c r="Y132" s="1103"/>
      <c r="Z132" s="1103"/>
    </row>
    <row r="133" spans="1:26" ht="12.75" hidden="1" customHeight="1" outlineLevel="1">
      <c r="A133" s="1098">
        <f t="shared" ref="A133:A165" si="10">A132+1</f>
        <v>2</v>
      </c>
      <c r="B133" s="1051" t="s">
        <v>3428</v>
      </c>
      <c r="C133" s="1119" t="s">
        <v>3342</v>
      </c>
      <c r="D133" s="1113" t="s">
        <v>122</v>
      </c>
      <c r="E133" s="1120"/>
      <c r="F133" s="1073" t="s">
        <v>3384</v>
      </c>
      <c r="G133" s="1035" t="s">
        <v>3431</v>
      </c>
      <c r="H133" s="1120"/>
      <c r="I133" s="1116">
        <v>206</v>
      </c>
      <c r="J133" s="1122">
        <v>0.3</v>
      </c>
      <c r="K133" s="1118">
        <f t="shared" si="9"/>
        <v>61.8</v>
      </c>
      <c r="L133" s="1103" t="s">
        <v>3432</v>
      </c>
      <c r="M133" s="1103"/>
      <c r="N133" s="1103"/>
      <c r="O133" s="1103"/>
      <c r="P133" s="1103"/>
      <c r="Q133" s="1103"/>
      <c r="R133" s="1103"/>
      <c r="S133" s="1103"/>
      <c r="T133" s="1103"/>
      <c r="U133" s="1103"/>
      <c r="V133" s="1103"/>
      <c r="W133" s="1103"/>
      <c r="X133" s="1103"/>
      <c r="Y133" s="1103"/>
      <c r="Z133" s="1103"/>
    </row>
    <row r="134" spans="1:26" ht="12.75" hidden="1" customHeight="1" outlineLevel="1">
      <c r="A134" s="1098">
        <f t="shared" si="10"/>
        <v>3</v>
      </c>
      <c r="B134" s="1051" t="s">
        <v>3428</v>
      </c>
      <c r="C134" s="1119" t="s">
        <v>3342</v>
      </c>
      <c r="D134" s="1113" t="s">
        <v>122</v>
      </c>
      <c r="E134" s="1120"/>
      <c r="F134" s="1073" t="s">
        <v>3384</v>
      </c>
      <c r="G134" s="1035" t="s">
        <v>3433</v>
      </c>
      <c r="H134" s="1121" t="s">
        <v>3563</v>
      </c>
      <c r="I134" s="1116">
        <v>0</v>
      </c>
      <c r="J134" s="1122">
        <v>0.3</v>
      </c>
      <c r="K134" s="1118">
        <f t="shared" si="9"/>
        <v>0</v>
      </c>
      <c r="L134" s="1103" t="s">
        <v>3434</v>
      </c>
      <c r="M134" s="1103"/>
      <c r="N134" s="1103"/>
      <c r="O134" s="1103"/>
      <c r="P134" s="1103"/>
      <c r="Q134" s="1103"/>
      <c r="R134" s="1103"/>
      <c r="S134" s="1103"/>
      <c r="T134" s="1103"/>
      <c r="U134" s="1103"/>
      <c r="V134" s="1103"/>
      <c r="W134" s="1103"/>
      <c r="X134" s="1103"/>
      <c r="Y134" s="1103"/>
      <c r="Z134" s="1103"/>
    </row>
    <row r="135" spans="1:26" ht="12.75" hidden="1" customHeight="1" outlineLevel="1">
      <c r="A135" s="1098">
        <f t="shared" si="10"/>
        <v>4</v>
      </c>
      <c r="B135" s="1051" t="s">
        <v>3428</v>
      </c>
      <c r="C135" s="1119" t="s">
        <v>3342</v>
      </c>
      <c r="D135" s="1113" t="s">
        <v>122</v>
      </c>
      <c r="E135" s="1120"/>
      <c r="F135" s="1073" t="s">
        <v>3384</v>
      </c>
      <c r="G135" s="1035" t="s">
        <v>3435</v>
      </c>
      <c r="H135" s="1120"/>
      <c r="I135" s="1116">
        <f>25*2</f>
        <v>50</v>
      </c>
      <c r="J135" s="1122">
        <v>0.3</v>
      </c>
      <c r="K135" s="1118">
        <f t="shared" si="9"/>
        <v>15</v>
      </c>
      <c r="L135" s="1103"/>
      <c r="M135" s="1103"/>
      <c r="N135" s="1103"/>
      <c r="O135" s="1103"/>
      <c r="P135" s="1103"/>
      <c r="Q135" s="1103"/>
      <c r="R135" s="1103"/>
      <c r="S135" s="1103"/>
      <c r="T135" s="1103"/>
      <c r="U135" s="1103"/>
      <c r="V135" s="1103"/>
      <c r="W135" s="1103"/>
      <c r="X135" s="1103"/>
      <c r="Y135" s="1103"/>
      <c r="Z135" s="1103"/>
    </row>
    <row r="136" spans="1:26" ht="12.75" hidden="1" customHeight="1" outlineLevel="1">
      <c r="A136" s="1098">
        <f t="shared" si="10"/>
        <v>5</v>
      </c>
      <c r="B136" s="1051" t="s">
        <v>3428</v>
      </c>
      <c r="C136" s="1119" t="s">
        <v>3342</v>
      </c>
      <c r="D136" s="1113" t="s">
        <v>122</v>
      </c>
      <c r="E136" s="1120"/>
      <c r="F136" s="1073" t="s">
        <v>3384</v>
      </c>
      <c r="G136" s="1035" t="s">
        <v>3436</v>
      </c>
      <c r="H136" s="1120"/>
      <c r="I136" s="1116">
        <v>210</v>
      </c>
      <c r="J136" s="1122">
        <v>0.3</v>
      </c>
      <c r="K136" s="1118">
        <f t="shared" si="9"/>
        <v>63</v>
      </c>
      <c r="L136" s="1103"/>
      <c r="M136" s="1103"/>
      <c r="N136" s="1103"/>
      <c r="O136" s="1103"/>
      <c r="P136" s="1103"/>
      <c r="Q136" s="1103"/>
      <c r="R136" s="1103"/>
      <c r="S136" s="1103"/>
      <c r="T136" s="1103"/>
      <c r="U136" s="1103"/>
      <c r="V136" s="1103"/>
      <c r="W136" s="1103"/>
      <c r="X136" s="1103"/>
      <c r="Y136" s="1103"/>
      <c r="Z136" s="1103"/>
    </row>
    <row r="137" spans="1:26" ht="12.75" hidden="1" customHeight="1" outlineLevel="1">
      <c r="A137" s="1098">
        <f t="shared" si="10"/>
        <v>6</v>
      </c>
      <c r="B137" s="1051" t="s">
        <v>3428</v>
      </c>
      <c r="C137" s="1119" t="s">
        <v>3342</v>
      </c>
      <c r="D137" s="1113" t="s">
        <v>122</v>
      </c>
      <c r="E137" s="1120"/>
      <c r="F137" s="1073" t="s">
        <v>3384</v>
      </c>
      <c r="G137" s="1035" t="s">
        <v>3522</v>
      </c>
      <c r="H137" s="1120"/>
      <c r="I137" s="1116">
        <v>0</v>
      </c>
      <c r="J137" s="1122">
        <v>0</v>
      </c>
      <c r="K137" s="1118">
        <f t="shared" si="9"/>
        <v>0</v>
      </c>
      <c r="L137" s="1124"/>
      <c r="M137" s="1124"/>
      <c r="N137" s="1124"/>
      <c r="O137" s="1124"/>
      <c r="P137" s="1124"/>
      <c r="Q137" s="1124"/>
      <c r="R137" s="1124"/>
      <c r="S137" s="1124"/>
      <c r="T137" s="1124"/>
      <c r="U137" s="1124"/>
      <c r="V137" s="1124"/>
      <c r="W137" s="1124"/>
      <c r="X137" s="1124"/>
      <c r="Y137" s="1124"/>
      <c r="Z137" s="1124"/>
    </row>
    <row r="138" spans="1:26" ht="12.75" hidden="1" customHeight="1" outlineLevel="1">
      <c r="A138" s="1098">
        <f t="shared" si="10"/>
        <v>7</v>
      </c>
      <c r="B138" s="1051" t="s">
        <v>3428</v>
      </c>
      <c r="C138" s="1119" t="s">
        <v>3342</v>
      </c>
      <c r="D138" s="1113" t="s">
        <v>122</v>
      </c>
      <c r="E138" s="1120"/>
      <c r="F138" s="1073" t="s">
        <v>3384</v>
      </c>
      <c r="G138" s="1035" t="s">
        <v>3438</v>
      </c>
      <c r="H138" s="1120"/>
      <c r="I138" s="1116">
        <v>290</v>
      </c>
      <c r="J138" s="1122">
        <v>0.3</v>
      </c>
      <c r="K138" s="1118">
        <f t="shared" si="9"/>
        <v>87</v>
      </c>
      <c r="L138" s="1124"/>
      <c r="M138" s="1124"/>
      <c r="N138" s="1124"/>
      <c r="O138" s="1124"/>
      <c r="P138" s="1124"/>
      <c r="Q138" s="1124"/>
      <c r="R138" s="1124"/>
      <c r="S138" s="1124"/>
      <c r="T138" s="1124"/>
      <c r="U138" s="1124"/>
      <c r="V138" s="1124"/>
      <c r="W138" s="1124"/>
      <c r="X138" s="1124"/>
      <c r="Y138" s="1124"/>
      <c r="Z138" s="1124"/>
    </row>
    <row r="139" spans="1:26" ht="12.75" hidden="1" customHeight="1" outlineLevel="1">
      <c r="A139" s="1098">
        <f t="shared" si="10"/>
        <v>8</v>
      </c>
      <c r="B139" s="1051" t="s">
        <v>3428</v>
      </c>
      <c r="C139" s="1119" t="s">
        <v>3342</v>
      </c>
      <c r="D139" s="1113" t="s">
        <v>122</v>
      </c>
      <c r="E139" s="1120"/>
      <c r="F139" s="1073" t="s">
        <v>3384</v>
      </c>
      <c r="G139" s="1035" t="s">
        <v>3439</v>
      </c>
      <c r="H139" s="1120"/>
      <c r="I139" s="1116">
        <v>400</v>
      </c>
      <c r="J139" s="1122">
        <v>0.3</v>
      </c>
      <c r="K139" s="1118">
        <f t="shared" si="9"/>
        <v>120</v>
      </c>
      <c r="L139" s="1124"/>
      <c r="M139" s="1124"/>
      <c r="N139" s="1124"/>
      <c r="O139" s="1124"/>
      <c r="P139" s="1124"/>
      <c r="Q139" s="1124"/>
      <c r="R139" s="1124"/>
      <c r="S139" s="1124"/>
      <c r="T139" s="1124"/>
      <c r="U139" s="1124"/>
      <c r="V139" s="1124"/>
      <c r="W139" s="1124"/>
      <c r="X139" s="1124"/>
      <c r="Y139" s="1124"/>
      <c r="Z139" s="1124"/>
    </row>
    <row r="140" spans="1:26" ht="12.75" hidden="1" customHeight="1" outlineLevel="1">
      <c r="A140" s="1098">
        <f t="shared" si="10"/>
        <v>9</v>
      </c>
      <c r="B140" s="1125" t="s">
        <v>3428</v>
      </c>
      <c r="C140" s="1126" t="s">
        <v>3342</v>
      </c>
      <c r="D140" s="1127" t="s">
        <v>122</v>
      </c>
      <c r="E140" s="1128"/>
      <c r="F140" s="1129" t="s">
        <v>3384</v>
      </c>
      <c r="G140" s="1130" t="s">
        <v>3440</v>
      </c>
      <c r="H140" s="1128"/>
      <c r="I140" s="1116">
        <v>96</v>
      </c>
      <c r="J140" s="1131">
        <v>0.3</v>
      </c>
      <c r="K140" s="1118">
        <f t="shared" si="9"/>
        <v>28.799999999999997</v>
      </c>
      <c r="L140" s="1124"/>
      <c r="M140" s="1124"/>
      <c r="N140" s="1124"/>
      <c r="O140" s="1124"/>
      <c r="P140" s="1124"/>
      <c r="Q140" s="1124"/>
      <c r="R140" s="1124"/>
      <c r="S140" s="1124"/>
      <c r="T140" s="1124"/>
      <c r="U140" s="1124"/>
      <c r="V140" s="1124"/>
      <c r="W140" s="1124"/>
      <c r="X140" s="1124"/>
      <c r="Y140" s="1124"/>
      <c r="Z140" s="1124"/>
    </row>
    <row r="141" spans="1:26" ht="12.75" hidden="1" customHeight="1" outlineLevel="1">
      <c r="A141" s="1098">
        <f t="shared" si="10"/>
        <v>10</v>
      </c>
      <c r="B141" s="1125" t="s">
        <v>3428</v>
      </c>
      <c r="C141" s="1126" t="s">
        <v>3342</v>
      </c>
      <c r="D141" s="1127" t="s">
        <v>122</v>
      </c>
      <c r="E141" s="1128"/>
      <c r="F141" s="1129" t="s">
        <v>3384</v>
      </c>
      <c r="G141" s="1130" t="s">
        <v>3441</v>
      </c>
      <c r="H141" s="1128"/>
      <c r="I141" s="1116">
        <f>170*2</f>
        <v>340</v>
      </c>
      <c r="J141" s="1131">
        <v>0.3</v>
      </c>
      <c r="K141" s="1118">
        <f t="shared" si="9"/>
        <v>102</v>
      </c>
      <c r="L141" s="1124"/>
      <c r="M141" s="1124"/>
      <c r="N141" s="1124"/>
      <c r="O141" s="1124"/>
      <c r="P141" s="1124"/>
      <c r="Q141" s="1124"/>
      <c r="R141" s="1124"/>
      <c r="S141" s="1124"/>
      <c r="T141" s="1124"/>
      <c r="U141" s="1124"/>
      <c r="V141" s="1124"/>
      <c r="W141" s="1124"/>
      <c r="X141" s="1124"/>
      <c r="Y141" s="1124"/>
      <c r="Z141" s="1124"/>
    </row>
    <row r="142" spans="1:26" ht="12.75" hidden="1" customHeight="1" outlineLevel="1">
      <c r="A142" s="1098">
        <f t="shared" si="10"/>
        <v>11</v>
      </c>
      <c r="B142" s="1125" t="s">
        <v>3428</v>
      </c>
      <c r="C142" s="1126" t="s">
        <v>3342</v>
      </c>
      <c r="D142" s="1127" t="s">
        <v>122</v>
      </c>
      <c r="E142" s="1128"/>
      <c r="F142" s="1129" t="s">
        <v>3384</v>
      </c>
      <c r="G142" s="1130" t="s">
        <v>3442</v>
      </c>
      <c r="H142" s="1128"/>
      <c r="I142" s="1116">
        <f>324*2</f>
        <v>648</v>
      </c>
      <c r="J142" s="1131">
        <v>0.3</v>
      </c>
      <c r="K142" s="1118">
        <f t="shared" si="9"/>
        <v>194.4</v>
      </c>
      <c r="L142" s="1124"/>
      <c r="M142" s="1124"/>
      <c r="N142" s="1124"/>
      <c r="O142" s="1124"/>
      <c r="P142" s="1124"/>
      <c r="Q142" s="1124"/>
      <c r="R142" s="1124"/>
      <c r="S142" s="1124"/>
      <c r="T142" s="1124"/>
      <c r="U142" s="1124"/>
      <c r="V142" s="1124"/>
      <c r="W142" s="1124"/>
      <c r="X142" s="1124"/>
      <c r="Y142" s="1124"/>
      <c r="Z142" s="1124"/>
    </row>
    <row r="143" spans="1:26" ht="12.75" hidden="1" customHeight="1" outlineLevel="1">
      <c r="A143" s="1098">
        <f t="shared" si="10"/>
        <v>12</v>
      </c>
      <c r="B143" s="1125" t="s">
        <v>3428</v>
      </c>
      <c r="C143" s="1126" t="s">
        <v>3342</v>
      </c>
      <c r="D143" s="1127" t="s">
        <v>122</v>
      </c>
      <c r="E143" s="1132"/>
      <c r="F143" s="1129" t="s">
        <v>3384</v>
      </c>
      <c r="G143" s="1130" t="s">
        <v>3443</v>
      </c>
      <c r="H143" s="1128"/>
      <c r="I143" s="1116">
        <v>54</v>
      </c>
      <c r="J143" s="1131">
        <v>0.3</v>
      </c>
      <c r="K143" s="1118">
        <f t="shared" si="9"/>
        <v>16.2</v>
      </c>
      <c r="L143" s="1124"/>
      <c r="M143" s="1124"/>
      <c r="N143" s="1124"/>
      <c r="O143" s="1124"/>
      <c r="P143" s="1124"/>
      <c r="Q143" s="1124"/>
      <c r="R143" s="1124"/>
      <c r="S143" s="1124"/>
      <c r="T143" s="1124"/>
      <c r="U143" s="1124"/>
      <c r="V143" s="1124"/>
      <c r="W143" s="1124"/>
      <c r="X143" s="1124"/>
      <c r="Y143" s="1124"/>
      <c r="Z143" s="1124"/>
    </row>
    <row r="144" spans="1:26" ht="12.75" hidden="1" customHeight="1" outlineLevel="1">
      <c r="A144" s="1098">
        <f t="shared" si="10"/>
        <v>13</v>
      </c>
      <c r="B144" s="1125" t="s">
        <v>3428</v>
      </c>
      <c r="C144" s="1126" t="s">
        <v>3342</v>
      </c>
      <c r="D144" s="1127" t="s">
        <v>122</v>
      </c>
      <c r="E144" s="1132"/>
      <c r="F144" s="1129" t="s">
        <v>3384</v>
      </c>
      <c r="G144" s="1130" t="s">
        <v>3565</v>
      </c>
      <c r="H144" s="1121" t="s">
        <v>3563</v>
      </c>
      <c r="I144" s="1116">
        <v>0</v>
      </c>
      <c r="J144" s="1131">
        <v>0</v>
      </c>
      <c r="K144" s="1118">
        <f t="shared" si="9"/>
        <v>0</v>
      </c>
      <c r="L144" s="1124"/>
      <c r="M144" s="1124"/>
      <c r="N144" s="1124"/>
      <c r="O144" s="1124"/>
      <c r="P144" s="1124"/>
      <c r="Q144" s="1124"/>
      <c r="R144" s="1124"/>
      <c r="S144" s="1124"/>
      <c r="T144" s="1124"/>
      <c r="U144" s="1124"/>
      <c r="V144" s="1124"/>
      <c r="W144" s="1124"/>
      <c r="X144" s="1124"/>
      <c r="Y144" s="1124"/>
      <c r="Z144" s="1124"/>
    </row>
    <row r="145" spans="1:26" ht="12.75" hidden="1" customHeight="1" outlineLevel="1">
      <c r="A145" s="1098">
        <f t="shared" si="10"/>
        <v>14</v>
      </c>
      <c r="B145" s="1125" t="s">
        <v>3428</v>
      </c>
      <c r="C145" s="1126" t="s">
        <v>3342</v>
      </c>
      <c r="D145" s="1127" t="s">
        <v>122</v>
      </c>
      <c r="E145" s="1128"/>
      <c r="F145" s="1129" t="s">
        <v>3384</v>
      </c>
      <c r="G145" s="1130" t="s">
        <v>3444</v>
      </c>
      <c r="H145" s="1128"/>
      <c r="I145" s="1116">
        <v>314</v>
      </c>
      <c r="J145" s="1131">
        <v>0.3</v>
      </c>
      <c r="K145" s="1118">
        <f t="shared" si="9"/>
        <v>94.2</v>
      </c>
      <c r="L145" s="1124"/>
      <c r="M145" s="1124"/>
      <c r="N145" s="1124"/>
      <c r="O145" s="1124"/>
      <c r="P145" s="1124"/>
      <c r="Q145" s="1124"/>
      <c r="R145" s="1124"/>
      <c r="S145" s="1124"/>
      <c r="T145" s="1124"/>
      <c r="U145" s="1124"/>
      <c r="V145" s="1124"/>
      <c r="W145" s="1124"/>
      <c r="X145" s="1124"/>
      <c r="Y145" s="1124"/>
      <c r="Z145" s="1124"/>
    </row>
    <row r="146" spans="1:26" ht="12.75" hidden="1" customHeight="1" outlineLevel="1">
      <c r="A146" s="1098">
        <f t="shared" si="10"/>
        <v>15</v>
      </c>
      <c r="B146" s="1125" t="s">
        <v>3428</v>
      </c>
      <c r="C146" s="1126" t="s">
        <v>3342</v>
      </c>
      <c r="D146" s="1127" t="s">
        <v>122</v>
      </c>
      <c r="E146" s="1128"/>
      <c r="F146" s="1129" t="s">
        <v>3384</v>
      </c>
      <c r="G146" s="1130" t="s">
        <v>3446</v>
      </c>
      <c r="H146" s="1121" t="s">
        <v>3563</v>
      </c>
      <c r="I146" s="1116">
        <v>0</v>
      </c>
      <c r="J146" s="1131">
        <v>0</v>
      </c>
      <c r="K146" s="1118">
        <f t="shared" si="9"/>
        <v>0</v>
      </c>
      <c r="L146" s="1124"/>
      <c r="M146" s="1124"/>
      <c r="N146" s="1124"/>
      <c r="O146" s="1124"/>
      <c r="P146" s="1124"/>
      <c r="Q146" s="1124"/>
      <c r="R146" s="1124"/>
      <c r="S146" s="1124"/>
      <c r="T146" s="1124"/>
      <c r="U146" s="1124"/>
      <c r="V146" s="1124"/>
      <c r="W146" s="1124"/>
      <c r="X146" s="1124"/>
      <c r="Y146" s="1124"/>
      <c r="Z146" s="1124"/>
    </row>
    <row r="147" spans="1:26" ht="12.75" hidden="1" customHeight="1" outlineLevel="1">
      <c r="A147" s="1098">
        <f t="shared" si="10"/>
        <v>16</v>
      </c>
      <c r="B147" s="1125" t="s">
        <v>3428</v>
      </c>
      <c r="C147" s="1126" t="s">
        <v>3342</v>
      </c>
      <c r="D147" s="1127" t="s">
        <v>122</v>
      </c>
      <c r="E147" s="1128"/>
      <c r="F147" s="1129" t="s">
        <v>3384</v>
      </c>
      <c r="G147" s="1130" t="s">
        <v>3447</v>
      </c>
      <c r="H147" s="1121" t="s">
        <v>3563</v>
      </c>
      <c r="I147" s="1116">
        <v>0</v>
      </c>
      <c r="J147" s="1131">
        <v>0</v>
      </c>
      <c r="K147" s="1118">
        <f t="shared" si="9"/>
        <v>0</v>
      </c>
      <c r="L147" s="1124"/>
      <c r="M147" s="1124"/>
      <c r="N147" s="1124"/>
      <c r="O147" s="1124"/>
      <c r="P147" s="1124"/>
      <c r="Q147" s="1124"/>
      <c r="R147" s="1124"/>
      <c r="S147" s="1124"/>
      <c r="T147" s="1124"/>
      <c r="U147" s="1124"/>
      <c r="V147" s="1124"/>
      <c r="W147" s="1124"/>
      <c r="X147" s="1124"/>
      <c r="Y147" s="1124"/>
      <c r="Z147" s="1124"/>
    </row>
    <row r="148" spans="1:26" ht="12.75" hidden="1" customHeight="1" outlineLevel="1">
      <c r="A148" s="1098">
        <f t="shared" si="10"/>
        <v>17</v>
      </c>
      <c r="B148" s="1125" t="s">
        <v>3428</v>
      </c>
      <c r="C148" s="1126" t="s">
        <v>3342</v>
      </c>
      <c r="D148" s="1127" t="s">
        <v>122</v>
      </c>
      <c r="E148" s="1128"/>
      <c r="F148" s="1129" t="s">
        <v>3384</v>
      </c>
      <c r="G148" s="1130" t="s">
        <v>3448</v>
      </c>
      <c r="H148" s="1128"/>
      <c r="I148" s="1116">
        <v>494</v>
      </c>
      <c r="J148" s="1131">
        <v>0.3</v>
      </c>
      <c r="K148" s="1118">
        <f t="shared" si="9"/>
        <v>148.19999999999999</v>
      </c>
      <c r="L148" s="1124"/>
      <c r="M148" s="1124"/>
      <c r="N148" s="1124"/>
      <c r="O148" s="1124"/>
      <c r="P148" s="1124"/>
      <c r="Q148" s="1124"/>
      <c r="R148" s="1124"/>
      <c r="S148" s="1124"/>
      <c r="T148" s="1124"/>
      <c r="U148" s="1124"/>
      <c r="V148" s="1124"/>
      <c r="W148" s="1124"/>
      <c r="X148" s="1124"/>
      <c r="Y148" s="1124"/>
      <c r="Z148" s="1124"/>
    </row>
    <row r="149" spans="1:26" ht="12.75" hidden="1" customHeight="1" outlineLevel="1">
      <c r="A149" s="1098">
        <f t="shared" si="10"/>
        <v>18</v>
      </c>
      <c r="B149" s="1125" t="s">
        <v>3428</v>
      </c>
      <c r="C149" s="1126" t="s">
        <v>3342</v>
      </c>
      <c r="D149" s="1127" t="s">
        <v>122</v>
      </c>
      <c r="E149" s="1128"/>
      <c r="F149" s="1129" t="s">
        <v>3384</v>
      </c>
      <c r="G149" s="1130" t="s">
        <v>3449</v>
      </c>
      <c r="H149" s="1128"/>
      <c r="I149" s="1116">
        <f>101*2</f>
        <v>202</v>
      </c>
      <c r="J149" s="1131">
        <v>0.3</v>
      </c>
      <c r="K149" s="1118">
        <f t="shared" si="9"/>
        <v>60.599999999999994</v>
      </c>
      <c r="L149" s="1124"/>
      <c r="M149" s="1124"/>
      <c r="N149" s="1124"/>
      <c r="O149" s="1124"/>
      <c r="P149" s="1124"/>
      <c r="Q149" s="1124"/>
      <c r="R149" s="1124"/>
      <c r="S149" s="1124"/>
      <c r="T149" s="1124"/>
      <c r="U149" s="1124"/>
      <c r="V149" s="1124"/>
      <c r="W149" s="1124"/>
      <c r="X149" s="1124"/>
      <c r="Y149" s="1124"/>
      <c r="Z149" s="1124"/>
    </row>
    <row r="150" spans="1:26" ht="12.75" hidden="1" customHeight="1" outlineLevel="1">
      <c r="A150" s="1098">
        <f t="shared" si="10"/>
        <v>19</v>
      </c>
      <c r="B150" s="1125" t="s">
        <v>3428</v>
      </c>
      <c r="C150" s="1126" t="s">
        <v>3342</v>
      </c>
      <c r="D150" s="1127" t="s">
        <v>122</v>
      </c>
      <c r="E150" s="1128"/>
      <c r="F150" s="1129" t="s">
        <v>3384</v>
      </c>
      <c r="G150" s="1130" t="s">
        <v>3450</v>
      </c>
      <c r="H150" s="1128"/>
      <c r="I150" s="1116">
        <f t="shared" ref="I150:I151" si="11">68*2</f>
        <v>136</v>
      </c>
      <c r="J150" s="1131">
        <v>0.3</v>
      </c>
      <c r="K150" s="1118">
        <f t="shared" si="9"/>
        <v>40.799999999999997</v>
      </c>
      <c r="L150" s="1124"/>
      <c r="M150" s="1124"/>
      <c r="N150" s="1124"/>
      <c r="O150" s="1124"/>
      <c r="P150" s="1124"/>
      <c r="Q150" s="1124"/>
      <c r="R150" s="1124"/>
      <c r="S150" s="1124"/>
      <c r="T150" s="1124"/>
      <c r="U150" s="1124"/>
      <c r="V150" s="1124"/>
      <c r="W150" s="1124"/>
      <c r="X150" s="1124"/>
      <c r="Y150" s="1124"/>
      <c r="Z150" s="1124"/>
    </row>
    <row r="151" spans="1:26" ht="12.75" hidden="1" customHeight="1" outlineLevel="1">
      <c r="A151" s="1098">
        <f t="shared" si="10"/>
        <v>20</v>
      </c>
      <c r="B151" s="1125" t="s">
        <v>3428</v>
      </c>
      <c r="C151" s="1126" t="s">
        <v>3342</v>
      </c>
      <c r="D151" s="1127" t="s">
        <v>122</v>
      </c>
      <c r="E151" s="1128"/>
      <c r="F151" s="1129" t="s">
        <v>3384</v>
      </c>
      <c r="G151" s="1130" t="s">
        <v>3451</v>
      </c>
      <c r="H151" s="1128"/>
      <c r="I151" s="1116">
        <f t="shared" si="11"/>
        <v>136</v>
      </c>
      <c r="J151" s="1131">
        <v>0.3</v>
      </c>
      <c r="K151" s="1118">
        <f t="shared" si="9"/>
        <v>40.799999999999997</v>
      </c>
      <c r="L151" s="1124"/>
      <c r="M151" s="1124"/>
      <c r="N151" s="1124"/>
      <c r="O151" s="1124"/>
      <c r="P151" s="1124"/>
      <c r="Q151" s="1124"/>
      <c r="R151" s="1124"/>
      <c r="S151" s="1124"/>
      <c r="T151" s="1124"/>
      <c r="U151" s="1124"/>
      <c r="V151" s="1124"/>
      <c r="W151" s="1124"/>
      <c r="X151" s="1124"/>
      <c r="Y151" s="1124"/>
      <c r="Z151" s="1124"/>
    </row>
    <row r="152" spans="1:26" ht="12.75" hidden="1" customHeight="1" outlineLevel="1">
      <c r="A152" s="1098">
        <f t="shared" si="10"/>
        <v>21</v>
      </c>
      <c r="B152" s="1125" t="s">
        <v>3428</v>
      </c>
      <c r="C152" s="1126" t="s">
        <v>3342</v>
      </c>
      <c r="D152" s="1127" t="s">
        <v>122</v>
      </c>
      <c r="E152" s="1128"/>
      <c r="F152" s="1129" t="s">
        <v>3384</v>
      </c>
      <c r="G152" s="1130" t="s">
        <v>3452</v>
      </c>
      <c r="H152" s="1128"/>
      <c r="I152" s="1116">
        <v>122</v>
      </c>
      <c r="J152" s="1131">
        <v>0.3</v>
      </c>
      <c r="K152" s="1118">
        <f t="shared" si="9"/>
        <v>36.6</v>
      </c>
      <c r="L152" s="1124"/>
      <c r="M152" s="1124"/>
      <c r="N152" s="1124"/>
      <c r="O152" s="1124"/>
      <c r="P152" s="1124"/>
      <c r="Q152" s="1124"/>
      <c r="R152" s="1124"/>
      <c r="S152" s="1124"/>
      <c r="T152" s="1124"/>
      <c r="U152" s="1124"/>
      <c r="V152" s="1124"/>
      <c r="W152" s="1124"/>
      <c r="X152" s="1124"/>
      <c r="Y152" s="1124"/>
      <c r="Z152" s="1124"/>
    </row>
    <row r="153" spans="1:26" ht="12.75" hidden="1" customHeight="1" outlineLevel="1">
      <c r="A153" s="1098">
        <f t="shared" si="10"/>
        <v>22</v>
      </c>
      <c r="B153" s="1125" t="s">
        <v>3428</v>
      </c>
      <c r="C153" s="1126" t="s">
        <v>3342</v>
      </c>
      <c r="D153" s="1127" t="s">
        <v>122</v>
      </c>
      <c r="E153" s="1128"/>
      <c r="F153" s="1129" t="s">
        <v>3384</v>
      </c>
      <c r="G153" s="1130" t="s">
        <v>3453</v>
      </c>
      <c r="H153" s="1133"/>
      <c r="I153" s="1116">
        <v>286</v>
      </c>
      <c r="J153" s="1131">
        <v>0.3</v>
      </c>
      <c r="K153" s="1118">
        <f t="shared" si="9"/>
        <v>85.8</v>
      </c>
      <c r="L153" s="1124"/>
      <c r="M153" s="1124"/>
      <c r="N153" s="1124"/>
      <c r="O153" s="1124"/>
      <c r="P153" s="1124"/>
      <c r="Q153" s="1124"/>
      <c r="R153" s="1124"/>
      <c r="S153" s="1124"/>
      <c r="T153" s="1124"/>
      <c r="U153" s="1124"/>
      <c r="V153" s="1124"/>
      <c r="W153" s="1124"/>
      <c r="X153" s="1124"/>
      <c r="Y153" s="1124"/>
      <c r="Z153" s="1124"/>
    </row>
    <row r="154" spans="1:26" ht="12.75" hidden="1" customHeight="1" outlineLevel="1">
      <c r="A154" s="1098">
        <f t="shared" si="10"/>
        <v>23</v>
      </c>
      <c r="B154" s="1125" t="s">
        <v>3428</v>
      </c>
      <c r="C154" s="1126" t="s">
        <v>3342</v>
      </c>
      <c r="D154" s="1127" t="s">
        <v>122</v>
      </c>
      <c r="E154" s="1128"/>
      <c r="F154" s="1129" t="s">
        <v>3384</v>
      </c>
      <c r="G154" s="1130" t="s">
        <v>3454</v>
      </c>
      <c r="H154" s="1128"/>
      <c r="I154" s="1116">
        <v>0</v>
      </c>
      <c r="J154" s="1131">
        <v>0</v>
      </c>
      <c r="K154" s="1118">
        <f t="shared" si="9"/>
        <v>0</v>
      </c>
      <c r="L154" s="1124"/>
      <c r="M154" s="1124"/>
      <c r="N154" s="1124"/>
      <c r="O154" s="1124"/>
      <c r="P154" s="1124"/>
      <c r="Q154" s="1124"/>
      <c r="R154" s="1124"/>
      <c r="S154" s="1124"/>
      <c r="T154" s="1124"/>
      <c r="U154" s="1124"/>
      <c r="V154" s="1124"/>
      <c r="W154" s="1124"/>
      <c r="X154" s="1124"/>
      <c r="Y154" s="1124"/>
      <c r="Z154" s="1124"/>
    </row>
    <row r="155" spans="1:26" ht="12.75" hidden="1" customHeight="1" outlineLevel="1">
      <c r="A155" s="1098">
        <f t="shared" si="10"/>
        <v>24</v>
      </c>
      <c r="B155" s="1125" t="s">
        <v>3428</v>
      </c>
      <c r="C155" s="1126" t="s">
        <v>3342</v>
      </c>
      <c r="D155" s="1127" t="s">
        <v>122</v>
      </c>
      <c r="E155" s="1128"/>
      <c r="F155" s="1129" t="s">
        <v>3384</v>
      </c>
      <c r="G155" s="1130" t="s">
        <v>3455</v>
      </c>
      <c r="H155" s="1128"/>
      <c r="I155" s="1116">
        <f>161+220</f>
        <v>381</v>
      </c>
      <c r="J155" s="1131">
        <v>0.3</v>
      </c>
      <c r="K155" s="1118">
        <f t="shared" si="9"/>
        <v>114.3</v>
      </c>
      <c r="L155" s="1124"/>
      <c r="M155" s="1124"/>
      <c r="N155" s="1124"/>
      <c r="O155" s="1124"/>
      <c r="P155" s="1124"/>
      <c r="Q155" s="1124"/>
      <c r="R155" s="1124"/>
      <c r="S155" s="1124"/>
      <c r="T155" s="1124"/>
      <c r="U155" s="1124"/>
      <c r="V155" s="1124"/>
      <c r="W155" s="1124"/>
      <c r="X155" s="1124"/>
      <c r="Y155" s="1124"/>
      <c r="Z155" s="1124"/>
    </row>
    <row r="156" spans="1:26" ht="16.5" hidden="1" customHeight="1" outlineLevel="1">
      <c r="A156" s="1098">
        <f t="shared" si="10"/>
        <v>25</v>
      </c>
      <c r="B156" s="1125" t="s">
        <v>3428</v>
      </c>
      <c r="C156" s="1126" t="s">
        <v>3342</v>
      </c>
      <c r="D156" s="1127" t="s">
        <v>122</v>
      </c>
      <c r="E156" s="1128"/>
      <c r="F156" s="1129" t="s">
        <v>3384</v>
      </c>
      <c r="G156" s="1130" t="s">
        <v>3456</v>
      </c>
      <c r="H156" s="1128"/>
      <c r="I156" s="1116">
        <v>340</v>
      </c>
      <c r="J156" s="1131">
        <v>0.3</v>
      </c>
      <c r="K156" s="1118">
        <f t="shared" si="9"/>
        <v>102</v>
      </c>
      <c r="L156" s="1134"/>
      <c r="M156" s="1030"/>
      <c r="N156" s="1030"/>
      <c r="O156" s="1030"/>
      <c r="P156" s="1030"/>
      <c r="Q156" s="1030"/>
      <c r="R156" s="1030"/>
      <c r="S156" s="1030"/>
      <c r="T156" s="1030"/>
      <c r="U156" s="1030"/>
      <c r="V156" s="1030"/>
      <c r="W156" s="1030"/>
      <c r="X156" s="1030"/>
      <c r="Y156" s="1030"/>
      <c r="Z156" s="1030"/>
    </row>
    <row r="157" spans="1:26" ht="16.5" hidden="1" customHeight="1" outlineLevel="1">
      <c r="A157" s="1098">
        <f t="shared" si="10"/>
        <v>26</v>
      </c>
      <c r="B157" s="1125" t="s">
        <v>3428</v>
      </c>
      <c r="C157" s="1126" t="s">
        <v>3342</v>
      </c>
      <c r="D157" s="1127" t="s">
        <v>122</v>
      </c>
      <c r="E157" s="1128"/>
      <c r="F157" s="1129" t="s">
        <v>3384</v>
      </c>
      <c r="G157" s="1130" t="s">
        <v>3457</v>
      </c>
      <c r="H157" s="1128"/>
      <c r="I157" s="1116">
        <v>578</v>
      </c>
      <c r="J157" s="1131">
        <v>0.3</v>
      </c>
      <c r="K157" s="1118">
        <f t="shared" si="9"/>
        <v>173.4</v>
      </c>
      <c r="L157" s="1134"/>
      <c r="M157" s="1030"/>
      <c r="N157" s="1030"/>
      <c r="O157" s="1030"/>
      <c r="P157" s="1030"/>
      <c r="Q157" s="1030"/>
      <c r="R157" s="1030"/>
      <c r="S157" s="1030"/>
      <c r="T157" s="1030"/>
      <c r="U157" s="1030"/>
      <c r="V157" s="1030"/>
      <c r="W157" s="1030"/>
      <c r="X157" s="1030"/>
      <c r="Y157" s="1030"/>
      <c r="Z157" s="1030"/>
    </row>
    <row r="158" spans="1:26" ht="60" hidden="1" customHeight="1" outlineLevel="1">
      <c r="A158" s="1098">
        <f t="shared" si="10"/>
        <v>27</v>
      </c>
      <c r="B158" s="1125" t="s">
        <v>3428</v>
      </c>
      <c r="C158" s="1126" t="s">
        <v>3342</v>
      </c>
      <c r="D158" s="1127" t="s">
        <v>122</v>
      </c>
      <c r="E158" s="1128"/>
      <c r="F158" s="1129" t="s">
        <v>3384</v>
      </c>
      <c r="G158" s="1130" t="s">
        <v>3458</v>
      </c>
      <c r="H158" s="1133" t="s">
        <v>3459</v>
      </c>
      <c r="I158" s="1133"/>
      <c r="J158" s="1135"/>
      <c r="K158" s="1118">
        <v>102.38</v>
      </c>
      <c r="L158" s="1030"/>
      <c r="M158" s="1030"/>
      <c r="N158" s="1030"/>
      <c r="O158" s="1030"/>
      <c r="P158" s="1030"/>
      <c r="Q158" s="1030"/>
      <c r="R158" s="1030"/>
      <c r="S158" s="1030"/>
      <c r="T158" s="1030"/>
      <c r="U158" s="1030"/>
      <c r="V158" s="1030"/>
      <c r="W158" s="1030"/>
      <c r="X158" s="1030"/>
      <c r="Y158" s="1030"/>
      <c r="Z158" s="1030"/>
    </row>
    <row r="159" spans="1:26" ht="16.5" hidden="1" customHeight="1" outlineLevel="1">
      <c r="A159" s="1098">
        <f t="shared" si="10"/>
        <v>28</v>
      </c>
      <c r="B159" s="1051" t="s">
        <v>3428</v>
      </c>
      <c r="C159" s="1066" t="s">
        <v>3342</v>
      </c>
      <c r="D159" s="1113" t="s">
        <v>122</v>
      </c>
      <c r="E159" s="1136"/>
      <c r="F159" s="1073" t="s">
        <v>3384</v>
      </c>
      <c r="G159" s="1035" t="s">
        <v>3460</v>
      </c>
      <c r="H159" s="1137" t="s">
        <v>3461</v>
      </c>
      <c r="I159" s="1138"/>
      <c r="J159" s="1139"/>
      <c r="K159" s="1118">
        <v>159.80000000000001</v>
      </c>
      <c r="L159" s="1134"/>
      <c r="M159" s="1030"/>
      <c r="N159" s="1030"/>
      <c r="O159" s="1030"/>
      <c r="P159" s="1030"/>
      <c r="Q159" s="1030"/>
      <c r="R159" s="1030"/>
      <c r="S159" s="1030"/>
      <c r="T159" s="1030"/>
      <c r="U159" s="1030"/>
      <c r="V159" s="1030"/>
      <c r="W159" s="1030"/>
      <c r="X159" s="1030"/>
      <c r="Y159" s="1030"/>
      <c r="Z159" s="1030"/>
    </row>
    <row r="160" spans="1:26" ht="25.5" hidden="1" outlineLevel="1">
      <c r="A160" s="1098">
        <f t="shared" si="10"/>
        <v>29</v>
      </c>
      <c r="B160" s="1051" t="s">
        <v>3462</v>
      </c>
      <c r="C160" s="1066" t="s">
        <v>3342</v>
      </c>
      <c r="D160" s="1113" t="s">
        <v>122</v>
      </c>
      <c r="E160" s="1136"/>
      <c r="F160" s="1073" t="s">
        <v>3384</v>
      </c>
      <c r="G160" s="1035" t="s">
        <v>3463</v>
      </c>
      <c r="H160" s="1137" t="s">
        <v>3566</v>
      </c>
      <c r="I160" s="1137" t="s">
        <v>3567</v>
      </c>
      <c r="J160" s="1139"/>
      <c r="K160" s="1118">
        <f>383/300*133</f>
        <v>169.79666666666665</v>
      </c>
      <c r="L160" s="1134"/>
      <c r="M160" s="1030"/>
      <c r="N160" s="1030"/>
      <c r="O160" s="1030"/>
      <c r="P160" s="1030"/>
      <c r="Q160" s="1030"/>
      <c r="R160" s="1030"/>
      <c r="S160" s="1030"/>
      <c r="T160" s="1030"/>
      <c r="U160" s="1030"/>
      <c r="V160" s="1030"/>
      <c r="W160" s="1030"/>
      <c r="X160" s="1030"/>
      <c r="Y160" s="1030"/>
      <c r="Z160" s="1030"/>
    </row>
    <row r="161" spans="1:26" ht="51" hidden="1" outlineLevel="1">
      <c r="A161" s="1098">
        <f t="shared" si="10"/>
        <v>30</v>
      </c>
      <c r="B161" s="1051" t="s">
        <v>3466</v>
      </c>
      <c r="C161" s="1066" t="s">
        <v>3342</v>
      </c>
      <c r="D161" s="1113" t="s">
        <v>122</v>
      </c>
      <c r="E161" s="1136"/>
      <c r="F161" s="1142" t="s">
        <v>3384</v>
      </c>
      <c r="G161" s="1035" t="s">
        <v>3467</v>
      </c>
      <c r="H161" s="1137" t="s">
        <v>3568</v>
      </c>
      <c r="I161" s="1143" t="s">
        <v>3569</v>
      </c>
      <c r="J161" s="1139"/>
      <c r="K161" s="1118">
        <f>8926+3240.91+2371.82+118.18+93</f>
        <v>14749.91</v>
      </c>
      <c r="L161" s="1103"/>
      <c r="M161" s="1030"/>
      <c r="N161" s="1030"/>
      <c r="O161" s="1030"/>
      <c r="P161" s="1030"/>
      <c r="Q161" s="1030"/>
      <c r="R161" s="1030"/>
      <c r="S161" s="1030"/>
      <c r="T161" s="1030"/>
      <c r="U161" s="1030"/>
      <c r="V161" s="1030"/>
      <c r="W161" s="1030"/>
      <c r="X161" s="1030"/>
      <c r="Y161" s="1030"/>
      <c r="Z161" s="1030"/>
    </row>
    <row r="162" spans="1:26" ht="25.5" hidden="1" customHeight="1" outlineLevel="1">
      <c r="A162" s="1098">
        <f t="shared" si="10"/>
        <v>31</v>
      </c>
      <c r="B162" s="1051" t="s">
        <v>3470</v>
      </c>
      <c r="C162" s="1066" t="s">
        <v>3342</v>
      </c>
      <c r="D162" s="1113" t="s">
        <v>122</v>
      </c>
      <c r="E162" s="1136"/>
      <c r="F162" s="1073" t="s">
        <v>3384</v>
      </c>
      <c r="G162" s="1035" t="s">
        <v>3471</v>
      </c>
      <c r="H162" s="1137" t="s">
        <v>3570</v>
      </c>
      <c r="I162" s="1143"/>
      <c r="J162" s="1139"/>
      <c r="K162" s="1118">
        <v>1850</v>
      </c>
      <c r="L162" s="1134"/>
      <c r="M162" s="1030"/>
      <c r="N162" s="1030"/>
      <c r="O162" s="1030"/>
      <c r="P162" s="1030"/>
      <c r="Q162" s="1030"/>
      <c r="R162" s="1030"/>
      <c r="S162" s="1030"/>
      <c r="T162" s="1030"/>
      <c r="U162" s="1030"/>
      <c r="V162" s="1030"/>
      <c r="W162" s="1030"/>
      <c r="X162" s="1030"/>
      <c r="Y162" s="1030"/>
      <c r="Z162" s="1030"/>
    </row>
    <row r="163" spans="1:26" ht="29.25" hidden="1" customHeight="1" outlineLevel="1">
      <c r="A163" s="1098">
        <f t="shared" si="10"/>
        <v>32</v>
      </c>
      <c r="B163" s="1144" t="s">
        <v>3473</v>
      </c>
      <c r="C163" s="1112" t="s">
        <v>3342</v>
      </c>
      <c r="D163" s="1113" t="s">
        <v>122</v>
      </c>
      <c r="E163" s="1114"/>
      <c r="F163" s="1145" t="s">
        <v>3384</v>
      </c>
      <c r="G163" s="1136" t="s">
        <v>3474</v>
      </c>
      <c r="H163" s="1137" t="s">
        <v>3571</v>
      </c>
      <c r="I163" s="1146"/>
      <c r="J163" s="1147"/>
      <c r="K163" s="1118">
        <v>2106</v>
      </c>
      <c r="L163" s="1134"/>
      <c r="M163" s="1030"/>
      <c r="N163" s="1030"/>
      <c r="O163" s="1030"/>
      <c r="P163" s="1030"/>
      <c r="Q163" s="1030"/>
      <c r="R163" s="1030"/>
      <c r="S163" s="1030"/>
      <c r="T163" s="1030"/>
      <c r="U163" s="1030"/>
      <c r="V163" s="1030"/>
      <c r="W163" s="1030"/>
      <c r="X163" s="1030"/>
      <c r="Y163" s="1030"/>
      <c r="Z163" s="1030"/>
    </row>
    <row r="164" spans="1:26" ht="38.25" hidden="1" outlineLevel="1">
      <c r="A164" s="1098">
        <f t="shared" si="10"/>
        <v>33</v>
      </c>
      <c r="B164" s="1051" t="s">
        <v>3473</v>
      </c>
      <c r="C164" s="1066" t="s">
        <v>3342</v>
      </c>
      <c r="D164" s="1113" t="s">
        <v>122</v>
      </c>
      <c r="E164" s="1136"/>
      <c r="F164" s="1073" t="s">
        <v>3384</v>
      </c>
      <c r="G164" s="1035" t="s">
        <v>3476</v>
      </c>
      <c r="H164" s="1137" t="s">
        <v>3477</v>
      </c>
      <c r="I164" s="1137" t="s">
        <v>3572</v>
      </c>
      <c r="J164" s="1139"/>
      <c r="K164" s="1118">
        <f>(1480.99/2000*500)+(500*0.52)</f>
        <v>630.24749999999995</v>
      </c>
      <c r="L164" s="1134"/>
      <c r="M164" s="1030"/>
      <c r="N164" s="1030"/>
      <c r="O164" s="1030"/>
      <c r="P164" s="1030"/>
      <c r="Q164" s="1030"/>
      <c r="R164" s="1030"/>
      <c r="S164" s="1030"/>
      <c r="T164" s="1030"/>
      <c r="U164" s="1030"/>
      <c r="V164" s="1030"/>
      <c r="W164" s="1030"/>
      <c r="X164" s="1030"/>
      <c r="Y164" s="1030"/>
      <c r="Z164" s="1030"/>
    </row>
    <row r="165" spans="1:26" ht="25.5" hidden="1" outlineLevel="1">
      <c r="A165" s="1098">
        <f t="shared" si="10"/>
        <v>34</v>
      </c>
      <c r="B165" s="1051" t="s">
        <v>3473</v>
      </c>
      <c r="C165" s="1112" t="s">
        <v>3342</v>
      </c>
      <c r="D165" s="1113" t="s">
        <v>122</v>
      </c>
      <c r="E165" s="1114"/>
      <c r="F165" s="1073" t="s">
        <v>3384</v>
      </c>
      <c r="G165" s="1136" t="s">
        <v>3479</v>
      </c>
      <c r="H165" s="1035" t="s">
        <v>3573</v>
      </c>
      <c r="I165" s="1035"/>
      <c r="J165" s="1147"/>
      <c r="K165" s="1118">
        <v>997.28</v>
      </c>
      <c r="L165" s="1134"/>
      <c r="M165" s="1030"/>
      <c r="N165" s="1030"/>
      <c r="O165" s="1030"/>
      <c r="P165" s="1030"/>
      <c r="Q165" s="1030"/>
      <c r="R165" s="1030"/>
      <c r="S165" s="1030"/>
      <c r="T165" s="1030"/>
      <c r="U165" s="1030"/>
      <c r="V165" s="1030"/>
      <c r="W165" s="1030"/>
      <c r="X165" s="1030"/>
      <c r="Y165" s="1030"/>
      <c r="Z165" s="1030"/>
    </row>
    <row r="166" spans="1:26" ht="25.5" hidden="1" outlineLevel="1">
      <c r="A166" s="1098">
        <f>A164+1</f>
        <v>34</v>
      </c>
      <c r="B166" s="1051" t="s">
        <v>3462</v>
      </c>
      <c r="C166" s="1066" t="s">
        <v>3342</v>
      </c>
      <c r="D166" s="1113" t="s">
        <v>122</v>
      </c>
      <c r="E166" s="1136"/>
      <c r="F166" s="1073" t="s">
        <v>3384</v>
      </c>
      <c r="G166" s="1035" t="s">
        <v>3535</v>
      </c>
      <c r="H166" s="1137" t="s">
        <v>3574</v>
      </c>
      <c r="I166" s="1137" t="s">
        <v>3575</v>
      </c>
      <c r="J166" s="1139"/>
      <c r="K166" s="1118">
        <f>(7854/3)/200*165</f>
        <v>2159.85</v>
      </c>
      <c r="L166" s="1134"/>
      <c r="M166" s="1030"/>
      <c r="N166" s="1030"/>
      <c r="O166" s="1030"/>
      <c r="P166" s="1030"/>
      <c r="Q166" s="1030"/>
      <c r="R166" s="1030"/>
      <c r="S166" s="1030"/>
      <c r="T166" s="1030"/>
      <c r="U166" s="1030"/>
      <c r="V166" s="1030"/>
      <c r="W166" s="1030"/>
      <c r="X166" s="1030"/>
      <c r="Y166" s="1030"/>
      <c r="Z166" s="1030"/>
    </row>
    <row r="167" spans="1:26" ht="25.5" hidden="1" outlineLevel="1">
      <c r="A167" s="1098">
        <f t="shared" ref="A167:A291" si="12">A166+1</f>
        <v>35</v>
      </c>
      <c r="B167" s="1051" t="s">
        <v>3485</v>
      </c>
      <c r="C167" s="1066" t="s">
        <v>3342</v>
      </c>
      <c r="D167" s="1113" t="s">
        <v>122</v>
      </c>
      <c r="E167" s="1136"/>
      <c r="F167" s="1148" t="s">
        <v>3384</v>
      </c>
      <c r="G167" s="1149" t="s">
        <v>3486</v>
      </c>
      <c r="H167" s="1137" t="s">
        <v>3487</v>
      </c>
      <c r="I167" s="1151"/>
      <c r="J167" s="1139"/>
      <c r="K167" s="1118">
        <v>80</v>
      </c>
      <c r="L167" s="1134"/>
      <c r="M167" s="1030"/>
      <c r="N167" s="1030"/>
      <c r="O167" s="1030"/>
      <c r="P167" s="1030"/>
      <c r="Q167" s="1030"/>
      <c r="R167" s="1030"/>
      <c r="S167" s="1030"/>
      <c r="T167" s="1030"/>
      <c r="U167" s="1030"/>
      <c r="V167" s="1030"/>
      <c r="W167" s="1030"/>
      <c r="X167" s="1030"/>
      <c r="Y167" s="1030"/>
      <c r="Z167" s="1030"/>
    </row>
    <row r="168" spans="1:26" ht="25.5" hidden="1" outlineLevel="1">
      <c r="A168" s="1098">
        <f t="shared" si="12"/>
        <v>36</v>
      </c>
      <c r="B168" s="1051" t="s">
        <v>3462</v>
      </c>
      <c r="C168" s="1066" t="s">
        <v>3342</v>
      </c>
      <c r="D168" s="1113" t="s">
        <v>122</v>
      </c>
      <c r="E168" s="1136"/>
      <c r="F168" s="1073" t="s">
        <v>3384</v>
      </c>
      <c r="G168" s="1035" t="s">
        <v>3488</v>
      </c>
      <c r="H168" s="1137" t="s">
        <v>3576</v>
      </c>
      <c r="I168" s="1137" t="s">
        <v>3577</v>
      </c>
      <c r="J168" s="1139"/>
      <c r="K168" s="1118">
        <f>(500*3)+45</f>
        <v>1545</v>
      </c>
      <c r="L168" s="1134"/>
      <c r="M168" s="1030"/>
      <c r="N168" s="1030"/>
      <c r="O168" s="1030"/>
      <c r="P168" s="1030"/>
      <c r="Q168" s="1030"/>
      <c r="R168" s="1030"/>
      <c r="S168" s="1030"/>
      <c r="T168" s="1030"/>
      <c r="U168" s="1030"/>
      <c r="V168" s="1030"/>
      <c r="W168" s="1030"/>
      <c r="X168" s="1030"/>
      <c r="Y168" s="1030"/>
      <c r="Z168" s="1030"/>
    </row>
    <row r="169" spans="1:26" ht="24" hidden="1" customHeight="1" outlineLevel="1">
      <c r="A169" s="1098">
        <f t="shared" si="12"/>
        <v>37</v>
      </c>
      <c r="B169" s="1051" t="s">
        <v>3485</v>
      </c>
      <c r="C169" s="1066" t="s">
        <v>3342</v>
      </c>
      <c r="D169" s="1113" t="s">
        <v>122</v>
      </c>
      <c r="E169" s="1136"/>
      <c r="F169" s="1142" t="s">
        <v>3384</v>
      </c>
      <c r="G169" s="1035" t="s">
        <v>3491</v>
      </c>
      <c r="H169" s="1137" t="s">
        <v>3578</v>
      </c>
      <c r="I169" s="1137"/>
      <c r="J169" s="1139"/>
      <c r="K169" s="1118">
        <v>336.52</v>
      </c>
      <c r="L169" s="1134"/>
      <c r="M169" s="1030"/>
      <c r="N169" s="1030"/>
      <c r="O169" s="1030"/>
      <c r="P169" s="1030"/>
      <c r="Q169" s="1030"/>
      <c r="R169" s="1030"/>
      <c r="S169" s="1030"/>
      <c r="T169" s="1030"/>
      <c r="U169" s="1030"/>
      <c r="V169" s="1030"/>
      <c r="W169" s="1030"/>
      <c r="X169" s="1030"/>
      <c r="Y169" s="1030"/>
      <c r="Z169" s="1030"/>
    </row>
    <row r="170" spans="1:26" ht="12.75" hidden="1" customHeight="1" outlineLevel="1">
      <c r="A170" s="1098">
        <f t="shared" si="12"/>
        <v>38</v>
      </c>
      <c r="B170" s="1051" t="s">
        <v>3428</v>
      </c>
      <c r="C170" s="1066" t="s">
        <v>3342</v>
      </c>
      <c r="D170" s="1113" t="s">
        <v>122</v>
      </c>
      <c r="E170" s="1136"/>
      <c r="F170" s="1142" t="s">
        <v>3384</v>
      </c>
      <c r="G170" s="1035" t="s">
        <v>3493</v>
      </c>
      <c r="H170" s="1137" t="s">
        <v>3494</v>
      </c>
      <c r="I170" s="1137" t="s">
        <v>3579</v>
      </c>
      <c r="J170" s="1139"/>
      <c r="K170" s="1118">
        <v>21.96</v>
      </c>
      <c r="L170" s="1030"/>
      <c r="M170" s="1030"/>
      <c r="N170" s="1030"/>
      <c r="O170" s="1030"/>
      <c r="P170" s="1030"/>
      <c r="Q170" s="1030"/>
      <c r="R170" s="1030"/>
      <c r="S170" s="1030"/>
      <c r="T170" s="1030"/>
      <c r="U170" s="1030"/>
      <c r="V170" s="1030"/>
      <c r="W170" s="1030"/>
      <c r="X170" s="1030"/>
      <c r="Y170" s="1030"/>
      <c r="Z170" s="1030"/>
    </row>
    <row r="171" spans="1:26" ht="45" hidden="1" customHeight="1" outlineLevel="1">
      <c r="A171" s="1098">
        <f t="shared" si="12"/>
        <v>39</v>
      </c>
      <c r="B171" s="1051" t="s">
        <v>3485</v>
      </c>
      <c r="C171" s="1066" t="s">
        <v>3342</v>
      </c>
      <c r="D171" s="1113" t="s">
        <v>122</v>
      </c>
      <c r="E171" s="1136"/>
      <c r="F171" s="1142" t="s">
        <v>3384</v>
      </c>
      <c r="G171" s="1149" t="s">
        <v>3495</v>
      </c>
      <c r="H171" s="1137" t="s">
        <v>3494</v>
      </c>
      <c r="I171" s="1137" t="s">
        <v>3580</v>
      </c>
      <c r="J171" s="1139"/>
      <c r="K171" s="1118">
        <f>3.3+3.7+20.09</f>
        <v>27.09</v>
      </c>
      <c r="L171" s="1030"/>
      <c r="M171" s="1030"/>
      <c r="N171" s="1030"/>
      <c r="O171" s="1030"/>
      <c r="P171" s="1030"/>
      <c r="Q171" s="1030"/>
      <c r="R171" s="1030"/>
      <c r="S171" s="1030"/>
      <c r="T171" s="1030"/>
      <c r="U171" s="1030"/>
      <c r="V171" s="1030"/>
      <c r="W171" s="1030"/>
      <c r="X171" s="1030"/>
      <c r="Y171" s="1030"/>
      <c r="Z171" s="1030"/>
    </row>
    <row r="172" spans="1:26" ht="12.75" hidden="1" customHeight="1" outlineLevel="1">
      <c r="A172" s="1098">
        <f t="shared" si="12"/>
        <v>40</v>
      </c>
      <c r="B172" s="1051" t="s">
        <v>3473</v>
      </c>
      <c r="C172" s="1066" t="s">
        <v>3342</v>
      </c>
      <c r="D172" s="1113" t="s">
        <v>122</v>
      </c>
      <c r="E172" s="1136"/>
      <c r="F172" s="1073" t="s">
        <v>3384</v>
      </c>
      <c r="G172" s="1035" t="s">
        <v>3499</v>
      </c>
      <c r="H172" s="1137" t="s">
        <v>3581</v>
      </c>
      <c r="I172" s="1137" t="s">
        <v>3501</v>
      </c>
      <c r="J172" s="1139"/>
      <c r="K172" s="1118">
        <f>8.7*100</f>
        <v>869.99999999999989</v>
      </c>
      <c r="L172" s="1030"/>
      <c r="M172" s="1030"/>
      <c r="N172" s="1030"/>
      <c r="O172" s="1030"/>
      <c r="P172" s="1030"/>
      <c r="Q172" s="1030"/>
      <c r="R172" s="1030"/>
      <c r="S172" s="1030"/>
      <c r="T172" s="1030"/>
      <c r="U172" s="1030"/>
      <c r="V172" s="1030"/>
      <c r="W172" s="1030"/>
      <c r="X172" s="1030"/>
      <c r="Y172" s="1030"/>
      <c r="Z172" s="1030"/>
    </row>
    <row r="173" spans="1:26" ht="12.75" hidden="1" customHeight="1" outlineLevel="1">
      <c r="A173" s="1098">
        <f t="shared" si="12"/>
        <v>41</v>
      </c>
      <c r="B173" s="1051" t="s">
        <v>3428</v>
      </c>
      <c r="C173" s="1066" t="s">
        <v>3342</v>
      </c>
      <c r="D173" s="1113" t="s">
        <v>122</v>
      </c>
      <c r="E173" s="1152"/>
      <c r="F173" s="1073" t="s">
        <v>3410</v>
      </c>
      <c r="G173" s="1035" t="s">
        <v>3429</v>
      </c>
      <c r="H173" s="1114"/>
      <c r="I173" s="1114">
        <v>120</v>
      </c>
      <c r="J173" s="1117">
        <v>0.3</v>
      </c>
      <c r="K173" s="1118">
        <f t="shared" ref="K173:K200" si="13">I173*J173</f>
        <v>36</v>
      </c>
      <c r="L173" s="1030"/>
      <c r="M173" s="1030"/>
      <c r="N173" s="1030"/>
      <c r="O173" s="1030"/>
      <c r="P173" s="1030"/>
      <c r="Q173" s="1030"/>
      <c r="R173" s="1030"/>
      <c r="S173" s="1030"/>
      <c r="T173" s="1030"/>
      <c r="U173" s="1030"/>
      <c r="V173" s="1030"/>
      <c r="W173" s="1030"/>
      <c r="X173" s="1030"/>
      <c r="Y173" s="1030"/>
      <c r="Z173" s="1030"/>
    </row>
    <row r="174" spans="1:26" ht="12.75" hidden="1" customHeight="1" outlineLevel="1">
      <c r="A174" s="1098">
        <f t="shared" si="12"/>
        <v>42</v>
      </c>
      <c r="B174" s="1051" t="s">
        <v>3428</v>
      </c>
      <c r="C174" s="1066" t="s">
        <v>3342</v>
      </c>
      <c r="D174" s="1113" t="s">
        <v>122</v>
      </c>
      <c r="E174" s="1152"/>
      <c r="F174" s="1073" t="s">
        <v>3410</v>
      </c>
      <c r="G174" s="1035" t="s">
        <v>3431</v>
      </c>
      <c r="H174" s="1114"/>
      <c r="I174" s="1114">
        <v>206</v>
      </c>
      <c r="J174" s="1122">
        <v>0.3</v>
      </c>
      <c r="K174" s="1118">
        <f t="shared" si="13"/>
        <v>61.8</v>
      </c>
      <c r="L174" s="1030"/>
      <c r="M174" s="1030"/>
      <c r="N174" s="1030"/>
      <c r="O174" s="1030"/>
      <c r="P174" s="1030"/>
      <c r="Q174" s="1030"/>
      <c r="R174" s="1030"/>
      <c r="S174" s="1030"/>
      <c r="T174" s="1030"/>
      <c r="U174" s="1030"/>
      <c r="V174" s="1030"/>
      <c r="W174" s="1030"/>
      <c r="X174" s="1030"/>
      <c r="Y174" s="1030"/>
      <c r="Z174" s="1030"/>
    </row>
    <row r="175" spans="1:26" ht="12.75" hidden="1" customHeight="1" outlineLevel="1">
      <c r="A175" s="1098">
        <f t="shared" si="12"/>
        <v>43</v>
      </c>
      <c r="B175" s="1051" t="s">
        <v>3428</v>
      </c>
      <c r="C175" s="1066" t="s">
        <v>3342</v>
      </c>
      <c r="D175" s="1113" t="s">
        <v>122</v>
      </c>
      <c r="E175" s="1152"/>
      <c r="F175" s="1073" t="s">
        <v>3410</v>
      </c>
      <c r="G175" s="1035" t="s">
        <v>3433</v>
      </c>
      <c r="H175" s="1114"/>
      <c r="I175" s="1114">
        <v>358</v>
      </c>
      <c r="J175" s="1122">
        <v>0.3</v>
      </c>
      <c r="K175" s="1118">
        <f t="shared" si="13"/>
        <v>107.39999999999999</v>
      </c>
      <c r="L175" s="1030"/>
      <c r="M175" s="1030"/>
      <c r="N175" s="1030"/>
      <c r="O175" s="1030"/>
      <c r="P175" s="1030"/>
      <c r="Q175" s="1030"/>
      <c r="R175" s="1030"/>
      <c r="S175" s="1030"/>
      <c r="T175" s="1030"/>
      <c r="U175" s="1030"/>
      <c r="V175" s="1030"/>
      <c r="W175" s="1030"/>
      <c r="X175" s="1030"/>
      <c r="Y175" s="1030"/>
      <c r="Z175" s="1030"/>
    </row>
    <row r="176" spans="1:26" ht="12.75" hidden="1" customHeight="1" outlineLevel="1">
      <c r="A176" s="1098">
        <f t="shared" si="12"/>
        <v>44</v>
      </c>
      <c r="B176" s="1051" t="s">
        <v>3428</v>
      </c>
      <c r="C176" s="1066" t="s">
        <v>3342</v>
      </c>
      <c r="D176" s="1113" t="s">
        <v>122</v>
      </c>
      <c r="E176" s="1153"/>
      <c r="F176" s="1073" t="s">
        <v>3410</v>
      </c>
      <c r="G176" s="1035" t="s">
        <v>3435</v>
      </c>
      <c r="H176" s="1114"/>
      <c r="I176" s="1114">
        <v>150</v>
      </c>
      <c r="J176" s="1131">
        <v>0.3</v>
      </c>
      <c r="K176" s="1154">
        <f t="shared" si="13"/>
        <v>45</v>
      </c>
      <c r="L176" s="1030"/>
      <c r="M176" s="1030"/>
      <c r="N176" s="1030"/>
      <c r="O176" s="1030"/>
      <c r="P176" s="1030"/>
      <c r="Q176" s="1030"/>
      <c r="R176" s="1030"/>
      <c r="S176" s="1030"/>
      <c r="T176" s="1030"/>
      <c r="U176" s="1030"/>
      <c r="V176" s="1030"/>
      <c r="W176" s="1030"/>
      <c r="X176" s="1030"/>
      <c r="Y176" s="1030"/>
      <c r="Z176" s="1030"/>
    </row>
    <row r="177" spans="1:26" ht="12.75" hidden="1" customHeight="1" outlineLevel="1">
      <c r="A177" s="1098">
        <f t="shared" si="12"/>
        <v>45</v>
      </c>
      <c r="B177" s="1051" t="s">
        <v>3428</v>
      </c>
      <c r="C177" s="1066" t="s">
        <v>3342</v>
      </c>
      <c r="D177" s="1113" t="s">
        <v>122</v>
      </c>
      <c r="E177" s="1153"/>
      <c r="F177" s="1073" t="s">
        <v>3410</v>
      </c>
      <c r="G177" s="1035" t="s">
        <v>3436</v>
      </c>
      <c r="H177" s="1114"/>
      <c r="I177" s="1114">
        <v>210</v>
      </c>
      <c r="J177" s="1131">
        <v>0.3</v>
      </c>
      <c r="K177" s="1154">
        <f t="shared" si="13"/>
        <v>63</v>
      </c>
      <c r="L177" s="1030"/>
      <c r="M177" s="1030"/>
      <c r="N177" s="1030"/>
      <c r="O177" s="1030"/>
      <c r="P177" s="1030"/>
      <c r="Q177" s="1030"/>
      <c r="R177" s="1030"/>
      <c r="S177" s="1030"/>
      <c r="T177" s="1030"/>
      <c r="U177" s="1030"/>
      <c r="V177" s="1030"/>
      <c r="W177" s="1030"/>
      <c r="X177" s="1030"/>
      <c r="Y177" s="1030"/>
      <c r="Z177" s="1030"/>
    </row>
    <row r="178" spans="1:26" ht="12.75" hidden="1" customHeight="1" outlineLevel="1">
      <c r="A178" s="1098">
        <f t="shared" si="12"/>
        <v>46</v>
      </c>
      <c r="B178" s="1051" t="s">
        <v>3428</v>
      </c>
      <c r="C178" s="1066" t="s">
        <v>3342</v>
      </c>
      <c r="D178" s="1113" t="s">
        <v>122</v>
      </c>
      <c r="E178" s="1153"/>
      <c r="F178" s="1073" t="s">
        <v>3410</v>
      </c>
      <c r="G178" s="1035" t="s">
        <v>3522</v>
      </c>
      <c r="H178" s="1114"/>
      <c r="I178" s="1114">
        <v>0</v>
      </c>
      <c r="J178" s="1122">
        <v>0</v>
      </c>
      <c r="K178" s="1118">
        <f t="shared" si="13"/>
        <v>0</v>
      </c>
      <c r="L178" s="1030"/>
      <c r="M178" s="1030"/>
      <c r="N178" s="1030"/>
      <c r="O178" s="1030"/>
      <c r="P178" s="1030"/>
      <c r="Q178" s="1030"/>
      <c r="R178" s="1030"/>
      <c r="S178" s="1030"/>
      <c r="T178" s="1030"/>
      <c r="U178" s="1030"/>
      <c r="V178" s="1030"/>
      <c r="W178" s="1030"/>
      <c r="X178" s="1030"/>
      <c r="Y178" s="1030"/>
      <c r="Z178" s="1030"/>
    </row>
    <row r="179" spans="1:26" ht="12.75" hidden="1" customHeight="1" outlineLevel="1">
      <c r="A179" s="1098">
        <f t="shared" si="12"/>
        <v>47</v>
      </c>
      <c r="B179" s="1051" t="s">
        <v>3428</v>
      </c>
      <c r="C179" s="1066" t="s">
        <v>3342</v>
      </c>
      <c r="D179" s="1113" t="s">
        <v>122</v>
      </c>
      <c r="E179" s="1152"/>
      <c r="F179" s="1073" t="s">
        <v>3410</v>
      </c>
      <c r="G179" s="1035" t="s">
        <v>3523</v>
      </c>
      <c r="H179" s="1114"/>
      <c r="I179" s="1114">
        <v>290</v>
      </c>
      <c r="J179" s="1122">
        <v>0.3</v>
      </c>
      <c r="K179" s="1118">
        <f t="shared" si="13"/>
        <v>87</v>
      </c>
      <c r="L179" s="1030"/>
      <c r="M179" s="1030"/>
      <c r="N179" s="1030"/>
      <c r="O179" s="1030"/>
      <c r="P179" s="1030"/>
      <c r="Q179" s="1030"/>
      <c r="R179" s="1030"/>
      <c r="S179" s="1030"/>
      <c r="T179" s="1030"/>
      <c r="U179" s="1030"/>
      <c r="V179" s="1030"/>
      <c r="W179" s="1030"/>
      <c r="X179" s="1030"/>
      <c r="Y179" s="1030"/>
      <c r="Z179" s="1030"/>
    </row>
    <row r="180" spans="1:26" ht="12.75" hidden="1" customHeight="1" outlineLevel="1">
      <c r="A180" s="1098">
        <f t="shared" si="12"/>
        <v>48</v>
      </c>
      <c r="B180" s="1051" t="s">
        <v>3428</v>
      </c>
      <c r="C180" s="1066" t="s">
        <v>3342</v>
      </c>
      <c r="D180" s="1113" t="s">
        <v>122</v>
      </c>
      <c r="E180" s="1152"/>
      <c r="F180" s="1073" t="s">
        <v>3410</v>
      </c>
      <c r="G180" s="1035" t="s">
        <v>3439</v>
      </c>
      <c r="H180" s="1114"/>
      <c r="I180" s="1114">
        <v>400</v>
      </c>
      <c r="J180" s="1122">
        <v>0.3</v>
      </c>
      <c r="K180" s="1118">
        <f t="shared" si="13"/>
        <v>120</v>
      </c>
      <c r="L180" s="1030"/>
      <c r="M180" s="1030"/>
      <c r="N180" s="1030"/>
      <c r="O180" s="1030"/>
      <c r="P180" s="1030"/>
      <c r="Q180" s="1030"/>
      <c r="R180" s="1030"/>
      <c r="S180" s="1030"/>
      <c r="T180" s="1030"/>
      <c r="U180" s="1030"/>
      <c r="V180" s="1030"/>
      <c r="W180" s="1030"/>
      <c r="X180" s="1030"/>
      <c r="Y180" s="1030"/>
      <c r="Z180" s="1030"/>
    </row>
    <row r="181" spans="1:26" ht="12.75" hidden="1" customHeight="1" outlineLevel="1">
      <c r="A181" s="1098">
        <f t="shared" si="12"/>
        <v>49</v>
      </c>
      <c r="B181" s="1051" t="s">
        <v>3428</v>
      </c>
      <c r="C181" s="1066" t="s">
        <v>3342</v>
      </c>
      <c r="D181" s="1113" t="s">
        <v>122</v>
      </c>
      <c r="E181" s="1152"/>
      <c r="F181" s="1073" t="s">
        <v>3410</v>
      </c>
      <c r="G181" s="1035" t="s">
        <v>3440</v>
      </c>
      <c r="H181" s="1114"/>
      <c r="I181" s="1114">
        <v>96</v>
      </c>
      <c r="J181" s="1122">
        <v>0.3</v>
      </c>
      <c r="K181" s="1118">
        <f t="shared" si="13"/>
        <v>28.799999999999997</v>
      </c>
      <c r="L181" s="1030"/>
      <c r="M181" s="1030"/>
      <c r="N181" s="1030"/>
      <c r="O181" s="1030"/>
      <c r="P181" s="1030"/>
      <c r="Q181" s="1030"/>
      <c r="R181" s="1030"/>
      <c r="S181" s="1030"/>
      <c r="T181" s="1030"/>
      <c r="U181" s="1030"/>
      <c r="V181" s="1030"/>
      <c r="W181" s="1030"/>
      <c r="X181" s="1030"/>
      <c r="Y181" s="1030"/>
      <c r="Z181" s="1030"/>
    </row>
    <row r="182" spans="1:26" ht="12.75" hidden="1" customHeight="1" outlineLevel="1">
      <c r="A182" s="1098">
        <f t="shared" si="12"/>
        <v>50</v>
      </c>
      <c r="B182" s="1051" t="s">
        <v>3428</v>
      </c>
      <c r="C182" s="1066" t="s">
        <v>3342</v>
      </c>
      <c r="D182" s="1113" t="s">
        <v>122</v>
      </c>
      <c r="E182" s="1152"/>
      <c r="F182" s="1073" t="s">
        <v>3410</v>
      </c>
      <c r="G182" s="1035" t="s">
        <v>3441</v>
      </c>
      <c r="H182" s="1114"/>
      <c r="I182" s="1114">
        <v>340</v>
      </c>
      <c r="J182" s="1122">
        <v>0.3</v>
      </c>
      <c r="K182" s="1118">
        <f t="shared" si="13"/>
        <v>102</v>
      </c>
      <c r="L182" s="1030"/>
      <c r="M182" s="1030"/>
      <c r="N182" s="1030"/>
      <c r="O182" s="1030"/>
      <c r="P182" s="1030"/>
      <c r="Q182" s="1030"/>
      <c r="R182" s="1030"/>
      <c r="S182" s="1030"/>
      <c r="T182" s="1030"/>
      <c r="U182" s="1030"/>
      <c r="V182" s="1030"/>
      <c r="W182" s="1030"/>
      <c r="X182" s="1030"/>
      <c r="Y182" s="1030"/>
      <c r="Z182" s="1030"/>
    </row>
    <row r="183" spans="1:26" ht="12.75" hidden="1" customHeight="1" outlineLevel="1">
      <c r="A183" s="1098">
        <f t="shared" si="12"/>
        <v>51</v>
      </c>
      <c r="B183" s="1051" t="s">
        <v>3428</v>
      </c>
      <c r="C183" s="1066" t="s">
        <v>3342</v>
      </c>
      <c r="D183" s="1113" t="s">
        <v>122</v>
      </c>
      <c r="E183" s="1152"/>
      <c r="F183" s="1073" t="s">
        <v>3410</v>
      </c>
      <c r="G183" s="1035" t="s">
        <v>3442</v>
      </c>
      <c r="H183" s="1114"/>
      <c r="I183" s="1114">
        <v>648</v>
      </c>
      <c r="J183" s="1122">
        <v>0.3</v>
      </c>
      <c r="K183" s="1118">
        <f t="shared" si="13"/>
        <v>194.4</v>
      </c>
      <c r="L183" s="1030"/>
      <c r="M183" s="1030"/>
      <c r="N183" s="1030"/>
      <c r="O183" s="1030"/>
      <c r="P183" s="1030"/>
      <c r="Q183" s="1030"/>
      <c r="R183" s="1030"/>
      <c r="S183" s="1030"/>
      <c r="T183" s="1030"/>
      <c r="U183" s="1030"/>
      <c r="V183" s="1030"/>
      <c r="W183" s="1030"/>
      <c r="X183" s="1030"/>
      <c r="Y183" s="1030"/>
      <c r="Z183" s="1030"/>
    </row>
    <row r="184" spans="1:26" ht="12.75" hidden="1" customHeight="1" outlineLevel="1">
      <c r="A184" s="1098">
        <f t="shared" si="12"/>
        <v>52</v>
      </c>
      <c r="B184" s="1051" t="s">
        <v>3428</v>
      </c>
      <c r="C184" s="1066" t="s">
        <v>3342</v>
      </c>
      <c r="D184" s="1113" t="s">
        <v>122</v>
      </c>
      <c r="E184" s="1136"/>
      <c r="F184" s="1073" t="s">
        <v>3410</v>
      </c>
      <c r="G184" s="1035" t="s">
        <v>3443</v>
      </c>
      <c r="H184" s="1114"/>
      <c r="I184" s="1114">
        <v>480</v>
      </c>
      <c r="J184" s="1122">
        <v>0.3</v>
      </c>
      <c r="K184" s="1118">
        <f t="shared" si="13"/>
        <v>144</v>
      </c>
      <c r="L184" s="1030"/>
      <c r="M184" s="1030"/>
      <c r="N184" s="1030"/>
      <c r="O184" s="1030"/>
      <c r="P184" s="1030"/>
      <c r="Q184" s="1030"/>
      <c r="R184" s="1030"/>
      <c r="S184" s="1030"/>
      <c r="T184" s="1030"/>
      <c r="U184" s="1030"/>
      <c r="V184" s="1030"/>
      <c r="W184" s="1030"/>
      <c r="X184" s="1030"/>
      <c r="Y184" s="1030"/>
      <c r="Z184" s="1030"/>
    </row>
    <row r="185" spans="1:26" ht="12.75" hidden="1" customHeight="1" outlineLevel="1">
      <c r="A185" s="1098">
        <f t="shared" si="12"/>
        <v>53</v>
      </c>
      <c r="B185" s="1051" t="s">
        <v>3428</v>
      </c>
      <c r="C185" s="1066" t="s">
        <v>3342</v>
      </c>
      <c r="D185" s="1113" t="s">
        <v>122</v>
      </c>
      <c r="E185" s="1136"/>
      <c r="F185" s="1073" t="s">
        <v>3410</v>
      </c>
      <c r="G185" s="1035" t="s">
        <v>3565</v>
      </c>
      <c r="H185" s="1114" t="s">
        <v>3563</v>
      </c>
      <c r="I185" s="1114">
        <v>0</v>
      </c>
      <c r="J185" s="1122">
        <v>0.3</v>
      </c>
      <c r="K185" s="1118">
        <f t="shared" si="13"/>
        <v>0</v>
      </c>
      <c r="L185" s="1030"/>
      <c r="M185" s="1030"/>
      <c r="N185" s="1030"/>
      <c r="O185" s="1030"/>
      <c r="P185" s="1030"/>
      <c r="Q185" s="1030"/>
      <c r="R185" s="1030"/>
      <c r="S185" s="1030"/>
      <c r="T185" s="1030"/>
      <c r="U185" s="1030"/>
      <c r="V185" s="1030"/>
      <c r="W185" s="1030"/>
      <c r="X185" s="1030"/>
      <c r="Y185" s="1030"/>
      <c r="Z185" s="1030"/>
    </row>
    <row r="186" spans="1:26" ht="12.75" hidden="1" customHeight="1" outlineLevel="1">
      <c r="A186" s="1098">
        <f t="shared" si="12"/>
        <v>54</v>
      </c>
      <c r="B186" s="1051" t="s">
        <v>3428</v>
      </c>
      <c r="C186" s="1066" t="s">
        <v>3342</v>
      </c>
      <c r="D186" s="1113" t="s">
        <v>122</v>
      </c>
      <c r="E186" s="1136"/>
      <c r="F186" s="1073" t="s">
        <v>3410</v>
      </c>
      <c r="G186" s="1035" t="s">
        <v>3444</v>
      </c>
      <c r="H186" s="1114" t="s">
        <v>3563</v>
      </c>
      <c r="I186" s="1114">
        <v>0</v>
      </c>
      <c r="J186" s="1122">
        <v>0.3</v>
      </c>
      <c r="K186" s="1118">
        <f t="shared" si="13"/>
        <v>0</v>
      </c>
      <c r="L186" s="1030"/>
      <c r="M186" s="1030"/>
      <c r="N186" s="1030"/>
      <c r="O186" s="1030"/>
      <c r="P186" s="1030"/>
      <c r="Q186" s="1030"/>
      <c r="R186" s="1030"/>
      <c r="S186" s="1030"/>
      <c r="T186" s="1030"/>
      <c r="U186" s="1030"/>
      <c r="V186" s="1030"/>
      <c r="W186" s="1030"/>
      <c r="X186" s="1030"/>
      <c r="Y186" s="1030"/>
      <c r="Z186" s="1030"/>
    </row>
    <row r="187" spans="1:26" ht="12.75" hidden="1" customHeight="1" outlineLevel="1">
      <c r="A187" s="1098">
        <f t="shared" si="12"/>
        <v>55</v>
      </c>
      <c r="B187" s="1051" t="s">
        <v>3428</v>
      </c>
      <c r="C187" s="1066" t="s">
        <v>3342</v>
      </c>
      <c r="D187" s="1113" t="s">
        <v>122</v>
      </c>
      <c r="E187" s="1136"/>
      <c r="F187" s="1073" t="s">
        <v>3410</v>
      </c>
      <c r="G187" s="1035" t="s">
        <v>3446</v>
      </c>
      <c r="H187" s="1114"/>
      <c r="I187" s="1114">
        <v>39</v>
      </c>
      <c r="J187" s="1122">
        <v>0.3</v>
      </c>
      <c r="K187" s="1118">
        <f t="shared" si="13"/>
        <v>11.7</v>
      </c>
      <c r="L187" s="1030"/>
      <c r="M187" s="1030"/>
      <c r="N187" s="1030"/>
      <c r="O187" s="1030"/>
      <c r="P187" s="1030"/>
      <c r="Q187" s="1030"/>
      <c r="R187" s="1030"/>
      <c r="S187" s="1030"/>
      <c r="T187" s="1030"/>
      <c r="U187" s="1030"/>
      <c r="V187" s="1030"/>
      <c r="W187" s="1030"/>
      <c r="X187" s="1030"/>
      <c r="Y187" s="1030"/>
      <c r="Z187" s="1030"/>
    </row>
    <row r="188" spans="1:26" ht="12.75" hidden="1" customHeight="1" outlineLevel="1">
      <c r="A188" s="1098">
        <f t="shared" si="12"/>
        <v>56</v>
      </c>
      <c r="B188" s="1051" t="s">
        <v>3428</v>
      </c>
      <c r="C188" s="1066" t="s">
        <v>3342</v>
      </c>
      <c r="D188" s="1113" t="s">
        <v>122</v>
      </c>
      <c r="E188" s="1136"/>
      <c r="F188" s="1073" t="s">
        <v>3410</v>
      </c>
      <c r="G188" s="1035" t="s">
        <v>3447</v>
      </c>
      <c r="H188" s="1114"/>
      <c r="I188" s="1114">
        <v>0</v>
      </c>
      <c r="J188" s="1122">
        <v>0.3</v>
      </c>
      <c r="K188" s="1118">
        <f t="shared" si="13"/>
        <v>0</v>
      </c>
      <c r="L188" s="1030"/>
      <c r="M188" s="1030"/>
      <c r="N188" s="1030"/>
      <c r="O188" s="1030"/>
      <c r="P188" s="1030"/>
      <c r="Q188" s="1030"/>
      <c r="R188" s="1030"/>
      <c r="S188" s="1030"/>
      <c r="T188" s="1030"/>
      <c r="U188" s="1030"/>
      <c r="V188" s="1030"/>
      <c r="W188" s="1030"/>
      <c r="X188" s="1030"/>
      <c r="Y188" s="1030"/>
      <c r="Z188" s="1030"/>
    </row>
    <row r="189" spans="1:26" ht="12.75" hidden="1" customHeight="1" outlineLevel="1">
      <c r="A189" s="1098">
        <f t="shared" si="12"/>
        <v>57</v>
      </c>
      <c r="B189" s="1051" t="s">
        <v>3428</v>
      </c>
      <c r="C189" s="1066" t="s">
        <v>3342</v>
      </c>
      <c r="D189" s="1113" t="s">
        <v>122</v>
      </c>
      <c r="E189" s="1136"/>
      <c r="F189" s="1073" t="s">
        <v>3410</v>
      </c>
      <c r="G189" s="1035" t="s">
        <v>3448</v>
      </c>
      <c r="H189" s="1114"/>
      <c r="I189" s="1114">
        <v>494</v>
      </c>
      <c r="J189" s="1131">
        <v>0.3</v>
      </c>
      <c r="K189" s="1154">
        <f t="shared" si="13"/>
        <v>148.19999999999999</v>
      </c>
      <c r="L189" s="1030"/>
      <c r="M189" s="1030"/>
      <c r="N189" s="1030"/>
      <c r="O189" s="1030"/>
      <c r="P189" s="1030"/>
      <c r="Q189" s="1030"/>
      <c r="R189" s="1030"/>
      <c r="S189" s="1030"/>
      <c r="T189" s="1030"/>
      <c r="U189" s="1030"/>
      <c r="V189" s="1030"/>
      <c r="W189" s="1030"/>
      <c r="X189" s="1030"/>
      <c r="Y189" s="1030"/>
      <c r="Z189" s="1030"/>
    </row>
    <row r="190" spans="1:26" ht="12.75" hidden="1" customHeight="1" outlineLevel="1">
      <c r="A190" s="1098">
        <f t="shared" si="12"/>
        <v>58</v>
      </c>
      <c r="B190" s="1051" t="s">
        <v>3428</v>
      </c>
      <c r="C190" s="1066" t="s">
        <v>3342</v>
      </c>
      <c r="D190" s="1113" t="s">
        <v>122</v>
      </c>
      <c r="E190" s="1136"/>
      <c r="F190" s="1073" t="s">
        <v>3410</v>
      </c>
      <c r="G190" s="1035" t="s">
        <v>3449</v>
      </c>
      <c r="H190" s="1114"/>
      <c r="I190" s="1114">
        <v>202</v>
      </c>
      <c r="J190" s="1122">
        <v>0.3</v>
      </c>
      <c r="K190" s="1118">
        <f t="shared" si="13"/>
        <v>60.599999999999994</v>
      </c>
      <c r="L190" s="1030"/>
      <c r="M190" s="1030"/>
      <c r="N190" s="1030"/>
      <c r="O190" s="1030"/>
      <c r="P190" s="1030"/>
      <c r="Q190" s="1030"/>
      <c r="R190" s="1030"/>
      <c r="S190" s="1030"/>
      <c r="T190" s="1030"/>
      <c r="U190" s="1030"/>
      <c r="V190" s="1030"/>
      <c r="W190" s="1030"/>
      <c r="X190" s="1030"/>
      <c r="Y190" s="1030"/>
      <c r="Z190" s="1030"/>
    </row>
    <row r="191" spans="1:26" ht="12.75" hidden="1" customHeight="1" outlineLevel="1">
      <c r="A191" s="1098">
        <f t="shared" si="12"/>
        <v>59</v>
      </c>
      <c r="B191" s="1051" t="s">
        <v>3428</v>
      </c>
      <c r="C191" s="1066" t="s">
        <v>3342</v>
      </c>
      <c r="D191" s="1113" t="s">
        <v>122</v>
      </c>
      <c r="E191" s="1136"/>
      <c r="F191" s="1073" t="s">
        <v>3410</v>
      </c>
      <c r="G191" s="1035" t="s">
        <v>3450</v>
      </c>
      <c r="H191" s="1114"/>
      <c r="I191" s="1114">
        <v>136</v>
      </c>
      <c r="J191" s="1122">
        <v>0.3</v>
      </c>
      <c r="K191" s="1118">
        <f t="shared" si="13"/>
        <v>40.799999999999997</v>
      </c>
      <c r="L191" s="1030"/>
      <c r="M191" s="1030"/>
      <c r="N191" s="1030"/>
      <c r="O191" s="1030"/>
      <c r="P191" s="1030"/>
      <c r="Q191" s="1030"/>
      <c r="R191" s="1030"/>
      <c r="S191" s="1030"/>
      <c r="T191" s="1030"/>
      <c r="U191" s="1030"/>
      <c r="V191" s="1030"/>
      <c r="W191" s="1030"/>
      <c r="X191" s="1030"/>
      <c r="Y191" s="1030"/>
      <c r="Z191" s="1030"/>
    </row>
    <row r="192" spans="1:26" ht="12.75" hidden="1" customHeight="1" outlineLevel="1">
      <c r="A192" s="1098">
        <f t="shared" si="12"/>
        <v>60</v>
      </c>
      <c r="B192" s="1051" t="s">
        <v>3428</v>
      </c>
      <c r="C192" s="1066" t="s">
        <v>3342</v>
      </c>
      <c r="D192" s="1113" t="s">
        <v>122</v>
      </c>
      <c r="E192" s="1136"/>
      <c r="F192" s="1073" t="s">
        <v>3410</v>
      </c>
      <c r="G192" s="1035" t="s">
        <v>3524</v>
      </c>
      <c r="H192" s="1114"/>
      <c r="I192" s="1114">
        <v>0</v>
      </c>
      <c r="J192" s="1122">
        <v>0.3</v>
      </c>
      <c r="K192" s="1118">
        <f t="shared" si="13"/>
        <v>0</v>
      </c>
      <c r="L192" s="1030"/>
      <c r="M192" s="1030"/>
      <c r="N192" s="1030"/>
      <c r="O192" s="1030"/>
      <c r="P192" s="1030"/>
      <c r="Q192" s="1030"/>
      <c r="R192" s="1030"/>
      <c r="S192" s="1030"/>
      <c r="T192" s="1030"/>
      <c r="U192" s="1030"/>
      <c r="V192" s="1030"/>
      <c r="W192" s="1030"/>
      <c r="X192" s="1030"/>
      <c r="Y192" s="1030"/>
      <c r="Z192" s="1030"/>
    </row>
    <row r="193" spans="1:26" ht="12.75" hidden="1" customHeight="1" outlineLevel="1">
      <c r="A193" s="1098">
        <f t="shared" si="12"/>
        <v>61</v>
      </c>
      <c r="B193" s="1051" t="s">
        <v>3428</v>
      </c>
      <c r="C193" s="1066" t="s">
        <v>3342</v>
      </c>
      <c r="D193" s="1113" t="s">
        <v>122</v>
      </c>
      <c r="E193" s="1136"/>
      <c r="F193" s="1073" t="s">
        <v>3410</v>
      </c>
      <c r="G193" s="1035" t="s">
        <v>3451</v>
      </c>
      <c r="H193" s="1114"/>
      <c r="I193" s="1114">
        <f>68*2</f>
        <v>136</v>
      </c>
      <c r="J193" s="1122">
        <v>0.3</v>
      </c>
      <c r="K193" s="1118">
        <f t="shared" si="13"/>
        <v>40.799999999999997</v>
      </c>
      <c r="L193" s="1030"/>
      <c r="M193" s="1030"/>
      <c r="N193" s="1030"/>
      <c r="O193" s="1030"/>
      <c r="P193" s="1030"/>
      <c r="Q193" s="1030"/>
      <c r="R193" s="1030"/>
      <c r="S193" s="1030"/>
      <c r="T193" s="1030"/>
      <c r="U193" s="1030"/>
      <c r="V193" s="1030"/>
      <c r="W193" s="1030"/>
      <c r="X193" s="1030"/>
      <c r="Y193" s="1030"/>
      <c r="Z193" s="1030"/>
    </row>
    <row r="194" spans="1:26" ht="12.75" hidden="1" customHeight="1" outlineLevel="1">
      <c r="A194" s="1098">
        <f t="shared" si="12"/>
        <v>62</v>
      </c>
      <c r="B194" s="1051" t="s">
        <v>3428</v>
      </c>
      <c r="C194" s="1066" t="s">
        <v>3342</v>
      </c>
      <c r="D194" s="1113" t="s">
        <v>122</v>
      </c>
      <c r="E194" s="1136"/>
      <c r="F194" s="1073" t="s">
        <v>3410</v>
      </c>
      <c r="G194" s="1035" t="s">
        <v>3452</v>
      </c>
      <c r="H194" s="1114"/>
      <c r="I194" s="1114">
        <v>244</v>
      </c>
      <c r="J194" s="1122">
        <v>0.3</v>
      </c>
      <c r="K194" s="1118">
        <f t="shared" si="13"/>
        <v>73.2</v>
      </c>
      <c r="L194" s="1030"/>
      <c r="M194" s="1030"/>
      <c r="N194" s="1030"/>
      <c r="O194" s="1030"/>
      <c r="P194" s="1030"/>
      <c r="Q194" s="1030"/>
      <c r="R194" s="1030"/>
      <c r="S194" s="1030"/>
      <c r="T194" s="1030"/>
      <c r="U194" s="1030"/>
      <c r="V194" s="1030"/>
      <c r="W194" s="1030"/>
      <c r="X194" s="1030"/>
      <c r="Y194" s="1030"/>
      <c r="Z194" s="1030"/>
    </row>
    <row r="195" spans="1:26" ht="12.75" hidden="1" customHeight="1" outlineLevel="1">
      <c r="A195" s="1098">
        <f t="shared" si="12"/>
        <v>63</v>
      </c>
      <c r="B195" s="1051" t="s">
        <v>3428</v>
      </c>
      <c r="C195" s="1066" t="s">
        <v>3342</v>
      </c>
      <c r="D195" s="1113" t="s">
        <v>122</v>
      </c>
      <c r="E195" s="1136"/>
      <c r="F195" s="1073" t="s">
        <v>3410</v>
      </c>
      <c r="G195" s="1035" t="s">
        <v>3453</v>
      </c>
      <c r="H195" s="1114"/>
      <c r="I195" s="1114">
        <v>286</v>
      </c>
      <c r="J195" s="1122">
        <v>0.3</v>
      </c>
      <c r="K195" s="1118">
        <f t="shared" si="13"/>
        <v>85.8</v>
      </c>
      <c r="L195" s="1030"/>
      <c r="M195" s="1030"/>
      <c r="N195" s="1030"/>
      <c r="O195" s="1030"/>
      <c r="P195" s="1030"/>
      <c r="Q195" s="1030"/>
      <c r="R195" s="1030"/>
      <c r="S195" s="1030"/>
      <c r="T195" s="1030"/>
      <c r="U195" s="1030"/>
      <c r="V195" s="1030"/>
      <c r="W195" s="1030"/>
      <c r="X195" s="1030"/>
      <c r="Y195" s="1030"/>
      <c r="Z195" s="1030"/>
    </row>
    <row r="196" spans="1:26" ht="12.75" hidden="1" customHeight="1" outlineLevel="1">
      <c r="A196" s="1098">
        <f t="shared" si="12"/>
        <v>64</v>
      </c>
      <c r="B196" s="1051" t="s">
        <v>3428</v>
      </c>
      <c r="C196" s="1066" t="s">
        <v>3342</v>
      </c>
      <c r="D196" s="1113" t="s">
        <v>122</v>
      </c>
      <c r="E196" s="1136"/>
      <c r="F196" s="1073" t="s">
        <v>3410</v>
      </c>
      <c r="G196" s="1035" t="s">
        <v>3454</v>
      </c>
      <c r="H196" s="1114"/>
      <c r="I196" s="1114">
        <v>140</v>
      </c>
      <c r="J196" s="1122">
        <v>0.3</v>
      </c>
      <c r="K196" s="1118">
        <f t="shared" si="13"/>
        <v>42</v>
      </c>
      <c r="L196" s="1030"/>
      <c r="M196" s="1030"/>
      <c r="N196" s="1030"/>
      <c r="O196" s="1030"/>
      <c r="P196" s="1030"/>
      <c r="Q196" s="1030"/>
      <c r="R196" s="1030"/>
      <c r="S196" s="1030"/>
      <c r="T196" s="1030"/>
      <c r="U196" s="1030"/>
      <c r="V196" s="1030"/>
      <c r="W196" s="1030"/>
      <c r="X196" s="1030"/>
      <c r="Y196" s="1030"/>
      <c r="Z196" s="1030"/>
    </row>
    <row r="197" spans="1:26" ht="12.75" hidden="1" customHeight="1" outlineLevel="1">
      <c r="A197" s="1098">
        <f t="shared" si="12"/>
        <v>65</v>
      </c>
      <c r="B197" s="1051" t="s">
        <v>3428</v>
      </c>
      <c r="C197" s="1066" t="s">
        <v>3342</v>
      </c>
      <c r="D197" s="1113" t="s">
        <v>122</v>
      </c>
      <c r="E197" s="1136"/>
      <c r="F197" s="1073" t="s">
        <v>3410</v>
      </c>
      <c r="G197" s="1035" t="s">
        <v>3525</v>
      </c>
      <c r="H197" s="1114"/>
      <c r="I197" s="1114">
        <v>470</v>
      </c>
      <c r="J197" s="1122">
        <v>0.3</v>
      </c>
      <c r="K197" s="1118">
        <f t="shared" si="13"/>
        <v>141</v>
      </c>
      <c r="L197" s="1030"/>
      <c r="M197" s="1030"/>
      <c r="N197" s="1030"/>
      <c r="O197" s="1030"/>
      <c r="P197" s="1030"/>
      <c r="Q197" s="1030"/>
      <c r="R197" s="1030"/>
      <c r="S197" s="1030"/>
      <c r="T197" s="1030"/>
      <c r="U197" s="1030"/>
      <c r="V197" s="1030"/>
      <c r="W197" s="1030"/>
      <c r="X197" s="1030"/>
      <c r="Y197" s="1030"/>
      <c r="Z197" s="1030"/>
    </row>
    <row r="198" spans="1:26" ht="12.75" hidden="1" customHeight="1" outlineLevel="1">
      <c r="A198" s="1098">
        <f t="shared" si="12"/>
        <v>66</v>
      </c>
      <c r="B198" s="1051" t="s">
        <v>3428</v>
      </c>
      <c r="C198" s="1066" t="s">
        <v>3342</v>
      </c>
      <c r="D198" s="1113" t="s">
        <v>122</v>
      </c>
      <c r="E198" s="1136"/>
      <c r="F198" s="1073" t="s">
        <v>3410</v>
      </c>
      <c r="G198" s="1035" t="s">
        <v>3456</v>
      </c>
      <c r="H198" s="1114"/>
      <c r="I198" s="1114">
        <v>340</v>
      </c>
      <c r="J198" s="1122">
        <v>0.3</v>
      </c>
      <c r="K198" s="1118">
        <f t="shared" si="13"/>
        <v>102</v>
      </c>
      <c r="L198" s="1030"/>
      <c r="M198" s="1030"/>
      <c r="N198" s="1030"/>
      <c r="O198" s="1030"/>
      <c r="P198" s="1030"/>
      <c r="Q198" s="1030"/>
      <c r="R198" s="1030"/>
      <c r="S198" s="1030"/>
      <c r="T198" s="1030"/>
      <c r="U198" s="1030"/>
      <c r="V198" s="1030"/>
      <c r="W198" s="1030"/>
      <c r="X198" s="1030"/>
      <c r="Y198" s="1030"/>
      <c r="Z198" s="1030"/>
    </row>
    <row r="199" spans="1:26" ht="12.75" hidden="1" customHeight="1" outlineLevel="1">
      <c r="A199" s="1098">
        <f t="shared" si="12"/>
        <v>67</v>
      </c>
      <c r="B199" s="1051" t="s">
        <v>3428</v>
      </c>
      <c r="C199" s="1066" t="s">
        <v>3342</v>
      </c>
      <c r="D199" s="1113" t="s">
        <v>122</v>
      </c>
      <c r="E199" s="1136"/>
      <c r="F199" s="1073" t="s">
        <v>3410</v>
      </c>
      <c r="G199" s="1035" t="s">
        <v>3455</v>
      </c>
      <c r="H199" s="1114"/>
      <c r="I199" s="1114">
        <v>448</v>
      </c>
      <c r="J199" s="1122">
        <v>0.3</v>
      </c>
      <c r="K199" s="1118">
        <f t="shared" si="13"/>
        <v>134.4</v>
      </c>
      <c r="L199" s="1030"/>
      <c r="M199" s="1030"/>
      <c r="N199" s="1030"/>
      <c r="O199" s="1030"/>
      <c r="P199" s="1030"/>
      <c r="Q199" s="1030"/>
      <c r="R199" s="1030"/>
      <c r="S199" s="1030"/>
      <c r="T199" s="1030"/>
      <c r="U199" s="1030"/>
      <c r="V199" s="1030"/>
      <c r="W199" s="1030"/>
      <c r="X199" s="1030"/>
      <c r="Y199" s="1030"/>
      <c r="Z199" s="1030"/>
    </row>
    <row r="200" spans="1:26" ht="12.75" hidden="1" customHeight="1" outlineLevel="1">
      <c r="A200" s="1098">
        <f t="shared" si="12"/>
        <v>68</v>
      </c>
      <c r="B200" s="1051" t="s">
        <v>3428</v>
      </c>
      <c r="C200" s="1066" t="s">
        <v>3342</v>
      </c>
      <c r="D200" s="1113" t="s">
        <v>122</v>
      </c>
      <c r="E200" s="1136"/>
      <c r="F200" s="1073" t="s">
        <v>3410</v>
      </c>
      <c r="G200" s="1035" t="s">
        <v>3457</v>
      </c>
      <c r="H200" s="1114"/>
      <c r="I200" s="1114">
        <v>578</v>
      </c>
      <c r="J200" s="1122">
        <v>0.3</v>
      </c>
      <c r="K200" s="1118">
        <f t="shared" si="13"/>
        <v>173.4</v>
      </c>
      <c r="L200" s="1030"/>
      <c r="M200" s="1030"/>
      <c r="N200" s="1030"/>
      <c r="O200" s="1030"/>
      <c r="P200" s="1030"/>
      <c r="Q200" s="1030"/>
      <c r="R200" s="1030"/>
      <c r="S200" s="1030"/>
      <c r="T200" s="1030"/>
      <c r="U200" s="1030"/>
      <c r="V200" s="1030"/>
      <c r="W200" s="1030"/>
      <c r="X200" s="1030"/>
      <c r="Y200" s="1030"/>
      <c r="Z200" s="1030"/>
    </row>
    <row r="201" spans="1:26" ht="12.75" hidden="1" customHeight="1" outlineLevel="1">
      <c r="A201" s="1098">
        <f t="shared" si="12"/>
        <v>69</v>
      </c>
      <c r="B201" s="1051" t="s">
        <v>3428</v>
      </c>
      <c r="C201" s="1066" t="s">
        <v>3342</v>
      </c>
      <c r="D201" s="1113" t="s">
        <v>122</v>
      </c>
      <c r="E201" s="1136"/>
      <c r="F201" s="1073" t="s">
        <v>3410</v>
      </c>
      <c r="G201" s="1035" t="s">
        <v>3458</v>
      </c>
      <c r="H201" s="1114" t="s">
        <v>3459</v>
      </c>
      <c r="I201" s="1114"/>
      <c r="J201" s="1114"/>
      <c r="K201" s="1118">
        <v>60.72</v>
      </c>
      <c r="L201" s="1030"/>
      <c r="M201" s="1030"/>
      <c r="N201" s="1030"/>
      <c r="O201" s="1030"/>
      <c r="P201" s="1030"/>
      <c r="Q201" s="1030"/>
      <c r="R201" s="1030"/>
      <c r="S201" s="1030"/>
      <c r="T201" s="1030"/>
      <c r="U201" s="1030"/>
      <c r="V201" s="1030"/>
      <c r="W201" s="1030"/>
      <c r="X201" s="1030"/>
      <c r="Y201" s="1030"/>
      <c r="Z201" s="1030"/>
    </row>
    <row r="202" spans="1:26" ht="12.75" hidden="1" customHeight="1" outlineLevel="1">
      <c r="A202" s="1098">
        <f t="shared" si="12"/>
        <v>70</v>
      </c>
      <c r="B202" s="1051" t="s">
        <v>3473</v>
      </c>
      <c r="C202" s="1066" t="s">
        <v>3342</v>
      </c>
      <c r="D202" s="1113" t="s">
        <v>122</v>
      </c>
      <c r="E202" s="1136"/>
      <c r="F202" s="1073" t="s">
        <v>3410</v>
      </c>
      <c r="G202" s="1035" t="s">
        <v>3582</v>
      </c>
      <c r="H202" s="1114" t="s">
        <v>3583</v>
      </c>
      <c r="I202" s="1114"/>
      <c r="J202" s="1114"/>
      <c r="K202" s="1118">
        <f>8.4+25.5</f>
        <v>33.9</v>
      </c>
      <c r="L202" s="1030"/>
      <c r="M202" s="1030"/>
      <c r="N202" s="1030"/>
      <c r="O202" s="1030"/>
      <c r="P202" s="1030"/>
      <c r="Q202" s="1030"/>
      <c r="R202" s="1030"/>
      <c r="S202" s="1030"/>
      <c r="T202" s="1030"/>
      <c r="U202" s="1030"/>
      <c r="V202" s="1030"/>
      <c r="W202" s="1030"/>
      <c r="X202" s="1030"/>
      <c r="Y202" s="1030"/>
      <c r="Z202" s="1030"/>
    </row>
    <row r="203" spans="1:26" ht="12.75" hidden="1" customHeight="1" outlineLevel="1">
      <c r="A203" s="1098">
        <f t="shared" si="12"/>
        <v>71</v>
      </c>
      <c r="B203" s="1051" t="s">
        <v>3473</v>
      </c>
      <c r="C203" s="1066" t="s">
        <v>3342</v>
      </c>
      <c r="D203" s="1113" t="s">
        <v>122</v>
      </c>
      <c r="E203" s="1136"/>
      <c r="F203" s="1073" t="s">
        <v>3410</v>
      </c>
      <c r="G203" s="1035" t="s">
        <v>3505</v>
      </c>
      <c r="H203" s="1114" t="s">
        <v>3506</v>
      </c>
      <c r="I203" s="1114"/>
      <c r="J203" s="1114"/>
      <c r="K203" s="1118">
        <v>43.92</v>
      </c>
      <c r="L203" s="1030"/>
      <c r="M203" s="1030"/>
      <c r="N203" s="1030"/>
      <c r="O203" s="1030"/>
      <c r="P203" s="1030"/>
      <c r="Q203" s="1030"/>
      <c r="R203" s="1030"/>
      <c r="S203" s="1030"/>
      <c r="T203" s="1030"/>
      <c r="U203" s="1030"/>
      <c r="V203" s="1030"/>
      <c r="W203" s="1030"/>
      <c r="X203" s="1030"/>
      <c r="Y203" s="1030"/>
      <c r="Z203" s="1030"/>
    </row>
    <row r="204" spans="1:26" ht="12.75" hidden="1" customHeight="1" outlineLevel="1">
      <c r="A204" s="1098">
        <f t="shared" si="12"/>
        <v>72</v>
      </c>
      <c r="B204" s="1051" t="s">
        <v>3428</v>
      </c>
      <c r="C204" s="1066" t="s">
        <v>3342</v>
      </c>
      <c r="D204" s="1113" t="s">
        <v>122</v>
      </c>
      <c r="E204" s="1136"/>
      <c r="F204" s="1073" t="s">
        <v>3410</v>
      </c>
      <c r="G204" s="1035" t="s">
        <v>3460</v>
      </c>
      <c r="H204" s="1114" t="s">
        <v>3461</v>
      </c>
      <c r="I204" s="1114"/>
      <c r="J204" s="1114"/>
      <c r="K204" s="1118">
        <v>251.9</v>
      </c>
      <c r="L204" s="1030"/>
      <c r="M204" s="1030"/>
      <c r="N204" s="1030"/>
      <c r="O204" s="1030"/>
      <c r="P204" s="1030"/>
      <c r="Q204" s="1030"/>
      <c r="R204" s="1030"/>
      <c r="S204" s="1030"/>
      <c r="T204" s="1030"/>
      <c r="U204" s="1030"/>
      <c r="V204" s="1030"/>
      <c r="W204" s="1030"/>
      <c r="X204" s="1030"/>
      <c r="Y204" s="1030"/>
      <c r="Z204" s="1030"/>
    </row>
    <row r="205" spans="1:26" ht="12.75" hidden="1" customHeight="1" outlineLevel="1">
      <c r="A205" s="1098">
        <f t="shared" si="12"/>
        <v>73</v>
      </c>
      <c r="B205" s="1051" t="s">
        <v>3428</v>
      </c>
      <c r="C205" s="1066" t="s">
        <v>3342</v>
      </c>
      <c r="D205" s="1113" t="s">
        <v>122</v>
      </c>
      <c r="E205" s="1136"/>
      <c r="F205" s="1073" t="s">
        <v>3410</v>
      </c>
      <c r="G205" s="1035" t="s">
        <v>3507</v>
      </c>
      <c r="H205" s="1114"/>
      <c r="I205" s="1114"/>
      <c r="J205" s="1114"/>
      <c r="K205" s="1118">
        <v>0</v>
      </c>
      <c r="L205" s="1159"/>
      <c r="M205" s="1030"/>
      <c r="N205" s="1030"/>
      <c r="O205" s="1030"/>
      <c r="P205" s="1030"/>
      <c r="Q205" s="1030"/>
      <c r="R205" s="1030"/>
      <c r="S205" s="1030"/>
      <c r="T205" s="1030"/>
      <c r="U205" s="1030"/>
      <c r="V205" s="1030"/>
      <c r="W205" s="1030"/>
      <c r="X205" s="1030"/>
      <c r="Y205" s="1030"/>
      <c r="Z205" s="1030"/>
    </row>
    <row r="206" spans="1:26" ht="52.5" hidden="1" customHeight="1" outlineLevel="1">
      <c r="A206" s="1098">
        <f t="shared" si="12"/>
        <v>74</v>
      </c>
      <c r="B206" s="1051" t="s">
        <v>3466</v>
      </c>
      <c r="C206" s="1066" t="s">
        <v>3342</v>
      </c>
      <c r="D206" s="1113" t="s">
        <v>122</v>
      </c>
      <c r="E206" s="1136"/>
      <c r="F206" s="1073" t="s">
        <v>3410</v>
      </c>
      <c r="G206" s="1035" t="s">
        <v>3584</v>
      </c>
      <c r="H206" s="1114" t="s">
        <v>3585</v>
      </c>
      <c r="I206" s="1163" t="s">
        <v>3586</v>
      </c>
      <c r="J206" s="1114"/>
      <c r="K206" s="1118">
        <f>3504.55+103.5+2784.55+8926+81.81</f>
        <v>15400.41</v>
      </c>
      <c r="L206" s="1162"/>
      <c r="M206" s="1030"/>
      <c r="N206" s="1030"/>
      <c r="O206" s="1030"/>
      <c r="P206" s="1030"/>
      <c r="Q206" s="1030"/>
      <c r="R206" s="1030"/>
      <c r="S206" s="1030"/>
      <c r="T206" s="1030"/>
      <c r="U206" s="1030"/>
      <c r="V206" s="1030"/>
      <c r="W206" s="1030"/>
      <c r="X206" s="1030"/>
      <c r="Y206" s="1030"/>
      <c r="Z206" s="1030"/>
    </row>
    <row r="207" spans="1:26" ht="25.5" hidden="1" outlineLevel="1">
      <c r="A207" s="1098">
        <f t="shared" si="12"/>
        <v>75</v>
      </c>
      <c r="B207" s="1051" t="s">
        <v>3470</v>
      </c>
      <c r="C207" s="1066" t="s">
        <v>3342</v>
      </c>
      <c r="D207" s="1113" t="s">
        <v>122</v>
      </c>
      <c r="E207" s="1136"/>
      <c r="F207" s="1073" t="s">
        <v>3410</v>
      </c>
      <c r="G207" s="1035" t="s">
        <v>3531</v>
      </c>
      <c r="H207" s="1114" t="s">
        <v>3587</v>
      </c>
      <c r="I207" s="1114"/>
      <c r="J207" s="1114"/>
      <c r="K207" s="1118">
        <v>1850</v>
      </c>
      <c r="L207" s="1160"/>
      <c r="M207" s="1103"/>
      <c r="N207" s="1103"/>
      <c r="O207" s="1103"/>
      <c r="P207" s="1103"/>
      <c r="Q207" s="1103"/>
      <c r="R207" s="1103"/>
      <c r="S207" s="1103"/>
      <c r="T207" s="1103"/>
      <c r="U207" s="1103"/>
      <c r="V207" s="1103"/>
      <c r="W207" s="1103"/>
      <c r="X207" s="1103"/>
      <c r="Y207" s="1103"/>
      <c r="Z207" s="1103"/>
    </row>
    <row r="208" spans="1:26" ht="25.5" hidden="1" outlineLevel="1">
      <c r="A208" s="1098">
        <f t="shared" si="12"/>
        <v>76</v>
      </c>
      <c r="B208" s="1051" t="s">
        <v>3485</v>
      </c>
      <c r="C208" s="1066" t="s">
        <v>3342</v>
      </c>
      <c r="D208" s="1113" t="s">
        <v>122</v>
      </c>
      <c r="E208" s="1136"/>
      <c r="F208" s="1073" t="s">
        <v>3410</v>
      </c>
      <c r="G208" s="1035" t="s">
        <v>3510</v>
      </c>
      <c r="H208" s="1114" t="s">
        <v>3511</v>
      </c>
      <c r="I208" s="1114" t="s">
        <v>3512</v>
      </c>
      <c r="J208" s="1114"/>
      <c r="K208" s="1118">
        <v>80</v>
      </c>
      <c r="L208" s="1160"/>
      <c r="M208" s="1103"/>
      <c r="N208" s="1103"/>
      <c r="O208" s="1103"/>
      <c r="P208" s="1103"/>
      <c r="Q208" s="1103"/>
      <c r="R208" s="1103"/>
      <c r="S208" s="1103"/>
      <c r="T208" s="1103"/>
      <c r="U208" s="1103"/>
      <c r="V208" s="1103"/>
      <c r="W208" s="1103"/>
      <c r="X208" s="1103"/>
      <c r="Y208" s="1103"/>
      <c r="Z208" s="1103"/>
    </row>
    <row r="209" spans="1:26" ht="30.75" hidden="1" customHeight="1" outlineLevel="1">
      <c r="A209" s="1098">
        <f t="shared" si="12"/>
        <v>77</v>
      </c>
      <c r="B209" s="1051" t="s">
        <v>3473</v>
      </c>
      <c r="C209" s="1066" t="s">
        <v>3342</v>
      </c>
      <c r="D209" s="1113" t="s">
        <v>122</v>
      </c>
      <c r="E209" s="1136"/>
      <c r="F209" s="1073" t="s">
        <v>3410</v>
      </c>
      <c r="G209" s="1035" t="s">
        <v>3588</v>
      </c>
      <c r="H209" s="1114" t="s">
        <v>3589</v>
      </c>
      <c r="I209" s="1114"/>
      <c r="J209" s="1114"/>
      <c r="K209" s="1118"/>
      <c r="L209" s="1162"/>
      <c r="M209" s="1030"/>
      <c r="N209" s="1030"/>
      <c r="O209" s="1030"/>
      <c r="P209" s="1030"/>
      <c r="Q209" s="1030"/>
      <c r="R209" s="1030"/>
      <c r="S209" s="1030"/>
      <c r="T209" s="1030"/>
      <c r="U209" s="1030"/>
      <c r="V209" s="1030"/>
      <c r="W209" s="1030"/>
      <c r="X209" s="1030"/>
      <c r="Y209" s="1030"/>
      <c r="Z209" s="1030"/>
    </row>
    <row r="210" spans="1:26" ht="26.25" hidden="1" customHeight="1" outlineLevel="1">
      <c r="A210" s="1098">
        <f t="shared" si="12"/>
        <v>78</v>
      </c>
      <c r="B210" s="1051" t="s">
        <v>3473</v>
      </c>
      <c r="C210" s="1112" t="s">
        <v>3342</v>
      </c>
      <c r="D210" s="1113" t="s">
        <v>122</v>
      </c>
      <c r="E210" s="1114"/>
      <c r="F210" s="1073" t="s">
        <v>3410</v>
      </c>
      <c r="G210" s="1035" t="s">
        <v>3474</v>
      </c>
      <c r="H210" s="1114" t="s">
        <v>3590</v>
      </c>
      <c r="I210" s="1114"/>
      <c r="J210" s="1114"/>
      <c r="K210" s="1161">
        <v>1750.98</v>
      </c>
      <c r="L210" s="1162"/>
      <c r="M210" s="1030"/>
      <c r="N210" s="1030"/>
      <c r="O210" s="1030"/>
      <c r="P210" s="1030"/>
      <c r="Q210" s="1030"/>
      <c r="R210" s="1030"/>
      <c r="S210" s="1030"/>
      <c r="T210" s="1030"/>
      <c r="U210" s="1030"/>
      <c r="V210" s="1030"/>
      <c r="W210" s="1030"/>
      <c r="X210" s="1030"/>
      <c r="Y210" s="1030"/>
      <c r="Z210" s="1030"/>
    </row>
    <row r="211" spans="1:26" ht="25.5" hidden="1" outlineLevel="1">
      <c r="A211" s="1098">
        <f t="shared" si="12"/>
        <v>79</v>
      </c>
      <c r="B211" s="1051" t="s">
        <v>3473</v>
      </c>
      <c r="C211" s="1112" t="s">
        <v>3342</v>
      </c>
      <c r="D211" s="1113" t="s">
        <v>122</v>
      </c>
      <c r="E211" s="1114"/>
      <c r="F211" s="1073" t="s">
        <v>3410</v>
      </c>
      <c r="G211" s="1035" t="s">
        <v>3474</v>
      </c>
      <c r="H211" s="1114" t="s">
        <v>3591</v>
      </c>
      <c r="I211" s="1114" t="s">
        <v>3592</v>
      </c>
      <c r="J211" s="1114"/>
      <c r="K211" s="1118">
        <f>17.02+17.02</f>
        <v>34.04</v>
      </c>
      <c r="L211" s="1162"/>
      <c r="M211" s="1030"/>
      <c r="N211" s="1030"/>
      <c r="O211" s="1030"/>
      <c r="P211" s="1030"/>
      <c r="Q211" s="1030"/>
      <c r="R211" s="1030"/>
      <c r="S211" s="1030"/>
      <c r="T211" s="1030"/>
      <c r="U211" s="1030"/>
      <c r="V211" s="1030"/>
      <c r="W211" s="1030"/>
      <c r="X211" s="1030"/>
      <c r="Y211" s="1030"/>
      <c r="Z211" s="1030"/>
    </row>
    <row r="212" spans="1:26" ht="25.5" hidden="1" outlineLevel="1">
      <c r="A212" s="1098">
        <f t="shared" si="12"/>
        <v>80</v>
      </c>
      <c r="B212" s="1051" t="s">
        <v>3473</v>
      </c>
      <c r="C212" s="1112" t="s">
        <v>3342</v>
      </c>
      <c r="D212" s="1113" t="s">
        <v>122</v>
      </c>
      <c r="E212" s="1114"/>
      <c r="F212" s="1073" t="s">
        <v>3410</v>
      </c>
      <c r="G212" s="1035" t="s">
        <v>3479</v>
      </c>
      <c r="H212" s="1114" t="s">
        <v>3593</v>
      </c>
      <c r="I212" s="1114"/>
      <c r="J212" s="1114"/>
      <c r="K212" s="1118">
        <f>1712.44/2</f>
        <v>856.22</v>
      </c>
      <c r="L212" s="1162"/>
      <c r="M212" s="1030"/>
      <c r="N212" s="1030"/>
      <c r="O212" s="1030"/>
      <c r="P212" s="1030"/>
      <c r="Q212" s="1030"/>
      <c r="R212" s="1030"/>
      <c r="S212" s="1030"/>
      <c r="T212" s="1030"/>
      <c r="U212" s="1030"/>
      <c r="V212" s="1030"/>
      <c r="W212" s="1030"/>
      <c r="X212" s="1030"/>
      <c r="Y212" s="1030"/>
      <c r="Z212" s="1030"/>
    </row>
    <row r="213" spans="1:26" ht="12.75" hidden="1" customHeight="1" outlineLevel="1">
      <c r="A213" s="1098">
        <f t="shared" si="12"/>
        <v>81</v>
      </c>
      <c r="B213" s="1051" t="s">
        <v>3462</v>
      </c>
      <c r="C213" s="1066" t="s">
        <v>3342</v>
      </c>
      <c r="D213" s="1113" t="s">
        <v>122</v>
      </c>
      <c r="E213" s="1136"/>
      <c r="F213" s="1073" t="s">
        <v>3410</v>
      </c>
      <c r="G213" s="1035" t="s">
        <v>3535</v>
      </c>
      <c r="H213" s="1114" t="s">
        <v>3594</v>
      </c>
      <c r="I213" s="1114" t="s">
        <v>3595</v>
      </c>
      <c r="J213" s="1114"/>
      <c r="K213" s="1118">
        <f>((7700+154)/3)/200*150</f>
        <v>1963.5</v>
      </c>
      <c r="L213" s="1159"/>
      <c r="M213" s="1030"/>
      <c r="N213" s="1030"/>
      <c r="O213" s="1030"/>
      <c r="P213" s="1030"/>
      <c r="Q213" s="1030"/>
      <c r="R213" s="1030"/>
      <c r="S213" s="1030"/>
      <c r="T213" s="1030"/>
      <c r="U213" s="1030"/>
      <c r="V213" s="1030"/>
      <c r="W213" s="1030"/>
      <c r="X213" s="1030"/>
      <c r="Y213" s="1030"/>
      <c r="Z213" s="1030"/>
    </row>
    <row r="214" spans="1:26" ht="12.75" hidden="1" customHeight="1" outlineLevel="1">
      <c r="A214" s="1098">
        <f t="shared" si="12"/>
        <v>82</v>
      </c>
      <c r="B214" s="1051" t="s">
        <v>3485</v>
      </c>
      <c r="C214" s="1066" t="s">
        <v>3342</v>
      </c>
      <c r="D214" s="1113" t="s">
        <v>122</v>
      </c>
      <c r="E214" s="1136"/>
      <c r="F214" s="1073" t="s">
        <v>3410</v>
      </c>
      <c r="G214" s="1035" t="s">
        <v>3596</v>
      </c>
      <c r="H214" s="1114" t="s">
        <v>3597</v>
      </c>
      <c r="I214" s="1114"/>
      <c r="J214" s="1114"/>
      <c r="K214" s="1118">
        <v>296.61</v>
      </c>
      <c r="L214" s="1159"/>
      <c r="M214" s="1030"/>
      <c r="N214" s="1030"/>
      <c r="O214" s="1030"/>
      <c r="P214" s="1030"/>
      <c r="Q214" s="1030"/>
      <c r="R214" s="1030"/>
      <c r="S214" s="1030"/>
      <c r="T214" s="1030"/>
      <c r="U214" s="1030"/>
      <c r="V214" s="1030"/>
      <c r="W214" s="1030"/>
      <c r="X214" s="1030"/>
      <c r="Y214" s="1030"/>
      <c r="Z214" s="1030"/>
    </row>
    <row r="215" spans="1:26" ht="12.75" hidden="1" customHeight="1" outlineLevel="1">
      <c r="A215" s="1098">
        <f t="shared" si="12"/>
        <v>83</v>
      </c>
      <c r="B215" s="1051" t="s">
        <v>3485</v>
      </c>
      <c r="C215" s="1066" t="s">
        <v>3342</v>
      </c>
      <c r="D215" s="1113" t="s">
        <v>122</v>
      </c>
      <c r="E215" s="1136"/>
      <c r="F215" s="1073" t="s">
        <v>3410</v>
      </c>
      <c r="G215" s="1035" t="s">
        <v>3495</v>
      </c>
      <c r="H215" s="1114" t="s">
        <v>3598</v>
      </c>
      <c r="I215" s="1114" t="s">
        <v>3599</v>
      </c>
      <c r="J215" s="1114"/>
      <c r="K215" s="1118">
        <f>3.7*2+19.01</f>
        <v>26.410000000000004</v>
      </c>
      <c r="L215" s="1159"/>
      <c r="M215" s="1030"/>
      <c r="N215" s="1030"/>
      <c r="O215" s="1030"/>
      <c r="P215" s="1030"/>
      <c r="Q215" s="1030"/>
      <c r="R215" s="1030"/>
      <c r="S215" s="1030"/>
      <c r="T215" s="1030"/>
      <c r="U215" s="1030"/>
      <c r="V215" s="1030"/>
      <c r="W215" s="1030"/>
      <c r="X215" s="1030"/>
      <c r="Y215" s="1030"/>
      <c r="Z215" s="1030"/>
    </row>
    <row r="216" spans="1:26" ht="12.75" customHeight="1" collapsed="1">
      <c r="A216" s="1098">
        <f t="shared" si="12"/>
        <v>84</v>
      </c>
      <c r="B216" s="1051" t="s">
        <v>3428</v>
      </c>
      <c r="C216" s="1066" t="s">
        <v>3342</v>
      </c>
      <c r="D216" s="1113" t="s">
        <v>122</v>
      </c>
      <c r="E216" s="1152"/>
      <c r="F216" s="1073" t="s">
        <v>3414</v>
      </c>
      <c r="G216" s="1035" t="s">
        <v>3429</v>
      </c>
      <c r="H216" s="1114"/>
      <c r="I216" s="1114">
        <v>120</v>
      </c>
      <c r="J216" s="1117">
        <v>0.3</v>
      </c>
      <c r="K216" s="1118">
        <f t="shared" ref="K216:K242" si="14">I216*J216</f>
        <v>36</v>
      </c>
      <c r="L216" s="1030"/>
      <c r="M216" s="1030"/>
      <c r="N216" s="1030"/>
      <c r="O216" s="1030"/>
      <c r="P216" s="1030"/>
      <c r="Q216" s="1030"/>
      <c r="R216" s="1030"/>
      <c r="S216" s="1030"/>
      <c r="T216" s="1030"/>
      <c r="U216" s="1030"/>
      <c r="V216" s="1030"/>
      <c r="W216" s="1030"/>
      <c r="X216" s="1030"/>
      <c r="Y216" s="1030"/>
      <c r="Z216" s="1030"/>
    </row>
    <row r="217" spans="1:26" ht="12.75" customHeight="1">
      <c r="A217" s="1098">
        <f t="shared" si="12"/>
        <v>85</v>
      </c>
      <c r="B217" s="1051" t="s">
        <v>3428</v>
      </c>
      <c r="C217" s="1066" t="s">
        <v>3342</v>
      </c>
      <c r="D217" s="1113" t="s">
        <v>122</v>
      </c>
      <c r="E217" s="1152"/>
      <c r="F217" s="1073" t="s">
        <v>3414</v>
      </c>
      <c r="G217" s="1035" t="s">
        <v>3431</v>
      </c>
      <c r="H217" s="1114" t="s">
        <v>3563</v>
      </c>
      <c r="I217" s="1114">
        <v>0</v>
      </c>
      <c r="J217" s="1122">
        <v>0.3</v>
      </c>
      <c r="K217" s="1118">
        <f t="shared" si="14"/>
        <v>0</v>
      </c>
      <c r="L217" s="1030"/>
      <c r="M217" s="1030"/>
      <c r="N217" s="1030"/>
      <c r="O217" s="1030"/>
      <c r="P217" s="1030"/>
      <c r="Q217" s="1030"/>
      <c r="R217" s="1030"/>
      <c r="S217" s="1030"/>
      <c r="T217" s="1030"/>
      <c r="U217" s="1030"/>
      <c r="V217" s="1030"/>
      <c r="W217" s="1030"/>
      <c r="X217" s="1030"/>
      <c r="Y217" s="1030"/>
      <c r="Z217" s="1030"/>
    </row>
    <row r="218" spans="1:26" ht="12.75" customHeight="1">
      <c r="A218" s="1098">
        <f t="shared" si="12"/>
        <v>86</v>
      </c>
      <c r="B218" s="1051" t="s">
        <v>3428</v>
      </c>
      <c r="C218" s="1066" t="s">
        <v>3342</v>
      </c>
      <c r="D218" s="1113" t="s">
        <v>122</v>
      </c>
      <c r="E218" s="1152"/>
      <c r="F218" s="1073" t="s">
        <v>3414</v>
      </c>
      <c r="G218" s="1035" t="s">
        <v>3433</v>
      </c>
      <c r="H218" s="1114"/>
      <c r="I218" s="1114">
        <f>179*2</f>
        <v>358</v>
      </c>
      <c r="J218" s="1122">
        <v>0.3</v>
      </c>
      <c r="K218" s="1118">
        <f t="shared" si="14"/>
        <v>107.39999999999999</v>
      </c>
      <c r="L218" s="1030"/>
      <c r="M218" s="1030"/>
      <c r="N218" s="1030"/>
      <c r="O218" s="1030"/>
      <c r="P218" s="1030"/>
      <c r="Q218" s="1030"/>
      <c r="R218" s="1030"/>
      <c r="S218" s="1030"/>
      <c r="T218" s="1030"/>
      <c r="U218" s="1030"/>
      <c r="V218" s="1030"/>
      <c r="W218" s="1030"/>
      <c r="X218" s="1030"/>
      <c r="Y218" s="1030"/>
      <c r="Z218" s="1030"/>
    </row>
    <row r="219" spans="1:26" ht="12.75" customHeight="1">
      <c r="A219" s="1098">
        <f t="shared" si="12"/>
        <v>87</v>
      </c>
      <c r="B219" s="1051" t="s">
        <v>3428</v>
      </c>
      <c r="C219" s="1066" t="s">
        <v>3342</v>
      </c>
      <c r="D219" s="1113" t="s">
        <v>122</v>
      </c>
      <c r="E219" s="1153"/>
      <c r="F219" s="1073" t="s">
        <v>3414</v>
      </c>
      <c r="G219" s="1035" t="s">
        <v>3436</v>
      </c>
      <c r="H219" s="1114"/>
      <c r="I219" s="1114">
        <v>210</v>
      </c>
      <c r="J219" s="1122">
        <v>0.3</v>
      </c>
      <c r="K219" s="1118">
        <f t="shared" si="14"/>
        <v>63</v>
      </c>
      <c r="L219" s="1030"/>
      <c r="M219" s="1030"/>
      <c r="N219" s="1030"/>
      <c r="O219" s="1030"/>
      <c r="P219" s="1030"/>
      <c r="Q219" s="1030"/>
      <c r="R219" s="1030"/>
      <c r="S219" s="1030"/>
      <c r="T219" s="1030"/>
      <c r="U219" s="1030"/>
      <c r="V219" s="1030"/>
      <c r="W219" s="1030"/>
      <c r="X219" s="1030"/>
      <c r="Y219" s="1030"/>
      <c r="Z219" s="1030"/>
    </row>
    <row r="220" spans="1:26" ht="12.75" customHeight="1">
      <c r="A220" s="1098">
        <f t="shared" si="12"/>
        <v>88</v>
      </c>
      <c r="B220" s="1051" t="s">
        <v>3428</v>
      </c>
      <c r="C220" s="1066" t="s">
        <v>3342</v>
      </c>
      <c r="D220" s="1113" t="s">
        <v>122</v>
      </c>
      <c r="E220" s="1153"/>
      <c r="F220" s="1073" t="s">
        <v>3414</v>
      </c>
      <c r="G220" s="1035" t="s">
        <v>3522</v>
      </c>
      <c r="H220" s="1114"/>
      <c r="I220" s="1114">
        <v>0</v>
      </c>
      <c r="J220" s="1122">
        <v>0.3</v>
      </c>
      <c r="K220" s="1118">
        <f t="shared" si="14"/>
        <v>0</v>
      </c>
      <c r="L220" s="1030"/>
      <c r="M220" s="1030"/>
      <c r="N220" s="1030"/>
      <c r="O220" s="1030"/>
      <c r="P220" s="1030"/>
      <c r="Q220" s="1030"/>
      <c r="R220" s="1030"/>
      <c r="S220" s="1030"/>
      <c r="T220" s="1030"/>
      <c r="U220" s="1030"/>
      <c r="V220" s="1030"/>
      <c r="W220" s="1030"/>
      <c r="X220" s="1030"/>
      <c r="Y220" s="1030"/>
      <c r="Z220" s="1030"/>
    </row>
    <row r="221" spans="1:26" ht="12.75" customHeight="1">
      <c r="A221" s="1098">
        <f t="shared" si="12"/>
        <v>89</v>
      </c>
      <c r="B221" s="1051" t="s">
        <v>3428</v>
      </c>
      <c r="C221" s="1066" t="s">
        <v>3342</v>
      </c>
      <c r="D221" s="1113" t="s">
        <v>122</v>
      </c>
      <c r="E221" s="1152"/>
      <c r="F221" s="1073" t="s">
        <v>3414</v>
      </c>
      <c r="G221" s="1035" t="s">
        <v>3523</v>
      </c>
      <c r="H221" s="1114"/>
      <c r="I221" s="1114">
        <v>290</v>
      </c>
      <c r="J221" s="1122">
        <v>0.3</v>
      </c>
      <c r="K221" s="1118">
        <f t="shared" si="14"/>
        <v>87</v>
      </c>
      <c r="L221" s="1030"/>
      <c r="M221" s="1030"/>
      <c r="N221" s="1030"/>
      <c r="O221" s="1030"/>
      <c r="P221" s="1030"/>
      <c r="Q221" s="1030"/>
      <c r="R221" s="1030"/>
      <c r="S221" s="1030"/>
      <c r="T221" s="1030"/>
      <c r="U221" s="1030"/>
      <c r="V221" s="1030"/>
      <c r="W221" s="1030"/>
      <c r="X221" s="1030"/>
      <c r="Y221" s="1030"/>
      <c r="Z221" s="1030"/>
    </row>
    <row r="222" spans="1:26" ht="12.75" customHeight="1">
      <c r="A222" s="1098">
        <f t="shared" si="12"/>
        <v>90</v>
      </c>
      <c r="B222" s="1051" t="s">
        <v>3428</v>
      </c>
      <c r="C222" s="1066" t="s">
        <v>3342</v>
      </c>
      <c r="D222" s="1113" t="s">
        <v>122</v>
      </c>
      <c r="E222" s="1152"/>
      <c r="F222" s="1073" t="s">
        <v>3414</v>
      </c>
      <c r="G222" s="1035" t="s">
        <v>3439</v>
      </c>
      <c r="H222" s="1114"/>
      <c r="I222" s="1114">
        <v>400</v>
      </c>
      <c r="J222" s="1122">
        <v>0.3</v>
      </c>
      <c r="K222" s="1118">
        <f t="shared" si="14"/>
        <v>120</v>
      </c>
      <c r="L222" s="1030"/>
      <c r="M222" s="1030"/>
      <c r="N222" s="1030"/>
      <c r="O222" s="1030"/>
      <c r="P222" s="1030"/>
      <c r="Q222" s="1030"/>
      <c r="R222" s="1030"/>
      <c r="S222" s="1030"/>
      <c r="T222" s="1030"/>
      <c r="U222" s="1030"/>
      <c r="V222" s="1030"/>
      <c r="W222" s="1030"/>
      <c r="X222" s="1030"/>
      <c r="Y222" s="1030"/>
      <c r="Z222" s="1030"/>
    </row>
    <row r="223" spans="1:26" ht="12.75" customHeight="1">
      <c r="A223" s="1098">
        <f t="shared" si="12"/>
        <v>91</v>
      </c>
      <c r="B223" s="1051" t="s">
        <v>3428</v>
      </c>
      <c r="C223" s="1066" t="s">
        <v>3342</v>
      </c>
      <c r="D223" s="1113" t="s">
        <v>122</v>
      </c>
      <c r="E223" s="1152"/>
      <c r="F223" s="1073" t="s">
        <v>3414</v>
      </c>
      <c r="G223" s="1035" t="s">
        <v>3440</v>
      </c>
      <c r="H223" s="1114"/>
      <c r="I223" s="1114">
        <v>72</v>
      </c>
      <c r="J223" s="1122">
        <v>0.3</v>
      </c>
      <c r="K223" s="1118">
        <f t="shared" si="14"/>
        <v>21.599999999999998</v>
      </c>
      <c r="L223" s="1030"/>
      <c r="M223" s="1030"/>
      <c r="N223" s="1030"/>
      <c r="O223" s="1030"/>
      <c r="P223" s="1030"/>
      <c r="Q223" s="1030"/>
      <c r="R223" s="1030"/>
      <c r="S223" s="1030"/>
      <c r="T223" s="1030"/>
      <c r="U223" s="1030"/>
      <c r="V223" s="1030"/>
      <c r="W223" s="1030"/>
      <c r="X223" s="1030"/>
      <c r="Y223" s="1030"/>
      <c r="Z223" s="1030"/>
    </row>
    <row r="224" spans="1:26" ht="12.75" customHeight="1">
      <c r="A224" s="1098">
        <f t="shared" si="12"/>
        <v>92</v>
      </c>
      <c r="B224" s="1051" t="s">
        <v>3428</v>
      </c>
      <c r="C224" s="1066" t="s">
        <v>3342</v>
      </c>
      <c r="D224" s="1113" t="s">
        <v>122</v>
      </c>
      <c r="E224" s="1152"/>
      <c r="F224" s="1073" t="s">
        <v>3414</v>
      </c>
      <c r="G224" s="1035" t="s">
        <v>3441</v>
      </c>
      <c r="H224" s="1114"/>
      <c r="I224" s="1114">
        <f>170*2</f>
        <v>340</v>
      </c>
      <c r="J224" s="1122">
        <v>0.3</v>
      </c>
      <c r="K224" s="1118">
        <f t="shared" si="14"/>
        <v>102</v>
      </c>
      <c r="L224" s="1030"/>
      <c r="M224" s="1030"/>
      <c r="N224" s="1030"/>
      <c r="O224" s="1030"/>
      <c r="P224" s="1030"/>
      <c r="Q224" s="1030"/>
      <c r="R224" s="1030"/>
      <c r="S224" s="1030"/>
      <c r="T224" s="1030"/>
      <c r="U224" s="1030"/>
      <c r="V224" s="1030"/>
      <c r="W224" s="1030"/>
      <c r="X224" s="1030"/>
      <c r="Y224" s="1030"/>
      <c r="Z224" s="1030"/>
    </row>
    <row r="225" spans="1:26" ht="12.75" customHeight="1">
      <c r="A225" s="1098">
        <f t="shared" si="12"/>
        <v>93</v>
      </c>
      <c r="B225" s="1051" t="s">
        <v>3428</v>
      </c>
      <c r="C225" s="1066" t="s">
        <v>3342</v>
      </c>
      <c r="D225" s="1113" t="s">
        <v>122</v>
      </c>
      <c r="E225" s="1152"/>
      <c r="F225" s="1073" t="s">
        <v>3414</v>
      </c>
      <c r="G225" s="1035" t="s">
        <v>3442</v>
      </c>
      <c r="H225" s="1114"/>
      <c r="I225" s="1114">
        <f>324*2</f>
        <v>648</v>
      </c>
      <c r="J225" s="1122">
        <v>0.3</v>
      </c>
      <c r="K225" s="1118">
        <f t="shared" si="14"/>
        <v>194.4</v>
      </c>
      <c r="L225" s="1030"/>
      <c r="M225" s="1030"/>
      <c r="N225" s="1030"/>
      <c r="O225" s="1030"/>
      <c r="P225" s="1030"/>
      <c r="Q225" s="1030"/>
      <c r="R225" s="1030"/>
      <c r="S225" s="1030"/>
      <c r="T225" s="1030"/>
      <c r="U225" s="1030"/>
      <c r="V225" s="1030"/>
      <c r="W225" s="1030"/>
      <c r="X225" s="1030"/>
      <c r="Y225" s="1030"/>
      <c r="Z225" s="1030"/>
    </row>
    <row r="226" spans="1:26" ht="12.75" customHeight="1">
      <c r="A226" s="1098">
        <f t="shared" si="12"/>
        <v>94</v>
      </c>
      <c r="B226" s="1051" t="s">
        <v>3428</v>
      </c>
      <c r="C226" s="1066" t="s">
        <v>3342</v>
      </c>
      <c r="D226" s="1113" t="s">
        <v>122</v>
      </c>
      <c r="E226" s="1136"/>
      <c r="F226" s="1073" t="s">
        <v>3414</v>
      </c>
      <c r="G226" s="1035" t="s">
        <v>3443</v>
      </c>
      <c r="H226" s="1114"/>
      <c r="I226" s="1114">
        <v>480</v>
      </c>
      <c r="J226" s="1122">
        <v>0.3</v>
      </c>
      <c r="K226" s="1118">
        <f t="shared" si="14"/>
        <v>144</v>
      </c>
      <c r="L226" s="1030"/>
      <c r="M226" s="1030"/>
      <c r="N226" s="1030"/>
      <c r="O226" s="1030"/>
      <c r="P226" s="1030"/>
      <c r="Q226" s="1030"/>
      <c r="R226" s="1030"/>
      <c r="S226" s="1030"/>
      <c r="T226" s="1030"/>
      <c r="U226" s="1030"/>
      <c r="V226" s="1030"/>
      <c r="W226" s="1030"/>
      <c r="X226" s="1030"/>
      <c r="Y226" s="1030"/>
      <c r="Z226" s="1030"/>
    </row>
    <row r="227" spans="1:26" ht="12.75" customHeight="1">
      <c r="A227" s="1098">
        <f t="shared" si="12"/>
        <v>95</v>
      </c>
      <c r="B227" s="1051" t="s">
        <v>3428</v>
      </c>
      <c r="C227" s="1066" t="s">
        <v>3342</v>
      </c>
      <c r="D227" s="1113" t="s">
        <v>122</v>
      </c>
      <c r="E227" s="1136"/>
      <c r="F227" s="1073" t="s">
        <v>3414</v>
      </c>
      <c r="G227" s="1035" t="s">
        <v>3565</v>
      </c>
      <c r="H227" s="1114" t="s">
        <v>3563</v>
      </c>
      <c r="I227" s="1114">
        <v>0</v>
      </c>
      <c r="J227" s="1122">
        <v>0.3</v>
      </c>
      <c r="K227" s="1118">
        <f t="shared" si="14"/>
        <v>0</v>
      </c>
      <c r="L227" s="1030"/>
      <c r="M227" s="1030"/>
      <c r="N227" s="1030"/>
      <c r="O227" s="1030"/>
      <c r="P227" s="1030"/>
      <c r="Q227" s="1030"/>
      <c r="R227" s="1030"/>
      <c r="S227" s="1030"/>
      <c r="T227" s="1030"/>
      <c r="U227" s="1030"/>
      <c r="V227" s="1030"/>
      <c r="W227" s="1030"/>
      <c r="X227" s="1030"/>
      <c r="Y227" s="1030"/>
      <c r="Z227" s="1030"/>
    </row>
    <row r="228" spans="1:26" ht="12.75" customHeight="1">
      <c r="A228" s="1098">
        <f t="shared" si="12"/>
        <v>96</v>
      </c>
      <c r="B228" s="1051" t="s">
        <v>3428</v>
      </c>
      <c r="C228" s="1066" t="s">
        <v>3342</v>
      </c>
      <c r="D228" s="1113" t="s">
        <v>122</v>
      </c>
      <c r="E228" s="1136"/>
      <c r="F228" s="1073" t="s">
        <v>3414</v>
      </c>
      <c r="G228" s="1035" t="s">
        <v>3444</v>
      </c>
      <c r="H228" s="1114"/>
      <c r="I228" s="1114">
        <v>320</v>
      </c>
      <c r="J228" s="1122">
        <v>0.3</v>
      </c>
      <c r="K228" s="1118">
        <f t="shared" si="14"/>
        <v>96</v>
      </c>
      <c r="L228" s="1030"/>
      <c r="M228" s="1030"/>
      <c r="N228" s="1030"/>
      <c r="O228" s="1030"/>
      <c r="P228" s="1030"/>
      <c r="Q228" s="1030"/>
      <c r="R228" s="1030"/>
      <c r="S228" s="1030"/>
      <c r="T228" s="1030"/>
      <c r="U228" s="1030"/>
      <c r="V228" s="1030"/>
      <c r="W228" s="1030"/>
      <c r="X228" s="1030"/>
      <c r="Y228" s="1030"/>
      <c r="Z228" s="1030"/>
    </row>
    <row r="229" spans="1:26" ht="12.75" customHeight="1">
      <c r="A229" s="1098">
        <f t="shared" si="12"/>
        <v>97</v>
      </c>
      <c r="B229" s="1051" t="s">
        <v>3428</v>
      </c>
      <c r="C229" s="1066" t="s">
        <v>3342</v>
      </c>
      <c r="D229" s="1113" t="s">
        <v>122</v>
      </c>
      <c r="E229" s="1136"/>
      <c r="F229" s="1073" t="s">
        <v>3414</v>
      </c>
      <c r="G229" s="1035" t="s">
        <v>3446</v>
      </c>
      <c r="H229" s="1114"/>
      <c r="I229" s="1114">
        <v>239</v>
      </c>
      <c r="J229" s="1122">
        <v>0.3</v>
      </c>
      <c r="K229" s="1118">
        <f t="shared" si="14"/>
        <v>71.7</v>
      </c>
      <c r="L229" s="1030"/>
      <c r="M229" s="1030"/>
      <c r="N229" s="1030"/>
      <c r="O229" s="1030"/>
      <c r="P229" s="1030"/>
      <c r="Q229" s="1030"/>
      <c r="R229" s="1030"/>
      <c r="S229" s="1030"/>
      <c r="T229" s="1030"/>
      <c r="U229" s="1030"/>
      <c r="V229" s="1030"/>
      <c r="W229" s="1030"/>
      <c r="X229" s="1030"/>
      <c r="Y229" s="1030"/>
      <c r="Z229" s="1030"/>
    </row>
    <row r="230" spans="1:26" ht="12.75" customHeight="1">
      <c r="A230" s="1098">
        <f t="shared" si="12"/>
        <v>98</v>
      </c>
      <c r="B230" s="1051" t="s">
        <v>3428</v>
      </c>
      <c r="C230" s="1066" t="s">
        <v>3342</v>
      </c>
      <c r="D230" s="1113" t="s">
        <v>122</v>
      </c>
      <c r="E230" s="1136"/>
      <c r="F230" s="1073" t="s">
        <v>3414</v>
      </c>
      <c r="G230" s="1035" t="s">
        <v>3447</v>
      </c>
      <c r="H230" s="1114"/>
      <c r="I230" s="1114">
        <v>0</v>
      </c>
      <c r="J230" s="1122">
        <v>0.3</v>
      </c>
      <c r="K230" s="1118">
        <f t="shared" si="14"/>
        <v>0</v>
      </c>
      <c r="L230" s="1030"/>
      <c r="M230" s="1030"/>
      <c r="N230" s="1030"/>
      <c r="O230" s="1030"/>
      <c r="P230" s="1030"/>
      <c r="Q230" s="1030"/>
      <c r="R230" s="1030"/>
      <c r="S230" s="1030"/>
      <c r="T230" s="1030"/>
      <c r="U230" s="1030"/>
      <c r="V230" s="1030"/>
      <c r="W230" s="1030"/>
      <c r="X230" s="1030"/>
      <c r="Y230" s="1030"/>
      <c r="Z230" s="1030"/>
    </row>
    <row r="231" spans="1:26" ht="12.75" customHeight="1">
      <c r="A231" s="1098">
        <f t="shared" si="12"/>
        <v>99</v>
      </c>
      <c r="B231" s="1051" t="s">
        <v>3428</v>
      </c>
      <c r="C231" s="1066" t="s">
        <v>3342</v>
      </c>
      <c r="D231" s="1113" t="s">
        <v>122</v>
      </c>
      <c r="E231" s="1136"/>
      <c r="F231" s="1073" t="s">
        <v>3414</v>
      </c>
      <c r="G231" s="1035" t="s">
        <v>3448</v>
      </c>
      <c r="H231" s="1114"/>
      <c r="I231" s="1114">
        <v>400</v>
      </c>
      <c r="J231" s="1122">
        <v>0.3</v>
      </c>
      <c r="K231" s="1118">
        <f t="shared" si="14"/>
        <v>120</v>
      </c>
      <c r="L231" s="1030"/>
      <c r="M231" s="1030"/>
      <c r="N231" s="1030"/>
      <c r="O231" s="1030"/>
      <c r="P231" s="1030"/>
      <c r="Q231" s="1030"/>
      <c r="R231" s="1030"/>
      <c r="S231" s="1030"/>
      <c r="T231" s="1030"/>
      <c r="U231" s="1030"/>
      <c r="V231" s="1030"/>
      <c r="W231" s="1030"/>
      <c r="X231" s="1030"/>
      <c r="Y231" s="1030"/>
      <c r="Z231" s="1030"/>
    </row>
    <row r="232" spans="1:26" ht="12.75" customHeight="1">
      <c r="A232" s="1098">
        <f t="shared" si="12"/>
        <v>100</v>
      </c>
      <c r="B232" s="1051" t="s">
        <v>3428</v>
      </c>
      <c r="C232" s="1066" t="s">
        <v>3342</v>
      </c>
      <c r="D232" s="1113" t="s">
        <v>122</v>
      </c>
      <c r="E232" s="1136"/>
      <c r="F232" s="1073" t="s">
        <v>3414</v>
      </c>
      <c r="G232" s="1035" t="s">
        <v>3449</v>
      </c>
      <c r="H232" s="1114"/>
      <c r="I232" s="1114">
        <v>140</v>
      </c>
      <c r="J232" s="1122">
        <v>0.3</v>
      </c>
      <c r="K232" s="1118">
        <f t="shared" si="14"/>
        <v>42</v>
      </c>
      <c r="L232" s="1030"/>
      <c r="M232" s="1030"/>
      <c r="N232" s="1030"/>
      <c r="O232" s="1030"/>
      <c r="P232" s="1030"/>
      <c r="Q232" s="1030"/>
      <c r="R232" s="1030"/>
      <c r="S232" s="1030"/>
      <c r="T232" s="1030"/>
      <c r="U232" s="1030"/>
      <c r="V232" s="1030"/>
      <c r="W232" s="1030"/>
      <c r="X232" s="1030"/>
      <c r="Y232" s="1030"/>
      <c r="Z232" s="1030"/>
    </row>
    <row r="233" spans="1:26" ht="12.75" customHeight="1">
      <c r="A233" s="1098">
        <f t="shared" si="12"/>
        <v>101</v>
      </c>
      <c r="B233" s="1051" t="s">
        <v>3428</v>
      </c>
      <c r="C233" s="1066" t="s">
        <v>3342</v>
      </c>
      <c r="D233" s="1113" t="s">
        <v>122</v>
      </c>
      <c r="E233" s="1136"/>
      <c r="F233" s="1073" t="s">
        <v>3414</v>
      </c>
      <c r="G233" s="1035" t="s">
        <v>3450</v>
      </c>
      <c r="H233" s="1114"/>
      <c r="I233" s="1114">
        <v>136</v>
      </c>
      <c r="J233" s="1122">
        <v>0.3</v>
      </c>
      <c r="K233" s="1118">
        <f t="shared" si="14"/>
        <v>40.799999999999997</v>
      </c>
      <c r="L233" s="1030"/>
      <c r="M233" s="1030"/>
      <c r="N233" s="1030"/>
      <c r="O233" s="1030"/>
      <c r="P233" s="1030"/>
      <c r="Q233" s="1030"/>
      <c r="R233" s="1030"/>
      <c r="S233" s="1030"/>
      <c r="T233" s="1030"/>
      <c r="U233" s="1030"/>
      <c r="V233" s="1030"/>
      <c r="W233" s="1030"/>
      <c r="X233" s="1030"/>
      <c r="Y233" s="1030"/>
      <c r="Z233" s="1030"/>
    </row>
    <row r="234" spans="1:26" ht="12.75" customHeight="1">
      <c r="A234" s="1098">
        <f t="shared" si="12"/>
        <v>102</v>
      </c>
      <c r="B234" s="1051" t="s">
        <v>3428</v>
      </c>
      <c r="C234" s="1066" t="s">
        <v>3342</v>
      </c>
      <c r="D234" s="1113" t="s">
        <v>122</v>
      </c>
      <c r="E234" s="1136"/>
      <c r="F234" s="1073" t="s">
        <v>3414</v>
      </c>
      <c r="G234" s="1035" t="s">
        <v>3524</v>
      </c>
      <c r="H234" s="1114"/>
      <c r="I234" s="1114">
        <v>0</v>
      </c>
      <c r="J234" s="1122">
        <v>0.3</v>
      </c>
      <c r="K234" s="1118">
        <f t="shared" si="14"/>
        <v>0</v>
      </c>
      <c r="L234" s="1030"/>
      <c r="M234" s="1030"/>
      <c r="N234" s="1030"/>
      <c r="O234" s="1030"/>
      <c r="P234" s="1030"/>
      <c r="Q234" s="1030"/>
      <c r="R234" s="1030"/>
      <c r="S234" s="1030"/>
      <c r="T234" s="1030"/>
      <c r="U234" s="1030"/>
      <c r="V234" s="1030"/>
      <c r="W234" s="1030"/>
      <c r="X234" s="1030"/>
      <c r="Y234" s="1030"/>
      <c r="Z234" s="1030"/>
    </row>
    <row r="235" spans="1:26" ht="12.75" customHeight="1">
      <c r="A235" s="1098">
        <f t="shared" si="12"/>
        <v>103</v>
      </c>
      <c r="B235" s="1051" t="s">
        <v>3428</v>
      </c>
      <c r="C235" s="1066" t="s">
        <v>3342</v>
      </c>
      <c r="D235" s="1113" t="s">
        <v>122</v>
      </c>
      <c r="E235" s="1136"/>
      <c r="F235" s="1073" t="s">
        <v>3414</v>
      </c>
      <c r="G235" s="1035" t="s">
        <v>3451</v>
      </c>
      <c r="H235" s="1114"/>
      <c r="I235" s="1114">
        <v>136</v>
      </c>
      <c r="J235" s="1122">
        <v>0.3</v>
      </c>
      <c r="K235" s="1118">
        <f t="shared" si="14"/>
        <v>40.799999999999997</v>
      </c>
      <c r="L235" s="1030"/>
      <c r="M235" s="1030"/>
      <c r="N235" s="1030"/>
      <c r="O235" s="1030"/>
      <c r="P235" s="1030"/>
      <c r="Q235" s="1030"/>
      <c r="R235" s="1030"/>
      <c r="S235" s="1030"/>
      <c r="T235" s="1030"/>
      <c r="U235" s="1030"/>
      <c r="V235" s="1030"/>
      <c r="W235" s="1030"/>
      <c r="X235" s="1030"/>
      <c r="Y235" s="1030"/>
      <c r="Z235" s="1030"/>
    </row>
    <row r="236" spans="1:26" ht="12.75" customHeight="1">
      <c r="A236" s="1098">
        <f t="shared" si="12"/>
        <v>104</v>
      </c>
      <c r="B236" s="1051" t="s">
        <v>3428</v>
      </c>
      <c r="C236" s="1066" t="s">
        <v>3342</v>
      </c>
      <c r="D236" s="1113" t="s">
        <v>122</v>
      </c>
      <c r="E236" s="1136"/>
      <c r="F236" s="1073" t="s">
        <v>3414</v>
      </c>
      <c r="G236" s="1035" t="s">
        <v>3452</v>
      </c>
      <c r="H236" s="1114"/>
      <c r="I236" s="1114">
        <v>244</v>
      </c>
      <c r="J236" s="1122">
        <v>0.3</v>
      </c>
      <c r="K236" s="1118">
        <f t="shared" si="14"/>
        <v>73.2</v>
      </c>
      <c r="L236" s="1030"/>
      <c r="M236" s="1030"/>
      <c r="N236" s="1030"/>
      <c r="O236" s="1030"/>
      <c r="P236" s="1030"/>
      <c r="Q236" s="1030"/>
      <c r="R236" s="1030"/>
      <c r="S236" s="1030"/>
      <c r="T236" s="1030"/>
      <c r="U236" s="1030"/>
      <c r="V236" s="1030"/>
      <c r="W236" s="1030"/>
      <c r="X236" s="1030"/>
      <c r="Y236" s="1030"/>
      <c r="Z236" s="1030"/>
    </row>
    <row r="237" spans="1:26" ht="12.75" customHeight="1">
      <c r="A237" s="1098">
        <f t="shared" si="12"/>
        <v>105</v>
      </c>
      <c r="B237" s="1051" t="s">
        <v>3428</v>
      </c>
      <c r="C237" s="1066" t="s">
        <v>3342</v>
      </c>
      <c r="D237" s="1113" t="s">
        <v>122</v>
      </c>
      <c r="E237" s="1136"/>
      <c r="F237" s="1073" t="s">
        <v>3414</v>
      </c>
      <c r="G237" s="1035" t="s">
        <v>3453</v>
      </c>
      <c r="H237" s="1114"/>
      <c r="I237" s="1114">
        <v>286</v>
      </c>
      <c r="J237" s="1122">
        <v>0.3</v>
      </c>
      <c r="K237" s="1118">
        <f t="shared" si="14"/>
        <v>85.8</v>
      </c>
      <c r="L237" s="1030"/>
      <c r="M237" s="1030"/>
      <c r="N237" s="1030"/>
      <c r="O237" s="1030"/>
      <c r="P237" s="1030"/>
      <c r="Q237" s="1030"/>
      <c r="R237" s="1030"/>
      <c r="S237" s="1030"/>
      <c r="T237" s="1030"/>
      <c r="U237" s="1030"/>
      <c r="V237" s="1030"/>
      <c r="W237" s="1030"/>
      <c r="X237" s="1030"/>
      <c r="Y237" s="1030"/>
      <c r="Z237" s="1030"/>
    </row>
    <row r="238" spans="1:26" ht="12.75" customHeight="1">
      <c r="A238" s="1098">
        <f t="shared" si="12"/>
        <v>106</v>
      </c>
      <c r="B238" s="1051" t="s">
        <v>3428</v>
      </c>
      <c r="C238" s="1066" t="s">
        <v>3342</v>
      </c>
      <c r="D238" s="1113" t="s">
        <v>122</v>
      </c>
      <c r="E238" s="1136"/>
      <c r="F238" s="1073" t="s">
        <v>3414</v>
      </c>
      <c r="G238" s="1035" t="s">
        <v>3454</v>
      </c>
      <c r="H238" s="1114"/>
      <c r="I238" s="1114">
        <v>100</v>
      </c>
      <c r="J238" s="1122">
        <v>0.3</v>
      </c>
      <c r="K238" s="1118">
        <f t="shared" si="14"/>
        <v>30</v>
      </c>
      <c r="L238" s="1030"/>
      <c r="M238" s="1030"/>
      <c r="N238" s="1030"/>
      <c r="O238" s="1030"/>
      <c r="P238" s="1030"/>
      <c r="Q238" s="1030"/>
      <c r="R238" s="1030"/>
      <c r="S238" s="1030"/>
      <c r="T238" s="1030"/>
      <c r="U238" s="1030"/>
      <c r="V238" s="1030"/>
      <c r="W238" s="1030"/>
      <c r="X238" s="1030"/>
      <c r="Y238" s="1030"/>
      <c r="Z238" s="1030"/>
    </row>
    <row r="239" spans="1:26" ht="12.75" customHeight="1">
      <c r="A239" s="1098">
        <f t="shared" si="12"/>
        <v>107</v>
      </c>
      <c r="B239" s="1051" t="s">
        <v>3428</v>
      </c>
      <c r="C239" s="1066" t="s">
        <v>3342</v>
      </c>
      <c r="D239" s="1113" t="s">
        <v>122</v>
      </c>
      <c r="E239" s="1136"/>
      <c r="F239" s="1073" t="s">
        <v>3414</v>
      </c>
      <c r="G239" s="1035" t="s">
        <v>3525</v>
      </c>
      <c r="H239" s="1114"/>
      <c r="I239" s="1114">
        <v>470</v>
      </c>
      <c r="J239" s="1122">
        <v>0.3</v>
      </c>
      <c r="K239" s="1118">
        <f t="shared" si="14"/>
        <v>141</v>
      </c>
      <c r="L239" s="1030"/>
      <c r="M239" s="1030"/>
      <c r="N239" s="1030"/>
      <c r="O239" s="1030"/>
      <c r="P239" s="1030"/>
      <c r="Q239" s="1030"/>
      <c r="R239" s="1030"/>
      <c r="S239" s="1030"/>
      <c r="T239" s="1030"/>
      <c r="U239" s="1030"/>
      <c r="V239" s="1030"/>
      <c r="W239" s="1030"/>
      <c r="X239" s="1030"/>
      <c r="Y239" s="1030"/>
      <c r="Z239" s="1030"/>
    </row>
    <row r="240" spans="1:26" ht="12.75" customHeight="1">
      <c r="A240" s="1098">
        <f t="shared" si="12"/>
        <v>108</v>
      </c>
      <c r="B240" s="1051" t="s">
        <v>3428</v>
      </c>
      <c r="C240" s="1066" t="s">
        <v>3342</v>
      </c>
      <c r="D240" s="1113" t="s">
        <v>122</v>
      </c>
      <c r="E240" s="1136"/>
      <c r="F240" s="1073" t="s">
        <v>3414</v>
      </c>
      <c r="G240" s="1035" t="s">
        <v>3455</v>
      </c>
      <c r="H240" s="1114"/>
      <c r="I240" s="1114">
        <v>448</v>
      </c>
      <c r="J240" s="1122">
        <v>0.3</v>
      </c>
      <c r="K240" s="1118">
        <f t="shared" si="14"/>
        <v>134.4</v>
      </c>
      <c r="L240" s="1030"/>
      <c r="M240" s="1030"/>
      <c r="N240" s="1030"/>
      <c r="O240" s="1030"/>
      <c r="P240" s="1030"/>
      <c r="Q240" s="1030"/>
      <c r="R240" s="1030"/>
      <c r="S240" s="1030"/>
      <c r="T240" s="1030"/>
      <c r="U240" s="1030"/>
      <c r="V240" s="1030"/>
      <c r="W240" s="1030"/>
      <c r="X240" s="1030"/>
      <c r="Y240" s="1030"/>
      <c r="Z240" s="1030"/>
    </row>
    <row r="241" spans="1:26" ht="12.75" customHeight="1">
      <c r="A241" s="1098">
        <f t="shared" si="12"/>
        <v>109</v>
      </c>
      <c r="B241" s="1051" t="s">
        <v>3428</v>
      </c>
      <c r="C241" s="1066" t="s">
        <v>3342</v>
      </c>
      <c r="D241" s="1113" t="s">
        <v>122</v>
      </c>
      <c r="E241" s="1136"/>
      <c r="F241" s="1073" t="s">
        <v>3414</v>
      </c>
      <c r="G241" s="1035" t="s">
        <v>3456</v>
      </c>
      <c r="H241" s="1114"/>
      <c r="I241" s="1114">
        <v>340</v>
      </c>
      <c r="J241" s="1122">
        <v>0.3</v>
      </c>
      <c r="K241" s="1118">
        <f t="shared" si="14"/>
        <v>102</v>
      </c>
      <c r="L241" s="1030"/>
      <c r="M241" s="1030"/>
      <c r="N241" s="1030"/>
      <c r="O241" s="1030"/>
      <c r="P241" s="1030"/>
      <c r="Q241" s="1030"/>
      <c r="R241" s="1030"/>
      <c r="S241" s="1030"/>
      <c r="T241" s="1030"/>
      <c r="U241" s="1030"/>
      <c r="V241" s="1030"/>
      <c r="W241" s="1030"/>
      <c r="X241" s="1030"/>
      <c r="Y241" s="1030"/>
      <c r="Z241" s="1030"/>
    </row>
    <row r="242" spans="1:26" ht="12.75" customHeight="1">
      <c r="A242" s="1098">
        <f t="shared" si="12"/>
        <v>110</v>
      </c>
      <c r="B242" s="1051" t="s">
        <v>3428</v>
      </c>
      <c r="C242" s="1066" t="s">
        <v>3342</v>
      </c>
      <c r="D242" s="1113" t="s">
        <v>122</v>
      </c>
      <c r="E242" s="1136"/>
      <c r="F242" s="1073" t="s">
        <v>3414</v>
      </c>
      <c r="G242" s="1035" t="s">
        <v>3457</v>
      </c>
      <c r="H242" s="1114"/>
      <c r="I242" s="1114">
        <v>578</v>
      </c>
      <c r="J242" s="1122">
        <v>0.3</v>
      </c>
      <c r="K242" s="1118">
        <f t="shared" si="14"/>
        <v>173.4</v>
      </c>
      <c r="L242" s="1030"/>
      <c r="M242" s="1030"/>
      <c r="N242" s="1030"/>
      <c r="O242" s="1030"/>
      <c r="P242" s="1030"/>
      <c r="Q242" s="1030"/>
      <c r="R242" s="1030"/>
      <c r="S242" s="1030"/>
      <c r="T242" s="1030"/>
      <c r="U242" s="1030"/>
      <c r="V242" s="1030"/>
      <c r="W242" s="1030"/>
      <c r="X242" s="1030"/>
      <c r="Y242" s="1030"/>
      <c r="Z242" s="1030"/>
    </row>
    <row r="243" spans="1:26" ht="12.75" customHeight="1">
      <c r="A243" s="1098">
        <f t="shared" si="12"/>
        <v>111</v>
      </c>
      <c r="B243" s="1051" t="s">
        <v>3428</v>
      </c>
      <c r="C243" s="1066" t="s">
        <v>3342</v>
      </c>
      <c r="D243" s="1113" t="s">
        <v>122</v>
      </c>
      <c r="E243" s="1136"/>
      <c r="F243" s="1073" t="s">
        <v>3414</v>
      </c>
      <c r="G243" s="1035" t="s">
        <v>3458</v>
      </c>
      <c r="H243" s="1114" t="s">
        <v>3459</v>
      </c>
      <c r="I243" s="1114"/>
      <c r="J243" s="1122"/>
      <c r="K243" s="1118">
        <v>81.510000000000005</v>
      </c>
      <c r="L243" s="1030"/>
      <c r="M243" s="1030"/>
      <c r="N243" s="1030"/>
      <c r="O243" s="1030"/>
      <c r="P243" s="1030"/>
      <c r="Q243" s="1030"/>
      <c r="R243" s="1030"/>
      <c r="S243" s="1030"/>
      <c r="T243" s="1030"/>
      <c r="U243" s="1030"/>
      <c r="V243" s="1030"/>
      <c r="W243" s="1030"/>
      <c r="X243" s="1030"/>
      <c r="Y243" s="1030"/>
      <c r="Z243" s="1030"/>
    </row>
    <row r="244" spans="1:26" ht="12.75" customHeight="1">
      <c r="A244" s="1098">
        <f t="shared" si="12"/>
        <v>112</v>
      </c>
      <c r="B244" s="1051" t="s">
        <v>3428</v>
      </c>
      <c r="C244" s="1066" t="s">
        <v>3342</v>
      </c>
      <c r="D244" s="1113" t="s">
        <v>122</v>
      </c>
      <c r="E244" s="1136"/>
      <c r="F244" s="1073" t="s">
        <v>3414</v>
      </c>
      <c r="G244" s="1035" t="s">
        <v>3460</v>
      </c>
      <c r="H244" s="1114" t="s">
        <v>3461</v>
      </c>
      <c r="I244" s="1114"/>
      <c r="J244" s="1122"/>
      <c r="K244" s="1118">
        <v>241.5</v>
      </c>
      <c r="L244" s="1030"/>
      <c r="M244" s="1030"/>
      <c r="N244" s="1030"/>
      <c r="O244" s="1030"/>
      <c r="P244" s="1030"/>
      <c r="Q244" s="1030"/>
      <c r="R244" s="1030"/>
      <c r="S244" s="1030"/>
      <c r="T244" s="1030"/>
      <c r="U244" s="1030"/>
      <c r="V244" s="1030"/>
      <c r="W244" s="1030"/>
      <c r="X244" s="1030"/>
      <c r="Y244" s="1030"/>
      <c r="Z244" s="1030"/>
    </row>
    <row r="245" spans="1:26" ht="63.75" customHeight="1">
      <c r="A245" s="1098">
        <f t="shared" si="12"/>
        <v>113</v>
      </c>
      <c r="B245" s="1051" t="s">
        <v>3466</v>
      </c>
      <c r="C245" s="1066" t="s">
        <v>3342</v>
      </c>
      <c r="D245" s="1113" t="s">
        <v>122</v>
      </c>
      <c r="E245" s="1136"/>
      <c r="F245" s="1073" t="s">
        <v>3414</v>
      </c>
      <c r="G245" s="1035" t="s">
        <v>3526</v>
      </c>
      <c r="H245" s="1163" t="s">
        <v>3600</v>
      </c>
      <c r="I245" s="1163" t="s">
        <v>3528</v>
      </c>
      <c r="J245" s="1122"/>
      <c r="K245" s="1118">
        <f>6656+73.5+2527.27+2269.09+27.27+2.7+572.73</f>
        <v>12128.560000000001</v>
      </c>
      <c r="L245" s="1134"/>
      <c r="M245" s="1030"/>
      <c r="N245" s="1030"/>
      <c r="O245" s="1030"/>
      <c r="P245" s="1030"/>
      <c r="Q245" s="1030"/>
      <c r="R245" s="1030"/>
      <c r="S245" s="1030"/>
      <c r="T245" s="1030"/>
      <c r="U245" s="1030"/>
      <c r="V245" s="1030"/>
      <c r="W245" s="1030"/>
      <c r="X245" s="1030"/>
      <c r="Y245" s="1030"/>
      <c r="Z245" s="1030"/>
    </row>
    <row r="246" spans="1:26" ht="12.75" customHeight="1">
      <c r="A246" s="1098">
        <f t="shared" si="12"/>
        <v>114</v>
      </c>
      <c r="B246" s="1051" t="s">
        <v>3473</v>
      </c>
      <c r="C246" s="1066" t="s">
        <v>3342</v>
      </c>
      <c r="D246" s="1113" t="s">
        <v>122</v>
      </c>
      <c r="E246" s="1136"/>
      <c r="F246" s="1073" t="s">
        <v>3414</v>
      </c>
      <c r="G246" s="1035" t="s">
        <v>3601</v>
      </c>
      <c r="H246" s="1114" t="s">
        <v>3602</v>
      </c>
      <c r="I246" s="1114"/>
      <c r="J246" s="1122"/>
      <c r="K246" s="1118">
        <v>8.65</v>
      </c>
      <c r="L246" s="1134"/>
      <c r="M246" s="1030"/>
      <c r="N246" s="1030"/>
      <c r="O246" s="1030"/>
      <c r="P246" s="1030"/>
      <c r="Q246" s="1030"/>
      <c r="R246" s="1030"/>
      <c r="S246" s="1030"/>
      <c r="T246" s="1030"/>
      <c r="U246" s="1030"/>
      <c r="V246" s="1030"/>
      <c r="W246" s="1030"/>
      <c r="X246" s="1030"/>
      <c r="Y246" s="1030"/>
      <c r="Z246" s="1030"/>
    </row>
    <row r="247" spans="1:26" ht="25.5">
      <c r="A247" s="1098">
        <f t="shared" si="12"/>
        <v>115</v>
      </c>
      <c r="B247" s="1051" t="s">
        <v>3470</v>
      </c>
      <c r="C247" s="1066" t="s">
        <v>3342</v>
      </c>
      <c r="D247" s="1113" t="s">
        <v>122</v>
      </c>
      <c r="E247" s="1136"/>
      <c r="F247" s="1073" t="s">
        <v>3414</v>
      </c>
      <c r="G247" s="1035" t="s">
        <v>3531</v>
      </c>
      <c r="H247" s="1114" t="s">
        <v>3532</v>
      </c>
      <c r="I247" s="1114"/>
      <c r="J247" s="1122"/>
      <c r="K247" s="1118">
        <f>1650</f>
        <v>1650</v>
      </c>
      <c r="L247" s="1103"/>
      <c r="M247" s="1103"/>
      <c r="N247" s="1103"/>
      <c r="O247" s="1103"/>
      <c r="P247" s="1103"/>
      <c r="Q247" s="1103"/>
      <c r="R247" s="1103"/>
      <c r="S247" s="1103"/>
      <c r="T247" s="1103"/>
      <c r="U247" s="1103"/>
      <c r="V247" s="1103"/>
      <c r="W247" s="1103"/>
      <c r="X247" s="1103"/>
      <c r="Y247" s="1103"/>
      <c r="Z247" s="1103"/>
    </row>
    <row r="248" spans="1:26" ht="36" customHeight="1">
      <c r="A248" s="1098">
        <f t="shared" si="12"/>
        <v>116</v>
      </c>
      <c r="B248" s="1051" t="s">
        <v>3485</v>
      </c>
      <c r="C248" s="1066" t="s">
        <v>3342</v>
      </c>
      <c r="D248" s="1113" t="s">
        <v>122</v>
      </c>
      <c r="E248" s="1136"/>
      <c r="F248" s="1073" t="s">
        <v>3414</v>
      </c>
      <c r="G248" s="1035" t="s">
        <v>3510</v>
      </c>
      <c r="H248" s="1114" t="s">
        <v>3603</v>
      </c>
      <c r="I248" s="1114" t="s">
        <v>3604</v>
      </c>
      <c r="J248" s="1122"/>
      <c r="K248" s="1118">
        <v>45</v>
      </c>
      <c r="L248" s="1134"/>
      <c r="M248" s="1030"/>
      <c r="N248" s="1030"/>
      <c r="O248" s="1030"/>
      <c r="P248" s="1030"/>
      <c r="Q248" s="1030"/>
      <c r="R248" s="1030"/>
      <c r="S248" s="1030"/>
      <c r="T248" s="1030"/>
      <c r="U248" s="1030"/>
      <c r="V248" s="1030"/>
      <c r="W248" s="1030"/>
      <c r="X248" s="1030"/>
      <c r="Y248" s="1030"/>
      <c r="Z248" s="1030"/>
    </row>
    <row r="249" spans="1:26" ht="25.5">
      <c r="A249" s="1098">
        <f t="shared" si="12"/>
        <v>117</v>
      </c>
      <c r="B249" s="1051" t="s">
        <v>3473</v>
      </c>
      <c r="C249" s="1066" t="s">
        <v>3342</v>
      </c>
      <c r="D249" s="1113" t="s">
        <v>122</v>
      </c>
      <c r="E249" s="1136"/>
      <c r="F249" s="1073" t="s">
        <v>3414</v>
      </c>
      <c r="G249" s="1035" t="s">
        <v>3588</v>
      </c>
      <c r="H249" s="1114" t="s">
        <v>3589</v>
      </c>
      <c r="I249" s="1114"/>
      <c r="J249" s="1122"/>
      <c r="K249" s="1118"/>
      <c r="L249" s="1134"/>
      <c r="M249" s="1030"/>
      <c r="N249" s="1030"/>
      <c r="O249" s="1030"/>
      <c r="P249" s="1030"/>
      <c r="Q249" s="1030"/>
      <c r="R249" s="1030"/>
      <c r="S249" s="1030"/>
      <c r="T249" s="1030"/>
      <c r="U249" s="1030"/>
      <c r="V249" s="1030"/>
      <c r="W249" s="1030"/>
      <c r="X249" s="1030"/>
      <c r="Y249" s="1030"/>
      <c r="Z249" s="1030"/>
    </row>
    <row r="250" spans="1:26" ht="36" customHeight="1">
      <c r="A250" s="1098">
        <f t="shared" si="12"/>
        <v>118</v>
      </c>
      <c r="B250" s="1051" t="s">
        <v>3473</v>
      </c>
      <c r="C250" s="1112" t="s">
        <v>3342</v>
      </c>
      <c r="D250" s="1113" t="s">
        <v>122</v>
      </c>
      <c r="E250" s="1114"/>
      <c r="F250" s="1073" t="s">
        <v>3414</v>
      </c>
      <c r="G250" s="1035" t="s">
        <v>3474</v>
      </c>
      <c r="H250" s="1114" t="s">
        <v>3605</v>
      </c>
      <c r="I250" s="1114"/>
      <c r="J250" s="1122"/>
      <c r="K250" s="1118">
        <v>1974.55</v>
      </c>
      <c r="L250" s="1134"/>
      <c r="M250" s="1030"/>
      <c r="N250" s="1030"/>
      <c r="O250" s="1030"/>
      <c r="P250" s="1030"/>
      <c r="Q250" s="1030"/>
      <c r="R250" s="1030"/>
      <c r="S250" s="1030"/>
      <c r="T250" s="1030"/>
      <c r="U250" s="1030"/>
      <c r="V250" s="1030"/>
      <c r="W250" s="1030"/>
      <c r="X250" s="1030"/>
      <c r="Y250" s="1030"/>
      <c r="Z250" s="1030"/>
    </row>
    <row r="251" spans="1:26" ht="25.5">
      <c r="A251" s="1098">
        <f t="shared" si="12"/>
        <v>119</v>
      </c>
      <c r="B251" s="1051" t="s">
        <v>3473</v>
      </c>
      <c r="C251" s="1112" t="s">
        <v>3342</v>
      </c>
      <c r="D251" s="1113" t="s">
        <v>122</v>
      </c>
      <c r="E251" s="1114"/>
      <c r="F251" s="1073" t="s">
        <v>3414</v>
      </c>
      <c r="G251" s="1035" t="s">
        <v>3479</v>
      </c>
      <c r="H251" s="1114" t="s">
        <v>3593</v>
      </c>
      <c r="I251" s="1114"/>
      <c r="J251" s="1122"/>
      <c r="K251" s="1118">
        <f>1712.44/2</f>
        <v>856.22</v>
      </c>
      <c r="L251" s="1134"/>
      <c r="M251" s="1030"/>
      <c r="N251" s="1030"/>
      <c r="O251" s="1030"/>
      <c r="P251" s="1030"/>
      <c r="Q251" s="1030"/>
      <c r="R251" s="1030"/>
      <c r="S251" s="1030"/>
      <c r="T251" s="1030"/>
      <c r="U251" s="1030"/>
      <c r="V251" s="1030"/>
      <c r="W251" s="1030"/>
      <c r="X251" s="1030"/>
      <c r="Y251" s="1030"/>
      <c r="Z251" s="1030"/>
    </row>
    <row r="252" spans="1:26" ht="13.5" customHeight="1">
      <c r="A252" s="1098">
        <f t="shared" si="12"/>
        <v>120</v>
      </c>
      <c r="B252" s="1051" t="s">
        <v>3462</v>
      </c>
      <c r="C252" s="1066" t="s">
        <v>3342</v>
      </c>
      <c r="D252" s="1113" t="s">
        <v>122</v>
      </c>
      <c r="E252" s="1136"/>
      <c r="F252" s="1073" t="s">
        <v>3414</v>
      </c>
      <c r="G252" s="1035" t="s">
        <v>3535</v>
      </c>
      <c r="H252" s="1137" t="s">
        <v>3606</v>
      </c>
      <c r="I252" s="1137" t="s">
        <v>3607</v>
      </c>
      <c r="J252" s="1139"/>
      <c r="K252" s="1118">
        <f>(7854/3)/200*168</f>
        <v>2199.12</v>
      </c>
      <c r="L252" s="1039"/>
      <c r="M252" s="1039"/>
      <c r="N252" s="1039"/>
      <c r="O252" s="1039"/>
      <c r="P252" s="1039"/>
      <c r="Q252" s="1039"/>
      <c r="R252" s="1039"/>
      <c r="S252" s="1039"/>
      <c r="T252" s="1039"/>
      <c r="U252" s="1039"/>
      <c r="V252" s="1039"/>
      <c r="W252" s="1039"/>
      <c r="X252" s="1039"/>
      <c r="Y252" s="1039"/>
      <c r="Z252" s="1039"/>
    </row>
    <row r="253" spans="1:26" ht="25.5" customHeight="1">
      <c r="A253" s="1098">
        <f t="shared" si="12"/>
        <v>121</v>
      </c>
      <c r="B253" s="1051" t="s">
        <v>3485</v>
      </c>
      <c r="C253" s="1066" t="s">
        <v>3342</v>
      </c>
      <c r="D253" s="1113" t="s">
        <v>122</v>
      </c>
      <c r="E253" s="1136"/>
      <c r="F253" s="1073" t="s">
        <v>3414</v>
      </c>
      <c r="G253" s="1035" t="s">
        <v>3495</v>
      </c>
      <c r="H253" s="1114" t="s">
        <v>3494</v>
      </c>
      <c r="I253" s="1114" t="s">
        <v>3608</v>
      </c>
      <c r="J253" s="1122"/>
      <c r="K253" s="1118">
        <f>3.7*2+16.86</f>
        <v>24.259999999999998</v>
      </c>
      <c r="L253" s="1039"/>
      <c r="M253" s="1039"/>
      <c r="N253" s="1039"/>
      <c r="O253" s="1039"/>
      <c r="P253" s="1039"/>
      <c r="Q253" s="1039"/>
      <c r="R253" s="1039"/>
      <c r="S253" s="1039"/>
      <c r="T253" s="1039"/>
      <c r="U253" s="1039"/>
      <c r="V253" s="1039"/>
      <c r="W253" s="1039"/>
      <c r="X253" s="1039"/>
      <c r="Y253" s="1039"/>
      <c r="Z253" s="1039"/>
    </row>
    <row r="254" spans="1:26" ht="12.75" customHeight="1">
      <c r="A254" s="1098">
        <f t="shared" si="12"/>
        <v>122</v>
      </c>
      <c r="B254" s="1051" t="s">
        <v>3485</v>
      </c>
      <c r="C254" s="1066" t="s">
        <v>3342</v>
      </c>
      <c r="D254" s="1113" t="s">
        <v>122</v>
      </c>
      <c r="E254" s="1136"/>
      <c r="F254" s="1073" t="s">
        <v>3414</v>
      </c>
      <c r="G254" s="1035" t="s">
        <v>3609</v>
      </c>
      <c r="H254" s="1114" t="s">
        <v>3610</v>
      </c>
      <c r="I254" s="1114"/>
      <c r="J254" s="1122"/>
      <c r="K254" s="1118">
        <f>764.69/2</f>
        <v>382.34500000000003</v>
      </c>
      <c r="L254" s="1039"/>
      <c r="M254" s="1039"/>
      <c r="N254" s="1039"/>
      <c r="O254" s="1039"/>
      <c r="P254" s="1039"/>
      <c r="Q254" s="1039"/>
      <c r="R254" s="1039"/>
      <c r="S254" s="1039"/>
      <c r="T254" s="1039"/>
      <c r="U254" s="1039"/>
      <c r="V254" s="1039"/>
      <c r="W254" s="1039"/>
      <c r="X254" s="1039"/>
      <c r="Y254" s="1039"/>
      <c r="Z254" s="1039"/>
    </row>
    <row r="255" spans="1:26" ht="12.75" customHeight="1" outlineLevel="1">
      <c r="A255" s="1098">
        <f t="shared" si="12"/>
        <v>123</v>
      </c>
      <c r="B255" s="1051" t="s">
        <v>3428</v>
      </c>
      <c r="C255" s="1066" t="s">
        <v>3342</v>
      </c>
      <c r="D255" s="1113" t="s">
        <v>122</v>
      </c>
      <c r="E255" s="1152"/>
      <c r="F255" s="1073" t="s">
        <v>3564</v>
      </c>
      <c r="G255" s="1035" t="s">
        <v>3429</v>
      </c>
      <c r="H255" s="1114"/>
      <c r="I255" s="1114">
        <v>120</v>
      </c>
      <c r="J255" s="1122">
        <v>0.3</v>
      </c>
      <c r="K255" s="1118">
        <f t="shared" ref="K255:K281" si="15">I255*J255</f>
        <v>36</v>
      </c>
      <c r="L255" s="1039"/>
      <c r="M255" s="1039"/>
      <c r="N255" s="1039"/>
      <c r="O255" s="1039"/>
      <c r="P255" s="1039"/>
      <c r="Q255" s="1039"/>
      <c r="R255" s="1039"/>
      <c r="S255" s="1039"/>
      <c r="T255" s="1039"/>
      <c r="U255" s="1039"/>
      <c r="V255" s="1039"/>
      <c r="W255" s="1039"/>
      <c r="X255" s="1039"/>
      <c r="Y255" s="1039"/>
      <c r="Z255" s="1039"/>
    </row>
    <row r="256" spans="1:26" ht="12.75" customHeight="1" outlineLevel="1">
      <c r="A256" s="1098">
        <f t="shared" si="12"/>
        <v>124</v>
      </c>
      <c r="B256" s="1051" t="s">
        <v>3428</v>
      </c>
      <c r="C256" s="1066" t="s">
        <v>3342</v>
      </c>
      <c r="D256" s="1113" t="s">
        <v>122</v>
      </c>
      <c r="E256" s="1152"/>
      <c r="F256" s="1073" t="s">
        <v>3564</v>
      </c>
      <c r="G256" s="1035" t="s">
        <v>3431</v>
      </c>
      <c r="H256" s="1114"/>
      <c r="I256" s="1114">
        <v>206</v>
      </c>
      <c r="J256" s="1122">
        <v>0.3</v>
      </c>
      <c r="K256" s="1118">
        <f t="shared" si="15"/>
        <v>61.8</v>
      </c>
      <c r="L256" s="1039"/>
      <c r="M256" s="1039"/>
      <c r="N256" s="1039"/>
      <c r="O256" s="1039"/>
      <c r="P256" s="1039"/>
      <c r="Q256" s="1039"/>
      <c r="R256" s="1039"/>
      <c r="S256" s="1039"/>
      <c r="T256" s="1039"/>
      <c r="U256" s="1039"/>
      <c r="V256" s="1039"/>
      <c r="W256" s="1039"/>
      <c r="X256" s="1039"/>
      <c r="Y256" s="1039"/>
      <c r="Z256" s="1039"/>
    </row>
    <row r="257" spans="1:26" ht="12.75" customHeight="1" outlineLevel="1">
      <c r="A257" s="1098">
        <f t="shared" si="12"/>
        <v>125</v>
      </c>
      <c r="B257" s="1051" t="s">
        <v>3428</v>
      </c>
      <c r="C257" s="1066" t="s">
        <v>3342</v>
      </c>
      <c r="D257" s="1113" t="s">
        <v>122</v>
      </c>
      <c r="E257" s="1152"/>
      <c r="F257" s="1073" t="s">
        <v>3564</v>
      </c>
      <c r="G257" s="1035" t="s">
        <v>3433</v>
      </c>
      <c r="H257" s="1114"/>
      <c r="I257" s="1114">
        <f>179*2</f>
        <v>358</v>
      </c>
      <c r="J257" s="1122">
        <v>0.3</v>
      </c>
      <c r="K257" s="1118">
        <f t="shared" si="15"/>
        <v>107.39999999999999</v>
      </c>
      <c r="L257" s="1039"/>
      <c r="M257" s="1039"/>
      <c r="N257" s="1039"/>
      <c r="O257" s="1039"/>
      <c r="P257" s="1039"/>
      <c r="Q257" s="1039"/>
      <c r="R257" s="1039"/>
      <c r="S257" s="1039"/>
      <c r="T257" s="1039"/>
      <c r="U257" s="1039"/>
      <c r="V257" s="1039"/>
      <c r="W257" s="1039"/>
      <c r="X257" s="1039"/>
      <c r="Y257" s="1039"/>
      <c r="Z257" s="1039"/>
    </row>
    <row r="258" spans="1:26" ht="12.75" customHeight="1" outlineLevel="1">
      <c r="A258" s="1098">
        <f t="shared" si="12"/>
        <v>126</v>
      </c>
      <c r="B258" s="1051" t="s">
        <v>3428</v>
      </c>
      <c r="C258" s="1066" t="s">
        <v>3342</v>
      </c>
      <c r="D258" s="1113" t="s">
        <v>122</v>
      </c>
      <c r="E258" s="1153"/>
      <c r="F258" s="1073" t="s">
        <v>3564</v>
      </c>
      <c r="G258" s="1035" t="s">
        <v>3436</v>
      </c>
      <c r="H258" s="1114"/>
      <c r="I258" s="1114">
        <v>210</v>
      </c>
      <c r="J258" s="1122">
        <v>0.3</v>
      </c>
      <c r="K258" s="1118">
        <f t="shared" si="15"/>
        <v>63</v>
      </c>
      <c r="L258" s="1039"/>
      <c r="M258" s="1039"/>
      <c r="N258" s="1039"/>
      <c r="O258" s="1039"/>
      <c r="P258" s="1039"/>
      <c r="Q258" s="1039"/>
      <c r="R258" s="1039"/>
      <c r="S258" s="1039"/>
      <c r="T258" s="1039"/>
      <c r="U258" s="1039"/>
      <c r="V258" s="1039"/>
      <c r="W258" s="1039"/>
      <c r="X258" s="1039"/>
      <c r="Y258" s="1039"/>
      <c r="Z258" s="1039"/>
    </row>
    <row r="259" spans="1:26" ht="12.75" customHeight="1" outlineLevel="1">
      <c r="A259" s="1098">
        <f t="shared" si="12"/>
        <v>127</v>
      </c>
      <c r="B259" s="1051" t="s">
        <v>3428</v>
      </c>
      <c r="C259" s="1066" t="s">
        <v>3342</v>
      </c>
      <c r="D259" s="1113" t="s">
        <v>122</v>
      </c>
      <c r="E259" s="1153"/>
      <c r="F259" s="1073" t="s">
        <v>3564</v>
      </c>
      <c r="G259" s="1035" t="s">
        <v>3522</v>
      </c>
      <c r="H259" s="1114"/>
      <c r="I259" s="1114">
        <v>0</v>
      </c>
      <c r="J259" s="1122">
        <v>0.3</v>
      </c>
      <c r="K259" s="1118">
        <f t="shared" si="15"/>
        <v>0</v>
      </c>
      <c r="L259" s="1039"/>
      <c r="M259" s="1039"/>
      <c r="N259" s="1039"/>
      <c r="O259" s="1039"/>
      <c r="P259" s="1039"/>
      <c r="Q259" s="1039"/>
      <c r="R259" s="1039"/>
      <c r="S259" s="1039"/>
      <c r="T259" s="1039"/>
      <c r="U259" s="1039"/>
      <c r="V259" s="1039"/>
      <c r="W259" s="1039"/>
      <c r="X259" s="1039"/>
      <c r="Y259" s="1039"/>
      <c r="Z259" s="1039"/>
    </row>
    <row r="260" spans="1:26" ht="12.75" customHeight="1" outlineLevel="1">
      <c r="A260" s="1098">
        <f t="shared" si="12"/>
        <v>128</v>
      </c>
      <c r="B260" s="1051" t="s">
        <v>3428</v>
      </c>
      <c r="C260" s="1066" t="s">
        <v>3342</v>
      </c>
      <c r="D260" s="1113" t="s">
        <v>122</v>
      </c>
      <c r="E260" s="1152"/>
      <c r="F260" s="1073" t="s">
        <v>3564</v>
      </c>
      <c r="G260" s="1035" t="s">
        <v>3523</v>
      </c>
      <c r="H260" s="1114"/>
      <c r="I260" s="1114">
        <v>500</v>
      </c>
      <c r="J260" s="1122">
        <v>0.3</v>
      </c>
      <c r="K260" s="1118">
        <f t="shared" si="15"/>
        <v>150</v>
      </c>
      <c r="L260" s="1039"/>
      <c r="M260" s="1039"/>
      <c r="N260" s="1039"/>
      <c r="O260" s="1039"/>
      <c r="P260" s="1039"/>
      <c r="Q260" s="1039"/>
      <c r="R260" s="1039"/>
      <c r="S260" s="1039"/>
      <c r="T260" s="1039"/>
      <c r="U260" s="1039"/>
      <c r="V260" s="1039"/>
      <c r="W260" s="1039"/>
      <c r="X260" s="1039"/>
      <c r="Y260" s="1039"/>
      <c r="Z260" s="1039"/>
    </row>
    <row r="261" spans="1:26" ht="12.75" customHeight="1" outlineLevel="1">
      <c r="A261" s="1098">
        <f t="shared" si="12"/>
        <v>129</v>
      </c>
      <c r="B261" s="1051" t="s">
        <v>3428</v>
      </c>
      <c r="C261" s="1066" t="s">
        <v>3342</v>
      </c>
      <c r="D261" s="1113" t="s">
        <v>122</v>
      </c>
      <c r="E261" s="1152"/>
      <c r="F261" s="1073" t="s">
        <v>3564</v>
      </c>
      <c r="G261" s="1035" t="s">
        <v>3439</v>
      </c>
      <c r="H261" s="1114"/>
      <c r="I261" s="1114">
        <v>400</v>
      </c>
      <c r="J261" s="1122">
        <v>0.3</v>
      </c>
      <c r="K261" s="1118">
        <f t="shared" si="15"/>
        <v>120</v>
      </c>
      <c r="L261" s="1039"/>
      <c r="M261" s="1039"/>
      <c r="N261" s="1039"/>
      <c r="O261" s="1039"/>
      <c r="P261" s="1039"/>
      <c r="Q261" s="1039"/>
      <c r="R261" s="1039"/>
      <c r="S261" s="1039"/>
      <c r="T261" s="1039"/>
      <c r="U261" s="1039"/>
      <c r="V261" s="1039"/>
      <c r="W261" s="1039"/>
      <c r="X261" s="1039"/>
      <c r="Y261" s="1039"/>
      <c r="Z261" s="1039"/>
    </row>
    <row r="262" spans="1:26" ht="12.75" customHeight="1" outlineLevel="1">
      <c r="A262" s="1098">
        <f t="shared" si="12"/>
        <v>130</v>
      </c>
      <c r="B262" s="1051" t="s">
        <v>3428</v>
      </c>
      <c r="C262" s="1066" t="s">
        <v>3342</v>
      </c>
      <c r="D262" s="1113" t="s">
        <v>122</v>
      </c>
      <c r="E262" s="1152"/>
      <c r="F262" s="1073" t="s">
        <v>3564</v>
      </c>
      <c r="G262" s="1035" t="s">
        <v>3440</v>
      </c>
      <c r="H262" s="1114"/>
      <c r="I262" s="1114">
        <v>96</v>
      </c>
      <c r="J262" s="1122">
        <v>0.3</v>
      </c>
      <c r="K262" s="1118">
        <f t="shared" si="15"/>
        <v>28.799999999999997</v>
      </c>
      <c r="L262" s="1039"/>
      <c r="M262" s="1039"/>
      <c r="N262" s="1039"/>
      <c r="O262" s="1039"/>
      <c r="P262" s="1039"/>
      <c r="Q262" s="1039"/>
      <c r="R262" s="1039"/>
      <c r="S262" s="1039"/>
      <c r="T262" s="1039"/>
      <c r="U262" s="1039"/>
      <c r="V262" s="1039"/>
      <c r="W262" s="1039"/>
      <c r="X262" s="1039"/>
      <c r="Y262" s="1039"/>
      <c r="Z262" s="1039"/>
    </row>
    <row r="263" spans="1:26" ht="12.75" customHeight="1" outlineLevel="1">
      <c r="A263" s="1098">
        <f t="shared" si="12"/>
        <v>131</v>
      </c>
      <c r="B263" s="1051" t="s">
        <v>3428</v>
      </c>
      <c r="C263" s="1066" t="s">
        <v>3342</v>
      </c>
      <c r="D263" s="1113" t="s">
        <v>122</v>
      </c>
      <c r="E263" s="1152"/>
      <c r="F263" s="1073" t="s">
        <v>3564</v>
      </c>
      <c r="G263" s="1035" t="s">
        <v>3441</v>
      </c>
      <c r="H263" s="1114"/>
      <c r="I263" s="1114">
        <f>170*2</f>
        <v>340</v>
      </c>
      <c r="J263" s="1122">
        <v>0.3</v>
      </c>
      <c r="K263" s="1118">
        <f t="shared" si="15"/>
        <v>102</v>
      </c>
      <c r="L263" s="1039"/>
      <c r="M263" s="1039"/>
      <c r="N263" s="1039"/>
      <c r="O263" s="1039"/>
      <c r="P263" s="1039"/>
      <c r="Q263" s="1039"/>
      <c r="R263" s="1039"/>
      <c r="S263" s="1039"/>
      <c r="T263" s="1039"/>
      <c r="U263" s="1039"/>
      <c r="V263" s="1039"/>
      <c r="W263" s="1039"/>
      <c r="X263" s="1039"/>
      <c r="Y263" s="1039"/>
      <c r="Z263" s="1039"/>
    </row>
    <row r="264" spans="1:26" ht="12.75" customHeight="1" outlineLevel="1">
      <c r="A264" s="1098">
        <f t="shared" si="12"/>
        <v>132</v>
      </c>
      <c r="B264" s="1051" t="s">
        <v>3428</v>
      </c>
      <c r="C264" s="1066" t="s">
        <v>3342</v>
      </c>
      <c r="D264" s="1113" t="s">
        <v>122</v>
      </c>
      <c r="E264" s="1152"/>
      <c r="F264" s="1073" t="s">
        <v>3564</v>
      </c>
      <c r="G264" s="1035" t="s">
        <v>3442</v>
      </c>
      <c r="H264" s="1114"/>
      <c r="I264" s="1114">
        <v>648</v>
      </c>
      <c r="J264" s="1122">
        <v>0.3</v>
      </c>
      <c r="K264" s="1118">
        <f t="shared" si="15"/>
        <v>194.4</v>
      </c>
      <c r="L264" s="1039"/>
      <c r="M264" s="1039"/>
      <c r="N264" s="1039"/>
      <c r="O264" s="1039"/>
      <c r="P264" s="1039"/>
      <c r="Q264" s="1039"/>
      <c r="R264" s="1039"/>
      <c r="S264" s="1039"/>
      <c r="T264" s="1039"/>
      <c r="U264" s="1039"/>
      <c r="V264" s="1039"/>
      <c r="W264" s="1039"/>
      <c r="X264" s="1039"/>
      <c r="Y264" s="1039"/>
      <c r="Z264" s="1039"/>
    </row>
    <row r="265" spans="1:26" ht="12.75" customHeight="1" outlineLevel="1">
      <c r="A265" s="1098">
        <f t="shared" si="12"/>
        <v>133</v>
      </c>
      <c r="B265" s="1051" t="s">
        <v>3428</v>
      </c>
      <c r="C265" s="1066" t="s">
        <v>3342</v>
      </c>
      <c r="D265" s="1113" t="s">
        <v>122</v>
      </c>
      <c r="E265" s="1136"/>
      <c r="F265" s="1073" t="s">
        <v>3564</v>
      </c>
      <c r="G265" s="1035" t="s">
        <v>3443</v>
      </c>
      <c r="H265" s="1114"/>
      <c r="I265" s="1114">
        <v>480</v>
      </c>
      <c r="J265" s="1122">
        <v>0.3</v>
      </c>
      <c r="K265" s="1118">
        <f t="shared" si="15"/>
        <v>144</v>
      </c>
      <c r="L265" s="1039"/>
      <c r="M265" s="1039"/>
      <c r="N265" s="1039"/>
      <c r="O265" s="1039"/>
      <c r="P265" s="1039"/>
      <c r="Q265" s="1039"/>
      <c r="R265" s="1039"/>
      <c r="S265" s="1039"/>
      <c r="T265" s="1039"/>
      <c r="U265" s="1039"/>
      <c r="V265" s="1039"/>
      <c r="W265" s="1039"/>
      <c r="X265" s="1039"/>
      <c r="Y265" s="1039"/>
      <c r="Z265" s="1039"/>
    </row>
    <row r="266" spans="1:26" ht="12.75" customHeight="1" outlineLevel="1">
      <c r="A266" s="1098">
        <f t="shared" si="12"/>
        <v>134</v>
      </c>
      <c r="B266" s="1051" t="s">
        <v>3428</v>
      </c>
      <c r="C266" s="1066" t="s">
        <v>3342</v>
      </c>
      <c r="D266" s="1113" t="s">
        <v>122</v>
      </c>
      <c r="E266" s="1136"/>
      <c r="F266" s="1073" t="s">
        <v>3564</v>
      </c>
      <c r="G266" s="1035" t="s">
        <v>3565</v>
      </c>
      <c r="H266" s="1114" t="s">
        <v>3563</v>
      </c>
      <c r="I266" s="1114">
        <v>0</v>
      </c>
      <c r="J266" s="1122">
        <v>0.3</v>
      </c>
      <c r="K266" s="1118">
        <f t="shared" si="15"/>
        <v>0</v>
      </c>
      <c r="L266" s="1039"/>
      <c r="M266" s="1039"/>
      <c r="N266" s="1039"/>
      <c r="O266" s="1039"/>
      <c r="P266" s="1039"/>
      <c r="Q266" s="1039"/>
      <c r="R266" s="1039"/>
      <c r="S266" s="1039"/>
      <c r="T266" s="1039"/>
      <c r="U266" s="1039"/>
      <c r="V266" s="1039"/>
      <c r="W266" s="1039"/>
      <c r="X266" s="1039"/>
      <c r="Y266" s="1039"/>
      <c r="Z266" s="1039"/>
    </row>
    <row r="267" spans="1:26" ht="12.75" customHeight="1" outlineLevel="1">
      <c r="A267" s="1098">
        <f t="shared" si="12"/>
        <v>135</v>
      </c>
      <c r="B267" s="1051" t="s">
        <v>3428</v>
      </c>
      <c r="C267" s="1066" t="s">
        <v>3342</v>
      </c>
      <c r="D267" s="1113" t="s">
        <v>122</v>
      </c>
      <c r="E267" s="1136"/>
      <c r="F267" s="1073" t="s">
        <v>3564</v>
      </c>
      <c r="G267" s="1035" t="s">
        <v>3444</v>
      </c>
      <c r="H267" s="1114" t="s">
        <v>3563</v>
      </c>
      <c r="I267" s="1114">
        <v>0</v>
      </c>
      <c r="J267" s="1122">
        <v>0.3</v>
      </c>
      <c r="K267" s="1118">
        <f t="shared" si="15"/>
        <v>0</v>
      </c>
      <c r="L267" s="1039"/>
      <c r="M267" s="1039"/>
      <c r="N267" s="1039"/>
      <c r="O267" s="1039"/>
      <c r="P267" s="1039"/>
      <c r="Q267" s="1039"/>
      <c r="R267" s="1039"/>
      <c r="S267" s="1039"/>
      <c r="T267" s="1039"/>
      <c r="U267" s="1039"/>
      <c r="V267" s="1039"/>
      <c r="W267" s="1039"/>
      <c r="X267" s="1039"/>
      <c r="Y267" s="1039"/>
      <c r="Z267" s="1039"/>
    </row>
    <row r="268" spans="1:26" ht="12.75" customHeight="1" outlineLevel="1">
      <c r="A268" s="1098">
        <f t="shared" si="12"/>
        <v>136</v>
      </c>
      <c r="B268" s="1051" t="s">
        <v>3428</v>
      </c>
      <c r="C268" s="1066" t="s">
        <v>3342</v>
      </c>
      <c r="D268" s="1113" t="s">
        <v>122</v>
      </c>
      <c r="E268" s="1136"/>
      <c r="F268" s="1073" t="s">
        <v>3564</v>
      </c>
      <c r="G268" s="1035" t="s">
        <v>3446</v>
      </c>
      <c r="H268" s="1114"/>
      <c r="I268" s="1114">
        <f>39*2</f>
        <v>78</v>
      </c>
      <c r="J268" s="1122">
        <v>0.3</v>
      </c>
      <c r="K268" s="1118">
        <f t="shared" si="15"/>
        <v>23.4</v>
      </c>
      <c r="L268" s="1039"/>
      <c r="M268" s="1039"/>
      <c r="N268" s="1039"/>
      <c r="O268" s="1039"/>
      <c r="P268" s="1039"/>
      <c r="Q268" s="1039"/>
      <c r="R268" s="1039"/>
      <c r="S268" s="1039"/>
      <c r="T268" s="1039"/>
      <c r="U268" s="1039"/>
      <c r="V268" s="1039"/>
      <c r="W268" s="1039"/>
      <c r="X268" s="1039"/>
      <c r="Y268" s="1039"/>
      <c r="Z268" s="1039"/>
    </row>
    <row r="269" spans="1:26" ht="12.75" customHeight="1" outlineLevel="1">
      <c r="A269" s="1098">
        <f t="shared" si="12"/>
        <v>137</v>
      </c>
      <c r="B269" s="1051" t="s">
        <v>3428</v>
      </c>
      <c r="C269" s="1066" t="s">
        <v>3342</v>
      </c>
      <c r="D269" s="1113" t="s">
        <v>122</v>
      </c>
      <c r="E269" s="1136"/>
      <c r="F269" s="1073" t="s">
        <v>3564</v>
      </c>
      <c r="G269" s="1035" t="s">
        <v>3447</v>
      </c>
      <c r="H269" s="1114"/>
      <c r="I269" s="1114">
        <v>0</v>
      </c>
      <c r="J269" s="1122">
        <v>0.3</v>
      </c>
      <c r="K269" s="1118">
        <f t="shared" si="15"/>
        <v>0</v>
      </c>
      <c r="L269" s="1039"/>
      <c r="M269" s="1039"/>
      <c r="N269" s="1039"/>
      <c r="O269" s="1039"/>
      <c r="P269" s="1039"/>
      <c r="Q269" s="1039"/>
      <c r="R269" s="1039"/>
      <c r="S269" s="1039"/>
      <c r="T269" s="1039"/>
      <c r="U269" s="1039"/>
      <c r="V269" s="1039"/>
      <c r="W269" s="1039"/>
      <c r="X269" s="1039"/>
      <c r="Y269" s="1039"/>
      <c r="Z269" s="1039"/>
    </row>
    <row r="270" spans="1:26" ht="12.75" customHeight="1" outlineLevel="1">
      <c r="A270" s="1098">
        <f t="shared" si="12"/>
        <v>138</v>
      </c>
      <c r="B270" s="1051" t="s">
        <v>3428</v>
      </c>
      <c r="C270" s="1066" t="s">
        <v>3342</v>
      </c>
      <c r="D270" s="1113" t="s">
        <v>122</v>
      </c>
      <c r="E270" s="1136"/>
      <c r="F270" s="1073" t="s">
        <v>3564</v>
      </c>
      <c r="G270" s="1035" t="s">
        <v>3448</v>
      </c>
      <c r="H270" s="1114"/>
      <c r="I270" s="1114">
        <v>517</v>
      </c>
      <c r="J270" s="1122">
        <v>0.3</v>
      </c>
      <c r="K270" s="1118">
        <f t="shared" si="15"/>
        <v>155.1</v>
      </c>
      <c r="L270" s="1039"/>
      <c r="M270" s="1039"/>
      <c r="N270" s="1039"/>
      <c r="O270" s="1039"/>
      <c r="P270" s="1039"/>
      <c r="Q270" s="1039"/>
      <c r="R270" s="1039"/>
      <c r="S270" s="1039"/>
      <c r="T270" s="1039"/>
      <c r="U270" s="1039"/>
      <c r="V270" s="1039"/>
      <c r="W270" s="1039"/>
      <c r="X270" s="1039"/>
      <c r="Y270" s="1039"/>
      <c r="Z270" s="1039"/>
    </row>
    <row r="271" spans="1:26" ht="12.75" customHeight="1" outlineLevel="1">
      <c r="A271" s="1098">
        <f t="shared" si="12"/>
        <v>139</v>
      </c>
      <c r="B271" s="1051" t="s">
        <v>3428</v>
      </c>
      <c r="C271" s="1066" t="s">
        <v>3342</v>
      </c>
      <c r="D271" s="1113" t="s">
        <v>122</v>
      </c>
      <c r="E271" s="1136"/>
      <c r="F271" s="1073" t="s">
        <v>3564</v>
      </c>
      <c r="G271" s="1035" t="s">
        <v>3449</v>
      </c>
      <c r="H271" s="1114" t="s">
        <v>3563</v>
      </c>
      <c r="I271" s="1114">
        <v>0</v>
      </c>
      <c r="J271" s="1122">
        <v>0.3</v>
      </c>
      <c r="K271" s="1118">
        <f t="shared" si="15"/>
        <v>0</v>
      </c>
      <c r="L271" s="1039"/>
      <c r="M271" s="1039"/>
      <c r="N271" s="1039"/>
      <c r="O271" s="1039"/>
      <c r="P271" s="1039"/>
      <c r="Q271" s="1039"/>
      <c r="R271" s="1039"/>
      <c r="S271" s="1039"/>
      <c r="T271" s="1039"/>
      <c r="U271" s="1039"/>
      <c r="V271" s="1039"/>
      <c r="W271" s="1039"/>
      <c r="X271" s="1039"/>
      <c r="Y271" s="1039"/>
      <c r="Z271" s="1039"/>
    </row>
    <row r="272" spans="1:26" ht="12.75" customHeight="1" outlineLevel="1">
      <c r="A272" s="1098">
        <f t="shared" si="12"/>
        <v>140</v>
      </c>
      <c r="B272" s="1051" t="s">
        <v>3428</v>
      </c>
      <c r="C272" s="1066" t="s">
        <v>3342</v>
      </c>
      <c r="D272" s="1113" t="s">
        <v>122</v>
      </c>
      <c r="E272" s="1136"/>
      <c r="F272" s="1073" t="s">
        <v>3564</v>
      </c>
      <c r="G272" s="1035" t="s">
        <v>3450</v>
      </c>
      <c r="H272" s="1114"/>
      <c r="I272" s="1114">
        <v>136</v>
      </c>
      <c r="J272" s="1122">
        <v>0.3</v>
      </c>
      <c r="K272" s="1118">
        <f t="shared" si="15"/>
        <v>40.799999999999997</v>
      </c>
      <c r="L272" s="1039"/>
      <c r="M272" s="1039"/>
      <c r="N272" s="1039"/>
      <c r="O272" s="1039"/>
      <c r="P272" s="1039"/>
      <c r="Q272" s="1039"/>
      <c r="R272" s="1039"/>
      <c r="S272" s="1039"/>
      <c r="T272" s="1039"/>
      <c r="U272" s="1039"/>
      <c r="V272" s="1039"/>
      <c r="W272" s="1039"/>
      <c r="X272" s="1039"/>
      <c r="Y272" s="1039"/>
      <c r="Z272" s="1039"/>
    </row>
    <row r="273" spans="1:26" ht="12.75" customHeight="1" outlineLevel="1">
      <c r="A273" s="1098">
        <f t="shared" si="12"/>
        <v>141</v>
      </c>
      <c r="B273" s="1051" t="s">
        <v>3428</v>
      </c>
      <c r="C273" s="1066" t="s">
        <v>3342</v>
      </c>
      <c r="D273" s="1113" t="s">
        <v>122</v>
      </c>
      <c r="E273" s="1136"/>
      <c r="F273" s="1073" t="s">
        <v>3564</v>
      </c>
      <c r="G273" s="1035" t="s">
        <v>3524</v>
      </c>
      <c r="H273" s="1114"/>
      <c r="I273" s="1114">
        <v>0</v>
      </c>
      <c r="J273" s="1122">
        <v>0.3</v>
      </c>
      <c r="K273" s="1118">
        <f t="shared" si="15"/>
        <v>0</v>
      </c>
      <c r="L273" s="1039"/>
      <c r="M273" s="1039"/>
      <c r="N273" s="1039"/>
      <c r="O273" s="1039"/>
      <c r="P273" s="1039"/>
      <c r="Q273" s="1039"/>
      <c r="R273" s="1039"/>
      <c r="S273" s="1039"/>
      <c r="T273" s="1039"/>
      <c r="U273" s="1039"/>
      <c r="V273" s="1039"/>
      <c r="W273" s="1039"/>
      <c r="X273" s="1039"/>
      <c r="Y273" s="1039"/>
      <c r="Z273" s="1039"/>
    </row>
    <row r="274" spans="1:26" ht="12.75" customHeight="1" outlineLevel="1">
      <c r="A274" s="1098">
        <f t="shared" si="12"/>
        <v>142</v>
      </c>
      <c r="B274" s="1051" t="s">
        <v>3428</v>
      </c>
      <c r="C274" s="1066" t="s">
        <v>3342</v>
      </c>
      <c r="D274" s="1113" t="s">
        <v>122</v>
      </c>
      <c r="E274" s="1136"/>
      <c r="F274" s="1073" t="s">
        <v>3564</v>
      </c>
      <c r="G274" s="1035" t="s">
        <v>3451</v>
      </c>
      <c r="H274" s="1114"/>
      <c r="I274" s="1114">
        <v>0</v>
      </c>
      <c r="J274" s="1122">
        <v>0.3</v>
      </c>
      <c r="K274" s="1118">
        <f t="shared" si="15"/>
        <v>0</v>
      </c>
      <c r="L274" s="1039"/>
      <c r="M274" s="1039"/>
      <c r="N274" s="1039"/>
      <c r="O274" s="1039"/>
      <c r="P274" s="1039"/>
      <c r="Q274" s="1039"/>
      <c r="R274" s="1039"/>
      <c r="S274" s="1039"/>
      <c r="T274" s="1039"/>
      <c r="U274" s="1039"/>
      <c r="V274" s="1039"/>
      <c r="W274" s="1039"/>
      <c r="X274" s="1039"/>
      <c r="Y274" s="1039"/>
      <c r="Z274" s="1039"/>
    </row>
    <row r="275" spans="1:26" ht="12.75" customHeight="1" outlineLevel="1">
      <c r="A275" s="1098">
        <f t="shared" si="12"/>
        <v>143</v>
      </c>
      <c r="B275" s="1051" t="s">
        <v>3428</v>
      </c>
      <c r="C275" s="1066" t="s">
        <v>3342</v>
      </c>
      <c r="D275" s="1113" t="s">
        <v>122</v>
      </c>
      <c r="E275" s="1136"/>
      <c r="F275" s="1073" t="s">
        <v>3564</v>
      </c>
      <c r="G275" s="1035" t="s">
        <v>3452</v>
      </c>
      <c r="H275" s="1114"/>
      <c r="I275" s="1114">
        <v>244</v>
      </c>
      <c r="J275" s="1122">
        <v>0.3</v>
      </c>
      <c r="K275" s="1118">
        <f t="shared" si="15"/>
        <v>73.2</v>
      </c>
      <c r="L275" s="1039"/>
      <c r="M275" s="1039"/>
      <c r="N275" s="1039"/>
      <c r="O275" s="1039"/>
      <c r="P275" s="1039"/>
      <c r="Q275" s="1039"/>
      <c r="R275" s="1039"/>
      <c r="S275" s="1039"/>
      <c r="T275" s="1039"/>
      <c r="U275" s="1039"/>
      <c r="V275" s="1039"/>
      <c r="W275" s="1039"/>
      <c r="X275" s="1039"/>
      <c r="Y275" s="1039"/>
      <c r="Z275" s="1039"/>
    </row>
    <row r="276" spans="1:26" ht="12.75" customHeight="1" outlineLevel="1">
      <c r="A276" s="1098">
        <f t="shared" si="12"/>
        <v>144</v>
      </c>
      <c r="B276" s="1051" t="s">
        <v>3428</v>
      </c>
      <c r="C276" s="1066" t="s">
        <v>3342</v>
      </c>
      <c r="D276" s="1113" t="s">
        <v>122</v>
      </c>
      <c r="E276" s="1136"/>
      <c r="F276" s="1073" t="s">
        <v>3564</v>
      </c>
      <c r="G276" s="1035" t="s">
        <v>3453</v>
      </c>
      <c r="H276" s="1114"/>
      <c r="I276" s="1114">
        <v>286</v>
      </c>
      <c r="J276" s="1122">
        <v>0.3</v>
      </c>
      <c r="K276" s="1118">
        <f t="shared" si="15"/>
        <v>85.8</v>
      </c>
      <c r="L276" s="1039"/>
      <c r="M276" s="1039"/>
      <c r="N276" s="1039"/>
      <c r="O276" s="1039"/>
      <c r="P276" s="1039"/>
      <c r="Q276" s="1039"/>
      <c r="R276" s="1039"/>
      <c r="S276" s="1039"/>
      <c r="T276" s="1039"/>
      <c r="U276" s="1039"/>
      <c r="V276" s="1039"/>
      <c r="W276" s="1039"/>
      <c r="X276" s="1039"/>
      <c r="Y276" s="1039"/>
      <c r="Z276" s="1039"/>
    </row>
    <row r="277" spans="1:26" ht="12.75" customHeight="1" outlineLevel="1">
      <c r="A277" s="1098">
        <f t="shared" si="12"/>
        <v>145</v>
      </c>
      <c r="B277" s="1051" t="s">
        <v>3428</v>
      </c>
      <c r="C277" s="1066" t="s">
        <v>3342</v>
      </c>
      <c r="D277" s="1113" t="s">
        <v>122</v>
      </c>
      <c r="E277" s="1136"/>
      <c r="F277" s="1073" t="s">
        <v>3564</v>
      </c>
      <c r="G277" s="1035" t="s">
        <v>3454</v>
      </c>
      <c r="H277" s="1114"/>
      <c r="I277" s="1114">
        <v>0</v>
      </c>
      <c r="J277" s="1122">
        <v>0.3</v>
      </c>
      <c r="K277" s="1118">
        <f t="shared" si="15"/>
        <v>0</v>
      </c>
      <c r="L277" s="1039"/>
      <c r="M277" s="1039"/>
      <c r="N277" s="1039"/>
      <c r="O277" s="1039"/>
      <c r="P277" s="1039"/>
      <c r="Q277" s="1039"/>
      <c r="R277" s="1039"/>
      <c r="S277" s="1039"/>
      <c r="T277" s="1039"/>
      <c r="U277" s="1039"/>
      <c r="V277" s="1039"/>
      <c r="W277" s="1039"/>
      <c r="X277" s="1039"/>
      <c r="Y277" s="1039"/>
      <c r="Z277" s="1039"/>
    </row>
    <row r="278" spans="1:26" ht="12.75" customHeight="1" outlineLevel="1">
      <c r="A278" s="1098">
        <f t="shared" si="12"/>
        <v>146</v>
      </c>
      <c r="B278" s="1051" t="s">
        <v>3428</v>
      </c>
      <c r="C278" s="1066" t="s">
        <v>3342</v>
      </c>
      <c r="D278" s="1113" t="s">
        <v>122</v>
      </c>
      <c r="E278" s="1136"/>
      <c r="F278" s="1073" t="s">
        <v>3564</v>
      </c>
      <c r="G278" s="1035" t="s">
        <v>3525</v>
      </c>
      <c r="H278" s="1114" t="s">
        <v>3563</v>
      </c>
      <c r="I278" s="1114">
        <v>0</v>
      </c>
      <c r="J278" s="1122">
        <v>0.3</v>
      </c>
      <c r="K278" s="1118">
        <f t="shared" si="15"/>
        <v>0</v>
      </c>
      <c r="L278" s="1039"/>
      <c r="M278" s="1039"/>
      <c r="N278" s="1039"/>
      <c r="O278" s="1039"/>
      <c r="P278" s="1039"/>
      <c r="Q278" s="1039"/>
      <c r="R278" s="1039"/>
      <c r="S278" s="1039"/>
      <c r="T278" s="1039"/>
      <c r="U278" s="1039"/>
      <c r="V278" s="1039"/>
      <c r="W278" s="1039"/>
      <c r="X278" s="1039"/>
      <c r="Y278" s="1039"/>
      <c r="Z278" s="1039"/>
    </row>
    <row r="279" spans="1:26" ht="12.75" customHeight="1" outlineLevel="1">
      <c r="A279" s="1098">
        <f t="shared" si="12"/>
        <v>147</v>
      </c>
      <c r="B279" s="1051" t="s">
        <v>3428</v>
      </c>
      <c r="C279" s="1066" t="s">
        <v>3342</v>
      </c>
      <c r="D279" s="1113" t="s">
        <v>122</v>
      </c>
      <c r="E279" s="1136"/>
      <c r="F279" s="1073" t="s">
        <v>3564</v>
      </c>
      <c r="G279" s="1035" t="s">
        <v>3455</v>
      </c>
      <c r="H279" s="1114"/>
      <c r="I279" s="1114">
        <v>448</v>
      </c>
      <c r="J279" s="1122">
        <v>0.3</v>
      </c>
      <c r="K279" s="1118">
        <f t="shared" si="15"/>
        <v>134.4</v>
      </c>
      <c r="L279" s="1039"/>
      <c r="M279" s="1039"/>
      <c r="N279" s="1039"/>
      <c r="O279" s="1039"/>
      <c r="P279" s="1039"/>
      <c r="Q279" s="1039"/>
      <c r="R279" s="1039"/>
      <c r="S279" s="1039"/>
      <c r="T279" s="1039"/>
      <c r="U279" s="1039"/>
      <c r="V279" s="1039"/>
      <c r="W279" s="1039"/>
      <c r="X279" s="1039"/>
      <c r="Y279" s="1039"/>
      <c r="Z279" s="1039"/>
    </row>
    <row r="280" spans="1:26" ht="12.75" customHeight="1" outlineLevel="1">
      <c r="A280" s="1098">
        <f t="shared" si="12"/>
        <v>148</v>
      </c>
      <c r="B280" s="1051" t="s">
        <v>3428</v>
      </c>
      <c r="C280" s="1066" t="s">
        <v>3342</v>
      </c>
      <c r="D280" s="1113" t="s">
        <v>122</v>
      </c>
      <c r="E280" s="1136"/>
      <c r="F280" s="1073" t="s">
        <v>3564</v>
      </c>
      <c r="G280" s="1035" t="s">
        <v>3456</v>
      </c>
      <c r="H280" s="1114"/>
      <c r="I280" s="1114">
        <v>340</v>
      </c>
      <c r="J280" s="1122">
        <v>0.3</v>
      </c>
      <c r="K280" s="1118">
        <f t="shared" si="15"/>
        <v>102</v>
      </c>
      <c r="L280" s="1039"/>
      <c r="M280" s="1039"/>
      <c r="N280" s="1039"/>
      <c r="O280" s="1039"/>
      <c r="P280" s="1039"/>
      <c r="Q280" s="1039"/>
      <c r="R280" s="1039"/>
      <c r="S280" s="1039"/>
      <c r="T280" s="1039"/>
      <c r="U280" s="1039"/>
      <c r="V280" s="1039"/>
      <c r="W280" s="1039"/>
      <c r="X280" s="1039"/>
      <c r="Y280" s="1039"/>
      <c r="Z280" s="1039"/>
    </row>
    <row r="281" spans="1:26" ht="12.75" customHeight="1" outlineLevel="1">
      <c r="A281" s="1098">
        <f t="shared" si="12"/>
        <v>149</v>
      </c>
      <c r="B281" s="1051" t="s">
        <v>3428</v>
      </c>
      <c r="C281" s="1066" t="s">
        <v>3342</v>
      </c>
      <c r="D281" s="1113" t="s">
        <v>122</v>
      </c>
      <c r="E281" s="1136"/>
      <c r="F281" s="1073" t="s">
        <v>3564</v>
      </c>
      <c r="G281" s="1035" t="s">
        <v>3457</v>
      </c>
      <c r="H281" s="1114"/>
      <c r="I281" s="1114">
        <v>0</v>
      </c>
      <c r="J281" s="1122">
        <v>0.3</v>
      </c>
      <c r="K281" s="1118">
        <f t="shared" si="15"/>
        <v>0</v>
      </c>
      <c r="L281" s="1039"/>
      <c r="M281" s="1039"/>
      <c r="N281" s="1039"/>
      <c r="O281" s="1039"/>
      <c r="P281" s="1039"/>
      <c r="Q281" s="1039"/>
      <c r="R281" s="1039"/>
      <c r="S281" s="1039"/>
      <c r="T281" s="1039"/>
      <c r="U281" s="1039"/>
      <c r="V281" s="1039"/>
      <c r="W281" s="1039"/>
      <c r="X281" s="1039"/>
      <c r="Y281" s="1039"/>
      <c r="Z281" s="1039"/>
    </row>
    <row r="282" spans="1:26" ht="25.5" customHeight="1" outlineLevel="1">
      <c r="A282" s="1098">
        <f t="shared" si="12"/>
        <v>150</v>
      </c>
      <c r="B282" s="1051" t="s">
        <v>3485</v>
      </c>
      <c r="C282" s="1066" t="s">
        <v>3342</v>
      </c>
      <c r="D282" s="1113" t="s">
        <v>122</v>
      </c>
      <c r="E282" s="1136"/>
      <c r="F282" s="1073" t="s">
        <v>3564</v>
      </c>
      <c r="G282" s="1035" t="s">
        <v>3495</v>
      </c>
      <c r="H282" s="1114" t="s">
        <v>3494</v>
      </c>
      <c r="I282" s="1114" t="s">
        <v>3611</v>
      </c>
      <c r="J282" s="1122"/>
      <c r="K282" s="1118">
        <f>3.7*2+30.57</f>
        <v>37.97</v>
      </c>
      <c r="L282" s="1039"/>
      <c r="M282" s="1039"/>
      <c r="N282" s="1039"/>
      <c r="O282" s="1039"/>
      <c r="P282" s="1039"/>
      <c r="Q282" s="1039"/>
      <c r="R282" s="1039"/>
      <c r="S282" s="1039"/>
      <c r="T282" s="1039"/>
      <c r="U282" s="1039"/>
      <c r="V282" s="1039"/>
      <c r="W282" s="1039"/>
      <c r="X282" s="1039"/>
      <c r="Y282" s="1039"/>
      <c r="Z282" s="1039"/>
    </row>
    <row r="283" spans="1:26" ht="12.75" customHeight="1" outlineLevel="1">
      <c r="A283" s="1098">
        <f t="shared" si="12"/>
        <v>151</v>
      </c>
      <c r="B283" s="1051" t="s">
        <v>3473</v>
      </c>
      <c r="C283" s="1066" t="s">
        <v>3342</v>
      </c>
      <c r="D283" s="1113" t="s">
        <v>122</v>
      </c>
      <c r="E283" s="1136"/>
      <c r="F283" s="1073" t="s">
        <v>3564</v>
      </c>
      <c r="G283" s="1035" t="s">
        <v>3612</v>
      </c>
      <c r="H283" s="1114" t="s">
        <v>3494</v>
      </c>
      <c r="I283" s="1114"/>
      <c r="J283" s="1122"/>
      <c r="K283" s="1118">
        <f>64.78+4.54</f>
        <v>69.320000000000007</v>
      </c>
      <c r="L283" s="1039"/>
      <c r="M283" s="1039"/>
      <c r="N283" s="1039"/>
      <c r="O283" s="1039"/>
      <c r="P283" s="1039"/>
      <c r="Q283" s="1039"/>
      <c r="R283" s="1039"/>
      <c r="S283" s="1039"/>
      <c r="T283" s="1039"/>
      <c r="U283" s="1039"/>
      <c r="V283" s="1039"/>
      <c r="W283" s="1039"/>
      <c r="X283" s="1039"/>
      <c r="Y283" s="1039"/>
      <c r="Z283" s="1039"/>
    </row>
    <row r="284" spans="1:26" ht="12.75" customHeight="1" outlineLevel="1">
      <c r="A284" s="1098">
        <f t="shared" si="12"/>
        <v>152</v>
      </c>
      <c r="B284" s="1051" t="s">
        <v>3473</v>
      </c>
      <c r="C284" s="1066" t="s">
        <v>3342</v>
      </c>
      <c r="D284" s="1113" t="s">
        <v>122</v>
      </c>
      <c r="E284" s="1136"/>
      <c r="F284" s="1073" t="s">
        <v>3564</v>
      </c>
      <c r="G284" s="1035" t="s">
        <v>3601</v>
      </c>
      <c r="H284" s="1114" t="s">
        <v>3613</v>
      </c>
      <c r="I284" s="1114"/>
      <c r="J284" s="1122"/>
      <c r="K284" s="1118">
        <v>29.8</v>
      </c>
      <c r="L284" s="1030"/>
      <c r="M284" s="1030"/>
      <c r="N284" s="1030"/>
      <c r="O284" s="1030"/>
      <c r="P284" s="1030"/>
      <c r="Q284" s="1030"/>
      <c r="R284" s="1030"/>
      <c r="S284" s="1030"/>
      <c r="T284" s="1030"/>
      <c r="U284" s="1030"/>
      <c r="V284" s="1030"/>
      <c r="W284" s="1030"/>
      <c r="X284" s="1030"/>
      <c r="Y284" s="1030"/>
      <c r="Z284" s="1030"/>
    </row>
    <row r="285" spans="1:26" ht="12.75" customHeight="1" outlineLevel="1">
      <c r="A285" s="1098">
        <f t="shared" si="12"/>
        <v>153</v>
      </c>
      <c r="B285" s="1051" t="s">
        <v>3473</v>
      </c>
      <c r="C285" s="1066" t="s">
        <v>3342</v>
      </c>
      <c r="D285" s="1113" t="s">
        <v>122</v>
      </c>
      <c r="E285" s="1136"/>
      <c r="F285" s="1073" t="s">
        <v>3564</v>
      </c>
      <c r="G285" s="1035" t="s">
        <v>3614</v>
      </c>
      <c r="H285" s="1114" t="s">
        <v>3615</v>
      </c>
      <c r="I285" s="1114"/>
      <c r="J285" s="1122"/>
      <c r="K285" s="1118">
        <v>36.4</v>
      </c>
      <c r="L285" s="1030"/>
      <c r="M285" s="1030"/>
      <c r="N285" s="1030"/>
      <c r="O285" s="1030"/>
      <c r="P285" s="1030"/>
      <c r="Q285" s="1030"/>
      <c r="R285" s="1030"/>
      <c r="S285" s="1030"/>
      <c r="T285" s="1030"/>
      <c r="U285" s="1030"/>
      <c r="V285" s="1030"/>
      <c r="W285" s="1030"/>
      <c r="X285" s="1030"/>
      <c r="Y285" s="1030"/>
      <c r="Z285" s="1030"/>
    </row>
    <row r="286" spans="1:26" ht="12.75" customHeight="1" outlineLevel="1">
      <c r="A286" s="1098">
        <f t="shared" si="12"/>
        <v>154</v>
      </c>
      <c r="B286" s="1051" t="s">
        <v>3428</v>
      </c>
      <c r="C286" s="1066" t="s">
        <v>3342</v>
      </c>
      <c r="D286" s="1113" t="s">
        <v>122</v>
      </c>
      <c r="E286" s="1136"/>
      <c r="F286" s="1073" t="s">
        <v>3564</v>
      </c>
      <c r="G286" s="1035" t="s">
        <v>3458</v>
      </c>
      <c r="H286" s="1114" t="s">
        <v>3459</v>
      </c>
      <c r="I286" s="1114"/>
      <c r="J286" s="1122"/>
      <c r="K286" s="1118">
        <v>58.41</v>
      </c>
      <c r="L286" s="1030"/>
      <c r="M286" s="1030"/>
      <c r="N286" s="1030"/>
      <c r="O286" s="1030"/>
      <c r="P286" s="1030"/>
      <c r="Q286" s="1030"/>
      <c r="R286" s="1030"/>
      <c r="S286" s="1030"/>
      <c r="T286" s="1030"/>
      <c r="U286" s="1030"/>
      <c r="V286" s="1030"/>
      <c r="W286" s="1030"/>
      <c r="X286" s="1030"/>
      <c r="Y286" s="1030"/>
      <c r="Z286" s="1030"/>
    </row>
    <row r="287" spans="1:26" ht="25.5" outlineLevel="1">
      <c r="A287" s="1098">
        <f t="shared" si="12"/>
        <v>155</v>
      </c>
      <c r="B287" s="1051" t="s">
        <v>3470</v>
      </c>
      <c r="C287" s="1066" t="s">
        <v>3342</v>
      </c>
      <c r="D287" s="1113" t="s">
        <v>122</v>
      </c>
      <c r="E287" s="1136"/>
      <c r="F287" s="1073" t="s">
        <v>3564</v>
      </c>
      <c r="G287" s="1035" t="s">
        <v>3616</v>
      </c>
      <c r="H287" s="1114" t="s">
        <v>3617</v>
      </c>
      <c r="I287" s="1114"/>
      <c r="J287" s="1122"/>
      <c r="K287" s="1118">
        <v>1600</v>
      </c>
      <c r="L287" s="1103"/>
      <c r="M287" s="1103"/>
      <c r="N287" s="1103"/>
      <c r="O287" s="1103"/>
      <c r="P287" s="1103"/>
      <c r="Q287" s="1103"/>
      <c r="R287" s="1103"/>
      <c r="S287" s="1103"/>
      <c r="T287" s="1103"/>
      <c r="U287" s="1103"/>
      <c r="V287" s="1103"/>
      <c r="W287" s="1103"/>
      <c r="X287" s="1103"/>
      <c r="Y287" s="1103"/>
      <c r="Z287" s="1103"/>
    </row>
    <row r="288" spans="1:26" ht="36" customHeight="1" outlineLevel="1">
      <c r="A288" s="1098">
        <f t="shared" si="12"/>
        <v>156</v>
      </c>
      <c r="B288" s="1051" t="s">
        <v>3473</v>
      </c>
      <c r="C288" s="1112" t="s">
        <v>3342</v>
      </c>
      <c r="D288" s="1113" t="s">
        <v>122</v>
      </c>
      <c r="E288" s="1114"/>
      <c r="F288" s="1073" t="s">
        <v>3564</v>
      </c>
      <c r="G288" s="1035" t="s">
        <v>3474</v>
      </c>
      <c r="H288" s="1114" t="s">
        <v>3618</v>
      </c>
      <c r="I288" s="1114"/>
      <c r="J288" s="1122"/>
      <c r="K288" s="1118">
        <v>2291.87</v>
      </c>
      <c r="L288" s="1134"/>
      <c r="M288" s="1030"/>
      <c r="N288" s="1030"/>
      <c r="O288" s="1030"/>
      <c r="P288" s="1030"/>
      <c r="Q288" s="1030"/>
      <c r="R288" s="1030"/>
      <c r="S288" s="1030"/>
      <c r="T288" s="1030"/>
      <c r="U288" s="1030"/>
      <c r="V288" s="1030"/>
      <c r="W288" s="1030"/>
      <c r="X288" s="1030"/>
      <c r="Y288" s="1030"/>
      <c r="Z288" s="1030"/>
    </row>
    <row r="289" spans="1:26" ht="36" customHeight="1" outlineLevel="1">
      <c r="A289" s="1098">
        <f t="shared" si="12"/>
        <v>157</v>
      </c>
      <c r="B289" s="1051" t="s">
        <v>3485</v>
      </c>
      <c r="C289" s="1066" t="s">
        <v>3342</v>
      </c>
      <c r="D289" s="1113" t="s">
        <v>122</v>
      </c>
      <c r="E289" s="1136"/>
      <c r="F289" s="1073" t="s">
        <v>3564</v>
      </c>
      <c r="G289" s="1035" t="s">
        <v>3510</v>
      </c>
      <c r="H289" s="1114" t="s">
        <v>3619</v>
      </c>
      <c r="I289" s="1114"/>
      <c r="J289" s="1122"/>
      <c r="K289" s="1118">
        <v>90</v>
      </c>
      <c r="L289" s="1134"/>
      <c r="M289" s="1030"/>
      <c r="N289" s="1030"/>
      <c r="O289" s="1030"/>
      <c r="P289" s="1030"/>
      <c r="Q289" s="1030"/>
      <c r="R289" s="1030"/>
      <c r="S289" s="1030"/>
      <c r="T289" s="1030"/>
      <c r="U289" s="1030"/>
      <c r="V289" s="1030"/>
      <c r="W289" s="1030"/>
      <c r="X289" s="1030"/>
      <c r="Y289" s="1030"/>
      <c r="Z289" s="1030"/>
    </row>
    <row r="290" spans="1:26" ht="25.5" outlineLevel="1">
      <c r="A290" s="1098">
        <f t="shared" si="12"/>
        <v>158</v>
      </c>
      <c r="B290" s="1051" t="s">
        <v>3473</v>
      </c>
      <c r="C290" s="1066" t="s">
        <v>3342</v>
      </c>
      <c r="D290" s="1113" t="s">
        <v>122</v>
      </c>
      <c r="E290" s="1136"/>
      <c r="F290" s="1073" t="s">
        <v>3564</v>
      </c>
      <c r="G290" s="1035" t="s">
        <v>3588</v>
      </c>
      <c r="H290" s="1114" t="s">
        <v>3620</v>
      </c>
      <c r="I290" s="1114"/>
      <c r="J290" s="1122"/>
      <c r="K290" s="1118">
        <f>180*3</f>
        <v>540</v>
      </c>
      <c r="L290" s="1134"/>
      <c r="M290" s="1030"/>
      <c r="N290" s="1030"/>
      <c r="O290" s="1030"/>
      <c r="P290" s="1030"/>
      <c r="Q290" s="1030"/>
      <c r="R290" s="1030"/>
      <c r="S290" s="1030"/>
      <c r="T290" s="1030"/>
      <c r="U290" s="1030"/>
      <c r="V290" s="1030"/>
      <c r="W290" s="1030"/>
      <c r="X290" s="1030"/>
      <c r="Y290" s="1030"/>
      <c r="Z290" s="1030"/>
    </row>
    <row r="291" spans="1:26" ht="25.5" outlineLevel="1">
      <c r="A291" s="1098">
        <f t="shared" si="12"/>
        <v>159</v>
      </c>
      <c r="B291" s="1144" t="s">
        <v>3473</v>
      </c>
      <c r="C291" s="1112" t="s">
        <v>3342</v>
      </c>
      <c r="D291" s="1113" t="s">
        <v>122</v>
      </c>
      <c r="E291" s="1114"/>
      <c r="F291" s="1145" t="s">
        <v>3564</v>
      </c>
      <c r="G291" s="1116" t="s">
        <v>3621</v>
      </c>
      <c r="H291" s="1136" t="s">
        <v>3622</v>
      </c>
      <c r="I291" s="1116"/>
      <c r="J291" s="1147"/>
      <c r="K291" s="1195">
        <v>34</v>
      </c>
      <c r="L291" s="1103"/>
      <c r="M291" s="1103"/>
      <c r="N291" s="1103"/>
      <c r="O291" s="1103"/>
      <c r="P291" s="1103"/>
      <c r="Q291" s="1103"/>
      <c r="R291" s="1103"/>
      <c r="S291" s="1103"/>
      <c r="T291" s="1103"/>
      <c r="U291" s="1103"/>
      <c r="V291" s="1103"/>
      <c r="W291" s="1103"/>
      <c r="X291" s="1103"/>
      <c r="Y291" s="1103"/>
      <c r="Z291" s="1103"/>
    </row>
    <row r="292" spans="1:26" ht="25.5" outlineLevel="1">
      <c r="A292" s="1098">
        <f>A290+1</f>
        <v>159</v>
      </c>
      <c r="B292" s="1051" t="s">
        <v>3473</v>
      </c>
      <c r="C292" s="1112" t="s">
        <v>3342</v>
      </c>
      <c r="D292" s="1099" t="s">
        <v>122</v>
      </c>
      <c r="E292" s="1114"/>
      <c r="F292" s="1073" t="s">
        <v>3564</v>
      </c>
      <c r="G292" s="1196" t="s">
        <v>3623</v>
      </c>
      <c r="H292" s="1197" t="s">
        <v>3624</v>
      </c>
      <c r="I292" s="1198" t="s">
        <v>3604</v>
      </c>
      <c r="J292" s="1199"/>
      <c r="K292" s="1200">
        <v>450</v>
      </c>
      <c r="L292" s="1103"/>
      <c r="M292" s="1103"/>
      <c r="N292" s="1103"/>
      <c r="O292" s="1103"/>
      <c r="P292" s="1103"/>
      <c r="Q292" s="1103"/>
      <c r="R292" s="1103"/>
      <c r="S292" s="1103"/>
      <c r="T292" s="1103"/>
      <c r="U292" s="1103"/>
      <c r="V292" s="1103"/>
      <c r="W292" s="1103"/>
      <c r="X292" s="1103"/>
      <c r="Y292" s="1103"/>
      <c r="Z292" s="1103"/>
    </row>
    <row r="293" spans="1:26" ht="25.5" outlineLevel="1">
      <c r="A293" s="1098">
        <f>A292+1</f>
        <v>160</v>
      </c>
      <c r="B293" s="1051" t="s">
        <v>3473</v>
      </c>
      <c r="C293" s="1112" t="s">
        <v>3342</v>
      </c>
      <c r="D293" s="1099" t="s">
        <v>122</v>
      </c>
      <c r="E293" s="1114"/>
      <c r="F293" s="1073" t="s">
        <v>3564</v>
      </c>
      <c r="G293" s="1196" t="s">
        <v>3625</v>
      </c>
      <c r="H293" s="1197" t="s">
        <v>3626</v>
      </c>
      <c r="I293" s="1198"/>
      <c r="J293" s="1199"/>
      <c r="K293" s="1200">
        <v>46.17</v>
      </c>
      <c r="L293" s="1103"/>
      <c r="M293" s="1103"/>
      <c r="N293" s="1103"/>
      <c r="O293" s="1103"/>
      <c r="P293" s="1103"/>
      <c r="Q293" s="1103"/>
      <c r="R293" s="1103"/>
      <c r="S293" s="1103"/>
      <c r="T293" s="1103"/>
      <c r="U293" s="1103"/>
      <c r="V293" s="1103"/>
      <c r="W293" s="1103"/>
      <c r="X293" s="1103"/>
      <c r="Y293" s="1103"/>
      <c r="Z293" s="1103"/>
    </row>
    <row r="294" spans="1:26" ht="45" customHeight="1" outlineLevel="1">
      <c r="A294" s="1098">
        <f>A292+1</f>
        <v>160</v>
      </c>
      <c r="B294" s="1144" t="s">
        <v>3473</v>
      </c>
      <c r="C294" s="1112" t="s">
        <v>3342</v>
      </c>
      <c r="D294" s="1099" t="s">
        <v>122</v>
      </c>
      <c r="E294" s="1114"/>
      <c r="F294" s="1145" t="s">
        <v>3564</v>
      </c>
      <c r="G294" s="1136" t="s">
        <v>3627</v>
      </c>
      <c r="H294" s="1136" t="s">
        <v>3628</v>
      </c>
      <c r="I294" s="1136"/>
      <c r="J294" s="1147"/>
      <c r="K294" s="1200">
        <f>(14.9-(14.9/100*40))*400</f>
        <v>3576.0000000000005</v>
      </c>
      <c r="M294" s="1103"/>
      <c r="N294" s="1103"/>
      <c r="O294" s="1103"/>
      <c r="P294" s="1103"/>
      <c r="Q294" s="1103"/>
      <c r="R294" s="1103"/>
      <c r="S294" s="1103"/>
      <c r="T294" s="1103"/>
      <c r="U294" s="1103"/>
      <c r="V294" s="1103"/>
      <c r="W294" s="1103"/>
      <c r="X294" s="1103"/>
      <c r="Y294" s="1103"/>
      <c r="Z294" s="1103"/>
    </row>
    <row r="295" spans="1:26" ht="25.5" customHeight="1" outlineLevel="1">
      <c r="A295" s="1098">
        <f t="shared" ref="A295:A296" si="16">A294+1</f>
        <v>161</v>
      </c>
      <c r="B295" s="1051" t="s">
        <v>3462</v>
      </c>
      <c r="C295" s="1066" t="s">
        <v>3342</v>
      </c>
      <c r="D295" s="1099" t="s">
        <v>122</v>
      </c>
      <c r="E295" s="1136"/>
      <c r="F295" s="1073" t="s">
        <v>3564</v>
      </c>
      <c r="G295" s="1035" t="s">
        <v>3629</v>
      </c>
      <c r="H295" s="1035" t="s">
        <v>3630</v>
      </c>
      <c r="I295" s="1035"/>
      <c r="J295" s="1139"/>
      <c r="K295" s="1118">
        <f>3.25*180</f>
        <v>585</v>
      </c>
      <c r="L295" s="1134"/>
      <c r="M295" s="1030"/>
      <c r="N295" s="1030"/>
      <c r="O295" s="1030"/>
      <c r="P295" s="1030"/>
      <c r="Q295" s="1030"/>
      <c r="R295" s="1030"/>
      <c r="S295" s="1030"/>
      <c r="T295" s="1030"/>
      <c r="U295" s="1030"/>
      <c r="V295" s="1030"/>
      <c r="W295" s="1030"/>
      <c r="X295" s="1030"/>
      <c r="Y295" s="1030"/>
      <c r="Z295" s="1030"/>
    </row>
    <row r="296" spans="1:26" ht="12.75" customHeight="1" outlineLevel="1">
      <c r="A296" s="1098">
        <f t="shared" si="16"/>
        <v>162</v>
      </c>
      <c r="B296" s="1051" t="s">
        <v>3485</v>
      </c>
      <c r="C296" s="1066" t="s">
        <v>3342</v>
      </c>
      <c r="D296" s="1113" t="s">
        <v>122</v>
      </c>
      <c r="E296" s="1136"/>
      <c r="F296" s="1073" t="s">
        <v>3564</v>
      </c>
      <c r="G296" s="1035" t="s">
        <v>3609</v>
      </c>
      <c r="H296" s="1114" t="s">
        <v>3631</v>
      </c>
      <c r="I296" s="1114"/>
      <c r="J296" s="1122"/>
      <c r="K296" s="1118">
        <v>276.13</v>
      </c>
      <c r="L296" s="1039"/>
      <c r="M296" s="1039"/>
      <c r="N296" s="1039"/>
      <c r="O296" s="1039"/>
      <c r="P296" s="1039"/>
      <c r="Q296" s="1039"/>
      <c r="R296" s="1039"/>
      <c r="S296" s="1039"/>
      <c r="T296" s="1039"/>
      <c r="U296" s="1039"/>
      <c r="V296" s="1039"/>
      <c r="W296" s="1039"/>
      <c r="X296" s="1039"/>
      <c r="Y296" s="1039"/>
      <c r="Z296" s="1039"/>
    </row>
    <row r="297" spans="1:26" ht="63.75" customHeight="1" outlineLevel="1">
      <c r="A297" s="1098">
        <f>A295+1</f>
        <v>162</v>
      </c>
      <c r="B297" s="1051" t="s">
        <v>3466</v>
      </c>
      <c r="C297" s="1066" t="s">
        <v>3342</v>
      </c>
      <c r="D297" s="1113" t="s">
        <v>122</v>
      </c>
      <c r="E297" s="1136"/>
      <c r="F297" s="1073" t="s">
        <v>3564</v>
      </c>
      <c r="G297" s="1035" t="s">
        <v>3632</v>
      </c>
      <c r="H297" s="1163" t="s">
        <v>3633</v>
      </c>
      <c r="I297" s="1163" t="s">
        <v>3634</v>
      </c>
      <c r="J297" s="1122"/>
      <c r="K297" s="1118">
        <f>8924.68+3745.45+102+3250.91+27.27+0.82+0.02</f>
        <v>16051.150000000001</v>
      </c>
      <c r="L297" s="1134"/>
      <c r="M297" s="1030"/>
      <c r="N297" s="1030"/>
      <c r="O297" s="1030"/>
      <c r="P297" s="1030"/>
      <c r="Q297" s="1030"/>
      <c r="R297" s="1030"/>
      <c r="S297" s="1030"/>
      <c r="T297" s="1030"/>
      <c r="U297" s="1030"/>
      <c r="V297" s="1030"/>
      <c r="W297" s="1030"/>
      <c r="X297" s="1030"/>
      <c r="Y297" s="1030"/>
      <c r="Z297" s="1030"/>
    </row>
    <row r="298" spans="1:26" ht="12.75" customHeight="1">
      <c r="A298" s="1061"/>
      <c r="B298" s="1039"/>
      <c r="C298" s="1039"/>
      <c r="D298" s="1088" t="s">
        <v>3537</v>
      </c>
      <c r="E298" s="1089"/>
      <c r="F298" s="1089"/>
      <c r="G298" s="1089"/>
      <c r="H298" s="1090"/>
      <c r="I298" s="1089"/>
      <c r="J298" s="1164"/>
      <c r="K298" s="1091">
        <f>SUM(K132:K297)</f>
        <v>101131.17916666667</v>
      </c>
      <c r="L298" s="1030"/>
      <c r="M298" s="1030"/>
      <c r="N298" s="1030"/>
      <c r="O298" s="1030"/>
      <c r="P298" s="1030"/>
      <c r="Q298" s="1030"/>
      <c r="R298" s="1030"/>
      <c r="S298" s="1030"/>
      <c r="T298" s="1030"/>
      <c r="U298" s="1030"/>
      <c r="V298" s="1030"/>
      <c r="W298" s="1030"/>
      <c r="X298" s="1030"/>
      <c r="Y298" s="1030"/>
      <c r="Z298" s="1030"/>
    </row>
    <row r="299" spans="1:26" ht="12.75" customHeight="1">
      <c r="A299" s="1061"/>
      <c r="B299" s="1039"/>
      <c r="C299" s="1039"/>
      <c r="D299" s="1092"/>
      <c r="E299" s="1092"/>
      <c r="F299" s="1092"/>
      <c r="G299" s="1092"/>
      <c r="H299" s="1093"/>
      <c r="I299" s="1092"/>
      <c r="J299" s="1092"/>
      <c r="K299" s="1094"/>
      <c r="L299" s="1060"/>
      <c r="M299" s="1030"/>
      <c r="N299" s="1030"/>
      <c r="O299" s="1030"/>
      <c r="P299" s="1030"/>
      <c r="Q299" s="1030"/>
      <c r="R299" s="1030"/>
      <c r="S299" s="1030"/>
      <c r="T299" s="1030"/>
      <c r="U299" s="1030"/>
      <c r="V299" s="1030"/>
      <c r="W299" s="1030"/>
      <c r="X299" s="1030"/>
      <c r="Y299" s="1030"/>
      <c r="Z299" s="1030"/>
    </row>
    <row r="300" spans="1:26" ht="12.75" hidden="1" customHeight="1" outlineLevel="1">
      <c r="A300" s="1039"/>
      <c r="B300" s="1030"/>
      <c r="C300" s="1030"/>
      <c r="D300" s="1031" t="s">
        <v>3538</v>
      </c>
      <c r="E300" s="1031"/>
      <c r="F300" s="1031"/>
      <c r="G300" s="1031"/>
      <c r="H300" s="1031"/>
      <c r="I300" s="1032"/>
      <c r="J300" s="1031"/>
      <c r="K300" s="1033"/>
      <c r="L300" s="1039"/>
      <c r="M300" s="1039"/>
      <c r="N300" s="1039"/>
      <c r="O300" s="1039"/>
      <c r="P300" s="1039"/>
      <c r="Q300" s="1039"/>
      <c r="R300" s="1039"/>
      <c r="S300" s="1039"/>
      <c r="T300" s="1039"/>
      <c r="U300" s="1039"/>
      <c r="V300" s="1039"/>
      <c r="W300" s="1039"/>
      <c r="X300" s="1039"/>
      <c r="Y300" s="1039"/>
      <c r="Z300" s="1039"/>
    </row>
    <row r="301" spans="1:26" ht="12.75" hidden="1" customHeight="1" outlineLevel="1">
      <c r="A301" s="1039"/>
      <c r="B301" s="1062" t="s">
        <v>3373</v>
      </c>
      <c r="C301" s="1063" t="s">
        <v>3374</v>
      </c>
      <c r="D301" s="1064" t="s">
        <v>3539</v>
      </c>
      <c r="E301" s="1064" t="s">
        <v>3376</v>
      </c>
      <c r="F301" s="1064" t="s">
        <v>3539</v>
      </c>
      <c r="G301" s="1064" t="s">
        <v>3377</v>
      </c>
      <c r="H301" s="1064" t="s">
        <v>3540</v>
      </c>
      <c r="I301" s="1064" t="s">
        <v>3379</v>
      </c>
      <c r="J301" s="1064" t="s">
        <v>3380</v>
      </c>
      <c r="K301" s="1065" t="s">
        <v>3381</v>
      </c>
      <c r="L301" s="1039"/>
      <c r="M301" s="1039"/>
      <c r="N301" s="1039"/>
      <c r="O301" s="1039"/>
      <c r="P301" s="1039"/>
      <c r="Q301" s="1039"/>
      <c r="R301" s="1039"/>
      <c r="S301" s="1039"/>
      <c r="T301" s="1039"/>
      <c r="U301" s="1039"/>
      <c r="V301" s="1039"/>
      <c r="W301" s="1039"/>
      <c r="X301" s="1039"/>
      <c r="Y301" s="1039"/>
      <c r="Z301" s="1039"/>
    </row>
    <row r="302" spans="1:26" ht="12.75" hidden="1" customHeight="1" outlineLevel="1">
      <c r="A302" s="1039"/>
      <c r="B302" s="1051" t="s">
        <v>3541</v>
      </c>
      <c r="C302" s="1066" t="s">
        <v>3342</v>
      </c>
      <c r="D302" s="1062">
        <f>E8</f>
        <v>0</v>
      </c>
      <c r="E302" s="1035"/>
      <c r="F302" s="1138" t="s">
        <v>122</v>
      </c>
      <c r="G302" s="1087"/>
      <c r="H302" s="1068">
        <f>IF(F302="x",IF(AND($F$320&gt;=4000,OR(E302="MT",E302="MTcod",E302="ET",E302="ETcod")),IF((10*($F$320-4000)/100)&lt;=300,10*($F$320-4000)/100,300),0))+IF(F302="x",IF(AND($F$320&gt;=2500,OR(E302="ST",E302="STcod")),IF((10*($F$320-2500)/100)&lt;=200,10*($F$320-2500)/100,200),0))+IF(F302="x",IF(AND($F$320&gt;=1500,OR(E302="T",E302="Tcod")),IF((10*($F$320-1500)/100)&lt;=100,10*($F$320-1500)/100,100),0))+IF(F302="x",IF(AND($F$320&gt;=1500,OR(E302="HTS",E302="STS",E302="TS")),IF((10*($F$320-1500)/100)&lt;=100,10*($F$320-1500)/100,100),0))+IF(F302="x",IF(AND($F$320&gt;=2000,OR(E302="MTCoach",E302="ETCoach")),IF((10*($F$320-2000)/100*2)&lt;=300,10*($F$320-2000)/100*2,300),0))+IF(F302="x",IF(AND($F$320&gt;=1500,E302="STCoach"),IF((10*($F$320-1500)/100*2)&lt;=200,10*($F$320-1500)/100*2,200),0))+IF(F302="x",IF(AND($F$320&gt;=1000,E302="TCoach"),IF((10*($F$320-1000)/100*2)&lt;=100,10*($F$320-1000)/100*2,100),0))</f>
        <v>0</v>
      </c>
      <c r="I302" s="1062">
        <f>$E$3</f>
        <v>8</v>
      </c>
      <c r="J302" s="1035"/>
      <c r="K302" s="1068">
        <f>I302*(H302)+J302</f>
        <v>0</v>
      </c>
      <c r="L302" s="1039"/>
      <c r="M302" s="1039"/>
      <c r="N302" s="1039"/>
      <c r="O302" s="1039"/>
      <c r="P302" s="1039"/>
      <c r="Q302" s="1039"/>
      <c r="R302" s="1039"/>
      <c r="S302" s="1039"/>
      <c r="T302" s="1039"/>
      <c r="U302" s="1039"/>
      <c r="V302" s="1039"/>
      <c r="W302" s="1039"/>
      <c r="X302" s="1039"/>
      <c r="Y302" s="1039"/>
      <c r="Z302" s="1039"/>
    </row>
    <row r="303" spans="1:26" ht="12.75" hidden="1" customHeight="1" outlineLevel="1">
      <c r="A303" s="1039"/>
      <c r="B303" s="1030"/>
      <c r="C303" s="1030"/>
      <c r="D303" s="1060"/>
      <c r="E303" s="1060"/>
      <c r="F303" s="1060"/>
      <c r="G303" s="1060"/>
      <c r="H303" s="1060"/>
      <c r="I303" s="1165"/>
      <c r="J303" s="1060"/>
      <c r="K303" s="1166"/>
      <c r="L303" s="1039"/>
      <c r="M303" s="1039"/>
      <c r="N303" s="1039"/>
      <c r="O303" s="1039"/>
      <c r="P303" s="1039"/>
      <c r="Q303" s="1039"/>
      <c r="R303" s="1039"/>
      <c r="S303" s="1039"/>
      <c r="T303" s="1039"/>
      <c r="U303" s="1039"/>
      <c r="V303" s="1039"/>
      <c r="W303" s="1039"/>
      <c r="X303" s="1039"/>
      <c r="Y303" s="1039"/>
      <c r="Z303" s="1039"/>
    </row>
    <row r="304" spans="1:26" ht="12.75" hidden="1" customHeight="1" outlineLevel="1">
      <c r="A304" s="1039"/>
      <c r="B304" s="1062" t="s">
        <v>3373</v>
      </c>
      <c r="C304" s="1063" t="s">
        <v>3374</v>
      </c>
      <c r="D304" s="1064" t="s">
        <v>3359</v>
      </c>
      <c r="E304" s="1064" t="s">
        <v>3542</v>
      </c>
      <c r="F304" s="1064"/>
      <c r="G304" s="1064"/>
      <c r="H304" s="1064" t="s">
        <v>3377</v>
      </c>
      <c r="I304" s="1064"/>
      <c r="J304" s="1064"/>
      <c r="K304" s="1065" t="s">
        <v>3381</v>
      </c>
      <c r="L304" s="1039"/>
      <c r="M304" s="1039"/>
      <c r="N304" s="1039"/>
      <c r="O304" s="1039"/>
      <c r="P304" s="1039"/>
      <c r="Q304" s="1039"/>
      <c r="R304" s="1039"/>
      <c r="S304" s="1039"/>
      <c r="T304" s="1039"/>
      <c r="U304" s="1039"/>
      <c r="V304" s="1039"/>
      <c r="W304" s="1039"/>
      <c r="X304" s="1039"/>
      <c r="Y304" s="1039"/>
      <c r="Z304" s="1039"/>
    </row>
    <row r="305" spans="1:26" ht="12.75" hidden="1" customHeight="1" outlineLevel="1">
      <c r="A305" s="1039"/>
      <c r="B305" s="1051" t="s">
        <v>3541</v>
      </c>
      <c r="C305" s="1066" t="s">
        <v>117</v>
      </c>
      <c r="D305" s="1050" t="str">
        <f t="shared" ref="D305:D309" si="17">K7</f>
        <v>-</v>
      </c>
      <c r="E305" s="1167" t="s">
        <v>3543</v>
      </c>
      <c r="F305" s="1168"/>
      <c r="G305" s="1169"/>
      <c r="H305" s="1170"/>
      <c r="I305" s="1168"/>
      <c r="J305" s="1169"/>
      <c r="K305" s="1068">
        <v>0</v>
      </c>
      <c r="L305" s="1039"/>
      <c r="M305" s="1039"/>
      <c r="N305" s="1039"/>
      <c r="O305" s="1039"/>
      <c r="P305" s="1039"/>
      <c r="Q305" s="1039"/>
      <c r="R305" s="1039"/>
      <c r="S305" s="1039"/>
      <c r="T305" s="1039"/>
      <c r="U305" s="1039"/>
      <c r="V305" s="1039"/>
      <c r="W305" s="1039"/>
      <c r="X305" s="1039"/>
      <c r="Y305" s="1039"/>
      <c r="Z305" s="1039"/>
    </row>
    <row r="306" spans="1:26" ht="12.75" hidden="1" customHeight="1" outlineLevel="1">
      <c r="A306" s="1039"/>
      <c r="B306" s="1051" t="s">
        <v>3541</v>
      </c>
      <c r="C306" s="1066" t="s">
        <v>117</v>
      </c>
      <c r="D306" s="1050" t="str">
        <f t="shared" si="17"/>
        <v>-</v>
      </c>
      <c r="E306" s="1167" t="s">
        <v>3544</v>
      </c>
      <c r="F306" s="1168"/>
      <c r="G306" s="1169"/>
      <c r="H306" s="1170"/>
      <c r="I306" s="1168"/>
      <c r="J306" s="1169"/>
      <c r="K306" s="1068">
        <v>0</v>
      </c>
      <c r="L306" s="1039"/>
      <c r="M306" s="1039"/>
      <c r="N306" s="1039"/>
      <c r="O306" s="1039"/>
      <c r="P306" s="1039"/>
      <c r="Q306" s="1039"/>
      <c r="R306" s="1039"/>
      <c r="S306" s="1039"/>
      <c r="T306" s="1039"/>
      <c r="U306" s="1039"/>
      <c r="V306" s="1039"/>
      <c r="W306" s="1039"/>
      <c r="X306" s="1039"/>
      <c r="Y306" s="1039"/>
      <c r="Z306" s="1039"/>
    </row>
    <row r="307" spans="1:26" ht="12.75" hidden="1" customHeight="1" outlineLevel="1">
      <c r="A307" s="1039"/>
      <c r="B307" s="1051" t="s">
        <v>3541</v>
      </c>
      <c r="C307" s="1066" t="s">
        <v>117</v>
      </c>
      <c r="D307" s="1050" t="str">
        <f t="shared" si="17"/>
        <v>-</v>
      </c>
      <c r="E307" s="1167" t="s">
        <v>3545</v>
      </c>
      <c r="F307" s="1168"/>
      <c r="G307" s="1169"/>
      <c r="H307" s="1170"/>
      <c r="I307" s="1168"/>
      <c r="J307" s="1169"/>
      <c r="K307" s="1068">
        <v>0</v>
      </c>
      <c r="L307" s="1039"/>
      <c r="M307" s="1039"/>
      <c r="N307" s="1039"/>
      <c r="O307" s="1039"/>
      <c r="P307" s="1039"/>
      <c r="Q307" s="1039"/>
      <c r="R307" s="1039"/>
      <c r="S307" s="1039"/>
      <c r="T307" s="1039"/>
      <c r="U307" s="1039"/>
      <c r="V307" s="1039"/>
      <c r="W307" s="1039"/>
      <c r="X307" s="1039"/>
      <c r="Y307" s="1039"/>
      <c r="Z307" s="1039"/>
    </row>
    <row r="308" spans="1:26" ht="12.75" hidden="1" customHeight="1" outlineLevel="1">
      <c r="A308" s="1039"/>
      <c r="B308" s="1051" t="s">
        <v>3541</v>
      </c>
      <c r="C308" s="1066" t="s">
        <v>117</v>
      </c>
      <c r="D308" s="1050">
        <f t="shared" si="17"/>
        <v>0</v>
      </c>
      <c r="E308" s="1167" t="s">
        <v>3546</v>
      </c>
      <c r="F308" s="1168"/>
      <c r="G308" s="1169"/>
      <c r="H308" s="1168"/>
      <c r="I308" s="1168"/>
      <c r="J308" s="1169"/>
      <c r="K308" s="1068">
        <f t="shared" ref="K308:K309" si="18">F327</f>
        <v>0</v>
      </c>
      <c r="L308" s="1039"/>
      <c r="M308" s="1039"/>
      <c r="N308" s="1039"/>
      <c r="O308" s="1039"/>
      <c r="P308" s="1039"/>
      <c r="Q308" s="1039"/>
      <c r="R308" s="1039"/>
      <c r="S308" s="1039"/>
      <c r="T308" s="1039"/>
      <c r="U308" s="1039"/>
      <c r="V308" s="1039"/>
      <c r="W308" s="1039"/>
      <c r="X308" s="1039"/>
      <c r="Y308" s="1039"/>
      <c r="Z308" s="1039"/>
    </row>
    <row r="309" spans="1:26" ht="12.75" hidden="1" customHeight="1" outlineLevel="1">
      <c r="A309" s="1039"/>
      <c r="B309" s="1051" t="s">
        <v>3541</v>
      </c>
      <c r="C309" s="1066" t="s">
        <v>117</v>
      </c>
      <c r="D309" s="1050" t="str">
        <f t="shared" si="17"/>
        <v>-</v>
      </c>
      <c r="E309" s="1167" t="s">
        <v>3547</v>
      </c>
      <c r="F309" s="1168"/>
      <c r="G309" s="1169"/>
      <c r="H309" s="1168"/>
      <c r="I309" s="1168"/>
      <c r="J309" s="1169"/>
      <c r="K309" s="1068">
        <f t="shared" si="18"/>
        <v>0</v>
      </c>
      <c r="L309" s="1039"/>
      <c r="M309" s="1030"/>
      <c r="N309" s="1030"/>
      <c r="O309" s="1030"/>
      <c r="P309" s="1030"/>
      <c r="Q309" s="1030"/>
      <c r="R309" s="1030"/>
      <c r="S309" s="1030"/>
      <c r="T309" s="1030"/>
      <c r="U309" s="1030"/>
      <c r="V309" s="1030"/>
      <c r="W309" s="1030"/>
      <c r="X309" s="1030"/>
      <c r="Y309" s="1030"/>
      <c r="Z309" s="1030"/>
    </row>
    <row r="310" spans="1:26" ht="15.75" hidden="1" customHeight="1" outlineLevel="1">
      <c r="A310" s="1039"/>
      <c r="B310" s="1030"/>
      <c r="C310" s="1030"/>
      <c r="D310" s="1088" t="s">
        <v>3548</v>
      </c>
      <c r="E310" s="1089"/>
      <c r="F310" s="1089"/>
      <c r="G310" s="1089"/>
      <c r="H310" s="1090"/>
      <c r="I310" s="1089"/>
      <c r="J310" s="1089"/>
      <c r="K310" s="1091">
        <f>K302+SUM(K305:K309)</f>
        <v>0</v>
      </c>
      <c r="L310" s="1039"/>
      <c r="M310" s="1171"/>
      <c r="N310" s="1171"/>
      <c r="O310" s="1171"/>
      <c r="P310" s="1171"/>
      <c r="Q310" s="1171"/>
      <c r="R310" s="1171"/>
      <c r="S310" s="1171"/>
      <c r="T310" s="1171"/>
      <c r="U310" s="1171"/>
      <c r="V310" s="1171"/>
      <c r="W310" s="1171"/>
      <c r="X310" s="1171"/>
      <c r="Y310" s="1171"/>
      <c r="Z310" s="1171"/>
    </row>
    <row r="311" spans="1:26" ht="12.75" hidden="1" customHeight="1" outlineLevel="1">
      <c r="A311" s="1030"/>
      <c r="B311" s="1030"/>
      <c r="C311" s="1030"/>
      <c r="D311" s="1030"/>
      <c r="E311" s="1172"/>
      <c r="F311" s="1172"/>
      <c r="G311" s="1172"/>
      <c r="H311" s="1172"/>
      <c r="I311" s="1172"/>
      <c r="J311" s="1172"/>
      <c r="K311" s="1172"/>
      <c r="L311" s="1030"/>
      <c r="M311" s="1030"/>
      <c r="N311" s="1030"/>
      <c r="O311" s="1030"/>
      <c r="P311" s="1030"/>
      <c r="Q311" s="1030"/>
      <c r="R311" s="1030"/>
      <c r="S311" s="1030"/>
      <c r="T311" s="1030"/>
      <c r="U311" s="1030"/>
      <c r="V311" s="1030"/>
      <c r="W311" s="1030"/>
      <c r="X311" s="1030"/>
      <c r="Y311" s="1030"/>
      <c r="Z311" s="1030"/>
    </row>
    <row r="312" spans="1:26" ht="12.75" hidden="1" customHeight="1" outlineLevel="1">
      <c r="A312" s="1030"/>
      <c r="B312" s="1030"/>
      <c r="C312" s="1030"/>
      <c r="D312" s="1173" t="s">
        <v>3549</v>
      </c>
      <c r="E312" s="1174"/>
      <c r="F312" s="1174"/>
      <c r="G312" s="1174"/>
      <c r="H312" s="1174"/>
      <c r="I312" s="1175"/>
      <c r="J312" s="1174"/>
      <c r="K312" s="1176"/>
      <c r="L312" s="1030"/>
      <c r="M312" s="1030"/>
      <c r="N312" s="1030"/>
      <c r="O312" s="1030"/>
      <c r="P312" s="1030"/>
      <c r="Q312" s="1030"/>
      <c r="R312" s="1030"/>
      <c r="S312" s="1030"/>
      <c r="T312" s="1030"/>
      <c r="U312" s="1030"/>
      <c r="V312" s="1030"/>
      <c r="W312" s="1030"/>
      <c r="X312" s="1030"/>
      <c r="Y312" s="1030"/>
      <c r="Z312" s="1030"/>
    </row>
    <row r="313" spans="1:26" ht="12.75" hidden="1" customHeight="1" outlineLevel="1">
      <c r="A313" s="1030"/>
      <c r="B313" s="1062" t="s">
        <v>3550</v>
      </c>
      <c r="C313" s="1063" t="s">
        <v>3374</v>
      </c>
      <c r="D313" s="1177" t="s">
        <v>3551</v>
      </c>
      <c r="E313" s="1064"/>
      <c r="F313" s="1064"/>
      <c r="G313" s="1064"/>
      <c r="H313" s="1064"/>
      <c r="I313" s="1097" t="s">
        <v>3377</v>
      </c>
      <c r="J313" s="1064"/>
      <c r="K313" s="1064" t="s">
        <v>3381</v>
      </c>
      <c r="L313" s="1030"/>
      <c r="M313" s="1030"/>
      <c r="N313" s="1030"/>
      <c r="O313" s="1030"/>
      <c r="P313" s="1030"/>
      <c r="Q313" s="1030"/>
      <c r="R313" s="1030"/>
      <c r="S313" s="1030"/>
      <c r="T313" s="1030"/>
      <c r="U313" s="1030"/>
      <c r="V313" s="1030"/>
      <c r="W313" s="1030"/>
      <c r="X313" s="1030"/>
      <c r="Y313" s="1030"/>
      <c r="Z313" s="1030"/>
    </row>
    <row r="314" spans="1:26" ht="15.75" hidden="1" customHeight="1" outlineLevel="1">
      <c r="A314" s="1030"/>
      <c r="B314" s="1051" t="s">
        <v>3552</v>
      </c>
      <c r="C314" s="1066" t="s">
        <v>117</v>
      </c>
      <c r="D314" s="1178" t="str">
        <f>I2</f>
        <v>Master in Vendita</v>
      </c>
      <c r="E314" s="1179"/>
      <c r="F314" s="1180"/>
      <c r="G314" s="1181" t="str">
        <f>G2</f>
        <v>19-20-21 maggio, 9-10-11 giugno e 1-2 luglio</v>
      </c>
      <c r="H314" s="1180" t="str">
        <f>G3</f>
        <v>Bussolengo (VR)</v>
      </c>
      <c r="I314" s="1167"/>
      <c r="J314" s="1116"/>
      <c r="K314" s="1182">
        <f>F319</f>
        <v>158923.85</v>
      </c>
      <c r="L314" s="1030"/>
      <c r="M314" s="1171"/>
      <c r="N314" s="1171"/>
      <c r="O314" s="1171"/>
      <c r="P314" s="1171"/>
      <c r="Q314" s="1171"/>
      <c r="R314" s="1171"/>
      <c r="S314" s="1171"/>
      <c r="T314" s="1171"/>
      <c r="U314" s="1171"/>
      <c r="V314" s="1171"/>
      <c r="W314" s="1171"/>
      <c r="X314" s="1171"/>
      <c r="Y314" s="1171"/>
      <c r="Z314" s="1171"/>
    </row>
    <row r="315" spans="1:26" ht="15.75" hidden="1" customHeight="1" outlineLevel="1">
      <c r="A315" s="1030"/>
      <c r="B315" s="1051" t="s">
        <v>3553</v>
      </c>
      <c r="C315" s="1066" t="s">
        <v>117</v>
      </c>
      <c r="D315" s="1183" t="s">
        <v>3352</v>
      </c>
      <c r="E315" s="1184"/>
      <c r="F315" s="1179"/>
      <c r="G315" s="1179"/>
      <c r="H315" s="1185"/>
      <c r="I315" s="1167"/>
      <c r="J315" s="1116"/>
      <c r="K315" s="1068">
        <f>K298-SUMIF(D132:D297,"x",K132:K297)</f>
        <v>0</v>
      </c>
      <c r="L315" s="1030"/>
      <c r="M315" s="1030"/>
      <c r="N315" s="1030"/>
      <c r="O315" s="1030"/>
      <c r="P315" s="1030"/>
      <c r="Q315" s="1030"/>
      <c r="R315" s="1030"/>
      <c r="S315" s="1030"/>
      <c r="T315" s="1030"/>
      <c r="U315" s="1030"/>
      <c r="V315" s="1030"/>
      <c r="W315" s="1030"/>
      <c r="X315" s="1030"/>
      <c r="Y315" s="1030"/>
      <c r="Z315" s="1030"/>
    </row>
    <row r="316" spans="1:26" ht="15.75" customHeight="1" collapsed="1">
      <c r="A316" s="1171"/>
      <c r="B316" s="1030"/>
      <c r="C316" s="1030"/>
      <c r="D316" s="1030"/>
      <c r="E316" s="1030"/>
      <c r="F316" s="1030"/>
      <c r="G316" s="1030"/>
      <c r="H316" s="1186"/>
      <c r="I316" s="1030"/>
      <c r="J316" s="1030"/>
      <c r="K316" s="1030"/>
      <c r="L316" s="1171"/>
      <c r="M316" s="1030"/>
      <c r="N316" s="1030"/>
      <c r="O316" s="1030"/>
      <c r="P316" s="1030"/>
      <c r="Q316" s="1030"/>
      <c r="R316" s="1030"/>
      <c r="S316" s="1030"/>
      <c r="T316" s="1030"/>
      <c r="U316" s="1030"/>
      <c r="V316" s="1030"/>
      <c r="W316" s="1030"/>
      <c r="X316" s="1030"/>
      <c r="Y316" s="1030"/>
      <c r="Z316" s="1030"/>
    </row>
    <row r="317" spans="1:26" ht="15.75" customHeight="1">
      <c r="A317" s="1171"/>
      <c r="B317" s="1030"/>
      <c r="C317" s="1030"/>
      <c r="D317" s="1088" t="s">
        <v>3554</v>
      </c>
      <c r="E317" s="1089"/>
      <c r="F317" s="1187"/>
      <c r="G317" s="1030"/>
      <c r="H317" s="1030"/>
      <c r="I317" s="1030"/>
      <c r="J317" s="1030" t="s">
        <v>3555</v>
      </c>
      <c r="K317" s="1186"/>
      <c r="L317" s="1171"/>
      <c r="M317" s="1030"/>
      <c r="N317" s="1030"/>
      <c r="O317" s="1030"/>
      <c r="P317" s="1030"/>
      <c r="Q317" s="1030"/>
      <c r="R317" s="1030"/>
      <c r="S317" s="1030"/>
      <c r="T317" s="1030"/>
      <c r="U317" s="1030"/>
      <c r="V317" s="1030"/>
      <c r="W317" s="1030"/>
      <c r="X317" s="1030"/>
      <c r="Y317" s="1030"/>
      <c r="Z317" s="1030"/>
    </row>
    <row r="318" spans="1:26" ht="15.75" customHeight="1">
      <c r="A318" s="1030"/>
      <c r="B318" s="1030"/>
      <c r="C318" s="1030"/>
      <c r="D318" s="1034" t="s">
        <v>3556</v>
      </c>
      <c r="E318" s="1034"/>
      <c r="F318" s="1072">
        <f>K125+SUMIF(D129,"x",K129)+SUMIF(D132:D297,"x",K132:K297)</f>
        <v>170151.17916666667</v>
      </c>
      <c r="G318" s="1030"/>
      <c r="H318" s="1134"/>
      <c r="I318" s="1030"/>
      <c r="J318" s="1060"/>
      <c r="K318" s="1060"/>
      <c r="L318" s="1030"/>
      <c r="M318" s="1030"/>
      <c r="N318" s="1030"/>
      <c r="O318" s="1030"/>
      <c r="P318" s="1030"/>
      <c r="Q318" s="1030"/>
      <c r="R318" s="1030"/>
      <c r="S318" s="1030"/>
      <c r="T318" s="1030"/>
      <c r="U318" s="1030"/>
      <c r="V318" s="1030"/>
      <c r="W318" s="1030"/>
      <c r="X318" s="1030"/>
      <c r="Y318" s="1030"/>
      <c r="Z318" s="1030"/>
    </row>
    <row r="319" spans="1:26" ht="15.75" customHeight="1">
      <c r="A319" s="1030"/>
      <c r="B319" s="1030"/>
      <c r="C319" s="1030"/>
      <c r="D319" s="1034" t="s">
        <v>3343</v>
      </c>
      <c r="E319" s="1188"/>
      <c r="F319" s="1072">
        <f>K2</f>
        <v>158923.85</v>
      </c>
      <c r="G319" s="1171"/>
      <c r="H319" s="1134"/>
      <c r="I319" s="1171"/>
      <c r="J319" s="1060"/>
      <c r="K319" s="1060"/>
      <c r="L319" s="1030"/>
      <c r="M319" s="1030"/>
      <c r="N319" s="1030"/>
      <c r="O319" s="1030"/>
      <c r="P319" s="1030"/>
      <c r="Q319" s="1030"/>
      <c r="R319" s="1030"/>
      <c r="S319" s="1030"/>
      <c r="T319" s="1030"/>
      <c r="U319" s="1030"/>
      <c r="V319" s="1030"/>
      <c r="W319" s="1030"/>
      <c r="X319" s="1030"/>
      <c r="Y319" s="1030"/>
      <c r="Z319" s="1030"/>
    </row>
    <row r="320" spans="1:26" ht="15.75" customHeight="1">
      <c r="A320" s="1030"/>
      <c r="B320" s="1030"/>
      <c r="C320" s="1030"/>
      <c r="D320" s="1034" t="s">
        <v>3557</v>
      </c>
      <c r="E320" s="1188"/>
      <c r="F320" s="1072">
        <f>IF(E3=0,0,F319/E3)</f>
        <v>19865.481250000001</v>
      </c>
      <c r="G320" s="1189"/>
      <c r="H320" s="1134"/>
      <c r="I320" s="1171"/>
      <c r="J320" s="1030"/>
      <c r="K320" s="1030"/>
      <c r="L320" s="1030"/>
      <c r="M320" s="1030"/>
      <c r="N320" s="1030"/>
      <c r="O320" s="1030"/>
      <c r="P320" s="1030"/>
      <c r="Q320" s="1030"/>
      <c r="R320" s="1030"/>
      <c r="S320" s="1030"/>
      <c r="T320" s="1030"/>
      <c r="U320" s="1030"/>
      <c r="V320" s="1030"/>
      <c r="W320" s="1030"/>
      <c r="X320" s="1030"/>
      <c r="Y320" s="1030"/>
      <c r="Z320" s="1030"/>
    </row>
    <row r="321" spans="1:26" ht="15" customHeight="1">
      <c r="A321" s="1030"/>
      <c r="B321" s="1030"/>
      <c r="C321" s="1030"/>
      <c r="D321" s="1034" t="s">
        <v>3352</v>
      </c>
      <c r="E321" s="1188"/>
      <c r="F321" s="1190" t="str">
        <f>K3</f>
        <v>Incluse</v>
      </c>
      <c r="G321" s="1189"/>
      <c r="H321" s="1134"/>
      <c r="I321" s="1171"/>
      <c r="J321" s="1039"/>
      <c r="K321" s="1039"/>
      <c r="L321" s="1030"/>
      <c r="M321" s="1030"/>
      <c r="N321" s="1030"/>
      <c r="O321" s="1030"/>
      <c r="P321" s="1030"/>
      <c r="Q321" s="1030"/>
      <c r="R321" s="1030"/>
      <c r="S321" s="1030"/>
      <c r="T321" s="1030"/>
      <c r="U321" s="1030"/>
      <c r="V321" s="1030"/>
      <c r="W321" s="1030"/>
      <c r="X321" s="1030"/>
      <c r="Y321" s="1030"/>
      <c r="Z321" s="1030"/>
    </row>
    <row r="322" spans="1:26" ht="15.75" customHeight="1">
      <c r="A322" s="1030"/>
      <c r="B322" s="1030"/>
      <c r="C322" s="1030"/>
      <c r="D322" s="1034" t="s">
        <v>3350</v>
      </c>
      <c r="E322" s="1188"/>
      <c r="F322" s="1190" t="str">
        <f>I3</f>
        <v>Autofinanziato</v>
      </c>
      <c r="G322" s="1189"/>
      <c r="H322" s="1134"/>
      <c r="I322" s="1030"/>
      <c r="J322" s="1060"/>
      <c r="K322" s="1172"/>
      <c r="L322" s="1030"/>
      <c r="M322" s="1030"/>
      <c r="N322" s="1030"/>
      <c r="O322" s="1030"/>
      <c r="P322" s="1030"/>
      <c r="Q322" s="1030"/>
      <c r="R322" s="1030"/>
      <c r="S322" s="1030"/>
      <c r="T322" s="1030"/>
      <c r="U322" s="1030"/>
      <c r="V322" s="1030"/>
      <c r="W322" s="1030"/>
      <c r="X322" s="1030"/>
      <c r="Y322" s="1030"/>
      <c r="Z322" s="1030"/>
    </row>
    <row r="323" spans="1:26" ht="15.75" customHeight="1">
      <c r="A323" s="1030"/>
      <c r="B323" s="1030"/>
      <c r="C323" s="1030"/>
      <c r="D323" s="1034" t="s">
        <v>3558</v>
      </c>
      <c r="E323" s="1188"/>
      <c r="F323" s="1072">
        <f>K302</f>
        <v>0</v>
      </c>
      <c r="G323" s="1189"/>
      <c r="H323" s="1134"/>
      <c r="I323" s="1030"/>
      <c r="J323" s="1060"/>
      <c r="K323" s="1172"/>
      <c r="L323" s="1030"/>
      <c r="M323" s="1030"/>
      <c r="N323" s="1030"/>
      <c r="O323" s="1030"/>
      <c r="P323" s="1030"/>
      <c r="Q323" s="1030"/>
      <c r="R323" s="1030"/>
      <c r="S323" s="1030"/>
      <c r="T323" s="1030"/>
      <c r="U323" s="1030"/>
      <c r="V323" s="1030"/>
      <c r="W323" s="1030"/>
      <c r="X323" s="1030"/>
      <c r="Y323" s="1030"/>
      <c r="Z323" s="1030"/>
    </row>
    <row r="324" spans="1:26" ht="15.75" customHeight="1">
      <c r="A324" s="1030"/>
      <c r="B324" s="1030"/>
      <c r="C324" s="1030"/>
      <c r="D324" s="1034" t="s">
        <v>3361</v>
      </c>
      <c r="E324" s="1191">
        <f t="shared" ref="E324:E328" si="19">J7</f>
        <v>0</v>
      </c>
      <c r="F324" s="1072">
        <f>'Lista Corso'!BT490</f>
        <v>14370.937499999995</v>
      </c>
      <c r="G324" s="1189"/>
      <c r="H324" s="1134"/>
      <c r="I324" s="1171"/>
      <c r="J324" s="1060"/>
      <c r="K324" s="1172"/>
      <c r="L324" s="1030"/>
      <c r="M324" s="1030"/>
      <c r="N324" s="1030"/>
      <c r="O324" s="1030"/>
      <c r="P324" s="1030"/>
      <c r="Q324" s="1030"/>
      <c r="R324" s="1030"/>
      <c r="S324" s="1030"/>
      <c r="T324" s="1030"/>
      <c r="U324" s="1030"/>
      <c r="V324" s="1030"/>
      <c r="W324" s="1030"/>
      <c r="X324" s="1030"/>
      <c r="Y324" s="1030"/>
      <c r="Z324" s="1030"/>
    </row>
    <row r="325" spans="1:26" ht="15.75" customHeight="1">
      <c r="A325" s="1030"/>
      <c r="B325" s="1030"/>
      <c r="C325" s="1030"/>
      <c r="D325" s="1034" t="s">
        <v>3559</v>
      </c>
      <c r="E325" s="1191">
        <f t="shared" si="19"/>
        <v>0</v>
      </c>
      <c r="F325" s="1072">
        <f>'Lista Corso'!CB490</f>
        <v>7467.6625000000058</v>
      </c>
      <c r="G325" s="1189"/>
      <c r="H325" s="1134"/>
      <c r="I325" s="1030"/>
      <c r="J325" s="1060"/>
      <c r="K325" s="1172"/>
      <c r="L325" s="1030"/>
      <c r="M325" s="1030"/>
      <c r="N325" s="1030"/>
      <c r="O325" s="1030"/>
      <c r="P325" s="1030"/>
      <c r="Q325" s="1030"/>
      <c r="R325" s="1030"/>
      <c r="S325" s="1030"/>
      <c r="T325" s="1030"/>
      <c r="U325" s="1030"/>
      <c r="V325" s="1030"/>
      <c r="W325" s="1030"/>
      <c r="X325" s="1030"/>
      <c r="Y325" s="1030"/>
      <c r="Z325" s="1030"/>
    </row>
    <row r="326" spans="1:26" ht="12.75" customHeight="1">
      <c r="A326" s="1030"/>
      <c r="B326" s="1030"/>
      <c r="C326" s="1030"/>
      <c r="D326" s="1034" t="s">
        <v>3365</v>
      </c>
      <c r="E326" s="1191">
        <f t="shared" si="19"/>
        <v>0</v>
      </c>
      <c r="F326" s="1072">
        <f>K307</f>
        <v>0</v>
      </c>
      <c r="G326" s="1189"/>
      <c r="H326" s="1134"/>
      <c r="I326" s="1030"/>
      <c r="J326" s="1060"/>
      <c r="K326" s="1172"/>
      <c r="L326" s="1030"/>
      <c r="M326" s="1030"/>
      <c r="N326" s="1030"/>
      <c r="O326" s="1030"/>
      <c r="P326" s="1030"/>
      <c r="Q326" s="1030"/>
      <c r="R326" s="1030"/>
      <c r="S326" s="1030"/>
      <c r="T326" s="1030"/>
      <c r="U326" s="1030"/>
      <c r="V326" s="1030"/>
      <c r="W326" s="1030"/>
      <c r="X326" s="1030"/>
      <c r="Y326" s="1030"/>
      <c r="Z326" s="1030"/>
    </row>
    <row r="327" spans="1:26" ht="12.75" customHeight="1">
      <c r="A327" s="1030"/>
      <c r="B327" s="1030"/>
      <c r="C327" s="1030"/>
      <c r="D327" s="1034" t="s">
        <v>3367</v>
      </c>
      <c r="E327" s="1191">
        <f t="shared" si="19"/>
        <v>0</v>
      </c>
      <c r="F327" s="1072">
        <f>E327*(F319-SUMIF(D129,"x",K129)-SUMIF(D140:D254,"x",K140:K254))</f>
        <v>0</v>
      </c>
      <c r="G327" s="1192"/>
      <c r="H327" s="1134"/>
      <c r="I327" s="1030"/>
      <c r="J327" s="1193"/>
      <c r="K327" s="1172"/>
      <c r="L327" s="1030"/>
      <c r="M327" s="1030"/>
      <c r="N327" s="1030"/>
      <c r="O327" s="1030"/>
      <c r="P327" s="1030"/>
      <c r="Q327" s="1030"/>
      <c r="R327" s="1030"/>
      <c r="S327" s="1030"/>
      <c r="T327" s="1030"/>
      <c r="U327" s="1030"/>
      <c r="V327" s="1030"/>
      <c r="W327" s="1030"/>
      <c r="X327" s="1030"/>
      <c r="Y327" s="1030"/>
      <c r="Z327" s="1030"/>
    </row>
    <row r="328" spans="1:26" ht="12.75" customHeight="1">
      <c r="A328" s="1030"/>
      <c r="B328" s="1030"/>
      <c r="C328" s="1030"/>
      <c r="D328" s="1034" t="s">
        <v>3369</v>
      </c>
      <c r="E328" s="1191">
        <f t="shared" si="19"/>
        <v>0</v>
      </c>
      <c r="F328" s="1072">
        <f>E328*(F319-SUMIF(D129,"x",K129)-SUMIF(D140:D254,"x",K140:K254))</f>
        <v>0</v>
      </c>
      <c r="G328" s="1189"/>
      <c r="H328" s="1186"/>
      <c r="I328" s="1030"/>
      <c r="J328" s="1030"/>
      <c r="K328" s="1030"/>
      <c r="L328" s="1030"/>
      <c r="M328" s="1030"/>
      <c r="N328" s="1030"/>
      <c r="O328" s="1030"/>
      <c r="P328" s="1030"/>
      <c r="Q328" s="1030"/>
      <c r="R328" s="1030"/>
      <c r="S328" s="1030"/>
      <c r="T328" s="1030"/>
      <c r="U328" s="1030"/>
      <c r="V328" s="1030"/>
      <c r="W328" s="1030"/>
      <c r="X328" s="1030"/>
      <c r="Y328" s="1030"/>
      <c r="Z328" s="1030"/>
    </row>
    <row r="329" spans="1:26" ht="12.75" customHeight="1">
      <c r="A329" s="1030"/>
      <c r="B329" s="1030"/>
      <c r="C329" s="1030"/>
      <c r="D329" s="1034" t="s">
        <v>3560</v>
      </c>
      <c r="E329" s="1034"/>
      <c r="F329" s="1072">
        <f>F319-F318-F323-F324-F325-F326-F327-F328</f>
        <v>-33065.929166666661</v>
      </c>
      <c r="G329" s="1030"/>
      <c r="H329" s="1186"/>
      <c r="I329" s="1030"/>
      <c r="J329" s="1030"/>
      <c r="K329" s="1030"/>
      <c r="L329" s="1030"/>
      <c r="M329" s="1030"/>
      <c r="N329" s="1030"/>
      <c r="O329" s="1030"/>
      <c r="P329" s="1030"/>
      <c r="Q329" s="1030"/>
      <c r="R329" s="1030"/>
      <c r="S329" s="1030"/>
      <c r="T329" s="1030"/>
      <c r="U329" s="1030"/>
      <c r="V329" s="1030"/>
      <c r="W329" s="1030"/>
      <c r="X329" s="1030"/>
      <c r="Y329" s="1030"/>
      <c r="Z329" s="1030"/>
    </row>
    <row r="330" spans="1:26" ht="12.75" customHeight="1">
      <c r="A330" s="1030"/>
      <c r="B330" s="1030"/>
      <c r="C330" s="1030"/>
      <c r="D330" s="1034" t="s">
        <v>3561</v>
      </c>
      <c r="E330" s="1034"/>
      <c r="F330" s="1194">
        <f>IF(F319=0,0,F329/F319)</f>
        <v>-0.20806146570616468</v>
      </c>
      <c r="G330" s="1186"/>
      <c r="H330" s="1030"/>
      <c r="I330" s="1030"/>
      <c r="J330" s="1030"/>
      <c r="K330" s="1030"/>
      <c r="L330" s="1030"/>
      <c r="M330" s="1030"/>
      <c r="N330" s="1030"/>
      <c r="O330" s="1030"/>
      <c r="P330" s="1030"/>
      <c r="Q330" s="1030"/>
      <c r="R330" s="1030"/>
      <c r="S330" s="1030"/>
      <c r="T330" s="1030"/>
      <c r="U330" s="1030"/>
      <c r="V330" s="1030"/>
      <c r="W330" s="1030"/>
      <c r="X330" s="1030"/>
      <c r="Y330" s="1030"/>
      <c r="Z330" s="1030"/>
    </row>
    <row r="331" spans="1:26" ht="12.75" customHeight="1">
      <c r="A331" s="1030"/>
      <c r="B331" s="1030"/>
      <c r="C331" s="1030"/>
      <c r="D331" s="1030"/>
      <c r="E331" s="1030"/>
      <c r="F331" s="1030"/>
      <c r="G331" s="1186"/>
      <c r="H331" s="1030"/>
      <c r="I331" s="1030"/>
      <c r="J331" s="1030"/>
      <c r="K331" s="1030"/>
      <c r="L331" s="1030"/>
      <c r="M331" s="1030"/>
      <c r="N331" s="1030"/>
      <c r="O331" s="1030"/>
      <c r="P331" s="1030"/>
      <c r="Q331" s="1030"/>
      <c r="R331" s="1030"/>
      <c r="S331" s="1030"/>
      <c r="T331" s="1030"/>
      <c r="U331" s="1030"/>
      <c r="V331" s="1030"/>
      <c r="W331" s="1030"/>
      <c r="X331" s="1030"/>
      <c r="Y331" s="1030"/>
      <c r="Z331" s="1030"/>
    </row>
    <row r="332" spans="1:26" ht="12.75" customHeight="1">
      <c r="A332" s="1030"/>
      <c r="B332" s="1030"/>
      <c r="C332" s="1030"/>
      <c r="D332" s="1030"/>
      <c r="E332" s="1030"/>
      <c r="F332" s="1030"/>
      <c r="G332" s="1030"/>
      <c r="H332" s="1186"/>
      <c r="I332" s="1030"/>
      <c r="J332" s="1030"/>
      <c r="K332" s="1030"/>
      <c r="L332" s="1030"/>
      <c r="M332" s="1030"/>
      <c r="N332" s="1030"/>
      <c r="O332" s="1030"/>
      <c r="P332" s="1030"/>
      <c r="Q332" s="1030"/>
      <c r="R332" s="1030"/>
      <c r="S332" s="1030"/>
      <c r="T332" s="1030"/>
      <c r="U332" s="1030"/>
      <c r="V332" s="1030"/>
      <c r="W332" s="1030"/>
      <c r="X332" s="1030"/>
      <c r="Y332" s="1030"/>
      <c r="Z332" s="1030"/>
    </row>
    <row r="333" spans="1:26" ht="12.75" customHeight="1">
      <c r="A333" s="1030"/>
      <c r="B333" s="1030"/>
      <c r="C333" s="1030"/>
      <c r="D333" s="1030"/>
      <c r="E333" s="1030"/>
      <c r="F333" s="1030"/>
      <c r="G333" s="1030"/>
      <c r="H333" s="1186"/>
      <c r="I333" s="1030"/>
      <c r="J333" s="1030"/>
      <c r="K333" s="1030"/>
      <c r="L333" s="1030"/>
      <c r="M333" s="1030"/>
      <c r="N333" s="1030"/>
      <c r="O333" s="1030"/>
      <c r="P333" s="1030"/>
      <c r="Q333" s="1030"/>
      <c r="R333" s="1030"/>
      <c r="S333" s="1030"/>
      <c r="T333" s="1030"/>
      <c r="U333" s="1030"/>
      <c r="V333" s="1030"/>
      <c r="W333" s="1030"/>
      <c r="X333" s="1030"/>
      <c r="Y333" s="1030"/>
      <c r="Z333" s="1030"/>
    </row>
    <row r="334" spans="1:26" ht="12.75" customHeight="1">
      <c r="A334" s="1030"/>
      <c r="B334" s="1030"/>
      <c r="C334" s="1030"/>
      <c r="D334" s="1030"/>
      <c r="E334" s="1030"/>
      <c r="F334" s="1030"/>
      <c r="G334" s="1030"/>
      <c r="H334" s="1186"/>
      <c r="I334" s="1030"/>
      <c r="J334" s="1030"/>
      <c r="K334" s="1030"/>
      <c r="L334" s="1030"/>
      <c r="M334" s="1030"/>
      <c r="N334" s="1030"/>
      <c r="O334" s="1030"/>
      <c r="P334" s="1030"/>
      <c r="Q334" s="1030"/>
      <c r="R334" s="1030"/>
      <c r="S334" s="1030"/>
      <c r="T334" s="1030"/>
      <c r="U334" s="1030"/>
      <c r="V334" s="1030"/>
      <c r="W334" s="1030"/>
      <c r="X334" s="1030"/>
      <c r="Y334" s="1030"/>
      <c r="Z334" s="1030"/>
    </row>
    <row r="335" spans="1:26" ht="12.75" customHeight="1">
      <c r="A335" s="1030"/>
      <c r="B335" s="1030"/>
      <c r="C335" s="1030"/>
      <c r="D335" s="1030"/>
      <c r="E335" s="1030"/>
      <c r="F335" s="1030"/>
      <c r="G335" s="1030"/>
      <c r="H335" s="1186"/>
      <c r="I335" s="1030"/>
      <c r="J335" s="1030"/>
      <c r="K335" s="1030"/>
      <c r="L335" s="1030"/>
      <c r="M335" s="1030"/>
      <c r="N335" s="1030"/>
      <c r="O335" s="1030"/>
      <c r="P335" s="1030"/>
      <c r="Q335" s="1030"/>
      <c r="R335" s="1030"/>
      <c r="S335" s="1030"/>
      <c r="T335" s="1030"/>
      <c r="U335" s="1030"/>
      <c r="V335" s="1030"/>
      <c r="W335" s="1030"/>
      <c r="X335" s="1030"/>
      <c r="Y335" s="1030"/>
      <c r="Z335" s="1030"/>
    </row>
    <row r="336" spans="1:26" ht="12.75" customHeight="1">
      <c r="A336" s="1030"/>
      <c r="B336" s="1030"/>
      <c r="C336" s="1030"/>
      <c r="D336" s="1030"/>
      <c r="E336" s="1030"/>
      <c r="F336" s="1030"/>
      <c r="G336" s="1030"/>
      <c r="H336" s="1186"/>
      <c r="I336" s="1030"/>
      <c r="J336" s="1030"/>
      <c r="K336" s="1030"/>
      <c r="L336" s="1030"/>
      <c r="M336" s="1030"/>
      <c r="N336" s="1030"/>
      <c r="O336" s="1030"/>
      <c r="P336" s="1030"/>
      <c r="Q336" s="1030"/>
      <c r="R336" s="1030"/>
      <c r="S336" s="1030"/>
      <c r="T336" s="1030"/>
      <c r="U336" s="1030"/>
      <c r="V336" s="1030"/>
      <c r="W336" s="1030"/>
      <c r="X336" s="1030"/>
      <c r="Y336" s="1030"/>
      <c r="Z336" s="1030"/>
    </row>
    <row r="337" spans="1:26" ht="12.75" customHeight="1">
      <c r="A337" s="1030"/>
      <c r="B337" s="1030"/>
      <c r="C337" s="1030"/>
      <c r="D337" s="1030"/>
      <c r="E337" s="1030"/>
      <c r="F337" s="1030"/>
      <c r="G337" s="1030"/>
      <c r="H337" s="1186"/>
      <c r="I337" s="1030"/>
      <c r="J337" s="1030"/>
      <c r="K337" s="1030"/>
      <c r="L337" s="1030"/>
      <c r="M337" s="1030"/>
      <c r="N337" s="1030"/>
      <c r="O337" s="1030"/>
      <c r="P337" s="1030"/>
      <c r="Q337" s="1030"/>
      <c r="R337" s="1030"/>
      <c r="S337" s="1030"/>
      <c r="T337" s="1030"/>
      <c r="U337" s="1030"/>
      <c r="V337" s="1030"/>
      <c r="W337" s="1030"/>
      <c r="X337" s="1030"/>
      <c r="Y337" s="1030"/>
      <c r="Z337" s="1030"/>
    </row>
    <row r="338" spans="1:26" ht="12.75" customHeight="1">
      <c r="A338" s="1030"/>
      <c r="B338" s="1030"/>
      <c r="C338" s="1030"/>
      <c r="D338" s="1030"/>
      <c r="E338" s="1030"/>
      <c r="F338" s="1030"/>
      <c r="G338" s="1030"/>
      <c r="H338" s="1186"/>
      <c r="I338" s="1030"/>
      <c r="J338" s="1030"/>
      <c r="K338" s="1030"/>
      <c r="L338" s="1030"/>
      <c r="M338" s="1030"/>
      <c r="N338" s="1030"/>
      <c r="O338" s="1030"/>
      <c r="P338" s="1030"/>
      <c r="Q338" s="1030"/>
      <c r="R338" s="1030"/>
      <c r="S338" s="1030"/>
      <c r="T338" s="1030"/>
      <c r="U338" s="1030"/>
      <c r="V338" s="1030"/>
      <c r="W338" s="1030"/>
      <c r="X338" s="1030"/>
      <c r="Y338" s="1030"/>
      <c r="Z338" s="1030"/>
    </row>
    <row r="339" spans="1:26" ht="12.75" customHeight="1">
      <c r="A339" s="1030"/>
      <c r="B339" s="1030"/>
      <c r="C339" s="1030"/>
      <c r="D339" s="1030"/>
      <c r="E339" s="1030"/>
      <c r="F339" s="1030"/>
      <c r="G339" s="1030"/>
      <c r="H339" s="1186"/>
      <c r="I339" s="1030"/>
      <c r="J339" s="1030"/>
      <c r="K339" s="1030"/>
      <c r="L339" s="1030"/>
      <c r="M339" s="1030"/>
      <c r="N339" s="1030"/>
      <c r="O339" s="1030"/>
      <c r="P339" s="1030"/>
      <c r="Q339" s="1030"/>
      <c r="R339" s="1030"/>
      <c r="S339" s="1030"/>
      <c r="T339" s="1030"/>
      <c r="U339" s="1030"/>
      <c r="V339" s="1030"/>
      <c r="W339" s="1030"/>
      <c r="X339" s="1030"/>
      <c r="Y339" s="1030"/>
      <c r="Z339" s="1030"/>
    </row>
    <row r="340" spans="1:26" ht="12.75" customHeight="1">
      <c r="A340" s="1030"/>
      <c r="B340" s="1030"/>
      <c r="C340" s="1030"/>
      <c r="D340" s="1030"/>
      <c r="E340" s="1030"/>
      <c r="F340" s="1030"/>
      <c r="G340" s="1030"/>
      <c r="H340" s="1186"/>
      <c r="I340" s="1030"/>
      <c r="J340" s="1030"/>
      <c r="K340" s="1030"/>
      <c r="L340" s="1030"/>
      <c r="M340" s="1030"/>
      <c r="N340" s="1030"/>
      <c r="O340" s="1030"/>
      <c r="P340" s="1030"/>
      <c r="Q340" s="1030"/>
      <c r="R340" s="1030"/>
      <c r="S340" s="1030"/>
      <c r="T340" s="1030"/>
      <c r="U340" s="1030"/>
      <c r="V340" s="1030"/>
      <c r="W340" s="1030"/>
      <c r="X340" s="1030"/>
      <c r="Y340" s="1030"/>
      <c r="Z340" s="1030"/>
    </row>
    <row r="341" spans="1:26" ht="12.75" customHeight="1">
      <c r="A341" s="1030"/>
      <c r="B341" s="1030"/>
      <c r="C341" s="1030"/>
      <c r="D341" s="1030"/>
      <c r="E341" s="1030"/>
      <c r="F341" s="1030"/>
      <c r="G341" s="1030"/>
      <c r="H341" s="1186"/>
      <c r="I341" s="1030"/>
      <c r="J341" s="1030"/>
      <c r="K341" s="1030"/>
      <c r="L341" s="1030"/>
      <c r="M341" s="1030"/>
      <c r="N341" s="1030"/>
      <c r="O341" s="1030"/>
      <c r="P341" s="1030"/>
      <c r="Q341" s="1030"/>
      <c r="R341" s="1030"/>
      <c r="S341" s="1030"/>
      <c r="T341" s="1030"/>
      <c r="U341" s="1030"/>
      <c r="V341" s="1030"/>
      <c r="W341" s="1030"/>
      <c r="X341" s="1030"/>
      <c r="Y341" s="1030"/>
      <c r="Z341" s="1030"/>
    </row>
    <row r="342" spans="1:26" ht="12.75" customHeight="1">
      <c r="A342" s="1030"/>
      <c r="B342" s="1030"/>
      <c r="C342" s="1030"/>
      <c r="D342" s="1030"/>
      <c r="E342" s="1030"/>
      <c r="F342" s="1030"/>
      <c r="G342" s="1030"/>
      <c r="H342" s="1186"/>
      <c r="I342" s="1030"/>
      <c r="J342" s="1030"/>
      <c r="K342" s="1030"/>
      <c r="L342" s="1030"/>
      <c r="M342" s="1030"/>
      <c r="N342" s="1030"/>
      <c r="O342" s="1030"/>
      <c r="P342" s="1030"/>
      <c r="Q342" s="1030"/>
      <c r="R342" s="1030"/>
      <c r="S342" s="1030"/>
      <c r="T342" s="1030"/>
      <c r="U342" s="1030"/>
      <c r="V342" s="1030"/>
      <c r="W342" s="1030"/>
      <c r="X342" s="1030"/>
      <c r="Y342" s="1030"/>
      <c r="Z342" s="1030"/>
    </row>
    <row r="343" spans="1:26" ht="12.75" customHeight="1">
      <c r="A343" s="1030"/>
      <c r="B343" s="1030"/>
      <c r="C343" s="1030"/>
      <c r="D343" s="1030"/>
      <c r="E343" s="1030"/>
      <c r="F343" s="1030"/>
      <c r="G343" s="1030"/>
      <c r="H343" s="1186"/>
      <c r="I343" s="1030"/>
      <c r="J343" s="1030"/>
      <c r="K343" s="1030"/>
      <c r="L343" s="1030"/>
      <c r="M343" s="1030"/>
      <c r="N343" s="1030"/>
      <c r="O343" s="1030"/>
      <c r="P343" s="1030"/>
      <c r="Q343" s="1030"/>
      <c r="R343" s="1030"/>
      <c r="S343" s="1030"/>
      <c r="T343" s="1030"/>
      <c r="U343" s="1030"/>
      <c r="V343" s="1030"/>
      <c r="W343" s="1030"/>
      <c r="X343" s="1030"/>
      <c r="Y343" s="1030"/>
      <c r="Z343" s="1030"/>
    </row>
    <row r="344" spans="1:26" ht="12.75" customHeight="1">
      <c r="A344" s="1030"/>
      <c r="B344" s="1030"/>
      <c r="C344" s="1030"/>
      <c r="D344" s="1030"/>
      <c r="E344" s="1030"/>
      <c r="F344" s="1030"/>
      <c r="G344" s="1030"/>
      <c r="H344" s="1186"/>
      <c r="I344" s="1030"/>
      <c r="J344" s="1030"/>
      <c r="K344" s="1030"/>
      <c r="L344" s="1030"/>
      <c r="M344" s="1030"/>
      <c r="N344" s="1030"/>
      <c r="O344" s="1030"/>
      <c r="P344" s="1030"/>
      <c r="Q344" s="1030"/>
      <c r="R344" s="1030"/>
      <c r="S344" s="1030"/>
      <c r="T344" s="1030"/>
      <c r="U344" s="1030"/>
      <c r="V344" s="1030"/>
      <c r="W344" s="1030"/>
      <c r="X344" s="1030"/>
      <c r="Y344" s="1030"/>
      <c r="Z344" s="1030"/>
    </row>
    <row r="345" spans="1:26" ht="12.75" customHeight="1">
      <c r="A345" s="1030"/>
      <c r="B345" s="1030"/>
      <c r="C345" s="1030"/>
      <c r="D345" s="1030"/>
      <c r="E345" s="1030"/>
      <c r="F345" s="1030"/>
      <c r="G345" s="1030"/>
      <c r="H345" s="1186"/>
      <c r="I345" s="1030"/>
      <c r="J345" s="1030"/>
      <c r="K345" s="1030"/>
      <c r="L345" s="1030"/>
      <c r="M345" s="1030"/>
      <c r="N345" s="1030"/>
      <c r="O345" s="1030"/>
      <c r="P345" s="1030"/>
      <c r="Q345" s="1030"/>
      <c r="R345" s="1030"/>
      <c r="S345" s="1030"/>
      <c r="T345" s="1030"/>
      <c r="U345" s="1030"/>
      <c r="V345" s="1030"/>
      <c r="W345" s="1030"/>
      <c r="X345" s="1030"/>
      <c r="Y345" s="1030"/>
      <c r="Z345" s="1030"/>
    </row>
    <row r="346" spans="1:26" ht="12.75" customHeight="1">
      <c r="A346" s="1030"/>
      <c r="B346" s="1030"/>
      <c r="C346" s="1030"/>
      <c r="D346" s="1030"/>
      <c r="E346" s="1030"/>
      <c r="F346" s="1030"/>
      <c r="G346" s="1030"/>
      <c r="H346" s="1186"/>
      <c r="I346" s="1030"/>
      <c r="J346" s="1030"/>
      <c r="K346" s="1030"/>
      <c r="L346" s="1030"/>
      <c r="M346" s="1030"/>
      <c r="N346" s="1030"/>
      <c r="O346" s="1030"/>
      <c r="P346" s="1030"/>
      <c r="Q346" s="1030"/>
      <c r="R346" s="1030"/>
      <c r="S346" s="1030"/>
      <c r="T346" s="1030"/>
      <c r="U346" s="1030"/>
      <c r="V346" s="1030"/>
      <c r="W346" s="1030"/>
      <c r="X346" s="1030"/>
      <c r="Y346" s="1030"/>
      <c r="Z346" s="1030"/>
    </row>
    <row r="347" spans="1:26" ht="12.75" customHeight="1">
      <c r="A347" s="1030"/>
      <c r="B347" s="1030"/>
      <c r="C347" s="1030"/>
      <c r="D347" s="1030"/>
      <c r="E347" s="1030"/>
      <c r="F347" s="1030"/>
      <c r="G347" s="1030"/>
      <c r="H347" s="1186"/>
      <c r="I347" s="1030"/>
      <c r="J347" s="1030"/>
      <c r="K347" s="1030"/>
      <c r="L347" s="1030"/>
      <c r="M347" s="1030"/>
      <c r="N347" s="1030"/>
      <c r="O347" s="1030"/>
      <c r="P347" s="1030"/>
      <c r="Q347" s="1030"/>
      <c r="R347" s="1030"/>
      <c r="S347" s="1030"/>
      <c r="T347" s="1030"/>
      <c r="U347" s="1030"/>
      <c r="V347" s="1030"/>
      <c r="W347" s="1030"/>
      <c r="X347" s="1030"/>
      <c r="Y347" s="1030"/>
      <c r="Z347" s="1030"/>
    </row>
    <row r="348" spans="1:26" ht="12.75" customHeight="1">
      <c r="A348" s="1030"/>
      <c r="B348" s="1030"/>
      <c r="C348" s="1030"/>
      <c r="D348" s="1030"/>
      <c r="E348" s="1030"/>
      <c r="F348" s="1030"/>
      <c r="G348" s="1030"/>
      <c r="H348" s="1186"/>
      <c r="I348" s="1030"/>
      <c r="J348" s="1030"/>
      <c r="K348" s="1030"/>
      <c r="L348" s="1030"/>
      <c r="M348" s="1030"/>
      <c r="N348" s="1030"/>
      <c r="O348" s="1030"/>
      <c r="P348" s="1030"/>
      <c r="Q348" s="1030"/>
      <c r="R348" s="1030"/>
      <c r="S348" s="1030"/>
      <c r="T348" s="1030"/>
      <c r="U348" s="1030"/>
      <c r="V348" s="1030"/>
      <c r="W348" s="1030"/>
      <c r="X348" s="1030"/>
      <c r="Y348" s="1030"/>
      <c r="Z348" s="1030"/>
    </row>
    <row r="349" spans="1:26" ht="12.75" customHeight="1">
      <c r="A349" s="1030"/>
      <c r="B349" s="1030"/>
      <c r="C349" s="1030"/>
      <c r="D349" s="1030"/>
      <c r="E349" s="1030"/>
      <c r="F349" s="1030"/>
      <c r="G349" s="1030"/>
      <c r="H349" s="1186"/>
      <c r="I349" s="1030"/>
      <c r="J349" s="1030"/>
      <c r="K349" s="1030"/>
      <c r="L349" s="1030"/>
      <c r="M349" s="1030"/>
      <c r="N349" s="1030"/>
      <c r="O349" s="1030"/>
      <c r="P349" s="1030"/>
      <c r="Q349" s="1030"/>
      <c r="R349" s="1030"/>
      <c r="S349" s="1030"/>
      <c r="T349" s="1030"/>
      <c r="U349" s="1030"/>
      <c r="V349" s="1030"/>
      <c r="W349" s="1030"/>
      <c r="X349" s="1030"/>
      <c r="Y349" s="1030"/>
      <c r="Z349" s="1030"/>
    </row>
    <row r="350" spans="1:26" ht="12.75" customHeight="1">
      <c r="A350" s="1030"/>
      <c r="B350" s="1030"/>
      <c r="C350" s="1030"/>
      <c r="D350" s="1030"/>
      <c r="E350" s="1030"/>
      <c r="F350" s="1030"/>
      <c r="G350" s="1030"/>
      <c r="H350" s="1186"/>
      <c r="I350" s="1030"/>
      <c r="J350" s="1030"/>
      <c r="K350" s="1030"/>
      <c r="L350" s="1030"/>
      <c r="M350" s="1030"/>
      <c r="N350" s="1030"/>
      <c r="O350" s="1030"/>
      <c r="P350" s="1030"/>
      <c r="Q350" s="1030"/>
      <c r="R350" s="1030"/>
      <c r="S350" s="1030"/>
      <c r="T350" s="1030"/>
      <c r="U350" s="1030"/>
      <c r="V350" s="1030"/>
      <c r="W350" s="1030"/>
      <c r="X350" s="1030"/>
      <c r="Y350" s="1030"/>
      <c r="Z350" s="1030"/>
    </row>
    <row r="351" spans="1:26" ht="12.75" customHeight="1">
      <c r="A351" s="1030"/>
      <c r="B351" s="1030"/>
      <c r="C351" s="1030"/>
      <c r="D351" s="1030"/>
      <c r="E351" s="1030"/>
      <c r="F351" s="1030"/>
      <c r="G351" s="1030"/>
      <c r="H351" s="1186"/>
      <c r="I351" s="1030"/>
      <c r="J351" s="1030"/>
      <c r="K351" s="1030"/>
      <c r="L351" s="1030"/>
      <c r="M351" s="1030"/>
      <c r="N351" s="1030"/>
      <c r="O351" s="1030"/>
      <c r="P351" s="1030"/>
      <c r="Q351" s="1030"/>
      <c r="R351" s="1030"/>
      <c r="S351" s="1030"/>
      <c r="T351" s="1030"/>
      <c r="U351" s="1030"/>
      <c r="V351" s="1030"/>
      <c r="W351" s="1030"/>
      <c r="X351" s="1030"/>
      <c r="Y351" s="1030"/>
      <c r="Z351" s="1030"/>
    </row>
    <row r="352" spans="1:26" ht="12.75" customHeight="1">
      <c r="A352" s="1030"/>
      <c r="B352" s="1030"/>
      <c r="C352" s="1030"/>
      <c r="D352" s="1030"/>
      <c r="E352" s="1030"/>
      <c r="F352" s="1030"/>
      <c r="G352" s="1030"/>
      <c r="H352" s="1186"/>
      <c r="I352" s="1030"/>
      <c r="J352" s="1030"/>
      <c r="K352" s="1030"/>
      <c r="L352" s="1030"/>
      <c r="M352" s="1030"/>
      <c r="N352" s="1030"/>
      <c r="O352" s="1030"/>
      <c r="P352" s="1030"/>
      <c r="Q352" s="1030"/>
      <c r="R352" s="1030"/>
      <c r="S352" s="1030"/>
      <c r="T352" s="1030"/>
      <c r="U352" s="1030"/>
      <c r="V352" s="1030"/>
      <c r="W352" s="1030"/>
      <c r="X352" s="1030"/>
      <c r="Y352" s="1030"/>
      <c r="Z352" s="1030"/>
    </row>
    <row r="353" spans="1:26" ht="12.75" customHeight="1">
      <c r="A353" s="1030"/>
      <c r="B353" s="1030"/>
      <c r="C353" s="1030"/>
      <c r="D353" s="1030"/>
      <c r="E353" s="1030"/>
      <c r="F353" s="1030"/>
      <c r="G353" s="1030"/>
      <c r="H353" s="1186"/>
      <c r="I353" s="1030"/>
      <c r="J353" s="1030"/>
      <c r="K353" s="1030"/>
      <c r="L353" s="1030"/>
      <c r="M353" s="1030"/>
      <c r="N353" s="1030"/>
      <c r="O353" s="1030"/>
      <c r="P353" s="1030"/>
      <c r="Q353" s="1030"/>
      <c r="R353" s="1030"/>
      <c r="S353" s="1030"/>
      <c r="T353" s="1030"/>
      <c r="U353" s="1030"/>
      <c r="V353" s="1030"/>
      <c r="W353" s="1030"/>
      <c r="X353" s="1030"/>
      <c r="Y353" s="1030"/>
      <c r="Z353" s="1030"/>
    </row>
    <row r="354" spans="1:26" ht="12.75" customHeight="1">
      <c r="A354" s="1030"/>
      <c r="B354" s="1030"/>
      <c r="C354" s="1030"/>
      <c r="D354" s="1030"/>
      <c r="E354" s="1030"/>
      <c r="F354" s="1030"/>
      <c r="G354" s="1030"/>
      <c r="H354" s="1186"/>
      <c r="I354" s="1030"/>
      <c r="J354" s="1030"/>
      <c r="K354" s="1030"/>
      <c r="L354" s="1030"/>
      <c r="M354" s="1030"/>
      <c r="N354" s="1030"/>
      <c r="O354" s="1030"/>
      <c r="P354" s="1030"/>
      <c r="Q354" s="1030"/>
      <c r="R354" s="1030"/>
      <c r="S354" s="1030"/>
      <c r="T354" s="1030"/>
      <c r="U354" s="1030"/>
      <c r="V354" s="1030"/>
      <c r="W354" s="1030"/>
      <c r="X354" s="1030"/>
      <c r="Y354" s="1030"/>
      <c r="Z354" s="1030"/>
    </row>
    <row r="355" spans="1:26" ht="12.75" customHeight="1">
      <c r="A355" s="1030"/>
      <c r="B355" s="1030"/>
      <c r="C355" s="1030"/>
      <c r="D355" s="1030"/>
      <c r="E355" s="1030"/>
      <c r="F355" s="1030"/>
      <c r="G355" s="1030"/>
      <c r="H355" s="1186"/>
      <c r="I355" s="1030"/>
      <c r="J355" s="1030"/>
      <c r="K355" s="1030"/>
      <c r="L355" s="1030"/>
      <c r="M355" s="1030"/>
      <c r="N355" s="1030"/>
      <c r="O355" s="1030"/>
      <c r="P355" s="1030"/>
      <c r="Q355" s="1030"/>
      <c r="R355" s="1030"/>
      <c r="S355" s="1030"/>
      <c r="T355" s="1030"/>
      <c r="U355" s="1030"/>
      <c r="V355" s="1030"/>
      <c r="W355" s="1030"/>
      <c r="X355" s="1030"/>
      <c r="Y355" s="1030"/>
      <c r="Z355" s="1030"/>
    </row>
    <row r="356" spans="1:26" ht="12.75" customHeight="1">
      <c r="A356" s="1030"/>
      <c r="B356" s="1030"/>
      <c r="C356" s="1030"/>
      <c r="D356" s="1030"/>
      <c r="E356" s="1030"/>
      <c r="F356" s="1030"/>
      <c r="G356" s="1030"/>
      <c r="H356" s="1186"/>
      <c r="I356" s="1030"/>
      <c r="J356" s="1030"/>
      <c r="K356" s="1030"/>
      <c r="L356" s="1030"/>
      <c r="M356" s="1030"/>
      <c r="N356" s="1030"/>
      <c r="O356" s="1030"/>
      <c r="P356" s="1030"/>
      <c r="Q356" s="1030"/>
      <c r="R356" s="1030"/>
      <c r="S356" s="1030"/>
      <c r="T356" s="1030"/>
      <c r="U356" s="1030"/>
      <c r="V356" s="1030"/>
      <c r="W356" s="1030"/>
      <c r="X356" s="1030"/>
      <c r="Y356" s="1030"/>
      <c r="Z356" s="1030"/>
    </row>
    <row r="357" spans="1:26" ht="12.75" customHeight="1">
      <c r="A357" s="1030"/>
      <c r="B357" s="1030"/>
      <c r="C357" s="1030"/>
      <c r="D357" s="1030"/>
      <c r="E357" s="1030"/>
      <c r="F357" s="1030"/>
      <c r="G357" s="1030"/>
      <c r="H357" s="1186"/>
      <c r="I357" s="1030"/>
      <c r="J357" s="1030"/>
      <c r="K357" s="1030"/>
      <c r="L357" s="1030"/>
      <c r="M357" s="1030"/>
      <c r="N357" s="1030"/>
      <c r="O357" s="1030"/>
      <c r="P357" s="1030"/>
      <c r="Q357" s="1030"/>
      <c r="R357" s="1030"/>
      <c r="S357" s="1030"/>
      <c r="T357" s="1030"/>
      <c r="U357" s="1030"/>
      <c r="V357" s="1030"/>
      <c r="W357" s="1030"/>
      <c r="X357" s="1030"/>
      <c r="Y357" s="1030"/>
      <c r="Z357" s="1030"/>
    </row>
    <row r="358" spans="1:26" ht="12.75" customHeight="1">
      <c r="A358" s="1030"/>
      <c r="B358" s="1030"/>
      <c r="C358" s="1030"/>
      <c r="D358" s="1030"/>
      <c r="E358" s="1030"/>
      <c r="F358" s="1030"/>
      <c r="G358" s="1030"/>
      <c r="H358" s="1186"/>
      <c r="I358" s="1030"/>
      <c r="J358" s="1030"/>
      <c r="K358" s="1030"/>
      <c r="L358" s="1030"/>
      <c r="M358" s="1030"/>
      <c r="N358" s="1030"/>
      <c r="O358" s="1030"/>
      <c r="P358" s="1030"/>
      <c r="Q358" s="1030"/>
      <c r="R358" s="1030"/>
      <c r="S358" s="1030"/>
      <c r="T358" s="1030"/>
      <c r="U358" s="1030"/>
      <c r="V358" s="1030"/>
      <c r="W358" s="1030"/>
      <c r="X358" s="1030"/>
      <c r="Y358" s="1030"/>
      <c r="Z358" s="1030"/>
    </row>
    <row r="359" spans="1:26" ht="12.75" customHeight="1">
      <c r="A359" s="1030"/>
      <c r="B359" s="1030"/>
      <c r="C359" s="1030"/>
      <c r="D359" s="1030"/>
      <c r="E359" s="1030"/>
      <c r="F359" s="1030"/>
      <c r="G359" s="1030"/>
      <c r="H359" s="1186"/>
      <c r="I359" s="1030"/>
      <c r="J359" s="1030"/>
      <c r="K359" s="1030"/>
      <c r="L359" s="1030"/>
      <c r="M359" s="1030"/>
      <c r="N359" s="1030"/>
      <c r="O359" s="1030"/>
      <c r="P359" s="1030"/>
      <c r="Q359" s="1030"/>
      <c r="R359" s="1030"/>
      <c r="S359" s="1030"/>
      <c r="T359" s="1030"/>
      <c r="U359" s="1030"/>
      <c r="V359" s="1030"/>
      <c r="W359" s="1030"/>
      <c r="X359" s="1030"/>
      <c r="Y359" s="1030"/>
      <c r="Z359" s="1030"/>
    </row>
    <row r="360" spans="1:26" ht="12.75" customHeight="1">
      <c r="A360" s="1030"/>
      <c r="B360" s="1030"/>
      <c r="C360" s="1030"/>
      <c r="D360" s="1030"/>
      <c r="E360" s="1030"/>
      <c r="F360" s="1030"/>
      <c r="G360" s="1030"/>
      <c r="H360" s="1186"/>
      <c r="I360" s="1030"/>
      <c r="J360" s="1030"/>
      <c r="K360" s="1030"/>
      <c r="L360" s="1030"/>
      <c r="M360" s="1030"/>
      <c r="N360" s="1030"/>
      <c r="O360" s="1030"/>
      <c r="P360" s="1030"/>
      <c r="Q360" s="1030"/>
      <c r="R360" s="1030"/>
      <c r="S360" s="1030"/>
      <c r="T360" s="1030"/>
      <c r="U360" s="1030"/>
      <c r="V360" s="1030"/>
      <c r="W360" s="1030"/>
      <c r="X360" s="1030"/>
      <c r="Y360" s="1030"/>
      <c r="Z360" s="1030"/>
    </row>
    <row r="361" spans="1:26" ht="12.75" customHeight="1">
      <c r="A361" s="1030"/>
      <c r="B361" s="1030"/>
      <c r="C361" s="1030"/>
      <c r="D361" s="1030"/>
      <c r="E361" s="1030"/>
      <c r="F361" s="1030"/>
      <c r="G361" s="1030"/>
      <c r="H361" s="1186"/>
      <c r="I361" s="1030"/>
      <c r="J361" s="1030"/>
      <c r="K361" s="1030"/>
      <c r="L361" s="1030"/>
      <c r="M361" s="1030"/>
      <c r="N361" s="1030"/>
      <c r="O361" s="1030"/>
      <c r="P361" s="1030"/>
      <c r="Q361" s="1030"/>
      <c r="R361" s="1030"/>
      <c r="S361" s="1030"/>
      <c r="T361" s="1030"/>
      <c r="U361" s="1030"/>
      <c r="V361" s="1030"/>
      <c r="W361" s="1030"/>
      <c r="X361" s="1030"/>
      <c r="Y361" s="1030"/>
      <c r="Z361" s="1030"/>
    </row>
    <row r="362" spans="1:26" ht="12.75" customHeight="1">
      <c r="A362" s="1030"/>
      <c r="B362" s="1030"/>
      <c r="C362" s="1030"/>
      <c r="D362" s="1030"/>
      <c r="E362" s="1030"/>
      <c r="F362" s="1030"/>
      <c r="G362" s="1030"/>
      <c r="H362" s="1186"/>
      <c r="I362" s="1030"/>
      <c r="J362" s="1030"/>
      <c r="K362" s="1030"/>
      <c r="L362" s="1030"/>
      <c r="M362" s="1030"/>
      <c r="N362" s="1030"/>
      <c r="O362" s="1030"/>
      <c r="P362" s="1030"/>
      <c r="Q362" s="1030"/>
      <c r="R362" s="1030"/>
      <c r="S362" s="1030"/>
      <c r="T362" s="1030"/>
      <c r="U362" s="1030"/>
      <c r="V362" s="1030"/>
      <c r="W362" s="1030"/>
      <c r="X362" s="1030"/>
      <c r="Y362" s="1030"/>
      <c r="Z362" s="1030"/>
    </row>
    <row r="363" spans="1:26" ht="12.75" customHeight="1">
      <c r="A363" s="1030"/>
      <c r="B363" s="1030"/>
      <c r="C363" s="1030"/>
      <c r="D363" s="1030"/>
      <c r="E363" s="1030"/>
      <c r="F363" s="1030"/>
      <c r="G363" s="1030"/>
      <c r="H363" s="1186"/>
      <c r="I363" s="1030"/>
      <c r="J363" s="1030"/>
      <c r="K363" s="1030"/>
      <c r="L363" s="1030"/>
      <c r="M363" s="1030"/>
      <c r="N363" s="1030"/>
      <c r="O363" s="1030"/>
      <c r="P363" s="1030"/>
      <c r="Q363" s="1030"/>
      <c r="R363" s="1030"/>
      <c r="S363" s="1030"/>
      <c r="T363" s="1030"/>
      <c r="U363" s="1030"/>
      <c r="V363" s="1030"/>
      <c r="W363" s="1030"/>
      <c r="X363" s="1030"/>
      <c r="Y363" s="1030"/>
      <c r="Z363" s="1030"/>
    </row>
    <row r="364" spans="1:26" ht="12.75" customHeight="1">
      <c r="A364" s="1030"/>
      <c r="B364" s="1030"/>
      <c r="C364" s="1030"/>
      <c r="D364" s="1030"/>
      <c r="E364" s="1030"/>
      <c r="F364" s="1030"/>
      <c r="G364" s="1030"/>
      <c r="H364" s="1186"/>
      <c r="I364" s="1030"/>
      <c r="J364" s="1030"/>
      <c r="K364" s="1030"/>
      <c r="L364" s="1030"/>
      <c r="M364" s="1030"/>
      <c r="N364" s="1030"/>
      <c r="O364" s="1030"/>
      <c r="P364" s="1030"/>
      <c r="Q364" s="1030"/>
      <c r="R364" s="1030"/>
      <c r="S364" s="1030"/>
      <c r="T364" s="1030"/>
      <c r="U364" s="1030"/>
      <c r="V364" s="1030"/>
      <c r="W364" s="1030"/>
      <c r="X364" s="1030"/>
      <c r="Y364" s="1030"/>
      <c r="Z364" s="1030"/>
    </row>
    <row r="365" spans="1:26" ht="12.75" customHeight="1">
      <c r="A365" s="1030"/>
      <c r="B365" s="1030"/>
      <c r="C365" s="1030"/>
      <c r="D365" s="1030"/>
      <c r="E365" s="1030"/>
      <c r="F365" s="1030"/>
      <c r="G365" s="1030"/>
      <c r="H365" s="1186"/>
      <c r="I365" s="1030"/>
      <c r="J365" s="1030"/>
      <c r="K365" s="1030"/>
      <c r="L365" s="1030"/>
      <c r="M365" s="1030"/>
      <c r="N365" s="1030"/>
      <c r="O365" s="1030"/>
      <c r="P365" s="1030"/>
      <c r="Q365" s="1030"/>
      <c r="R365" s="1030"/>
      <c r="S365" s="1030"/>
      <c r="T365" s="1030"/>
      <c r="U365" s="1030"/>
      <c r="V365" s="1030"/>
      <c r="W365" s="1030"/>
      <c r="X365" s="1030"/>
      <c r="Y365" s="1030"/>
      <c r="Z365" s="1030"/>
    </row>
    <row r="366" spans="1:26" ht="12.75" customHeight="1">
      <c r="A366" s="1030"/>
      <c r="B366" s="1030"/>
      <c r="C366" s="1030"/>
      <c r="D366" s="1030"/>
      <c r="E366" s="1030"/>
      <c r="F366" s="1030"/>
      <c r="G366" s="1030"/>
      <c r="H366" s="1186"/>
      <c r="I366" s="1030"/>
      <c r="J366" s="1030"/>
      <c r="K366" s="1030"/>
      <c r="L366" s="1030"/>
      <c r="M366" s="1030"/>
      <c r="N366" s="1030"/>
      <c r="O366" s="1030"/>
      <c r="P366" s="1030"/>
      <c r="Q366" s="1030"/>
      <c r="R366" s="1030"/>
      <c r="S366" s="1030"/>
      <c r="T366" s="1030"/>
      <c r="U366" s="1030"/>
      <c r="V366" s="1030"/>
      <c r="W366" s="1030"/>
      <c r="X366" s="1030"/>
      <c r="Y366" s="1030"/>
      <c r="Z366" s="1030"/>
    </row>
    <row r="367" spans="1:26" ht="12.75" customHeight="1">
      <c r="A367" s="1030"/>
      <c r="B367" s="1030"/>
      <c r="C367" s="1030"/>
      <c r="D367" s="1030"/>
      <c r="E367" s="1030"/>
      <c r="F367" s="1030"/>
      <c r="G367" s="1030"/>
      <c r="H367" s="1186"/>
      <c r="I367" s="1030"/>
      <c r="J367" s="1030"/>
      <c r="K367" s="1030"/>
      <c r="L367" s="1030"/>
      <c r="M367" s="1030"/>
      <c r="N367" s="1030"/>
      <c r="O367" s="1030"/>
      <c r="P367" s="1030"/>
      <c r="Q367" s="1030"/>
      <c r="R367" s="1030"/>
      <c r="S367" s="1030"/>
      <c r="T367" s="1030"/>
      <c r="U367" s="1030"/>
      <c r="V367" s="1030"/>
      <c r="W367" s="1030"/>
      <c r="X367" s="1030"/>
      <c r="Y367" s="1030"/>
      <c r="Z367" s="1030"/>
    </row>
    <row r="368" spans="1:26" ht="12.75" customHeight="1">
      <c r="A368" s="1030"/>
      <c r="B368" s="1030"/>
      <c r="C368" s="1030"/>
      <c r="D368" s="1030"/>
      <c r="E368" s="1030"/>
      <c r="F368" s="1030"/>
      <c r="G368" s="1030"/>
      <c r="H368" s="1186"/>
      <c r="I368" s="1030"/>
      <c r="J368" s="1030"/>
      <c r="K368" s="1030"/>
      <c r="L368" s="1030"/>
      <c r="M368" s="1030"/>
      <c r="N368" s="1030"/>
      <c r="O368" s="1030"/>
      <c r="P368" s="1030"/>
      <c r="Q368" s="1030"/>
      <c r="R368" s="1030"/>
      <c r="S368" s="1030"/>
      <c r="T368" s="1030"/>
      <c r="U368" s="1030"/>
      <c r="V368" s="1030"/>
      <c r="W368" s="1030"/>
      <c r="X368" s="1030"/>
      <c r="Y368" s="1030"/>
      <c r="Z368" s="1030"/>
    </row>
    <row r="369" spans="1:26" ht="12.75" customHeight="1">
      <c r="A369" s="1030"/>
      <c r="B369" s="1030"/>
      <c r="C369" s="1030"/>
      <c r="D369" s="1030"/>
      <c r="E369" s="1030"/>
      <c r="F369" s="1030"/>
      <c r="G369" s="1030"/>
      <c r="H369" s="1186"/>
      <c r="I369" s="1030"/>
      <c r="J369" s="1030"/>
      <c r="K369" s="1030"/>
      <c r="L369" s="1030"/>
      <c r="M369" s="1030"/>
      <c r="N369" s="1030"/>
      <c r="O369" s="1030"/>
      <c r="P369" s="1030"/>
      <c r="Q369" s="1030"/>
      <c r="R369" s="1030"/>
      <c r="S369" s="1030"/>
      <c r="T369" s="1030"/>
      <c r="U369" s="1030"/>
      <c r="V369" s="1030"/>
      <c r="W369" s="1030"/>
      <c r="X369" s="1030"/>
      <c r="Y369" s="1030"/>
      <c r="Z369" s="1030"/>
    </row>
    <row r="370" spans="1:26" ht="12.75" customHeight="1">
      <c r="A370" s="1030"/>
      <c r="B370" s="1030"/>
      <c r="C370" s="1030"/>
      <c r="D370" s="1030"/>
      <c r="E370" s="1030"/>
      <c r="F370" s="1030"/>
      <c r="G370" s="1030"/>
      <c r="H370" s="1186"/>
      <c r="I370" s="1030"/>
      <c r="J370" s="1030"/>
      <c r="K370" s="1030"/>
      <c r="L370" s="1030"/>
      <c r="M370" s="1030"/>
      <c r="N370" s="1030"/>
      <c r="O370" s="1030"/>
      <c r="P370" s="1030"/>
      <c r="Q370" s="1030"/>
      <c r="R370" s="1030"/>
      <c r="S370" s="1030"/>
      <c r="T370" s="1030"/>
      <c r="U370" s="1030"/>
      <c r="V370" s="1030"/>
      <c r="W370" s="1030"/>
      <c r="X370" s="1030"/>
      <c r="Y370" s="1030"/>
      <c r="Z370" s="1030"/>
    </row>
    <row r="371" spans="1:26" ht="12.75" customHeight="1">
      <c r="A371" s="1030"/>
      <c r="B371" s="1030"/>
      <c r="C371" s="1030"/>
      <c r="D371" s="1030"/>
      <c r="E371" s="1030"/>
      <c r="F371" s="1030"/>
      <c r="G371" s="1030"/>
      <c r="H371" s="1186"/>
      <c r="I371" s="1030"/>
      <c r="J371" s="1030"/>
      <c r="K371" s="1030"/>
      <c r="L371" s="1030"/>
      <c r="M371" s="1030"/>
      <c r="N371" s="1030"/>
      <c r="O371" s="1030"/>
      <c r="P371" s="1030"/>
      <c r="Q371" s="1030"/>
      <c r="R371" s="1030"/>
      <c r="S371" s="1030"/>
      <c r="T371" s="1030"/>
      <c r="U371" s="1030"/>
      <c r="V371" s="1030"/>
      <c r="W371" s="1030"/>
      <c r="X371" s="1030"/>
      <c r="Y371" s="1030"/>
      <c r="Z371" s="1030"/>
    </row>
    <row r="372" spans="1:26" ht="12.75" customHeight="1">
      <c r="A372" s="1030"/>
      <c r="B372" s="1030"/>
      <c r="C372" s="1030"/>
      <c r="D372" s="1030"/>
      <c r="E372" s="1030"/>
      <c r="F372" s="1030"/>
      <c r="G372" s="1030"/>
      <c r="H372" s="1186"/>
      <c r="I372" s="1030"/>
      <c r="J372" s="1030"/>
      <c r="K372" s="1030"/>
      <c r="L372" s="1030"/>
      <c r="M372" s="1030"/>
      <c r="N372" s="1030"/>
      <c r="O372" s="1030"/>
      <c r="P372" s="1030"/>
      <c r="Q372" s="1030"/>
      <c r="R372" s="1030"/>
      <c r="S372" s="1030"/>
      <c r="T372" s="1030"/>
      <c r="U372" s="1030"/>
      <c r="V372" s="1030"/>
      <c r="W372" s="1030"/>
      <c r="X372" s="1030"/>
      <c r="Y372" s="1030"/>
      <c r="Z372" s="1030"/>
    </row>
    <row r="373" spans="1:26" ht="12.75" customHeight="1">
      <c r="A373" s="1030"/>
      <c r="B373" s="1030"/>
      <c r="C373" s="1030"/>
      <c r="D373" s="1030"/>
      <c r="E373" s="1030"/>
      <c r="F373" s="1030"/>
      <c r="G373" s="1030"/>
      <c r="H373" s="1186"/>
      <c r="I373" s="1030"/>
      <c r="J373" s="1030"/>
      <c r="K373" s="1030"/>
      <c r="L373" s="1030"/>
      <c r="M373" s="1030"/>
      <c r="N373" s="1030"/>
      <c r="O373" s="1030"/>
      <c r="P373" s="1030"/>
      <c r="Q373" s="1030"/>
      <c r="R373" s="1030"/>
      <c r="S373" s="1030"/>
      <c r="T373" s="1030"/>
      <c r="U373" s="1030"/>
      <c r="V373" s="1030"/>
      <c r="W373" s="1030"/>
      <c r="X373" s="1030"/>
      <c r="Y373" s="1030"/>
      <c r="Z373" s="1030"/>
    </row>
    <row r="374" spans="1:26" ht="12.75" customHeight="1">
      <c r="A374" s="1030"/>
      <c r="B374" s="1030"/>
      <c r="C374" s="1030"/>
      <c r="D374" s="1030"/>
      <c r="E374" s="1030"/>
      <c r="F374" s="1030"/>
      <c r="G374" s="1030"/>
      <c r="H374" s="1186"/>
      <c r="I374" s="1030"/>
      <c r="J374" s="1030"/>
      <c r="K374" s="1030"/>
      <c r="L374" s="1030"/>
      <c r="M374" s="1030"/>
      <c r="N374" s="1030"/>
      <c r="O374" s="1030"/>
      <c r="P374" s="1030"/>
      <c r="Q374" s="1030"/>
      <c r="R374" s="1030"/>
      <c r="S374" s="1030"/>
      <c r="T374" s="1030"/>
      <c r="U374" s="1030"/>
      <c r="V374" s="1030"/>
      <c r="W374" s="1030"/>
      <c r="X374" s="1030"/>
      <c r="Y374" s="1030"/>
      <c r="Z374" s="1030"/>
    </row>
    <row r="375" spans="1:26" ht="12.75" customHeight="1">
      <c r="A375" s="1030"/>
      <c r="B375" s="1030"/>
      <c r="C375" s="1030"/>
      <c r="D375" s="1030"/>
      <c r="E375" s="1030"/>
      <c r="F375" s="1030"/>
      <c r="G375" s="1030"/>
      <c r="H375" s="1186"/>
      <c r="I375" s="1030"/>
      <c r="J375" s="1030"/>
      <c r="K375" s="1030"/>
      <c r="L375" s="1030"/>
      <c r="M375" s="1030"/>
      <c r="N375" s="1030"/>
      <c r="O375" s="1030"/>
      <c r="P375" s="1030"/>
      <c r="Q375" s="1030"/>
      <c r="R375" s="1030"/>
      <c r="S375" s="1030"/>
      <c r="T375" s="1030"/>
      <c r="U375" s="1030"/>
      <c r="V375" s="1030"/>
      <c r="W375" s="1030"/>
      <c r="X375" s="1030"/>
      <c r="Y375" s="1030"/>
      <c r="Z375" s="1030"/>
    </row>
    <row r="376" spans="1:26" ht="12.75" customHeight="1">
      <c r="A376" s="1030"/>
      <c r="B376" s="1030"/>
      <c r="C376" s="1030"/>
      <c r="D376" s="1030"/>
      <c r="E376" s="1030"/>
      <c r="F376" s="1030"/>
      <c r="G376" s="1030"/>
      <c r="H376" s="1186"/>
      <c r="I376" s="1030"/>
      <c r="J376" s="1030"/>
      <c r="K376" s="1030"/>
      <c r="L376" s="1030"/>
      <c r="M376" s="1030"/>
      <c r="N376" s="1030"/>
      <c r="O376" s="1030"/>
      <c r="P376" s="1030"/>
      <c r="Q376" s="1030"/>
      <c r="R376" s="1030"/>
      <c r="S376" s="1030"/>
      <c r="T376" s="1030"/>
      <c r="U376" s="1030"/>
      <c r="V376" s="1030"/>
      <c r="W376" s="1030"/>
      <c r="X376" s="1030"/>
      <c r="Y376" s="1030"/>
      <c r="Z376" s="1030"/>
    </row>
    <row r="377" spans="1:26" ht="12.75" customHeight="1">
      <c r="A377" s="1030"/>
      <c r="B377" s="1030"/>
      <c r="C377" s="1030"/>
      <c r="D377" s="1030"/>
      <c r="E377" s="1030"/>
      <c r="F377" s="1030"/>
      <c r="G377" s="1030"/>
      <c r="H377" s="1186"/>
      <c r="I377" s="1030"/>
      <c r="J377" s="1030"/>
      <c r="K377" s="1030"/>
      <c r="L377" s="1030"/>
      <c r="M377" s="1030"/>
      <c r="N377" s="1030"/>
      <c r="O377" s="1030"/>
      <c r="P377" s="1030"/>
      <c r="Q377" s="1030"/>
      <c r="R377" s="1030"/>
      <c r="S377" s="1030"/>
      <c r="T377" s="1030"/>
      <c r="U377" s="1030"/>
      <c r="V377" s="1030"/>
      <c r="W377" s="1030"/>
      <c r="X377" s="1030"/>
      <c r="Y377" s="1030"/>
      <c r="Z377" s="1030"/>
    </row>
    <row r="378" spans="1:26" ht="12.75" customHeight="1">
      <c r="A378" s="1030"/>
      <c r="B378" s="1030"/>
      <c r="C378" s="1030"/>
      <c r="D378" s="1030"/>
      <c r="E378" s="1030"/>
      <c r="F378" s="1030"/>
      <c r="G378" s="1030"/>
      <c r="H378" s="1186"/>
      <c r="I378" s="1030"/>
      <c r="J378" s="1030"/>
      <c r="K378" s="1030"/>
      <c r="L378" s="1030"/>
      <c r="M378" s="1030"/>
      <c r="N378" s="1030"/>
      <c r="O378" s="1030"/>
      <c r="P378" s="1030"/>
      <c r="Q378" s="1030"/>
      <c r="R378" s="1030"/>
      <c r="S378" s="1030"/>
      <c r="T378" s="1030"/>
      <c r="U378" s="1030"/>
      <c r="V378" s="1030"/>
      <c r="W378" s="1030"/>
      <c r="X378" s="1030"/>
      <c r="Y378" s="1030"/>
      <c r="Z378" s="1030"/>
    </row>
    <row r="379" spans="1:26" ht="12.75" customHeight="1">
      <c r="A379" s="1030"/>
      <c r="B379" s="1030"/>
      <c r="C379" s="1030"/>
      <c r="D379" s="1030"/>
      <c r="E379" s="1030"/>
      <c r="F379" s="1030"/>
      <c r="G379" s="1030"/>
      <c r="H379" s="1186"/>
      <c r="I379" s="1030"/>
      <c r="J379" s="1030"/>
      <c r="K379" s="1030"/>
      <c r="L379" s="1030"/>
      <c r="M379" s="1030"/>
      <c r="N379" s="1030"/>
      <c r="O379" s="1030"/>
      <c r="P379" s="1030"/>
      <c r="Q379" s="1030"/>
      <c r="R379" s="1030"/>
      <c r="S379" s="1030"/>
      <c r="T379" s="1030"/>
      <c r="U379" s="1030"/>
      <c r="V379" s="1030"/>
      <c r="W379" s="1030"/>
      <c r="X379" s="1030"/>
      <c r="Y379" s="1030"/>
      <c r="Z379" s="1030"/>
    </row>
    <row r="380" spans="1:26" ht="12.75" customHeight="1">
      <c r="A380" s="1030"/>
      <c r="B380" s="1030"/>
      <c r="C380" s="1030"/>
      <c r="D380" s="1030"/>
      <c r="E380" s="1030"/>
      <c r="F380" s="1030"/>
      <c r="G380" s="1030"/>
      <c r="H380" s="1186"/>
      <c r="I380" s="1030"/>
      <c r="J380" s="1030"/>
      <c r="K380" s="1030"/>
      <c r="L380" s="1030"/>
      <c r="M380" s="1030"/>
      <c r="N380" s="1030"/>
      <c r="O380" s="1030"/>
      <c r="P380" s="1030"/>
      <c r="Q380" s="1030"/>
      <c r="R380" s="1030"/>
      <c r="S380" s="1030"/>
      <c r="T380" s="1030"/>
      <c r="U380" s="1030"/>
      <c r="V380" s="1030"/>
      <c r="W380" s="1030"/>
      <c r="X380" s="1030"/>
      <c r="Y380" s="1030"/>
      <c r="Z380" s="1030"/>
    </row>
    <row r="381" spans="1:26" ht="12.75" customHeight="1">
      <c r="A381" s="1030"/>
      <c r="B381" s="1030"/>
      <c r="C381" s="1030"/>
      <c r="D381" s="1030"/>
      <c r="E381" s="1030"/>
      <c r="F381" s="1030"/>
      <c r="G381" s="1030"/>
      <c r="H381" s="1186"/>
      <c r="I381" s="1030"/>
      <c r="J381" s="1030"/>
      <c r="K381" s="1030"/>
      <c r="L381" s="1030"/>
      <c r="M381" s="1030"/>
      <c r="N381" s="1030"/>
      <c r="O381" s="1030"/>
      <c r="P381" s="1030"/>
      <c r="Q381" s="1030"/>
      <c r="R381" s="1030"/>
      <c r="S381" s="1030"/>
      <c r="T381" s="1030"/>
      <c r="U381" s="1030"/>
      <c r="V381" s="1030"/>
      <c r="W381" s="1030"/>
      <c r="X381" s="1030"/>
      <c r="Y381" s="1030"/>
      <c r="Z381" s="1030"/>
    </row>
    <row r="382" spans="1:26" ht="12.75" customHeight="1">
      <c r="A382" s="1030"/>
      <c r="B382" s="1030"/>
      <c r="C382" s="1030"/>
      <c r="D382" s="1030"/>
      <c r="E382" s="1030"/>
      <c r="F382" s="1030"/>
      <c r="G382" s="1030"/>
      <c r="H382" s="1186"/>
      <c r="I382" s="1030"/>
      <c r="J382" s="1030"/>
      <c r="K382" s="1030"/>
      <c r="L382" s="1030"/>
      <c r="M382" s="1030"/>
      <c r="N382" s="1030"/>
      <c r="O382" s="1030"/>
      <c r="P382" s="1030"/>
      <c r="Q382" s="1030"/>
      <c r="R382" s="1030"/>
      <c r="S382" s="1030"/>
      <c r="T382" s="1030"/>
      <c r="U382" s="1030"/>
      <c r="V382" s="1030"/>
      <c r="W382" s="1030"/>
      <c r="X382" s="1030"/>
      <c r="Y382" s="1030"/>
      <c r="Z382" s="1030"/>
    </row>
    <row r="383" spans="1:26" ht="12.75" customHeight="1">
      <c r="A383" s="1030"/>
      <c r="B383" s="1030"/>
      <c r="C383" s="1030"/>
      <c r="D383" s="1030"/>
      <c r="E383" s="1030"/>
      <c r="F383" s="1030"/>
      <c r="G383" s="1030"/>
      <c r="H383" s="1186"/>
      <c r="I383" s="1030"/>
      <c r="J383" s="1030"/>
      <c r="K383" s="1030"/>
      <c r="L383" s="1030"/>
      <c r="M383" s="1030"/>
      <c r="N383" s="1030"/>
      <c r="O383" s="1030"/>
      <c r="P383" s="1030"/>
      <c r="Q383" s="1030"/>
      <c r="R383" s="1030"/>
      <c r="S383" s="1030"/>
      <c r="T383" s="1030"/>
      <c r="U383" s="1030"/>
      <c r="V383" s="1030"/>
      <c r="W383" s="1030"/>
      <c r="X383" s="1030"/>
      <c r="Y383" s="1030"/>
      <c r="Z383" s="1030"/>
    </row>
    <row r="384" spans="1:26" ht="12.75" customHeight="1">
      <c r="A384" s="1030"/>
      <c r="B384" s="1030"/>
      <c r="C384" s="1030"/>
      <c r="D384" s="1030"/>
      <c r="E384" s="1030"/>
      <c r="F384" s="1030"/>
      <c r="G384" s="1030"/>
      <c r="H384" s="1186"/>
      <c r="I384" s="1030"/>
      <c r="J384" s="1030"/>
      <c r="K384" s="1030"/>
      <c r="L384" s="1030"/>
      <c r="M384" s="1030"/>
      <c r="N384" s="1030"/>
      <c r="O384" s="1030"/>
      <c r="P384" s="1030"/>
      <c r="Q384" s="1030"/>
      <c r="R384" s="1030"/>
      <c r="S384" s="1030"/>
      <c r="T384" s="1030"/>
      <c r="U384" s="1030"/>
      <c r="V384" s="1030"/>
      <c r="W384" s="1030"/>
      <c r="X384" s="1030"/>
      <c r="Y384" s="1030"/>
      <c r="Z384" s="1030"/>
    </row>
    <row r="385" spans="1:26" ht="12.75" customHeight="1">
      <c r="A385" s="1030"/>
      <c r="B385" s="1030"/>
      <c r="C385" s="1030"/>
      <c r="D385" s="1030"/>
      <c r="E385" s="1030"/>
      <c r="F385" s="1030"/>
      <c r="G385" s="1030"/>
      <c r="H385" s="1186"/>
      <c r="I385" s="1030"/>
      <c r="J385" s="1030"/>
      <c r="K385" s="1030"/>
      <c r="L385" s="1030"/>
      <c r="M385" s="1030"/>
      <c r="N385" s="1030"/>
      <c r="O385" s="1030"/>
      <c r="P385" s="1030"/>
      <c r="Q385" s="1030"/>
      <c r="R385" s="1030"/>
      <c r="S385" s="1030"/>
      <c r="T385" s="1030"/>
      <c r="U385" s="1030"/>
      <c r="V385" s="1030"/>
      <c r="W385" s="1030"/>
      <c r="X385" s="1030"/>
      <c r="Y385" s="1030"/>
      <c r="Z385" s="1030"/>
    </row>
    <row r="386" spans="1:26" ht="12.75" customHeight="1">
      <c r="A386" s="1030"/>
      <c r="B386" s="1030"/>
      <c r="C386" s="1030"/>
      <c r="D386" s="1030"/>
      <c r="E386" s="1030"/>
      <c r="F386" s="1030"/>
      <c r="G386" s="1030"/>
      <c r="H386" s="1186"/>
      <c r="I386" s="1030"/>
      <c r="J386" s="1030"/>
      <c r="K386" s="1030"/>
      <c r="L386" s="1030"/>
      <c r="M386" s="1030"/>
      <c r="N386" s="1030"/>
      <c r="O386" s="1030"/>
      <c r="P386" s="1030"/>
      <c r="Q386" s="1030"/>
      <c r="R386" s="1030"/>
      <c r="S386" s="1030"/>
      <c r="T386" s="1030"/>
      <c r="U386" s="1030"/>
      <c r="V386" s="1030"/>
      <c r="W386" s="1030"/>
      <c r="X386" s="1030"/>
      <c r="Y386" s="1030"/>
      <c r="Z386" s="1030"/>
    </row>
    <row r="387" spans="1:26" ht="12.75" customHeight="1">
      <c r="A387" s="1030"/>
      <c r="B387" s="1030"/>
      <c r="C387" s="1030"/>
      <c r="D387" s="1030"/>
      <c r="E387" s="1030"/>
      <c r="F387" s="1030"/>
      <c r="G387" s="1030"/>
      <c r="H387" s="1186"/>
      <c r="I387" s="1030"/>
      <c r="J387" s="1030"/>
      <c r="K387" s="1030"/>
      <c r="L387" s="1030"/>
      <c r="M387" s="1030"/>
      <c r="N387" s="1030"/>
      <c r="O387" s="1030"/>
      <c r="P387" s="1030"/>
      <c r="Q387" s="1030"/>
      <c r="R387" s="1030"/>
      <c r="S387" s="1030"/>
      <c r="T387" s="1030"/>
      <c r="U387" s="1030"/>
      <c r="V387" s="1030"/>
      <c r="W387" s="1030"/>
      <c r="X387" s="1030"/>
      <c r="Y387" s="1030"/>
      <c r="Z387" s="1030"/>
    </row>
    <row r="388" spans="1:26" ht="12.75" customHeight="1">
      <c r="A388" s="1030"/>
      <c r="B388" s="1030"/>
      <c r="C388" s="1030"/>
      <c r="D388" s="1030"/>
      <c r="E388" s="1030"/>
      <c r="F388" s="1030"/>
      <c r="G388" s="1030"/>
      <c r="H388" s="1186"/>
      <c r="I388" s="1030"/>
      <c r="J388" s="1030"/>
      <c r="K388" s="1030"/>
      <c r="L388" s="1030"/>
      <c r="M388" s="1030"/>
      <c r="N388" s="1030"/>
      <c r="O388" s="1030"/>
      <c r="P388" s="1030"/>
      <c r="Q388" s="1030"/>
      <c r="R388" s="1030"/>
      <c r="S388" s="1030"/>
      <c r="T388" s="1030"/>
      <c r="U388" s="1030"/>
      <c r="V388" s="1030"/>
      <c r="W388" s="1030"/>
      <c r="X388" s="1030"/>
      <c r="Y388" s="1030"/>
      <c r="Z388" s="1030"/>
    </row>
    <row r="389" spans="1:26" ht="12.75" customHeight="1">
      <c r="A389" s="1030"/>
      <c r="B389" s="1030"/>
      <c r="C389" s="1030"/>
      <c r="D389" s="1030"/>
      <c r="E389" s="1030"/>
      <c r="F389" s="1030"/>
      <c r="G389" s="1030"/>
      <c r="H389" s="1186"/>
      <c r="I389" s="1030"/>
      <c r="J389" s="1030"/>
      <c r="K389" s="1030"/>
      <c r="L389" s="1030"/>
      <c r="M389" s="1030"/>
      <c r="N389" s="1030"/>
      <c r="O389" s="1030"/>
      <c r="P389" s="1030"/>
      <c r="Q389" s="1030"/>
      <c r="R389" s="1030"/>
      <c r="S389" s="1030"/>
      <c r="T389" s="1030"/>
      <c r="U389" s="1030"/>
      <c r="V389" s="1030"/>
      <c r="W389" s="1030"/>
      <c r="X389" s="1030"/>
      <c r="Y389" s="1030"/>
      <c r="Z389" s="1030"/>
    </row>
    <row r="390" spans="1:26" ht="12.75" customHeight="1">
      <c r="A390" s="1030"/>
      <c r="B390" s="1030"/>
      <c r="C390" s="1030"/>
      <c r="D390" s="1030"/>
      <c r="E390" s="1030"/>
      <c r="F390" s="1030"/>
      <c r="G390" s="1030"/>
      <c r="H390" s="1186"/>
      <c r="I390" s="1030"/>
      <c r="J390" s="1030"/>
      <c r="K390" s="1030"/>
      <c r="L390" s="1030"/>
      <c r="M390" s="1030"/>
      <c r="N390" s="1030"/>
      <c r="O390" s="1030"/>
      <c r="P390" s="1030"/>
      <c r="Q390" s="1030"/>
      <c r="R390" s="1030"/>
      <c r="S390" s="1030"/>
      <c r="T390" s="1030"/>
      <c r="U390" s="1030"/>
      <c r="V390" s="1030"/>
      <c r="W390" s="1030"/>
      <c r="X390" s="1030"/>
      <c r="Y390" s="1030"/>
      <c r="Z390" s="1030"/>
    </row>
    <row r="391" spans="1:26" ht="12.75" customHeight="1">
      <c r="A391" s="1030"/>
      <c r="B391" s="1030"/>
      <c r="C391" s="1030"/>
      <c r="D391" s="1030"/>
      <c r="E391" s="1030"/>
      <c r="F391" s="1030"/>
      <c r="G391" s="1030"/>
      <c r="H391" s="1186"/>
      <c r="I391" s="1030"/>
      <c r="J391" s="1030"/>
      <c r="K391" s="1030"/>
      <c r="L391" s="1030"/>
      <c r="M391" s="1030"/>
      <c r="N391" s="1030"/>
      <c r="O391" s="1030"/>
      <c r="P391" s="1030"/>
      <c r="Q391" s="1030"/>
      <c r="R391" s="1030"/>
      <c r="S391" s="1030"/>
      <c r="T391" s="1030"/>
      <c r="U391" s="1030"/>
      <c r="V391" s="1030"/>
      <c r="W391" s="1030"/>
      <c r="X391" s="1030"/>
      <c r="Y391" s="1030"/>
      <c r="Z391" s="1030"/>
    </row>
    <row r="392" spans="1:26" ht="12.75" customHeight="1">
      <c r="A392" s="1030"/>
      <c r="B392" s="1030"/>
      <c r="C392" s="1030"/>
      <c r="D392" s="1030"/>
      <c r="E392" s="1030"/>
      <c r="F392" s="1030"/>
      <c r="G392" s="1030"/>
      <c r="H392" s="1186"/>
      <c r="I392" s="1030"/>
      <c r="J392" s="1030"/>
      <c r="K392" s="1030"/>
      <c r="L392" s="1030"/>
      <c r="M392" s="1030"/>
      <c r="N392" s="1030"/>
      <c r="O392" s="1030"/>
      <c r="P392" s="1030"/>
      <c r="Q392" s="1030"/>
      <c r="R392" s="1030"/>
      <c r="S392" s="1030"/>
      <c r="T392" s="1030"/>
      <c r="U392" s="1030"/>
      <c r="V392" s="1030"/>
      <c r="W392" s="1030"/>
      <c r="X392" s="1030"/>
      <c r="Y392" s="1030"/>
      <c r="Z392" s="1030"/>
    </row>
    <row r="393" spans="1:26" ht="12.75" customHeight="1">
      <c r="A393" s="1030"/>
      <c r="B393" s="1030"/>
      <c r="C393" s="1030"/>
      <c r="D393" s="1030"/>
      <c r="E393" s="1030"/>
      <c r="F393" s="1030"/>
      <c r="G393" s="1030"/>
      <c r="H393" s="1186"/>
      <c r="I393" s="1030"/>
      <c r="J393" s="1030"/>
      <c r="K393" s="1030"/>
      <c r="L393" s="1030"/>
      <c r="M393" s="1030"/>
      <c r="N393" s="1030"/>
      <c r="O393" s="1030"/>
      <c r="P393" s="1030"/>
      <c r="Q393" s="1030"/>
      <c r="R393" s="1030"/>
      <c r="S393" s="1030"/>
      <c r="T393" s="1030"/>
      <c r="U393" s="1030"/>
      <c r="V393" s="1030"/>
      <c r="W393" s="1030"/>
      <c r="X393" s="1030"/>
      <c r="Y393" s="1030"/>
      <c r="Z393" s="1030"/>
    </row>
    <row r="394" spans="1:26" ht="12.75" customHeight="1">
      <c r="A394" s="1030"/>
      <c r="B394" s="1030"/>
      <c r="C394" s="1030"/>
      <c r="D394" s="1030"/>
      <c r="E394" s="1030"/>
      <c r="F394" s="1030"/>
      <c r="G394" s="1030"/>
      <c r="H394" s="1186"/>
      <c r="I394" s="1030"/>
      <c r="J394" s="1030"/>
      <c r="K394" s="1030"/>
      <c r="L394" s="1030"/>
      <c r="M394" s="1030"/>
      <c r="N394" s="1030"/>
      <c r="O394" s="1030"/>
      <c r="P394" s="1030"/>
      <c r="Q394" s="1030"/>
      <c r="R394" s="1030"/>
      <c r="S394" s="1030"/>
      <c r="T394" s="1030"/>
      <c r="U394" s="1030"/>
      <c r="V394" s="1030"/>
      <c r="W394" s="1030"/>
      <c r="X394" s="1030"/>
      <c r="Y394" s="1030"/>
      <c r="Z394" s="1030"/>
    </row>
    <row r="395" spans="1:26" ht="12.75" customHeight="1">
      <c r="A395" s="1030"/>
      <c r="B395" s="1030"/>
      <c r="C395" s="1030"/>
      <c r="D395" s="1030"/>
      <c r="E395" s="1030"/>
      <c r="F395" s="1030"/>
      <c r="G395" s="1030"/>
      <c r="H395" s="1186"/>
      <c r="I395" s="1030"/>
      <c r="J395" s="1030"/>
      <c r="K395" s="1030"/>
      <c r="L395" s="1030"/>
      <c r="M395" s="1030"/>
      <c r="N395" s="1030"/>
      <c r="O395" s="1030"/>
      <c r="P395" s="1030"/>
      <c r="Q395" s="1030"/>
      <c r="R395" s="1030"/>
      <c r="S395" s="1030"/>
      <c r="T395" s="1030"/>
      <c r="U395" s="1030"/>
      <c r="V395" s="1030"/>
      <c r="W395" s="1030"/>
      <c r="X395" s="1030"/>
      <c r="Y395" s="1030"/>
      <c r="Z395" s="1030"/>
    </row>
    <row r="396" spans="1:26" ht="12.75" customHeight="1">
      <c r="A396" s="1030"/>
      <c r="B396" s="1030"/>
      <c r="C396" s="1030"/>
      <c r="D396" s="1030"/>
      <c r="E396" s="1030"/>
      <c r="F396" s="1030"/>
      <c r="G396" s="1030"/>
      <c r="H396" s="1186"/>
      <c r="I396" s="1030"/>
      <c r="J396" s="1030"/>
      <c r="K396" s="1030"/>
      <c r="L396" s="1030"/>
      <c r="M396" s="1030"/>
      <c r="N396" s="1030"/>
      <c r="O396" s="1030"/>
      <c r="P396" s="1030"/>
      <c r="Q396" s="1030"/>
      <c r="R396" s="1030"/>
      <c r="S396" s="1030"/>
      <c r="T396" s="1030"/>
      <c r="U396" s="1030"/>
      <c r="V396" s="1030"/>
      <c r="W396" s="1030"/>
      <c r="X396" s="1030"/>
      <c r="Y396" s="1030"/>
      <c r="Z396" s="1030"/>
    </row>
    <row r="397" spans="1:26" ht="12.75" customHeight="1">
      <c r="A397" s="1030"/>
      <c r="B397" s="1030"/>
      <c r="C397" s="1030"/>
      <c r="D397" s="1030"/>
      <c r="E397" s="1030"/>
      <c r="F397" s="1030"/>
      <c r="G397" s="1030"/>
      <c r="H397" s="1186"/>
      <c r="I397" s="1030"/>
      <c r="J397" s="1030"/>
      <c r="K397" s="1030"/>
      <c r="L397" s="1030"/>
      <c r="M397" s="1030"/>
      <c r="N397" s="1030"/>
      <c r="O397" s="1030"/>
      <c r="P397" s="1030"/>
      <c r="Q397" s="1030"/>
      <c r="R397" s="1030"/>
      <c r="S397" s="1030"/>
      <c r="T397" s="1030"/>
      <c r="U397" s="1030"/>
      <c r="V397" s="1030"/>
      <c r="W397" s="1030"/>
      <c r="X397" s="1030"/>
      <c r="Y397" s="1030"/>
      <c r="Z397" s="1030"/>
    </row>
    <row r="398" spans="1:26" ht="12.75" customHeight="1">
      <c r="A398" s="1030"/>
      <c r="B398" s="1030"/>
      <c r="C398" s="1030"/>
      <c r="D398" s="1030"/>
      <c r="E398" s="1030"/>
      <c r="F398" s="1030"/>
      <c r="G398" s="1030"/>
      <c r="H398" s="1186"/>
      <c r="I398" s="1030"/>
      <c r="J398" s="1030"/>
      <c r="K398" s="1030"/>
      <c r="L398" s="1030"/>
      <c r="M398" s="1030"/>
      <c r="N398" s="1030"/>
      <c r="O398" s="1030"/>
      <c r="P398" s="1030"/>
      <c r="Q398" s="1030"/>
      <c r="R398" s="1030"/>
      <c r="S398" s="1030"/>
      <c r="T398" s="1030"/>
      <c r="U398" s="1030"/>
      <c r="V398" s="1030"/>
      <c r="W398" s="1030"/>
      <c r="X398" s="1030"/>
      <c r="Y398" s="1030"/>
      <c r="Z398" s="1030"/>
    </row>
    <row r="399" spans="1:26" ht="12.75" customHeight="1">
      <c r="A399" s="1030"/>
      <c r="B399" s="1030"/>
      <c r="C399" s="1030"/>
      <c r="D399" s="1030"/>
      <c r="E399" s="1030"/>
      <c r="F399" s="1030"/>
      <c r="G399" s="1030"/>
      <c r="H399" s="1186"/>
      <c r="I399" s="1030"/>
      <c r="J399" s="1030"/>
      <c r="K399" s="1030"/>
      <c r="L399" s="1030"/>
      <c r="M399" s="1030"/>
      <c r="N399" s="1030"/>
      <c r="O399" s="1030"/>
      <c r="P399" s="1030"/>
      <c r="Q399" s="1030"/>
      <c r="R399" s="1030"/>
      <c r="S399" s="1030"/>
      <c r="T399" s="1030"/>
      <c r="U399" s="1030"/>
      <c r="V399" s="1030"/>
      <c r="W399" s="1030"/>
      <c r="X399" s="1030"/>
      <c r="Y399" s="1030"/>
      <c r="Z399" s="1030"/>
    </row>
    <row r="400" spans="1:26" ht="12.75" customHeight="1">
      <c r="A400" s="1030"/>
      <c r="B400" s="1030"/>
      <c r="C400" s="1030"/>
      <c r="D400" s="1030"/>
      <c r="E400" s="1030"/>
      <c r="F400" s="1030"/>
      <c r="G400" s="1030"/>
      <c r="H400" s="1186"/>
      <c r="I400" s="1030"/>
      <c r="J400" s="1030"/>
      <c r="K400" s="1030"/>
      <c r="L400" s="1030"/>
      <c r="M400" s="1030"/>
      <c r="N400" s="1030"/>
      <c r="O400" s="1030"/>
      <c r="P400" s="1030"/>
      <c r="Q400" s="1030"/>
      <c r="R400" s="1030"/>
      <c r="S400" s="1030"/>
      <c r="T400" s="1030"/>
      <c r="U400" s="1030"/>
      <c r="V400" s="1030"/>
      <c r="W400" s="1030"/>
      <c r="X400" s="1030"/>
      <c r="Y400" s="1030"/>
      <c r="Z400" s="1030"/>
    </row>
    <row r="401" spans="1:26" ht="12.75" customHeight="1">
      <c r="A401" s="1030"/>
      <c r="B401" s="1030"/>
      <c r="C401" s="1030"/>
      <c r="D401" s="1030"/>
      <c r="E401" s="1030"/>
      <c r="F401" s="1030"/>
      <c r="G401" s="1030"/>
      <c r="H401" s="1186"/>
      <c r="I401" s="1030"/>
      <c r="J401" s="1030"/>
      <c r="K401" s="1030"/>
      <c r="L401" s="1030"/>
      <c r="M401" s="1030"/>
      <c r="N401" s="1030"/>
      <c r="O401" s="1030"/>
      <c r="P401" s="1030"/>
      <c r="Q401" s="1030"/>
      <c r="R401" s="1030"/>
      <c r="S401" s="1030"/>
      <c r="T401" s="1030"/>
      <c r="U401" s="1030"/>
      <c r="V401" s="1030"/>
      <c r="W401" s="1030"/>
      <c r="X401" s="1030"/>
      <c r="Y401" s="1030"/>
      <c r="Z401" s="1030"/>
    </row>
    <row r="402" spans="1:26" ht="12.75" customHeight="1">
      <c r="A402" s="1030"/>
      <c r="B402" s="1030"/>
      <c r="C402" s="1030"/>
      <c r="D402" s="1030"/>
      <c r="E402" s="1030"/>
      <c r="F402" s="1030"/>
      <c r="G402" s="1030"/>
      <c r="H402" s="1186"/>
      <c r="I402" s="1030"/>
      <c r="J402" s="1030"/>
      <c r="K402" s="1030"/>
      <c r="L402" s="1030"/>
      <c r="M402" s="1030"/>
      <c r="N402" s="1030"/>
      <c r="O402" s="1030"/>
      <c r="P402" s="1030"/>
      <c r="Q402" s="1030"/>
      <c r="R402" s="1030"/>
      <c r="S402" s="1030"/>
      <c r="T402" s="1030"/>
      <c r="U402" s="1030"/>
      <c r="V402" s="1030"/>
      <c r="W402" s="1030"/>
      <c r="X402" s="1030"/>
      <c r="Y402" s="1030"/>
      <c r="Z402" s="1030"/>
    </row>
    <row r="403" spans="1:26" ht="12.75" customHeight="1">
      <c r="A403" s="1030"/>
      <c r="B403" s="1030"/>
      <c r="C403" s="1030"/>
      <c r="D403" s="1030"/>
      <c r="E403" s="1030"/>
      <c r="F403" s="1030"/>
      <c r="G403" s="1030"/>
      <c r="H403" s="1186"/>
      <c r="I403" s="1030"/>
      <c r="J403" s="1030"/>
      <c r="K403" s="1030"/>
      <c r="L403" s="1030"/>
      <c r="M403" s="1030"/>
      <c r="N403" s="1030"/>
      <c r="O403" s="1030"/>
      <c r="P403" s="1030"/>
      <c r="Q403" s="1030"/>
      <c r="R403" s="1030"/>
      <c r="S403" s="1030"/>
      <c r="T403" s="1030"/>
      <c r="U403" s="1030"/>
      <c r="V403" s="1030"/>
      <c r="W403" s="1030"/>
      <c r="X403" s="1030"/>
      <c r="Y403" s="1030"/>
      <c r="Z403" s="1030"/>
    </row>
    <row r="404" spans="1:26" ht="12.75" customHeight="1">
      <c r="A404" s="1030"/>
      <c r="B404" s="1030"/>
      <c r="C404" s="1030"/>
      <c r="D404" s="1030"/>
      <c r="E404" s="1030"/>
      <c r="F404" s="1030"/>
      <c r="G404" s="1030"/>
      <c r="H404" s="1186"/>
      <c r="I404" s="1030"/>
      <c r="J404" s="1030"/>
      <c r="K404" s="1030"/>
      <c r="L404" s="1030"/>
      <c r="M404" s="1030"/>
      <c r="N404" s="1030"/>
      <c r="O404" s="1030"/>
      <c r="P404" s="1030"/>
      <c r="Q404" s="1030"/>
      <c r="R404" s="1030"/>
      <c r="S404" s="1030"/>
      <c r="T404" s="1030"/>
      <c r="U404" s="1030"/>
      <c r="V404" s="1030"/>
      <c r="W404" s="1030"/>
      <c r="X404" s="1030"/>
      <c r="Y404" s="1030"/>
      <c r="Z404" s="1030"/>
    </row>
    <row r="405" spans="1:26" ht="12.75" customHeight="1">
      <c r="A405" s="1030"/>
      <c r="B405" s="1030"/>
      <c r="C405" s="1030"/>
      <c r="D405" s="1030"/>
      <c r="E405" s="1030"/>
      <c r="F405" s="1030"/>
      <c r="G405" s="1030"/>
      <c r="H405" s="1186"/>
      <c r="I405" s="1030"/>
      <c r="J405" s="1030"/>
      <c r="K405" s="1030"/>
      <c r="L405" s="1030"/>
      <c r="M405" s="1030"/>
      <c r="N405" s="1030"/>
      <c r="O405" s="1030"/>
      <c r="P405" s="1030"/>
      <c r="Q405" s="1030"/>
      <c r="R405" s="1030"/>
      <c r="S405" s="1030"/>
      <c r="T405" s="1030"/>
      <c r="U405" s="1030"/>
      <c r="V405" s="1030"/>
      <c r="W405" s="1030"/>
      <c r="X405" s="1030"/>
      <c r="Y405" s="1030"/>
      <c r="Z405" s="1030"/>
    </row>
    <row r="406" spans="1:26" ht="12.75" customHeight="1">
      <c r="A406" s="1030"/>
      <c r="B406" s="1030"/>
      <c r="C406" s="1030"/>
      <c r="D406" s="1030"/>
      <c r="E406" s="1030"/>
      <c r="F406" s="1030"/>
      <c r="G406" s="1030"/>
      <c r="H406" s="1186"/>
      <c r="I406" s="1030"/>
      <c r="J406" s="1030"/>
      <c r="K406" s="1030"/>
      <c r="L406" s="1030"/>
      <c r="M406" s="1030"/>
      <c r="N406" s="1030"/>
      <c r="O406" s="1030"/>
      <c r="P406" s="1030"/>
      <c r="Q406" s="1030"/>
      <c r="R406" s="1030"/>
      <c r="S406" s="1030"/>
      <c r="T406" s="1030"/>
      <c r="U406" s="1030"/>
      <c r="V406" s="1030"/>
      <c r="W406" s="1030"/>
      <c r="X406" s="1030"/>
      <c r="Y406" s="1030"/>
      <c r="Z406" s="1030"/>
    </row>
    <row r="407" spans="1:26" ht="12.75" customHeight="1">
      <c r="A407" s="1030"/>
      <c r="B407" s="1030"/>
      <c r="C407" s="1030"/>
      <c r="D407" s="1030"/>
      <c r="E407" s="1030"/>
      <c r="F407" s="1030"/>
      <c r="G407" s="1030"/>
      <c r="H407" s="1186"/>
      <c r="I407" s="1030"/>
      <c r="J407" s="1030"/>
      <c r="K407" s="1030"/>
      <c r="L407" s="1030"/>
      <c r="M407" s="1030"/>
      <c r="N407" s="1030"/>
      <c r="O407" s="1030"/>
      <c r="P407" s="1030"/>
      <c r="Q407" s="1030"/>
      <c r="R407" s="1030"/>
      <c r="S407" s="1030"/>
      <c r="T407" s="1030"/>
      <c r="U407" s="1030"/>
      <c r="V407" s="1030"/>
      <c r="W407" s="1030"/>
      <c r="X407" s="1030"/>
      <c r="Y407" s="1030"/>
      <c r="Z407" s="1030"/>
    </row>
    <row r="408" spans="1:26" ht="12.75" customHeight="1">
      <c r="A408" s="1030"/>
      <c r="B408" s="1030"/>
      <c r="C408" s="1030"/>
      <c r="D408" s="1030"/>
      <c r="E408" s="1030"/>
      <c r="F408" s="1030"/>
      <c r="G408" s="1030"/>
      <c r="H408" s="1186"/>
      <c r="I408" s="1030"/>
      <c r="J408" s="1030"/>
      <c r="K408" s="1030"/>
      <c r="L408" s="1030"/>
      <c r="M408" s="1030"/>
      <c r="N408" s="1030"/>
      <c r="O408" s="1030"/>
      <c r="P408" s="1030"/>
      <c r="Q408" s="1030"/>
      <c r="R408" s="1030"/>
      <c r="S408" s="1030"/>
      <c r="T408" s="1030"/>
      <c r="U408" s="1030"/>
      <c r="V408" s="1030"/>
      <c r="W408" s="1030"/>
      <c r="X408" s="1030"/>
      <c r="Y408" s="1030"/>
      <c r="Z408" s="1030"/>
    </row>
    <row r="409" spans="1:26" ht="12.75" customHeight="1">
      <c r="A409" s="1030"/>
      <c r="B409" s="1030"/>
      <c r="C409" s="1030"/>
      <c r="D409" s="1030"/>
      <c r="E409" s="1030"/>
      <c r="F409" s="1030"/>
      <c r="G409" s="1030"/>
      <c r="H409" s="1186"/>
      <c r="I409" s="1030"/>
      <c r="J409" s="1030"/>
      <c r="K409" s="1030"/>
      <c r="L409" s="1030"/>
      <c r="M409" s="1030"/>
      <c r="N409" s="1030"/>
      <c r="O409" s="1030"/>
      <c r="P409" s="1030"/>
      <c r="Q409" s="1030"/>
      <c r="R409" s="1030"/>
      <c r="S409" s="1030"/>
      <c r="T409" s="1030"/>
      <c r="U409" s="1030"/>
      <c r="V409" s="1030"/>
      <c r="W409" s="1030"/>
      <c r="X409" s="1030"/>
      <c r="Y409" s="1030"/>
      <c r="Z409" s="1030"/>
    </row>
    <row r="410" spans="1:26" ht="12.75" customHeight="1">
      <c r="A410" s="1030"/>
      <c r="B410" s="1030"/>
      <c r="C410" s="1030"/>
      <c r="D410" s="1030"/>
      <c r="E410" s="1030"/>
      <c r="F410" s="1030"/>
      <c r="G410" s="1030"/>
      <c r="H410" s="1186"/>
      <c r="I410" s="1030"/>
      <c r="J410" s="1030"/>
      <c r="K410" s="1030"/>
      <c r="L410" s="1030"/>
      <c r="M410" s="1030"/>
      <c r="N410" s="1030"/>
      <c r="O410" s="1030"/>
      <c r="P410" s="1030"/>
      <c r="Q410" s="1030"/>
      <c r="R410" s="1030"/>
      <c r="S410" s="1030"/>
      <c r="T410" s="1030"/>
      <c r="U410" s="1030"/>
      <c r="V410" s="1030"/>
      <c r="W410" s="1030"/>
      <c r="X410" s="1030"/>
      <c r="Y410" s="1030"/>
      <c r="Z410" s="1030"/>
    </row>
    <row r="411" spans="1:26" ht="12.75" customHeight="1">
      <c r="A411" s="1030"/>
      <c r="B411" s="1030"/>
      <c r="C411" s="1030"/>
      <c r="D411" s="1030"/>
      <c r="E411" s="1030"/>
      <c r="F411" s="1030"/>
      <c r="G411" s="1030"/>
      <c r="H411" s="1186"/>
      <c r="I411" s="1030"/>
      <c r="J411" s="1030"/>
      <c r="K411" s="1030"/>
      <c r="L411" s="1030"/>
      <c r="M411" s="1030"/>
      <c r="N411" s="1030"/>
      <c r="O411" s="1030"/>
      <c r="P411" s="1030"/>
      <c r="Q411" s="1030"/>
      <c r="R411" s="1030"/>
      <c r="S411" s="1030"/>
      <c r="T411" s="1030"/>
      <c r="U411" s="1030"/>
      <c r="V411" s="1030"/>
      <c r="W411" s="1030"/>
      <c r="X411" s="1030"/>
      <c r="Y411" s="1030"/>
      <c r="Z411" s="1030"/>
    </row>
    <row r="412" spans="1:26" ht="12.75" customHeight="1">
      <c r="A412" s="1030"/>
      <c r="B412" s="1030"/>
      <c r="C412" s="1030"/>
      <c r="D412" s="1030"/>
      <c r="E412" s="1030"/>
      <c r="F412" s="1030"/>
      <c r="G412" s="1030"/>
      <c r="H412" s="1186"/>
      <c r="I412" s="1030"/>
      <c r="J412" s="1030"/>
      <c r="K412" s="1030"/>
      <c r="L412" s="1030"/>
      <c r="M412" s="1030"/>
      <c r="N412" s="1030"/>
      <c r="O412" s="1030"/>
      <c r="P412" s="1030"/>
      <c r="Q412" s="1030"/>
      <c r="R412" s="1030"/>
      <c r="S412" s="1030"/>
      <c r="T412" s="1030"/>
      <c r="U412" s="1030"/>
      <c r="V412" s="1030"/>
      <c r="W412" s="1030"/>
      <c r="X412" s="1030"/>
      <c r="Y412" s="1030"/>
      <c r="Z412" s="1030"/>
    </row>
    <row r="413" spans="1:26" ht="12.75" customHeight="1">
      <c r="A413" s="1030"/>
      <c r="B413" s="1030"/>
      <c r="C413" s="1030"/>
      <c r="D413" s="1030"/>
      <c r="E413" s="1030"/>
      <c r="F413" s="1030"/>
      <c r="G413" s="1030"/>
      <c r="H413" s="1186"/>
      <c r="I413" s="1030"/>
      <c r="J413" s="1030"/>
      <c r="K413" s="1030"/>
      <c r="L413" s="1030"/>
      <c r="M413" s="1030"/>
      <c r="N413" s="1030"/>
      <c r="O413" s="1030"/>
      <c r="P413" s="1030"/>
      <c r="Q413" s="1030"/>
      <c r="R413" s="1030"/>
      <c r="S413" s="1030"/>
      <c r="T413" s="1030"/>
      <c r="U413" s="1030"/>
      <c r="V413" s="1030"/>
      <c r="W413" s="1030"/>
      <c r="X413" s="1030"/>
      <c r="Y413" s="1030"/>
      <c r="Z413" s="1030"/>
    </row>
    <row r="414" spans="1:26" ht="12.75" customHeight="1">
      <c r="A414" s="1030"/>
      <c r="B414" s="1030"/>
      <c r="C414" s="1030"/>
      <c r="D414" s="1030"/>
      <c r="E414" s="1030"/>
      <c r="F414" s="1030"/>
      <c r="G414" s="1030"/>
      <c r="H414" s="1186"/>
      <c r="I414" s="1030"/>
      <c r="J414" s="1030"/>
      <c r="K414" s="1030"/>
      <c r="L414" s="1030"/>
      <c r="M414" s="1030"/>
      <c r="N414" s="1030"/>
      <c r="O414" s="1030"/>
      <c r="P414" s="1030"/>
      <c r="Q414" s="1030"/>
      <c r="R414" s="1030"/>
      <c r="S414" s="1030"/>
      <c r="T414" s="1030"/>
      <c r="U414" s="1030"/>
      <c r="V414" s="1030"/>
      <c r="W414" s="1030"/>
      <c r="X414" s="1030"/>
      <c r="Y414" s="1030"/>
      <c r="Z414" s="1030"/>
    </row>
    <row r="415" spans="1:26" ht="12.75" customHeight="1">
      <c r="A415" s="1030"/>
      <c r="B415" s="1030"/>
      <c r="C415" s="1030"/>
      <c r="D415" s="1030"/>
      <c r="E415" s="1030"/>
      <c r="F415" s="1030"/>
      <c r="G415" s="1030"/>
      <c r="H415" s="1186"/>
      <c r="I415" s="1030"/>
      <c r="J415" s="1030"/>
      <c r="K415" s="1030"/>
      <c r="L415" s="1030"/>
      <c r="M415" s="1030"/>
      <c r="N415" s="1030"/>
      <c r="O415" s="1030"/>
      <c r="P415" s="1030"/>
      <c r="Q415" s="1030"/>
      <c r="R415" s="1030"/>
      <c r="S415" s="1030"/>
      <c r="T415" s="1030"/>
      <c r="U415" s="1030"/>
      <c r="V415" s="1030"/>
      <c r="W415" s="1030"/>
      <c r="X415" s="1030"/>
      <c r="Y415" s="1030"/>
      <c r="Z415" s="1030"/>
    </row>
    <row r="416" spans="1:26" ht="12.75" customHeight="1">
      <c r="A416" s="1030"/>
      <c r="B416" s="1030"/>
      <c r="C416" s="1030"/>
      <c r="D416" s="1030"/>
      <c r="E416" s="1030"/>
      <c r="F416" s="1030"/>
      <c r="G416" s="1030"/>
      <c r="H416" s="1186"/>
      <c r="I416" s="1030"/>
      <c r="J416" s="1030"/>
      <c r="K416" s="1030"/>
      <c r="L416" s="1030"/>
      <c r="M416" s="1030"/>
      <c r="N416" s="1030"/>
      <c r="O416" s="1030"/>
      <c r="P416" s="1030"/>
      <c r="Q416" s="1030"/>
      <c r="R416" s="1030"/>
      <c r="S416" s="1030"/>
      <c r="T416" s="1030"/>
      <c r="U416" s="1030"/>
      <c r="V416" s="1030"/>
      <c r="W416" s="1030"/>
      <c r="X416" s="1030"/>
      <c r="Y416" s="1030"/>
      <c r="Z416" s="1030"/>
    </row>
    <row r="417" spans="1:26" ht="12.75" customHeight="1">
      <c r="A417" s="1030"/>
      <c r="B417" s="1030"/>
      <c r="C417" s="1030"/>
      <c r="D417" s="1030"/>
      <c r="E417" s="1030"/>
      <c r="F417" s="1030"/>
      <c r="G417" s="1030"/>
      <c r="H417" s="1186"/>
      <c r="I417" s="1030"/>
      <c r="J417" s="1030"/>
      <c r="K417" s="1030"/>
      <c r="L417" s="1030"/>
      <c r="M417" s="1030"/>
      <c r="N417" s="1030"/>
      <c r="O417" s="1030"/>
      <c r="P417" s="1030"/>
      <c r="Q417" s="1030"/>
      <c r="R417" s="1030"/>
      <c r="S417" s="1030"/>
      <c r="T417" s="1030"/>
      <c r="U417" s="1030"/>
      <c r="V417" s="1030"/>
      <c r="W417" s="1030"/>
      <c r="X417" s="1030"/>
      <c r="Y417" s="1030"/>
      <c r="Z417" s="1030"/>
    </row>
    <row r="418" spans="1:26" ht="12.75" customHeight="1">
      <c r="A418" s="1030"/>
      <c r="B418" s="1030"/>
      <c r="C418" s="1030"/>
      <c r="D418" s="1030"/>
      <c r="E418" s="1030"/>
      <c r="F418" s="1030"/>
      <c r="G418" s="1030"/>
      <c r="H418" s="1186"/>
      <c r="I418" s="1030"/>
      <c r="J418" s="1030"/>
      <c r="K418" s="1030"/>
      <c r="L418" s="1030"/>
      <c r="M418" s="1030"/>
      <c r="N418" s="1030"/>
      <c r="O418" s="1030"/>
      <c r="P418" s="1030"/>
      <c r="Q418" s="1030"/>
      <c r="R418" s="1030"/>
      <c r="S418" s="1030"/>
      <c r="T418" s="1030"/>
      <c r="U418" s="1030"/>
      <c r="V418" s="1030"/>
      <c r="W418" s="1030"/>
      <c r="X418" s="1030"/>
      <c r="Y418" s="1030"/>
      <c r="Z418" s="1030"/>
    </row>
    <row r="419" spans="1:26" ht="12.75" customHeight="1">
      <c r="A419" s="1030"/>
      <c r="B419" s="1030"/>
      <c r="C419" s="1030"/>
      <c r="D419" s="1030"/>
      <c r="E419" s="1030"/>
      <c r="F419" s="1030"/>
      <c r="G419" s="1030"/>
      <c r="H419" s="1186"/>
      <c r="I419" s="1030"/>
      <c r="J419" s="1030"/>
      <c r="K419" s="1030"/>
      <c r="L419" s="1030"/>
      <c r="M419" s="1030"/>
      <c r="N419" s="1030"/>
      <c r="O419" s="1030"/>
      <c r="P419" s="1030"/>
      <c r="Q419" s="1030"/>
      <c r="R419" s="1030"/>
      <c r="S419" s="1030"/>
      <c r="T419" s="1030"/>
      <c r="U419" s="1030"/>
      <c r="V419" s="1030"/>
      <c r="W419" s="1030"/>
      <c r="X419" s="1030"/>
      <c r="Y419" s="1030"/>
      <c r="Z419" s="1030"/>
    </row>
    <row r="420" spans="1:26" ht="12.75" customHeight="1">
      <c r="A420" s="1030"/>
      <c r="B420" s="1030"/>
      <c r="C420" s="1030"/>
      <c r="D420" s="1030"/>
      <c r="E420" s="1030"/>
      <c r="F420" s="1030"/>
      <c r="G420" s="1030"/>
      <c r="H420" s="1186"/>
      <c r="I420" s="1030"/>
      <c r="J420" s="1030"/>
      <c r="K420" s="1030"/>
      <c r="L420" s="1030"/>
      <c r="M420" s="1030"/>
      <c r="N420" s="1030"/>
      <c r="O420" s="1030"/>
      <c r="P420" s="1030"/>
      <c r="Q420" s="1030"/>
      <c r="R420" s="1030"/>
      <c r="S420" s="1030"/>
      <c r="T420" s="1030"/>
      <c r="U420" s="1030"/>
      <c r="V420" s="1030"/>
      <c r="W420" s="1030"/>
      <c r="X420" s="1030"/>
      <c r="Y420" s="1030"/>
      <c r="Z420" s="1030"/>
    </row>
    <row r="421" spans="1:26" ht="12.75" customHeight="1">
      <c r="A421" s="1030"/>
      <c r="B421" s="1030"/>
      <c r="C421" s="1030"/>
      <c r="D421" s="1030"/>
      <c r="E421" s="1030"/>
      <c r="F421" s="1030"/>
      <c r="G421" s="1030"/>
      <c r="H421" s="1186"/>
      <c r="I421" s="1030"/>
      <c r="J421" s="1030"/>
      <c r="K421" s="1030"/>
      <c r="L421" s="1030"/>
      <c r="M421" s="1030"/>
      <c r="N421" s="1030"/>
      <c r="O421" s="1030"/>
      <c r="P421" s="1030"/>
      <c r="Q421" s="1030"/>
      <c r="R421" s="1030"/>
      <c r="S421" s="1030"/>
      <c r="T421" s="1030"/>
      <c r="U421" s="1030"/>
      <c r="V421" s="1030"/>
      <c r="W421" s="1030"/>
      <c r="X421" s="1030"/>
      <c r="Y421" s="1030"/>
      <c r="Z421" s="1030"/>
    </row>
    <row r="422" spans="1:26" ht="12.75" customHeight="1">
      <c r="A422" s="1030"/>
      <c r="B422" s="1030"/>
      <c r="C422" s="1030"/>
      <c r="D422" s="1030"/>
      <c r="E422" s="1030"/>
      <c r="F422" s="1030"/>
      <c r="G422" s="1030"/>
      <c r="H422" s="1186"/>
      <c r="I422" s="1030"/>
      <c r="J422" s="1030"/>
      <c r="K422" s="1030"/>
      <c r="L422" s="1030"/>
      <c r="M422" s="1030"/>
      <c r="N422" s="1030"/>
      <c r="O422" s="1030"/>
      <c r="P422" s="1030"/>
      <c r="Q422" s="1030"/>
      <c r="R422" s="1030"/>
      <c r="S422" s="1030"/>
      <c r="T422" s="1030"/>
      <c r="U422" s="1030"/>
      <c r="V422" s="1030"/>
      <c r="W422" s="1030"/>
      <c r="X422" s="1030"/>
      <c r="Y422" s="1030"/>
      <c r="Z422" s="1030"/>
    </row>
    <row r="423" spans="1:26" ht="12.75" customHeight="1">
      <c r="A423" s="1030"/>
      <c r="B423" s="1030"/>
      <c r="C423" s="1030"/>
      <c r="D423" s="1030"/>
      <c r="E423" s="1030"/>
      <c r="F423" s="1030"/>
      <c r="G423" s="1030"/>
      <c r="H423" s="1186"/>
      <c r="I423" s="1030"/>
      <c r="J423" s="1030"/>
      <c r="K423" s="1030"/>
      <c r="L423" s="1030"/>
      <c r="M423" s="1030"/>
      <c r="N423" s="1030"/>
      <c r="O423" s="1030"/>
      <c r="P423" s="1030"/>
      <c r="Q423" s="1030"/>
      <c r="R423" s="1030"/>
      <c r="S423" s="1030"/>
      <c r="T423" s="1030"/>
      <c r="U423" s="1030"/>
      <c r="V423" s="1030"/>
      <c r="W423" s="1030"/>
      <c r="X423" s="1030"/>
      <c r="Y423" s="1030"/>
      <c r="Z423" s="1030"/>
    </row>
    <row r="424" spans="1:26" ht="12.75" customHeight="1">
      <c r="A424" s="1030"/>
      <c r="B424" s="1030"/>
      <c r="C424" s="1030"/>
      <c r="D424" s="1030"/>
      <c r="E424" s="1030"/>
      <c r="F424" s="1030"/>
      <c r="G424" s="1030"/>
      <c r="H424" s="1186"/>
      <c r="I424" s="1030"/>
      <c r="J424" s="1030"/>
      <c r="K424" s="1030"/>
      <c r="L424" s="1030"/>
      <c r="M424" s="1030"/>
      <c r="N424" s="1030"/>
      <c r="O424" s="1030"/>
      <c r="P424" s="1030"/>
      <c r="Q424" s="1030"/>
      <c r="R424" s="1030"/>
      <c r="S424" s="1030"/>
      <c r="T424" s="1030"/>
      <c r="U424" s="1030"/>
      <c r="V424" s="1030"/>
      <c r="W424" s="1030"/>
      <c r="X424" s="1030"/>
      <c r="Y424" s="1030"/>
      <c r="Z424" s="1030"/>
    </row>
    <row r="425" spans="1:26" ht="12.75" customHeight="1">
      <c r="A425" s="1030"/>
      <c r="B425" s="1030"/>
      <c r="C425" s="1030"/>
      <c r="D425" s="1030"/>
      <c r="E425" s="1030"/>
      <c r="F425" s="1030"/>
      <c r="G425" s="1030"/>
      <c r="H425" s="1186"/>
      <c r="I425" s="1030"/>
      <c r="J425" s="1030"/>
      <c r="K425" s="1030"/>
      <c r="L425" s="1030"/>
      <c r="M425" s="1030"/>
      <c r="N425" s="1030"/>
      <c r="O425" s="1030"/>
      <c r="P425" s="1030"/>
      <c r="Q425" s="1030"/>
      <c r="R425" s="1030"/>
      <c r="S425" s="1030"/>
      <c r="T425" s="1030"/>
      <c r="U425" s="1030"/>
      <c r="V425" s="1030"/>
      <c r="W425" s="1030"/>
      <c r="X425" s="1030"/>
      <c r="Y425" s="1030"/>
      <c r="Z425" s="1030"/>
    </row>
    <row r="426" spans="1:26" ht="12.75" customHeight="1">
      <c r="A426" s="1030"/>
      <c r="B426" s="1030"/>
      <c r="C426" s="1030"/>
      <c r="D426" s="1030"/>
      <c r="E426" s="1030"/>
      <c r="F426" s="1030"/>
      <c r="G426" s="1030"/>
      <c r="H426" s="1186"/>
      <c r="I426" s="1030"/>
      <c r="J426" s="1030"/>
      <c r="K426" s="1030"/>
      <c r="L426" s="1030"/>
      <c r="M426" s="1030"/>
      <c r="N426" s="1030"/>
      <c r="O426" s="1030"/>
      <c r="P426" s="1030"/>
      <c r="Q426" s="1030"/>
      <c r="R426" s="1030"/>
      <c r="S426" s="1030"/>
      <c r="T426" s="1030"/>
      <c r="U426" s="1030"/>
      <c r="V426" s="1030"/>
      <c r="W426" s="1030"/>
      <c r="X426" s="1030"/>
      <c r="Y426" s="1030"/>
      <c r="Z426" s="1030"/>
    </row>
    <row r="427" spans="1:26" ht="12.75" customHeight="1">
      <c r="A427" s="1030"/>
      <c r="B427" s="1030"/>
      <c r="C427" s="1030"/>
      <c r="D427" s="1030"/>
      <c r="E427" s="1030"/>
      <c r="F427" s="1030"/>
      <c r="G427" s="1030"/>
      <c r="H427" s="1186"/>
      <c r="I427" s="1030"/>
      <c r="J427" s="1030"/>
      <c r="K427" s="1030"/>
      <c r="L427" s="1030"/>
      <c r="M427" s="1030"/>
      <c r="N427" s="1030"/>
      <c r="O427" s="1030"/>
      <c r="P427" s="1030"/>
      <c r="Q427" s="1030"/>
      <c r="R427" s="1030"/>
      <c r="S427" s="1030"/>
      <c r="T427" s="1030"/>
      <c r="U427" s="1030"/>
      <c r="V427" s="1030"/>
      <c r="W427" s="1030"/>
      <c r="X427" s="1030"/>
      <c r="Y427" s="1030"/>
      <c r="Z427" s="1030"/>
    </row>
    <row r="428" spans="1:26" ht="12.75" customHeight="1">
      <c r="A428" s="1030"/>
      <c r="B428" s="1030"/>
      <c r="C428" s="1030"/>
      <c r="D428" s="1030"/>
      <c r="E428" s="1030"/>
      <c r="F428" s="1030"/>
      <c r="G428" s="1030"/>
      <c r="H428" s="1186"/>
      <c r="I428" s="1030"/>
      <c r="J428" s="1030"/>
      <c r="K428" s="1030"/>
      <c r="L428" s="1030"/>
      <c r="M428" s="1030"/>
      <c r="N428" s="1030"/>
      <c r="O428" s="1030"/>
      <c r="P428" s="1030"/>
      <c r="Q428" s="1030"/>
      <c r="R428" s="1030"/>
      <c r="S428" s="1030"/>
      <c r="T428" s="1030"/>
      <c r="U428" s="1030"/>
      <c r="V428" s="1030"/>
      <c r="W428" s="1030"/>
      <c r="X428" s="1030"/>
      <c r="Y428" s="1030"/>
      <c r="Z428" s="1030"/>
    </row>
    <row r="429" spans="1:26" ht="12.75" customHeight="1">
      <c r="A429" s="1030"/>
      <c r="B429" s="1030"/>
      <c r="C429" s="1030"/>
      <c r="D429" s="1030"/>
      <c r="E429" s="1030"/>
      <c r="F429" s="1030"/>
      <c r="G429" s="1030"/>
      <c r="H429" s="1186"/>
      <c r="I429" s="1030"/>
      <c r="J429" s="1030"/>
      <c r="K429" s="1030"/>
      <c r="L429" s="1030"/>
      <c r="M429" s="1030"/>
      <c r="N429" s="1030"/>
      <c r="O429" s="1030"/>
      <c r="P429" s="1030"/>
      <c r="Q429" s="1030"/>
      <c r="R429" s="1030"/>
      <c r="S429" s="1030"/>
      <c r="T429" s="1030"/>
      <c r="U429" s="1030"/>
      <c r="V429" s="1030"/>
      <c r="W429" s="1030"/>
      <c r="X429" s="1030"/>
      <c r="Y429" s="1030"/>
      <c r="Z429" s="1030"/>
    </row>
    <row r="430" spans="1:26" ht="12.75" customHeight="1">
      <c r="A430" s="1030"/>
      <c r="B430" s="1030"/>
      <c r="C430" s="1030"/>
      <c r="D430" s="1030"/>
      <c r="E430" s="1030"/>
      <c r="F430" s="1030"/>
      <c r="G430" s="1030"/>
      <c r="H430" s="1186"/>
      <c r="I430" s="1030"/>
      <c r="J430" s="1030"/>
      <c r="K430" s="1030"/>
      <c r="L430" s="1030"/>
      <c r="M430" s="1030"/>
      <c r="N430" s="1030"/>
      <c r="O430" s="1030"/>
      <c r="P430" s="1030"/>
      <c r="Q430" s="1030"/>
      <c r="R430" s="1030"/>
      <c r="S430" s="1030"/>
      <c r="T430" s="1030"/>
      <c r="U430" s="1030"/>
      <c r="V430" s="1030"/>
      <c r="W430" s="1030"/>
      <c r="X430" s="1030"/>
      <c r="Y430" s="1030"/>
      <c r="Z430" s="1030"/>
    </row>
    <row r="431" spans="1:26" ht="12.75" customHeight="1">
      <c r="A431" s="1030"/>
      <c r="B431" s="1030"/>
      <c r="C431" s="1030"/>
      <c r="D431" s="1030"/>
      <c r="E431" s="1030"/>
      <c r="F431" s="1030"/>
      <c r="G431" s="1030"/>
      <c r="H431" s="1186"/>
      <c r="I431" s="1030"/>
      <c r="J431" s="1030"/>
      <c r="K431" s="1030"/>
      <c r="L431" s="1030"/>
      <c r="M431" s="1030"/>
      <c r="N431" s="1030"/>
      <c r="O431" s="1030"/>
      <c r="P431" s="1030"/>
      <c r="Q431" s="1030"/>
      <c r="R431" s="1030"/>
      <c r="S431" s="1030"/>
      <c r="T431" s="1030"/>
      <c r="U431" s="1030"/>
      <c r="V431" s="1030"/>
      <c r="W431" s="1030"/>
      <c r="X431" s="1030"/>
      <c r="Y431" s="1030"/>
      <c r="Z431" s="1030"/>
    </row>
    <row r="432" spans="1:26" ht="12.75" customHeight="1">
      <c r="A432" s="1030"/>
      <c r="B432" s="1030"/>
      <c r="C432" s="1030"/>
      <c r="D432" s="1030"/>
      <c r="E432" s="1030"/>
      <c r="F432" s="1030"/>
      <c r="G432" s="1030"/>
      <c r="H432" s="1186"/>
      <c r="I432" s="1030"/>
      <c r="J432" s="1030"/>
      <c r="K432" s="1030"/>
      <c r="L432" s="1030"/>
      <c r="M432" s="1030"/>
      <c r="N432" s="1030"/>
      <c r="O432" s="1030"/>
      <c r="P432" s="1030"/>
      <c r="Q432" s="1030"/>
      <c r="R432" s="1030"/>
      <c r="S432" s="1030"/>
      <c r="T432" s="1030"/>
      <c r="U432" s="1030"/>
      <c r="V432" s="1030"/>
      <c r="W432" s="1030"/>
      <c r="X432" s="1030"/>
      <c r="Y432" s="1030"/>
      <c r="Z432" s="1030"/>
    </row>
    <row r="433" spans="1:26" ht="12.75" customHeight="1">
      <c r="A433" s="1030"/>
      <c r="B433" s="1030"/>
      <c r="C433" s="1030"/>
      <c r="D433" s="1030"/>
      <c r="E433" s="1030"/>
      <c r="F433" s="1030"/>
      <c r="G433" s="1030"/>
      <c r="H433" s="1186"/>
      <c r="I433" s="1030"/>
      <c r="J433" s="1030"/>
      <c r="K433" s="1030"/>
      <c r="L433" s="1030"/>
      <c r="M433" s="1030"/>
      <c r="N433" s="1030"/>
      <c r="O433" s="1030"/>
      <c r="P433" s="1030"/>
      <c r="Q433" s="1030"/>
      <c r="R433" s="1030"/>
      <c r="S433" s="1030"/>
      <c r="T433" s="1030"/>
      <c r="U433" s="1030"/>
      <c r="V433" s="1030"/>
      <c r="W433" s="1030"/>
      <c r="X433" s="1030"/>
      <c r="Y433" s="1030"/>
      <c r="Z433" s="1030"/>
    </row>
    <row r="434" spans="1:26" ht="12.75" customHeight="1">
      <c r="A434" s="1030"/>
      <c r="B434" s="1030"/>
      <c r="C434" s="1030"/>
      <c r="D434" s="1030"/>
      <c r="E434" s="1030"/>
      <c r="F434" s="1030"/>
      <c r="G434" s="1030"/>
      <c r="H434" s="1186"/>
      <c r="I434" s="1030"/>
      <c r="J434" s="1030"/>
      <c r="K434" s="1030"/>
      <c r="L434" s="1030"/>
      <c r="M434" s="1030"/>
      <c r="N434" s="1030"/>
      <c r="O434" s="1030"/>
      <c r="P434" s="1030"/>
      <c r="Q434" s="1030"/>
      <c r="R434" s="1030"/>
      <c r="S434" s="1030"/>
      <c r="T434" s="1030"/>
      <c r="U434" s="1030"/>
      <c r="V434" s="1030"/>
      <c r="W434" s="1030"/>
      <c r="X434" s="1030"/>
      <c r="Y434" s="1030"/>
      <c r="Z434" s="1030"/>
    </row>
    <row r="435" spans="1:26" ht="12.75" customHeight="1">
      <c r="A435" s="1030"/>
      <c r="B435" s="1030"/>
      <c r="C435" s="1030"/>
      <c r="D435" s="1030"/>
      <c r="E435" s="1030"/>
      <c r="F435" s="1030"/>
      <c r="G435" s="1030"/>
      <c r="H435" s="1186"/>
      <c r="I435" s="1030"/>
      <c r="J435" s="1030"/>
      <c r="K435" s="1030"/>
      <c r="L435" s="1030"/>
      <c r="M435" s="1030"/>
      <c r="N435" s="1030"/>
      <c r="O435" s="1030"/>
      <c r="P435" s="1030"/>
      <c r="Q435" s="1030"/>
      <c r="R435" s="1030"/>
      <c r="S435" s="1030"/>
      <c r="T435" s="1030"/>
      <c r="U435" s="1030"/>
      <c r="V435" s="1030"/>
      <c r="W435" s="1030"/>
      <c r="X435" s="1030"/>
      <c r="Y435" s="1030"/>
      <c r="Z435" s="1030"/>
    </row>
    <row r="436" spans="1:26" ht="12.75" customHeight="1">
      <c r="A436" s="1030"/>
      <c r="B436" s="1030"/>
      <c r="C436" s="1030"/>
      <c r="D436" s="1030"/>
      <c r="E436" s="1030"/>
      <c r="F436" s="1030"/>
      <c r="G436" s="1030"/>
      <c r="H436" s="1186"/>
      <c r="I436" s="1030"/>
      <c r="J436" s="1030"/>
      <c r="K436" s="1030"/>
      <c r="L436" s="1030"/>
      <c r="M436" s="1030"/>
      <c r="N436" s="1030"/>
      <c r="O436" s="1030"/>
      <c r="P436" s="1030"/>
      <c r="Q436" s="1030"/>
      <c r="R436" s="1030"/>
      <c r="S436" s="1030"/>
      <c r="T436" s="1030"/>
      <c r="U436" s="1030"/>
      <c r="V436" s="1030"/>
      <c r="W436" s="1030"/>
      <c r="X436" s="1030"/>
      <c r="Y436" s="1030"/>
      <c r="Z436" s="1030"/>
    </row>
    <row r="437" spans="1:26" ht="12.75" customHeight="1">
      <c r="A437" s="1030"/>
      <c r="B437" s="1030"/>
      <c r="C437" s="1030"/>
      <c r="D437" s="1030"/>
      <c r="E437" s="1030"/>
      <c r="F437" s="1030"/>
      <c r="G437" s="1030"/>
      <c r="H437" s="1186"/>
      <c r="I437" s="1030"/>
      <c r="J437" s="1030"/>
      <c r="K437" s="1030"/>
      <c r="L437" s="1030"/>
      <c r="M437" s="1030"/>
      <c r="N437" s="1030"/>
      <c r="O437" s="1030"/>
      <c r="P437" s="1030"/>
      <c r="Q437" s="1030"/>
      <c r="R437" s="1030"/>
      <c r="S437" s="1030"/>
      <c r="T437" s="1030"/>
      <c r="U437" s="1030"/>
      <c r="V437" s="1030"/>
      <c r="W437" s="1030"/>
      <c r="X437" s="1030"/>
      <c r="Y437" s="1030"/>
      <c r="Z437" s="1030"/>
    </row>
    <row r="438" spans="1:26" ht="12.75" customHeight="1">
      <c r="A438" s="1030"/>
      <c r="B438" s="1030"/>
      <c r="C438" s="1030"/>
      <c r="D438" s="1030"/>
      <c r="E438" s="1030"/>
      <c r="F438" s="1030"/>
      <c r="G438" s="1030"/>
      <c r="H438" s="1186"/>
      <c r="I438" s="1030"/>
      <c r="J438" s="1030"/>
      <c r="K438" s="1030"/>
      <c r="L438" s="1030"/>
      <c r="M438" s="1030"/>
      <c r="N438" s="1030"/>
      <c r="O438" s="1030"/>
      <c r="P438" s="1030"/>
      <c r="Q438" s="1030"/>
      <c r="R438" s="1030"/>
      <c r="S438" s="1030"/>
      <c r="T438" s="1030"/>
      <c r="U438" s="1030"/>
      <c r="V438" s="1030"/>
      <c r="W438" s="1030"/>
      <c r="X438" s="1030"/>
      <c r="Y438" s="1030"/>
      <c r="Z438" s="1030"/>
    </row>
    <row r="439" spans="1:26" ht="12.75" customHeight="1">
      <c r="A439" s="1030"/>
      <c r="B439" s="1030"/>
      <c r="C439" s="1030"/>
      <c r="D439" s="1030"/>
      <c r="E439" s="1030"/>
      <c r="F439" s="1030"/>
      <c r="G439" s="1030"/>
      <c r="H439" s="1186"/>
      <c r="I439" s="1030"/>
      <c r="J439" s="1030"/>
      <c r="K439" s="1030"/>
      <c r="L439" s="1030"/>
      <c r="M439" s="1030"/>
      <c r="N439" s="1030"/>
      <c r="O439" s="1030"/>
      <c r="P439" s="1030"/>
      <c r="Q439" s="1030"/>
      <c r="R439" s="1030"/>
      <c r="S439" s="1030"/>
      <c r="T439" s="1030"/>
      <c r="U439" s="1030"/>
      <c r="V439" s="1030"/>
      <c r="W439" s="1030"/>
      <c r="X439" s="1030"/>
      <c r="Y439" s="1030"/>
      <c r="Z439" s="1030"/>
    </row>
    <row r="440" spans="1:26" ht="12.75" customHeight="1">
      <c r="A440" s="1030"/>
      <c r="B440" s="1030"/>
      <c r="C440" s="1030"/>
      <c r="D440" s="1030"/>
      <c r="E440" s="1030"/>
      <c r="F440" s="1030"/>
      <c r="G440" s="1030"/>
      <c r="H440" s="1186"/>
      <c r="I440" s="1030"/>
      <c r="J440" s="1030"/>
      <c r="K440" s="1030"/>
      <c r="L440" s="1030"/>
      <c r="M440" s="1030"/>
      <c r="N440" s="1030"/>
      <c r="O440" s="1030"/>
      <c r="P440" s="1030"/>
      <c r="Q440" s="1030"/>
      <c r="R440" s="1030"/>
      <c r="S440" s="1030"/>
      <c r="T440" s="1030"/>
      <c r="U440" s="1030"/>
      <c r="V440" s="1030"/>
      <c r="W440" s="1030"/>
      <c r="X440" s="1030"/>
      <c r="Y440" s="1030"/>
      <c r="Z440" s="1030"/>
    </row>
    <row r="441" spans="1:26" ht="12.75" customHeight="1">
      <c r="A441" s="1030"/>
      <c r="B441" s="1030"/>
      <c r="C441" s="1030"/>
      <c r="D441" s="1030"/>
      <c r="E441" s="1030"/>
      <c r="F441" s="1030"/>
      <c r="G441" s="1030"/>
      <c r="H441" s="1186"/>
      <c r="I441" s="1030"/>
      <c r="J441" s="1030"/>
      <c r="K441" s="1030"/>
      <c r="L441" s="1030"/>
      <c r="M441" s="1030"/>
      <c r="N441" s="1030"/>
      <c r="O441" s="1030"/>
      <c r="P441" s="1030"/>
      <c r="Q441" s="1030"/>
      <c r="R441" s="1030"/>
      <c r="S441" s="1030"/>
      <c r="T441" s="1030"/>
      <c r="U441" s="1030"/>
      <c r="V441" s="1030"/>
      <c r="W441" s="1030"/>
      <c r="X441" s="1030"/>
      <c r="Y441" s="1030"/>
      <c r="Z441" s="1030"/>
    </row>
    <row r="442" spans="1:26" ht="12.75" customHeight="1">
      <c r="A442" s="1030"/>
      <c r="B442" s="1030"/>
      <c r="C442" s="1030"/>
      <c r="D442" s="1030"/>
      <c r="E442" s="1030"/>
      <c r="F442" s="1030"/>
      <c r="G442" s="1030"/>
      <c r="H442" s="1186"/>
      <c r="I442" s="1030"/>
      <c r="J442" s="1030"/>
      <c r="K442" s="1030"/>
      <c r="L442" s="1030"/>
      <c r="M442" s="1030"/>
      <c r="N442" s="1030"/>
      <c r="O442" s="1030"/>
      <c r="P442" s="1030"/>
      <c r="Q442" s="1030"/>
      <c r="R442" s="1030"/>
      <c r="S442" s="1030"/>
      <c r="T442" s="1030"/>
      <c r="U442" s="1030"/>
      <c r="V442" s="1030"/>
      <c r="W442" s="1030"/>
      <c r="X442" s="1030"/>
      <c r="Y442" s="1030"/>
      <c r="Z442" s="1030"/>
    </row>
    <row r="443" spans="1:26" ht="12.75" customHeight="1">
      <c r="A443" s="1030"/>
      <c r="B443" s="1030"/>
      <c r="C443" s="1030"/>
      <c r="D443" s="1030"/>
      <c r="E443" s="1030"/>
      <c r="F443" s="1030"/>
      <c r="G443" s="1030"/>
      <c r="H443" s="1186"/>
      <c r="I443" s="1030"/>
      <c r="J443" s="1030"/>
      <c r="K443" s="1030"/>
      <c r="L443" s="1030"/>
      <c r="M443" s="1030"/>
      <c r="N443" s="1030"/>
      <c r="O443" s="1030"/>
      <c r="P443" s="1030"/>
      <c r="Q443" s="1030"/>
      <c r="R443" s="1030"/>
      <c r="S443" s="1030"/>
      <c r="T443" s="1030"/>
      <c r="U443" s="1030"/>
      <c r="V443" s="1030"/>
      <c r="W443" s="1030"/>
      <c r="X443" s="1030"/>
      <c r="Y443" s="1030"/>
      <c r="Z443" s="1030"/>
    </row>
    <row r="444" spans="1:26" ht="12.75" customHeight="1">
      <c r="A444" s="1030"/>
      <c r="B444" s="1030"/>
      <c r="C444" s="1030"/>
      <c r="D444" s="1030"/>
      <c r="E444" s="1030"/>
      <c r="F444" s="1030"/>
      <c r="G444" s="1030"/>
      <c r="H444" s="1186"/>
      <c r="I444" s="1030"/>
      <c r="J444" s="1030"/>
      <c r="K444" s="1030"/>
      <c r="L444" s="1030"/>
      <c r="M444" s="1030"/>
      <c r="N444" s="1030"/>
      <c r="O444" s="1030"/>
      <c r="P444" s="1030"/>
      <c r="Q444" s="1030"/>
      <c r="R444" s="1030"/>
      <c r="S444" s="1030"/>
      <c r="T444" s="1030"/>
      <c r="U444" s="1030"/>
      <c r="V444" s="1030"/>
      <c r="W444" s="1030"/>
      <c r="X444" s="1030"/>
      <c r="Y444" s="1030"/>
      <c r="Z444" s="1030"/>
    </row>
    <row r="445" spans="1:26" ht="12.75" customHeight="1">
      <c r="A445" s="1030"/>
      <c r="B445" s="1030"/>
      <c r="C445" s="1030"/>
      <c r="D445" s="1030"/>
      <c r="E445" s="1030"/>
      <c r="F445" s="1030"/>
      <c r="G445" s="1030"/>
      <c r="H445" s="1186"/>
      <c r="I445" s="1030"/>
      <c r="J445" s="1030"/>
      <c r="K445" s="1030"/>
      <c r="L445" s="1030"/>
      <c r="M445" s="1030"/>
      <c r="N445" s="1030"/>
      <c r="O445" s="1030"/>
      <c r="P445" s="1030"/>
      <c r="Q445" s="1030"/>
      <c r="R445" s="1030"/>
      <c r="S445" s="1030"/>
      <c r="T445" s="1030"/>
      <c r="U445" s="1030"/>
      <c r="V445" s="1030"/>
      <c r="W445" s="1030"/>
      <c r="X445" s="1030"/>
      <c r="Y445" s="1030"/>
      <c r="Z445" s="1030"/>
    </row>
    <row r="446" spans="1:26" ht="12.75" customHeight="1">
      <c r="A446" s="1030"/>
      <c r="B446" s="1030"/>
      <c r="C446" s="1030"/>
      <c r="D446" s="1030"/>
      <c r="E446" s="1030"/>
      <c r="F446" s="1030"/>
      <c r="G446" s="1030"/>
      <c r="H446" s="1186"/>
      <c r="I446" s="1030"/>
      <c r="J446" s="1030"/>
      <c r="K446" s="1030"/>
      <c r="L446" s="1030"/>
      <c r="M446" s="1030"/>
      <c r="N446" s="1030"/>
      <c r="O446" s="1030"/>
      <c r="P446" s="1030"/>
      <c r="Q446" s="1030"/>
      <c r="R446" s="1030"/>
      <c r="S446" s="1030"/>
      <c r="T446" s="1030"/>
      <c r="U446" s="1030"/>
      <c r="V446" s="1030"/>
      <c r="W446" s="1030"/>
      <c r="X446" s="1030"/>
      <c r="Y446" s="1030"/>
      <c r="Z446" s="1030"/>
    </row>
    <row r="447" spans="1:26" ht="12.75" customHeight="1">
      <c r="A447" s="1030"/>
      <c r="B447" s="1030"/>
      <c r="C447" s="1030"/>
      <c r="D447" s="1030"/>
      <c r="E447" s="1030"/>
      <c r="F447" s="1030"/>
      <c r="G447" s="1030"/>
      <c r="H447" s="1186"/>
      <c r="I447" s="1030"/>
      <c r="J447" s="1030"/>
      <c r="K447" s="1030"/>
      <c r="L447" s="1030"/>
      <c r="M447" s="1030"/>
      <c r="N447" s="1030"/>
      <c r="O447" s="1030"/>
      <c r="P447" s="1030"/>
      <c r="Q447" s="1030"/>
      <c r="R447" s="1030"/>
      <c r="S447" s="1030"/>
      <c r="T447" s="1030"/>
      <c r="U447" s="1030"/>
      <c r="V447" s="1030"/>
      <c r="W447" s="1030"/>
      <c r="X447" s="1030"/>
      <c r="Y447" s="1030"/>
      <c r="Z447" s="1030"/>
    </row>
    <row r="448" spans="1:26" ht="12.75" customHeight="1">
      <c r="A448" s="1030"/>
      <c r="B448" s="1030"/>
      <c r="C448" s="1030"/>
      <c r="D448" s="1030"/>
      <c r="E448" s="1030"/>
      <c r="F448" s="1030"/>
      <c r="G448" s="1030"/>
      <c r="H448" s="1186"/>
      <c r="I448" s="1030"/>
      <c r="J448" s="1030"/>
      <c r="K448" s="1030"/>
      <c r="L448" s="1030"/>
      <c r="M448" s="1030"/>
      <c r="N448" s="1030"/>
      <c r="O448" s="1030"/>
      <c r="P448" s="1030"/>
      <c r="Q448" s="1030"/>
      <c r="R448" s="1030"/>
      <c r="S448" s="1030"/>
      <c r="T448" s="1030"/>
      <c r="U448" s="1030"/>
      <c r="V448" s="1030"/>
      <c r="W448" s="1030"/>
      <c r="X448" s="1030"/>
      <c r="Y448" s="1030"/>
      <c r="Z448" s="1030"/>
    </row>
    <row r="449" spans="1:26" ht="12.75" customHeight="1">
      <c r="A449" s="1030"/>
      <c r="B449" s="1030"/>
      <c r="C449" s="1030"/>
      <c r="D449" s="1030"/>
      <c r="E449" s="1030"/>
      <c r="F449" s="1030"/>
      <c r="G449" s="1030"/>
      <c r="H449" s="1186"/>
      <c r="I449" s="1030"/>
      <c r="J449" s="1030"/>
      <c r="K449" s="1030"/>
      <c r="L449" s="1030"/>
      <c r="M449" s="1030"/>
      <c r="N449" s="1030"/>
      <c r="O449" s="1030"/>
      <c r="P449" s="1030"/>
      <c r="Q449" s="1030"/>
      <c r="R449" s="1030"/>
      <c r="S449" s="1030"/>
      <c r="T449" s="1030"/>
      <c r="U449" s="1030"/>
      <c r="V449" s="1030"/>
      <c r="W449" s="1030"/>
      <c r="X449" s="1030"/>
      <c r="Y449" s="1030"/>
      <c r="Z449" s="1030"/>
    </row>
    <row r="450" spans="1:26" ht="12.75" customHeight="1">
      <c r="A450" s="1030"/>
      <c r="B450" s="1030"/>
      <c r="C450" s="1030"/>
      <c r="D450" s="1030"/>
      <c r="E450" s="1030"/>
      <c r="F450" s="1030"/>
      <c r="G450" s="1030"/>
      <c r="H450" s="1186"/>
      <c r="I450" s="1030"/>
      <c r="J450" s="1030"/>
      <c r="K450" s="1030"/>
      <c r="L450" s="1030"/>
      <c r="M450" s="1030"/>
      <c r="N450" s="1030"/>
      <c r="O450" s="1030"/>
      <c r="P450" s="1030"/>
      <c r="Q450" s="1030"/>
      <c r="R450" s="1030"/>
      <c r="S450" s="1030"/>
      <c r="T450" s="1030"/>
      <c r="U450" s="1030"/>
      <c r="V450" s="1030"/>
      <c r="W450" s="1030"/>
      <c r="X450" s="1030"/>
      <c r="Y450" s="1030"/>
      <c r="Z450" s="1030"/>
    </row>
    <row r="451" spans="1:26" ht="12.75" customHeight="1">
      <c r="A451" s="1030"/>
      <c r="B451" s="1030"/>
      <c r="C451" s="1030"/>
      <c r="D451" s="1030"/>
      <c r="E451" s="1030"/>
      <c r="F451" s="1030"/>
      <c r="G451" s="1030"/>
      <c r="H451" s="1186"/>
      <c r="I451" s="1030"/>
      <c r="J451" s="1030"/>
      <c r="K451" s="1030"/>
      <c r="L451" s="1030"/>
      <c r="M451" s="1030"/>
      <c r="N451" s="1030"/>
      <c r="O451" s="1030"/>
      <c r="P451" s="1030"/>
      <c r="Q451" s="1030"/>
      <c r="R451" s="1030"/>
      <c r="S451" s="1030"/>
      <c r="T451" s="1030"/>
      <c r="U451" s="1030"/>
      <c r="V451" s="1030"/>
      <c r="W451" s="1030"/>
      <c r="X451" s="1030"/>
      <c r="Y451" s="1030"/>
      <c r="Z451" s="1030"/>
    </row>
    <row r="452" spans="1:26" ht="12.75" customHeight="1">
      <c r="A452" s="1030"/>
      <c r="B452" s="1030"/>
      <c r="C452" s="1030"/>
      <c r="D452" s="1030"/>
      <c r="E452" s="1030"/>
      <c r="F452" s="1030"/>
      <c r="G452" s="1030"/>
      <c r="H452" s="1186"/>
      <c r="I452" s="1030"/>
      <c r="J452" s="1030"/>
      <c r="K452" s="1030"/>
      <c r="L452" s="1030"/>
      <c r="M452" s="1030"/>
      <c r="N452" s="1030"/>
      <c r="O452" s="1030"/>
      <c r="P452" s="1030"/>
      <c r="Q452" s="1030"/>
      <c r="R452" s="1030"/>
      <c r="S452" s="1030"/>
      <c r="T452" s="1030"/>
      <c r="U452" s="1030"/>
      <c r="V452" s="1030"/>
      <c r="W452" s="1030"/>
      <c r="X452" s="1030"/>
      <c r="Y452" s="1030"/>
      <c r="Z452" s="1030"/>
    </row>
    <row r="453" spans="1:26" ht="12.75" customHeight="1">
      <c r="A453" s="1030"/>
      <c r="B453" s="1030"/>
      <c r="C453" s="1030"/>
      <c r="D453" s="1030"/>
      <c r="E453" s="1030"/>
      <c r="F453" s="1030"/>
      <c r="G453" s="1030"/>
      <c r="H453" s="1186"/>
      <c r="I453" s="1030"/>
      <c r="J453" s="1030"/>
      <c r="K453" s="1030"/>
      <c r="L453" s="1030"/>
      <c r="M453" s="1030"/>
      <c r="N453" s="1030"/>
      <c r="O453" s="1030"/>
      <c r="P453" s="1030"/>
      <c r="Q453" s="1030"/>
      <c r="R453" s="1030"/>
      <c r="S453" s="1030"/>
      <c r="T453" s="1030"/>
      <c r="U453" s="1030"/>
      <c r="V453" s="1030"/>
      <c r="W453" s="1030"/>
      <c r="X453" s="1030"/>
      <c r="Y453" s="1030"/>
      <c r="Z453" s="1030"/>
    </row>
    <row r="454" spans="1:26" ht="12.75" customHeight="1">
      <c r="A454" s="1030"/>
      <c r="B454" s="1030"/>
      <c r="C454" s="1030"/>
      <c r="D454" s="1030"/>
      <c r="E454" s="1030"/>
      <c r="F454" s="1030"/>
      <c r="G454" s="1030"/>
      <c r="H454" s="1186"/>
      <c r="I454" s="1030"/>
      <c r="J454" s="1030"/>
      <c r="K454" s="1030"/>
      <c r="L454" s="1030"/>
      <c r="M454" s="1030"/>
      <c r="N454" s="1030"/>
      <c r="O454" s="1030"/>
      <c r="P454" s="1030"/>
      <c r="Q454" s="1030"/>
      <c r="R454" s="1030"/>
      <c r="S454" s="1030"/>
      <c r="T454" s="1030"/>
      <c r="U454" s="1030"/>
      <c r="V454" s="1030"/>
      <c r="W454" s="1030"/>
      <c r="X454" s="1030"/>
      <c r="Y454" s="1030"/>
      <c r="Z454" s="1030"/>
    </row>
    <row r="455" spans="1:26" ht="12.75" customHeight="1">
      <c r="A455" s="1030"/>
      <c r="B455" s="1030"/>
      <c r="C455" s="1030"/>
      <c r="D455" s="1030"/>
      <c r="E455" s="1030"/>
      <c r="F455" s="1030"/>
      <c r="G455" s="1030"/>
      <c r="H455" s="1186"/>
      <c r="I455" s="1030"/>
      <c r="J455" s="1030"/>
      <c r="K455" s="1030"/>
      <c r="L455" s="1030"/>
      <c r="M455" s="1030"/>
      <c r="N455" s="1030"/>
      <c r="O455" s="1030"/>
      <c r="P455" s="1030"/>
      <c r="Q455" s="1030"/>
      <c r="R455" s="1030"/>
      <c r="S455" s="1030"/>
      <c r="T455" s="1030"/>
      <c r="U455" s="1030"/>
      <c r="V455" s="1030"/>
      <c r="W455" s="1030"/>
      <c r="X455" s="1030"/>
      <c r="Y455" s="1030"/>
      <c r="Z455" s="1030"/>
    </row>
    <row r="456" spans="1:26" ht="12.75" customHeight="1">
      <c r="A456" s="1030"/>
      <c r="B456" s="1030"/>
      <c r="C456" s="1030"/>
      <c r="D456" s="1030"/>
      <c r="E456" s="1030"/>
      <c r="F456" s="1030"/>
      <c r="G456" s="1030"/>
      <c r="H456" s="1186"/>
      <c r="I456" s="1030"/>
      <c r="J456" s="1030"/>
      <c r="K456" s="1030"/>
      <c r="L456" s="1030"/>
      <c r="M456" s="1030"/>
      <c r="N456" s="1030"/>
      <c r="O456" s="1030"/>
      <c r="P456" s="1030"/>
      <c r="Q456" s="1030"/>
      <c r="R456" s="1030"/>
      <c r="S456" s="1030"/>
      <c r="T456" s="1030"/>
      <c r="U456" s="1030"/>
      <c r="V456" s="1030"/>
      <c r="W456" s="1030"/>
      <c r="X456" s="1030"/>
      <c r="Y456" s="1030"/>
      <c r="Z456" s="1030"/>
    </row>
    <row r="457" spans="1:26" ht="12.75" customHeight="1">
      <c r="A457" s="1030"/>
      <c r="B457" s="1030"/>
      <c r="C457" s="1030"/>
      <c r="D457" s="1030"/>
      <c r="E457" s="1030"/>
      <c r="F457" s="1030"/>
      <c r="G457" s="1030"/>
      <c r="H457" s="1186"/>
      <c r="I457" s="1030"/>
      <c r="J457" s="1030"/>
      <c r="K457" s="1030"/>
      <c r="L457" s="1030"/>
      <c r="M457" s="1030"/>
      <c r="N457" s="1030"/>
      <c r="O457" s="1030"/>
      <c r="P457" s="1030"/>
      <c r="Q457" s="1030"/>
      <c r="R457" s="1030"/>
      <c r="S457" s="1030"/>
      <c r="T457" s="1030"/>
      <c r="U457" s="1030"/>
      <c r="V457" s="1030"/>
      <c r="W457" s="1030"/>
      <c r="X457" s="1030"/>
      <c r="Y457" s="1030"/>
      <c r="Z457" s="1030"/>
    </row>
    <row r="458" spans="1:26" ht="12.75" customHeight="1">
      <c r="A458" s="1030"/>
      <c r="B458" s="1030"/>
      <c r="C458" s="1030"/>
      <c r="D458" s="1030"/>
      <c r="E458" s="1030"/>
      <c r="F458" s="1030"/>
      <c r="G458" s="1030"/>
      <c r="H458" s="1186"/>
      <c r="I458" s="1030"/>
      <c r="J458" s="1030"/>
      <c r="K458" s="1030"/>
      <c r="L458" s="1030"/>
      <c r="M458" s="1030"/>
      <c r="N458" s="1030"/>
      <c r="O458" s="1030"/>
      <c r="P458" s="1030"/>
      <c r="Q458" s="1030"/>
      <c r="R458" s="1030"/>
      <c r="S458" s="1030"/>
      <c r="T458" s="1030"/>
      <c r="U458" s="1030"/>
      <c r="V458" s="1030"/>
      <c r="W458" s="1030"/>
      <c r="X458" s="1030"/>
      <c r="Y458" s="1030"/>
      <c r="Z458" s="1030"/>
    </row>
    <row r="459" spans="1:26" ht="12.75" customHeight="1">
      <c r="A459" s="1030"/>
      <c r="B459" s="1030"/>
      <c r="C459" s="1030"/>
      <c r="D459" s="1030"/>
      <c r="E459" s="1030"/>
      <c r="F459" s="1030"/>
      <c r="G459" s="1030"/>
      <c r="H459" s="1186"/>
      <c r="I459" s="1030"/>
      <c r="J459" s="1030"/>
      <c r="K459" s="1030"/>
      <c r="L459" s="1030"/>
      <c r="M459" s="1030"/>
      <c r="N459" s="1030"/>
      <c r="O459" s="1030"/>
      <c r="P459" s="1030"/>
      <c r="Q459" s="1030"/>
      <c r="R459" s="1030"/>
      <c r="S459" s="1030"/>
      <c r="T459" s="1030"/>
      <c r="U459" s="1030"/>
      <c r="V459" s="1030"/>
      <c r="W459" s="1030"/>
      <c r="X459" s="1030"/>
      <c r="Y459" s="1030"/>
      <c r="Z459" s="1030"/>
    </row>
    <row r="460" spans="1:26" ht="12.75" customHeight="1">
      <c r="A460" s="1030"/>
      <c r="B460" s="1030"/>
      <c r="C460" s="1030"/>
      <c r="D460" s="1030"/>
      <c r="E460" s="1030"/>
      <c r="F460" s="1030"/>
      <c r="G460" s="1030"/>
      <c r="H460" s="1186"/>
      <c r="I460" s="1030"/>
      <c r="J460" s="1030"/>
      <c r="K460" s="1030"/>
      <c r="L460" s="1030"/>
      <c r="M460" s="1030"/>
      <c r="N460" s="1030"/>
      <c r="O460" s="1030"/>
      <c r="P460" s="1030"/>
      <c r="Q460" s="1030"/>
      <c r="R460" s="1030"/>
      <c r="S460" s="1030"/>
      <c r="T460" s="1030"/>
      <c r="U460" s="1030"/>
      <c r="V460" s="1030"/>
      <c r="W460" s="1030"/>
      <c r="X460" s="1030"/>
      <c r="Y460" s="1030"/>
      <c r="Z460" s="1030"/>
    </row>
    <row r="461" spans="1:26" ht="12.75" customHeight="1">
      <c r="A461" s="1030"/>
      <c r="B461" s="1030"/>
      <c r="C461" s="1030"/>
      <c r="D461" s="1030"/>
      <c r="E461" s="1030"/>
      <c r="F461" s="1030"/>
      <c r="G461" s="1030"/>
      <c r="H461" s="1186"/>
      <c r="I461" s="1030"/>
      <c r="J461" s="1030"/>
      <c r="K461" s="1030"/>
      <c r="L461" s="1030"/>
      <c r="M461" s="1030"/>
      <c r="N461" s="1030"/>
      <c r="O461" s="1030"/>
      <c r="P461" s="1030"/>
      <c r="Q461" s="1030"/>
      <c r="R461" s="1030"/>
      <c r="S461" s="1030"/>
      <c r="T461" s="1030"/>
      <c r="U461" s="1030"/>
      <c r="V461" s="1030"/>
      <c r="W461" s="1030"/>
      <c r="X461" s="1030"/>
      <c r="Y461" s="1030"/>
      <c r="Z461" s="1030"/>
    </row>
    <row r="462" spans="1:26" ht="12.75" customHeight="1">
      <c r="A462" s="1030"/>
      <c r="B462" s="1030"/>
      <c r="C462" s="1030"/>
      <c r="D462" s="1030"/>
      <c r="E462" s="1030"/>
      <c r="F462" s="1030"/>
      <c r="G462" s="1030"/>
      <c r="H462" s="1186"/>
      <c r="I462" s="1030"/>
      <c r="J462" s="1030"/>
      <c r="K462" s="1030"/>
      <c r="L462" s="1030"/>
      <c r="M462" s="1030"/>
      <c r="N462" s="1030"/>
      <c r="O462" s="1030"/>
      <c r="P462" s="1030"/>
      <c r="Q462" s="1030"/>
      <c r="R462" s="1030"/>
      <c r="S462" s="1030"/>
      <c r="T462" s="1030"/>
      <c r="U462" s="1030"/>
      <c r="V462" s="1030"/>
      <c r="W462" s="1030"/>
      <c r="X462" s="1030"/>
      <c r="Y462" s="1030"/>
      <c r="Z462" s="1030"/>
    </row>
    <row r="463" spans="1:26" ht="12.75" customHeight="1">
      <c r="A463" s="1030"/>
      <c r="B463" s="1030"/>
      <c r="C463" s="1030"/>
      <c r="D463" s="1030"/>
      <c r="E463" s="1030"/>
      <c r="F463" s="1030"/>
      <c r="G463" s="1030"/>
      <c r="H463" s="1186"/>
      <c r="I463" s="1030"/>
      <c r="J463" s="1030"/>
      <c r="K463" s="1030"/>
      <c r="L463" s="1030"/>
      <c r="M463" s="1030"/>
      <c r="N463" s="1030"/>
      <c r="O463" s="1030"/>
      <c r="P463" s="1030"/>
      <c r="Q463" s="1030"/>
      <c r="R463" s="1030"/>
      <c r="S463" s="1030"/>
      <c r="T463" s="1030"/>
      <c r="U463" s="1030"/>
      <c r="V463" s="1030"/>
      <c r="W463" s="1030"/>
      <c r="X463" s="1030"/>
      <c r="Y463" s="1030"/>
      <c r="Z463" s="1030"/>
    </row>
    <row r="464" spans="1:26" ht="12.75" customHeight="1">
      <c r="A464" s="1030"/>
      <c r="B464" s="1030"/>
      <c r="C464" s="1030"/>
      <c r="D464" s="1030"/>
      <c r="E464" s="1030"/>
      <c r="F464" s="1030"/>
      <c r="G464" s="1030"/>
      <c r="H464" s="1186"/>
      <c r="I464" s="1030"/>
      <c r="J464" s="1030"/>
      <c r="K464" s="1030"/>
      <c r="L464" s="1030"/>
      <c r="M464" s="1030"/>
      <c r="N464" s="1030"/>
      <c r="O464" s="1030"/>
      <c r="P464" s="1030"/>
      <c r="Q464" s="1030"/>
      <c r="R464" s="1030"/>
      <c r="S464" s="1030"/>
      <c r="T464" s="1030"/>
      <c r="U464" s="1030"/>
      <c r="V464" s="1030"/>
      <c r="W464" s="1030"/>
      <c r="X464" s="1030"/>
      <c r="Y464" s="1030"/>
      <c r="Z464" s="1030"/>
    </row>
    <row r="465" spans="1:26" ht="12.75" customHeight="1">
      <c r="A465" s="1030"/>
      <c r="B465" s="1030"/>
      <c r="C465" s="1030"/>
      <c r="D465" s="1030"/>
      <c r="E465" s="1030"/>
      <c r="F465" s="1030"/>
      <c r="G465" s="1030"/>
      <c r="H465" s="1186"/>
      <c r="I465" s="1030"/>
      <c r="J465" s="1030"/>
      <c r="K465" s="1030"/>
      <c r="L465" s="1030"/>
      <c r="M465" s="1030"/>
      <c r="N465" s="1030"/>
      <c r="O465" s="1030"/>
      <c r="P465" s="1030"/>
      <c r="Q465" s="1030"/>
      <c r="R465" s="1030"/>
      <c r="S465" s="1030"/>
      <c r="T465" s="1030"/>
      <c r="U465" s="1030"/>
      <c r="V465" s="1030"/>
      <c r="W465" s="1030"/>
      <c r="X465" s="1030"/>
      <c r="Y465" s="1030"/>
      <c r="Z465" s="1030"/>
    </row>
    <row r="466" spans="1:26" ht="12.75" customHeight="1">
      <c r="A466" s="1030"/>
      <c r="B466" s="1030"/>
      <c r="C466" s="1030"/>
      <c r="D466" s="1030"/>
      <c r="E466" s="1030"/>
      <c r="F466" s="1030"/>
      <c r="G466" s="1030"/>
      <c r="H466" s="1186"/>
      <c r="I466" s="1030"/>
      <c r="J466" s="1030"/>
      <c r="K466" s="1030"/>
      <c r="L466" s="1030"/>
      <c r="M466" s="1030"/>
      <c r="N466" s="1030"/>
      <c r="O466" s="1030"/>
      <c r="P466" s="1030"/>
      <c r="Q466" s="1030"/>
      <c r="R466" s="1030"/>
      <c r="S466" s="1030"/>
      <c r="T466" s="1030"/>
      <c r="U466" s="1030"/>
      <c r="V466" s="1030"/>
      <c r="W466" s="1030"/>
      <c r="X466" s="1030"/>
      <c r="Y466" s="1030"/>
      <c r="Z466" s="1030"/>
    </row>
    <row r="467" spans="1:26" ht="12.75" customHeight="1">
      <c r="A467" s="1030"/>
      <c r="B467" s="1030"/>
      <c r="C467" s="1030"/>
      <c r="D467" s="1030"/>
      <c r="E467" s="1030"/>
      <c r="F467" s="1030"/>
      <c r="G467" s="1030"/>
      <c r="H467" s="1186"/>
      <c r="I467" s="1030"/>
      <c r="J467" s="1030"/>
      <c r="K467" s="1030"/>
      <c r="L467" s="1030"/>
      <c r="M467" s="1030"/>
      <c r="N467" s="1030"/>
      <c r="O467" s="1030"/>
      <c r="P467" s="1030"/>
      <c r="Q467" s="1030"/>
      <c r="R467" s="1030"/>
      <c r="S467" s="1030"/>
      <c r="T467" s="1030"/>
      <c r="U467" s="1030"/>
      <c r="V467" s="1030"/>
      <c r="W467" s="1030"/>
      <c r="X467" s="1030"/>
      <c r="Y467" s="1030"/>
      <c r="Z467" s="1030"/>
    </row>
    <row r="468" spans="1:26" ht="12.75" customHeight="1">
      <c r="A468" s="1030"/>
      <c r="B468" s="1030"/>
      <c r="C468" s="1030"/>
      <c r="D468" s="1030"/>
      <c r="E468" s="1030"/>
      <c r="F468" s="1030"/>
      <c r="G468" s="1030"/>
      <c r="H468" s="1186"/>
      <c r="I468" s="1030"/>
      <c r="J468" s="1030"/>
      <c r="K468" s="1030"/>
      <c r="L468" s="1030"/>
      <c r="M468" s="1030"/>
      <c r="N468" s="1030"/>
      <c r="O468" s="1030"/>
      <c r="P468" s="1030"/>
      <c r="Q468" s="1030"/>
      <c r="R468" s="1030"/>
      <c r="S468" s="1030"/>
      <c r="T468" s="1030"/>
      <c r="U468" s="1030"/>
      <c r="V468" s="1030"/>
      <c r="W468" s="1030"/>
      <c r="X468" s="1030"/>
      <c r="Y468" s="1030"/>
      <c r="Z468" s="1030"/>
    </row>
    <row r="469" spans="1:26" ht="12.75" customHeight="1">
      <c r="A469" s="1030"/>
      <c r="B469" s="1030"/>
      <c r="C469" s="1030"/>
      <c r="D469" s="1030"/>
      <c r="E469" s="1030"/>
      <c r="F469" s="1030"/>
      <c r="G469" s="1030"/>
      <c r="H469" s="1186"/>
      <c r="I469" s="1030"/>
      <c r="J469" s="1030"/>
      <c r="K469" s="1030"/>
      <c r="L469" s="1030"/>
      <c r="M469" s="1030"/>
      <c r="N469" s="1030"/>
      <c r="O469" s="1030"/>
      <c r="P469" s="1030"/>
      <c r="Q469" s="1030"/>
      <c r="R469" s="1030"/>
      <c r="S469" s="1030"/>
      <c r="T469" s="1030"/>
      <c r="U469" s="1030"/>
      <c r="V469" s="1030"/>
      <c r="W469" s="1030"/>
      <c r="X469" s="1030"/>
      <c r="Y469" s="1030"/>
      <c r="Z469" s="1030"/>
    </row>
    <row r="470" spans="1:26" ht="12.75" customHeight="1">
      <c r="A470" s="1030"/>
      <c r="B470" s="1030"/>
      <c r="C470" s="1030"/>
      <c r="D470" s="1030"/>
      <c r="E470" s="1030"/>
      <c r="F470" s="1030"/>
      <c r="G470" s="1030"/>
      <c r="H470" s="1186"/>
      <c r="I470" s="1030"/>
      <c r="J470" s="1030"/>
      <c r="K470" s="1030"/>
      <c r="L470" s="1030"/>
      <c r="M470" s="1030"/>
      <c r="N470" s="1030"/>
      <c r="O470" s="1030"/>
      <c r="P470" s="1030"/>
      <c r="Q470" s="1030"/>
      <c r="R470" s="1030"/>
      <c r="S470" s="1030"/>
      <c r="T470" s="1030"/>
      <c r="U470" s="1030"/>
      <c r="V470" s="1030"/>
      <c r="W470" s="1030"/>
      <c r="X470" s="1030"/>
      <c r="Y470" s="1030"/>
      <c r="Z470" s="1030"/>
    </row>
    <row r="471" spans="1:26" ht="12.75" customHeight="1">
      <c r="A471" s="1030"/>
      <c r="B471" s="1030"/>
      <c r="C471" s="1030"/>
      <c r="D471" s="1030"/>
      <c r="E471" s="1030"/>
      <c r="F471" s="1030"/>
      <c r="G471" s="1030"/>
      <c r="H471" s="1186"/>
      <c r="I471" s="1030"/>
      <c r="J471" s="1030"/>
      <c r="K471" s="1030"/>
      <c r="L471" s="1030"/>
      <c r="M471" s="1030"/>
      <c r="N471" s="1030"/>
      <c r="O471" s="1030"/>
      <c r="P471" s="1030"/>
      <c r="Q471" s="1030"/>
      <c r="R471" s="1030"/>
      <c r="S471" s="1030"/>
      <c r="T471" s="1030"/>
      <c r="U471" s="1030"/>
      <c r="V471" s="1030"/>
      <c r="W471" s="1030"/>
      <c r="X471" s="1030"/>
      <c r="Y471" s="1030"/>
      <c r="Z471" s="1030"/>
    </row>
    <row r="472" spans="1:26" ht="12.75" customHeight="1">
      <c r="A472" s="1030"/>
      <c r="B472" s="1030"/>
      <c r="C472" s="1030"/>
      <c r="D472" s="1030"/>
      <c r="E472" s="1030"/>
      <c r="F472" s="1030"/>
      <c r="G472" s="1030"/>
      <c r="H472" s="1186"/>
      <c r="I472" s="1030"/>
      <c r="J472" s="1030"/>
      <c r="K472" s="1030"/>
      <c r="L472" s="1030"/>
      <c r="M472" s="1030"/>
      <c r="N472" s="1030"/>
      <c r="O472" s="1030"/>
      <c r="P472" s="1030"/>
      <c r="Q472" s="1030"/>
      <c r="R472" s="1030"/>
      <c r="S472" s="1030"/>
      <c r="T472" s="1030"/>
      <c r="U472" s="1030"/>
      <c r="V472" s="1030"/>
      <c r="W472" s="1030"/>
      <c r="X472" s="1030"/>
      <c r="Y472" s="1030"/>
      <c r="Z472" s="1030"/>
    </row>
    <row r="473" spans="1:26" ht="12.75" customHeight="1">
      <c r="A473" s="1030"/>
      <c r="B473" s="1030"/>
      <c r="C473" s="1030"/>
      <c r="D473" s="1030"/>
      <c r="E473" s="1030"/>
      <c r="F473" s="1030"/>
      <c r="G473" s="1030"/>
      <c r="H473" s="1186"/>
      <c r="I473" s="1030"/>
      <c r="J473" s="1030"/>
      <c r="K473" s="1030"/>
      <c r="L473" s="1030"/>
      <c r="M473" s="1030"/>
      <c r="N473" s="1030"/>
      <c r="O473" s="1030"/>
      <c r="P473" s="1030"/>
      <c r="Q473" s="1030"/>
      <c r="R473" s="1030"/>
      <c r="S473" s="1030"/>
      <c r="T473" s="1030"/>
      <c r="U473" s="1030"/>
      <c r="V473" s="1030"/>
      <c r="W473" s="1030"/>
      <c r="X473" s="1030"/>
      <c r="Y473" s="1030"/>
      <c r="Z473" s="1030"/>
    </row>
    <row r="474" spans="1:26" ht="12.75" customHeight="1">
      <c r="A474" s="1030"/>
      <c r="B474" s="1030"/>
      <c r="C474" s="1030"/>
      <c r="D474" s="1030"/>
      <c r="E474" s="1030"/>
      <c r="F474" s="1030"/>
      <c r="G474" s="1030"/>
      <c r="H474" s="1186"/>
      <c r="I474" s="1030"/>
      <c r="J474" s="1030"/>
      <c r="K474" s="1030"/>
      <c r="L474" s="1030"/>
      <c r="M474" s="1030"/>
      <c r="N474" s="1030"/>
      <c r="O474" s="1030"/>
      <c r="P474" s="1030"/>
      <c r="Q474" s="1030"/>
      <c r="R474" s="1030"/>
      <c r="S474" s="1030"/>
      <c r="T474" s="1030"/>
      <c r="U474" s="1030"/>
      <c r="V474" s="1030"/>
      <c r="W474" s="1030"/>
      <c r="X474" s="1030"/>
      <c r="Y474" s="1030"/>
      <c r="Z474" s="1030"/>
    </row>
    <row r="475" spans="1:26" ht="12.75" customHeight="1">
      <c r="A475" s="1030"/>
      <c r="B475" s="1030"/>
      <c r="C475" s="1030"/>
      <c r="D475" s="1030"/>
      <c r="E475" s="1030"/>
      <c r="F475" s="1030"/>
      <c r="G475" s="1030"/>
      <c r="H475" s="1186"/>
      <c r="I475" s="1030"/>
      <c r="J475" s="1030"/>
      <c r="K475" s="1030"/>
      <c r="L475" s="1030"/>
      <c r="M475" s="1030"/>
      <c r="N475" s="1030"/>
      <c r="O475" s="1030"/>
      <c r="P475" s="1030"/>
      <c r="Q475" s="1030"/>
      <c r="R475" s="1030"/>
      <c r="S475" s="1030"/>
      <c r="T475" s="1030"/>
      <c r="U475" s="1030"/>
      <c r="V475" s="1030"/>
      <c r="W475" s="1030"/>
      <c r="X475" s="1030"/>
      <c r="Y475" s="1030"/>
      <c r="Z475" s="1030"/>
    </row>
    <row r="476" spans="1:26" ht="12.75" customHeight="1">
      <c r="A476" s="1030"/>
      <c r="B476" s="1030"/>
      <c r="C476" s="1030"/>
      <c r="D476" s="1030"/>
      <c r="E476" s="1030"/>
      <c r="F476" s="1030"/>
      <c r="G476" s="1030"/>
      <c r="H476" s="1186"/>
      <c r="I476" s="1030"/>
      <c r="J476" s="1030"/>
      <c r="K476" s="1030"/>
      <c r="L476" s="1030"/>
      <c r="M476" s="1030"/>
      <c r="N476" s="1030"/>
      <c r="O476" s="1030"/>
      <c r="P476" s="1030"/>
      <c r="Q476" s="1030"/>
      <c r="R476" s="1030"/>
      <c r="S476" s="1030"/>
      <c r="T476" s="1030"/>
      <c r="U476" s="1030"/>
      <c r="V476" s="1030"/>
      <c r="W476" s="1030"/>
      <c r="X476" s="1030"/>
      <c r="Y476" s="1030"/>
      <c r="Z476" s="1030"/>
    </row>
    <row r="477" spans="1:26" ht="12.75" customHeight="1">
      <c r="A477" s="1030"/>
      <c r="B477" s="1030"/>
      <c r="C477" s="1030"/>
      <c r="D477" s="1030"/>
      <c r="E477" s="1030"/>
      <c r="F477" s="1030"/>
      <c r="G477" s="1030"/>
      <c r="H477" s="1186"/>
      <c r="I477" s="1030"/>
      <c r="J477" s="1030"/>
      <c r="K477" s="1030"/>
      <c r="L477" s="1030"/>
      <c r="M477" s="1030"/>
      <c r="N477" s="1030"/>
      <c r="O477" s="1030"/>
      <c r="P477" s="1030"/>
      <c r="Q477" s="1030"/>
      <c r="R477" s="1030"/>
      <c r="S477" s="1030"/>
      <c r="T477" s="1030"/>
      <c r="U477" s="1030"/>
      <c r="V477" s="1030"/>
      <c r="W477" s="1030"/>
      <c r="X477" s="1030"/>
      <c r="Y477" s="1030"/>
      <c r="Z477" s="1030"/>
    </row>
    <row r="478" spans="1:26" ht="12.75" customHeight="1">
      <c r="A478" s="1030"/>
      <c r="B478" s="1030"/>
      <c r="C478" s="1030"/>
      <c r="D478" s="1030"/>
      <c r="E478" s="1030"/>
      <c r="F478" s="1030"/>
      <c r="G478" s="1030"/>
      <c r="H478" s="1186"/>
      <c r="I478" s="1030"/>
      <c r="J478" s="1030"/>
      <c r="K478" s="1030"/>
      <c r="L478" s="1030"/>
      <c r="M478" s="1030"/>
      <c r="N478" s="1030"/>
      <c r="O478" s="1030"/>
      <c r="P478" s="1030"/>
      <c r="Q478" s="1030"/>
      <c r="R478" s="1030"/>
      <c r="S478" s="1030"/>
      <c r="T478" s="1030"/>
      <c r="U478" s="1030"/>
      <c r="V478" s="1030"/>
      <c r="W478" s="1030"/>
      <c r="X478" s="1030"/>
      <c r="Y478" s="1030"/>
      <c r="Z478" s="1030"/>
    </row>
    <row r="479" spans="1:26" ht="12.75" customHeight="1">
      <c r="A479" s="1030"/>
      <c r="B479" s="1030"/>
      <c r="C479" s="1030"/>
      <c r="D479" s="1030"/>
      <c r="E479" s="1030"/>
      <c r="F479" s="1030"/>
      <c r="G479" s="1030"/>
      <c r="H479" s="1186"/>
      <c r="I479" s="1030"/>
      <c r="J479" s="1030"/>
      <c r="K479" s="1030"/>
      <c r="L479" s="1030"/>
      <c r="M479" s="1030"/>
      <c r="N479" s="1030"/>
      <c r="O479" s="1030"/>
      <c r="P479" s="1030"/>
      <c r="Q479" s="1030"/>
      <c r="R479" s="1030"/>
      <c r="S479" s="1030"/>
      <c r="T479" s="1030"/>
      <c r="U479" s="1030"/>
      <c r="V479" s="1030"/>
      <c r="W479" s="1030"/>
      <c r="X479" s="1030"/>
      <c r="Y479" s="1030"/>
      <c r="Z479" s="1030"/>
    </row>
    <row r="480" spans="1:26" ht="12.75" customHeight="1">
      <c r="A480" s="1030"/>
      <c r="B480" s="1030"/>
      <c r="C480" s="1030"/>
      <c r="D480" s="1030"/>
      <c r="E480" s="1030"/>
      <c r="F480" s="1030"/>
      <c r="G480" s="1030"/>
      <c r="H480" s="1186"/>
      <c r="I480" s="1030"/>
      <c r="J480" s="1030"/>
      <c r="K480" s="1030"/>
      <c r="L480" s="1030"/>
      <c r="M480" s="1030"/>
      <c r="N480" s="1030"/>
      <c r="O480" s="1030"/>
      <c r="P480" s="1030"/>
      <c r="Q480" s="1030"/>
      <c r="R480" s="1030"/>
      <c r="S480" s="1030"/>
      <c r="T480" s="1030"/>
      <c r="U480" s="1030"/>
      <c r="V480" s="1030"/>
      <c r="W480" s="1030"/>
      <c r="X480" s="1030"/>
      <c r="Y480" s="1030"/>
      <c r="Z480" s="1030"/>
    </row>
    <row r="481" spans="1:26" ht="12.75" customHeight="1">
      <c r="A481" s="1030"/>
      <c r="B481" s="1030"/>
      <c r="C481" s="1030"/>
      <c r="D481" s="1030"/>
      <c r="E481" s="1030"/>
      <c r="F481" s="1030"/>
      <c r="G481" s="1030"/>
      <c r="H481" s="1186"/>
      <c r="I481" s="1030"/>
      <c r="J481" s="1030"/>
      <c r="K481" s="1030"/>
      <c r="L481" s="1030"/>
      <c r="M481" s="1030"/>
      <c r="N481" s="1030"/>
      <c r="O481" s="1030"/>
      <c r="P481" s="1030"/>
      <c r="Q481" s="1030"/>
      <c r="R481" s="1030"/>
      <c r="S481" s="1030"/>
      <c r="T481" s="1030"/>
      <c r="U481" s="1030"/>
      <c r="V481" s="1030"/>
      <c r="W481" s="1030"/>
      <c r="X481" s="1030"/>
      <c r="Y481" s="1030"/>
      <c r="Z481" s="1030"/>
    </row>
    <row r="482" spans="1:26" ht="12.75" customHeight="1">
      <c r="A482" s="1030"/>
      <c r="B482" s="1030"/>
      <c r="C482" s="1030"/>
      <c r="D482" s="1030"/>
      <c r="E482" s="1030"/>
      <c r="F482" s="1030"/>
      <c r="G482" s="1030"/>
      <c r="H482" s="1186"/>
      <c r="I482" s="1030"/>
      <c r="J482" s="1030"/>
      <c r="K482" s="1030"/>
      <c r="L482" s="1030"/>
      <c r="M482" s="1030"/>
      <c r="N482" s="1030"/>
      <c r="O482" s="1030"/>
      <c r="P482" s="1030"/>
      <c r="Q482" s="1030"/>
      <c r="R482" s="1030"/>
      <c r="S482" s="1030"/>
      <c r="T482" s="1030"/>
      <c r="U482" s="1030"/>
      <c r="V482" s="1030"/>
      <c r="W482" s="1030"/>
      <c r="X482" s="1030"/>
      <c r="Y482" s="1030"/>
      <c r="Z482" s="1030"/>
    </row>
    <row r="483" spans="1:26" ht="12.75" customHeight="1">
      <c r="A483" s="1030"/>
      <c r="B483" s="1030"/>
      <c r="C483" s="1030"/>
      <c r="D483" s="1030"/>
      <c r="E483" s="1030"/>
      <c r="F483" s="1030"/>
      <c r="G483" s="1030"/>
      <c r="H483" s="1186"/>
      <c r="I483" s="1030"/>
      <c r="J483" s="1030"/>
      <c r="K483" s="1030"/>
      <c r="L483" s="1030"/>
      <c r="M483" s="1030"/>
      <c r="N483" s="1030"/>
      <c r="O483" s="1030"/>
      <c r="P483" s="1030"/>
      <c r="Q483" s="1030"/>
      <c r="R483" s="1030"/>
      <c r="S483" s="1030"/>
      <c r="T483" s="1030"/>
      <c r="U483" s="1030"/>
      <c r="V483" s="1030"/>
      <c r="W483" s="1030"/>
      <c r="X483" s="1030"/>
      <c r="Y483" s="1030"/>
      <c r="Z483" s="1030"/>
    </row>
    <row r="484" spans="1:26" ht="12.75" customHeight="1">
      <c r="A484" s="1030"/>
      <c r="B484" s="1030"/>
      <c r="C484" s="1030"/>
      <c r="D484" s="1030"/>
      <c r="E484" s="1030"/>
      <c r="F484" s="1030"/>
      <c r="G484" s="1030"/>
      <c r="H484" s="1186"/>
      <c r="I484" s="1030"/>
      <c r="J484" s="1030"/>
      <c r="K484" s="1030"/>
      <c r="L484" s="1030"/>
      <c r="M484" s="1030"/>
      <c r="N484" s="1030"/>
      <c r="O484" s="1030"/>
      <c r="P484" s="1030"/>
      <c r="Q484" s="1030"/>
      <c r="R484" s="1030"/>
      <c r="S484" s="1030"/>
      <c r="T484" s="1030"/>
      <c r="U484" s="1030"/>
      <c r="V484" s="1030"/>
      <c r="W484" s="1030"/>
      <c r="X484" s="1030"/>
      <c r="Y484" s="1030"/>
      <c r="Z484" s="1030"/>
    </row>
    <row r="485" spans="1:26" ht="12.75" customHeight="1">
      <c r="A485" s="1030"/>
      <c r="B485" s="1030"/>
      <c r="C485" s="1030"/>
      <c r="D485" s="1030"/>
      <c r="E485" s="1030"/>
      <c r="F485" s="1030"/>
      <c r="G485" s="1030"/>
      <c r="H485" s="1186"/>
      <c r="I485" s="1030"/>
      <c r="J485" s="1030"/>
      <c r="K485" s="1030"/>
      <c r="L485" s="1030"/>
      <c r="M485" s="1030"/>
      <c r="N485" s="1030"/>
      <c r="O485" s="1030"/>
      <c r="P485" s="1030"/>
      <c r="Q485" s="1030"/>
      <c r="R485" s="1030"/>
      <c r="S485" s="1030"/>
      <c r="T485" s="1030"/>
      <c r="U485" s="1030"/>
      <c r="V485" s="1030"/>
      <c r="W485" s="1030"/>
      <c r="X485" s="1030"/>
      <c r="Y485" s="1030"/>
      <c r="Z485" s="1030"/>
    </row>
    <row r="486" spans="1:26" ht="12.75" customHeight="1">
      <c r="A486" s="1030"/>
      <c r="B486" s="1030"/>
      <c r="C486" s="1030"/>
      <c r="D486" s="1030"/>
      <c r="E486" s="1030"/>
      <c r="F486" s="1030"/>
      <c r="G486" s="1030"/>
      <c r="H486" s="1186"/>
      <c r="I486" s="1030"/>
      <c r="J486" s="1030"/>
      <c r="K486" s="1030"/>
      <c r="L486" s="1030"/>
      <c r="M486" s="1030"/>
      <c r="N486" s="1030"/>
      <c r="O486" s="1030"/>
      <c r="P486" s="1030"/>
      <c r="Q486" s="1030"/>
      <c r="R486" s="1030"/>
      <c r="S486" s="1030"/>
      <c r="T486" s="1030"/>
      <c r="U486" s="1030"/>
      <c r="V486" s="1030"/>
      <c r="W486" s="1030"/>
      <c r="X486" s="1030"/>
      <c r="Y486" s="1030"/>
      <c r="Z486" s="1030"/>
    </row>
    <row r="487" spans="1:26" ht="12.75" customHeight="1">
      <c r="A487" s="1030"/>
      <c r="B487" s="1030"/>
      <c r="C487" s="1030"/>
      <c r="D487" s="1030"/>
      <c r="E487" s="1030"/>
      <c r="F487" s="1030"/>
      <c r="G487" s="1030"/>
      <c r="H487" s="1186"/>
      <c r="I487" s="1030"/>
      <c r="J487" s="1030"/>
      <c r="K487" s="1030"/>
      <c r="L487" s="1030"/>
      <c r="M487" s="1030"/>
      <c r="N487" s="1030"/>
      <c r="O487" s="1030"/>
      <c r="P487" s="1030"/>
      <c r="Q487" s="1030"/>
      <c r="R487" s="1030"/>
      <c r="S487" s="1030"/>
      <c r="T487" s="1030"/>
      <c r="U487" s="1030"/>
      <c r="V487" s="1030"/>
      <c r="W487" s="1030"/>
      <c r="X487" s="1030"/>
      <c r="Y487" s="1030"/>
      <c r="Z487" s="1030"/>
    </row>
    <row r="488" spans="1:26" ht="12.75" customHeight="1">
      <c r="A488" s="1030"/>
      <c r="B488" s="1030"/>
      <c r="C488" s="1030"/>
      <c r="D488" s="1030"/>
      <c r="E488" s="1030"/>
      <c r="F488" s="1030"/>
      <c r="G488" s="1030"/>
      <c r="H488" s="1186"/>
      <c r="I488" s="1030"/>
      <c r="J488" s="1030"/>
      <c r="K488" s="1030"/>
      <c r="L488" s="1030"/>
      <c r="M488" s="1030"/>
      <c r="N488" s="1030"/>
      <c r="O488" s="1030"/>
      <c r="P488" s="1030"/>
      <c r="Q488" s="1030"/>
      <c r="R488" s="1030"/>
      <c r="S488" s="1030"/>
      <c r="T488" s="1030"/>
      <c r="U488" s="1030"/>
      <c r="V488" s="1030"/>
      <c r="W488" s="1030"/>
      <c r="X488" s="1030"/>
      <c r="Y488" s="1030"/>
      <c r="Z488" s="1030"/>
    </row>
    <row r="489" spans="1:26" ht="12.75" customHeight="1">
      <c r="A489" s="1030"/>
      <c r="B489" s="1030"/>
      <c r="C489" s="1030"/>
      <c r="D489" s="1030"/>
      <c r="E489" s="1030"/>
      <c r="F489" s="1030"/>
      <c r="G489" s="1030"/>
      <c r="H489" s="1186"/>
      <c r="I489" s="1030"/>
      <c r="J489" s="1030"/>
      <c r="K489" s="1030"/>
      <c r="L489" s="1030"/>
      <c r="M489" s="1030"/>
      <c r="N489" s="1030"/>
      <c r="O489" s="1030"/>
      <c r="P489" s="1030"/>
      <c r="Q489" s="1030"/>
      <c r="R489" s="1030"/>
      <c r="S489" s="1030"/>
      <c r="T489" s="1030"/>
      <c r="U489" s="1030"/>
      <c r="V489" s="1030"/>
      <c r="W489" s="1030"/>
      <c r="X489" s="1030"/>
      <c r="Y489" s="1030"/>
      <c r="Z489" s="1030"/>
    </row>
    <row r="490" spans="1:26" ht="12.75" customHeight="1">
      <c r="A490" s="1030"/>
      <c r="B490" s="1030"/>
      <c r="C490" s="1030"/>
      <c r="D490" s="1030"/>
      <c r="E490" s="1030"/>
      <c r="F490" s="1030"/>
      <c r="G490" s="1030"/>
      <c r="H490" s="1186"/>
      <c r="I490" s="1030"/>
      <c r="J490" s="1030"/>
      <c r="K490" s="1030"/>
      <c r="L490" s="1030"/>
      <c r="M490" s="1030"/>
      <c r="N490" s="1030"/>
      <c r="O490" s="1030"/>
      <c r="P490" s="1030"/>
      <c r="Q490" s="1030"/>
      <c r="R490" s="1030"/>
      <c r="S490" s="1030"/>
      <c r="T490" s="1030"/>
      <c r="U490" s="1030"/>
      <c r="V490" s="1030"/>
      <c r="W490" s="1030"/>
      <c r="X490" s="1030"/>
      <c r="Y490" s="1030"/>
      <c r="Z490" s="1030"/>
    </row>
    <row r="491" spans="1:26" ht="12.75" customHeight="1">
      <c r="A491" s="1030"/>
      <c r="B491" s="1030"/>
      <c r="C491" s="1030"/>
      <c r="D491" s="1030"/>
      <c r="E491" s="1030"/>
      <c r="F491" s="1030"/>
      <c r="G491" s="1030"/>
      <c r="H491" s="1186"/>
      <c r="I491" s="1030"/>
      <c r="J491" s="1030"/>
      <c r="K491" s="1030"/>
      <c r="L491" s="1030"/>
      <c r="M491" s="1030"/>
      <c r="N491" s="1030"/>
      <c r="O491" s="1030"/>
      <c r="P491" s="1030"/>
      <c r="Q491" s="1030"/>
      <c r="R491" s="1030"/>
      <c r="S491" s="1030"/>
      <c r="T491" s="1030"/>
      <c r="U491" s="1030"/>
      <c r="V491" s="1030"/>
      <c r="W491" s="1030"/>
      <c r="X491" s="1030"/>
      <c r="Y491" s="1030"/>
      <c r="Z491" s="1030"/>
    </row>
    <row r="492" spans="1:26" ht="12.75" customHeight="1">
      <c r="A492" s="1030"/>
      <c r="B492" s="1030"/>
      <c r="C492" s="1030"/>
      <c r="D492" s="1030"/>
      <c r="E492" s="1030"/>
      <c r="F492" s="1030"/>
      <c r="G492" s="1030"/>
      <c r="H492" s="1186"/>
      <c r="I492" s="1030"/>
      <c r="J492" s="1030"/>
      <c r="K492" s="1030"/>
      <c r="L492" s="1030"/>
      <c r="M492" s="1030"/>
      <c r="N492" s="1030"/>
      <c r="O492" s="1030"/>
      <c r="P492" s="1030"/>
      <c r="Q492" s="1030"/>
      <c r="R492" s="1030"/>
      <c r="S492" s="1030"/>
      <c r="T492" s="1030"/>
      <c r="U492" s="1030"/>
      <c r="V492" s="1030"/>
      <c r="W492" s="1030"/>
      <c r="X492" s="1030"/>
      <c r="Y492" s="1030"/>
      <c r="Z492" s="1030"/>
    </row>
    <row r="493" spans="1:26" ht="12.75" customHeight="1">
      <c r="A493" s="1030"/>
      <c r="B493" s="1030"/>
      <c r="C493" s="1030"/>
      <c r="D493" s="1030"/>
      <c r="E493" s="1030"/>
      <c r="F493" s="1030"/>
      <c r="G493" s="1030"/>
      <c r="H493" s="1186"/>
      <c r="I493" s="1030"/>
      <c r="J493" s="1030"/>
      <c r="K493" s="1030"/>
      <c r="L493" s="1030"/>
      <c r="M493" s="1030"/>
      <c r="N493" s="1030"/>
      <c r="O493" s="1030"/>
      <c r="P493" s="1030"/>
      <c r="Q493" s="1030"/>
      <c r="R493" s="1030"/>
      <c r="S493" s="1030"/>
      <c r="T493" s="1030"/>
      <c r="U493" s="1030"/>
      <c r="V493" s="1030"/>
      <c r="W493" s="1030"/>
      <c r="X493" s="1030"/>
      <c r="Y493" s="1030"/>
      <c r="Z493" s="1030"/>
    </row>
    <row r="494" spans="1:26" ht="12.75" customHeight="1">
      <c r="A494" s="1030"/>
      <c r="B494" s="1030"/>
      <c r="C494" s="1030"/>
      <c r="D494" s="1030"/>
      <c r="E494" s="1030"/>
      <c r="F494" s="1030"/>
      <c r="G494" s="1030"/>
      <c r="H494" s="1186"/>
      <c r="I494" s="1030"/>
      <c r="J494" s="1030"/>
      <c r="K494" s="1030"/>
      <c r="L494" s="1030"/>
      <c r="M494" s="1030"/>
      <c r="N494" s="1030"/>
      <c r="O494" s="1030"/>
      <c r="P494" s="1030"/>
      <c r="Q494" s="1030"/>
      <c r="R494" s="1030"/>
      <c r="S494" s="1030"/>
      <c r="T494" s="1030"/>
      <c r="U494" s="1030"/>
      <c r="V494" s="1030"/>
      <c r="W494" s="1030"/>
      <c r="X494" s="1030"/>
      <c r="Y494" s="1030"/>
      <c r="Z494" s="1030"/>
    </row>
    <row r="495" spans="1:26" ht="12.75" customHeight="1">
      <c r="A495" s="1030"/>
      <c r="B495" s="1030"/>
      <c r="C495" s="1030"/>
      <c r="D495" s="1030"/>
      <c r="E495" s="1030"/>
      <c r="F495" s="1030"/>
      <c r="G495" s="1030"/>
      <c r="H495" s="1186"/>
      <c r="I495" s="1030"/>
      <c r="J495" s="1030"/>
      <c r="K495" s="1030"/>
      <c r="L495" s="1030"/>
      <c r="M495" s="1030"/>
      <c r="N495" s="1030"/>
      <c r="O495" s="1030"/>
      <c r="P495" s="1030"/>
      <c r="Q495" s="1030"/>
      <c r="R495" s="1030"/>
      <c r="S495" s="1030"/>
      <c r="T495" s="1030"/>
      <c r="U495" s="1030"/>
      <c r="V495" s="1030"/>
      <c r="W495" s="1030"/>
      <c r="X495" s="1030"/>
      <c r="Y495" s="1030"/>
      <c r="Z495" s="1030"/>
    </row>
    <row r="496" spans="1:26" ht="12.75" customHeight="1">
      <c r="A496" s="1030"/>
      <c r="B496" s="1030"/>
      <c r="C496" s="1030"/>
      <c r="D496" s="1030"/>
      <c r="E496" s="1030"/>
      <c r="F496" s="1030"/>
      <c r="G496" s="1030"/>
      <c r="H496" s="1186"/>
      <c r="I496" s="1030"/>
      <c r="J496" s="1030"/>
      <c r="K496" s="1030"/>
      <c r="L496" s="1030"/>
      <c r="M496" s="1030"/>
      <c r="N496" s="1030"/>
      <c r="O496" s="1030"/>
      <c r="P496" s="1030"/>
      <c r="Q496" s="1030"/>
      <c r="R496" s="1030"/>
      <c r="S496" s="1030"/>
      <c r="T496" s="1030"/>
      <c r="U496" s="1030"/>
      <c r="V496" s="1030"/>
      <c r="W496" s="1030"/>
      <c r="X496" s="1030"/>
      <c r="Y496" s="1030"/>
      <c r="Z496" s="1030"/>
    </row>
    <row r="497" spans="1:26" ht="12.75" customHeight="1">
      <c r="A497" s="1030"/>
      <c r="B497" s="1030"/>
      <c r="C497" s="1030"/>
      <c r="D497" s="1030"/>
      <c r="E497" s="1030"/>
      <c r="F497" s="1030"/>
      <c r="G497" s="1030"/>
      <c r="H497" s="1186"/>
      <c r="I497" s="1030"/>
      <c r="J497" s="1030"/>
      <c r="K497" s="1030"/>
      <c r="L497" s="1030"/>
      <c r="M497" s="1030"/>
      <c r="N497" s="1030"/>
      <c r="O497" s="1030"/>
      <c r="P497" s="1030"/>
      <c r="Q497" s="1030"/>
      <c r="R497" s="1030"/>
      <c r="S497" s="1030"/>
      <c r="T497" s="1030"/>
      <c r="U497" s="1030"/>
      <c r="V497" s="1030"/>
      <c r="W497" s="1030"/>
      <c r="X497" s="1030"/>
      <c r="Y497" s="1030"/>
      <c r="Z497" s="1030"/>
    </row>
    <row r="498" spans="1:26" ht="12.75" customHeight="1">
      <c r="A498" s="1030"/>
      <c r="B498" s="1030"/>
      <c r="C498" s="1030"/>
      <c r="D498" s="1030"/>
      <c r="E498" s="1030"/>
      <c r="F498" s="1030"/>
      <c r="G498" s="1030"/>
      <c r="H498" s="1186"/>
      <c r="I498" s="1030"/>
      <c r="J498" s="1030"/>
      <c r="K498" s="1030"/>
      <c r="L498" s="1030"/>
      <c r="M498" s="1030"/>
      <c r="N498" s="1030"/>
      <c r="O498" s="1030"/>
      <c r="P498" s="1030"/>
      <c r="Q498" s="1030"/>
      <c r="R498" s="1030"/>
      <c r="S498" s="1030"/>
      <c r="T498" s="1030"/>
      <c r="U498" s="1030"/>
      <c r="V498" s="1030"/>
      <c r="W498" s="1030"/>
      <c r="X498" s="1030"/>
      <c r="Y498" s="1030"/>
      <c r="Z498" s="1030"/>
    </row>
    <row r="499" spans="1:26" ht="12.75" customHeight="1">
      <c r="A499" s="1030"/>
      <c r="B499" s="1030"/>
      <c r="C499" s="1030"/>
      <c r="D499" s="1030"/>
      <c r="E499" s="1030"/>
      <c r="F499" s="1030"/>
      <c r="G499" s="1030"/>
      <c r="H499" s="1186"/>
      <c r="I499" s="1030"/>
      <c r="J499" s="1030"/>
      <c r="K499" s="1030"/>
      <c r="L499" s="1030"/>
      <c r="M499" s="1030"/>
      <c r="N499" s="1030"/>
      <c r="O499" s="1030"/>
      <c r="P499" s="1030"/>
      <c r="Q499" s="1030"/>
      <c r="R499" s="1030"/>
      <c r="S499" s="1030"/>
      <c r="T499" s="1030"/>
      <c r="U499" s="1030"/>
      <c r="V499" s="1030"/>
      <c r="W499" s="1030"/>
      <c r="X499" s="1030"/>
      <c r="Y499" s="1030"/>
      <c r="Z499" s="1030"/>
    </row>
    <row r="500" spans="1:26" ht="12.75" customHeight="1">
      <c r="A500" s="1030"/>
      <c r="B500" s="1030"/>
      <c r="C500" s="1030"/>
      <c r="D500" s="1030"/>
      <c r="E500" s="1030"/>
      <c r="F500" s="1030"/>
      <c r="G500" s="1030"/>
      <c r="H500" s="1186"/>
      <c r="I500" s="1030"/>
      <c r="J500" s="1030"/>
      <c r="K500" s="1030"/>
      <c r="L500" s="1030"/>
      <c r="M500" s="1030"/>
      <c r="N500" s="1030"/>
      <c r="O500" s="1030"/>
      <c r="P500" s="1030"/>
      <c r="Q500" s="1030"/>
      <c r="R500" s="1030"/>
      <c r="S500" s="1030"/>
      <c r="T500" s="1030"/>
      <c r="U500" s="1030"/>
      <c r="V500" s="1030"/>
      <c r="W500" s="1030"/>
      <c r="X500" s="1030"/>
      <c r="Y500" s="1030"/>
      <c r="Z500" s="1030"/>
    </row>
    <row r="501" spans="1:26" ht="12.75" customHeight="1">
      <c r="A501" s="1030"/>
      <c r="B501" s="1030"/>
      <c r="C501" s="1030"/>
      <c r="D501" s="1030"/>
      <c r="E501" s="1030"/>
      <c r="F501" s="1030"/>
      <c r="G501" s="1030"/>
      <c r="H501" s="1186"/>
      <c r="I501" s="1030"/>
      <c r="J501" s="1030"/>
      <c r="K501" s="1030"/>
      <c r="L501" s="1030"/>
      <c r="M501" s="1030"/>
      <c r="N501" s="1030"/>
      <c r="O501" s="1030"/>
      <c r="P501" s="1030"/>
      <c r="Q501" s="1030"/>
      <c r="R501" s="1030"/>
      <c r="S501" s="1030"/>
      <c r="T501" s="1030"/>
      <c r="U501" s="1030"/>
      <c r="V501" s="1030"/>
      <c r="W501" s="1030"/>
      <c r="X501" s="1030"/>
      <c r="Y501" s="1030"/>
      <c r="Z501" s="1030"/>
    </row>
    <row r="502" spans="1:26" ht="12.75" customHeight="1">
      <c r="A502" s="1030"/>
      <c r="B502" s="1030"/>
      <c r="C502" s="1030"/>
      <c r="D502" s="1030"/>
      <c r="E502" s="1030"/>
      <c r="F502" s="1030"/>
      <c r="G502" s="1030"/>
      <c r="H502" s="1186"/>
      <c r="I502" s="1030"/>
      <c r="J502" s="1030"/>
      <c r="K502" s="1030"/>
      <c r="L502" s="1030"/>
      <c r="M502" s="1030"/>
      <c r="N502" s="1030"/>
      <c r="O502" s="1030"/>
      <c r="P502" s="1030"/>
      <c r="Q502" s="1030"/>
      <c r="R502" s="1030"/>
      <c r="S502" s="1030"/>
      <c r="T502" s="1030"/>
      <c r="U502" s="1030"/>
      <c r="V502" s="1030"/>
      <c r="W502" s="1030"/>
      <c r="X502" s="1030"/>
      <c r="Y502" s="1030"/>
      <c r="Z502" s="1030"/>
    </row>
    <row r="503" spans="1:26" ht="12.75" customHeight="1">
      <c r="A503" s="1030"/>
      <c r="B503" s="1030"/>
      <c r="C503" s="1030"/>
      <c r="D503" s="1030"/>
      <c r="E503" s="1030"/>
      <c r="F503" s="1030"/>
      <c r="G503" s="1030"/>
      <c r="H503" s="1186"/>
      <c r="I503" s="1030"/>
      <c r="J503" s="1030"/>
      <c r="K503" s="1030"/>
      <c r="L503" s="1030"/>
      <c r="M503" s="1030"/>
      <c r="N503" s="1030"/>
      <c r="O503" s="1030"/>
      <c r="P503" s="1030"/>
      <c r="Q503" s="1030"/>
      <c r="R503" s="1030"/>
      <c r="S503" s="1030"/>
      <c r="T503" s="1030"/>
      <c r="U503" s="1030"/>
      <c r="V503" s="1030"/>
      <c r="W503" s="1030"/>
      <c r="X503" s="1030"/>
      <c r="Y503" s="1030"/>
      <c r="Z503" s="1030"/>
    </row>
    <row r="504" spans="1:26" ht="12.75" customHeight="1">
      <c r="A504" s="1030"/>
      <c r="B504" s="1030"/>
      <c r="C504" s="1030"/>
      <c r="D504" s="1030"/>
      <c r="E504" s="1030"/>
      <c r="F504" s="1030"/>
      <c r="G504" s="1030"/>
      <c r="H504" s="1186"/>
      <c r="I504" s="1030"/>
      <c r="J504" s="1030"/>
      <c r="K504" s="1030"/>
      <c r="L504" s="1030"/>
      <c r="M504" s="1030"/>
      <c r="N504" s="1030"/>
      <c r="O504" s="1030"/>
      <c r="P504" s="1030"/>
      <c r="Q504" s="1030"/>
      <c r="R504" s="1030"/>
      <c r="S504" s="1030"/>
      <c r="T504" s="1030"/>
      <c r="U504" s="1030"/>
      <c r="V504" s="1030"/>
      <c r="W504" s="1030"/>
      <c r="X504" s="1030"/>
      <c r="Y504" s="1030"/>
      <c r="Z504" s="1030"/>
    </row>
    <row r="505" spans="1:26" ht="12.75" customHeight="1">
      <c r="A505" s="1030"/>
      <c r="B505" s="1030"/>
      <c r="C505" s="1030"/>
      <c r="D505" s="1030"/>
      <c r="E505" s="1030"/>
      <c r="F505" s="1030"/>
      <c r="G505" s="1030"/>
      <c r="H505" s="1186"/>
      <c r="I505" s="1030"/>
      <c r="J505" s="1030"/>
      <c r="K505" s="1030"/>
      <c r="L505" s="1030"/>
      <c r="M505" s="1030"/>
      <c r="N505" s="1030"/>
      <c r="O505" s="1030"/>
      <c r="P505" s="1030"/>
      <c r="Q505" s="1030"/>
      <c r="R505" s="1030"/>
      <c r="S505" s="1030"/>
      <c r="T505" s="1030"/>
      <c r="U505" s="1030"/>
      <c r="V505" s="1030"/>
      <c r="W505" s="1030"/>
      <c r="X505" s="1030"/>
      <c r="Y505" s="1030"/>
      <c r="Z505" s="1030"/>
    </row>
    <row r="506" spans="1:26" ht="12.75" customHeight="1">
      <c r="A506" s="1030"/>
      <c r="B506" s="1030"/>
      <c r="C506" s="1030"/>
      <c r="D506" s="1030"/>
      <c r="E506" s="1030"/>
      <c r="F506" s="1030"/>
      <c r="G506" s="1030"/>
      <c r="H506" s="1186"/>
      <c r="I506" s="1030"/>
      <c r="J506" s="1030"/>
      <c r="K506" s="1030"/>
      <c r="L506" s="1030"/>
      <c r="M506" s="1030"/>
      <c r="N506" s="1030"/>
      <c r="O506" s="1030"/>
      <c r="P506" s="1030"/>
      <c r="Q506" s="1030"/>
      <c r="R506" s="1030"/>
      <c r="S506" s="1030"/>
      <c r="T506" s="1030"/>
      <c r="U506" s="1030"/>
      <c r="V506" s="1030"/>
      <c r="W506" s="1030"/>
      <c r="X506" s="1030"/>
      <c r="Y506" s="1030"/>
      <c r="Z506" s="1030"/>
    </row>
    <row r="507" spans="1:26" ht="12.75" customHeight="1">
      <c r="A507" s="1030"/>
      <c r="B507" s="1030"/>
      <c r="C507" s="1030"/>
      <c r="D507" s="1030"/>
      <c r="E507" s="1030"/>
      <c r="F507" s="1030"/>
      <c r="G507" s="1030"/>
      <c r="H507" s="1186"/>
      <c r="I507" s="1030"/>
      <c r="J507" s="1030"/>
      <c r="K507" s="1030"/>
      <c r="L507" s="1030"/>
      <c r="M507" s="1030"/>
      <c r="N507" s="1030"/>
      <c r="O507" s="1030"/>
      <c r="P507" s="1030"/>
      <c r="Q507" s="1030"/>
      <c r="R507" s="1030"/>
      <c r="S507" s="1030"/>
      <c r="T507" s="1030"/>
      <c r="U507" s="1030"/>
      <c r="V507" s="1030"/>
      <c r="W507" s="1030"/>
      <c r="X507" s="1030"/>
      <c r="Y507" s="1030"/>
      <c r="Z507" s="1030"/>
    </row>
    <row r="508" spans="1:26" ht="12.75" customHeight="1">
      <c r="A508" s="1030"/>
      <c r="B508" s="1030"/>
      <c r="C508" s="1030"/>
      <c r="D508" s="1030"/>
      <c r="E508" s="1030"/>
      <c r="F508" s="1030"/>
      <c r="G508" s="1030"/>
      <c r="H508" s="1186"/>
      <c r="I508" s="1030"/>
      <c r="J508" s="1030"/>
      <c r="K508" s="1030"/>
      <c r="L508" s="1030"/>
      <c r="M508" s="1030"/>
      <c r="N508" s="1030"/>
      <c r="O508" s="1030"/>
      <c r="P508" s="1030"/>
      <c r="Q508" s="1030"/>
      <c r="R508" s="1030"/>
      <c r="S508" s="1030"/>
      <c r="T508" s="1030"/>
      <c r="U508" s="1030"/>
      <c r="V508" s="1030"/>
      <c r="W508" s="1030"/>
      <c r="X508" s="1030"/>
      <c r="Y508" s="1030"/>
      <c r="Z508" s="1030"/>
    </row>
    <row r="509" spans="1:26" ht="12.75" customHeight="1">
      <c r="A509" s="1030"/>
      <c r="B509" s="1030"/>
      <c r="C509" s="1030"/>
      <c r="D509" s="1030"/>
      <c r="E509" s="1030"/>
      <c r="F509" s="1030"/>
      <c r="G509" s="1030"/>
      <c r="H509" s="1186"/>
      <c r="I509" s="1030"/>
      <c r="J509" s="1030"/>
      <c r="K509" s="1030"/>
      <c r="L509" s="1030"/>
      <c r="M509" s="1030"/>
      <c r="N509" s="1030"/>
      <c r="O509" s="1030"/>
      <c r="P509" s="1030"/>
      <c r="Q509" s="1030"/>
      <c r="R509" s="1030"/>
      <c r="S509" s="1030"/>
      <c r="T509" s="1030"/>
      <c r="U509" s="1030"/>
      <c r="V509" s="1030"/>
      <c r="W509" s="1030"/>
      <c r="X509" s="1030"/>
      <c r="Y509" s="1030"/>
      <c r="Z509" s="1030"/>
    </row>
    <row r="510" spans="1:26" ht="12.75" customHeight="1">
      <c r="A510" s="1030"/>
      <c r="B510" s="1030"/>
      <c r="C510" s="1030"/>
      <c r="D510" s="1030"/>
      <c r="E510" s="1030"/>
      <c r="F510" s="1030"/>
      <c r="G510" s="1030"/>
      <c r="H510" s="1186"/>
      <c r="I510" s="1030"/>
      <c r="J510" s="1030"/>
      <c r="K510" s="1030"/>
      <c r="L510" s="1030"/>
      <c r="M510" s="1030"/>
      <c r="N510" s="1030"/>
      <c r="O510" s="1030"/>
      <c r="P510" s="1030"/>
      <c r="Q510" s="1030"/>
      <c r="R510" s="1030"/>
      <c r="S510" s="1030"/>
      <c r="T510" s="1030"/>
      <c r="U510" s="1030"/>
      <c r="V510" s="1030"/>
      <c r="W510" s="1030"/>
      <c r="X510" s="1030"/>
      <c r="Y510" s="1030"/>
      <c r="Z510" s="1030"/>
    </row>
    <row r="511" spans="1:26" ht="12.75" customHeight="1">
      <c r="A511" s="1030"/>
      <c r="B511" s="1030"/>
      <c r="C511" s="1030"/>
      <c r="D511" s="1030"/>
      <c r="E511" s="1030"/>
      <c r="F511" s="1030"/>
      <c r="G511" s="1030"/>
      <c r="H511" s="1186"/>
      <c r="I511" s="1030"/>
      <c r="J511" s="1030"/>
      <c r="K511" s="1030"/>
      <c r="L511" s="1030"/>
      <c r="M511" s="1030"/>
      <c r="N511" s="1030"/>
      <c r="O511" s="1030"/>
      <c r="P511" s="1030"/>
      <c r="Q511" s="1030"/>
      <c r="R511" s="1030"/>
      <c r="S511" s="1030"/>
      <c r="T511" s="1030"/>
      <c r="U511" s="1030"/>
      <c r="V511" s="1030"/>
      <c r="W511" s="1030"/>
      <c r="X511" s="1030"/>
      <c r="Y511" s="1030"/>
      <c r="Z511" s="1030"/>
    </row>
    <row r="512" spans="1:26" ht="12.75" customHeight="1">
      <c r="A512" s="1030"/>
      <c r="B512" s="1030"/>
      <c r="C512" s="1030"/>
      <c r="D512" s="1030"/>
      <c r="E512" s="1030"/>
      <c r="F512" s="1030"/>
      <c r="G512" s="1030"/>
      <c r="H512" s="1186"/>
      <c r="I512" s="1030"/>
      <c r="J512" s="1030"/>
      <c r="K512" s="1030"/>
      <c r="L512" s="1030"/>
      <c r="M512" s="1030"/>
      <c r="N512" s="1030"/>
      <c r="O512" s="1030"/>
      <c r="P512" s="1030"/>
      <c r="Q512" s="1030"/>
      <c r="R512" s="1030"/>
      <c r="S512" s="1030"/>
      <c r="T512" s="1030"/>
      <c r="U512" s="1030"/>
      <c r="V512" s="1030"/>
      <c r="W512" s="1030"/>
      <c r="X512" s="1030"/>
      <c r="Y512" s="1030"/>
      <c r="Z512" s="1030"/>
    </row>
    <row r="513" spans="1:26" ht="12.75" customHeight="1">
      <c r="A513" s="1030"/>
      <c r="B513" s="1030"/>
      <c r="C513" s="1030"/>
      <c r="D513" s="1030"/>
      <c r="E513" s="1030"/>
      <c r="F513" s="1030"/>
      <c r="G513" s="1030"/>
      <c r="H513" s="1186"/>
      <c r="I513" s="1030"/>
      <c r="J513" s="1030"/>
      <c r="K513" s="1030"/>
      <c r="L513" s="1030"/>
      <c r="M513" s="1030"/>
      <c r="N513" s="1030"/>
      <c r="O513" s="1030"/>
      <c r="P513" s="1030"/>
      <c r="Q513" s="1030"/>
      <c r="R513" s="1030"/>
      <c r="S513" s="1030"/>
      <c r="T513" s="1030"/>
      <c r="U513" s="1030"/>
      <c r="V513" s="1030"/>
      <c r="W513" s="1030"/>
      <c r="X513" s="1030"/>
      <c r="Y513" s="1030"/>
      <c r="Z513" s="1030"/>
    </row>
    <row r="514" spans="1:26" ht="12.75" customHeight="1">
      <c r="A514" s="1030"/>
      <c r="B514" s="1030"/>
      <c r="C514" s="1030"/>
      <c r="D514" s="1030"/>
      <c r="E514" s="1030"/>
      <c r="F514" s="1030"/>
      <c r="G514" s="1030"/>
      <c r="H514" s="1186"/>
      <c r="I514" s="1030"/>
      <c r="J514" s="1030"/>
      <c r="K514" s="1030"/>
      <c r="L514" s="1030"/>
      <c r="M514" s="1030"/>
      <c r="N514" s="1030"/>
      <c r="O514" s="1030"/>
      <c r="P514" s="1030"/>
      <c r="Q514" s="1030"/>
      <c r="R514" s="1030"/>
      <c r="S514" s="1030"/>
      <c r="T514" s="1030"/>
      <c r="U514" s="1030"/>
      <c r="V514" s="1030"/>
      <c r="W514" s="1030"/>
      <c r="X514" s="1030"/>
      <c r="Y514" s="1030"/>
      <c r="Z514" s="1030"/>
    </row>
    <row r="515" spans="1:26" ht="12.75" customHeight="1">
      <c r="A515" s="1030"/>
      <c r="B515" s="1030"/>
      <c r="C515" s="1030"/>
      <c r="D515" s="1030"/>
      <c r="E515" s="1030"/>
      <c r="F515" s="1030"/>
      <c r="G515" s="1030"/>
      <c r="H515" s="1186"/>
      <c r="I515" s="1030"/>
      <c r="J515" s="1030"/>
      <c r="K515" s="1030"/>
      <c r="L515" s="1030"/>
      <c r="M515" s="1030"/>
      <c r="N515" s="1030"/>
      <c r="O515" s="1030"/>
      <c r="P515" s="1030"/>
      <c r="Q515" s="1030"/>
      <c r="R515" s="1030"/>
      <c r="S515" s="1030"/>
      <c r="T515" s="1030"/>
      <c r="U515" s="1030"/>
      <c r="V515" s="1030"/>
      <c r="W515" s="1030"/>
      <c r="X515" s="1030"/>
      <c r="Y515" s="1030"/>
      <c r="Z515" s="1030"/>
    </row>
    <row r="516" spans="1:26" ht="12.75" customHeight="1">
      <c r="A516" s="1030"/>
      <c r="B516" s="1030"/>
      <c r="C516" s="1030"/>
      <c r="D516" s="1030"/>
      <c r="E516" s="1030"/>
      <c r="F516" s="1030"/>
      <c r="G516" s="1030"/>
      <c r="H516" s="1186"/>
      <c r="I516" s="1030"/>
      <c r="J516" s="1030"/>
      <c r="K516" s="1030"/>
      <c r="L516" s="1030"/>
      <c r="M516" s="1030"/>
      <c r="N516" s="1030"/>
      <c r="O516" s="1030"/>
      <c r="P516" s="1030"/>
      <c r="Q516" s="1030"/>
      <c r="R516" s="1030"/>
      <c r="S516" s="1030"/>
      <c r="T516" s="1030"/>
      <c r="U516" s="1030"/>
      <c r="V516" s="1030"/>
      <c r="W516" s="1030"/>
      <c r="X516" s="1030"/>
      <c r="Y516" s="1030"/>
      <c r="Z516" s="1030"/>
    </row>
    <row r="517" spans="1:26" ht="12.75" customHeight="1">
      <c r="A517" s="1030"/>
      <c r="B517" s="1030"/>
      <c r="C517" s="1030"/>
      <c r="D517" s="1030"/>
      <c r="E517" s="1030"/>
      <c r="F517" s="1030"/>
      <c r="G517" s="1030"/>
      <c r="H517" s="1186"/>
      <c r="I517" s="1030"/>
      <c r="J517" s="1030"/>
      <c r="K517" s="1030"/>
      <c r="L517" s="1030"/>
      <c r="M517" s="1030"/>
      <c r="N517" s="1030"/>
      <c r="O517" s="1030"/>
      <c r="P517" s="1030"/>
      <c r="Q517" s="1030"/>
      <c r="R517" s="1030"/>
      <c r="S517" s="1030"/>
      <c r="T517" s="1030"/>
      <c r="U517" s="1030"/>
      <c r="V517" s="1030"/>
      <c r="W517" s="1030"/>
      <c r="X517" s="1030"/>
      <c r="Y517" s="1030"/>
      <c r="Z517" s="1030"/>
    </row>
    <row r="518" spans="1:26" ht="12.75" customHeight="1">
      <c r="A518" s="1030"/>
      <c r="B518" s="1030"/>
      <c r="C518" s="1030"/>
      <c r="D518" s="1030"/>
      <c r="E518" s="1030"/>
      <c r="F518" s="1030"/>
      <c r="G518" s="1030"/>
      <c r="H518" s="1186"/>
      <c r="I518" s="1030"/>
      <c r="J518" s="1030"/>
      <c r="K518" s="1030"/>
      <c r="L518" s="1030"/>
      <c r="M518" s="1030"/>
      <c r="N518" s="1030"/>
      <c r="O518" s="1030"/>
      <c r="P518" s="1030"/>
      <c r="Q518" s="1030"/>
      <c r="R518" s="1030"/>
      <c r="S518" s="1030"/>
      <c r="T518" s="1030"/>
      <c r="U518" s="1030"/>
      <c r="V518" s="1030"/>
      <c r="W518" s="1030"/>
      <c r="X518" s="1030"/>
      <c r="Y518" s="1030"/>
      <c r="Z518" s="1030"/>
    </row>
    <row r="519" spans="1:26" ht="12.75" customHeight="1">
      <c r="A519" s="1030"/>
      <c r="B519" s="1030"/>
      <c r="C519" s="1030"/>
      <c r="D519" s="1030"/>
      <c r="E519" s="1030"/>
      <c r="F519" s="1030"/>
      <c r="G519" s="1030"/>
      <c r="H519" s="1186"/>
      <c r="I519" s="1030"/>
      <c r="J519" s="1030"/>
      <c r="K519" s="1030"/>
      <c r="L519" s="1030"/>
      <c r="M519" s="1030"/>
      <c r="N519" s="1030"/>
      <c r="O519" s="1030"/>
      <c r="P519" s="1030"/>
      <c r="Q519" s="1030"/>
      <c r="R519" s="1030"/>
      <c r="S519" s="1030"/>
      <c r="T519" s="1030"/>
      <c r="U519" s="1030"/>
      <c r="V519" s="1030"/>
      <c r="W519" s="1030"/>
      <c r="X519" s="1030"/>
      <c r="Y519" s="1030"/>
      <c r="Z519" s="1030"/>
    </row>
    <row r="520" spans="1:26" ht="12.75" customHeight="1">
      <c r="A520" s="1030"/>
      <c r="B520" s="1030"/>
      <c r="C520" s="1030"/>
      <c r="D520" s="1030"/>
      <c r="E520" s="1030"/>
      <c r="F520" s="1030"/>
      <c r="G520" s="1030"/>
      <c r="H520" s="1186"/>
      <c r="I520" s="1030"/>
      <c r="J520" s="1030"/>
      <c r="K520" s="1030"/>
      <c r="L520" s="1030"/>
      <c r="M520" s="1030"/>
      <c r="N520" s="1030"/>
      <c r="O520" s="1030"/>
      <c r="P520" s="1030"/>
      <c r="Q520" s="1030"/>
      <c r="R520" s="1030"/>
      <c r="S520" s="1030"/>
      <c r="T520" s="1030"/>
      <c r="U520" s="1030"/>
      <c r="V520" s="1030"/>
      <c r="W520" s="1030"/>
      <c r="X520" s="1030"/>
      <c r="Y520" s="1030"/>
      <c r="Z520" s="1030"/>
    </row>
    <row r="521" spans="1:26" ht="12.75" customHeight="1">
      <c r="A521" s="1030"/>
      <c r="B521" s="1030"/>
      <c r="C521" s="1030"/>
      <c r="D521" s="1030"/>
      <c r="E521" s="1030"/>
      <c r="F521" s="1030"/>
      <c r="G521" s="1030"/>
      <c r="H521" s="1186"/>
      <c r="I521" s="1030"/>
      <c r="J521" s="1030"/>
      <c r="K521" s="1030"/>
      <c r="L521" s="1030"/>
      <c r="M521" s="1030"/>
      <c r="N521" s="1030"/>
      <c r="O521" s="1030"/>
      <c r="P521" s="1030"/>
      <c r="Q521" s="1030"/>
      <c r="R521" s="1030"/>
      <c r="S521" s="1030"/>
      <c r="T521" s="1030"/>
      <c r="U521" s="1030"/>
      <c r="V521" s="1030"/>
      <c r="W521" s="1030"/>
      <c r="X521" s="1030"/>
      <c r="Y521" s="1030"/>
      <c r="Z521" s="1030"/>
    </row>
    <row r="522" spans="1:26" ht="12.75" customHeight="1">
      <c r="A522" s="1030"/>
      <c r="B522" s="1030"/>
      <c r="C522" s="1030"/>
      <c r="D522" s="1030"/>
      <c r="E522" s="1030"/>
      <c r="F522" s="1030"/>
      <c r="G522" s="1030"/>
      <c r="H522" s="1186"/>
      <c r="I522" s="1030"/>
      <c r="J522" s="1030"/>
      <c r="K522" s="1030"/>
      <c r="L522" s="1030"/>
      <c r="M522" s="1030"/>
      <c r="N522" s="1030"/>
      <c r="O522" s="1030"/>
      <c r="P522" s="1030"/>
      <c r="Q522" s="1030"/>
      <c r="R522" s="1030"/>
      <c r="S522" s="1030"/>
      <c r="T522" s="1030"/>
      <c r="U522" s="1030"/>
      <c r="V522" s="1030"/>
      <c r="W522" s="1030"/>
      <c r="X522" s="1030"/>
      <c r="Y522" s="1030"/>
      <c r="Z522" s="1030"/>
    </row>
    <row r="523" spans="1:26" ht="12.75" customHeight="1">
      <c r="A523" s="1030"/>
      <c r="B523" s="1030"/>
      <c r="C523" s="1030"/>
      <c r="D523" s="1030"/>
      <c r="E523" s="1030"/>
      <c r="F523" s="1030"/>
      <c r="G523" s="1030"/>
      <c r="H523" s="1186"/>
      <c r="I523" s="1030"/>
      <c r="J523" s="1030"/>
      <c r="K523" s="1030"/>
      <c r="L523" s="1030"/>
      <c r="M523" s="1030"/>
      <c r="N523" s="1030"/>
      <c r="O523" s="1030"/>
      <c r="P523" s="1030"/>
      <c r="Q523" s="1030"/>
      <c r="R523" s="1030"/>
      <c r="S523" s="1030"/>
      <c r="T523" s="1030"/>
      <c r="U523" s="1030"/>
      <c r="V523" s="1030"/>
      <c r="W523" s="1030"/>
      <c r="X523" s="1030"/>
      <c r="Y523" s="1030"/>
      <c r="Z523" s="1030"/>
    </row>
    <row r="524" spans="1:26" ht="12.75" customHeight="1">
      <c r="A524" s="1030"/>
      <c r="B524" s="1030"/>
      <c r="C524" s="1030"/>
      <c r="D524" s="1030"/>
      <c r="E524" s="1030"/>
      <c r="F524" s="1030"/>
      <c r="G524" s="1030"/>
      <c r="H524" s="1186"/>
      <c r="I524" s="1030"/>
      <c r="J524" s="1030"/>
      <c r="K524" s="1030"/>
      <c r="L524" s="1030"/>
      <c r="M524" s="1030"/>
      <c r="N524" s="1030"/>
      <c r="O524" s="1030"/>
      <c r="P524" s="1030"/>
      <c r="Q524" s="1030"/>
      <c r="R524" s="1030"/>
      <c r="S524" s="1030"/>
      <c r="T524" s="1030"/>
      <c r="U524" s="1030"/>
      <c r="V524" s="1030"/>
      <c r="W524" s="1030"/>
      <c r="X524" s="1030"/>
      <c r="Y524" s="1030"/>
      <c r="Z524" s="1030"/>
    </row>
    <row r="525" spans="1:26" ht="12.75" customHeight="1">
      <c r="A525" s="1030"/>
      <c r="B525" s="1030"/>
      <c r="C525" s="1030"/>
      <c r="D525" s="1030"/>
      <c r="E525" s="1030"/>
      <c r="F525" s="1030"/>
      <c r="G525" s="1030"/>
      <c r="H525" s="1186"/>
      <c r="I525" s="1030"/>
      <c r="J525" s="1030"/>
      <c r="K525" s="1030"/>
      <c r="L525" s="1030"/>
      <c r="M525" s="1030"/>
      <c r="N525" s="1030"/>
      <c r="O525" s="1030"/>
      <c r="P525" s="1030"/>
      <c r="Q525" s="1030"/>
      <c r="R525" s="1030"/>
      <c r="S525" s="1030"/>
      <c r="T525" s="1030"/>
      <c r="U525" s="1030"/>
      <c r="V525" s="1030"/>
      <c r="W525" s="1030"/>
      <c r="X525" s="1030"/>
      <c r="Y525" s="1030"/>
      <c r="Z525" s="1030"/>
    </row>
    <row r="526" spans="1:26" ht="12.75" customHeight="1">
      <c r="A526" s="1030"/>
      <c r="B526" s="1030"/>
      <c r="C526" s="1030"/>
      <c r="D526" s="1030"/>
      <c r="E526" s="1030"/>
      <c r="F526" s="1030"/>
      <c r="G526" s="1030"/>
      <c r="H526" s="1186"/>
      <c r="I526" s="1030"/>
      <c r="J526" s="1030"/>
      <c r="K526" s="1030"/>
      <c r="L526" s="1030"/>
      <c r="M526" s="1030"/>
      <c r="N526" s="1030"/>
      <c r="O526" s="1030"/>
      <c r="P526" s="1030"/>
      <c r="Q526" s="1030"/>
      <c r="R526" s="1030"/>
      <c r="S526" s="1030"/>
      <c r="T526" s="1030"/>
      <c r="U526" s="1030"/>
      <c r="V526" s="1030"/>
      <c r="W526" s="1030"/>
      <c r="X526" s="1030"/>
      <c r="Y526" s="1030"/>
      <c r="Z526" s="1030"/>
    </row>
    <row r="527" spans="1:26" ht="12.75" customHeight="1">
      <c r="A527" s="1030"/>
      <c r="B527" s="1030"/>
      <c r="C527" s="1030"/>
      <c r="D527" s="1030"/>
      <c r="E527" s="1030"/>
      <c r="F527" s="1030"/>
      <c r="G527" s="1030"/>
      <c r="H527" s="1186"/>
      <c r="I527" s="1030"/>
      <c r="J527" s="1030"/>
      <c r="K527" s="1030"/>
      <c r="L527" s="1030"/>
      <c r="M527" s="1030"/>
      <c r="N527" s="1030"/>
      <c r="O527" s="1030"/>
      <c r="P527" s="1030"/>
      <c r="Q527" s="1030"/>
      <c r="R527" s="1030"/>
      <c r="S527" s="1030"/>
      <c r="T527" s="1030"/>
      <c r="U527" s="1030"/>
      <c r="V527" s="1030"/>
      <c r="W527" s="1030"/>
      <c r="X527" s="1030"/>
      <c r="Y527" s="1030"/>
      <c r="Z527" s="1030"/>
    </row>
    <row r="528" spans="1:26" ht="15.75" customHeight="1">
      <c r="A528" s="937"/>
      <c r="B528" s="1030"/>
      <c r="C528" s="1030"/>
      <c r="D528" s="1030"/>
      <c r="E528" s="1030"/>
      <c r="F528" s="1030"/>
      <c r="G528" s="1030"/>
      <c r="H528" s="1186"/>
      <c r="I528" s="1030"/>
      <c r="J528" s="1030"/>
      <c r="K528" s="1030"/>
      <c r="L528" s="937"/>
      <c r="M528" s="937"/>
      <c r="N528" s="937"/>
      <c r="O528" s="937"/>
      <c r="P528" s="937"/>
      <c r="Q528" s="937"/>
      <c r="R528" s="937"/>
      <c r="S528" s="937"/>
      <c r="T528" s="937"/>
      <c r="U528" s="937"/>
      <c r="V528" s="937"/>
      <c r="W528" s="937"/>
      <c r="X528" s="937"/>
      <c r="Y528" s="937"/>
      <c r="Z528" s="937"/>
    </row>
    <row r="529" spans="1:26" ht="15.75" customHeight="1">
      <c r="A529" s="937"/>
      <c r="B529" s="1030"/>
      <c r="C529" s="1030"/>
      <c r="D529" s="1030"/>
      <c r="E529" s="1030"/>
      <c r="F529" s="1030"/>
      <c r="G529" s="1030"/>
      <c r="H529" s="1186"/>
      <c r="I529" s="1030"/>
      <c r="J529" s="1030"/>
      <c r="K529" s="1030"/>
      <c r="L529" s="937"/>
      <c r="M529" s="937"/>
      <c r="N529" s="937"/>
      <c r="O529" s="937"/>
      <c r="P529" s="937"/>
      <c r="Q529" s="937"/>
      <c r="R529" s="937"/>
      <c r="S529" s="937"/>
      <c r="T529" s="937"/>
      <c r="U529" s="937"/>
      <c r="V529" s="937"/>
      <c r="W529" s="937"/>
      <c r="X529" s="937"/>
      <c r="Y529" s="937"/>
      <c r="Z529" s="937"/>
    </row>
    <row r="530" spans="1:26" ht="15.75" customHeight="1">
      <c r="A530" s="937"/>
      <c r="B530" s="1030"/>
      <c r="C530" s="1030"/>
      <c r="D530" s="1030"/>
      <c r="E530" s="1030"/>
      <c r="F530" s="1030"/>
      <c r="G530" s="1030"/>
      <c r="H530" s="1186"/>
      <c r="I530" s="1030"/>
      <c r="J530" s="1030"/>
      <c r="K530" s="1030"/>
      <c r="L530" s="937"/>
      <c r="M530" s="937"/>
      <c r="N530" s="937"/>
      <c r="O530" s="937"/>
      <c r="P530" s="937"/>
      <c r="Q530" s="937"/>
      <c r="R530" s="937"/>
      <c r="S530" s="937"/>
      <c r="T530" s="937"/>
      <c r="U530" s="937"/>
      <c r="V530" s="937"/>
      <c r="W530" s="937"/>
      <c r="X530" s="937"/>
      <c r="Y530" s="937"/>
      <c r="Z530" s="937"/>
    </row>
    <row r="531" spans="1:26" ht="15.75" customHeight="1">
      <c r="A531" s="937"/>
      <c r="B531" s="937"/>
      <c r="C531" s="937"/>
      <c r="D531" s="937"/>
      <c r="E531" s="937"/>
      <c r="F531" s="937"/>
      <c r="G531" s="937"/>
      <c r="H531" s="937"/>
      <c r="I531" s="937"/>
      <c r="J531" s="937"/>
      <c r="K531" s="937"/>
      <c r="L531" s="937"/>
      <c r="M531" s="937"/>
      <c r="N531" s="937"/>
      <c r="O531" s="937"/>
      <c r="P531" s="937"/>
      <c r="Q531" s="937"/>
      <c r="R531" s="937"/>
      <c r="S531" s="937"/>
      <c r="T531" s="937"/>
      <c r="U531" s="937"/>
      <c r="V531" s="937"/>
      <c r="W531" s="937"/>
      <c r="X531" s="937"/>
      <c r="Y531" s="937"/>
      <c r="Z531" s="937"/>
    </row>
    <row r="532" spans="1:26" ht="15.75" customHeight="1">
      <c r="A532" s="937"/>
      <c r="B532" s="937"/>
      <c r="C532" s="937"/>
      <c r="D532" s="937"/>
      <c r="E532" s="937"/>
      <c r="F532" s="937"/>
      <c r="G532" s="937"/>
      <c r="H532" s="937"/>
      <c r="I532" s="937"/>
      <c r="J532" s="937"/>
      <c r="K532" s="937"/>
      <c r="L532" s="937"/>
      <c r="M532" s="937"/>
      <c r="N532" s="937"/>
      <c r="O532" s="937"/>
      <c r="P532" s="937"/>
      <c r="Q532" s="937"/>
      <c r="R532" s="937"/>
      <c r="S532" s="937"/>
      <c r="T532" s="937"/>
      <c r="U532" s="937"/>
      <c r="V532" s="937"/>
      <c r="W532" s="937"/>
      <c r="X532" s="937"/>
      <c r="Y532" s="937"/>
      <c r="Z532" s="937"/>
    </row>
    <row r="533" spans="1:26" ht="15.75" customHeight="1">
      <c r="A533" s="937"/>
      <c r="B533" s="937"/>
      <c r="C533" s="937"/>
      <c r="D533" s="937"/>
      <c r="E533" s="937"/>
      <c r="F533" s="937"/>
      <c r="G533" s="937"/>
      <c r="H533" s="937"/>
      <c r="I533" s="937"/>
      <c r="J533" s="937"/>
      <c r="K533" s="937"/>
      <c r="L533" s="937"/>
      <c r="M533" s="937"/>
      <c r="N533" s="937"/>
      <c r="O533" s="937"/>
      <c r="P533" s="937"/>
      <c r="Q533" s="937"/>
      <c r="R533" s="937"/>
      <c r="S533" s="937"/>
      <c r="T533" s="937"/>
      <c r="U533" s="937"/>
      <c r="V533" s="937"/>
      <c r="W533" s="937"/>
      <c r="X533" s="937"/>
      <c r="Y533" s="937"/>
      <c r="Z533" s="937"/>
    </row>
    <row r="534" spans="1:26" ht="15.75" customHeight="1">
      <c r="A534" s="937"/>
      <c r="B534" s="937"/>
      <c r="C534" s="937"/>
      <c r="D534" s="937"/>
      <c r="E534" s="937"/>
      <c r="F534" s="937"/>
      <c r="G534" s="937"/>
      <c r="H534" s="937"/>
      <c r="I534" s="937"/>
      <c r="J534" s="937"/>
      <c r="K534" s="937"/>
      <c r="L534" s="937"/>
      <c r="M534" s="937"/>
      <c r="N534" s="937"/>
      <c r="O534" s="937"/>
      <c r="P534" s="937"/>
      <c r="Q534" s="937"/>
      <c r="R534" s="937"/>
      <c r="S534" s="937"/>
      <c r="T534" s="937"/>
      <c r="U534" s="937"/>
      <c r="V534" s="937"/>
      <c r="W534" s="937"/>
      <c r="X534" s="937"/>
      <c r="Y534" s="937"/>
      <c r="Z534" s="937"/>
    </row>
    <row r="535" spans="1:26" ht="15.75" customHeight="1">
      <c r="A535" s="937"/>
      <c r="B535" s="937"/>
      <c r="C535" s="937"/>
      <c r="D535" s="937"/>
      <c r="E535" s="937"/>
      <c r="F535" s="937"/>
      <c r="G535" s="937"/>
      <c r="H535" s="937"/>
      <c r="I535" s="937"/>
      <c r="J535" s="937"/>
      <c r="K535" s="937"/>
      <c r="L535" s="937"/>
      <c r="M535" s="937"/>
      <c r="N535" s="937"/>
      <c r="O535" s="937"/>
      <c r="P535" s="937"/>
      <c r="Q535" s="937"/>
      <c r="R535" s="937"/>
      <c r="S535" s="937"/>
      <c r="T535" s="937"/>
      <c r="U535" s="937"/>
      <c r="V535" s="937"/>
      <c r="W535" s="937"/>
      <c r="X535" s="937"/>
      <c r="Y535" s="937"/>
      <c r="Z535" s="937"/>
    </row>
    <row r="536" spans="1:26" ht="15.75" customHeight="1">
      <c r="A536" s="937"/>
      <c r="B536" s="937"/>
      <c r="C536" s="937"/>
      <c r="D536" s="937"/>
      <c r="E536" s="937"/>
      <c r="F536" s="937"/>
      <c r="G536" s="937"/>
      <c r="H536" s="937"/>
      <c r="I536" s="937"/>
      <c r="J536" s="937"/>
      <c r="K536" s="937"/>
      <c r="L536" s="937"/>
      <c r="M536" s="937"/>
      <c r="N536" s="937"/>
      <c r="O536" s="937"/>
      <c r="P536" s="937"/>
      <c r="Q536" s="937"/>
      <c r="R536" s="937"/>
      <c r="S536" s="937"/>
      <c r="T536" s="937"/>
      <c r="U536" s="937"/>
      <c r="V536" s="937"/>
      <c r="W536" s="937"/>
      <c r="X536" s="937"/>
      <c r="Y536" s="937"/>
      <c r="Z536" s="937"/>
    </row>
    <row r="537" spans="1:26" ht="15.75" customHeight="1">
      <c r="A537" s="937"/>
      <c r="B537" s="937"/>
      <c r="C537" s="937"/>
      <c r="D537" s="937"/>
      <c r="E537" s="937"/>
      <c r="F537" s="937"/>
      <c r="G537" s="937"/>
      <c r="H537" s="937"/>
      <c r="I537" s="937"/>
      <c r="J537" s="937"/>
      <c r="K537" s="937"/>
      <c r="L537" s="937"/>
      <c r="M537" s="937"/>
      <c r="N537" s="937"/>
      <c r="O537" s="937"/>
      <c r="P537" s="937"/>
      <c r="Q537" s="937"/>
      <c r="R537" s="937"/>
      <c r="S537" s="937"/>
      <c r="T537" s="937"/>
      <c r="U537" s="937"/>
      <c r="V537" s="937"/>
      <c r="W537" s="937"/>
      <c r="X537" s="937"/>
      <c r="Y537" s="937"/>
      <c r="Z537" s="937"/>
    </row>
    <row r="538" spans="1:26" ht="15.75" customHeight="1">
      <c r="A538" s="937"/>
      <c r="B538" s="937"/>
      <c r="C538" s="937"/>
      <c r="D538" s="937"/>
      <c r="E538" s="937"/>
      <c r="F538" s="937"/>
      <c r="G538" s="937"/>
      <c r="H538" s="937"/>
      <c r="I538" s="937"/>
      <c r="J538" s="937"/>
      <c r="K538" s="937"/>
      <c r="L538" s="937"/>
      <c r="M538" s="937"/>
      <c r="N538" s="937"/>
      <c r="O538" s="937"/>
      <c r="P538" s="937"/>
      <c r="Q538" s="937"/>
      <c r="R538" s="937"/>
      <c r="S538" s="937"/>
      <c r="T538" s="937"/>
      <c r="U538" s="937"/>
      <c r="V538" s="937"/>
      <c r="W538" s="937"/>
      <c r="X538" s="937"/>
      <c r="Y538" s="937"/>
      <c r="Z538" s="937"/>
    </row>
    <row r="539" spans="1:26" ht="15.75" customHeight="1">
      <c r="A539" s="937"/>
      <c r="B539" s="937"/>
      <c r="C539" s="937"/>
      <c r="D539" s="937"/>
      <c r="E539" s="937"/>
      <c r="F539" s="937"/>
      <c r="G539" s="937"/>
      <c r="H539" s="937"/>
      <c r="I539" s="937"/>
      <c r="J539" s="937"/>
      <c r="K539" s="937"/>
      <c r="L539" s="937"/>
      <c r="M539" s="937"/>
      <c r="N539" s="937"/>
      <c r="O539" s="937"/>
      <c r="P539" s="937"/>
      <c r="Q539" s="937"/>
      <c r="R539" s="937"/>
      <c r="S539" s="937"/>
      <c r="T539" s="937"/>
      <c r="U539" s="937"/>
      <c r="V539" s="937"/>
      <c r="W539" s="937"/>
      <c r="X539" s="937"/>
      <c r="Y539" s="937"/>
      <c r="Z539" s="937"/>
    </row>
    <row r="540" spans="1:26" ht="15.75" customHeight="1">
      <c r="A540" s="937"/>
      <c r="B540" s="937"/>
      <c r="C540" s="937"/>
      <c r="D540" s="937"/>
      <c r="E540" s="937"/>
      <c r="F540" s="937"/>
      <c r="G540" s="937"/>
      <c r="H540" s="937"/>
      <c r="I540" s="937"/>
      <c r="J540" s="937"/>
      <c r="K540" s="937"/>
      <c r="L540" s="937"/>
      <c r="M540" s="937"/>
      <c r="N540" s="937"/>
      <c r="O540" s="937"/>
      <c r="P540" s="937"/>
      <c r="Q540" s="937"/>
      <c r="R540" s="937"/>
      <c r="S540" s="937"/>
      <c r="T540" s="937"/>
      <c r="U540" s="937"/>
      <c r="V540" s="937"/>
      <c r="W540" s="937"/>
      <c r="X540" s="937"/>
      <c r="Y540" s="937"/>
      <c r="Z540" s="937"/>
    </row>
    <row r="541" spans="1:26" ht="15.75" customHeight="1">
      <c r="A541" s="937"/>
      <c r="B541" s="937"/>
      <c r="C541" s="937"/>
      <c r="D541" s="937"/>
      <c r="E541" s="937"/>
      <c r="F541" s="937"/>
      <c r="G541" s="937"/>
      <c r="H541" s="937"/>
      <c r="I541" s="937"/>
      <c r="J541" s="937"/>
      <c r="K541" s="937"/>
      <c r="L541" s="937"/>
      <c r="M541" s="937"/>
      <c r="N541" s="937"/>
      <c r="O541" s="937"/>
      <c r="P541" s="937"/>
      <c r="Q541" s="937"/>
      <c r="R541" s="937"/>
      <c r="S541" s="937"/>
      <c r="T541" s="937"/>
      <c r="U541" s="937"/>
      <c r="V541" s="937"/>
      <c r="W541" s="937"/>
      <c r="X541" s="937"/>
      <c r="Y541" s="937"/>
      <c r="Z541" s="937"/>
    </row>
    <row r="542" spans="1:26" ht="15.75" customHeight="1">
      <c r="A542" s="937"/>
      <c r="B542" s="937"/>
      <c r="C542" s="937"/>
      <c r="D542" s="937"/>
      <c r="E542" s="937"/>
      <c r="F542" s="937"/>
      <c r="G542" s="937"/>
      <c r="H542" s="937"/>
      <c r="I542" s="937"/>
      <c r="J542" s="937"/>
      <c r="K542" s="937"/>
      <c r="L542" s="937"/>
      <c r="M542" s="937"/>
      <c r="N542" s="937"/>
      <c r="O542" s="937"/>
      <c r="P542" s="937"/>
      <c r="Q542" s="937"/>
      <c r="R542" s="937"/>
      <c r="S542" s="937"/>
      <c r="T542" s="937"/>
      <c r="U542" s="937"/>
      <c r="V542" s="937"/>
      <c r="W542" s="937"/>
      <c r="X542" s="937"/>
      <c r="Y542" s="937"/>
      <c r="Z542" s="937"/>
    </row>
    <row r="543" spans="1:26" ht="15.75" customHeight="1">
      <c r="A543" s="937"/>
      <c r="B543" s="937"/>
      <c r="C543" s="937"/>
      <c r="D543" s="937"/>
      <c r="E543" s="937"/>
      <c r="F543" s="937"/>
      <c r="G543" s="937"/>
      <c r="H543" s="937"/>
      <c r="I543" s="937"/>
      <c r="J543" s="937"/>
      <c r="K543" s="937"/>
      <c r="L543" s="937"/>
      <c r="M543" s="937"/>
      <c r="N543" s="937"/>
      <c r="O543" s="937"/>
      <c r="P543" s="937"/>
      <c r="Q543" s="937"/>
      <c r="R543" s="937"/>
      <c r="S543" s="937"/>
      <c r="T543" s="937"/>
      <c r="U543" s="937"/>
      <c r="V543" s="937"/>
      <c r="W543" s="937"/>
      <c r="X543" s="937"/>
      <c r="Y543" s="937"/>
      <c r="Z543" s="937"/>
    </row>
    <row r="544" spans="1:26" ht="15.75" customHeight="1">
      <c r="A544" s="937"/>
      <c r="B544" s="937"/>
      <c r="C544" s="937"/>
      <c r="D544" s="937"/>
      <c r="E544" s="937"/>
      <c r="F544" s="937"/>
      <c r="G544" s="937"/>
      <c r="H544" s="937"/>
      <c r="I544" s="937"/>
      <c r="J544" s="937"/>
      <c r="K544" s="937"/>
      <c r="L544" s="937"/>
      <c r="M544" s="937"/>
      <c r="N544" s="937"/>
      <c r="O544" s="937"/>
      <c r="P544" s="937"/>
      <c r="Q544" s="937"/>
      <c r="R544" s="937"/>
      <c r="S544" s="937"/>
      <c r="T544" s="937"/>
      <c r="U544" s="937"/>
      <c r="V544" s="937"/>
      <c r="W544" s="937"/>
      <c r="X544" s="937"/>
      <c r="Y544" s="937"/>
      <c r="Z544" s="937"/>
    </row>
    <row r="545" spans="1:26" ht="15.75" customHeight="1">
      <c r="A545" s="937"/>
      <c r="B545" s="937"/>
      <c r="C545" s="937"/>
      <c r="D545" s="937"/>
      <c r="E545" s="937"/>
      <c r="F545" s="937"/>
      <c r="G545" s="937"/>
      <c r="H545" s="937"/>
      <c r="I545" s="937"/>
      <c r="J545" s="937"/>
      <c r="K545" s="937"/>
      <c r="L545" s="937"/>
      <c r="M545" s="937"/>
      <c r="N545" s="937"/>
      <c r="O545" s="937"/>
      <c r="P545" s="937"/>
      <c r="Q545" s="937"/>
      <c r="R545" s="937"/>
      <c r="S545" s="937"/>
      <c r="T545" s="937"/>
      <c r="U545" s="937"/>
      <c r="V545" s="937"/>
      <c r="W545" s="937"/>
      <c r="X545" s="937"/>
      <c r="Y545" s="937"/>
      <c r="Z545" s="937"/>
    </row>
    <row r="546" spans="1:26" ht="15.75" customHeight="1">
      <c r="A546" s="937"/>
      <c r="B546" s="937"/>
      <c r="C546" s="937"/>
      <c r="D546" s="937"/>
      <c r="E546" s="937"/>
      <c r="F546" s="937"/>
      <c r="G546" s="937"/>
      <c r="H546" s="937"/>
      <c r="I546" s="937"/>
      <c r="J546" s="937"/>
      <c r="K546" s="937"/>
      <c r="L546" s="937"/>
      <c r="M546" s="937"/>
      <c r="N546" s="937"/>
      <c r="O546" s="937"/>
      <c r="P546" s="937"/>
      <c r="Q546" s="937"/>
      <c r="R546" s="937"/>
      <c r="S546" s="937"/>
      <c r="T546" s="937"/>
      <c r="U546" s="937"/>
      <c r="V546" s="937"/>
      <c r="W546" s="937"/>
      <c r="X546" s="937"/>
      <c r="Y546" s="937"/>
      <c r="Z546" s="937"/>
    </row>
    <row r="547" spans="1:26" ht="15.75" customHeight="1">
      <c r="A547" s="937"/>
      <c r="B547" s="937"/>
      <c r="C547" s="937"/>
      <c r="D547" s="937"/>
      <c r="E547" s="937"/>
      <c r="F547" s="937"/>
      <c r="G547" s="937"/>
      <c r="H547" s="937"/>
      <c r="I547" s="937"/>
      <c r="J547" s="937"/>
      <c r="K547" s="937"/>
      <c r="L547" s="937"/>
      <c r="M547" s="937"/>
      <c r="N547" s="937"/>
      <c r="O547" s="937"/>
      <c r="P547" s="937"/>
      <c r="Q547" s="937"/>
      <c r="R547" s="937"/>
      <c r="S547" s="937"/>
      <c r="T547" s="937"/>
      <c r="U547" s="937"/>
      <c r="V547" s="937"/>
      <c r="W547" s="937"/>
      <c r="X547" s="937"/>
      <c r="Y547" s="937"/>
      <c r="Z547" s="937"/>
    </row>
    <row r="548" spans="1:26" ht="15.75" customHeight="1">
      <c r="A548" s="937"/>
      <c r="B548" s="937"/>
      <c r="C548" s="937"/>
      <c r="D548" s="937"/>
      <c r="E548" s="937"/>
      <c r="F548" s="937"/>
      <c r="G548" s="937"/>
      <c r="H548" s="937"/>
      <c r="I548" s="937"/>
      <c r="J548" s="937"/>
      <c r="K548" s="937"/>
      <c r="L548" s="937"/>
      <c r="M548" s="937"/>
      <c r="N548" s="937"/>
      <c r="O548" s="937"/>
      <c r="P548" s="937"/>
      <c r="Q548" s="937"/>
      <c r="R548" s="937"/>
      <c r="S548" s="937"/>
      <c r="T548" s="937"/>
      <c r="U548" s="937"/>
      <c r="V548" s="937"/>
      <c r="W548" s="937"/>
      <c r="X548" s="937"/>
      <c r="Y548" s="937"/>
      <c r="Z548" s="937"/>
    </row>
    <row r="549" spans="1:26" ht="15.75" customHeight="1">
      <c r="A549" s="937"/>
      <c r="B549" s="937"/>
      <c r="C549" s="937"/>
      <c r="D549" s="937"/>
      <c r="E549" s="937"/>
      <c r="F549" s="937"/>
      <c r="G549" s="937"/>
      <c r="H549" s="937"/>
      <c r="I549" s="937"/>
      <c r="J549" s="937"/>
      <c r="K549" s="937"/>
      <c r="L549" s="937"/>
      <c r="M549" s="937"/>
      <c r="N549" s="937"/>
      <c r="O549" s="937"/>
      <c r="P549" s="937"/>
      <c r="Q549" s="937"/>
      <c r="R549" s="937"/>
      <c r="S549" s="937"/>
      <c r="T549" s="937"/>
      <c r="U549" s="937"/>
      <c r="V549" s="937"/>
      <c r="W549" s="937"/>
      <c r="X549" s="937"/>
      <c r="Y549" s="937"/>
      <c r="Z549" s="937"/>
    </row>
    <row r="550" spans="1:26" ht="15.75" customHeight="1">
      <c r="A550" s="937"/>
      <c r="B550" s="937"/>
      <c r="C550" s="937"/>
      <c r="D550" s="937"/>
      <c r="E550" s="937"/>
      <c r="F550" s="937"/>
      <c r="G550" s="937"/>
      <c r="H550" s="937"/>
      <c r="I550" s="937"/>
      <c r="J550" s="937"/>
      <c r="K550" s="937"/>
      <c r="L550" s="937"/>
      <c r="M550" s="937"/>
      <c r="N550" s="937"/>
      <c r="O550" s="937"/>
      <c r="P550" s="937"/>
      <c r="Q550" s="937"/>
      <c r="R550" s="937"/>
      <c r="S550" s="937"/>
      <c r="T550" s="937"/>
      <c r="U550" s="937"/>
      <c r="V550" s="937"/>
      <c r="W550" s="937"/>
      <c r="X550" s="937"/>
      <c r="Y550" s="937"/>
      <c r="Z550" s="937"/>
    </row>
    <row r="551" spans="1:26" ht="15.75" customHeight="1">
      <c r="A551" s="937"/>
      <c r="B551" s="937"/>
      <c r="C551" s="937"/>
      <c r="D551" s="937"/>
      <c r="E551" s="937"/>
      <c r="F551" s="937"/>
      <c r="G551" s="937"/>
      <c r="H551" s="937"/>
      <c r="I551" s="937"/>
      <c r="J551" s="937"/>
      <c r="K551" s="937"/>
      <c r="L551" s="937"/>
      <c r="M551" s="937"/>
      <c r="N551" s="937"/>
      <c r="O551" s="937"/>
      <c r="P551" s="937"/>
      <c r="Q551" s="937"/>
      <c r="R551" s="937"/>
      <c r="S551" s="937"/>
      <c r="T551" s="937"/>
      <c r="U551" s="937"/>
      <c r="V551" s="937"/>
      <c r="W551" s="937"/>
      <c r="X551" s="937"/>
      <c r="Y551" s="937"/>
      <c r="Z551" s="937"/>
    </row>
    <row r="552" spans="1:26" ht="15.75" customHeight="1">
      <c r="A552" s="937"/>
      <c r="B552" s="937"/>
      <c r="C552" s="937"/>
      <c r="D552" s="937"/>
      <c r="E552" s="937"/>
      <c r="F552" s="937"/>
      <c r="G552" s="937"/>
      <c r="H552" s="937"/>
      <c r="I552" s="937"/>
      <c r="J552" s="937"/>
      <c r="K552" s="937"/>
      <c r="L552" s="937"/>
      <c r="M552" s="937"/>
      <c r="N552" s="937"/>
      <c r="O552" s="937"/>
      <c r="P552" s="937"/>
      <c r="Q552" s="937"/>
      <c r="R552" s="937"/>
      <c r="S552" s="937"/>
      <c r="T552" s="937"/>
      <c r="U552" s="937"/>
      <c r="V552" s="937"/>
      <c r="W552" s="937"/>
      <c r="X552" s="937"/>
      <c r="Y552" s="937"/>
      <c r="Z552" s="937"/>
    </row>
    <row r="553" spans="1:26" ht="15.75" customHeight="1">
      <c r="A553" s="937"/>
      <c r="B553" s="937"/>
      <c r="C553" s="937"/>
      <c r="D553" s="937"/>
      <c r="E553" s="937"/>
      <c r="F553" s="937"/>
      <c r="G553" s="937"/>
      <c r="H553" s="937"/>
      <c r="I553" s="937"/>
      <c r="J553" s="937"/>
      <c r="K553" s="937"/>
      <c r="L553" s="937"/>
      <c r="M553" s="937"/>
      <c r="N553" s="937"/>
      <c r="O553" s="937"/>
      <c r="P553" s="937"/>
      <c r="Q553" s="937"/>
      <c r="R553" s="937"/>
      <c r="S553" s="937"/>
      <c r="T553" s="937"/>
      <c r="U553" s="937"/>
      <c r="V553" s="937"/>
      <c r="W553" s="937"/>
      <c r="X553" s="937"/>
      <c r="Y553" s="937"/>
      <c r="Z553" s="937"/>
    </row>
    <row r="554" spans="1:26" ht="15.75" customHeight="1">
      <c r="A554" s="937"/>
      <c r="B554" s="937"/>
      <c r="C554" s="937"/>
      <c r="D554" s="937"/>
      <c r="E554" s="937"/>
      <c r="F554" s="937"/>
      <c r="G554" s="937"/>
      <c r="H554" s="937"/>
      <c r="I554" s="937"/>
      <c r="J554" s="937"/>
      <c r="K554" s="937"/>
      <c r="L554" s="937"/>
      <c r="M554" s="937"/>
      <c r="N554" s="937"/>
      <c r="O554" s="937"/>
      <c r="P554" s="937"/>
      <c r="Q554" s="937"/>
      <c r="R554" s="937"/>
      <c r="S554" s="937"/>
      <c r="T554" s="937"/>
      <c r="U554" s="937"/>
      <c r="V554" s="937"/>
      <c r="W554" s="937"/>
      <c r="X554" s="937"/>
      <c r="Y554" s="937"/>
      <c r="Z554" s="937"/>
    </row>
    <row r="555" spans="1:26" ht="15.75" customHeight="1">
      <c r="A555" s="937"/>
      <c r="B555" s="937"/>
      <c r="C555" s="937"/>
      <c r="D555" s="937"/>
      <c r="E555" s="937"/>
      <c r="F555" s="937"/>
      <c r="G555" s="937"/>
      <c r="H555" s="937"/>
      <c r="I555" s="937"/>
      <c r="J555" s="937"/>
      <c r="K555" s="937"/>
      <c r="L555" s="937"/>
      <c r="M555" s="937"/>
      <c r="N555" s="937"/>
      <c r="O555" s="937"/>
      <c r="P555" s="937"/>
      <c r="Q555" s="937"/>
      <c r="R555" s="937"/>
      <c r="S555" s="937"/>
      <c r="T555" s="937"/>
      <c r="U555" s="937"/>
      <c r="V555" s="937"/>
      <c r="W555" s="937"/>
      <c r="X555" s="937"/>
      <c r="Y555" s="937"/>
      <c r="Z555" s="937"/>
    </row>
    <row r="556" spans="1:26" ht="15.75" customHeight="1">
      <c r="A556" s="937"/>
      <c r="B556" s="937"/>
      <c r="C556" s="937"/>
      <c r="D556" s="937"/>
      <c r="E556" s="937"/>
      <c r="F556" s="937"/>
      <c r="G556" s="937"/>
      <c r="H556" s="937"/>
      <c r="I556" s="937"/>
      <c r="J556" s="937"/>
      <c r="K556" s="937"/>
      <c r="L556" s="937"/>
      <c r="M556" s="937"/>
      <c r="N556" s="937"/>
      <c r="O556" s="937"/>
      <c r="P556" s="937"/>
      <c r="Q556" s="937"/>
      <c r="R556" s="937"/>
      <c r="S556" s="937"/>
      <c r="T556" s="937"/>
      <c r="U556" s="937"/>
      <c r="V556" s="937"/>
      <c r="W556" s="937"/>
      <c r="X556" s="937"/>
      <c r="Y556" s="937"/>
      <c r="Z556" s="937"/>
    </row>
    <row r="557" spans="1:26" ht="15.75" customHeight="1">
      <c r="A557" s="937"/>
      <c r="B557" s="937"/>
      <c r="C557" s="937"/>
      <c r="D557" s="937"/>
      <c r="E557" s="937"/>
      <c r="F557" s="937"/>
      <c r="G557" s="937"/>
      <c r="H557" s="937"/>
      <c r="I557" s="937"/>
      <c r="J557" s="937"/>
      <c r="K557" s="937"/>
      <c r="L557" s="937"/>
      <c r="M557" s="937"/>
      <c r="N557" s="937"/>
      <c r="O557" s="937"/>
      <c r="P557" s="937"/>
      <c r="Q557" s="937"/>
      <c r="R557" s="937"/>
      <c r="S557" s="937"/>
      <c r="T557" s="937"/>
      <c r="U557" s="937"/>
      <c r="V557" s="937"/>
      <c r="W557" s="937"/>
      <c r="X557" s="937"/>
      <c r="Y557" s="937"/>
      <c r="Z557" s="937"/>
    </row>
    <row r="558" spans="1:26" ht="15.75" customHeight="1">
      <c r="A558" s="937"/>
      <c r="B558" s="937"/>
      <c r="C558" s="937"/>
      <c r="D558" s="937"/>
      <c r="E558" s="937"/>
      <c r="F558" s="937"/>
      <c r="G558" s="937"/>
      <c r="H558" s="937"/>
      <c r="I558" s="937"/>
      <c r="J558" s="937"/>
      <c r="K558" s="937"/>
      <c r="L558" s="937"/>
      <c r="M558" s="937"/>
      <c r="N558" s="937"/>
      <c r="O558" s="937"/>
      <c r="P558" s="937"/>
      <c r="Q558" s="937"/>
      <c r="R558" s="937"/>
      <c r="S558" s="937"/>
      <c r="T558" s="937"/>
      <c r="U558" s="937"/>
      <c r="V558" s="937"/>
      <c r="W558" s="937"/>
      <c r="X558" s="937"/>
      <c r="Y558" s="937"/>
      <c r="Z558" s="937"/>
    </row>
    <row r="559" spans="1:26" ht="15.75" customHeight="1">
      <c r="A559" s="937"/>
      <c r="B559" s="937"/>
      <c r="C559" s="937"/>
      <c r="D559" s="937"/>
      <c r="E559" s="937"/>
      <c r="F559" s="937"/>
      <c r="G559" s="937"/>
      <c r="H559" s="937"/>
      <c r="I559" s="937"/>
      <c r="J559" s="937"/>
      <c r="K559" s="937"/>
      <c r="L559" s="937"/>
      <c r="M559" s="937"/>
      <c r="N559" s="937"/>
      <c r="O559" s="937"/>
      <c r="P559" s="937"/>
      <c r="Q559" s="937"/>
      <c r="R559" s="937"/>
      <c r="S559" s="937"/>
      <c r="T559" s="937"/>
      <c r="U559" s="937"/>
      <c r="V559" s="937"/>
      <c r="W559" s="937"/>
      <c r="X559" s="937"/>
      <c r="Y559" s="937"/>
      <c r="Z559" s="937"/>
    </row>
    <row r="560" spans="1:26" ht="15.75" customHeight="1">
      <c r="A560" s="937"/>
      <c r="B560" s="937"/>
      <c r="C560" s="937"/>
      <c r="D560" s="937"/>
      <c r="E560" s="937"/>
      <c r="F560" s="937"/>
      <c r="G560" s="937"/>
      <c r="H560" s="937"/>
      <c r="I560" s="937"/>
      <c r="J560" s="937"/>
      <c r="K560" s="937"/>
      <c r="L560" s="937"/>
      <c r="M560" s="937"/>
      <c r="N560" s="937"/>
      <c r="O560" s="937"/>
      <c r="P560" s="937"/>
      <c r="Q560" s="937"/>
      <c r="R560" s="937"/>
      <c r="S560" s="937"/>
      <c r="T560" s="937"/>
      <c r="U560" s="937"/>
      <c r="V560" s="937"/>
      <c r="W560" s="937"/>
      <c r="X560" s="937"/>
      <c r="Y560" s="937"/>
      <c r="Z560" s="937"/>
    </row>
    <row r="561" spans="1:26" ht="15.75" customHeight="1">
      <c r="A561" s="937"/>
      <c r="B561" s="937"/>
      <c r="C561" s="937"/>
      <c r="D561" s="937"/>
      <c r="E561" s="937"/>
      <c r="F561" s="937"/>
      <c r="G561" s="937"/>
      <c r="H561" s="937"/>
      <c r="I561" s="937"/>
      <c r="J561" s="937"/>
      <c r="K561" s="937"/>
      <c r="L561" s="937"/>
      <c r="M561" s="937"/>
      <c r="N561" s="937"/>
      <c r="O561" s="937"/>
      <c r="P561" s="937"/>
      <c r="Q561" s="937"/>
      <c r="R561" s="937"/>
      <c r="S561" s="937"/>
      <c r="T561" s="937"/>
      <c r="U561" s="937"/>
      <c r="V561" s="937"/>
      <c r="W561" s="937"/>
      <c r="X561" s="937"/>
      <c r="Y561" s="937"/>
      <c r="Z561" s="937"/>
    </row>
    <row r="562" spans="1:26" ht="15.75" customHeight="1">
      <c r="A562" s="937"/>
      <c r="B562" s="937"/>
      <c r="C562" s="937"/>
      <c r="D562" s="937"/>
      <c r="E562" s="937"/>
      <c r="F562" s="937"/>
      <c r="G562" s="937"/>
      <c r="H562" s="937"/>
      <c r="I562" s="937"/>
      <c r="J562" s="937"/>
      <c r="K562" s="937"/>
      <c r="L562" s="937"/>
      <c r="M562" s="937"/>
      <c r="N562" s="937"/>
      <c r="O562" s="937"/>
      <c r="P562" s="937"/>
      <c r="Q562" s="937"/>
      <c r="R562" s="937"/>
      <c r="S562" s="937"/>
      <c r="T562" s="937"/>
      <c r="U562" s="937"/>
      <c r="V562" s="937"/>
      <c r="W562" s="937"/>
      <c r="X562" s="937"/>
      <c r="Y562" s="937"/>
      <c r="Z562" s="937"/>
    </row>
    <row r="563" spans="1:26" ht="15.75" customHeight="1">
      <c r="A563" s="937"/>
      <c r="B563" s="937"/>
      <c r="C563" s="937"/>
      <c r="D563" s="937"/>
      <c r="E563" s="937"/>
      <c r="F563" s="937"/>
      <c r="G563" s="937"/>
      <c r="H563" s="937"/>
      <c r="I563" s="937"/>
      <c r="J563" s="937"/>
      <c r="K563" s="937"/>
      <c r="L563" s="937"/>
      <c r="M563" s="937"/>
      <c r="N563" s="937"/>
      <c r="O563" s="937"/>
      <c r="P563" s="937"/>
      <c r="Q563" s="937"/>
      <c r="R563" s="937"/>
      <c r="S563" s="937"/>
      <c r="T563" s="937"/>
      <c r="U563" s="937"/>
      <c r="V563" s="937"/>
      <c r="W563" s="937"/>
      <c r="X563" s="937"/>
      <c r="Y563" s="937"/>
      <c r="Z563" s="937"/>
    </row>
    <row r="564" spans="1:26" ht="15.75" customHeight="1">
      <c r="A564" s="937"/>
      <c r="B564" s="937"/>
      <c r="C564" s="937"/>
      <c r="D564" s="937"/>
      <c r="E564" s="937"/>
      <c r="F564" s="937"/>
      <c r="G564" s="937"/>
      <c r="H564" s="937"/>
      <c r="I564" s="937"/>
      <c r="J564" s="937"/>
      <c r="K564" s="937"/>
      <c r="L564" s="937"/>
      <c r="M564" s="937"/>
      <c r="N564" s="937"/>
      <c r="O564" s="937"/>
      <c r="P564" s="937"/>
      <c r="Q564" s="937"/>
      <c r="R564" s="937"/>
      <c r="S564" s="937"/>
      <c r="T564" s="937"/>
      <c r="U564" s="937"/>
      <c r="V564" s="937"/>
      <c r="W564" s="937"/>
      <c r="X564" s="937"/>
      <c r="Y564" s="937"/>
      <c r="Z564" s="937"/>
    </row>
    <row r="565" spans="1:26" ht="15.75" customHeight="1">
      <c r="A565" s="937"/>
      <c r="B565" s="937"/>
      <c r="C565" s="937"/>
      <c r="D565" s="937"/>
      <c r="E565" s="937"/>
      <c r="F565" s="937"/>
      <c r="G565" s="937"/>
      <c r="H565" s="937"/>
      <c r="I565" s="937"/>
      <c r="J565" s="937"/>
      <c r="K565" s="937"/>
      <c r="L565" s="937"/>
      <c r="M565" s="937"/>
      <c r="N565" s="937"/>
      <c r="O565" s="937"/>
      <c r="P565" s="937"/>
      <c r="Q565" s="937"/>
      <c r="R565" s="937"/>
      <c r="S565" s="937"/>
      <c r="T565" s="937"/>
      <c r="U565" s="937"/>
      <c r="V565" s="937"/>
      <c r="W565" s="937"/>
      <c r="X565" s="937"/>
      <c r="Y565" s="937"/>
      <c r="Z565" s="937"/>
    </row>
    <row r="566" spans="1:26" ht="15.75" customHeight="1">
      <c r="A566" s="937"/>
      <c r="B566" s="937"/>
      <c r="C566" s="937"/>
      <c r="D566" s="937"/>
      <c r="E566" s="937"/>
      <c r="F566" s="937"/>
      <c r="G566" s="937"/>
      <c r="H566" s="937"/>
      <c r="I566" s="937"/>
      <c r="J566" s="937"/>
      <c r="K566" s="937"/>
      <c r="L566" s="937"/>
      <c r="M566" s="937"/>
      <c r="N566" s="937"/>
      <c r="O566" s="937"/>
      <c r="P566" s="937"/>
      <c r="Q566" s="937"/>
      <c r="R566" s="937"/>
      <c r="S566" s="937"/>
      <c r="T566" s="937"/>
      <c r="U566" s="937"/>
      <c r="V566" s="937"/>
      <c r="W566" s="937"/>
      <c r="X566" s="937"/>
      <c r="Y566" s="937"/>
      <c r="Z566" s="937"/>
    </row>
    <row r="567" spans="1:26" ht="15.75" customHeight="1">
      <c r="A567" s="937"/>
      <c r="B567" s="937"/>
      <c r="C567" s="937"/>
      <c r="D567" s="937"/>
      <c r="E567" s="937"/>
      <c r="F567" s="937"/>
      <c r="G567" s="937"/>
      <c r="H567" s="937"/>
      <c r="I567" s="937"/>
      <c r="J567" s="937"/>
      <c r="K567" s="937"/>
      <c r="L567" s="937"/>
      <c r="M567" s="937"/>
      <c r="N567" s="937"/>
      <c r="O567" s="937"/>
      <c r="P567" s="937"/>
      <c r="Q567" s="937"/>
      <c r="R567" s="937"/>
      <c r="S567" s="937"/>
      <c r="T567" s="937"/>
      <c r="U567" s="937"/>
      <c r="V567" s="937"/>
      <c r="W567" s="937"/>
      <c r="X567" s="937"/>
      <c r="Y567" s="937"/>
      <c r="Z567" s="937"/>
    </row>
    <row r="568" spans="1:26" ht="15.75" customHeight="1">
      <c r="A568" s="937"/>
      <c r="B568" s="937"/>
      <c r="C568" s="937"/>
      <c r="D568" s="937"/>
      <c r="E568" s="937"/>
      <c r="F568" s="937"/>
      <c r="G568" s="937"/>
      <c r="H568" s="937"/>
      <c r="I568" s="937"/>
      <c r="J568" s="937"/>
      <c r="K568" s="937"/>
      <c r="L568" s="937"/>
      <c r="M568" s="937"/>
      <c r="N568" s="937"/>
      <c r="O568" s="937"/>
      <c r="P568" s="937"/>
      <c r="Q568" s="937"/>
      <c r="R568" s="937"/>
      <c r="S568" s="937"/>
      <c r="T568" s="937"/>
      <c r="U568" s="937"/>
      <c r="V568" s="937"/>
      <c r="W568" s="937"/>
      <c r="X568" s="937"/>
      <c r="Y568" s="937"/>
      <c r="Z568" s="937"/>
    </row>
    <row r="569" spans="1:26" ht="15.75" customHeight="1">
      <c r="A569" s="937"/>
      <c r="B569" s="937"/>
      <c r="C569" s="937"/>
      <c r="D569" s="937"/>
      <c r="E569" s="937"/>
      <c r="F569" s="937"/>
      <c r="G569" s="937"/>
      <c r="H569" s="937"/>
      <c r="I569" s="937"/>
      <c r="J569" s="937"/>
      <c r="K569" s="937"/>
      <c r="L569" s="937"/>
      <c r="M569" s="937"/>
      <c r="N569" s="937"/>
      <c r="O569" s="937"/>
      <c r="P569" s="937"/>
      <c r="Q569" s="937"/>
      <c r="R569" s="937"/>
      <c r="S569" s="937"/>
      <c r="T569" s="937"/>
      <c r="U569" s="937"/>
      <c r="V569" s="937"/>
      <c r="W569" s="937"/>
      <c r="X569" s="937"/>
      <c r="Y569" s="937"/>
      <c r="Z569" s="937"/>
    </row>
    <row r="570" spans="1:26" ht="15.75" customHeight="1">
      <c r="A570" s="937"/>
      <c r="B570" s="937"/>
      <c r="C570" s="937"/>
      <c r="D570" s="937"/>
      <c r="E570" s="937"/>
      <c r="F570" s="937"/>
      <c r="G570" s="937"/>
      <c r="H570" s="937"/>
      <c r="I570" s="937"/>
      <c r="J570" s="937"/>
      <c r="K570" s="937"/>
      <c r="L570" s="937"/>
      <c r="M570" s="937"/>
      <c r="N570" s="937"/>
      <c r="O570" s="937"/>
      <c r="P570" s="937"/>
      <c r="Q570" s="937"/>
      <c r="R570" s="937"/>
      <c r="S570" s="937"/>
      <c r="T570" s="937"/>
      <c r="U570" s="937"/>
      <c r="V570" s="937"/>
      <c r="W570" s="937"/>
      <c r="X570" s="937"/>
      <c r="Y570" s="937"/>
      <c r="Z570" s="937"/>
    </row>
    <row r="571" spans="1:26" ht="15.75" customHeight="1">
      <c r="A571" s="937"/>
      <c r="B571" s="937"/>
      <c r="C571" s="937"/>
      <c r="D571" s="937"/>
      <c r="E571" s="937"/>
      <c r="F571" s="937"/>
      <c r="G571" s="937"/>
      <c r="H571" s="937"/>
      <c r="I571" s="937"/>
      <c r="J571" s="937"/>
      <c r="K571" s="937"/>
      <c r="L571" s="937"/>
      <c r="M571" s="937"/>
      <c r="N571" s="937"/>
      <c r="O571" s="937"/>
      <c r="P571" s="937"/>
      <c r="Q571" s="937"/>
      <c r="R571" s="937"/>
      <c r="S571" s="937"/>
      <c r="T571" s="937"/>
      <c r="U571" s="937"/>
      <c r="V571" s="937"/>
      <c r="W571" s="937"/>
      <c r="X571" s="937"/>
      <c r="Y571" s="937"/>
      <c r="Z571" s="937"/>
    </row>
    <row r="572" spans="1:26" ht="15.75" customHeight="1">
      <c r="A572" s="937"/>
      <c r="B572" s="937"/>
      <c r="C572" s="937"/>
      <c r="D572" s="937"/>
      <c r="E572" s="937"/>
      <c r="F572" s="937"/>
      <c r="G572" s="937"/>
      <c r="H572" s="937"/>
      <c r="I572" s="937"/>
      <c r="J572" s="937"/>
      <c r="K572" s="937"/>
      <c r="L572" s="937"/>
      <c r="M572" s="937"/>
      <c r="N572" s="937"/>
      <c r="O572" s="937"/>
      <c r="P572" s="937"/>
      <c r="Q572" s="937"/>
      <c r="R572" s="937"/>
      <c r="S572" s="937"/>
      <c r="T572" s="937"/>
      <c r="U572" s="937"/>
      <c r="V572" s="937"/>
      <c r="W572" s="937"/>
      <c r="X572" s="937"/>
      <c r="Y572" s="937"/>
      <c r="Z572" s="937"/>
    </row>
    <row r="573" spans="1:26" ht="15.75" customHeight="1">
      <c r="A573" s="937"/>
      <c r="B573" s="937"/>
      <c r="C573" s="937"/>
      <c r="D573" s="937"/>
      <c r="E573" s="937"/>
      <c r="F573" s="937"/>
      <c r="G573" s="937"/>
      <c r="H573" s="937"/>
      <c r="I573" s="937"/>
      <c r="J573" s="937"/>
      <c r="K573" s="937"/>
      <c r="L573" s="937"/>
      <c r="M573" s="937"/>
      <c r="N573" s="937"/>
      <c r="O573" s="937"/>
      <c r="P573" s="937"/>
      <c r="Q573" s="937"/>
      <c r="R573" s="937"/>
      <c r="S573" s="937"/>
      <c r="T573" s="937"/>
      <c r="U573" s="937"/>
      <c r="V573" s="937"/>
      <c r="W573" s="937"/>
      <c r="X573" s="937"/>
      <c r="Y573" s="937"/>
      <c r="Z573" s="937"/>
    </row>
    <row r="574" spans="1:26" ht="15.75" customHeight="1">
      <c r="A574" s="937"/>
      <c r="B574" s="937"/>
      <c r="C574" s="937"/>
      <c r="D574" s="937"/>
      <c r="E574" s="937"/>
      <c r="F574" s="937"/>
      <c r="G574" s="937"/>
      <c r="H574" s="937"/>
      <c r="I574" s="937"/>
      <c r="J574" s="937"/>
      <c r="K574" s="937"/>
      <c r="L574" s="937"/>
      <c r="M574" s="937"/>
      <c r="N574" s="937"/>
      <c r="O574" s="937"/>
      <c r="P574" s="937"/>
      <c r="Q574" s="937"/>
      <c r="R574" s="937"/>
      <c r="S574" s="937"/>
      <c r="T574" s="937"/>
      <c r="U574" s="937"/>
      <c r="V574" s="937"/>
      <c r="W574" s="937"/>
      <c r="X574" s="937"/>
      <c r="Y574" s="937"/>
      <c r="Z574" s="937"/>
    </row>
    <row r="575" spans="1:26" ht="15.75" customHeight="1">
      <c r="A575" s="937"/>
      <c r="B575" s="937"/>
      <c r="C575" s="937"/>
      <c r="D575" s="937"/>
      <c r="E575" s="937"/>
      <c r="F575" s="937"/>
      <c r="G575" s="937"/>
      <c r="H575" s="937"/>
      <c r="I575" s="937"/>
      <c r="J575" s="937"/>
      <c r="K575" s="937"/>
      <c r="L575" s="937"/>
      <c r="M575" s="937"/>
      <c r="N575" s="937"/>
      <c r="O575" s="937"/>
      <c r="P575" s="937"/>
      <c r="Q575" s="937"/>
      <c r="R575" s="937"/>
      <c r="S575" s="937"/>
      <c r="T575" s="937"/>
      <c r="U575" s="937"/>
      <c r="V575" s="937"/>
      <c r="W575" s="937"/>
      <c r="X575" s="937"/>
      <c r="Y575" s="937"/>
      <c r="Z575" s="937"/>
    </row>
    <row r="576" spans="1:26" ht="15.75" customHeight="1">
      <c r="A576" s="937"/>
      <c r="B576" s="937"/>
      <c r="C576" s="937"/>
      <c r="D576" s="937"/>
      <c r="E576" s="937"/>
      <c r="F576" s="937"/>
      <c r="G576" s="937"/>
      <c r="H576" s="937"/>
      <c r="I576" s="937"/>
      <c r="J576" s="937"/>
      <c r="K576" s="937"/>
      <c r="L576" s="937"/>
      <c r="M576" s="937"/>
      <c r="N576" s="937"/>
      <c r="O576" s="937"/>
      <c r="P576" s="937"/>
      <c r="Q576" s="937"/>
      <c r="R576" s="937"/>
      <c r="S576" s="937"/>
      <c r="T576" s="937"/>
      <c r="U576" s="937"/>
      <c r="V576" s="937"/>
      <c r="W576" s="937"/>
      <c r="X576" s="937"/>
      <c r="Y576" s="937"/>
      <c r="Z576" s="937"/>
    </row>
    <row r="577" spans="1:26" ht="15.75" customHeight="1">
      <c r="A577" s="937"/>
      <c r="B577" s="937"/>
      <c r="C577" s="937"/>
      <c r="D577" s="937"/>
      <c r="E577" s="937"/>
      <c r="F577" s="937"/>
      <c r="G577" s="937"/>
      <c r="H577" s="937"/>
      <c r="I577" s="937"/>
      <c r="J577" s="937"/>
      <c r="K577" s="937"/>
      <c r="L577" s="937"/>
      <c r="M577" s="937"/>
      <c r="N577" s="937"/>
      <c r="O577" s="937"/>
      <c r="P577" s="937"/>
      <c r="Q577" s="937"/>
      <c r="R577" s="937"/>
      <c r="S577" s="937"/>
      <c r="T577" s="937"/>
      <c r="U577" s="937"/>
      <c r="V577" s="937"/>
      <c r="W577" s="937"/>
      <c r="X577" s="937"/>
      <c r="Y577" s="937"/>
      <c r="Z577" s="937"/>
    </row>
    <row r="578" spans="1:26" ht="15.75" customHeight="1">
      <c r="A578" s="937"/>
      <c r="B578" s="937"/>
      <c r="C578" s="937"/>
      <c r="D578" s="937"/>
      <c r="E578" s="937"/>
      <c r="F578" s="937"/>
      <c r="G578" s="937"/>
      <c r="H578" s="937"/>
      <c r="I578" s="937"/>
      <c r="J578" s="937"/>
      <c r="K578" s="937"/>
      <c r="L578" s="937"/>
      <c r="M578" s="937"/>
      <c r="N578" s="937"/>
      <c r="O578" s="937"/>
      <c r="P578" s="937"/>
      <c r="Q578" s="937"/>
      <c r="R578" s="937"/>
      <c r="S578" s="937"/>
      <c r="T578" s="937"/>
      <c r="U578" s="937"/>
      <c r="V578" s="937"/>
      <c r="W578" s="937"/>
      <c r="X578" s="937"/>
      <c r="Y578" s="937"/>
      <c r="Z578" s="937"/>
    </row>
    <row r="579" spans="1:26" ht="15.75" customHeight="1">
      <c r="A579" s="937"/>
      <c r="B579" s="937"/>
      <c r="C579" s="937"/>
      <c r="D579" s="937"/>
      <c r="E579" s="937"/>
      <c r="F579" s="937"/>
      <c r="G579" s="937"/>
      <c r="H579" s="937"/>
      <c r="I579" s="937"/>
      <c r="J579" s="937"/>
      <c r="K579" s="937"/>
      <c r="L579" s="937"/>
      <c r="M579" s="937"/>
      <c r="N579" s="937"/>
      <c r="O579" s="937"/>
      <c r="P579" s="937"/>
      <c r="Q579" s="937"/>
      <c r="R579" s="937"/>
      <c r="S579" s="937"/>
      <c r="T579" s="937"/>
      <c r="U579" s="937"/>
      <c r="V579" s="937"/>
      <c r="W579" s="937"/>
      <c r="X579" s="937"/>
      <c r="Y579" s="937"/>
      <c r="Z579" s="937"/>
    </row>
    <row r="580" spans="1:26" ht="15.75" customHeight="1">
      <c r="A580" s="937"/>
      <c r="B580" s="937"/>
      <c r="C580" s="937"/>
      <c r="D580" s="937"/>
      <c r="E580" s="937"/>
      <c r="F580" s="937"/>
      <c r="G580" s="937"/>
      <c r="H580" s="937"/>
      <c r="I580" s="937"/>
      <c r="J580" s="937"/>
      <c r="K580" s="937"/>
      <c r="L580" s="937"/>
      <c r="M580" s="937"/>
      <c r="N580" s="937"/>
      <c r="O580" s="937"/>
      <c r="P580" s="937"/>
      <c r="Q580" s="937"/>
      <c r="R580" s="937"/>
      <c r="S580" s="937"/>
      <c r="T580" s="937"/>
      <c r="U580" s="937"/>
      <c r="V580" s="937"/>
      <c r="W580" s="937"/>
      <c r="X580" s="937"/>
      <c r="Y580" s="937"/>
      <c r="Z580" s="937"/>
    </row>
    <row r="581" spans="1:26" ht="15.75" customHeight="1">
      <c r="A581" s="937"/>
      <c r="B581" s="937"/>
      <c r="C581" s="937"/>
      <c r="D581" s="937"/>
      <c r="E581" s="937"/>
      <c r="F581" s="937"/>
      <c r="G581" s="937"/>
      <c r="H581" s="937"/>
      <c r="I581" s="937"/>
      <c r="J581" s="937"/>
      <c r="K581" s="937"/>
      <c r="L581" s="937"/>
      <c r="M581" s="937"/>
      <c r="N581" s="937"/>
      <c r="O581" s="937"/>
      <c r="P581" s="937"/>
      <c r="Q581" s="937"/>
      <c r="R581" s="937"/>
      <c r="S581" s="937"/>
      <c r="T581" s="937"/>
      <c r="U581" s="937"/>
      <c r="V581" s="937"/>
      <c r="W581" s="937"/>
      <c r="X581" s="937"/>
      <c r="Y581" s="937"/>
      <c r="Z581" s="937"/>
    </row>
    <row r="582" spans="1:26" ht="15.75" customHeight="1">
      <c r="A582" s="937"/>
      <c r="B582" s="937"/>
      <c r="C582" s="937"/>
      <c r="D582" s="937"/>
      <c r="E582" s="937"/>
      <c r="F582" s="937"/>
      <c r="G582" s="937"/>
      <c r="H582" s="937"/>
      <c r="I582" s="937"/>
      <c r="J582" s="937"/>
      <c r="K582" s="937"/>
      <c r="L582" s="937"/>
      <c r="M582" s="937"/>
      <c r="N582" s="937"/>
      <c r="O582" s="937"/>
      <c r="P582" s="937"/>
      <c r="Q582" s="937"/>
      <c r="R582" s="937"/>
      <c r="S582" s="937"/>
      <c r="T582" s="937"/>
      <c r="U582" s="937"/>
      <c r="V582" s="937"/>
      <c r="W582" s="937"/>
      <c r="X582" s="937"/>
      <c r="Y582" s="937"/>
      <c r="Z582" s="937"/>
    </row>
    <row r="583" spans="1:26" ht="15.75" customHeight="1">
      <c r="A583" s="937"/>
      <c r="B583" s="937"/>
      <c r="C583" s="937"/>
      <c r="D583" s="937"/>
      <c r="E583" s="937"/>
      <c r="F583" s="937"/>
      <c r="G583" s="937"/>
      <c r="H583" s="937"/>
      <c r="I583" s="937"/>
      <c r="J583" s="937"/>
      <c r="K583" s="937"/>
      <c r="L583" s="937"/>
      <c r="M583" s="937"/>
      <c r="N583" s="937"/>
      <c r="O583" s="937"/>
      <c r="P583" s="937"/>
      <c r="Q583" s="937"/>
      <c r="R583" s="937"/>
      <c r="S583" s="937"/>
      <c r="T583" s="937"/>
      <c r="U583" s="937"/>
      <c r="V583" s="937"/>
      <c r="W583" s="937"/>
      <c r="X583" s="937"/>
      <c r="Y583" s="937"/>
      <c r="Z583" s="937"/>
    </row>
    <row r="584" spans="1:26" ht="15.75" customHeight="1">
      <c r="A584" s="937"/>
      <c r="B584" s="937"/>
      <c r="C584" s="937"/>
      <c r="D584" s="937"/>
      <c r="E584" s="937"/>
      <c r="F584" s="937"/>
      <c r="G584" s="937"/>
      <c r="H584" s="937"/>
      <c r="I584" s="937"/>
      <c r="J584" s="937"/>
      <c r="K584" s="937"/>
      <c r="L584" s="937"/>
      <c r="M584" s="937"/>
      <c r="N584" s="937"/>
      <c r="O584" s="937"/>
      <c r="P584" s="937"/>
      <c r="Q584" s="937"/>
      <c r="R584" s="937"/>
      <c r="S584" s="937"/>
      <c r="T584" s="937"/>
      <c r="U584" s="937"/>
      <c r="V584" s="937"/>
      <c r="W584" s="937"/>
      <c r="X584" s="937"/>
      <c r="Y584" s="937"/>
      <c r="Z584" s="937"/>
    </row>
    <row r="585" spans="1:26" ht="15.75" customHeight="1">
      <c r="A585" s="937"/>
      <c r="B585" s="937"/>
      <c r="C585" s="937"/>
      <c r="D585" s="937"/>
      <c r="E585" s="937"/>
      <c r="F585" s="937"/>
      <c r="G585" s="937"/>
      <c r="H585" s="937"/>
      <c r="I585" s="937"/>
      <c r="J585" s="937"/>
      <c r="K585" s="937"/>
      <c r="L585" s="937"/>
      <c r="M585" s="937"/>
      <c r="N585" s="937"/>
      <c r="O585" s="937"/>
      <c r="P585" s="937"/>
      <c r="Q585" s="937"/>
      <c r="R585" s="937"/>
      <c r="S585" s="937"/>
      <c r="T585" s="937"/>
      <c r="U585" s="937"/>
      <c r="V585" s="937"/>
      <c r="W585" s="937"/>
      <c r="X585" s="937"/>
      <c r="Y585" s="937"/>
      <c r="Z585" s="937"/>
    </row>
    <row r="586" spans="1:26" ht="15.75" customHeight="1">
      <c r="A586" s="937"/>
      <c r="B586" s="937"/>
      <c r="C586" s="937"/>
      <c r="D586" s="937"/>
      <c r="E586" s="937"/>
      <c r="F586" s="937"/>
      <c r="G586" s="937"/>
      <c r="H586" s="937"/>
      <c r="I586" s="937"/>
      <c r="J586" s="937"/>
      <c r="K586" s="937"/>
      <c r="L586" s="937"/>
      <c r="M586" s="937"/>
      <c r="N586" s="937"/>
      <c r="O586" s="937"/>
      <c r="P586" s="937"/>
      <c r="Q586" s="937"/>
      <c r="R586" s="937"/>
      <c r="S586" s="937"/>
      <c r="T586" s="937"/>
      <c r="U586" s="937"/>
      <c r="V586" s="937"/>
      <c r="W586" s="937"/>
      <c r="X586" s="937"/>
      <c r="Y586" s="937"/>
      <c r="Z586" s="937"/>
    </row>
    <row r="587" spans="1:26" ht="15.75" customHeight="1">
      <c r="A587" s="937"/>
      <c r="B587" s="937"/>
      <c r="C587" s="937"/>
      <c r="D587" s="937"/>
      <c r="E587" s="937"/>
      <c r="F587" s="937"/>
      <c r="G587" s="937"/>
      <c r="H587" s="937"/>
      <c r="I587" s="937"/>
      <c r="J587" s="937"/>
      <c r="K587" s="937"/>
      <c r="L587" s="937"/>
      <c r="M587" s="937"/>
      <c r="N587" s="937"/>
      <c r="O587" s="937"/>
      <c r="P587" s="937"/>
      <c r="Q587" s="937"/>
      <c r="R587" s="937"/>
      <c r="S587" s="937"/>
      <c r="T587" s="937"/>
      <c r="U587" s="937"/>
      <c r="V587" s="937"/>
      <c r="W587" s="937"/>
      <c r="X587" s="937"/>
      <c r="Y587" s="937"/>
      <c r="Z587" s="937"/>
    </row>
    <row r="588" spans="1:26" ht="15.75" customHeight="1">
      <c r="A588" s="937"/>
      <c r="B588" s="937"/>
      <c r="C588" s="937"/>
      <c r="D588" s="937"/>
      <c r="E588" s="937"/>
      <c r="F588" s="937"/>
      <c r="G588" s="937"/>
      <c r="H588" s="937"/>
      <c r="I588" s="937"/>
      <c r="J588" s="937"/>
      <c r="K588" s="937"/>
      <c r="L588" s="937"/>
      <c r="M588" s="937"/>
      <c r="N588" s="937"/>
      <c r="O588" s="937"/>
      <c r="P588" s="937"/>
      <c r="Q588" s="937"/>
      <c r="R588" s="937"/>
      <c r="S588" s="937"/>
      <c r="T588" s="937"/>
      <c r="U588" s="937"/>
      <c r="V588" s="937"/>
      <c r="W588" s="937"/>
      <c r="X588" s="937"/>
      <c r="Y588" s="937"/>
      <c r="Z588" s="937"/>
    </row>
    <row r="589" spans="1:26" ht="15.75" customHeight="1">
      <c r="A589" s="937"/>
      <c r="B589" s="937"/>
      <c r="C589" s="937"/>
      <c r="D589" s="937"/>
      <c r="E589" s="937"/>
      <c r="F589" s="937"/>
      <c r="G589" s="937"/>
      <c r="H589" s="937"/>
      <c r="I589" s="937"/>
      <c r="J589" s="937"/>
      <c r="K589" s="937"/>
      <c r="L589" s="937"/>
      <c r="M589" s="937"/>
      <c r="N589" s="937"/>
      <c r="O589" s="937"/>
      <c r="P589" s="937"/>
      <c r="Q589" s="937"/>
      <c r="R589" s="937"/>
      <c r="S589" s="937"/>
      <c r="T589" s="937"/>
      <c r="U589" s="937"/>
      <c r="V589" s="937"/>
      <c r="W589" s="937"/>
      <c r="X589" s="937"/>
      <c r="Y589" s="937"/>
      <c r="Z589" s="937"/>
    </row>
    <row r="590" spans="1:26" ht="15.75" customHeight="1">
      <c r="A590" s="937"/>
      <c r="B590" s="937"/>
      <c r="C590" s="937"/>
      <c r="D590" s="937"/>
      <c r="E590" s="937"/>
      <c r="F590" s="937"/>
      <c r="G590" s="937"/>
      <c r="H590" s="937"/>
      <c r="I590" s="937"/>
      <c r="J590" s="937"/>
      <c r="K590" s="937"/>
      <c r="L590" s="937"/>
      <c r="M590" s="937"/>
      <c r="N590" s="937"/>
      <c r="O590" s="937"/>
      <c r="P590" s="937"/>
      <c r="Q590" s="937"/>
      <c r="R590" s="937"/>
      <c r="S590" s="937"/>
      <c r="T590" s="937"/>
      <c r="U590" s="937"/>
      <c r="V590" s="937"/>
      <c r="W590" s="937"/>
      <c r="X590" s="937"/>
      <c r="Y590" s="937"/>
      <c r="Z590" s="937"/>
    </row>
    <row r="591" spans="1:26" ht="15.75" customHeight="1">
      <c r="A591" s="937"/>
      <c r="B591" s="937"/>
      <c r="C591" s="937"/>
      <c r="D591" s="937"/>
      <c r="E591" s="937"/>
      <c r="F591" s="937"/>
      <c r="G591" s="937"/>
      <c r="H591" s="937"/>
      <c r="I591" s="937"/>
      <c r="J591" s="937"/>
      <c r="K591" s="937"/>
      <c r="L591" s="937"/>
      <c r="M591" s="937"/>
      <c r="N591" s="937"/>
      <c r="O591" s="937"/>
      <c r="P591" s="937"/>
      <c r="Q591" s="937"/>
      <c r="R591" s="937"/>
      <c r="S591" s="937"/>
      <c r="T591" s="937"/>
      <c r="U591" s="937"/>
      <c r="V591" s="937"/>
      <c r="W591" s="937"/>
      <c r="X591" s="937"/>
      <c r="Y591" s="937"/>
      <c r="Z591" s="937"/>
    </row>
    <row r="592" spans="1:26" ht="15.75" customHeight="1">
      <c r="A592" s="937"/>
      <c r="B592" s="937"/>
      <c r="C592" s="937"/>
      <c r="D592" s="937"/>
      <c r="E592" s="937"/>
      <c r="F592" s="937"/>
      <c r="G592" s="937"/>
      <c r="H592" s="937"/>
      <c r="I592" s="937"/>
      <c r="J592" s="937"/>
      <c r="K592" s="937"/>
      <c r="L592" s="937"/>
      <c r="M592" s="937"/>
      <c r="N592" s="937"/>
      <c r="O592" s="937"/>
      <c r="P592" s="937"/>
      <c r="Q592" s="937"/>
      <c r="R592" s="937"/>
      <c r="S592" s="937"/>
      <c r="T592" s="937"/>
      <c r="U592" s="937"/>
      <c r="V592" s="937"/>
      <c r="W592" s="937"/>
      <c r="X592" s="937"/>
      <c r="Y592" s="937"/>
      <c r="Z592" s="937"/>
    </row>
    <row r="593" spans="1:26" ht="15.75" customHeight="1">
      <c r="A593" s="937"/>
      <c r="B593" s="937"/>
      <c r="C593" s="937"/>
      <c r="D593" s="937"/>
      <c r="E593" s="937"/>
      <c r="F593" s="937"/>
      <c r="G593" s="937"/>
      <c r="H593" s="937"/>
      <c r="I593" s="937"/>
      <c r="J593" s="937"/>
      <c r="K593" s="937"/>
      <c r="L593" s="937"/>
      <c r="M593" s="937"/>
      <c r="N593" s="937"/>
      <c r="O593" s="937"/>
      <c r="P593" s="937"/>
      <c r="Q593" s="937"/>
      <c r="R593" s="937"/>
      <c r="S593" s="937"/>
      <c r="T593" s="937"/>
      <c r="U593" s="937"/>
      <c r="V593" s="937"/>
      <c r="W593" s="937"/>
      <c r="X593" s="937"/>
      <c r="Y593" s="937"/>
      <c r="Z593" s="937"/>
    </row>
    <row r="594" spans="1:26" ht="15.75" customHeight="1">
      <c r="A594" s="937"/>
      <c r="B594" s="937"/>
      <c r="C594" s="937"/>
      <c r="D594" s="937"/>
      <c r="E594" s="937"/>
      <c r="F594" s="937"/>
      <c r="G594" s="937"/>
      <c r="H594" s="937"/>
      <c r="I594" s="937"/>
      <c r="J594" s="937"/>
      <c r="K594" s="937"/>
      <c r="L594" s="937"/>
      <c r="M594" s="937"/>
      <c r="N594" s="937"/>
      <c r="O594" s="937"/>
      <c r="P594" s="937"/>
      <c r="Q594" s="937"/>
      <c r="R594" s="937"/>
      <c r="S594" s="937"/>
      <c r="T594" s="937"/>
      <c r="U594" s="937"/>
      <c r="V594" s="937"/>
      <c r="W594" s="937"/>
      <c r="X594" s="937"/>
      <c r="Y594" s="937"/>
      <c r="Z594" s="937"/>
    </row>
    <row r="595" spans="1:26" ht="15.75" customHeight="1">
      <c r="A595" s="937"/>
      <c r="B595" s="937"/>
      <c r="C595" s="937"/>
      <c r="D595" s="937"/>
      <c r="E595" s="937"/>
      <c r="F595" s="937"/>
      <c r="G595" s="937"/>
      <c r="H595" s="937"/>
      <c r="I595" s="937"/>
      <c r="J595" s="937"/>
      <c r="K595" s="937"/>
      <c r="L595" s="937"/>
      <c r="M595" s="937"/>
      <c r="N595" s="937"/>
      <c r="O595" s="937"/>
      <c r="P595" s="937"/>
      <c r="Q595" s="937"/>
      <c r="R595" s="937"/>
      <c r="S595" s="937"/>
      <c r="T595" s="937"/>
      <c r="U595" s="937"/>
      <c r="V595" s="937"/>
      <c r="W595" s="937"/>
      <c r="X595" s="937"/>
      <c r="Y595" s="937"/>
      <c r="Z595" s="937"/>
    </row>
    <row r="596" spans="1:26" ht="15.75" customHeight="1">
      <c r="A596" s="937"/>
      <c r="B596" s="937"/>
      <c r="C596" s="937"/>
      <c r="D596" s="937"/>
      <c r="E596" s="937"/>
      <c r="F596" s="937"/>
      <c r="G596" s="937"/>
      <c r="H596" s="937"/>
      <c r="I596" s="937"/>
      <c r="J596" s="937"/>
      <c r="K596" s="937"/>
      <c r="L596" s="937"/>
      <c r="M596" s="937"/>
      <c r="N596" s="937"/>
      <c r="O596" s="937"/>
      <c r="P596" s="937"/>
      <c r="Q596" s="937"/>
      <c r="R596" s="937"/>
      <c r="S596" s="937"/>
      <c r="T596" s="937"/>
      <c r="U596" s="937"/>
      <c r="V596" s="937"/>
      <c r="W596" s="937"/>
      <c r="X596" s="937"/>
      <c r="Y596" s="937"/>
      <c r="Z596" s="937"/>
    </row>
    <row r="597" spans="1:26" ht="15.75" customHeight="1">
      <c r="A597" s="937"/>
      <c r="B597" s="937"/>
      <c r="C597" s="937"/>
      <c r="D597" s="937"/>
      <c r="E597" s="937"/>
      <c r="F597" s="937"/>
      <c r="G597" s="937"/>
      <c r="H597" s="937"/>
      <c r="I597" s="937"/>
      <c r="J597" s="937"/>
      <c r="K597" s="937"/>
      <c r="L597" s="937"/>
      <c r="M597" s="937"/>
      <c r="N597" s="937"/>
      <c r="O597" s="937"/>
      <c r="P597" s="937"/>
      <c r="Q597" s="937"/>
      <c r="R597" s="937"/>
      <c r="S597" s="937"/>
      <c r="T597" s="937"/>
      <c r="U597" s="937"/>
      <c r="V597" s="937"/>
      <c r="W597" s="937"/>
      <c r="X597" s="937"/>
      <c r="Y597" s="937"/>
      <c r="Z597" s="937"/>
    </row>
    <row r="598" spans="1:26" ht="15.75" customHeight="1">
      <c r="A598" s="937"/>
      <c r="B598" s="937"/>
      <c r="C598" s="937"/>
      <c r="D598" s="937"/>
      <c r="E598" s="937"/>
      <c r="F598" s="937"/>
      <c r="G598" s="937"/>
      <c r="H598" s="937"/>
      <c r="I598" s="937"/>
      <c r="J598" s="937"/>
      <c r="K598" s="937"/>
      <c r="L598" s="937"/>
      <c r="M598" s="937"/>
      <c r="N598" s="937"/>
      <c r="O598" s="937"/>
      <c r="P598" s="937"/>
      <c r="Q598" s="937"/>
      <c r="R598" s="937"/>
      <c r="S598" s="937"/>
      <c r="T598" s="937"/>
      <c r="U598" s="937"/>
      <c r="V598" s="937"/>
      <c r="W598" s="937"/>
      <c r="X598" s="937"/>
      <c r="Y598" s="937"/>
      <c r="Z598" s="937"/>
    </row>
    <row r="599" spans="1:26" ht="15.75" customHeight="1">
      <c r="A599" s="937"/>
      <c r="B599" s="937"/>
      <c r="C599" s="937"/>
      <c r="D599" s="937"/>
      <c r="E599" s="937"/>
      <c r="F599" s="937"/>
      <c r="G599" s="937"/>
      <c r="H599" s="937"/>
      <c r="I599" s="937"/>
      <c r="J599" s="937"/>
      <c r="K599" s="937"/>
      <c r="L599" s="937"/>
      <c r="M599" s="937"/>
      <c r="N599" s="937"/>
      <c r="O599" s="937"/>
      <c r="P599" s="937"/>
      <c r="Q599" s="937"/>
      <c r="R599" s="937"/>
      <c r="S599" s="937"/>
      <c r="T599" s="937"/>
      <c r="U599" s="937"/>
      <c r="V599" s="937"/>
      <c r="W599" s="937"/>
      <c r="X599" s="937"/>
      <c r="Y599" s="937"/>
      <c r="Z599" s="937"/>
    </row>
    <row r="600" spans="1:26" ht="15.75" customHeight="1">
      <c r="A600" s="937"/>
      <c r="B600" s="937"/>
      <c r="C600" s="937"/>
      <c r="D600" s="937"/>
      <c r="E600" s="937"/>
      <c r="F600" s="937"/>
      <c r="G600" s="937"/>
      <c r="H600" s="937"/>
      <c r="I600" s="937"/>
      <c r="J600" s="937"/>
      <c r="K600" s="937"/>
      <c r="L600" s="937"/>
      <c r="M600" s="937"/>
      <c r="N600" s="937"/>
      <c r="O600" s="937"/>
      <c r="P600" s="937"/>
      <c r="Q600" s="937"/>
      <c r="R600" s="937"/>
      <c r="S600" s="937"/>
      <c r="T600" s="937"/>
      <c r="U600" s="937"/>
      <c r="V600" s="937"/>
      <c r="W600" s="937"/>
      <c r="X600" s="937"/>
      <c r="Y600" s="937"/>
      <c r="Z600" s="937"/>
    </row>
    <row r="601" spans="1:26" ht="15.75" customHeight="1">
      <c r="A601" s="937"/>
      <c r="B601" s="937"/>
      <c r="C601" s="937"/>
      <c r="D601" s="937"/>
      <c r="E601" s="937"/>
      <c r="F601" s="937"/>
      <c r="G601" s="937"/>
      <c r="H601" s="937"/>
      <c r="I601" s="937"/>
      <c r="J601" s="937"/>
      <c r="K601" s="937"/>
      <c r="L601" s="937"/>
      <c r="M601" s="937"/>
      <c r="N601" s="937"/>
      <c r="O601" s="937"/>
      <c r="P601" s="937"/>
      <c r="Q601" s="937"/>
      <c r="R601" s="937"/>
      <c r="S601" s="937"/>
      <c r="T601" s="937"/>
      <c r="U601" s="937"/>
      <c r="V601" s="937"/>
      <c r="W601" s="937"/>
      <c r="X601" s="937"/>
      <c r="Y601" s="937"/>
      <c r="Z601" s="937"/>
    </row>
    <row r="602" spans="1:26" ht="15.75" customHeight="1">
      <c r="A602" s="937"/>
      <c r="B602" s="937"/>
      <c r="C602" s="937"/>
      <c r="D602" s="937"/>
      <c r="E602" s="937"/>
      <c r="F602" s="937"/>
      <c r="G602" s="937"/>
      <c r="H602" s="937"/>
      <c r="I602" s="937"/>
      <c r="J602" s="937"/>
      <c r="K602" s="937"/>
      <c r="L602" s="937"/>
      <c r="M602" s="937"/>
      <c r="N602" s="937"/>
      <c r="O602" s="937"/>
      <c r="P602" s="937"/>
      <c r="Q602" s="937"/>
      <c r="R602" s="937"/>
      <c r="S602" s="937"/>
      <c r="T602" s="937"/>
      <c r="U602" s="937"/>
      <c r="V602" s="937"/>
      <c r="W602" s="937"/>
      <c r="X602" s="937"/>
      <c r="Y602" s="937"/>
      <c r="Z602" s="937"/>
    </row>
    <row r="603" spans="1:26" ht="15.75" customHeight="1">
      <c r="A603" s="937"/>
      <c r="B603" s="937"/>
      <c r="C603" s="937"/>
      <c r="D603" s="937"/>
      <c r="E603" s="937"/>
      <c r="F603" s="937"/>
      <c r="G603" s="937"/>
      <c r="H603" s="937"/>
      <c r="I603" s="937"/>
      <c r="J603" s="937"/>
      <c r="K603" s="937"/>
      <c r="L603" s="937"/>
      <c r="M603" s="937"/>
      <c r="N603" s="937"/>
      <c r="O603" s="937"/>
      <c r="P603" s="937"/>
      <c r="Q603" s="937"/>
      <c r="R603" s="937"/>
      <c r="S603" s="937"/>
      <c r="T603" s="937"/>
      <c r="U603" s="937"/>
      <c r="V603" s="937"/>
      <c r="W603" s="937"/>
      <c r="X603" s="937"/>
      <c r="Y603" s="937"/>
      <c r="Z603" s="937"/>
    </row>
    <row r="604" spans="1:26" ht="15.75" customHeight="1">
      <c r="A604" s="937"/>
      <c r="B604" s="937"/>
      <c r="C604" s="937"/>
      <c r="D604" s="937"/>
      <c r="E604" s="937"/>
      <c r="F604" s="937"/>
      <c r="G604" s="937"/>
      <c r="H604" s="937"/>
      <c r="I604" s="937"/>
      <c r="J604" s="937"/>
      <c r="K604" s="937"/>
      <c r="L604" s="937"/>
      <c r="M604" s="937"/>
      <c r="N604" s="937"/>
      <c r="O604" s="937"/>
      <c r="P604" s="937"/>
      <c r="Q604" s="937"/>
      <c r="R604" s="937"/>
      <c r="S604" s="937"/>
      <c r="T604" s="937"/>
      <c r="U604" s="937"/>
      <c r="V604" s="937"/>
      <c r="W604" s="937"/>
      <c r="X604" s="937"/>
      <c r="Y604" s="937"/>
      <c r="Z604" s="937"/>
    </row>
    <row r="605" spans="1:26" ht="15.75" customHeight="1">
      <c r="A605" s="937"/>
      <c r="B605" s="937"/>
      <c r="C605" s="937"/>
      <c r="D605" s="937"/>
      <c r="E605" s="937"/>
      <c r="F605" s="937"/>
      <c r="G605" s="937"/>
      <c r="H605" s="937"/>
      <c r="I605" s="937"/>
      <c r="J605" s="937"/>
      <c r="K605" s="937"/>
      <c r="L605" s="937"/>
      <c r="M605" s="937"/>
      <c r="N605" s="937"/>
      <c r="O605" s="937"/>
      <c r="P605" s="937"/>
      <c r="Q605" s="937"/>
      <c r="R605" s="937"/>
      <c r="S605" s="937"/>
      <c r="T605" s="937"/>
      <c r="U605" s="937"/>
      <c r="V605" s="937"/>
      <c r="W605" s="937"/>
      <c r="X605" s="937"/>
      <c r="Y605" s="937"/>
      <c r="Z605" s="937"/>
    </row>
    <row r="606" spans="1:26" ht="15.75" customHeight="1">
      <c r="A606" s="937"/>
      <c r="B606" s="937"/>
      <c r="C606" s="937"/>
      <c r="D606" s="937"/>
      <c r="E606" s="937"/>
      <c r="F606" s="937"/>
      <c r="G606" s="937"/>
      <c r="H606" s="937"/>
      <c r="I606" s="937"/>
      <c r="J606" s="937"/>
      <c r="K606" s="937"/>
      <c r="L606" s="937"/>
      <c r="M606" s="937"/>
      <c r="N606" s="937"/>
      <c r="O606" s="937"/>
      <c r="P606" s="937"/>
      <c r="Q606" s="937"/>
      <c r="R606" s="937"/>
      <c r="S606" s="937"/>
      <c r="T606" s="937"/>
      <c r="U606" s="937"/>
      <c r="V606" s="937"/>
      <c r="W606" s="937"/>
      <c r="X606" s="937"/>
      <c r="Y606" s="937"/>
      <c r="Z606" s="937"/>
    </row>
    <row r="607" spans="1:26" ht="15.75" customHeight="1">
      <c r="A607" s="937"/>
      <c r="B607" s="937"/>
      <c r="C607" s="937"/>
      <c r="D607" s="937"/>
      <c r="E607" s="937"/>
      <c r="F607" s="937"/>
      <c r="G607" s="937"/>
      <c r="H607" s="937"/>
      <c r="I607" s="937"/>
      <c r="J607" s="937"/>
      <c r="K607" s="937"/>
      <c r="L607" s="937"/>
      <c r="M607" s="937"/>
      <c r="N607" s="937"/>
      <c r="O607" s="937"/>
      <c r="P607" s="937"/>
      <c r="Q607" s="937"/>
      <c r="R607" s="937"/>
      <c r="S607" s="937"/>
      <c r="T607" s="937"/>
      <c r="U607" s="937"/>
      <c r="V607" s="937"/>
      <c r="W607" s="937"/>
      <c r="X607" s="937"/>
      <c r="Y607" s="937"/>
      <c r="Z607" s="937"/>
    </row>
    <row r="608" spans="1:26" ht="15.75" customHeight="1">
      <c r="A608" s="937"/>
      <c r="B608" s="937"/>
      <c r="C608" s="937"/>
      <c r="D608" s="937"/>
      <c r="E608" s="937"/>
      <c r="F608" s="937"/>
      <c r="G608" s="937"/>
      <c r="H608" s="937"/>
      <c r="I608" s="937"/>
      <c r="J608" s="937"/>
      <c r="K608" s="937"/>
      <c r="L608" s="937"/>
      <c r="M608" s="937"/>
      <c r="N608" s="937"/>
      <c r="O608" s="937"/>
      <c r="P608" s="937"/>
      <c r="Q608" s="937"/>
      <c r="R608" s="937"/>
      <c r="S608" s="937"/>
      <c r="T608" s="937"/>
      <c r="U608" s="937"/>
      <c r="V608" s="937"/>
      <c r="W608" s="937"/>
      <c r="X608" s="937"/>
      <c r="Y608" s="937"/>
      <c r="Z608" s="937"/>
    </row>
    <row r="609" spans="1:26" ht="15.75" customHeight="1">
      <c r="A609" s="937"/>
      <c r="B609" s="937"/>
      <c r="C609" s="937"/>
      <c r="D609" s="937"/>
      <c r="E609" s="937"/>
      <c r="F609" s="937"/>
      <c r="G609" s="937"/>
      <c r="H609" s="937"/>
      <c r="I609" s="937"/>
      <c r="J609" s="937"/>
      <c r="K609" s="937"/>
      <c r="L609" s="937"/>
      <c r="M609" s="937"/>
      <c r="N609" s="937"/>
      <c r="O609" s="937"/>
      <c r="P609" s="937"/>
      <c r="Q609" s="937"/>
      <c r="R609" s="937"/>
      <c r="S609" s="937"/>
      <c r="T609" s="937"/>
      <c r="U609" s="937"/>
      <c r="V609" s="937"/>
      <c r="W609" s="937"/>
      <c r="X609" s="937"/>
      <c r="Y609" s="937"/>
      <c r="Z609" s="937"/>
    </row>
    <row r="610" spans="1:26" ht="15.75" customHeight="1">
      <c r="A610" s="937"/>
      <c r="B610" s="937"/>
      <c r="C610" s="937"/>
      <c r="D610" s="937"/>
      <c r="E610" s="937"/>
      <c r="F610" s="937"/>
      <c r="G610" s="937"/>
      <c r="H610" s="937"/>
      <c r="I610" s="937"/>
      <c r="J610" s="937"/>
      <c r="K610" s="937"/>
      <c r="L610" s="937"/>
      <c r="M610" s="937"/>
      <c r="N610" s="937"/>
      <c r="O610" s="937"/>
      <c r="P610" s="937"/>
      <c r="Q610" s="937"/>
      <c r="R610" s="937"/>
      <c r="S610" s="937"/>
      <c r="T610" s="937"/>
      <c r="U610" s="937"/>
      <c r="V610" s="937"/>
      <c r="W610" s="937"/>
      <c r="X610" s="937"/>
      <c r="Y610" s="937"/>
      <c r="Z610" s="937"/>
    </row>
    <row r="611" spans="1:26" ht="15.75" customHeight="1">
      <c r="A611" s="937"/>
      <c r="B611" s="937"/>
      <c r="C611" s="937"/>
      <c r="D611" s="937"/>
      <c r="E611" s="937"/>
      <c r="F611" s="937"/>
      <c r="G611" s="937"/>
      <c r="H611" s="937"/>
      <c r="I611" s="937"/>
      <c r="J611" s="937"/>
      <c r="K611" s="937"/>
      <c r="L611" s="937"/>
      <c r="M611" s="937"/>
      <c r="N611" s="937"/>
      <c r="O611" s="937"/>
      <c r="P611" s="937"/>
      <c r="Q611" s="937"/>
      <c r="R611" s="937"/>
      <c r="S611" s="937"/>
      <c r="T611" s="937"/>
      <c r="U611" s="937"/>
      <c r="V611" s="937"/>
      <c r="W611" s="937"/>
      <c r="X611" s="937"/>
      <c r="Y611" s="937"/>
      <c r="Z611" s="937"/>
    </row>
    <row r="612" spans="1:26" ht="15.75" customHeight="1">
      <c r="A612" s="937"/>
      <c r="B612" s="937"/>
      <c r="C612" s="937"/>
      <c r="D612" s="937"/>
      <c r="E612" s="937"/>
      <c r="F612" s="937"/>
      <c r="G612" s="937"/>
      <c r="H612" s="937"/>
      <c r="I612" s="937"/>
      <c r="J612" s="937"/>
      <c r="K612" s="937"/>
      <c r="L612" s="937"/>
      <c r="M612" s="937"/>
      <c r="N612" s="937"/>
      <c r="O612" s="937"/>
      <c r="P612" s="937"/>
      <c r="Q612" s="937"/>
      <c r="R612" s="937"/>
      <c r="S612" s="937"/>
      <c r="T612" s="937"/>
      <c r="U612" s="937"/>
      <c r="V612" s="937"/>
      <c r="W612" s="937"/>
      <c r="X612" s="937"/>
      <c r="Y612" s="937"/>
      <c r="Z612" s="937"/>
    </row>
    <row r="613" spans="1:26" ht="15.75" customHeight="1">
      <c r="A613" s="937"/>
      <c r="B613" s="937"/>
      <c r="C613" s="937"/>
      <c r="D613" s="937"/>
      <c r="E613" s="937"/>
      <c r="F613" s="937"/>
      <c r="G613" s="937"/>
      <c r="H613" s="937"/>
      <c r="I613" s="937"/>
      <c r="J613" s="937"/>
      <c r="K613" s="937"/>
      <c r="L613" s="937"/>
      <c r="M613" s="937"/>
      <c r="N613" s="937"/>
      <c r="O613" s="937"/>
      <c r="P613" s="937"/>
      <c r="Q613" s="937"/>
      <c r="R613" s="937"/>
      <c r="S613" s="937"/>
      <c r="T613" s="937"/>
      <c r="U613" s="937"/>
      <c r="V613" s="937"/>
      <c r="W613" s="937"/>
      <c r="X613" s="937"/>
      <c r="Y613" s="937"/>
      <c r="Z613" s="937"/>
    </row>
    <row r="614" spans="1:26" ht="15.75" customHeight="1">
      <c r="A614" s="937"/>
      <c r="B614" s="937"/>
      <c r="C614" s="937"/>
      <c r="D614" s="937"/>
      <c r="E614" s="937"/>
      <c r="F614" s="937"/>
      <c r="G614" s="937"/>
      <c r="H614" s="937"/>
      <c r="I614" s="937"/>
      <c r="J614" s="937"/>
      <c r="K614" s="937"/>
      <c r="L614" s="937"/>
      <c r="M614" s="937"/>
      <c r="N614" s="937"/>
      <c r="O614" s="937"/>
      <c r="P614" s="937"/>
      <c r="Q614" s="937"/>
      <c r="R614" s="937"/>
      <c r="S614" s="937"/>
      <c r="T614" s="937"/>
      <c r="U614" s="937"/>
      <c r="V614" s="937"/>
      <c r="W614" s="937"/>
      <c r="X614" s="937"/>
      <c r="Y614" s="937"/>
      <c r="Z614" s="937"/>
    </row>
    <row r="615" spans="1:26" ht="15.75" customHeight="1">
      <c r="A615" s="937"/>
      <c r="B615" s="937"/>
      <c r="C615" s="937"/>
      <c r="D615" s="937"/>
      <c r="E615" s="937"/>
      <c r="F615" s="937"/>
      <c r="G615" s="937"/>
      <c r="H615" s="937"/>
      <c r="I615" s="937"/>
      <c r="J615" s="937"/>
      <c r="K615" s="937"/>
      <c r="L615" s="937"/>
      <c r="M615" s="937"/>
      <c r="N615" s="937"/>
      <c r="O615" s="937"/>
      <c r="P615" s="937"/>
      <c r="Q615" s="937"/>
      <c r="R615" s="937"/>
      <c r="S615" s="937"/>
      <c r="T615" s="937"/>
      <c r="U615" s="937"/>
      <c r="V615" s="937"/>
      <c r="W615" s="937"/>
      <c r="X615" s="937"/>
      <c r="Y615" s="937"/>
      <c r="Z615" s="937"/>
    </row>
    <row r="616" spans="1:26" ht="15.75" customHeight="1">
      <c r="A616" s="937"/>
      <c r="B616" s="937"/>
      <c r="C616" s="937"/>
      <c r="D616" s="937"/>
      <c r="E616" s="937"/>
      <c r="F616" s="937"/>
      <c r="G616" s="937"/>
      <c r="H616" s="937"/>
      <c r="I616" s="937"/>
      <c r="J616" s="937"/>
      <c r="K616" s="937"/>
      <c r="L616" s="937"/>
      <c r="M616" s="937"/>
      <c r="N616" s="937"/>
      <c r="O616" s="937"/>
      <c r="P616" s="937"/>
      <c r="Q616" s="937"/>
      <c r="R616" s="937"/>
      <c r="S616" s="937"/>
      <c r="T616" s="937"/>
      <c r="U616" s="937"/>
      <c r="V616" s="937"/>
      <c r="W616" s="937"/>
      <c r="X616" s="937"/>
      <c r="Y616" s="937"/>
      <c r="Z616" s="937"/>
    </row>
    <row r="617" spans="1:26" ht="15.75" customHeight="1">
      <c r="A617" s="937"/>
      <c r="B617" s="937"/>
      <c r="C617" s="937"/>
      <c r="D617" s="937"/>
      <c r="E617" s="937"/>
      <c r="F617" s="937"/>
      <c r="G617" s="937"/>
      <c r="H617" s="937"/>
      <c r="I617" s="937"/>
      <c r="J617" s="937"/>
      <c r="K617" s="937"/>
      <c r="L617" s="937"/>
      <c r="M617" s="937"/>
      <c r="N617" s="937"/>
      <c r="O617" s="937"/>
      <c r="P617" s="937"/>
      <c r="Q617" s="937"/>
      <c r="R617" s="937"/>
      <c r="S617" s="937"/>
      <c r="T617" s="937"/>
      <c r="U617" s="937"/>
      <c r="V617" s="937"/>
      <c r="W617" s="937"/>
      <c r="X617" s="937"/>
      <c r="Y617" s="937"/>
      <c r="Z617" s="937"/>
    </row>
    <row r="618" spans="1:26" ht="15.75" customHeight="1">
      <c r="A618" s="937"/>
      <c r="B618" s="937"/>
      <c r="C618" s="937"/>
      <c r="D618" s="937"/>
      <c r="E618" s="937"/>
      <c r="F618" s="937"/>
      <c r="G618" s="937"/>
      <c r="H618" s="937"/>
      <c r="I618" s="937"/>
      <c r="J618" s="937"/>
      <c r="K618" s="937"/>
      <c r="L618" s="937"/>
      <c r="M618" s="937"/>
      <c r="N618" s="937"/>
      <c r="O618" s="937"/>
      <c r="P618" s="937"/>
      <c r="Q618" s="937"/>
      <c r="R618" s="937"/>
      <c r="S618" s="937"/>
      <c r="T618" s="937"/>
      <c r="U618" s="937"/>
      <c r="V618" s="937"/>
      <c r="W618" s="937"/>
      <c r="X618" s="937"/>
      <c r="Y618" s="937"/>
      <c r="Z618" s="937"/>
    </row>
    <row r="619" spans="1:26" ht="15.75" customHeight="1">
      <c r="A619" s="937"/>
      <c r="B619" s="937"/>
      <c r="C619" s="937"/>
      <c r="D619" s="937"/>
      <c r="E619" s="937"/>
      <c r="F619" s="937"/>
      <c r="G619" s="937"/>
      <c r="H619" s="937"/>
      <c r="I619" s="937"/>
      <c r="J619" s="937"/>
      <c r="K619" s="937"/>
      <c r="L619" s="937"/>
      <c r="M619" s="937"/>
      <c r="N619" s="937"/>
      <c r="O619" s="937"/>
      <c r="P619" s="937"/>
      <c r="Q619" s="937"/>
      <c r="R619" s="937"/>
      <c r="S619" s="937"/>
      <c r="T619" s="937"/>
      <c r="U619" s="937"/>
      <c r="V619" s="937"/>
      <c r="W619" s="937"/>
      <c r="X619" s="937"/>
      <c r="Y619" s="937"/>
      <c r="Z619" s="937"/>
    </row>
    <row r="620" spans="1:26" ht="15.75" customHeight="1">
      <c r="A620" s="937"/>
      <c r="B620" s="937"/>
      <c r="C620" s="937"/>
      <c r="D620" s="937"/>
      <c r="E620" s="937"/>
      <c r="F620" s="937"/>
      <c r="G620" s="937"/>
      <c r="H620" s="937"/>
      <c r="I620" s="937"/>
      <c r="J620" s="937"/>
      <c r="K620" s="937"/>
      <c r="L620" s="937"/>
      <c r="M620" s="937"/>
      <c r="N620" s="937"/>
      <c r="O620" s="937"/>
      <c r="P620" s="937"/>
      <c r="Q620" s="937"/>
      <c r="R620" s="937"/>
      <c r="S620" s="937"/>
      <c r="T620" s="937"/>
      <c r="U620" s="937"/>
      <c r="V620" s="937"/>
      <c r="W620" s="937"/>
      <c r="X620" s="937"/>
      <c r="Y620" s="937"/>
      <c r="Z620" s="937"/>
    </row>
    <row r="621" spans="1:26" ht="15.75" customHeight="1">
      <c r="A621" s="937"/>
      <c r="B621" s="937"/>
      <c r="C621" s="937"/>
      <c r="D621" s="937"/>
      <c r="E621" s="937"/>
      <c r="F621" s="937"/>
      <c r="G621" s="937"/>
      <c r="H621" s="937"/>
      <c r="I621" s="937"/>
      <c r="J621" s="937"/>
      <c r="K621" s="937"/>
      <c r="L621" s="937"/>
      <c r="M621" s="937"/>
      <c r="N621" s="937"/>
      <c r="O621" s="937"/>
      <c r="P621" s="937"/>
      <c r="Q621" s="937"/>
      <c r="R621" s="937"/>
      <c r="S621" s="937"/>
      <c r="T621" s="937"/>
      <c r="U621" s="937"/>
      <c r="V621" s="937"/>
      <c r="W621" s="937"/>
      <c r="X621" s="937"/>
      <c r="Y621" s="937"/>
      <c r="Z621" s="937"/>
    </row>
    <row r="622" spans="1:26" ht="15.75" customHeight="1">
      <c r="A622" s="937"/>
      <c r="B622" s="937"/>
      <c r="C622" s="937"/>
      <c r="D622" s="937"/>
      <c r="E622" s="937"/>
      <c r="F622" s="937"/>
      <c r="G622" s="937"/>
      <c r="H622" s="937"/>
      <c r="I622" s="937"/>
      <c r="J622" s="937"/>
      <c r="K622" s="937"/>
      <c r="L622" s="937"/>
      <c r="M622" s="937"/>
      <c r="N622" s="937"/>
      <c r="O622" s="937"/>
      <c r="P622" s="937"/>
      <c r="Q622" s="937"/>
      <c r="R622" s="937"/>
      <c r="S622" s="937"/>
      <c r="T622" s="937"/>
      <c r="U622" s="937"/>
      <c r="V622" s="937"/>
      <c r="W622" s="937"/>
      <c r="X622" s="937"/>
      <c r="Y622" s="937"/>
      <c r="Z622" s="937"/>
    </row>
    <row r="623" spans="1:26" ht="15.75" customHeight="1">
      <c r="A623" s="937"/>
      <c r="B623" s="937"/>
      <c r="C623" s="937"/>
      <c r="D623" s="937"/>
      <c r="E623" s="937"/>
      <c r="F623" s="937"/>
      <c r="G623" s="937"/>
      <c r="H623" s="937"/>
      <c r="I623" s="937"/>
      <c r="J623" s="937"/>
      <c r="K623" s="937"/>
      <c r="L623" s="937"/>
      <c r="M623" s="937"/>
      <c r="N623" s="937"/>
      <c r="O623" s="937"/>
      <c r="P623" s="937"/>
      <c r="Q623" s="937"/>
      <c r="R623" s="937"/>
      <c r="S623" s="937"/>
      <c r="T623" s="937"/>
      <c r="U623" s="937"/>
      <c r="V623" s="937"/>
      <c r="W623" s="937"/>
      <c r="X623" s="937"/>
      <c r="Y623" s="937"/>
      <c r="Z623" s="937"/>
    </row>
    <row r="624" spans="1:26" ht="15.75" customHeight="1">
      <c r="A624" s="937"/>
      <c r="B624" s="937"/>
      <c r="C624" s="937"/>
      <c r="D624" s="937"/>
      <c r="E624" s="937"/>
      <c r="F624" s="937"/>
      <c r="G624" s="937"/>
      <c r="H624" s="937"/>
      <c r="I624" s="937"/>
      <c r="J624" s="937"/>
      <c r="K624" s="937"/>
      <c r="L624" s="937"/>
      <c r="M624" s="937"/>
      <c r="N624" s="937"/>
      <c r="O624" s="937"/>
      <c r="P624" s="937"/>
      <c r="Q624" s="937"/>
      <c r="R624" s="937"/>
      <c r="S624" s="937"/>
      <c r="T624" s="937"/>
      <c r="U624" s="937"/>
      <c r="V624" s="937"/>
      <c r="W624" s="937"/>
      <c r="X624" s="937"/>
      <c r="Y624" s="937"/>
      <c r="Z624" s="937"/>
    </row>
    <row r="625" spans="1:26" ht="15.75" customHeight="1">
      <c r="A625" s="937"/>
      <c r="B625" s="937"/>
      <c r="C625" s="937"/>
      <c r="D625" s="937"/>
      <c r="E625" s="937"/>
      <c r="F625" s="937"/>
      <c r="G625" s="937"/>
      <c r="H625" s="937"/>
      <c r="I625" s="937"/>
      <c r="J625" s="937"/>
      <c r="K625" s="937"/>
      <c r="L625" s="937"/>
      <c r="M625" s="937"/>
      <c r="N625" s="937"/>
      <c r="O625" s="937"/>
      <c r="P625" s="937"/>
      <c r="Q625" s="937"/>
      <c r="R625" s="937"/>
      <c r="S625" s="937"/>
      <c r="T625" s="937"/>
      <c r="U625" s="937"/>
      <c r="V625" s="937"/>
      <c r="W625" s="937"/>
      <c r="X625" s="937"/>
      <c r="Y625" s="937"/>
      <c r="Z625" s="937"/>
    </row>
    <row r="626" spans="1:26" ht="15.75" customHeight="1">
      <c r="A626" s="937"/>
      <c r="B626" s="937"/>
      <c r="C626" s="937"/>
      <c r="D626" s="937"/>
      <c r="E626" s="937"/>
      <c r="F626" s="937"/>
      <c r="G626" s="937"/>
      <c r="H626" s="937"/>
      <c r="I626" s="937"/>
      <c r="J626" s="937"/>
      <c r="K626" s="937"/>
      <c r="L626" s="937"/>
      <c r="M626" s="937"/>
      <c r="N626" s="937"/>
      <c r="O626" s="937"/>
      <c r="P626" s="937"/>
      <c r="Q626" s="937"/>
      <c r="R626" s="937"/>
      <c r="S626" s="937"/>
      <c r="T626" s="937"/>
      <c r="U626" s="937"/>
      <c r="V626" s="937"/>
      <c r="W626" s="937"/>
      <c r="X626" s="937"/>
      <c r="Y626" s="937"/>
      <c r="Z626" s="937"/>
    </row>
    <row r="627" spans="1:26" ht="15.75" customHeight="1">
      <c r="A627" s="937"/>
      <c r="B627" s="937"/>
      <c r="C627" s="937"/>
      <c r="D627" s="937"/>
      <c r="E627" s="937"/>
      <c r="F627" s="937"/>
      <c r="G627" s="937"/>
      <c r="H627" s="937"/>
      <c r="I627" s="937"/>
      <c r="J627" s="937"/>
      <c r="K627" s="937"/>
      <c r="L627" s="937"/>
      <c r="M627" s="937"/>
      <c r="N627" s="937"/>
      <c r="O627" s="937"/>
      <c r="P627" s="937"/>
      <c r="Q627" s="937"/>
      <c r="R627" s="937"/>
      <c r="S627" s="937"/>
      <c r="T627" s="937"/>
      <c r="U627" s="937"/>
      <c r="V627" s="937"/>
      <c r="W627" s="937"/>
      <c r="X627" s="937"/>
      <c r="Y627" s="937"/>
      <c r="Z627" s="937"/>
    </row>
    <row r="628" spans="1:26" ht="15.75" customHeight="1">
      <c r="A628" s="937"/>
      <c r="B628" s="937"/>
      <c r="C628" s="937"/>
      <c r="D628" s="937"/>
      <c r="E628" s="937"/>
      <c r="F628" s="937"/>
      <c r="G628" s="937"/>
      <c r="H628" s="937"/>
      <c r="I628" s="937"/>
      <c r="J628" s="937"/>
      <c r="K628" s="937"/>
      <c r="L628" s="937"/>
      <c r="M628" s="937"/>
      <c r="N628" s="937"/>
      <c r="O628" s="937"/>
      <c r="P628" s="937"/>
      <c r="Q628" s="937"/>
      <c r="R628" s="937"/>
      <c r="S628" s="937"/>
      <c r="T628" s="937"/>
      <c r="U628" s="937"/>
      <c r="V628" s="937"/>
      <c r="W628" s="937"/>
      <c r="X628" s="937"/>
      <c r="Y628" s="937"/>
      <c r="Z628" s="937"/>
    </row>
    <row r="629" spans="1:26" ht="15.75" customHeight="1">
      <c r="A629" s="937"/>
      <c r="B629" s="937"/>
      <c r="C629" s="937"/>
      <c r="D629" s="937"/>
      <c r="E629" s="937"/>
      <c r="F629" s="937"/>
      <c r="G629" s="937"/>
      <c r="H629" s="937"/>
      <c r="I629" s="937"/>
      <c r="J629" s="937"/>
      <c r="K629" s="937"/>
      <c r="L629" s="937"/>
      <c r="M629" s="937"/>
      <c r="N629" s="937"/>
      <c r="O629" s="937"/>
      <c r="P629" s="937"/>
      <c r="Q629" s="937"/>
      <c r="R629" s="937"/>
      <c r="S629" s="937"/>
      <c r="T629" s="937"/>
      <c r="U629" s="937"/>
      <c r="V629" s="937"/>
      <c r="W629" s="937"/>
      <c r="X629" s="937"/>
      <c r="Y629" s="937"/>
      <c r="Z629" s="937"/>
    </row>
    <row r="630" spans="1:26" ht="15.75" customHeight="1">
      <c r="A630" s="937"/>
      <c r="B630" s="937"/>
      <c r="C630" s="937"/>
      <c r="D630" s="937"/>
      <c r="E630" s="937"/>
      <c r="F630" s="937"/>
      <c r="G630" s="937"/>
      <c r="H630" s="937"/>
      <c r="I630" s="937"/>
      <c r="J630" s="937"/>
      <c r="K630" s="937"/>
      <c r="L630" s="937"/>
      <c r="M630" s="937"/>
      <c r="N630" s="937"/>
      <c r="O630" s="937"/>
      <c r="P630" s="937"/>
      <c r="Q630" s="937"/>
      <c r="R630" s="937"/>
      <c r="S630" s="937"/>
      <c r="T630" s="937"/>
      <c r="U630" s="937"/>
      <c r="V630" s="937"/>
      <c r="W630" s="937"/>
      <c r="X630" s="937"/>
      <c r="Y630" s="937"/>
      <c r="Z630" s="937"/>
    </row>
    <row r="631" spans="1:26" ht="15.75" customHeight="1">
      <c r="A631" s="937"/>
      <c r="B631" s="937"/>
      <c r="C631" s="937"/>
      <c r="D631" s="937"/>
      <c r="E631" s="937"/>
      <c r="F631" s="937"/>
      <c r="G631" s="937"/>
      <c r="H631" s="937"/>
      <c r="I631" s="937"/>
      <c r="J631" s="937"/>
      <c r="K631" s="937"/>
      <c r="L631" s="937"/>
      <c r="M631" s="937"/>
      <c r="N631" s="937"/>
      <c r="O631" s="937"/>
      <c r="P631" s="937"/>
      <c r="Q631" s="937"/>
      <c r="R631" s="937"/>
      <c r="S631" s="937"/>
      <c r="T631" s="937"/>
      <c r="U631" s="937"/>
      <c r="V631" s="937"/>
      <c r="W631" s="937"/>
      <c r="X631" s="937"/>
      <c r="Y631" s="937"/>
      <c r="Z631" s="937"/>
    </row>
    <row r="632" spans="1:26" ht="15.75" customHeight="1">
      <c r="A632" s="937"/>
      <c r="B632" s="937"/>
      <c r="C632" s="937"/>
      <c r="D632" s="937"/>
      <c r="E632" s="937"/>
      <c r="F632" s="937"/>
      <c r="G632" s="937"/>
      <c r="H632" s="937"/>
      <c r="I632" s="937"/>
      <c r="J632" s="937"/>
      <c r="K632" s="937"/>
      <c r="L632" s="937"/>
      <c r="M632" s="937"/>
      <c r="N632" s="937"/>
      <c r="O632" s="937"/>
      <c r="P632" s="937"/>
      <c r="Q632" s="937"/>
      <c r="R632" s="937"/>
      <c r="S632" s="937"/>
      <c r="T632" s="937"/>
      <c r="U632" s="937"/>
      <c r="V632" s="937"/>
      <c r="W632" s="937"/>
      <c r="X632" s="937"/>
      <c r="Y632" s="937"/>
      <c r="Z632" s="937"/>
    </row>
    <row r="633" spans="1:26" ht="15.75" customHeight="1">
      <c r="A633" s="937"/>
      <c r="B633" s="937"/>
      <c r="C633" s="937"/>
      <c r="D633" s="937"/>
      <c r="E633" s="937"/>
      <c r="F633" s="937"/>
      <c r="G633" s="937"/>
      <c r="H633" s="937"/>
      <c r="I633" s="937"/>
      <c r="J633" s="937"/>
      <c r="K633" s="937"/>
      <c r="L633" s="937"/>
      <c r="M633" s="937"/>
      <c r="N633" s="937"/>
      <c r="O633" s="937"/>
      <c r="P633" s="937"/>
      <c r="Q633" s="937"/>
      <c r="R633" s="937"/>
      <c r="S633" s="937"/>
      <c r="T633" s="937"/>
      <c r="U633" s="937"/>
      <c r="V633" s="937"/>
      <c r="W633" s="937"/>
      <c r="X633" s="937"/>
      <c r="Y633" s="937"/>
      <c r="Z633" s="937"/>
    </row>
    <row r="634" spans="1:26" ht="15.75" customHeight="1">
      <c r="A634" s="937"/>
      <c r="B634" s="937"/>
      <c r="C634" s="937"/>
      <c r="D634" s="937"/>
      <c r="E634" s="937"/>
      <c r="F634" s="937"/>
      <c r="G634" s="937"/>
      <c r="H634" s="937"/>
      <c r="I634" s="937"/>
      <c r="J634" s="937"/>
      <c r="K634" s="937"/>
      <c r="L634" s="937"/>
      <c r="M634" s="937"/>
      <c r="N634" s="937"/>
      <c r="O634" s="937"/>
      <c r="P634" s="937"/>
      <c r="Q634" s="937"/>
      <c r="R634" s="937"/>
      <c r="S634" s="937"/>
      <c r="T634" s="937"/>
      <c r="U634" s="937"/>
      <c r="V634" s="937"/>
      <c r="W634" s="937"/>
      <c r="X634" s="937"/>
      <c r="Y634" s="937"/>
      <c r="Z634" s="937"/>
    </row>
    <row r="635" spans="1:26" ht="15.75" customHeight="1">
      <c r="A635" s="937"/>
      <c r="B635" s="937"/>
      <c r="C635" s="937"/>
      <c r="D635" s="937"/>
      <c r="E635" s="937"/>
      <c r="F635" s="937"/>
      <c r="G635" s="937"/>
      <c r="H635" s="937"/>
      <c r="I635" s="937"/>
      <c r="J635" s="937"/>
      <c r="K635" s="937"/>
      <c r="L635" s="937"/>
      <c r="M635" s="937"/>
      <c r="N635" s="937"/>
      <c r="O635" s="937"/>
      <c r="P635" s="937"/>
      <c r="Q635" s="937"/>
      <c r="R635" s="937"/>
      <c r="S635" s="937"/>
      <c r="T635" s="937"/>
      <c r="U635" s="937"/>
      <c r="V635" s="937"/>
      <c r="W635" s="937"/>
      <c r="X635" s="937"/>
      <c r="Y635" s="937"/>
      <c r="Z635" s="937"/>
    </row>
    <row r="636" spans="1:26" ht="15.75" customHeight="1">
      <c r="A636" s="937"/>
      <c r="B636" s="937"/>
      <c r="C636" s="937"/>
      <c r="D636" s="937"/>
      <c r="E636" s="937"/>
      <c r="F636" s="937"/>
      <c r="G636" s="937"/>
      <c r="H636" s="937"/>
      <c r="I636" s="937"/>
      <c r="J636" s="937"/>
      <c r="K636" s="937"/>
      <c r="L636" s="937"/>
      <c r="M636" s="937"/>
      <c r="N636" s="937"/>
      <c r="O636" s="937"/>
      <c r="P636" s="937"/>
      <c r="Q636" s="937"/>
      <c r="R636" s="937"/>
      <c r="S636" s="937"/>
      <c r="T636" s="937"/>
      <c r="U636" s="937"/>
      <c r="V636" s="937"/>
      <c r="W636" s="937"/>
      <c r="X636" s="937"/>
      <c r="Y636" s="937"/>
      <c r="Z636" s="937"/>
    </row>
    <row r="637" spans="1:26" ht="15.75" customHeight="1">
      <c r="A637" s="937"/>
      <c r="B637" s="937"/>
      <c r="C637" s="937"/>
      <c r="D637" s="937"/>
      <c r="E637" s="937"/>
      <c r="F637" s="937"/>
      <c r="G637" s="937"/>
      <c r="H637" s="937"/>
      <c r="I637" s="937"/>
      <c r="J637" s="937"/>
      <c r="K637" s="937"/>
      <c r="L637" s="937"/>
      <c r="M637" s="937"/>
      <c r="N637" s="937"/>
      <c r="O637" s="937"/>
      <c r="P637" s="937"/>
      <c r="Q637" s="937"/>
      <c r="R637" s="937"/>
      <c r="S637" s="937"/>
      <c r="T637" s="937"/>
      <c r="U637" s="937"/>
      <c r="V637" s="937"/>
      <c r="W637" s="937"/>
      <c r="X637" s="937"/>
      <c r="Y637" s="937"/>
      <c r="Z637" s="937"/>
    </row>
    <row r="638" spans="1:26" ht="15.75" customHeight="1">
      <c r="A638" s="937"/>
      <c r="B638" s="937"/>
      <c r="C638" s="937"/>
      <c r="D638" s="937"/>
      <c r="E638" s="937"/>
      <c r="F638" s="937"/>
      <c r="G638" s="937"/>
      <c r="H638" s="937"/>
      <c r="I638" s="937"/>
      <c r="J638" s="937"/>
      <c r="K638" s="937"/>
      <c r="L638" s="937"/>
      <c r="M638" s="937"/>
      <c r="N638" s="937"/>
      <c r="O638" s="937"/>
      <c r="P638" s="937"/>
      <c r="Q638" s="937"/>
      <c r="R638" s="937"/>
      <c r="S638" s="937"/>
      <c r="T638" s="937"/>
      <c r="U638" s="937"/>
      <c r="V638" s="937"/>
      <c r="W638" s="937"/>
      <c r="X638" s="937"/>
      <c r="Y638" s="937"/>
      <c r="Z638" s="937"/>
    </row>
    <row r="639" spans="1:26" ht="15.75" customHeight="1">
      <c r="A639" s="937"/>
      <c r="B639" s="937"/>
      <c r="C639" s="937"/>
      <c r="D639" s="937"/>
      <c r="E639" s="937"/>
      <c r="F639" s="937"/>
      <c r="G639" s="937"/>
      <c r="H639" s="937"/>
      <c r="I639" s="937"/>
      <c r="J639" s="937"/>
      <c r="K639" s="937"/>
      <c r="L639" s="937"/>
      <c r="M639" s="937"/>
      <c r="N639" s="937"/>
      <c r="O639" s="937"/>
      <c r="P639" s="937"/>
      <c r="Q639" s="937"/>
      <c r="R639" s="937"/>
      <c r="S639" s="937"/>
      <c r="T639" s="937"/>
      <c r="U639" s="937"/>
      <c r="V639" s="937"/>
      <c r="W639" s="937"/>
      <c r="X639" s="937"/>
      <c r="Y639" s="937"/>
      <c r="Z639" s="937"/>
    </row>
    <row r="640" spans="1:26" ht="15.75" customHeight="1">
      <c r="A640" s="937"/>
      <c r="B640" s="937"/>
      <c r="C640" s="937"/>
      <c r="D640" s="937"/>
      <c r="E640" s="937"/>
      <c r="F640" s="937"/>
      <c r="G640" s="937"/>
      <c r="H640" s="937"/>
      <c r="I640" s="937"/>
      <c r="J640" s="937"/>
      <c r="K640" s="937"/>
      <c r="L640" s="937"/>
      <c r="M640" s="937"/>
      <c r="N640" s="937"/>
      <c r="O640" s="937"/>
      <c r="P640" s="937"/>
      <c r="Q640" s="937"/>
      <c r="R640" s="937"/>
      <c r="S640" s="937"/>
      <c r="T640" s="937"/>
      <c r="U640" s="937"/>
      <c r="V640" s="937"/>
      <c r="W640" s="937"/>
      <c r="X640" s="937"/>
      <c r="Y640" s="937"/>
      <c r="Z640" s="937"/>
    </row>
    <row r="641" spans="1:26" ht="15.75" customHeight="1">
      <c r="A641" s="937"/>
      <c r="B641" s="937"/>
      <c r="C641" s="937"/>
      <c r="D641" s="937"/>
      <c r="E641" s="937"/>
      <c r="F641" s="937"/>
      <c r="G641" s="937"/>
      <c r="H641" s="937"/>
      <c r="I641" s="937"/>
      <c r="J641" s="937"/>
      <c r="K641" s="937"/>
      <c r="L641" s="937"/>
      <c r="M641" s="937"/>
      <c r="N641" s="937"/>
      <c r="O641" s="937"/>
      <c r="P641" s="937"/>
      <c r="Q641" s="937"/>
      <c r="R641" s="937"/>
      <c r="S641" s="937"/>
      <c r="T641" s="937"/>
      <c r="U641" s="937"/>
      <c r="V641" s="937"/>
      <c r="W641" s="937"/>
      <c r="X641" s="937"/>
      <c r="Y641" s="937"/>
      <c r="Z641" s="937"/>
    </row>
    <row r="642" spans="1:26" ht="15.75" customHeight="1">
      <c r="A642" s="937"/>
      <c r="B642" s="937"/>
      <c r="C642" s="937"/>
      <c r="D642" s="937"/>
      <c r="E642" s="937"/>
      <c r="F642" s="937"/>
      <c r="G642" s="937"/>
      <c r="H642" s="937"/>
      <c r="I642" s="937"/>
      <c r="J642" s="937"/>
      <c r="K642" s="937"/>
      <c r="L642" s="937"/>
      <c r="M642" s="937"/>
      <c r="N642" s="937"/>
      <c r="O642" s="937"/>
      <c r="P642" s="937"/>
      <c r="Q642" s="937"/>
      <c r="R642" s="937"/>
      <c r="S642" s="937"/>
      <c r="T642" s="937"/>
      <c r="U642" s="937"/>
      <c r="V642" s="937"/>
      <c r="W642" s="937"/>
      <c r="X642" s="937"/>
      <c r="Y642" s="937"/>
      <c r="Z642" s="937"/>
    </row>
    <row r="643" spans="1:26" ht="15.75" customHeight="1">
      <c r="A643" s="937"/>
      <c r="B643" s="937"/>
      <c r="C643" s="937"/>
      <c r="D643" s="937"/>
      <c r="E643" s="937"/>
      <c r="F643" s="937"/>
      <c r="G643" s="937"/>
      <c r="H643" s="937"/>
      <c r="I643" s="937"/>
      <c r="J643" s="937"/>
      <c r="K643" s="937"/>
      <c r="L643" s="937"/>
      <c r="M643" s="937"/>
      <c r="N643" s="937"/>
      <c r="O643" s="937"/>
      <c r="P643" s="937"/>
      <c r="Q643" s="937"/>
      <c r="R643" s="937"/>
      <c r="S643" s="937"/>
      <c r="T643" s="937"/>
      <c r="U643" s="937"/>
      <c r="V643" s="937"/>
      <c r="W643" s="937"/>
      <c r="X643" s="937"/>
      <c r="Y643" s="937"/>
      <c r="Z643" s="937"/>
    </row>
    <row r="644" spans="1:26" ht="15.75" customHeight="1">
      <c r="A644" s="937"/>
      <c r="B644" s="937"/>
      <c r="C644" s="937"/>
      <c r="D644" s="937"/>
      <c r="E644" s="937"/>
      <c r="F644" s="937"/>
      <c r="G644" s="937"/>
      <c r="H644" s="937"/>
      <c r="I644" s="937"/>
      <c r="J644" s="937"/>
      <c r="K644" s="937"/>
      <c r="L644" s="937"/>
      <c r="M644" s="937"/>
      <c r="N644" s="937"/>
      <c r="O644" s="937"/>
      <c r="P644" s="937"/>
      <c r="Q644" s="937"/>
      <c r="R644" s="937"/>
      <c r="S644" s="937"/>
      <c r="T644" s="937"/>
      <c r="U644" s="937"/>
      <c r="V644" s="937"/>
      <c r="W644" s="937"/>
      <c r="X644" s="937"/>
      <c r="Y644" s="937"/>
      <c r="Z644" s="937"/>
    </row>
    <row r="645" spans="1:26" ht="15.75" customHeight="1">
      <c r="A645" s="937"/>
      <c r="B645" s="937"/>
      <c r="C645" s="937"/>
      <c r="D645" s="937"/>
      <c r="E645" s="937"/>
      <c r="F645" s="937"/>
      <c r="G645" s="937"/>
      <c r="H645" s="937"/>
      <c r="I645" s="937"/>
      <c r="J645" s="937"/>
      <c r="K645" s="937"/>
      <c r="L645" s="937"/>
      <c r="M645" s="937"/>
      <c r="N645" s="937"/>
      <c r="O645" s="937"/>
      <c r="P645" s="937"/>
      <c r="Q645" s="937"/>
      <c r="R645" s="937"/>
      <c r="S645" s="937"/>
      <c r="T645" s="937"/>
      <c r="U645" s="937"/>
      <c r="V645" s="937"/>
      <c r="W645" s="937"/>
      <c r="X645" s="937"/>
      <c r="Y645" s="937"/>
      <c r="Z645" s="937"/>
    </row>
    <row r="646" spans="1:26" ht="15.75" customHeight="1">
      <c r="A646" s="937"/>
      <c r="B646" s="937"/>
      <c r="C646" s="937"/>
      <c r="D646" s="937"/>
      <c r="E646" s="937"/>
      <c r="F646" s="937"/>
      <c r="G646" s="937"/>
      <c r="H646" s="937"/>
      <c r="I646" s="937"/>
      <c r="J646" s="937"/>
      <c r="K646" s="937"/>
      <c r="L646" s="937"/>
      <c r="M646" s="937"/>
      <c r="N646" s="937"/>
      <c r="O646" s="937"/>
      <c r="P646" s="937"/>
      <c r="Q646" s="937"/>
      <c r="R646" s="937"/>
      <c r="S646" s="937"/>
      <c r="T646" s="937"/>
      <c r="U646" s="937"/>
      <c r="V646" s="937"/>
      <c r="W646" s="937"/>
      <c r="X646" s="937"/>
      <c r="Y646" s="937"/>
      <c r="Z646" s="937"/>
    </row>
    <row r="647" spans="1:26" ht="15.75" customHeight="1">
      <c r="A647" s="937"/>
      <c r="B647" s="937"/>
      <c r="C647" s="937"/>
      <c r="D647" s="937"/>
      <c r="E647" s="937"/>
      <c r="F647" s="937"/>
      <c r="G647" s="937"/>
      <c r="H647" s="937"/>
      <c r="I647" s="937"/>
      <c r="J647" s="937"/>
      <c r="K647" s="937"/>
      <c r="L647" s="937"/>
      <c r="M647" s="937"/>
      <c r="N647" s="937"/>
      <c r="O647" s="937"/>
      <c r="P647" s="937"/>
      <c r="Q647" s="937"/>
      <c r="R647" s="937"/>
      <c r="S647" s="937"/>
      <c r="T647" s="937"/>
      <c r="U647" s="937"/>
      <c r="V647" s="937"/>
      <c r="W647" s="937"/>
      <c r="X647" s="937"/>
      <c r="Y647" s="937"/>
      <c r="Z647" s="937"/>
    </row>
    <row r="648" spans="1:26" ht="15.75" customHeight="1">
      <c r="A648" s="937"/>
      <c r="B648" s="937"/>
      <c r="C648" s="937"/>
      <c r="D648" s="937"/>
      <c r="E648" s="937"/>
      <c r="F648" s="937"/>
      <c r="G648" s="937"/>
      <c r="H648" s="937"/>
      <c r="I648" s="937"/>
      <c r="J648" s="937"/>
      <c r="K648" s="937"/>
      <c r="L648" s="937"/>
      <c r="M648" s="937"/>
      <c r="N648" s="937"/>
      <c r="O648" s="937"/>
      <c r="P648" s="937"/>
      <c r="Q648" s="937"/>
      <c r="R648" s="937"/>
      <c r="S648" s="937"/>
      <c r="T648" s="937"/>
      <c r="U648" s="937"/>
      <c r="V648" s="937"/>
      <c r="W648" s="937"/>
      <c r="X648" s="937"/>
      <c r="Y648" s="937"/>
      <c r="Z648" s="937"/>
    </row>
    <row r="649" spans="1:26" ht="15.75" customHeight="1">
      <c r="A649" s="937"/>
      <c r="B649" s="937"/>
      <c r="C649" s="937"/>
      <c r="D649" s="937"/>
      <c r="E649" s="937"/>
      <c r="F649" s="937"/>
      <c r="G649" s="937"/>
      <c r="H649" s="937"/>
      <c r="I649" s="937"/>
      <c r="J649" s="937"/>
      <c r="K649" s="937"/>
      <c r="L649" s="937"/>
      <c r="M649" s="937"/>
      <c r="N649" s="937"/>
      <c r="O649" s="937"/>
      <c r="P649" s="937"/>
      <c r="Q649" s="937"/>
      <c r="R649" s="937"/>
      <c r="S649" s="937"/>
      <c r="T649" s="937"/>
      <c r="U649" s="937"/>
      <c r="V649" s="937"/>
      <c r="W649" s="937"/>
      <c r="X649" s="937"/>
      <c r="Y649" s="937"/>
      <c r="Z649" s="937"/>
    </row>
    <row r="650" spans="1:26" ht="15.75" customHeight="1">
      <c r="A650" s="937"/>
      <c r="B650" s="937"/>
      <c r="C650" s="937"/>
      <c r="D650" s="937"/>
      <c r="E650" s="937"/>
      <c r="F650" s="937"/>
      <c r="G650" s="937"/>
      <c r="H650" s="937"/>
      <c r="I650" s="937"/>
      <c r="J650" s="937"/>
      <c r="K650" s="937"/>
      <c r="L650" s="937"/>
      <c r="M650" s="937"/>
      <c r="N650" s="937"/>
      <c r="O650" s="937"/>
      <c r="P650" s="937"/>
      <c r="Q650" s="937"/>
      <c r="R650" s="937"/>
      <c r="S650" s="937"/>
      <c r="T650" s="937"/>
      <c r="U650" s="937"/>
      <c r="V650" s="937"/>
      <c r="W650" s="937"/>
      <c r="X650" s="937"/>
      <c r="Y650" s="937"/>
      <c r="Z650" s="937"/>
    </row>
    <row r="651" spans="1:26" ht="15.75" customHeight="1">
      <c r="A651" s="937"/>
      <c r="B651" s="937"/>
      <c r="C651" s="937"/>
      <c r="D651" s="937"/>
      <c r="E651" s="937"/>
      <c r="F651" s="937"/>
      <c r="G651" s="937"/>
      <c r="H651" s="937"/>
      <c r="I651" s="937"/>
      <c r="J651" s="937"/>
      <c r="K651" s="937"/>
      <c r="L651" s="937"/>
      <c r="M651" s="937"/>
      <c r="N651" s="937"/>
      <c r="O651" s="937"/>
      <c r="P651" s="937"/>
      <c r="Q651" s="937"/>
      <c r="R651" s="937"/>
      <c r="S651" s="937"/>
      <c r="T651" s="937"/>
      <c r="U651" s="937"/>
      <c r="V651" s="937"/>
      <c r="W651" s="937"/>
      <c r="X651" s="937"/>
      <c r="Y651" s="937"/>
      <c r="Z651" s="937"/>
    </row>
    <row r="652" spans="1:26" ht="15.75" customHeight="1">
      <c r="A652" s="937"/>
      <c r="B652" s="937"/>
      <c r="C652" s="937"/>
      <c r="D652" s="937"/>
      <c r="E652" s="937"/>
      <c r="F652" s="937"/>
      <c r="G652" s="937"/>
      <c r="H652" s="937"/>
      <c r="I652" s="937"/>
      <c r="J652" s="937"/>
      <c r="K652" s="937"/>
      <c r="L652" s="937"/>
      <c r="M652" s="937"/>
      <c r="N652" s="937"/>
      <c r="O652" s="937"/>
      <c r="P652" s="937"/>
      <c r="Q652" s="937"/>
      <c r="R652" s="937"/>
      <c r="S652" s="937"/>
      <c r="T652" s="937"/>
      <c r="U652" s="937"/>
      <c r="V652" s="937"/>
      <c r="W652" s="937"/>
      <c r="X652" s="937"/>
      <c r="Y652" s="937"/>
      <c r="Z652" s="937"/>
    </row>
    <row r="653" spans="1:26" ht="15.75" customHeight="1">
      <c r="A653" s="937"/>
      <c r="B653" s="937"/>
      <c r="C653" s="937"/>
      <c r="D653" s="937"/>
      <c r="E653" s="937"/>
      <c r="F653" s="937"/>
      <c r="G653" s="937"/>
      <c r="H653" s="937"/>
      <c r="I653" s="937"/>
      <c r="J653" s="937"/>
      <c r="K653" s="937"/>
      <c r="L653" s="937"/>
      <c r="M653" s="937"/>
      <c r="N653" s="937"/>
      <c r="O653" s="937"/>
      <c r="P653" s="937"/>
      <c r="Q653" s="937"/>
      <c r="R653" s="937"/>
      <c r="S653" s="937"/>
      <c r="T653" s="937"/>
      <c r="U653" s="937"/>
      <c r="V653" s="937"/>
      <c r="W653" s="937"/>
      <c r="X653" s="937"/>
      <c r="Y653" s="937"/>
      <c r="Z653" s="937"/>
    </row>
    <row r="654" spans="1:26" ht="15.75" customHeight="1">
      <c r="A654" s="937"/>
      <c r="B654" s="937"/>
      <c r="C654" s="937"/>
      <c r="D654" s="937"/>
      <c r="E654" s="937"/>
      <c r="F654" s="937"/>
      <c r="G654" s="937"/>
      <c r="H654" s="937"/>
      <c r="I654" s="937"/>
      <c r="J654" s="937"/>
      <c r="K654" s="937"/>
      <c r="L654" s="937"/>
      <c r="M654" s="937"/>
      <c r="N654" s="937"/>
      <c r="O654" s="937"/>
      <c r="P654" s="937"/>
      <c r="Q654" s="937"/>
      <c r="R654" s="937"/>
      <c r="S654" s="937"/>
      <c r="T654" s="937"/>
      <c r="U654" s="937"/>
      <c r="V654" s="937"/>
      <c r="W654" s="937"/>
      <c r="X654" s="937"/>
      <c r="Y654" s="937"/>
      <c r="Z654" s="937"/>
    </row>
    <row r="655" spans="1:26" ht="15.75" customHeight="1">
      <c r="A655" s="937"/>
      <c r="B655" s="937"/>
      <c r="C655" s="937"/>
      <c r="D655" s="937"/>
      <c r="E655" s="937"/>
      <c r="F655" s="937"/>
      <c r="G655" s="937"/>
      <c r="H655" s="937"/>
      <c r="I655" s="937"/>
      <c r="J655" s="937"/>
      <c r="K655" s="937"/>
      <c r="L655" s="937"/>
      <c r="M655" s="937"/>
      <c r="N655" s="937"/>
      <c r="O655" s="937"/>
      <c r="P655" s="937"/>
      <c r="Q655" s="937"/>
      <c r="R655" s="937"/>
      <c r="S655" s="937"/>
      <c r="T655" s="937"/>
      <c r="U655" s="937"/>
      <c r="V655" s="937"/>
      <c r="W655" s="937"/>
      <c r="X655" s="937"/>
      <c r="Y655" s="937"/>
      <c r="Z655" s="937"/>
    </row>
    <row r="656" spans="1:26" ht="15.75" customHeight="1">
      <c r="A656" s="937"/>
      <c r="B656" s="937"/>
      <c r="C656" s="937"/>
      <c r="D656" s="937"/>
      <c r="E656" s="937"/>
      <c r="F656" s="937"/>
      <c r="G656" s="937"/>
      <c r="H656" s="937"/>
      <c r="I656" s="937"/>
      <c r="J656" s="937"/>
      <c r="K656" s="937"/>
      <c r="L656" s="937"/>
      <c r="M656" s="937"/>
      <c r="N656" s="937"/>
      <c r="O656" s="937"/>
      <c r="P656" s="937"/>
      <c r="Q656" s="937"/>
      <c r="R656" s="937"/>
      <c r="S656" s="937"/>
      <c r="T656" s="937"/>
      <c r="U656" s="937"/>
      <c r="V656" s="937"/>
      <c r="W656" s="937"/>
      <c r="X656" s="937"/>
      <c r="Y656" s="937"/>
      <c r="Z656" s="937"/>
    </row>
    <row r="657" spans="1:26" ht="15.75" customHeight="1">
      <c r="A657" s="937"/>
      <c r="B657" s="937"/>
      <c r="C657" s="937"/>
      <c r="D657" s="937"/>
      <c r="E657" s="937"/>
      <c r="F657" s="937"/>
      <c r="G657" s="937"/>
      <c r="H657" s="937"/>
      <c r="I657" s="937"/>
      <c r="J657" s="937"/>
      <c r="K657" s="937"/>
      <c r="L657" s="937"/>
      <c r="M657" s="937"/>
      <c r="N657" s="937"/>
      <c r="O657" s="937"/>
      <c r="P657" s="937"/>
      <c r="Q657" s="937"/>
      <c r="R657" s="937"/>
      <c r="S657" s="937"/>
      <c r="T657" s="937"/>
      <c r="U657" s="937"/>
      <c r="V657" s="937"/>
      <c r="W657" s="937"/>
      <c r="X657" s="937"/>
      <c r="Y657" s="937"/>
      <c r="Z657" s="937"/>
    </row>
    <row r="658" spans="1:26" ht="15.75" customHeight="1">
      <c r="A658" s="937"/>
      <c r="B658" s="937"/>
      <c r="C658" s="937"/>
      <c r="D658" s="937"/>
      <c r="E658" s="937"/>
      <c r="F658" s="937"/>
      <c r="G658" s="937"/>
      <c r="H658" s="937"/>
      <c r="I658" s="937"/>
      <c r="J658" s="937"/>
      <c r="K658" s="937"/>
      <c r="L658" s="937"/>
      <c r="M658" s="937"/>
      <c r="N658" s="937"/>
      <c r="O658" s="937"/>
      <c r="P658" s="937"/>
      <c r="Q658" s="937"/>
      <c r="R658" s="937"/>
      <c r="S658" s="937"/>
      <c r="T658" s="937"/>
      <c r="U658" s="937"/>
      <c r="V658" s="937"/>
      <c r="W658" s="937"/>
      <c r="X658" s="937"/>
      <c r="Y658" s="937"/>
      <c r="Z658" s="937"/>
    </row>
    <row r="659" spans="1:26" ht="15.75" customHeight="1">
      <c r="A659" s="937"/>
      <c r="B659" s="937"/>
      <c r="C659" s="937"/>
      <c r="D659" s="937"/>
      <c r="E659" s="937"/>
      <c r="F659" s="937"/>
      <c r="G659" s="937"/>
      <c r="H659" s="937"/>
      <c r="I659" s="937"/>
      <c r="J659" s="937"/>
      <c r="K659" s="937"/>
      <c r="L659" s="937"/>
      <c r="M659" s="937"/>
      <c r="N659" s="937"/>
      <c r="O659" s="937"/>
      <c r="P659" s="937"/>
      <c r="Q659" s="937"/>
      <c r="R659" s="937"/>
      <c r="S659" s="937"/>
      <c r="T659" s="937"/>
      <c r="U659" s="937"/>
      <c r="V659" s="937"/>
      <c r="W659" s="937"/>
      <c r="X659" s="937"/>
      <c r="Y659" s="937"/>
      <c r="Z659" s="937"/>
    </row>
    <row r="660" spans="1:26" ht="15.75" customHeight="1">
      <c r="A660" s="937"/>
      <c r="B660" s="937"/>
      <c r="C660" s="937"/>
      <c r="D660" s="937"/>
      <c r="E660" s="937"/>
      <c r="F660" s="937"/>
      <c r="G660" s="937"/>
      <c r="H660" s="937"/>
      <c r="I660" s="937"/>
      <c r="J660" s="937"/>
      <c r="K660" s="937"/>
      <c r="L660" s="937"/>
      <c r="M660" s="937"/>
      <c r="N660" s="937"/>
      <c r="O660" s="937"/>
      <c r="P660" s="937"/>
      <c r="Q660" s="937"/>
      <c r="R660" s="937"/>
      <c r="S660" s="937"/>
      <c r="T660" s="937"/>
      <c r="U660" s="937"/>
      <c r="V660" s="937"/>
      <c r="W660" s="937"/>
      <c r="X660" s="937"/>
      <c r="Y660" s="937"/>
      <c r="Z660" s="937"/>
    </row>
    <row r="661" spans="1:26" ht="15.75" customHeight="1">
      <c r="A661" s="937"/>
      <c r="B661" s="937"/>
      <c r="C661" s="937"/>
      <c r="D661" s="937"/>
      <c r="E661" s="937"/>
      <c r="F661" s="937"/>
      <c r="G661" s="937"/>
      <c r="H661" s="937"/>
      <c r="I661" s="937"/>
      <c r="J661" s="937"/>
      <c r="K661" s="937"/>
      <c r="L661" s="937"/>
      <c r="M661" s="937"/>
      <c r="N661" s="937"/>
      <c r="O661" s="937"/>
      <c r="P661" s="937"/>
      <c r="Q661" s="937"/>
      <c r="R661" s="937"/>
      <c r="S661" s="937"/>
      <c r="T661" s="937"/>
      <c r="U661" s="937"/>
      <c r="V661" s="937"/>
      <c r="W661" s="937"/>
      <c r="X661" s="937"/>
      <c r="Y661" s="937"/>
      <c r="Z661" s="937"/>
    </row>
    <row r="662" spans="1:26" ht="15.75" customHeight="1">
      <c r="A662" s="937"/>
      <c r="B662" s="937"/>
      <c r="C662" s="937"/>
      <c r="D662" s="937"/>
      <c r="E662" s="937"/>
      <c r="F662" s="937"/>
      <c r="G662" s="937"/>
      <c r="H662" s="937"/>
      <c r="I662" s="937"/>
      <c r="J662" s="937"/>
      <c r="K662" s="937"/>
      <c r="L662" s="937"/>
      <c r="M662" s="937"/>
      <c r="N662" s="937"/>
      <c r="O662" s="937"/>
      <c r="P662" s="937"/>
      <c r="Q662" s="937"/>
      <c r="R662" s="937"/>
      <c r="S662" s="937"/>
      <c r="T662" s="937"/>
      <c r="U662" s="937"/>
      <c r="V662" s="937"/>
      <c r="W662" s="937"/>
      <c r="X662" s="937"/>
      <c r="Y662" s="937"/>
      <c r="Z662" s="937"/>
    </row>
    <row r="663" spans="1:26" ht="15.75" customHeight="1">
      <c r="A663" s="937"/>
      <c r="B663" s="937"/>
      <c r="C663" s="937"/>
      <c r="D663" s="937"/>
      <c r="E663" s="937"/>
      <c r="F663" s="937"/>
      <c r="G663" s="937"/>
      <c r="H663" s="937"/>
      <c r="I663" s="937"/>
      <c r="J663" s="937"/>
      <c r="K663" s="937"/>
      <c r="L663" s="937"/>
      <c r="M663" s="937"/>
      <c r="N663" s="937"/>
      <c r="O663" s="937"/>
      <c r="P663" s="937"/>
      <c r="Q663" s="937"/>
      <c r="R663" s="937"/>
      <c r="S663" s="937"/>
      <c r="T663" s="937"/>
      <c r="U663" s="937"/>
      <c r="V663" s="937"/>
      <c r="W663" s="937"/>
      <c r="X663" s="937"/>
      <c r="Y663" s="937"/>
      <c r="Z663" s="937"/>
    </row>
    <row r="664" spans="1:26" ht="15.75" customHeight="1">
      <c r="A664" s="937"/>
      <c r="B664" s="937"/>
      <c r="C664" s="937"/>
      <c r="D664" s="937"/>
      <c r="E664" s="937"/>
      <c r="F664" s="937"/>
      <c r="G664" s="937"/>
      <c r="H664" s="937"/>
      <c r="I664" s="937"/>
      <c r="J664" s="937"/>
      <c r="K664" s="937"/>
      <c r="L664" s="937"/>
      <c r="M664" s="937"/>
      <c r="N664" s="937"/>
      <c r="O664" s="937"/>
      <c r="P664" s="937"/>
      <c r="Q664" s="937"/>
      <c r="R664" s="937"/>
      <c r="S664" s="937"/>
      <c r="T664" s="937"/>
      <c r="U664" s="937"/>
      <c r="V664" s="937"/>
      <c r="W664" s="937"/>
      <c r="X664" s="937"/>
      <c r="Y664" s="937"/>
      <c r="Z664" s="937"/>
    </row>
    <row r="665" spans="1:26" ht="15.75" customHeight="1">
      <c r="A665" s="937"/>
      <c r="B665" s="937"/>
      <c r="C665" s="937"/>
      <c r="D665" s="937"/>
      <c r="E665" s="937"/>
      <c r="F665" s="937"/>
      <c r="G665" s="937"/>
      <c r="H665" s="937"/>
      <c r="I665" s="937"/>
      <c r="J665" s="937"/>
      <c r="K665" s="937"/>
      <c r="L665" s="937"/>
      <c r="M665" s="937"/>
      <c r="N665" s="937"/>
      <c r="O665" s="937"/>
      <c r="P665" s="937"/>
      <c r="Q665" s="937"/>
      <c r="R665" s="937"/>
      <c r="S665" s="937"/>
      <c r="T665" s="937"/>
      <c r="U665" s="937"/>
      <c r="V665" s="937"/>
      <c r="W665" s="937"/>
      <c r="X665" s="937"/>
      <c r="Y665" s="937"/>
      <c r="Z665" s="937"/>
    </row>
    <row r="666" spans="1:26" ht="15.75" customHeight="1">
      <c r="A666" s="937"/>
      <c r="B666" s="937"/>
      <c r="C666" s="937"/>
      <c r="D666" s="937"/>
      <c r="E666" s="937"/>
      <c r="F666" s="937"/>
      <c r="G666" s="937"/>
      <c r="H666" s="937"/>
      <c r="I666" s="937"/>
      <c r="J666" s="937"/>
      <c r="K666" s="937"/>
      <c r="L666" s="937"/>
      <c r="M666" s="937"/>
      <c r="N666" s="937"/>
      <c r="O666" s="937"/>
      <c r="P666" s="937"/>
      <c r="Q666" s="937"/>
      <c r="R666" s="937"/>
      <c r="S666" s="937"/>
      <c r="T666" s="937"/>
      <c r="U666" s="937"/>
      <c r="V666" s="937"/>
      <c r="W666" s="937"/>
      <c r="X666" s="937"/>
      <c r="Y666" s="937"/>
      <c r="Z666" s="937"/>
    </row>
    <row r="667" spans="1:26" ht="15.75" customHeight="1">
      <c r="A667" s="937"/>
      <c r="B667" s="937"/>
      <c r="C667" s="937"/>
      <c r="D667" s="937"/>
      <c r="E667" s="937"/>
      <c r="F667" s="937"/>
      <c r="G667" s="937"/>
      <c r="H667" s="937"/>
      <c r="I667" s="937"/>
      <c r="J667" s="937"/>
      <c r="K667" s="937"/>
      <c r="L667" s="937"/>
      <c r="M667" s="937"/>
      <c r="N667" s="937"/>
      <c r="O667" s="937"/>
      <c r="P667" s="937"/>
      <c r="Q667" s="937"/>
      <c r="R667" s="937"/>
      <c r="S667" s="937"/>
      <c r="T667" s="937"/>
      <c r="U667" s="937"/>
      <c r="V667" s="937"/>
      <c r="W667" s="937"/>
      <c r="X667" s="937"/>
      <c r="Y667" s="937"/>
      <c r="Z667" s="937"/>
    </row>
    <row r="668" spans="1:26" ht="15.75" customHeight="1">
      <c r="A668" s="937"/>
      <c r="B668" s="937"/>
      <c r="C668" s="937"/>
      <c r="D668" s="937"/>
      <c r="E668" s="937"/>
      <c r="F668" s="937"/>
      <c r="G668" s="937"/>
      <c r="H668" s="937"/>
      <c r="I668" s="937"/>
      <c r="J668" s="937"/>
      <c r="K668" s="937"/>
      <c r="L668" s="937"/>
      <c r="M668" s="937"/>
      <c r="N668" s="937"/>
      <c r="O668" s="937"/>
      <c r="P668" s="937"/>
      <c r="Q668" s="937"/>
      <c r="R668" s="937"/>
      <c r="S668" s="937"/>
      <c r="T668" s="937"/>
      <c r="U668" s="937"/>
      <c r="V668" s="937"/>
      <c r="W668" s="937"/>
      <c r="X668" s="937"/>
      <c r="Y668" s="937"/>
      <c r="Z668" s="937"/>
    </row>
    <row r="669" spans="1:26" ht="15.75" customHeight="1">
      <c r="A669" s="937"/>
      <c r="B669" s="937"/>
      <c r="C669" s="937"/>
      <c r="D669" s="937"/>
      <c r="E669" s="937"/>
      <c r="F669" s="937"/>
      <c r="G669" s="937"/>
      <c r="H669" s="937"/>
      <c r="I669" s="937"/>
      <c r="J669" s="937"/>
      <c r="K669" s="937"/>
      <c r="L669" s="937"/>
      <c r="M669" s="937"/>
      <c r="N669" s="937"/>
      <c r="O669" s="937"/>
      <c r="P669" s="937"/>
      <c r="Q669" s="937"/>
      <c r="R669" s="937"/>
      <c r="S669" s="937"/>
      <c r="T669" s="937"/>
      <c r="U669" s="937"/>
      <c r="V669" s="937"/>
      <c r="W669" s="937"/>
      <c r="X669" s="937"/>
      <c r="Y669" s="937"/>
      <c r="Z669" s="937"/>
    </row>
    <row r="670" spans="1:26" ht="15.75" customHeight="1">
      <c r="A670" s="937"/>
      <c r="B670" s="937"/>
      <c r="C670" s="937"/>
      <c r="D670" s="937"/>
      <c r="E670" s="937"/>
      <c r="F670" s="937"/>
      <c r="G670" s="937"/>
      <c r="H670" s="937"/>
      <c r="I670" s="937"/>
      <c r="J670" s="937"/>
      <c r="K670" s="937"/>
      <c r="L670" s="937"/>
      <c r="M670" s="937"/>
      <c r="N670" s="937"/>
      <c r="O670" s="937"/>
      <c r="P670" s="937"/>
      <c r="Q670" s="937"/>
      <c r="R670" s="937"/>
      <c r="S670" s="937"/>
      <c r="T670" s="937"/>
      <c r="U670" s="937"/>
      <c r="V670" s="937"/>
      <c r="W670" s="937"/>
      <c r="X670" s="937"/>
      <c r="Y670" s="937"/>
      <c r="Z670" s="937"/>
    </row>
    <row r="671" spans="1:26" ht="15.75" customHeight="1">
      <c r="A671" s="937"/>
      <c r="B671" s="937"/>
      <c r="C671" s="937"/>
      <c r="D671" s="937"/>
      <c r="E671" s="937"/>
      <c r="F671" s="937"/>
      <c r="G671" s="937"/>
      <c r="H671" s="937"/>
      <c r="I671" s="937"/>
      <c r="J671" s="937"/>
      <c r="K671" s="937"/>
      <c r="L671" s="937"/>
      <c r="M671" s="937"/>
      <c r="N671" s="937"/>
      <c r="O671" s="937"/>
      <c r="P671" s="937"/>
      <c r="Q671" s="937"/>
      <c r="R671" s="937"/>
      <c r="S671" s="937"/>
      <c r="T671" s="937"/>
      <c r="U671" s="937"/>
      <c r="V671" s="937"/>
      <c r="W671" s="937"/>
      <c r="X671" s="937"/>
      <c r="Y671" s="937"/>
      <c r="Z671" s="937"/>
    </row>
    <row r="672" spans="1:26" ht="15.75" customHeight="1">
      <c r="A672" s="937"/>
      <c r="B672" s="937"/>
      <c r="C672" s="937"/>
      <c r="D672" s="937"/>
      <c r="E672" s="937"/>
      <c r="F672" s="937"/>
      <c r="G672" s="937"/>
      <c r="H672" s="937"/>
      <c r="I672" s="937"/>
      <c r="J672" s="937"/>
      <c r="K672" s="937"/>
      <c r="L672" s="937"/>
      <c r="M672" s="937"/>
      <c r="N672" s="937"/>
      <c r="O672" s="937"/>
      <c r="P672" s="937"/>
      <c r="Q672" s="937"/>
      <c r="R672" s="937"/>
      <c r="S672" s="937"/>
      <c r="T672" s="937"/>
      <c r="U672" s="937"/>
      <c r="V672" s="937"/>
      <c r="W672" s="937"/>
      <c r="X672" s="937"/>
      <c r="Y672" s="937"/>
      <c r="Z672" s="937"/>
    </row>
    <row r="673" spans="1:26" ht="15.75" customHeight="1">
      <c r="A673" s="937"/>
      <c r="B673" s="937"/>
      <c r="C673" s="937"/>
      <c r="D673" s="937"/>
      <c r="E673" s="937"/>
      <c r="F673" s="937"/>
      <c r="G673" s="937"/>
      <c r="H673" s="937"/>
      <c r="I673" s="937"/>
      <c r="J673" s="937"/>
      <c r="K673" s="937"/>
      <c r="L673" s="937"/>
      <c r="M673" s="937"/>
      <c r="N673" s="937"/>
      <c r="O673" s="937"/>
      <c r="P673" s="937"/>
      <c r="Q673" s="937"/>
      <c r="R673" s="937"/>
      <c r="S673" s="937"/>
      <c r="T673" s="937"/>
      <c r="U673" s="937"/>
      <c r="V673" s="937"/>
      <c r="W673" s="937"/>
      <c r="X673" s="937"/>
      <c r="Y673" s="937"/>
      <c r="Z673" s="937"/>
    </row>
    <row r="674" spans="1:26" ht="15.75" customHeight="1">
      <c r="A674" s="937"/>
      <c r="B674" s="937"/>
      <c r="C674" s="937"/>
      <c r="D674" s="937"/>
      <c r="E674" s="937"/>
      <c r="F674" s="937"/>
      <c r="G674" s="937"/>
      <c r="H674" s="937"/>
      <c r="I674" s="937"/>
      <c r="J674" s="937"/>
      <c r="K674" s="937"/>
      <c r="L674" s="937"/>
      <c r="M674" s="937"/>
      <c r="N674" s="937"/>
      <c r="O674" s="937"/>
      <c r="P674" s="937"/>
      <c r="Q674" s="937"/>
      <c r="R674" s="937"/>
      <c r="S674" s="937"/>
      <c r="T674" s="937"/>
      <c r="U674" s="937"/>
      <c r="V674" s="937"/>
      <c r="W674" s="937"/>
      <c r="X674" s="937"/>
      <c r="Y674" s="937"/>
      <c r="Z674" s="937"/>
    </row>
    <row r="675" spans="1:26" ht="15.75" customHeight="1">
      <c r="A675" s="937"/>
      <c r="B675" s="937"/>
      <c r="C675" s="937"/>
      <c r="D675" s="937"/>
      <c r="E675" s="937"/>
      <c r="F675" s="937"/>
      <c r="G675" s="937"/>
      <c r="H675" s="937"/>
      <c r="I675" s="937"/>
      <c r="J675" s="937"/>
      <c r="K675" s="937"/>
      <c r="L675" s="937"/>
      <c r="M675" s="937"/>
      <c r="N675" s="937"/>
      <c r="O675" s="937"/>
      <c r="P675" s="937"/>
      <c r="Q675" s="937"/>
      <c r="R675" s="937"/>
      <c r="S675" s="937"/>
      <c r="T675" s="937"/>
      <c r="U675" s="937"/>
      <c r="V675" s="937"/>
      <c r="W675" s="937"/>
      <c r="X675" s="937"/>
      <c r="Y675" s="937"/>
      <c r="Z675" s="937"/>
    </row>
    <row r="676" spans="1:26" ht="15.75" customHeight="1">
      <c r="A676" s="937"/>
      <c r="B676" s="937"/>
      <c r="C676" s="937"/>
      <c r="D676" s="937"/>
      <c r="E676" s="937"/>
      <c r="F676" s="937"/>
      <c r="G676" s="937"/>
      <c r="H676" s="937"/>
      <c r="I676" s="937"/>
      <c r="J676" s="937"/>
      <c r="K676" s="937"/>
      <c r="L676" s="937"/>
      <c r="M676" s="937"/>
      <c r="N676" s="937"/>
      <c r="O676" s="937"/>
      <c r="P676" s="937"/>
      <c r="Q676" s="937"/>
      <c r="R676" s="937"/>
      <c r="S676" s="937"/>
      <c r="T676" s="937"/>
      <c r="U676" s="937"/>
      <c r="V676" s="937"/>
      <c r="W676" s="937"/>
      <c r="X676" s="937"/>
      <c r="Y676" s="937"/>
      <c r="Z676" s="937"/>
    </row>
    <row r="677" spans="1:26" ht="15.75" customHeight="1">
      <c r="A677" s="937"/>
      <c r="B677" s="937"/>
      <c r="C677" s="937"/>
      <c r="D677" s="937"/>
      <c r="E677" s="937"/>
      <c r="F677" s="937"/>
      <c r="G677" s="937"/>
      <c r="H677" s="937"/>
      <c r="I677" s="937"/>
      <c r="J677" s="937"/>
      <c r="K677" s="937"/>
      <c r="L677" s="937"/>
      <c r="M677" s="937"/>
      <c r="N677" s="937"/>
      <c r="O677" s="937"/>
      <c r="P677" s="937"/>
      <c r="Q677" s="937"/>
      <c r="R677" s="937"/>
      <c r="S677" s="937"/>
      <c r="T677" s="937"/>
      <c r="U677" s="937"/>
      <c r="V677" s="937"/>
      <c r="W677" s="937"/>
      <c r="X677" s="937"/>
      <c r="Y677" s="937"/>
      <c r="Z677" s="937"/>
    </row>
    <row r="678" spans="1:26" ht="15.75" customHeight="1">
      <c r="A678" s="937"/>
      <c r="B678" s="937"/>
      <c r="C678" s="937"/>
      <c r="D678" s="937"/>
      <c r="E678" s="937"/>
      <c r="F678" s="937"/>
      <c r="G678" s="937"/>
      <c r="H678" s="937"/>
      <c r="I678" s="937"/>
      <c r="J678" s="937"/>
      <c r="K678" s="937"/>
      <c r="L678" s="937"/>
      <c r="M678" s="937"/>
      <c r="N678" s="937"/>
      <c r="O678" s="937"/>
      <c r="P678" s="937"/>
      <c r="Q678" s="937"/>
      <c r="R678" s="937"/>
      <c r="S678" s="937"/>
      <c r="T678" s="937"/>
      <c r="U678" s="937"/>
      <c r="V678" s="937"/>
      <c r="W678" s="937"/>
      <c r="X678" s="937"/>
      <c r="Y678" s="937"/>
      <c r="Z678" s="937"/>
    </row>
    <row r="679" spans="1:26" ht="15.75" customHeight="1">
      <c r="A679" s="937"/>
      <c r="B679" s="937"/>
      <c r="C679" s="937"/>
      <c r="D679" s="937"/>
      <c r="E679" s="937"/>
      <c r="F679" s="937"/>
      <c r="G679" s="937"/>
      <c r="H679" s="937"/>
      <c r="I679" s="937"/>
      <c r="J679" s="937"/>
      <c r="K679" s="937"/>
      <c r="L679" s="937"/>
      <c r="M679" s="937"/>
      <c r="N679" s="937"/>
      <c r="O679" s="937"/>
      <c r="P679" s="937"/>
      <c r="Q679" s="937"/>
      <c r="R679" s="937"/>
      <c r="S679" s="937"/>
      <c r="T679" s="937"/>
      <c r="U679" s="937"/>
      <c r="V679" s="937"/>
      <c r="W679" s="937"/>
      <c r="X679" s="937"/>
      <c r="Y679" s="937"/>
      <c r="Z679" s="937"/>
    </row>
    <row r="680" spans="1:26" ht="15.75" customHeight="1">
      <c r="A680" s="937"/>
      <c r="B680" s="937"/>
      <c r="C680" s="937"/>
      <c r="D680" s="937"/>
      <c r="E680" s="937"/>
      <c r="F680" s="937"/>
      <c r="G680" s="937"/>
      <c r="H680" s="937"/>
      <c r="I680" s="937"/>
      <c r="J680" s="937"/>
      <c r="K680" s="937"/>
      <c r="L680" s="937"/>
      <c r="M680" s="937"/>
      <c r="N680" s="937"/>
      <c r="O680" s="937"/>
      <c r="P680" s="937"/>
      <c r="Q680" s="937"/>
      <c r="R680" s="937"/>
      <c r="S680" s="937"/>
      <c r="T680" s="937"/>
      <c r="U680" s="937"/>
      <c r="V680" s="937"/>
      <c r="W680" s="937"/>
      <c r="X680" s="937"/>
      <c r="Y680" s="937"/>
      <c r="Z680" s="937"/>
    </row>
    <row r="681" spans="1:26" ht="15.75" customHeight="1">
      <c r="A681" s="937"/>
      <c r="B681" s="937"/>
      <c r="C681" s="937"/>
      <c r="D681" s="937"/>
      <c r="E681" s="937"/>
      <c r="F681" s="937"/>
      <c r="G681" s="937"/>
      <c r="H681" s="937"/>
      <c r="I681" s="937"/>
      <c r="J681" s="937"/>
      <c r="K681" s="937"/>
      <c r="L681" s="937"/>
      <c r="M681" s="937"/>
      <c r="N681" s="937"/>
      <c r="O681" s="937"/>
      <c r="P681" s="937"/>
      <c r="Q681" s="937"/>
      <c r="R681" s="937"/>
      <c r="S681" s="937"/>
      <c r="T681" s="937"/>
      <c r="U681" s="937"/>
      <c r="V681" s="937"/>
      <c r="W681" s="937"/>
      <c r="X681" s="937"/>
      <c r="Y681" s="937"/>
      <c r="Z681" s="937"/>
    </row>
    <row r="682" spans="1:26" ht="15.75" customHeight="1">
      <c r="A682" s="937"/>
      <c r="B682" s="937"/>
      <c r="C682" s="937"/>
      <c r="D682" s="937"/>
      <c r="E682" s="937"/>
      <c r="F682" s="937"/>
      <c r="G682" s="937"/>
      <c r="H682" s="937"/>
      <c r="I682" s="937"/>
      <c r="J682" s="937"/>
      <c r="K682" s="937"/>
      <c r="L682" s="937"/>
      <c r="M682" s="937"/>
      <c r="N682" s="937"/>
      <c r="O682" s="937"/>
      <c r="P682" s="937"/>
      <c r="Q682" s="937"/>
      <c r="R682" s="937"/>
      <c r="S682" s="937"/>
      <c r="T682" s="937"/>
      <c r="U682" s="937"/>
      <c r="V682" s="937"/>
      <c r="W682" s="937"/>
      <c r="X682" s="937"/>
      <c r="Y682" s="937"/>
      <c r="Z682" s="937"/>
    </row>
    <row r="683" spans="1:26" ht="15.75" customHeight="1">
      <c r="A683" s="937"/>
      <c r="B683" s="937"/>
      <c r="C683" s="937"/>
      <c r="D683" s="937"/>
      <c r="E683" s="937"/>
      <c r="F683" s="937"/>
      <c r="G683" s="937"/>
      <c r="H683" s="937"/>
      <c r="I683" s="937"/>
      <c r="J683" s="937"/>
      <c r="K683" s="937"/>
      <c r="L683" s="937"/>
      <c r="M683" s="937"/>
      <c r="N683" s="937"/>
      <c r="O683" s="937"/>
      <c r="P683" s="937"/>
      <c r="Q683" s="937"/>
      <c r="R683" s="937"/>
      <c r="S683" s="937"/>
      <c r="T683" s="937"/>
      <c r="U683" s="937"/>
      <c r="V683" s="937"/>
      <c r="W683" s="937"/>
      <c r="X683" s="937"/>
      <c r="Y683" s="937"/>
      <c r="Z683" s="937"/>
    </row>
    <row r="684" spans="1:26" ht="15.75" customHeight="1">
      <c r="A684" s="937"/>
      <c r="B684" s="937"/>
      <c r="C684" s="937"/>
      <c r="D684" s="937"/>
      <c r="E684" s="937"/>
      <c r="F684" s="937"/>
      <c r="G684" s="937"/>
      <c r="H684" s="937"/>
      <c r="I684" s="937"/>
      <c r="J684" s="937"/>
      <c r="K684" s="937"/>
      <c r="L684" s="937"/>
      <c r="M684" s="937"/>
      <c r="N684" s="937"/>
      <c r="O684" s="937"/>
      <c r="P684" s="937"/>
      <c r="Q684" s="937"/>
      <c r="R684" s="937"/>
      <c r="S684" s="937"/>
      <c r="T684" s="937"/>
      <c r="U684" s="937"/>
      <c r="V684" s="937"/>
      <c r="W684" s="937"/>
      <c r="X684" s="937"/>
      <c r="Y684" s="937"/>
      <c r="Z684" s="937"/>
    </row>
    <row r="685" spans="1:26" ht="15.75" customHeight="1">
      <c r="A685" s="937"/>
      <c r="B685" s="937"/>
      <c r="C685" s="937"/>
      <c r="D685" s="937"/>
      <c r="E685" s="937"/>
      <c r="F685" s="937"/>
      <c r="G685" s="937"/>
      <c r="H685" s="937"/>
      <c r="I685" s="937"/>
      <c r="J685" s="937"/>
      <c r="K685" s="937"/>
      <c r="L685" s="937"/>
      <c r="M685" s="937"/>
      <c r="N685" s="937"/>
      <c r="O685" s="937"/>
      <c r="P685" s="937"/>
      <c r="Q685" s="937"/>
      <c r="R685" s="937"/>
      <c r="S685" s="937"/>
      <c r="T685" s="937"/>
      <c r="U685" s="937"/>
      <c r="V685" s="937"/>
      <c r="W685" s="937"/>
      <c r="X685" s="937"/>
      <c r="Y685" s="937"/>
      <c r="Z685" s="937"/>
    </row>
    <row r="686" spans="1:26" ht="15.75" customHeight="1">
      <c r="A686" s="937"/>
      <c r="B686" s="937"/>
      <c r="C686" s="937"/>
      <c r="D686" s="937"/>
      <c r="E686" s="937"/>
      <c r="F686" s="937"/>
      <c r="G686" s="937"/>
      <c r="H686" s="937"/>
      <c r="I686" s="937"/>
      <c r="J686" s="937"/>
      <c r="K686" s="937"/>
      <c r="L686" s="937"/>
      <c r="M686" s="937"/>
      <c r="N686" s="937"/>
      <c r="O686" s="937"/>
      <c r="P686" s="937"/>
      <c r="Q686" s="937"/>
      <c r="R686" s="937"/>
      <c r="S686" s="937"/>
      <c r="T686" s="937"/>
      <c r="U686" s="937"/>
      <c r="V686" s="937"/>
      <c r="W686" s="937"/>
      <c r="X686" s="937"/>
      <c r="Y686" s="937"/>
      <c r="Z686" s="937"/>
    </row>
    <row r="687" spans="1:26" ht="15.75" customHeight="1">
      <c r="A687" s="937"/>
      <c r="B687" s="937"/>
      <c r="C687" s="937"/>
      <c r="D687" s="937"/>
      <c r="E687" s="937"/>
      <c r="F687" s="937"/>
      <c r="G687" s="937"/>
      <c r="H687" s="937"/>
      <c r="I687" s="937"/>
      <c r="J687" s="937"/>
      <c r="K687" s="937"/>
      <c r="L687" s="937"/>
      <c r="M687" s="937"/>
      <c r="N687" s="937"/>
      <c r="O687" s="937"/>
      <c r="P687" s="937"/>
      <c r="Q687" s="937"/>
      <c r="R687" s="937"/>
      <c r="S687" s="937"/>
      <c r="T687" s="937"/>
      <c r="U687" s="937"/>
      <c r="V687" s="937"/>
      <c r="W687" s="937"/>
      <c r="X687" s="937"/>
      <c r="Y687" s="937"/>
      <c r="Z687" s="937"/>
    </row>
    <row r="688" spans="1:26" ht="15.75" customHeight="1">
      <c r="A688" s="937"/>
      <c r="B688" s="937"/>
      <c r="C688" s="937"/>
      <c r="D688" s="937"/>
      <c r="E688" s="937"/>
      <c r="F688" s="937"/>
      <c r="G688" s="937"/>
      <c r="H688" s="937"/>
      <c r="I688" s="937"/>
      <c r="J688" s="937"/>
      <c r="K688" s="937"/>
      <c r="L688" s="937"/>
      <c r="M688" s="937"/>
      <c r="N688" s="937"/>
      <c r="O688" s="937"/>
      <c r="P688" s="937"/>
      <c r="Q688" s="937"/>
      <c r="R688" s="937"/>
      <c r="S688" s="937"/>
      <c r="T688" s="937"/>
      <c r="U688" s="937"/>
      <c r="V688" s="937"/>
      <c r="W688" s="937"/>
      <c r="X688" s="937"/>
      <c r="Y688" s="937"/>
      <c r="Z688" s="937"/>
    </row>
    <row r="689" spans="1:26" ht="15.75" customHeight="1">
      <c r="A689" s="937"/>
      <c r="B689" s="937"/>
      <c r="C689" s="937"/>
      <c r="D689" s="937"/>
      <c r="E689" s="937"/>
      <c r="F689" s="937"/>
      <c r="G689" s="937"/>
      <c r="H689" s="937"/>
      <c r="I689" s="937"/>
      <c r="J689" s="937"/>
      <c r="K689" s="937"/>
      <c r="L689" s="937"/>
      <c r="M689" s="937"/>
      <c r="N689" s="937"/>
      <c r="O689" s="937"/>
      <c r="P689" s="937"/>
      <c r="Q689" s="937"/>
      <c r="R689" s="937"/>
      <c r="S689" s="937"/>
      <c r="T689" s="937"/>
      <c r="U689" s="937"/>
      <c r="V689" s="937"/>
      <c r="W689" s="937"/>
      <c r="X689" s="937"/>
      <c r="Y689" s="937"/>
      <c r="Z689" s="937"/>
    </row>
    <row r="690" spans="1:26" ht="15.75" customHeight="1">
      <c r="A690" s="937"/>
      <c r="B690" s="937"/>
      <c r="C690" s="937"/>
      <c r="D690" s="937"/>
      <c r="E690" s="937"/>
      <c r="F690" s="937"/>
      <c r="G690" s="937"/>
      <c r="H690" s="937"/>
      <c r="I690" s="937"/>
      <c r="J690" s="937"/>
      <c r="K690" s="937"/>
      <c r="L690" s="937"/>
      <c r="M690" s="937"/>
      <c r="N690" s="937"/>
      <c r="O690" s="937"/>
      <c r="P690" s="937"/>
      <c r="Q690" s="937"/>
      <c r="R690" s="937"/>
      <c r="S690" s="937"/>
      <c r="T690" s="937"/>
      <c r="U690" s="937"/>
      <c r="V690" s="937"/>
      <c r="W690" s="937"/>
      <c r="X690" s="937"/>
      <c r="Y690" s="937"/>
      <c r="Z690" s="937"/>
    </row>
    <row r="691" spans="1:26" ht="15.75" customHeight="1">
      <c r="A691" s="937"/>
      <c r="B691" s="937"/>
      <c r="C691" s="937"/>
      <c r="D691" s="937"/>
      <c r="E691" s="937"/>
      <c r="F691" s="937"/>
      <c r="G691" s="937"/>
      <c r="H691" s="937"/>
      <c r="I691" s="937"/>
      <c r="J691" s="937"/>
      <c r="K691" s="937"/>
      <c r="L691" s="937"/>
      <c r="M691" s="937"/>
      <c r="N691" s="937"/>
      <c r="O691" s="937"/>
      <c r="P691" s="937"/>
      <c r="Q691" s="937"/>
      <c r="R691" s="937"/>
      <c r="S691" s="937"/>
      <c r="T691" s="937"/>
      <c r="U691" s="937"/>
      <c r="V691" s="937"/>
      <c r="W691" s="937"/>
      <c r="X691" s="937"/>
      <c r="Y691" s="937"/>
      <c r="Z691" s="937"/>
    </row>
    <row r="692" spans="1:26" ht="15.75" customHeight="1">
      <c r="A692" s="937"/>
      <c r="B692" s="937"/>
      <c r="C692" s="937"/>
      <c r="D692" s="937"/>
      <c r="E692" s="937"/>
      <c r="F692" s="937"/>
      <c r="G692" s="937"/>
      <c r="H692" s="937"/>
      <c r="I692" s="937"/>
      <c r="J692" s="937"/>
      <c r="K692" s="937"/>
      <c r="L692" s="937"/>
      <c r="M692" s="937"/>
      <c r="N692" s="937"/>
      <c r="O692" s="937"/>
      <c r="P692" s="937"/>
      <c r="Q692" s="937"/>
      <c r="R692" s="937"/>
      <c r="S692" s="937"/>
      <c r="T692" s="937"/>
      <c r="U692" s="937"/>
      <c r="V692" s="937"/>
      <c r="W692" s="937"/>
      <c r="X692" s="937"/>
      <c r="Y692" s="937"/>
      <c r="Z692" s="937"/>
    </row>
    <row r="693" spans="1:26" ht="15.75" customHeight="1">
      <c r="A693" s="937"/>
      <c r="B693" s="937"/>
      <c r="C693" s="937"/>
      <c r="D693" s="937"/>
      <c r="E693" s="937"/>
      <c r="F693" s="937"/>
      <c r="G693" s="937"/>
      <c r="H693" s="937"/>
      <c r="I693" s="937"/>
      <c r="J693" s="937"/>
      <c r="K693" s="937"/>
      <c r="L693" s="937"/>
      <c r="M693" s="937"/>
      <c r="N693" s="937"/>
      <c r="O693" s="937"/>
      <c r="P693" s="937"/>
      <c r="Q693" s="937"/>
      <c r="R693" s="937"/>
      <c r="S693" s="937"/>
      <c r="T693" s="937"/>
      <c r="U693" s="937"/>
      <c r="V693" s="937"/>
      <c r="W693" s="937"/>
      <c r="X693" s="937"/>
      <c r="Y693" s="937"/>
      <c r="Z693" s="937"/>
    </row>
    <row r="694" spans="1:26" ht="15.75" customHeight="1">
      <c r="A694" s="937"/>
      <c r="B694" s="937"/>
      <c r="C694" s="937"/>
      <c r="D694" s="937"/>
      <c r="E694" s="937"/>
      <c r="F694" s="937"/>
      <c r="G694" s="937"/>
      <c r="H694" s="937"/>
      <c r="I694" s="937"/>
      <c r="J694" s="937"/>
      <c r="K694" s="937"/>
      <c r="L694" s="937"/>
      <c r="M694" s="937"/>
      <c r="N694" s="937"/>
      <c r="O694" s="937"/>
      <c r="P694" s="937"/>
      <c r="Q694" s="937"/>
      <c r="R694" s="937"/>
      <c r="S694" s="937"/>
      <c r="T694" s="937"/>
      <c r="U694" s="937"/>
      <c r="V694" s="937"/>
      <c r="W694" s="937"/>
      <c r="X694" s="937"/>
      <c r="Y694" s="937"/>
      <c r="Z694" s="937"/>
    </row>
    <row r="695" spans="1:26" ht="15.75" customHeight="1">
      <c r="A695" s="937"/>
      <c r="B695" s="937"/>
      <c r="C695" s="937"/>
      <c r="D695" s="937"/>
      <c r="E695" s="937"/>
      <c r="F695" s="937"/>
      <c r="G695" s="937"/>
      <c r="H695" s="937"/>
      <c r="I695" s="937"/>
      <c r="J695" s="937"/>
      <c r="K695" s="937"/>
      <c r="L695" s="937"/>
      <c r="M695" s="937"/>
      <c r="N695" s="937"/>
      <c r="O695" s="937"/>
      <c r="P695" s="937"/>
      <c r="Q695" s="937"/>
      <c r="R695" s="937"/>
      <c r="S695" s="937"/>
      <c r="T695" s="937"/>
      <c r="U695" s="937"/>
      <c r="V695" s="937"/>
      <c r="W695" s="937"/>
      <c r="X695" s="937"/>
      <c r="Y695" s="937"/>
      <c r="Z695" s="937"/>
    </row>
    <row r="696" spans="1:26" ht="15.75" customHeight="1">
      <c r="A696" s="937"/>
      <c r="B696" s="937"/>
      <c r="C696" s="937"/>
      <c r="D696" s="937"/>
      <c r="E696" s="937"/>
      <c r="F696" s="937"/>
      <c r="G696" s="937"/>
      <c r="H696" s="937"/>
      <c r="I696" s="937"/>
      <c r="J696" s="937"/>
      <c r="K696" s="937"/>
      <c r="L696" s="937"/>
      <c r="M696" s="937"/>
      <c r="N696" s="937"/>
      <c r="O696" s="937"/>
      <c r="P696" s="937"/>
      <c r="Q696" s="937"/>
      <c r="R696" s="937"/>
      <c r="S696" s="937"/>
      <c r="T696" s="937"/>
      <c r="U696" s="937"/>
      <c r="V696" s="937"/>
      <c r="W696" s="937"/>
      <c r="X696" s="937"/>
      <c r="Y696" s="937"/>
      <c r="Z696" s="937"/>
    </row>
    <row r="697" spans="1:26" ht="15.75" customHeight="1">
      <c r="A697" s="937"/>
      <c r="B697" s="937"/>
      <c r="C697" s="937"/>
      <c r="D697" s="937"/>
      <c r="E697" s="937"/>
      <c r="F697" s="937"/>
      <c r="G697" s="937"/>
      <c r="H697" s="937"/>
      <c r="I697" s="937"/>
      <c r="J697" s="937"/>
      <c r="K697" s="937"/>
      <c r="L697" s="937"/>
      <c r="M697" s="937"/>
      <c r="N697" s="937"/>
      <c r="O697" s="937"/>
      <c r="P697" s="937"/>
      <c r="Q697" s="937"/>
      <c r="R697" s="937"/>
      <c r="S697" s="937"/>
      <c r="T697" s="937"/>
      <c r="U697" s="937"/>
      <c r="V697" s="937"/>
      <c r="W697" s="937"/>
      <c r="X697" s="937"/>
      <c r="Y697" s="937"/>
      <c r="Z697" s="937"/>
    </row>
    <row r="698" spans="1:26" ht="15.75" customHeight="1">
      <c r="A698" s="937"/>
      <c r="B698" s="937"/>
      <c r="C698" s="937"/>
      <c r="D698" s="937"/>
      <c r="E698" s="937"/>
      <c r="F698" s="937"/>
      <c r="G698" s="937"/>
      <c r="H698" s="937"/>
      <c r="I698" s="937"/>
      <c r="J698" s="937"/>
      <c r="K698" s="937"/>
      <c r="L698" s="937"/>
      <c r="M698" s="937"/>
      <c r="N698" s="937"/>
      <c r="O698" s="937"/>
      <c r="P698" s="937"/>
      <c r="Q698" s="937"/>
      <c r="R698" s="937"/>
      <c r="S698" s="937"/>
      <c r="T698" s="937"/>
      <c r="U698" s="937"/>
      <c r="V698" s="937"/>
      <c r="W698" s="937"/>
      <c r="X698" s="937"/>
      <c r="Y698" s="937"/>
      <c r="Z698" s="937"/>
    </row>
    <row r="699" spans="1:26" ht="15.75" customHeight="1">
      <c r="A699" s="937"/>
      <c r="B699" s="937"/>
      <c r="C699" s="937"/>
      <c r="D699" s="937"/>
      <c r="E699" s="937"/>
      <c r="F699" s="937"/>
      <c r="G699" s="937"/>
      <c r="H699" s="937"/>
      <c r="I699" s="937"/>
      <c r="J699" s="937"/>
      <c r="K699" s="937"/>
      <c r="L699" s="937"/>
      <c r="M699" s="937"/>
      <c r="N699" s="937"/>
      <c r="O699" s="937"/>
      <c r="P699" s="937"/>
      <c r="Q699" s="937"/>
      <c r="R699" s="937"/>
      <c r="S699" s="937"/>
      <c r="T699" s="937"/>
      <c r="U699" s="937"/>
      <c r="V699" s="937"/>
      <c r="W699" s="937"/>
      <c r="X699" s="937"/>
      <c r="Y699" s="937"/>
      <c r="Z699" s="937"/>
    </row>
    <row r="700" spans="1:26" ht="15.75" customHeight="1">
      <c r="A700" s="937"/>
      <c r="B700" s="937"/>
      <c r="C700" s="937"/>
      <c r="D700" s="937"/>
      <c r="E700" s="937"/>
      <c r="F700" s="937"/>
      <c r="G700" s="937"/>
      <c r="H700" s="937"/>
      <c r="I700" s="937"/>
      <c r="J700" s="937"/>
      <c r="K700" s="937"/>
      <c r="L700" s="937"/>
      <c r="M700" s="937"/>
      <c r="N700" s="937"/>
      <c r="O700" s="937"/>
      <c r="P700" s="937"/>
      <c r="Q700" s="937"/>
      <c r="R700" s="937"/>
      <c r="S700" s="937"/>
      <c r="T700" s="937"/>
      <c r="U700" s="937"/>
      <c r="V700" s="937"/>
      <c r="W700" s="937"/>
      <c r="X700" s="937"/>
      <c r="Y700" s="937"/>
      <c r="Z700" s="937"/>
    </row>
    <row r="701" spans="1:26" ht="15.75" customHeight="1">
      <c r="A701" s="937"/>
      <c r="B701" s="937"/>
      <c r="C701" s="937"/>
      <c r="D701" s="937"/>
      <c r="E701" s="937"/>
      <c r="F701" s="937"/>
      <c r="G701" s="937"/>
      <c r="H701" s="937"/>
      <c r="I701" s="937"/>
      <c r="J701" s="937"/>
      <c r="K701" s="937"/>
      <c r="L701" s="937"/>
      <c r="M701" s="937"/>
      <c r="N701" s="937"/>
      <c r="O701" s="937"/>
      <c r="P701" s="937"/>
      <c r="Q701" s="937"/>
      <c r="R701" s="937"/>
      <c r="S701" s="937"/>
      <c r="T701" s="937"/>
      <c r="U701" s="937"/>
      <c r="V701" s="937"/>
      <c r="W701" s="937"/>
      <c r="X701" s="937"/>
      <c r="Y701" s="937"/>
      <c r="Z701" s="937"/>
    </row>
    <row r="702" spans="1:26" ht="15.75" customHeight="1">
      <c r="A702" s="937"/>
      <c r="B702" s="937"/>
      <c r="C702" s="937"/>
      <c r="D702" s="937"/>
      <c r="E702" s="937"/>
      <c r="F702" s="937"/>
      <c r="G702" s="937"/>
      <c r="H702" s="937"/>
      <c r="I702" s="937"/>
      <c r="J702" s="937"/>
      <c r="K702" s="937"/>
      <c r="L702" s="937"/>
      <c r="M702" s="937"/>
      <c r="N702" s="937"/>
      <c r="O702" s="937"/>
      <c r="P702" s="937"/>
      <c r="Q702" s="937"/>
      <c r="R702" s="937"/>
      <c r="S702" s="937"/>
      <c r="T702" s="937"/>
      <c r="U702" s="937"/>
      <c r="V702" s="937"/>
      <c r="W702" s="937"/>
      <c r="X702" s="937"/>
      <c r="Y702" s="937"/>
      <c r="Z702" s="937"/>
    </row>
    <row r="703" spans="1:26" ht="15.75" customHeight="1">
      <c r="A703" s="937"/>
      <c r="B703" s="937"/>
      <c r="C703" s="937"/>
      <c r="D703" s="937"/>
      <c r="E703" s="937"/>
      <c r="F703" s="937"/>
      <c r="G703" s="937"/>
      <c r="H703" s="937"/>
      <c r="I703" s="937"/>
      <c r="J703" s="937"/>
      <c r="K703" s="937"/>
      <c r="L703" s="937"/>
      <c r="M703" s="937"/>
      <c r="N703" s="937"/>
      <c r="O703" s="937"/>
      <c r="P703" s="937"/>
      <c r="Q703" s="937"/>
      <c r="R703" s="937"/>
      <c r="S703" s="937"/>
      <c r="T703" s="937"/>
      <c r="U703" s="937"/>
      <c r="V703" s="937"/>
      <c r="W703" s="937"/>
      <c r="X703" s="937"/>
      <c r="Y703" s="937"/>
      <c r="Z703" s="937"/>
    </row>
    <row r="704" spans="1:26" ht="15.75" customHeight="1">
      <c r="A704" s="937"/>
      <c r="B704" s="937"/>
      <c r="C704" s="937"/>
      <c r="D704" s="937"/>
      <c r="E704" s="937"/>
      <c r="F704" s="937"/>
      <c r="G704" s="937"/>
      <c r="H704" s="937"/>
      <c r="I704" s="937"/>
      <c r="J704" s="937"/>
      <c r="K704" s="937"/>
      <c r="L704" s="937"/>
      <c r="M704" s="937"/>
      <c r="N704" s="937"/>
      <c r="O704" s="937"/>
      <c r="P704" s="937"/>
      <c r="Q704" s="937"/>
      <c r="R704" s="937"/>
      <c r="S704" s="937"/>
      <c r="T704" s="937"/>
      <c r="U704" s="937"/>
      <c r="V704" s="937"/>
      <c r="W704" s="937"/>
      <c r="X704" s="937"/>
      <c r="Y704" s="937"/>
      <c r="Z704" s="937"/>
    </row>
    <row r="705" spans="1:26" ht="15.75" customHeight="1">
      <c r="A705" s="937"/>
      <c r="B705" s="937"/>
      <c r="C705" s="937"/>
      <c r="D705" s="937"/>
      <c r="E705" s="937"/>
      <c r="F705" s="937"/>
      <c r="G705" s="937"/>
      <c r="H705" s="937"/>
      <c r="I705" s="937"/>
      <c r="J705" s="937"/>
      <c r="K705" s="937"/>
      <c r="L705" s="937"/>
      <c r="M705" s="937"/>
      <c r="N705" s="937"/>
      <c r="O705" s="937"/>
      <c r="P705" s="937"/>
      <c r="Q705" s="937"/>
      <c r="R705" s="937"/>
      <c r="S705" s="937"/>
      <c r="T705" s="937"/>
      <c r="U705" s="937"/>
      <c r="V705" s="937"/>
      <c r="W705" s="937"/>
      <c r="X705" s="937"/>
      <c r="Y705" s="937"/>
      <c r="Z705" s="937"/>
    </row>
    <row r="706" spans="1:26" ht="15.75" customHeight="1">
      <c r="A706" s="937"/>
      <c r="B706" s="937"/>
      <c r="C706" s="937"/>
      <c r="D706" s="937"/>
      <c r="E706" s="937"/>
      <c r="F706" s="937"/>
      <c r="G706" s="937"/>
      <c r="H706" s="937"/>
      <c r="I706" s="937"/>
      <c r="J706" s="937"/>
      <c r="K706" s="937"/>
      <c r="L706" s="937"/>
      <c r="M706" s="937"/>
      <c r="N706" s="937"/>
      <c r="O706" s="937"/>
      <c r="P706" s="937"/>
      <c r="Q706" s="937"/>
      <c r="R706" s="937"/>
      <c r="S706" s="937"/>
      <c r="T706" s="937"/>
      <c r="U706" s="937"/>
      <c r="V706" s="937"/>
      <c r="W706" s="937"/>
      <c r="X706" s="937"/>
      <c r="Y706" s="937"/>
      <c r="Z706" s="937"/>
    </row>
    <row r="707" spans="1:26" ht="15.75" customHeight="1">
      <c r="A707" s="937"/>
      <c r="B707" s="937"/>
      <c r="C707" s="937"/>
      <c r="D707" s="937"/>
      <c r="E707" s="937"/>
      <c r="F707" s="937"/>
      <c r="G707" s="937"/>
      <c r="H707" s="937"/>
      <c r="I707" s="937"/>
      <c r="J707" s="937"/>
      <c r="K707" s="937"/>
      <c r="L707" s="937"/>
      <c r="M707" s="937"/>
      <c r="N707" s="937"/>
      <c r="O707" s="937"/>
      <c r="P707" s="937"/>
      <c r="Q707" s="937"/>
      <c r="R707" s="937"/>
      <c r="S707" s="937"/>
      <c r="T707" s="937"/>
      <c r="U707" s="937"/>
      <c r="V707" s="937"/>
      <c r="W707" s="937"/>
      <c r="X707" s="937"/>
      <c r="Y707" s="937"/>
      <c r="Z707" s="937"/>
    </row>
    <row r="708" spans="1:26" ht="15.75" customHeight="1">
      <c r="A708" s="937"/>
      <c r="B708" s="937"/>
      <c r="C708" s="937"/>
      <c r="D708" s="937"/>
      <c r="E708" s="937"/>
      <c r="F708" s="937"/>
      <c r="G708" s="937"/>
      <c r="H708" s="937"/>
      <c r="I708" s="937"/>
      <c r="J708" s="937"/>
      <c r="K708" s="937"/>
      <c r="L708" s="937"/>
      <c r="M708" s="937"/>
      <c r="N708" s="937"/>
      <c r="O708" s="937"/>
      <c r="P708" s="937"/>
      <c r="Q708" s="937"/>
      <c r="R708" s="937"/>
      <c r="S708" s="937"/>
      <c r="T708" s="937"/>
      <c r="U708" s="937"/>
      <c r="V708" s="937"/>
      <c r="W708" s="937"/>
      <c r="X708" s="937"/>
      <c r="Y708" s="937"/>
      <c r="Z708" s="937"/>
    </row>
    <row r="709" spans="1:26" ht="15.75" customHeight="1">
      <c r="A709" s="937"/>
      <c r="B709" s="937"/>
      <c r="C709" s="937"/>
      <c r="D709" s="937"/>
      <c r="E709" s="937"/>
      <c r="F709" s="937"/>
      <c r="G709" s="937"/>
      <c r="H709" s="937"/>
      <c r="I709" s="937"/>
      <c r="J709" s="937"/>
      <c r="K709" s="937"/>
      <c r="L709" s="937"/>
      <c r="M709" s="937"/>
      <c r="N709" s="937"/>
      <c r="O709" s="937"/>
      <c r="P709" s="937"/>
      <c r="Q709" s="937"/>
      <c r="R709" s="937"/>
      <c r="S709" s="937"/>
      <c r="T709" s="937"/>
      <c r="U709" s="937"/>
      <c r="V709" s="937"/>
      <c r="W709" s="937"/>
      <c r="X709" s="937"/>
      <c r="Y709" s="937"/>
      <c r="Z709" s="937"/>
    </row>
    <row r="710" spans="1:26" ht="15.75" customHeight="1">
      <c r="A710" s="937"/>
      <c r="B710" s="937"/>
      <c r="C710" s="937"/>
      <c r="D710" s="937"/>
      <c r="E710" s="937"/>
      <c r="F710" s="937"/>
      <c r="G710" s="937"/>
      <c r="H710" s="937"/>
      <c r="I710" s="937"/>
      <c r="J710" s="937"/>
      <c r="K710" s="937"/>
      <c r="L710" s="937"/>
      <c r="M710" s="937"/>
      <c r="N710" s="937"/>
      <c r="O710" s="937"/>
      <c r="P710" s="937"/>
      <c r="Q710" s="937"/>
      <c r="R710" s="937"/>
      <c r="S710" s="937"/>
      <c r="T710" s="937"/>
      <c r="U710" s="937"/>
      <c r="V710" s="937"/>
      <c r="W710" s="937"/>
      <c r="X710" s="937"/>
      <c r="Y710" s="937"/>
      <c r="Z710" s="937"/>
    </row>
    <row r="711" spans="1:26" ht="15.75" customHeight="1">
      <c r="A711" s="937"/>
      <c r="B711" s="937"/>
      <c r="C711" s="937"/>
      <c r="D711" s="937"/>
      <c r="E711" s="937"/>
      <c r="F711" s="937"/>
      <c r="G711" s="937"/>
      <c r="H711" s="937"/>
      <c r="I711" s="937"/>
      <c r="J711" s="937"/>
      <c r="K711" s="937"/>
      <c r="L711" s="937"/>
      <c r="M711" s="937"/>
      <c r="N711" s="937"/>
      <c r="O711" s="937"/>
      <c r="P711" s="937"/>
      <c r="Q711" s="937"/>
      <c r="R711" s="937"/>
      <c r="S711" s="937"/>
      <c r="T711" s="937"/>
      <c r="U711" s="937"/>
      <c r="V711" s="937"/>
      <c r="W711" s="937"/>
      <c r="X711" s="937"/>
      <c r="Y711" s="937"/>
      <c r="Z711" s="937"/>
    </row>
    <row r="712" spans="1:26" ht="15.75" customHeight="1">
      <c r="A712" s="937"/>
      <c r="B712" s="937"/>
      <c r="C712" s="937"/>
      <c r="D712" s="937"/>
      <c r="E712" s="937"/>
      <c r="F712" s="937"/>
      <c r="G712" s="937"/>
      <c r="H712" s="937"/>
      <c r="I712" s="937"/>
      <c r="J712" s="937"/>
      <c r="K712" s="937"/>
      <c r="L712" s="937"/>
      <c r="M712" s="937"/>
      <c r="N712" s="937"/>
      <c r="O712" s="937"/>
      <c r="P712" s="937"/>
      <c r="Q712" s="937"/>
      <c r="R712" s="937"/>
      <c r="S712" s="937"/>
      <c r="T712" s="937"/>
      <c r="U712" s="937"/>
      <c r="V712" s="937"/>
      <c r="W712" s="937"/>
      <c r="X712" s="937"/>
      <c r="Y712" s="937"/>
      <c r="Z712" s="937"/>
    </row>
    <row r="713" spans="1:26" ht="15.75" customHeight="1">
      <c r="A713" s="937"/>
      <c r="B713" s="937"/>
      <c r="C713" s="937"/>
      <c r="D713" s="937"/>
      <c r="E713" s="937"/>
      <c r="F713" s="937"/>
      <c r="G713" s="937"/>
      <c r="H713" s="937"/>
      <c r="I713" s="937"/>
      <c r="J713" s="937"/>
      <c r="K713" s="937"/>
      <c r="L713" s="937"/>
      <c r="M713" s="937"/>
      <c r="N713" s="937"/>
      <c r="O713" s="937"/>
      <c r="P713" s="937"/>
      <c r="Q713" s="937"/>
      <c r="R713" s="937"/>
      <c r="S713" s="937"/>
      <c r="T713" s="937"/>
      <c r="U713" s="937"/>
      <c r="V713" s="937"/>
      <c r="W713" s="937"/>
      <c r="X713" s="937"/>
      <c r="Y713" s="937"/>
      <c r="Z713" s="937"/>
    </row>
    <row r="714" spans="1:26" ht="15.75" customHeight="1">
      <c r="A714" s="937"/>
      <c r="B714" s="937"/>
      <c r="C714" s="937"/>
      <c r="D714" s="937"/>
      <c r="E714" s="937"/>
      <c r="F714" s="937"/>
      <c r="G714" s="937"/>
      <c r="H714" s="937"/>
      <c r="I714" s="937"/>
      <c r="J714" s="937"/>
      <c r="K714" s="937"/>
      <c r="L714" s="937"/>
      <c r="M714" s="937"/>
      <c r="N714" s="937"/>
      <c r="O714" s="937"/>
      <c r="P714" s="937"/>
      <c r="Q714" s="937"/>
      <c r="R714" s="937"/>
      <c r="S714" s="937"/>
      <c r="T714" s="937"/>
      <c r="U714" s="937"/>
      <c r="V714" s="937"/>
      <c r="W714" s="937"/>
      <c r="X714" s="937"/>
      <c r="Y714" s="937"/>
      <c r="Z714" s="937"/>
    </row>
    <row r="715" spans="1:26" ht="15.75" customHeight="1">
      <c r="A715" s="937"/>
      <c r="B715" s="937"/>
      <c r="C715" s="937"/>
      <c r="D715" s="937"/>
      <c r="E715" s="937"/>
      <c r="F715" s="937"/>
      <c r="G715" s="937"/>
      <c r="H715" s="937"/>
      <c r="I715" s="937"/>
      <c r="J715" s="937"/>
      <c r="K715" s="937"/>
      <c r="L715" s="937"/>
      <c r="M715" s="937"/>
      <c r="N715" s="937"/>
      <c r="O715" s="937"/>
      <c r="P715" s="937"/>
      <c r="Q715" s="937"/>
      <c r="R715" s="937"/>
      <c r="S715" s="937"/>
      <c r="T715" s="937"/>
      <c r="U715" s="937"/>
      <c r="V715" s="937"/>
      <c r="W715" s="937"/>
      <c r="X715" s="937"/>
      <c r="Y715" s="937"/>
      <c r="Z715" s="937"/>
    </row>
    <row r="716" spans="1:26" ht="15.75" customHeight="1">
      <c r="A716" s="937"/>
      <c r="B716" s="937"/>
      <c r="C716" s="937"/>
      <c r="D716" s="937"/>
      <c r="E716" s="937"/>
      <c r="F716" s="937"/>
      <c r="G716" s="937"/>
      <c r="H716" s="937"/>
      <c r="I716" s="937"/>
      <c r="J716" s="937"/>
      <c r="K716" s="937"/>
      <c r="L716" s="937"/>
      <c r="M716" s="937"/>
      <c r="N716" s="937"/>
      <c r="O716" s="937"/>
      <c r="P716" s="937"/>
      <c r="Q716" s="937"/>
      <c r="R716" s="937"/>
      <c r="S716" s="937"/>
      <c r="T716" s="937"/>
      <c r="U716" s="937"/>
      <c r="V716" s="937"/>
      <c r="W716" s="937"/>
      <c r="X716" s="937"/>
      <c r="Y716" s="937"/>
      <c r="Z716" s="937"/>
    </row>
    <row r="717" spans="1:26" ht="15.75" customHeight="1">
      <c r="A717" s="937"/>
      <c r="B717" s="937"/>
      <c r="C717" s="937"/>
      <c r="D717" s="937"/>
      <c r="E717" s="937"/>
      <c r="F717" s="937"/>
      <c r="G717" s="937"/>
      <c r="H717" s="937"/>
      <c r="I717" s="937"/>
      <c r="J717" s="937"/>
      <c r="K717" s="937"/>
      <c r="L717" s="937"/>
      <c r="M717" s="937"/>
      <c r="N717" s="937"/>
      <c r="O717" s="937"/>
      <c r="P717" s="937"/>
      <c r="Q717" s="937"/>
      <c r="R717" s="937"/>
      <c r="S717" s="937"/>
      <c r="T717" s="937"/>
      <c r="U717" s="937"/>
      <c r="V717" s="937"/>
      <c r="W717" s="937"/>
      <c r="X717" s="937"/>
      <c r="Y717" s="937"/>
      <c r="Z717" s="937"/>
    </row>
    <row r="718" spans="1:26" ht="15.75" customHeight="1">
      <c r="A718" s="937"/>
      <c r="B718" s="937"/>
      <c r="C718" s="937"/>
      <c r="D718" s="937"/>
      <c r="E718" s="937"/>
      <c r="F718" s="937"/>
      <c r="G718" s="937"/>
      <c r="H718" s="937"/>
      <c r="I718" s="937"/>
      <c r="J718" s="937"/>
      <c r="K718" s="937"/>
      <c r="L718" s="937"/>
      <c r="M718" s="937"/>
      <c r="N718" s="937"/>
      <c r="O718" s="937"/>
      <c r="P718" s="937"/>
      <c r="Q718" s="937"/>
      <c r="R718" s="937"/>
      <c r="S718" s="937"/>
      <c r="T718" s="937"/>
      <c r="U718" s="937"/>
      <c r="V718" s="937"/>
      <c r="W718" s="937"/>
      <c r="X718" s="937"/>
      <c r="Y718" s="937"/>
      <c r="Z718" s="937"/>
    </row>
    <row r="719" spans="1:26" ht="15.75" customHeight="1">
      <c r="A719" s="937"/>
      <c r="B719" s="937"/>
      <c r="C719" s="937"/>
      <c r="D719" s="937"/>
      <c r="E719" s="937"/>
      <c r="F719" s="937"/>
      <c r="G719" s="937"/>
      <c r="H719" s="937"/>
      <c r="I719" s="937"/>
      <c r="J719" s="937"/>
      <c r="K719" s="937"/>
      <c r="L719" s="937"/>
      <c r="M719" s="937"/>
      <c r="N719" s="937"/>
      <c r="O719" s="937"/>
      <c r="P719" s="937"/>
      <c r="Q719" s="937"/>
      <c r="R719" s="937"/>
      <c r="S719" s="937"/>
      <c r="T719" s="937"/>
      <c r="U719" s="937"/>
      <c r="V719" s="937"/>
      <c r="W719" s="937"/>
      <c r="X719" s="937"/>
      <c r="Y719" s="937"/>
      <c r="Z719" s="937"/>
    </row>
    <row r="720" spans="1:26" ht="15.75" customHeight="1">
      <c r="A720" s="937"/>
      <c r="B720" s="937"/>
      <c r="C720" s="937"/>
      <c r="D720" s="937"/>
      <c r="E720" s="937"/>
      <c r="F720" s="937"/>
      <c r="G720" s="937"/>
      <c r="H720" s="937"/>
      <c r="I720" s="937"/>
      <c r="J720" s="937"/>
      <c r="K720" s="937"/>
      <c r="L720" s="937"/>
      <c r="M720" s="937"/>
      <c r="N720" s="937"/>
      <c r="O720" s="937"/>
      <c r="P720" s="937"/>
      <c r="Q720" s="937"/>
      <c r="R720" s="937"/>
      <c r="S720" s="937"/>
      <c r="T720" s="937"/>
      <c r="U720" s="937"/>
      <c r="V720" s="937"/>
      <c r="W720" s="937"/>
      <c r="X720" s="937"/>
      <c r="Y720" s="937"/>
      <c r="Z720" s="937"/>
    </row>
    <row r="721" spans="1:26" ht="15.75" customHeight="1">
      <c r="A721" s="937"/>
      <c r="B721" s="937"/>
      <c r="C721" s="937"/>
      <c r="D721" s="937"/>
      <c r="E721" s="937"/>
      <c r="F721" s="937"/>
      <c r="G721" s="937"/>
      <c r="H721" s="937"/>
      <c r="I721" s="937"/>
      <c r="J721" s="937"/>
      <c r="K721" s="937"/>
      <c r="L721" s="937"/>
      <c r="M721" s="937"/>
      <c r="N721" s="937"/>
      <c r="O721" s="937"/>
      <c r="P721" s="937"/>
      <c r="Q721" s="937"/>
      <c r="R721" s="937"/>
      <c r="S721" s="937"/>
      <c r="T721" s="937"/>
      <c r="U721" s="937"/>
      <c r="V721" s="937"/>
      <c r="W721" s="937"/>
      <c r="X721" s="937"/>
      <c r="Y721" s="937"/>
      <c r="Z721" s="937"/>
    </row>
    <row r="722" spans="1:26" ht="15.75" customHeight="1">
      <c r="A722" s="937"/>
      <c r="B722" s="937"/>
      <c r="C722" s="937"/>
      <c r="D722" s="937"/>
      <c r="E722" s="937"/>
      <c r="F722" s="937"/>
      <c r="G722" s="937"/>
      <c r="H722" s="937"/>
      <c r="I722" s="937"/>
      <c r="J722" s="937"/>
      <c r="K722" s="937"/>
      <c r="L722" s="937"/>
      <c r="M722" s="937"/>
      <c r="N722" s="937"/>
      <c r="O722" s="937"/>
      <c r="P722" s="937"/>
      <c r="Q722" s="937"/>
      <c r="R722" s="937"/>
      <c r="S722" s="937"/>
      <c r="T722" s="937"/>
      <c r="U722" s="937"/>
      <c r="V722" s="937"/>
      <c r="W722" s="937"/>
      <c r="X722" s="937"/>
      <c r="Y722" s="937"/>
      <c r="Z722" s="937"/>
    </row>
    <row r="723" spans="1:26" ht="15.75" customHeight="1">
      <c r="A723" s="937"/>
      <c r="B723" s="937"/>
      <c r="C723" s="937"/>
      <c r="D723" s="937"/>
      <c r="E723" s="937"/>
      <c r="F723" s="937"/>
      <c r="G723" s="937"/>
      <c r="H723" s="937"/>
      <c r="I723" s="937"/>
      <c r="J723" s="937"/>
      <c r="K723" s="937"/>
      <c r="L723" s="937"/>
      <c r="M723" s="937"/>
      <c r="N723" s="937"/>
      <c r="O723" s="937"/>
      <c r="P723" s="937"/>
      <c r="Q723" s="937"/>
      <c r="R723" s="937"/>
      <c r="S723" s="937"/>
      <c r="T723" s="937"/>
      <c r="U723" s="937"/>
      <c r="V723" s="937"/>
      <c r="W723" s="937"/>
      <c r="X723" s="937"/>
      <c r="Y723" s="937"/>
      <c r="Z723" s="937"/>
    </row>
    <row r="724" spans="1:26" ht="15.75" customHeight="1">
      <c r="A724" s="937"/>
      <c r="B724" s="937"/>
      <c r="C724" s="937"/>
      <c r="D724" s="937"/>
      <c r="E724" s="937"/>
      <c r="F724" s="937"/>
      <c r="G724" s="937"/>
      <c r="H724" s="937"/>
      <c r="I724" s="937"/>
      <c r="J724" s="937"/>
      <c r="K724" s="937"/>
      <c r="L724" s="937"/>
      <c r="M724" s="937"/>
      <c r="N724" s="937"/>
      <c r="O724" s="937"/>
      <c r="P724" s="937"/>
      <c r="Q724" s="937"/>
      <c r="R724" s="937"/>
      <c r="S724" s="937"/>
      <c r="T724" s="937"/>
      <c r="U724" s="937"/>
      <c r="V724" s="937"/>
      <c r="W724" s="937"/>
      <c r="X724" s="937"/>
      <c r="Y724" s="937"/>
      <c r="Z724" s="937"/>
    </row>
    <row r="725" spans="1:26" ht="15.75" customHeight="1">
      <c r="A725" s="937"/>
      <c r="B725" s="937"/>
      <c r="C725" s="937"/>
      <c r="D725" s="937"/>
      <c r="E725" s="937"/>
      <c r="F725" s="937"/>
      <c r="G725" s="937"/>
      <c r="H725" s="937"/>
      <c r="I725" s="937"/>
      <c r="J725" s="937"/>
      <c r="K725" s="937"/>
      <c r="L725" s="937"/>
      <c r="M725" s="937"/>
      <c r="N725" s="937"/>
      <c r="O725" s="937"/>
      <c r="P725" s="937"/>
      <c r="Q725" s="937"/>
      <c r="R725" s="937"/>
      <c r="S725" s="937"/>
      <c r="T725" s="937"/>
      <c r="U725" s="937"/>
      <c r="V725" s="937"/>
      <c r="W725" s="937"/>
      <c r="X725" s="937"/>
      <c r="Y725" s="937"/>
      <c r="Z725" s="937"/>
    </row>
    <row r="726" spans="1:26" ht="15.75" customHeight="1">
      <c r="A726" s="937"/>
      <c r="B726" s="937"/>
      <c r="C726" s="937"/>
      <c r="D726" s="937"/>
      <c r="E726" s="937"/>
      <c r="F726" s="937"/>
      <c r="G726" s="937"/>
      <c r="H726" s="937"/>
      <c r="I726" s="937"/>
      <c r="J726" s="937"/>
      <c r="K726" s="937"/>
      <c r="L726" s="937"/>
      <c r="M726" s="937"/>
      <c r="N726" s="937"/>
      <c r="O726" s="937"/>
      <c r="P726" s="937"/>
      <c r="Q726" s="937"/>
      <c r="R726" s="937"/>
      <c r="S726" s="937"/>
      <c r="T726" s="937"/>
      <c r="U726" s="937"/>
      <c r="V726" s="937"/>
      <c r="W726" s="937"/>
      <c r="X726" s="937"/>
      <c r="Y726" s="937"/>
      <c r="Z726" s="937"/>
    </row>
    <row r="727" spans="1:26" ht="15.75" customHeight="1">
      <c r="A727" s="937"/>
      <c r="B727" s="937"/>
      <c r="C727" s="937"/>
      <c r="D727" s="937"/>
      <c r="E727" s="937"/>
      <c r="F727" s="937"/>
      <c r="G727" s="937"/>
      <c r="H727" s="937"/>
      <c r="I727" s="937"/>
      <c r="J727" s="937"/>
      <c r="K727" s="937"/>
      <c r="L727" s="937"/>
      <c r="M727" s="937"/>
      <c r="N727" s="937"/>
      <c r="O727" s="937"/>
      <c r="P727" s="937"/>
      <c r="Q727" s="937"/>
      <c r="R727" s="937"/>
      <c r="S727" s="937"/>
      <c r="T727" s="937"/>
      <c r="U727" s="937"/>
      <c r="V727" s="937"/>
      <c r="W727" s="937"/>
      <c r="X727" s="937"/>
      <c r="Y727" s="937"/>
      <c r="Z727" s="937"/>
    </row>
    <row r="728" spans="1:26" ht="15.75" customHeight="1">
      <c r="A728" s="937"/>
      <c r="B728" s="937"/>
      <c r="C728" s="937"/>
      <c r="D728" s="937"/>
      <c r="E728" s="937"/>
      <c r="F728" s="937"/>
      <c r="G728" s="937"/>
      <c r="H728" s="937"/>
      <c r="I728" s="937"/>
      <c r="J728" s="937"/>
      <c r="K728" s="937"/>
      <c r="L728" s="937"/>
      <c r="M728" s="937"/>
      <c r="N728" s="937"/>
      <c r="O728" s="937"/>
      <c r="P728" s="937"/>
      <c r="Q728" s="937"/>
      <c r="R728" s="937"/>
      <c r="S728" s="937"/>
      <c r="T728" s="937"/>
      <c r="U728" s="937"/>
      <c r="V728" s="937"/>
      <c r="W728" s="937"/>
      <c r="X728" s="937"/>
      <c r="Y728" s="937"/>
      <c r="Z728" s="937"/>
    </row>
    <row r="729" spans="1:26" ht="15.75" customHeight="1">
      <c r="A729" s="937"/>
      <c r="B729" s="937"/>
      <c r="C729" s="937"/>
      <c r="D729" s="937"/>
      <c r="E729" s="937"/>
      <c r="F729" s="937"/>
      <c r="G729" s="937"/>
      <c r="H729" s="937"/>
      <c r="I729" s="937"/>
      <c r="J729" s="937"/>
      <c r="K729" s="937"/>
      <c r="L729" s="937"/>
      <c r="M729" s="937"/>
      <c r="N729" s="937"/>
      <c r="O729" s="937"/>
      <c r="P729" s="937"/>
      <c r="Q729" s="937"/>
      <c r="R729" s="937"/>
      <c r="S729" s="937"/>
      <c r="T729" s="937"/>
      <c r="U729" s="937"/>
      <c r="V729" s="937"/>
      <c r="W729" s="937"/>
      <c r="X729" s="937"/>
      <c r="Y729" s="937"/>
      <c r="Z729" s="937"/>
    </row>
    <row r="730" spans="1:26" ht="15.75" customHeight="1">
      <c r="A730" s="937"/>
      <c r="B730" s="937"/>
      <c r="C730" s="937"/>
      <c r="D730" s="937"/>
      <c r="E730" s="937"/>
      <c r="F730" s="937"/>
      <c r="G730" s="937"/>
      <c r="H730" s="937"/>
      <c r="I730" s="937"/>
      <c r="J730" s="937"/>
      <c r="K730" s="937"/>
      <c r="L730" s="937"/>
      <c r="M730" s="937"/>
      <c r="N730" s="937"/>
      <c r="O730" s="937"/>
      <c r="P730" s="937"/>
      <c r="Q730" s="937"/>
      <c r="R730" s="937"/>
      <c r="S730" s="937"/>
      <c r="T730" s="937"/>
      <c r="U730" s="937"/>
      <c r="V730" s="937"/>
      <c r="W730" s="937"/>
      <c r="X730" s="937"/>
      <c r="Y730" s="937"/>
      <c r="Z730" s="937"/>
    </row>
    <row r="731" spans="1:26" ht="15.75" customHeight="1">
      <c r="A731" s="937"/>
      <c r="B731" s="937"/>
      <c r="C731" s="937"/>
      <c r="D731" s="937"/>
      <c r="E731" s="937"/>
      <c r="F731" s="937"/>
      <c r="G731" s="937"/>
      <c r="H731" s="937"/>
      <c r="I731" s="937"/>
      <c r="J731" s="937"/>
      <c r="K731" s="937"/>
      <c r="L731" s="937"/>
      <c r="M731" s="937"/>
      <c r="N731" s="937"/>
      <c r="O731" s="937"/>
      <c r="P731" s="937"/>
      <c r="Q731" s="937"/>
      <c r="R731" s="937"/>
      <c r="S731" s="937"/>
      <c r="T731" s="937"/>
      <c r="U731" s="937"/>
      <c r="V731" s="937"/>
      <c r="W731" s="937"/>
      <c r="X731" s="937"/>
      <c r="Y731" s="937"/>
      <c r="Z731" s="937"/>
    </row>
    <row r="732" spans="1:26" ht="15.75" customHeight="1">
      <c r="A732" s="937"/>
      <c r="B732" s="937"/>
      <c r="C732" s="937"/>
      <c r="D732" s="937"/>
      <c r="E732" s="937"/>
      <c r="F732" s="937"/>
      <c r="G732" s="937"/>
      <c r="H732" s="937"/>
      <c r="I732" s="937"/>
      <c r="J732" s="937"/>
      <c r="K732" s="937"/>
      <c r="L732" s="937"/>
      <c r="M732" s="937"/>
      <c r="N732" s="937"/>
      <c r="O732" s="937"/>
      <c r="P732" s="937"/>
      <c r="Q732" s="937"/>
      <c r="R732" s="937"/>
      <c r="S732" s="937"/>
      <c r="T732" s="937"/>
      <c r="U732" s="937"/>
      <c r="V732" s="937"/>
      <c r="W732" s="937"/>
      <c r="X732" s="937"/>
      <c r="Y732" s="937"/>
      <c r="Z732" s="937"/>
    </row>
    <row r="733" spans="1:26" ht="15.75" customHeight="1">
      <c r="A733" s="937"/>
      <c r="B733" s="937"/>
      <c r="C733" s="937"/>
      <c r="D733" s="937"/>
      <c r="E733" s="937"/>
      <c r="F733" s="937"/>
      <c r="G733" s="937"/>
      <c r="H733" s="937"/>
      <c r="I733" s="937"/>
      <c r="J733" s="937"/>
      <c r="K733" s="937"/>
      <c r="L733" s="937"/>
      <c r="M733" s="937"/>
      <c r="N733" s="937"/>
      <c r="O733" s="937"/>
      <c r="P733" s="937"/>
      <c r="Q733" s="937"/>
      <c r="R733" s="937"/>
      <c r="S733" s="937"/>
      <c r="T733" s="937"/>
      <c r="U733" s="937"/>
      <c r="V733" s="937"/>
      <c r="W733" s="937"/>
      <c r="X733" s="937"/>
      <c r="Y733" s="937"/>
      <c r="Z733" s="937"/>
    </row>
    <row r="734" spans="1:26" ht="15.75" customHeight="1">
      <c r="A734" s="937"/>
      <c r="B734" s="937"/>
      <c r="C734" s="937"/>
      <c r="D734" s="937"/>
      <c r="E734" s="937"/>
      <c r="F734" s="937"/>
      <c r="G734" s="937"/>
      <c r="H734" s="937"/>
      <c r="I734" s="937"/>
      <c r="J734" s="937"/>
      <c r="K734" s="937"/>
      <c r="L734" s="937"/>
      <c r="M734" s="937"/>
      <c r="N734" s="937"/>
      <c r="O734" s="937"/>
      <c r="P734" s="937"/>
      <c r="Q734" s="937"/>
      <c r="R734" s="937"/>
      <c r="S734" s="937"/>
      <c r="T734" s="937"/>
      <c r="U734" s="937"/>
      <c r="V734" s="937"/>
      <c r="W734" s="937"/>
      <c r="X734" s="937"/>
      <c r="Y734" s="937"/>
      <c r="Z734" s="937"/>
    </row>
    <row r="735" spans="1:26" ht="15.75" customHeight="1">
      <c r="A735" s="937"/>
      <c r="B735" s="937"/>
      <c r="C735" s="937"/>
      <c r="D735" s="937"/>
      <c r="E735" s="937"/>
      <c r="F735" s="937"/>
      <c r="G735" s="937"/>
      <c r="H735" s="937"/>
      <c r="I735" s="937"/>
      <c r="J735" s="937"/>
      <c r="K735" s="937"/>
      <c r="L735" s="937"/>
      <c r="M735" s="937"/>
      <c r="N735" s="937"/>
      <c r="O735" s="937"/>
      <c r="P735" s="937"/>
      <c r="Q735" s="937"/>
      <c r="R735" s="937"/>
      <c r="S735" s="937"/>
      <c r="T735" s="937"/>
      <c r="U735" s="937"/>
      <c r="V735" s="937"/>
      <c r="W735" s="937"/>
      <c r="X735" s="937"/>
      <c r="Y735" s="937"/>
      <c r="Z735" s="937"/>
    </row>
    <row r="736" spans="1:26" ht="15.75" customHeight="1">
      <c r="A736" s="937"/>
      <c r="B736" s="937"/>
      <c r="C736" s="937"/>
      <c r="D736" s="937"/>
      <c r="E736" s="937"/>
      <c r="F736" s="937"/>
      <c r="G736" s="937"/>
      <c r="H736" s="937"/>
      <c r="I736" s="937"/>
      <c r="J736" s="937"/>
      <c r="K736" s="937"/>
      <c r="L736" s="937"/>
      <c r="M736" s="937"/>
      <c r="N736" s="937"/>
      <c r="O736" s="937"/>
      <c r="P736" s="937"/>
      <c r="Q736" s="937"/>
      <c r="R736" s="937"/>
      <c r="S736" s="937"/>
      <c r="T736" s="937"/>
      <c r="U736" s="937"/>
      <c r="V736" s="937"/>
      <c r="W736" s="937"/>
      <c r="X736" s="937"/>
      <c r="Y736" s="937"/>
      <c r="Z736" s="937"/>
    </row>
    <row r="737" spans="1:26" ht="15.75" customHeight="1">
      <c r="A737" s="937"/>
      <c r="B737" s="937"/>
      <c r="C737" s="937"/>
      <c r="D737" s="937"/>
      <c r="E737" s="937"/>
      <c r="F737" s="937"/>
      <c r="G737" s="937"/>
      <c r="H737" s="937"/>
      <c r="I737" s="937"/>
      <c r="J737" s="937"/>
      <c r="K737" s="937"/>
      <c r="L737" s="937"/>
      <c r="M737" s="937"/>
      <c r="N737" s="937"/>
      <c r="O737" s="937"/>
      <c r="P737" s="937"/>
      <c r="Q737" s="937"/>
      <c r="R737" s="937"/>
      <c r="S737" s="937"/>
      <c r="T737" s="937"/>
      <c r="U737" s="937"/>
      <c r="V737" s="937"/>
      <c r="W737" s="937"/>
      <c r="X737" s="937"/>
      <c r="Y737" s="937"/>
      <c r="Z737" s="937"/>
    </row>
    <row r="738" spans="1:26" ht="15.75" customHeight="1">
      <c r="A738" s="937"/>
      <c r="B738" s="937"/>
      <c r="C738" s="937"/>
      <c r="D738" s="937"/>
      <c r="E738" s="937"/>
      <c r="F738" s="937"/>
      <c r="G738" s="937"/>
      <c r="H738" s="937"/>
      <c r="I738" s="937"/>
      <c r="J738" s="937"/>
      <c r="K738" s="937"/>
      <c r="L738" s="937"/>
      <c r="M738" s="937"/>
      <c r="N738" s="937"/>
      <c r="O738" s="937"/>
      <c r="P738" s="937"/>
      <c r="Q738" s="937"/>
      <c r="R738" s="937"/>
      <c r="S738" s="937"/>
      <c r="T738" s="937"/>
      <c r="U738" s="937"/>
      <c r="V738" s="937"/>
      <c r="W738" s="937"/>
      <c r="X738" s="937"/>
      <c r="Y738" s="937"/>
      <c r="Z738" s="937"/>
    </row>
    <row r="739" spans="1:26" ht="15.75" customHeight="1">
      <c r="A739" s="937"/>
      <c r="B739" s="937"/>
      <c r="C739" s="937"/>
      <c r="D739" s="937"/>
      <c r="E739" s="937"/>
      <c r="F739" s="937"/>
      <c r="G739" s="937"/>
      <c r="H739" s="937"/>
      <c r="I739" s="937"/>
      <c r="J739" s="937"/>
      <c r="K739" s="937"/>
      <c r="L739" s="937"/>
      <c r="M739" s="937"/>
      <c r="N739" s="937"/>
      <c r="O739" s="937"/>
      <c r="P739" s="937"/>
      <c r="Q739" s="937"/>
      <c r="R739" s="937"/>
      <c r="S739" s="937"/>
      <c r="T739" s="937"/>
      <c r="U739" s="937"/>
      <c r="V739" s="937"/>
      <c r="W739" s="937"/>
      <c r="X739" s="937"/>
      <c r="Y739" s="937"/>
      <c r="Z739" s="937"/>
    </row>
    <row r="740" spans="1:26" ht="15.75" customHeight="1">
      <c r="A740" s="937"/>
      <c r="B740" s="937"/>
      <c r="C740" s="937"/>
      <c r="D740" s="937"/>
      <c r="E740" s="937"/>
      <c r="F740" s="937"/>
      <c r="G740" s="937"/>
      <c r="H740" s="937"/>
      <c r="I740" s="937"/>
      <c r="J740" s="937"/>
      <c r="K740" s="937"/>
      <c r="L740" s="937"/>
      <c r="M740" s="937"/>
      <c r="N740" s="937"/>
      <c r="O740" s="937"/>
      <c r="P740" s="937"/>
      <c r="Q740" s="937"/>
      <c r="R740" s="937"/>
      <c r="S740" s="937"/>
      <c r="T740" s="937"/>
      <c r="U740" s="937"/>
      <c r="V740" s="937"/>
      <c r="W740" s="937"/>
      <c r="X740" s="937"/>
      <c r="Y740" s="937"/>
      <c r="Z740" s="937"/>
    </row>
    <row r="741" spans="1:26" ht="15.75" customHeight="1">
      <c r="A741" s="937"/>
      <c r="B741" s="937"/>
      <c r="C741" s="937"/>
      <c r="D741" s="937"/>
      <c r="E741" s="937"/>
      <c r="F741" s="937"/>
      <c r="G741" s="937"/>
      <c r="H741" s="937"/>
      <c r="I741" s="937"/>
      <c r="J741" s="937"/>
      <c r="K741" s="937"/>
      <c r="L741" s="937"/>
      <c r="M741" s="937"/>
      <c r="N741" s="937"/>
      <c r="O741" s="937"/>
      <c r="P741" s="937"/>
      <c r="Q741" s="937"/>
      <c r="R741" s="937"/>
      <c r="S741" s="937"/>
      <c r="T741" s="937"/>
      <c r="U741" s="937"/>
      <c r="V741" s="937"/>
      <c r="W741" s="937"/>
      <c r="X741" s="937"/>
      <c r="Y741" s="937"/>
      <c r="Z741" s="937"/>
    </row>
    <row r="742" spans="1:26" ht="15.75" customHeight="1">
      <c r="A742" s="937"/>
      <c r="B742" s="937"/>
      <c r="C742" s="937"/>
      <c r="D742" s="937"/>
      <c r="E742" s="937"/>
      <c r="F742" s="937"/>
      <c r="G742" s="937"/>
      <c r="H742" s="937"/>
      <c r="I742" s="937"/>
      <c r="J742" s="937"/>
      <c r="K742" s="937"/>
      <c r="L742" s="937"/>
      <c r="M742" s="937"/>
      <c r="N742" s="937"/>
      <c r="O742" s="937"/>
      <c r="P742" s="937"/>
      <c r="Q742" s="937"/>
      <c r="R742" s="937"/>
      <c r="S742" s="937"/>
      <c r="T742" s="937"/>
      <c r="U742" s="937"/>
      <c r="V742" s="937"/>
      <c r="W742" s="937"/>
      <c r="X742" s="937"/>
      <c r="Y742" s="937"/>
      <c r="Z742" s="937"/>
    </row>
    <row r="743" spans="1:26" ht="15.75" customHeight="1">
      <c r="A743" s="937"/>
      <c r="B743" s="937"/>
      <c r="C743" s="937"/>
      <c r="D743" s="937"/>
      <c r="E743" s="937"/>
      <c r="F743" s="937"/>
      <c r="G743" s="937"/>
      <c r="H743" s="937"/>
      <c r="I743" s="937"/>
      <c r="J743" s="937"/>
      <c r="K743" s="937"/>
      <c r="L743" s="937"/>
      <c r="M743" s="937"/>
      <c r="N743" s="937"/>
      <c r="O743" s="937"/>
      <c r="P743" s="937"/>
      <c r="Q743" s="937"/>
      <c r="R743" s="937"/>
      <c r="S743" s="937"/>
      <c r="T743" s="937"/>
      <c r="U743" s="937"/>
      <c r="V743" s="937"/>
      <c r="W743" s="937"/>
      <c r="X743" s="937"/>
      <c r="Y743" s="937"/>
      <c r="Z743" s="937"/>
    </row>
    <row r="744" spans="1:26" ht="15.75" customHeight="1">
      <c r="A744" s="937"/>
      <c r="B744" s="937"/>
      <c r="C744" s="937"/>
      <c r="D744" s="937"/>
      <c r="E744" s="937"/>
      <c r="F744" s="937"/>
      <c r="G744" s="937"/>
      <c r="H744" s="937"/>
      <c r="I744" s="937"/>
      <c r="J744" s="937"/>
      <c r="K744" s="937"/>
      <c r="L744" s="937"/>
      <c r="M744" s="937"/>
      <c r="N744" s="937"/>
      <c r="O744" s="937"/>
      <c r="P744" s="937"/>
      <c r="Q744" s="937"/>
      <c r="R744" s="937"/>
      <c r="S744" s="937"/>
      <c r="T744" s="937"/>
      <c r="U744" s="937"/>
      <c r="V744" s="937"/>
      <c r="W744" s="937"/>
      <c r="X744" s="937"/>
      <c r="Y744" s="937"/>
      <c r="Z744" s="937"/>
    </row>
    <row r="745" spans="1:26" ht="15.75" customHeight="1">
      <c r="A745" s="937"/>
      <c r="B745" s="937"/>
      <c r="C745" s="937"/>
      <c r="D745" s="937"/>
      <c r="E745" s="937"/>
      <c r="F745" s="937"/>
      <c r="G745" s="937"/>
      <c r="H745" s="937"/>
      <c r="I745" s="937"/>
      <c r="J745" s="937"/>
      <c r="K745" s="937"/>
      <c r="L745" s="937"/>
      <c r="M745" s="937"/>
      <c r="N745" s="937"/>
      <c r="O745" s="937"/>
      <c r="P745" s="937"/>
      <c r="Q745" s="937"/>
      <c r="R745" s="937"/>
      <c r="S745" s="937"/>
      <c r="T745" s="937"/>
      <c r="U745" s="937"/>
      <c r="V745" s="937"/>
      <c r="W745" s="937"/>
      <c r="X745" s="937"/>
      <c r="Y745" s="937"/>
      <c r="Z745" s="937"/>
    </row>
    <row r="746" spans="1:26" ht="15.75" customHeight="1">
      <c r="A746" s="937"/>
      <c r="B746" s="937"/>
      <c r="C746" s="937"/>
      <c r="D746" s="937"/>
      <c r="E746" s="937"/>
      <c r="F746" s="937"/>
      <c r="G746" s="937"/>
      <c r="H746" s="937"/>
      <c r="I746" s="937"/>
      <c r="J746" s="937"/>
      <c r="K746" s="937"/>
      <c r="L746" s="937"/>
      <c r="M746" s="937"/>
      <c r="N746" s="937"/>
      <c r="O746" s="937"/>
      <c r="P746" s="937"/>
      <c r="Q746" s="937"/>
      <c r="R746" s="937"/>
      <c r="S746" s="937"/>
      <c r="T746" s="937"/>
      <c r="U746" s="937"/>
      <c r="V746" s="937"/>
      <c r="W746" s="937"/>
      <c r="X746" s="937"/>
      <c r="Y746" s="937"/>
      <c r="Z746" s="937"/>
    </row>
    <row r="747" spans="1:26" ht="15.75" customHeight="1">
      <c r="A747" s="937"/>
      <c r="B747" s="937"/>
      <c r="C747" s="937"/>
      <c r="D747" s="937"/>
      <c r="E747" s="937"/>
      <c r="F747" s="937"/>
      <c r="G747" s="937"/>
      <c r="H747" s="937"/>
      <c r="I747" s="937"/>
      <c r="J747" s="937"/>
      <c r="K747" s="937"/>
      <c r="L747" s="937"/>
      <c r="M747" s="937"/>
      <c r="N747" s="937"/>
      <c r="O747" s="937"/>
      <c r="P747" s="937"/>
      <c r="Q747" s="937"/>
      <c r="R747" s="937"/>
      <c r="S747" s="937"/>
      <c r="T747" s="937"/>
      <c r="U747" s="937"/>
      <c r="V747" s="937"/>
      <c r="W747" s="937"/>
      <c r="X747" s="937"/>
      <c r="Y747" s="937"/>
      <c r="Z747" s="937"/>
    </row>
    <row r="748" spans="1:26" ht="15.75" customHeight="1">
      <c r="A748" s="937"/>
      <c r="B748" s="937"/>
      <c r="C748" s="937"/>
      <c r="D748" s="937"/>
      <c r="E748" s="937"/>
      <c r="F748" s="937"/>
      <c r="G748" s="937"/>
      <c r="H748" s="937"/>
      <c r="I748" s="937"/>
      <c r="J748" s="937"/>
      <c r="K748" s="937"/>
      <c r="L748" s="937"/>
      <c r="M748" s="937"/>
      <c r="N748" s="937"/>
      <c r="O748" s="937"/>
      <c r="P748" s="937"/>
      <c r="Q748" s="937"/>
      <c r="R748" s="937"/>
      <c r="S748" s="937"/>
      <c r="T748" s="937"/>
      <c r="U748" s="937"/>
      <c r="V748" s="937"/>
      <c r="W748" s="937"/>
      <c r="X748" s="937"/>
      <c r="Y748" s="937"/>
      <c r="Z748" s="937"/>
    </row>
    <row r="749" spans="1:26" ht="15.75" customHeight="1">
      <c r="A749" s="937"/>
      <c r="B749" s="937"/>
      <c r="C749" s="937"/>
      <c r="D749" s="937"/>
      <c r="E749" s="937"/>
      <c r="F749" s="937"/>
      <c r="G749" s="937"/>
      <c r="H749" s="937"/>
      <c r="I749" s="937"/>
      <c r="J749" s="937"/>
      <c r="K749" s="937"/>
      <c r="L749" s="937"/>
      <c r="M749" s="937"/>
      <c r="N749" s="937"/>
      <c r="O749" s="937"/>
      <c r="P749" s="937"/>
      <c r="Q749" s="937"/>
      <c r="R749" s="937"/>
      <c r="S749" s="937"/>
      <c r="T749" s="937"/>
      <c r="U749" s="937"/>
      <c r="V749" s="937"/>
      <c r="W749" s="937"/>
      <c r="X749" s="937"/>
      <c r="Y749" s="937"/>
      <c r="Z749" s="937"/>
    </row>
    <row r="750" spans="1:26" ht="15.75" customHeight="1">
      <c r="A750" s="937"/>
      <c r="B750" s="937"/>
      <c r="C750" s="937"/>
      <c r="D750" s="937"/>
      <c r="E750" s="937"/>
      <c r="F750" s="937"/>
      <c r="G750" s="937"/>
      <c r="H750" s="937"/>
      <c r="I750" s="937"/>
      <c r="J750" s="937"/>
      <c r="K750" s="937"/>
      <c r="L750" s="937"/>
      <c r="M750" s="937"/>
      <c r="N750" s="937"/>
      <c r="O750" s="937"/>
      <c r="P750" s="937"/>
      <c r="Q750" s="937"/>
      <c r="R750" s="937"/>
      <c r="S750" s="937"/>
      <c r="T750" s="937"/>
      <c r="U750" s="937"/>
      <c r="V750" s="937"/>
      <c r="W750" s="937"/>
      <c r="X750" s="937"/>
      <c r="Y750" s="937"/>
      <c r="Z750" s="937"/>
    </row>
    <row r="751" spans="1:26" ht="15.75" customHeight="1">
      <c r="A751" s="937"/>
      <c r="B751" s="937"/>
      <c r="C751" s="937"/>
      <c r="D751" s="937"/>
      <c r="E751" s="937"/>
      <c r="F751" s="937"/>
      <c r="G751" s="937"/>
      <c r="H751" s="937"/>
      <c r="I751" s="937"/>
      <c r="J751" s="937"/>
      <c r="K751" s="937"/>
      <c r="L751" s="937"/>
      <c r="M751" s="937"/>
      <c r="N751" s="937"/>
      <c r="O751" s="937"/>
      <c r="P751" s="937"/>
      <c r="Q751" s="937"/>
      <c r="R751" s="937"/>
      <c r="S751" s="937"/>
      <c r="T751" s="937"/>
      <c r="U751" s="937"/>
      <c r="V751" s="937"/>
      <c r="W751" s="937"/>
      <c r="X751" s="937"/>
      <c r="Y751" s="937"/>
      <c r="Z751" s="937"/>
    </row>
    <row r="752" spans="1:26" ht="15.75" customHeight="1">
      <c r="A752" s="937"/>
      <c r="B752" s="937"/>
      <c r="C752" s="937"/>
      <c r="D752" s="937"/>
      <c r="E752" s="937"/>
      <c r="F752" s="937"/>
      <c r="G752" s="937"/>
      <c r="H752" s="937"/>
      <c r="I752" s="937"/>
      <c r="J752" s="937"/>
      <c r="K752" s="937"/>
      <c r="L752" s="937"/>
      <c r="M752" s="937"/>
      <c r="N752" s="937"/>
      <c r="O752" s="937"/>
      <c r="P752" s="937"/>
      <c r="Q752" s="937"/>
      <c r="R752" s="937"/>
      <c r="S752" s="937"/>
      <c r="T752" s="937"/>
      <c r="U752" s="937"/>
      <c r="V752" s="937"/>
      <c r="W752" s="937"/>
      <c r="X752" s="937"/>
      <c r="Y752" s="937"/>
      <c r="Z752" s="937"/>
    </row>
    <row r="753" spans="1:26" ht="15.75" customHeight="1">
      <c r="A753" s="937"/>
      <c r="B753" s="937"/>
      <c r="C753" s="937"/>
      <c r="D753" s="937"/>
      <c r="E753" s="937"/>
      <c r="F753" s="937"/>
      <c r="G753" s="937"/>
      <c r="H753" s="937"/>
      <c r="I753" s="937"/>
      <c r="J753" s="937"/>
      <c r="K753" s="937"/>
      <c r="L753" s="937"/>
      <c r="M753" s="937"/>
      <c r="N753" s="937"/>
      <c r="O753" s="937"/>
      <c r="P753" s="937"/>
      <c r="Q753" s="937"/>
      <c r="R753" s="937"/>
      <c r="S753" s="937"/>
      <c r="T753" s="937"/>
      <c r="U753" s="937"/>
      <c r="V753" s="937"/>
      <c r="W753" s="937"/>
      <c r="X753" s="937"/>
      <c r="Y753" s="937"/>
      <c r="Z753" s="937"/>
    </row>
    <row r="754" spans="1:26" ht="15.75" customHeight="1">
      <c r="A754" s="937"/>
      <c r="B754" s="937"/>
      <c r="C754" s="937"/>
      <c r="D754" s="937"/>
      <c r="E754" s="937"/>
      <c r="F754" s="937"/>
      <c r="G754" s="937"/>
      <c r="H754" s="937"/>
      <c r="I754" s="937"/>
      <c r="J754" s="937"/>
      <c r="K754" s="937"/>
      <c r="L754" s="937"/>
      <c r="M754" s="937"/>
      <c r="N754" s="937"/>
      <c r="O754" s="937"/>
      <c r="P754" s="937"/>
      <c r="Q754" s="937"/>
      <c r="R754" s="937"/>
      <c r="S754" s="937"/>
      <c r="T754" s="937"/>
      <c r="U754" s="937"/>
      <c r="V754" s="937"/>
      <c r="W754" s="937"/>
      <c r="X754" s="937"/>
      <c r="Y754" s="937"/>
      <c r="Z754" s="937"/>
    </row>
    <row r="755" spans="1:26" ht="15.75" customHeight="1">
      <c r="A755" s="937"/>
      <c r="B755" s="937"/>
      <c r="C755" s="937"/>
      <c r="D755" s="937"/>
      <c r="E755" s="937"/>
      <c r="F755" s="937"/>
      <c r="G755" s="937"/>
      <c r="H755" s="937"/>
      <c r="I755" s="937"/>
      <c r="J755" s="937"/>
      <c r="K755" s="937"/>
      <c r="L755" s="937"/>
      <c r="M755" s="937"/>
      <c r="N755" s="937"/>
      <c r="O755" s="937"/>
      <c r="P755" s="937"/>
      <c r="Q755" s="937"/>
      <c r="R755" s="937"/>
      <c r="S755" s="937"/>
      <c r="T755" s="937"/>
      <c r="U755" s="937"/>
      <c r="V755" s="937"/>
      <c r="W755" s="937"/>
      <c r="X755" s="937"/>
      <c r="Y755" s="937"/>
      <c r="Z755" s="937"/>
    </row>
    <row r="756" spans="1:26" ht="15.75" customHeight="1">
      <c r="A756" s="937"/>
      <c r="B756" s="937"/>
      <c r="C756" s="937"/>
      <c r="D756" s="937"/>
      <c r="E756" s="937"/>
      <c r="F756" s="937"/>
      <c r="G756" s="937"/>
      <c r="H756" s="937"/>
      <c r="I756" s="937"/>
      <c r="J756" s="937"/>
      <c r="K756" s="937"/>
      <c r="L756" s="937"/>
      <c r="M756" s="937"/>
      <c r="N756" s="937"/>
      <c r="O756" s="937"/>
      <c r="P756" s="937"/>
      <c r="Q756" s="937"/>
      <c r="R756" s="937"/>
      <c r="S756" s="937"/>
      <c r="T756" s="937"/>
      <c r="U756" s="937"/>
      <c r="V756" s="937"/>
      <c r="W756" s="937"/>
      <c r="X756" s="937"/>
      <c r="Y756" s="937"/>
      <c r="Z756" s="937"/>
    </row>
    <row r="757" spans="1:26" ht="15.75" customHeight="1">
      <c r="A757" s="937"/>
      <c r="B757" s="937"/>
      <c r="C757" s="937"/>
      <c r="D757" s="937"/>
      <c r="E757" s="937"/>
      <c r="F757" s="937"/>
      <c r="G757" s="937"/>
      <c r="H757" s="937"/>
      <c r="I757" s="937"/>
      <c r="J757" s="937"/>
      <c r="K757" s="937"/>
      <c r="L757" s="937"/>
      <c r="M757" s="937"/>
      <c r="N757" s="937"/>
      <c r="O757" s="937"/>
      <c r="P757" s="937"/>
      <c r="Q757" s="937"/>
      <c r="R757" s="937"/>
      <c r="S757" s="937"/>
      <c r="T757" s="937"/>
      <c r="U757" s="937"/>
      <c r="V757" s="937"/>
      <c r="W757" s="937"/>
      <c r="X757" s="937"/>
      <c r="Y757" s="937"/>
      <c r="Z757" s="937"/>
    </row>
    <row r="758" spans="1:26" ht="15.75" customHeight="1">
      <c r="A758" s="937"/>
      <c r="B758" s="937"/>
      <c r="C758" s="937"/>
      <c r="D758" s="937"/>
      <c r="E758" s="937"/>
      <c r="F758" s="937"/>
      <c r="G758" s="937"/>
      <c r="H758" s="937"/>
      <c r="I758" s="937"/>
      <c r="J758" s="937"/>
      <c r="K758" s="937"/>
      <c r="L758" s="937"/>
      <c r="M758" s="937"/>
      <c r="N758" s="937"/>
      <c r="O758" s="937"/>
      <c r="P758" s="937"/>
      <c r="Q758" s="937"/>
      <c r="R758" s="937"/>
      <c r="S758" s="937"/>
      <c r="T758" s="937"/>
      <c r="U758" s="937"/>
      <c r="V758" s="937"/>
      <c r="W758" s="937"/>
      <c r="X758" s="937"/>
      <c r="Y758" s="937"/>
      <c r="Z758" s="937"/>
    </row>
    <row r="759" spans="1:26" ht="15.75" customHeight="1">
      <c r="A759" s="937"/>
      <c r="B759" s="937"/>
      <c r="C759" s="937"/>
      <c r="D759" s="937"/>
      <c r="E759" s="937"/>
      <c r="F759" s="937"/>
      <c r="G759" s="937"/>
      <c r="H759" s="937"/>
      <c r="I759" s="937"/>
      <c r="J759" s="937"/>
      <c r="K759" s="937"/>
      <c r="L759" s="937"/>
      <c r="M759" s="937"/>
      <c r="N759" s="937"/>
      <c r="O759" s="937"/>
      <c r="P759" s="937"/>
      <c r="Q759" s="937"/>
      <c r="R759" s="937"/>
      <c r="S759" s="937"/>
      <c r="T759" s="937"/>
      <c r="U759" s="937"/>
      <c r="V759" s="937"/>
      <c r="W759" s="937"/>
      <c r="X759" s="937"/>
      <c r="Y759" s="937"/>
      <c r="Z759" s="937"/>
    </row>
    <row r="760" spans="1:26" ht="15.75" customHeight="1">
      <c r="A760" s="937"/>
      <c r="B760" s="937"/>
      <c r="C760" s="937"/>
      <c r="D760" s="937"/>
      <c r="E760" s="937"/>
      <c r="F760" s="937"/>
      <c r="G760" s="937"/>
      <c r="H760" s="937"/>
      <c r="I760" s="937"/>
      <c r="J760" s="937"/>
      <c r="K760" s="937"/>
      <c r="L760" s="937"/>
      <c r="M760" s="937"/>
      <c r="N760" s="937"/>
      <c r="O760" s="937"/>
      <c r="P760" s="937"/>
      <c r="Q760" s="937"/>
      <c r="R760" s="937"/>
      <c r="S760" s="937"/>
      <c r="T760" s="937"/>
      <c r="U760" s="937"/>
      <c r="V760" s="937"/>
      <c r="W760" s="937"/>
      <c r="X760" s="937"/>
      <c r="Y760" s="937"/>
      <c r="Z760" s="937"/>
    </row>
    <row r="761" spans="1:26" ht="15.75" customHeight="1">
      <c r="A761" s="937"/>
      <c r="B761" s="937"/>
      <c r="C761" s="937"/>
      <c r="D761" s="937"/>
      <c r="E761" s="937"/>
      <c r="F761" s="937"/>
      <c r="G761" s="937"/>
      <c r="H761" s="937"/>
      <c r="I761" s="937"/>
      <c r="J761" s="937"/>
      <c r="K761" s="937"/>
      <c r="L761" s="937"/>
      <c r="M761" s="937"/>
      <c r="N761" s="937"/>
      <c r="O761" s="937"/>
      <c r="P761" s="937"/>
      <c r="Q761" s="937"/>
      <c r="R761" s="937"/>
      <c r="S761" s="937"/>
      <c r="T761" s="937"/>
      <c r="U761" s="937"/>
      <c r="V761" s="937"/>
      <c r="W761" s="937"/>
      <c r="X761" s="937"/>
      <c r="Y761" s="937"/>
      <c r="Z761" s="937"/>
    </row>
    <row r="762" spans="1:26" ht="15.75" customHeight="1">
      <c r="A762" s="937"/>
      <c r="B762" s="937"/>
      <c r="C762" s="937"/>
      <c r="D762" s="937"/>
      <c r="E762" s="937"/>
      <c r="F762" s="937"/>
      <c r="G762" s="937"/>
      <c r="H762" s="937"/>
      <c r="I762" s="937"/>
      <c r="J762" s="937"/>
      <c r="K762" s="937"/>
      <c r="L762" s="937"/>
      <c r="M762" s="937"/>
      <c r="N762" s="937"/>
      <c r="O762" s="937"/>
      <c r="P762" s="937"/>
      <c r="Q762" s="937"/>
      <c r="R762" s="937"/>
      <c r="S762" s="937"/>
      <c r="T762" s="937"/>
      <c r="U762" s="937"/>
      <c r="V762" s="937"/>
      <c r="W762" s="937"/>
      <c r="X762" s="937"/>
      <c r="Y762" s="937"/>
      <c r="Z762" s="937"/>
    </row>
    <row r="763" spans="1:26" ht="15.75" customHeight="1">
      <c r="A763" s="937"/>
      <c r="B763" s="937"/>
      <c r="C763" s="937"/>
      <c r="D763" s="937"/>
      <c r="E763" s="937"/>
      <c r="F763" s="937"/>
      <c r="G763" s="937"/>
      <c r="H763" s="937"/>
      <c r="I763" s="937"/>
      <c r="J763" s="937"/>
      <c r="K763" s="937"/>
      <c r="L763" s="937"/>
      <c r="M763" s="937"/>
      <c r="N763" s="937"/>
      <c r="O763" s="937"/>
      <c r="P763" s="937"/>
      <c r="Q763" s="937"/>
      <c r="R763" s="937"/>
      <c r="S763" s="937"/>
      <c r="T763" s="937"/>
      <c r="U763" s="937"/>
      <c r="V763" s="937"/>
      <c r="W763" s="937"/>
      <c r="X763" s="937"/>
      <c r="Y763" s="937"/>
      <c r="Z763" s="937"/>
    </row>
    <row r="764" spans="1:26" ht="15.75" customHeight="1">
      <c r="A764" s="937"/>
      <c r="B764" s="937"/>
      <c r="C764" s="937"/>
      <c r="D764" s="937"/>
      <c r="E764" s="937"/>
      <c r="F764" s="937"/>
      <c r="G764" s="937"/>
      <c r="H764" s="937"/>
      <c r="I764" s="937"/>
      <c r="J764" s="937"/>
      <c r="K764" s="937"/>
      <c r="L764" s="937"/>
      <c r="M764" s="937"/>
      <c r="N764" s="937"/>
      <c r="O764" s="937"/>
      <c r="P764" s="937"/>
      <c r="Q764" s="937"/>
      <c r="R764" s="937"/>
      <c r="S764" s="937"/>
      <c r="T764" s="937"/>
      <c r="U764" s="937"/>
      <c r="V764" s="937"/>
      <c r="W764" s="937"/>
      <c r="X764" s="937"/>
      <c r="Y764" s="937"/>
      <c r="Z764" s="937"/>
    </row>
    <row r="765" spans="1:26" ht="15.75" customHeight="1">
      <c r="A765" s="937"/>
      <c r="B765" s="937"/>
      <c r="C765" s="937"/>
      <c r="D765" s="937"/>
      <c r="E765" s="937"/>
      <c r="F765" s="937"/>
      <c r="G765" s="937"/>
      <c r="H765" s="937"/>
      <c r="I765" s="937"/>
      <c r="J765" s="937"/>
      <c r="K765" s="937"/>
      <c r="L765" s="937"/>
      <c r="M765" s="937"/>
      <c r="N765" s="937"/>
      <c r="O765" s="937"/>
      <c r="P765" s="937"/>
      <c r="Q765" s="937"/>
      <c r="R765" s="937"/>
      <c r="S765" s="937"/>
      <c r="T765" s="937"/>
      <c r="U765" s="937"/>
      <c r="V765" s="937"/>
      <c r="W765" s="937"/>
      <c r="X765" s="937"/>
      <c r="Y765" s="937"/>
      <c r="Z765" s="937"/>
    </row>
    <row r="766" spans="1:26" ht="15.75" customHeight="1">
      <c r="A766" s="937"/>
      <c r="B766" s="937"/>
      <c r="C766" s="937"/>
      <c r="D766" s="937"/>
      <c r="E766" s="937"/>
      <c r="F766" s="937"/>
      <c r="G766" s="937"/>
      <c r="H766" s="937"/>
      <c r="I766" s="937"/>
      <c r="J766" s="937"/>
      <c r="K766" s="937"/>
      <c r="L766" s="937"/>
      <c r="M766" s="937"/>
      <c r="N766" s="937"/>
      <c r="O766" s="937"/>
      <c r="P766" s="937"/>
      <c r="Q766" s="937"/>
      <c r="R766" s="937"/>
      <c r="S766" s="937"/>
      <c r="T766" s="937"/>
      <c r="U766" s="937"/>
      <c r="V766" s="937"/>
      <c r="W766" s="937"/>
      <c r="X766" s="937"/>
      <c r="Y766" s="937"/>
      <c r="Z766" s="937"/>
    </row>
    <row r="767" spans="1:26" ht="15.75" customHeight="1">
      <c r="A767" s="937"/>
      <c r="B767" s="937"/>
      <c r="C767" s="937"/>
      <c r="D767" s="937"/>
      <c r="E767" s="937"/>
      <c r="F767" s="937"/>
      <c r="G767" s="937"/>
      <c r="H767" s="937"/>
      <c r="I767" s="937"/>
      <c r="J767" s="937"/>
      <c r="K767" s="937"/>
      <c r="L767" s="937"/>
      <c r="M767" s="937"/>
      <c r="N767" s="937"/>
      <c r="O767" s="937"/>
      <c r="P767" s="937"/>
      <c r="Q767" s="937"/>
      <c r="R767" s="937"/>
      <c r="S767" s="937"/>
      <c r="T767" s="937"/>
      <c r="U767" s="937"/>
      <c r="V767" s="937"/>
      <c r="W767" s="937"/>
      <c r="X767" s="937"/>
      <c r="Y767" s="937"/>
      <c r="Z767" s="937"/>
    </row>
    <row r="768" spans="1:26" ht="15.75" customHeight="1">
      <c r="A768" s="937"/>
      <c r="B768" s="937"/>
      <c r="C768" s="937"/>
      <c r="D768" s="937"/>
      <c r="E768" s="937"/>
      <c r="F768" s="937"/>
      <c r="G768" s="937"/>
      <c r="H768" s="937"/>
      <c r="I768" s="937"/>
      <c r="J768" s="937"/>
      <c r="K768" s="937"/>
      <c r="L768" s="937"/>
      <c r="M768" s="937"/>
      <c r="N768" s="937"/>
      <c r="O768" s="937"/>
      <c r="P768" s="937"/>
      <c r="Q768" s="937"/>
      <c r="R768" s="937"/>
      <c r="S768" s="937"/>
      <c r="T768" s="937"/>
      <c r="U768" s="937"/>
      <c r="V768" s="937"/>
      <c r="W768" s="937"/>
      <c r="X768" s="937"/>
      <c r="Y768" s="937"/>
      <c r="Z768" s="937"/>
    </row>
    <row r="769" spans="1:26" ht="15.75" customHeight="1">
      <c r="A769" s="937"/>
      <c r="B769" s="937"/>
      <c r="C769" s="937"/>
      <c r="D769" s="937"/>
      <c r="E769" s="937"/>
      <c r="F769" s="937"/>
      <c r="G769" s="937"/>
      <c r="H769" s="937"/>
      <c r="I769" s="937"/>
      <c r="J769" s="937"/>
      <c r="K769" s="937"/>
      <c r="L769" s="937"/>
      <c r="M769" s="937"/>
      <c r="N769" s="937"/>
      <c r="O769" s="937"/>
      <c r="P769" s="937"/>
      <c r="Q769" s="937"/>
      <c r="R769" s="937"/>
      <c r="S769" s="937"/>
      <c r="T769" s="937"/>
      <c r="U769" s="937"/>
      <c r="V769" s="937"/>
      <c r="W769" s="937"/>
      <c r="X769" s="937"/>
      <c r="Y769" s="937"/>
      <c r="Z769" s="937"/>
    </row>
    <row r="770" spans="1:26" ht="15.75" customHeight="1">
      <c r="A770" s="937"/>
      <c r="B770" s="937"/>
      <c r="C770" s="937"/>
      <c r="D770" s="937"/>
      <c r="E770" s="937"/>
      <c r="F770" s="937"/>
      <c r="G770" s="937"/>
      <c r="H770" s="937"/>
      <c r="I770" s="937"/>
      <c r="J770" s="937"/>
      <c r="K770" s="937"/>
      <c r="L770" s="937"/>
      <c r="M770" s="937"/>
      <c r="N770" s="937"/>
      <c r="O770" s="937"/>
      <c r="P770" s="937"/>
      <c r="Q770" s="937"/>
      <c r="R770" s="937"/>
      <c r="S770" s="937"/>
      <c r="T770" s="937"/>
      <c r="U770" s="937"/>
      <c r="V770" s="937"/>
      <c r="W770" s="937"/>
      <c r="X770" s="937"/>
      <c r="Y770" s="937"/>
      <c r="Z770" s="937"/>
    </row>
    <row r="771" spans="1:26" ht="15.75" customHeight="1">
      <c r="A771" s="937"/>
      <c r="B771" s="937"/>
      <c r="C771" s="937"/>
      <c r="D771" s="937"/>
      <c r="E771" s="937"/>
      <c r="F771" s="937"/>
      <c r="G771" s="937"/>
      <c r="H771" s="937"/>
      <c r="I771" s="937"/>
      <c r="J771" s="937"/>
      <c r="K771" s="937"/>
      <c r="L771" s="937"/>
      <c r="M771" s="937"/>
      <c r="N771" s="937"/>
      <c r="O771" s="937"/>
      <c r="P771" s="937"/>
      <c r="Q771" s="937"/>
      <c r="R771" s="937"/>
      <c r="S771" s="937"/>
      <c r="T771" s="937"/>
      <c r="U771" s="937"/>
      <c r="V771" s="937"/>
      <c r="W771" s="937"/>
      <c r="X771" s="937"/>
      <c r="Y771" s="937"/>
      <c r="Z771" s="937"/>
    </row>
    <row r="772" spans="1:26" ht="15.75" customHeight="1">
      <c r="A772" s="937"/>
      <c r="B772" s="937"/>
      <c r="C772" s="937"/>
      <c r="D772" s="937"/>
      <c r="E772" s="937"/>
      <c r="F772" s="937"/>
      <c r="G772" s="937"/>
      <c r="H772" s="937"/>
      <c r="I772" s="937"/>
      <c r="J772" s="937"/>
      <c r="K772" s="937"/>
      <c r="L772" s="937"/>
      <c r="M772" s="937"/>
      <c r="N772" s="937"/>
      <c r="O772" s="937"/>
      <c r="P772" s="937"/>
      <c r="Q772" s="937"/>
      <c r="R772" s="937"/>
      <c r="S772" s="937"/>
      <c r="T772" s="937"/>
      <c r="U772" s="937"/>
      <c r="V772" s="937"/>
      <c r="W772" s="937"/>
      <c r="X772" s="937"/>
      <c r="Y772" s="937"/>
      <c r="Z772" s="937"/>
    </row>
    <row r="773" spans="1:26" ht="15.75" customHeight="1">
      <c r="A773" s="937"/>
      <c r="B773" s="937"/>
      <c r="C773" s="937"/>
      <c r="D773" s="937"/>
      <c r="E773" s="937"/>
      <c r="F773" s="937"/>
      <c r="G773" s="937"/>
      <c r="H773" s="937"/>
      <c r="I773" s="937"/>
      <c r="J773" s="937"/>
      <c r="K773" s="937"/>
      <c r="L773" s="937"/>
      <c r="M773" s="937"/>
      <c r="N773" s="937"/>
      <c r="O773" s="937"/>
      <c r="P773" s="937"/>
      <c r="Q773" s="937"/>
      <c r="R773" s="937"/>
      <c r="S773" s="937"/>
      <c r="T773" s="937"/>
      <c r="U773" s="937"/>
      <c r="V773" s="937"/>
      <c r="W773" s="937"/>
      <c r="X773" s="937"/>
      <c r="Y773" s="937"/>
      <c r="Z773" s="937"/>
    </row>
    <row r="774" spans="1:26" ht="15.75" customHeight="1">
      <c r="A774" s="937"/>
      <c r="B774" s="937"/>
      <c r="C774" s="937"/>
      <c r="D774" s="937"/>
      <c r="E774" s="937"/>
      <c r="F774" s="937"/>
      <c r="G774" s="937"/>
      <c r="H774" s="937"/>
      <c r="I774" s="937"/>
      <c r="J774" s="937"/>
      <c r="K774" s="937"/>
      <c r="L774" s="937"/>
      <c r="M774" s="937"/>
      <c r="N774" s="937"/>
      <c r="O774" s="937"/>
      <c r="P774" s="937"/>
      <c r="Q774" s="937"/>
      <c r="R774" s="937"/>
      <c r="S774" s="937"/>
      <c r="T774" s="937"/>
      <c r="U774" s="937"/>
      <c r="V774" s="937"/>
      <c r="W774" s="937"/>
      <c r="X774" s="937"/>
      <c r="Y774" s="937"/>
      <c r="Z774" s="937"/>
    </row>
    <row r="775" spans="1:26" ht="15.75" customHeight="1">
      <c r="A775" s="937"/>
      <c r="B775" s="937"/>
      <c r="C775" s="937"/>
      <c r="D775" s="937"/>
      <c r="E775" s="937"/>
      <c r="F775" s="937"/>
      <c r="G775" s="937"/>
      <c r="H775" s="937"/>
      <c r="I775" s="937"/>
      <c r="J775" s="937"/>
      <c r="K775" s="937"/>
      <c r="L775" s="937"/>
      <c r="M775" s="937"/>
      <c r="N775" s="937"/>
      <c r="O775" s="937"/>
      <c r="P775" s="937"/>
      <c r="Q775" s="937"/>
      <c r="R775" s="937"/>
      <c r="S775" s="937"/>
      <c r="T775" s="937"/>
      <c r="U775" s="937"/>
      <c r="V775" s="937"/>
      <c r="W775" s="937"/>
      <c r="X775" s="937"/>
      <c r="Y775" s="937"/>
      <c r="Z775" s="937"/>
    </row>
    <row r="776" spans="1:26" ht="15.75" customHeight="1">
      <c r="A776" s="937"/>
      <c r="B776" s="937"/>
      <c r="C776" s="937"/>
      <c r="D776" s="937"/>
      <c r="E776" s="937"/>
      <c r="F776" s="937"/>
      <c r="G776" s="937"/>
      <c r="H776" s="937"/>
      <c r="I776" s="937"/>
      <c r="J776" s="937"/>
      <c r="K776" s="937"/>
      <c r="L776" s="937"/>
      <c r="M776" s="937"/>
      <c r="N776" s="937"/>
      <c r="O776" s="937"/>
      <c r="P776" s="937"/>
      <c r="Q776" s="937"/>
      <c r="R776" s="937"/>
      <c r="S776" s="937"/>
      <c r="T776" s="937"/>
      <c r="U776" s="937"/>
      <c r="V776" s="937"/>
      <c r="W776" s="937"/>
      <c r="X776" s="937"/>
      <c r="Y776" s="937"/>
      <c r="Z776" s="937"/>
    </row>
    <row r="777" spans="1:26" ht="15.75" customHeight="1">
      <c r="A777" s="937"/>
      <c r="B777" s="937"/>
      <c r="C777" s="937"/>
      <c r="D777" s="937"/>
      <c r="E777" s="937"/>
      <c r="F777" s="937"/>
      <c r="G777" s="937"/>
      <c r="H777" s="937"/>
      <c r="I777" s="937"/>
      <c r="J777" s="937"/>
      <c r="K777" s="937"/>
      <c r="L777" s="937"/>
      <c r="M777" s="937"/>
      <c r="N777" s="937"/>
      <c r="O777" s="937"/>
      <c r="P777" s="937"/>
      <c r="Q777" s="937"/>
      <c r="R777" s="937"/>
      <c r="S777" s="937"/>
      <c r="T777" s="937"/>
      <c r="U777" s="937"/>
      <c r="V777" s="937"/>
      <c r="W777" s="937"/>
      <c r="X777" s="937"/>
      <c r="Y777" s="937"/>
      <c r="Z777" s="937"/>
    </row>
    <row r="778" spans="1:26" ht="15.75" customHeight="1">
      <c r="A778" s="937"/>
      <c r="B778" s="937"/>
      <c r="C778" s="937"/>
      <c r="D778" s="937"/>
      <c r="E778" s="937"/>
      <c r="F778" s="937"/>
      <c r="G778" s="937"/>
      <c r="H778" s="937"/>
      <c r="I778" s="937"/>
      <c r="J778" s="937"/>
      <c r="K778" s="937"/>
      <c r="L778" s="937"/>
      <c r="M778" s="937"/>
      <c r="N778" s="937"/>
      <c r="O778" s="937"/>
      <c r="P778" s="937"/>
      <c r="Q778" s="937"/>
      <c r="R778" s="937"/>
      <c r="S778" s="937"/>
      <c r="T778" s="937"/>
      <c r="U778" s="937"/>
      <c r="V778" s="937"/>
      <c r="W778" s="937"/>
      <c r="X778" s="937"/>
      <c r="Y778" s="937"/>
      <c r="Z778" s="937"/>
    </row>
    <row r="779" spans="1:26" ht="15.75" customHeight="1">
      <c r="A779" s="937"/>
      <c r="B779" s="937"/>
      <c r="C779" s="937"/>
      <c r="D779" s="937"/>
      <c r="E779" s="937"/>
      <c r="F779" s="937"/>
      <c r="G779" s="937"/>
      <c r="H779" s="937"/>
      <c r="I779" s="937"/>
      <c r="J779" s="937"/>
      <c r="K779" s="937"/>
      <c r="L779" s="937"/>
      <c r="M779" s="937"/>
      <c r="N779" s="937"/>
      <c r="O779" s="937"/>
      <c r="P779" s="937"/>
      <c r="Q779" s="937"/>
      <c r="R779" s="937"/>
      <c r="S779" s="937"/>
      <c r="T779" s="937"/>
      <c r="U779" s="937"/>
      <c r="V779" s="937"/>
      <c r="W779" s="937"/>
      <c r="X779" s="937"/>
      <c r="Y779" s="937"/>
      <c r="Z779" s="937"/>
    </row>
    <row r="780" spans="1:26" ht="15.75" customHeight="1">
      <c r="A780" s="937"/>
      <c r="B780" s="937"/>
      <c r="C780" s="937"/>
      <c r="D780" s="937"/>
      <c r="E780" s="937"/>
      <c r="F780" s="937"/>
      <c r="G780" s="937"/>
      <c r="H780" s="937"/>
      <c r="I780" s="937"/>
      <c r="J780" s="937"/>
      <c r="K780" s="937"/>
      <c r="L780" s="937"/>
      <c r="M780" s="937"/>
      <c r="N780" s="937"/>
      <c r="O780" s="937"/>
      <c r="P780" s="937"/>
      <c r="Q780" s="937"/>
      <c r="R780" s="937"/>
      <c r="S780" s="937"/>
      <c r="T780" s="937"/>
      <c r="U780" s="937"/>
      <c r="V780" s="937"/>
      <c r="W780" s="937"/>
      <c r="X780" s="937"/>
      <c r="Y780" s="937"/>
      <c r="Z780" s="937"/>
    </row>
    <row r="781" spans="1:26" ht="15.75" customHeight="1">
      <c r="A781" s="937"/>
      <c r="B781" s="937"/>
      <c r="C781" s="937"/>
      <c r="D781" s="937"/>
      <c r="E781" s="937"/>
      <c r="F781" s="937"/>
      <c r="G781" s="937"/>
      <c r="H781" s="937"/>
      <c r="I781" s="937"/>
      <c r="J781" s="937"/>
      <c r="K781" s="937"/>
      <c r="L781" s="937"/>
      <c r="M781" s="937"/>
      <c r="N781" s="937"/>
      <c r="O781" s="937"/>
      <c r="P781" s="937"/>
      <c r="Q781" s="937"/>
      <c r="R781" s="937"/>
      <c r="S781" s="937"/>
      <c r="T781" s="937"/>
      <c r="U781" s="937"/>
      <c r="V781" s="937"/>
      <c r="W781" s="937"/>
      <c r="X781" s="937"/>
      <c r="Y781" s="937"/>
      <c r="Z781" s="937"/>
    </row>
    <row r="782" spans="1:26" ht="15.75" customHeight="1">
      <c r="A782" s="937"/>
      <c r="B782" s="937"/>
      <c r="C782" s="937"/>
      <c r="D782" s="937"/>
      <c r="E782" s="937"/>
      <c r="F782" s="937"/>
      <c r="G782" s="937"/>
      <c r="H782" s="937"/>
      <c r="I782" s="937"/>
      <c r="J782" s="937"/>
      <c r="K782" s="937"/>
      <c r="L782" s="937"/>
      <c r="M782" s="937"/>
      <c r="N782" s="937"/>
      <c r="O782" s="937"/>
      <c r="P782" s="937"/>
      <c r="Q782" s="937"/>
      <c r="R782" s="937"/>
      <c r="S782" s="937"/>
      <c r="T782" s="937"/>
      <c r="U782" s="937"/>
      <c r="V782" s="937"/>
      <c r="W782" s="937"/>
      <c r="X782" s="937"/>
      <c r="Y782" s="937"/>
      <c r="Z782" s="937"/>
    </row>
    <row r="783" spans="1:26" ht="15.75" customHeight="1">
      <c r="A783" s="937"/>
      <c r="B783" s="937"/>
      <c r="C783" s="937"/>
      <c r="D783" s="937"/>
      <c r="E783" s="937"/>
      <c r="F783" s="937"/>
      <c r="G783" s="937"/>
      <c r="H783" s="937"/>
      <c r="I783" s="937"/>
      <c r="J783" s="937"/>
      <c r="K783" s="937"/>
      <c r="L783" s="937"/>
      <c r="M783" s="937"/>
      <c r="N783" s="937"/>
      <c r="O783" s="937"/>
      <c r="P783" s="937"/>
      <c r="Q783" s="937"/>
      <c r="R783" s="937"/>
      <c r="S783" s="937"/>
      <c r="T783" s="937"/>
      <c r="U783" s="937"/>
      <c r="V783" s="937"/>
      <c r="W783" s="937"/>
      <c r="X783" s="937"/>
      <c r="Y783" s="937"/>
      <c r="Z783" s="937"/>
    </row>
    <row r="784" spans="1:26" ht="15.75" customHeight="1">
      <c r="A784" s="937"/>
      <c r="B784" s="937"/>
      <c r="C784" s="937"/>
      <c r="D784" s="937"/>
      <c r="E784" s="937"/>
      <c r="F784" s="937"/>
      <c r="G784" s="937"/>
      <c r="H784" s="937"/>
      <c r="I784" s="937"/>
      <c r="J784" s="937"/>
      <c r="K784" s="937"/>
      <c r="L784" s="937"/>
      <c r="M784" s="937"/>
      <c r="N784" s="937"/>
      <c r="O784" s="937"/>
      <c r="P784" s="937"/>
      <c r="Q784" s="937"/>
      <c r="R784" s="937"/>
      <c r="S784" s="937"/>
      <c r="T784" s="937"/>
      <c r="U784" s="937"/>
      <c r="V784" s="937"/>
      <c r="W784" s="937"/>
      <c r="X784" s="937"/>
      <c r="Y784" s="937"/>
      <c r="Z784" s="937"/>
    </row>
    <row r="785" spans="1:26" ht="15.75" customHeight="1">
      <c r="A785" s="937"/>
      <c r="B785" s="937"/>
      <c r="C785" s="937"/>
      <c r="D785" s="937"/>
      <c r="E785" s="937"/>
      <c r="F785" s="937"/>
      <c r="G785" s="937"/>
      <c r="H785" s="937"/>
      <c r="I785" s="937"/>
      <c r="J785" s="937"/>
      <c r="K785" s="937"/>
      <c r="L785" s="937"/>
      <c r="M785" s="937"/>
      <c r="N785" s="937"/>
      <c r="O785" s="937"/>
      <c r="P785" s="937"/>
      <c r="Q785" s="937"/>
      <c r="R785" s="937"/>
      <c r="S785" s="937"/>
      <c r="T785" s="937"/>
      <c r="U785" s="937"/>
      <c r="V785" s="937"/>
      <c r="W785" s="937"/>
      <c r="X785" s="937"/>
      <c r="Y785" s="937"/>
      <c r="Z785" s="937"/>
    </row>
    <row r="786" spans="1:26" ht="15.75" customHeight="1">
      <c r="A786" s="937"/>
      <c r="B786" s="937"/>
      <c r="C786" s="937"/>
      <c r="D786" s="937"/>
      <c r="E786" s="937"/>
      <c r="F786" s="937"/>
      <c r="G786" s="937"/>
      <c r="H786" s="937"/>
      <c r="I786" s="937"/>
      <c r="J786" s="937"/>
      <c r="K786" s="937"/>
      <c r="L786" s="937"/>
      <c r="M786" s="937"/>
      <c r="N786" s="937"/>
      <c r="O786" s="937"/>
      <c r="P786" s="937"/>
      <c r="Q786" s="937"/>
      <c r="R786" s="937"/>
      <c r="S786" s="937"/>
      <c r="T786" s="937"/>
      <c r="U786" s="937"/>
      <c r="V786" s="937"/>
      <c r="W786" s="937"/>
      <c r="X786" s="937"/>
      <c r="Y786" s="937"/>
      <c r="Z786" s="937"/>
    </row>
    <row r="787" spans="1:26" ht="15.75" customHeight="1">
      <c r="A787" s="937"/>
      <c r="B787" s="937"/>
      <c r="C787" s="937"/>
      <c r="D787" s="937"/>
      <c r="E787" s="937"/>
      <c r="F787" s="937"/>
      <c r="G787" s="937"/>
      <c r="H787" s="937"/>
      <c r="I787" s="937"/>
      <c r="J787" s="937"/>
      <c r="K787" s="937"/>
      <c r="L787" s="937"/>
      <c r="M787" s="937"/>
      <c r="N787" s="937"/>
      <c r="O787" s="937"/>
      <c r="P787" s="937"/>
      <c r="Q787" s="937"/>
      <c r="R787" s="937"/>
      <c r="S787" s="937"/>
      <c r="T787" s="937"/>
      <c r="U787" s="937"/>
      <c r="V787" s="937"/>
      <c r="W787" s="937"/>
      <c r="X787" s="937"/>
      <c r="Y787" s="937"/>
      <c r="Z787" s="937"/>
    </row>
    <row r="788" spans="1:26" ht="15.75" customHeight="1">
      <c r="A788" s="937"/>
      <c r="B788" s="937"/>
      <c r="C788" s="937"/>
      <c r="D788" s="937"/>
      <c r="E788" s="937"/>
      <c r="F788" s="937"/>
      <c r="G788" s="937"/>
      <c r="H788" s="937"/>
      <c r="I788" s="937"/>
      <c r="J788" s="937"/>
      <c r="K788" s="937"/>
      <c r="L788" s="937"/>
      <c r="M788" s="937"/>
      <c r="N788" s="937"/>
      <c r="O788" s="937"/>
      <c r="P788" s="937"/>
      <c r="Q788" s="937"/>
      <c r="R788" s="937"/>
      <c r="S788" s="937"/>
      <c r="T788" s="937"/>
      <c r="U788" s="937"/>
      <c r="V788" s="937"/>
      <c r="W788" s="937"/>
      <c r="X788" s="937"/>
      <c r="Y788" s="937"/>
      <c r="Z788" s="937"/>
    </row>
    <row r="789" spans="1:26" ht="15.75" customHeight="1">
      <c r="A789" s="937"/>
      <c r="B789" s="937"/>
      <c r="C789" s="937"/>
      <c r="D789" s="937"/>
      <c r="E789" s="937"/>
      <c r="F789" s="937"/>
      <c r="G789" s="937"/>
      <c r="H789" s="937"/>
      <c r="I789" s="937"/>
      <c r="J789" s="937"/>
      <c r="K789" s="937"/>
      <c r="L789" s="937"/>
      <c r="M789" s="937"/>
      <c r="N789" s="937"/>
      <c r="O789" s="937"/>
      <c r="P789" s="937"/>
      <c r="Q789" s="937"/>
      <c r="R789" s="937"/>
      <c r="S789" s="937"/>
      <c r="T789" s="937"/>
      <c r="U789" s="937"/>
      <c r="V789" s="937"/>
      <c r="W789" s="937"/>
      <c r="X789" s="937"/>
      <c r="Y789" s="937"/>
      <c r="Z789" s="937"/>
    </row>
    <row r="790" spans="1:26" ht="15.75" customHeight="1">
      <c r="A790" s="937"/>
      <c r="B790" s="937"/>
      <c r="C790" s="937"/>
      <c r="D790" s="937"/>
      <c r="E790" s="937"/>
      <c r="F790" s="937"/>
      <c r="G790" s="937"/>
      <c r="H790" s="937"/>
      <c r="I790" s="937"/>
      <c r="J790" s="937"/>
      <c r="K790" s="937"/>
      <c r="L790" s="937"/>
      <c r="M790" s="937"/>
      <c r="N790" s="937"/>
      <c r="O790" s="937"/>
      <c r="P790" s="937"/>
      <c r="Q790" s="937"/>
      <c r="R790" s="937"/>
      <c r="S790" s="937"/>
      <c r="T790" s="937"/>
      <c r="U790" s="937"/>
      <c r="V790" s="937"/>
      <c r="W790" s="937"/>
      <c r="X790" s="937"/>
      <c r="Y790" s="937"/>
      <c r="Z790" s="937"/>
    </row>
    <row r="791" spans="1:26" ht="15.75" customHeight="1">
      <c r="A791" s="937"/>
      <c r="B791" s="937"/>
      <c r="C791" s="937"/>
      <c r="D791" s="937"/>
      <c r="E791" s="937"/>
      <c r="F791" s="937"/>
      <c r="G791" s="937"/>
      <c r="H791" s="937"/>
      <c r="I791" s="937"/>
      <c r="J791" s="937"/>
      <c r="K791" s="937"/>
      <c r="L791" s="937"/>
      <c r="M791" s="937"/>
      <c r="N791" s="937"/>
      <c r="O791" s="937"/>
      <c r="P791" s="937"/>
      <c r="Q791" s="937"/>
      <c r="R791" s="937"/>
      <c r="S791" s="937"/>
      <c r="T791" s="937"/>
      <c r="U791" s="937"/>
      <c r="V791" s="937"/>
      <c r="W791" s="937"/>
      <c r="X791" s="937"/>
      <c r="Y791" s="937"/>
      <c r="Z791" s="937"/>
    </row>
    <row r="792" spans="1:26" ht="15.75" customHeight="1">
      <c r="A792" s="937"/>
      <c r="B792" s="937"/>
      <c r="C792" s="937"/>
      <c r="D792" s="937"/>
      <c r="E792" s="937"/>
      <c r="F792" s="937"/>
      <c r="G792" s="937"/>
      <c r="H792" s="937"/>
      <c r="I792" s="937"/>
      <c r="J792" s="937"/>
      <c r="K792" s="937"/>
      <c r="L792" s="937"/>
      <c r="M792" s="937"/>
      <c r="N792" s="937"/>
      <c r="O792" s="937"/>
      <c r="P792" s="937"/>
      <c r="Q792" s="937"/>
      <c r="R792" s="937"/>
      <c r="S792" s="937"/>
      <c r="T792" s="937"/>
      <c r="U792" s="937"/>
      <c r="V792" s="937"/>
      <c r="W792" s="937"/>
      <c r="X792" s="937"/>
      <c r="Y792" s="937"/>
      <c r="Z792" s="937"/>
    </row>
    <row r="793" spans="1:26" ht="15.75" customHeight="1">
      <c r="A793" s="937"/>
      <c r="B793" s="937"/>
      <c r="C793" s="937"/>
      <c r="D793" s="937"/>
      <c r="E793" s="937"/>
      <c r="F793" s="937"/>
      <c r="G793" s="937"/>
      <c r="H793" s="937"/>
      <c r="I793" s="937"/>
      <c r="J793" s="937"/>
      <c r="K793" s="937"/>
      <c r="L793" s="937"/>
      <c r="M793" s="937"/>
      <c r="N793" s="937"/>
      <c r="O793" s="937"/>
      <c r="P793" s="937"/>
      <c r="Q793" s="937"/>
      <c r="R793" s="937"/>
      <c r="S793" s="937"/>
      <c r="T793" s="937"/>
      <c r="U793" s="937"/>
      <c r="V793" s="937"/>
      <c r="W793" s="937"/>
      <c r="X793" s="937"/>
      <c r="Y793" s="937"/>
      <c r="Z793" s="937"/>
    </row>
    <row r="794" spans="1:26" ht="15.75" customHeight="1">
      <c r="A794" s="937"/>
      <c r="B794" s="937"/>
      <c r="C794" s="937"/>
      <c r="D794" s="937"/>
      <c r="E794" s="937"/>
      <c r="F794" s="937"/>
      <c r="G794" s="937"/>
      <c r="H794" s="937"/>
      <c r="I794" s="937"/>
      <c r="J794" s="937"/>
      <c r="K794" s="937"/>
      <c r="L794" s="937"/>
      <c r="M794" s="937"/>
      <c r="N794" s="937"/>
      <c r="O794" s="937"/>
      <c r="P794" s="937"/>
      <c r="Q794" s="937"/>
      <c r="R794" s="937"/>
      <c r="S794" s="937"/>
      <c r="T794" s="937"/>
      <c r="U794" s="937"/>
      <c r="V794" s="937"/>
      <c r="W794" s="937"/>
      <c r="X794" s="937"/>
      <c r="Y794" s="937"/>
      <c r="Z794" s="937"/>
    </row>
    <row r="795" spans="1:26" ht="15.75" customHeight="1">
      <c r="A795" s="937"/>
      <c r="B795" s="937"/>
      <c r="C795" s="937"/>
      <c r="D795" s="937"/>
      <c r="E795" s="937"/>
      <c r="F795" s="937"/>
      <c r="G795" s="937"/>
      <c r="H795" s="937"/>
      <c r="I795" s="937"/>
      <c r="J795" s="937"/>
      <c r="K795" s="937"/>
      <c r="L795" s="937"/>
      <c r="M795" s="937"/>
      <c r="N795" s="937"/>
      <c r="O795" s="937"/>
      <c r="P795" s="937"/>
      <c r="Q795" s="937"/>
      <c r="R795" s="937"/>
      <c r="S795" s="937"/>
      <c r="T795" s="937"/>
      <c r="U795" s="937"/>
      <c r="V795" s="937"/>
      <c r="W795" s="937"/>
      <c r="X795" s="937"/>
      <c r="Y795" s="937"/>
      <c r="Z795" s="937"/>
    </row>
    <row r="796" spans="1:26" ht="15.75" customHeight="1">
      <c r="A796" s="937"/>
      <c r="B796" s="937"/>
      <c r="C796" s="937"/>
      <c r="D796" s="937"/>
      <c r="E796" s="937"/>
      <c r="F796" s="937"/>
      <c r="G796" s="937"/>
      <c r="H796" s="937"/>
      <c r="I796" s="937"/>
      <c r="J796" s="937"/>
      <c r="K796" s="937"/>
      <c r="L796" s="937"/>
      <c r="M796" s="937"/>
      <c r="N796" s="937"/>
      <c r="O796" s="937"/>
      <c r="P796" s="937"/>
      <c r="Q796" s="937"/>
      <c r="R796" s="937"/>
      <c r="S796" s="937"/>
      <c r="T796" s="937"/>
      <c r="U796" s="937"/>
      <c r="V796" s="937"/>
      <c r="W796" s="937"/>
      <c r="X796" s="937"/>
      <c r="Y796" s="937"/>
      <c r="Z796" s="937"/>
    </row>
    <row r="797" spans="1:26" ht="15.75" customHeight="1">
      <c r="A797" s="937"/>
      <c r="B797" s="937"/>
      <c r="C797" s="937"/>
      <c r="D797" s="937"/>
      <c r="E797" s="937"/>
      <c r="F797" s="937"/>
      <c r="G797" s="937"/>
      <c r="H797" s="937"/>
      <c r="I797" s="937"/>
      <c r="J797" s="937"/>
      <c r="K797" s="937"/>
      <c r="L797" s="937"/>
      <c r="M797" s="937"/>
      <c r="N797" s="937"/>
      <c r="O797" s="937"/>
      <c r="P797" s="937"/>
      <c r="Q797" s="937"/>
      <c r="R797" s="937"/>
      <c r="S797" s="937"/>
      <c r="T797" s="937"/>
      <c r="U797" s="937"/>
      <c r="V797" s="937"/>
      <c r="W797" s="937"/>
      <c r="X797" s="937"/>
      <c r="Y797" s="937"/>
      <c r="Z797" s="937"/>
    </row>
    <row r="798" spans="1:26" ht="15.75" customHeight="1">
      <c r="A798" s="937"/>
      <c r="B798" s="937"/>
      <c r="C798" s="937"/>
      <c r="D798" s="937"/>
      <c r="E798" s="937"/>
      <c r="F798" s="937"/>
      <c r="G798" s="937"/>
      <c r="H798" s="937"/>
      <c r="I798" s="937"/>
      <c r="J798" s="937"/>
      <c r="K798" s="937"/>
      <c r="L798" s="937"/>
      <c r="M798" s="937"/>
      <c r="N798" s="937"/>
      <c r="O798" s="937"/>
      <c r="P798" s="937"/>
      <c r="Q798" s="937"/>
      <c r="R798" s="937"/>
      <c r="S798" s="937"/>
      <c r="T798" s="937"/>
      <c r="U798" s="937"/>
      <c r="V798" s="937"/>
      <c r="W798" s="937"/>
      <c r="X798" s="937"/>
      <c r="Y798" s="937"/>
      <c r="Z798" s="937"/>
    </row>
    <row r="799" spans="1:26" ht="15.75" customHeight="1">
      <c r="A799" s="937"/>
      <c r="B799" s="937"/>
      <c r="C799" s="937"/>
      <c r="D799" s="937"/>
      <c r="E799" s="937"/>
      <c r="F799" s="937"/>
      <c r="G799" s="937"/>
      <c r="H799" s="937"/>
      <c r="I799" s="937"/>
      <c r="J799" s="937"/>
      <c r="K799" s="937"/>
      <c r="L799" s="937"/>
      <c r="M799" s="937"/>
      <c r="N799" s="937"/>
      <c r="O799" s="937"/>
      <c r="P799" s="937"/>
      <c r="Q799" s="937"/>
      <c r="R799" s="937"/>
      <c r="S799" s="937"/>
      <c r="T799" s="937"/>
      <c r="U799" s="937"/>
      <c r="V799" s="937"/>
      <c r="W799" s="937"/>
      <c r="X799" s="937"/>
      <c r="Y799" s="937"/>
      <c r="Z799" s="937"/>
    </row>
    <row r="800" spans="1:26" ht="15.75" customHeight="1">
      <c r="A800" s="937"/>
      <c r="B800" s="937"/>
      <c r="C800" s="937"/>
      <c r="D800" s="937"/>
      <c r="E800" s="937"/>
      <c r="F800" s="937"/>
      <c r="G800" s="937"/>
      <c r="H800" s="937"/>
      <c r="I800" s="937"/>
      <c r="J800" s="937"/>
      <c r="K800" s="937"/>
      <c r="L800" s="937"/>
      <c r="M800" s="937"/>
      <c r="N800" s="937"/>
      <c r="O800" s="937"/>
      <c r="P800" s="937"/>
      <c r="Q800" s="937"/>
      <c r="R800" s="937"/>
      <c r="S800" s="937"/>
      <c r="T800" s="937"/>
      <c r="U800" s="937"/>
      <c r="V800" s="937"/>
      <c r="W800" s="937"/>
      <c r="X800" s="937"/>
      <c r="Y800" s="937"/>
      <c r="Z800" s="937"/>
    </row>
    <row r="801" spans="1:26" ht="15.75" customHeight="1">
      <c r="A801" s="937"/>
      <c r="B801" s="937"/>
      <c r="C801" s="937"/>
      <c r="D801" s="937"/>
      <c r="E801" s="937"/>
      <c r="F801" s="937"/>
      <c r="G801" s="937"/>
      <c r="H801" s="937"/>
      <c r="I801" s="937"/>
      <c r="J801" s="937"/>
      <c r="K801" s="937"/>
      <c r="L801" s="937"/>
      <c r="M801" s="937"/>
      <c r="N801" s="937"/>
      <c r="O801" s="937"/>
      <c r="P801" s="937"/>
      <c r="Q801" s="937"/>
      <c r="R801" s="937"/>
      <c r="S801" s="937"/>
      <c r="T801" s="937"/>
      <c r="U801" s="937"/>
      <c r="V801" s="937"/>
      <c r="W801" s="937"/>
      <c r="X801" s="937"/>
      <c r="Y801" s="937"/>
      <c r="Z801" s="937"/>
    </row>
    <row r="802" spans="1:26" ht="15.75" customHeight="1">
      <c r="A802" s="937"/>
      <c r="B802" s="937"/>
      <c r="C802" s="937"/>
      <c r="D802" s="937"/>
      <c r="E802" s="937"/>
      <c r="F802" s="937"/>
      <c r="G802" s="937"/>
      <c r="H802" s="937"/>
      <c r="I802" s="937"/>
      <c r="J802" s="937"/>
      <c r="K802" s="937"/>
      <c r="L802" s="937"/>
      <c r="M802" s="937"/>
      <c r="N802" s="937"/>
      <c r="O802" s="937"/>
      <c r="P802" s="937"/>
      <c r="Q802" s="937"/>
      <c r="R802" s="937"/>
      <c r="S802" s="937"/>
      <c r="T802" s="937"/>
      <c r="U802" s="937"/>
      <c r="V802" s="937"/>
      <c r="W802" s="937"/>
      <c r="X802" s="937"/>
      <c r="Y802" s="937"/>
      <c r="Z802" s="937"/>
    </row>
    <row r="803" spans="1:26" ht="15.75" customHeight="1">
      <c r="A803" s="937"/>
      <c r="B803" s="937"/>
      <c r="C803" s="937"/>
      <c r="D803" s="937"/>
      <c r="E803" s="937"/>
      <c r="F803" s="937"/>
      <c r="G803" s="937"/>
      <c r="H803" s="937"/>
      <c r="I803" s="937"/>
      <c r="J803" s="937"/>
      <c r="K803" s="937"/>
      <c r="L803" s="937"/>
      <c r="M803" s="937"/>
      <c r="N803" s="937"/>
      <c r="O803" s="937"/>
      <c r="P803" s="937"/>
      <c r="Q803" s="937"/>
      <c r="R803" s="937"/>
      <c r="S803" s="937"/>
      <c r="T803" s="937"/>
      <c r="U803" s="937"/>
      <c r="V803" s="937"/>
      <c r="W803" s="937"/>
      <c r="X803" s="937"/>
      <c r="Y803" s="937"/>
      <c r="Z803" s="937"/>
    </row>
    <row r="804" spans="1:26" ht="15.75" customHeight="1">
      <c r="A804" s="937"/>
      <c r="B804" s="937"/>
      <c r="C804" s="937"/>
      <c r="D804" s="937"/>
      <c r="E804" s="937"/>
      <c r="F804" s="937"/>
      <c r="G804" s="937"/>
      <c r="H804" s="937"/>
      <c r="I804" s="937"/>
      <c r="J804" s="937"/>
      <c r="K804" s="937"/>
      <c r="L804" s="937"/>
      <c r="M804" s="937"/>
      <c r="N804" s="937"/>
      <c r="O804" s="937"/>
      <c r="P804" s="937"/>
      <c r="Q804" s="937"/>
      <c r="R804" s="937"/>
      <c r="S804" s="937"/>
      <c r="T804" s="937"/>
      <c r="U804" s="937"/>
      <c r="V804" s="937"/>
      <c r="W804" s="937"/>
      <c r="X804" s="937"/>
      <c r="Y804" s="937"/>
      <c r="Z804" s="937"/>
    </row>
    <row r="805" spans="1:26" ht="15.75" customHeight="1">
      <c r="A805" s="937"/>
      <c r="B805" s="937"/>
      <c r="C805" s="937"/>
      <c r="D805" s="937"/>
      <c r="E805" s="937"/>
      <c r="F805" s="937"/>
      <c r="G805" s="937"/>
      <c r="H805" s="937"/>
      <c r="I805" s="937"/>
      <c r="J805" s="937"/>
      <c r="K805" s="937"/>
      <c r="L805" s="937"/>
      <c r="M805" s="937"/>
      <c r="N805" s="937"/>
      <c r="O805" s="937"/>
      <c r="P805" s="937"/>
      <c r="Q805" s="937"/>
      <c r="R805" s="937"/>
      <c r="S805" s="937"/>
      <c r="T805" s="937"/>
      <c r="U805" s="937"/>
      <c r="V805" s="937"/>
      <c r="W805" s="937"/>
      <c r="X805" s="937"/>
      <c r="Y805" s="937"/>
      <c r="Z805" s="937"/>
    </row>
    <row r="806" spans="1:26" ht="15.75" customHeight="1">
      <c r="A806" s="937"/>
      <c r="B806" s="937"/>
      <c r="C806" s="937"/>
      <c r="D806" s="937"/>
      <c r="E806" s="937"/>
      <c r="F806" s="937"/>
      <c r="G806" s="937"/>
      <c r="H806" s="937"/>
      <c r="I806" s="937"/>
      <c r="J806" s="937"/>
      <c r="K806" s="937"/>
      <c r="L806" s="937"/>
      <c r="M806" s="937"/>
      <c r="N806" s="937"/>
      <c r="O806" s="937"/>
      <c r="P806" s="937"/>
      <c r="Q806" s="937"/>
      <c r="R806" s="937"/>
      <c r="S806" s="937"/>
      <c r="T806" s="937"/>
      <c r="U806" s="937"/>
      <c r="V806" s="937"/>
      <c r="W806" s="937"/>
      <c r="X806" s="937"/>
      <c r="Y806" s="937"/>
      <c r="Z806" s="937"/>
    </row>
    <row r="807" spans="1:26" ht="15.75" customHeight="1">
      <c r="A807" s="937"/>
      <c r="B807" s="937"/>
      <c r="C807" s="937"/>
      <c r="D807" s="937"/>
      <c r="E807" s="937"/>
      <c r="F807" s="937"/>
      <c r="G807" s="937"/>
      <c r="H807" s="937"/>
      <c r="I807" s="937"/>
      <c r="J807" s="937"/>
      <c r="K807" s="937"/>
      <c r="L807" s="937"/>
      <c r="M807" s="937"/>
      <c r="N807" s="937"/>
      <c r="O807" s="937"/>
      <c r="P807" s="937"/>
      <c r="Q807" s="937"/>
      <c r="R807" s="937"/>
      <c r="S807" s="937"/>
      <c r="T807" s="937"/>
      <c r="U807" s="937"/>
      <c r="V807" s="937"/>
      <c r="W807" s="937"/>
      <c r="X807" s="937"/>
      <c r="Y807" s="937"/>
      <c r="Z807" s="937"/>
    </row>
    <row r="808" spans="1:26" ht="15.75" customHeight="1">
      <c r="A808" s="937"/>
      <c r="B808" s="937"/>
      <c r="C808" s="937"/>
      <c r="D808" s="937"/>
      <c r="E808" s="937"/>
      <c r="F808" s="937"/>
      <c r="G808" s="937"/>
      <c r="H808" s="937"/>
      <c r="I808" s="937"/>
      <c r="J808" s="937"/>
      <c r="K808" s="937"/>
      <c r="L808" s="937"/>
      <c r="M808" s="937"/>
      <c r="N808" s="937"/>
      <c r="O808" s="937"/>
      <c r="P808" s="937"/>
      <c r="Q808" s="937"/>
      <c r="R808" s="937"/>
      <c r="S808" s="937"/>
      <c r="T808" s="937"/>
      <c r="U808" s="937"/>
      <c r="V808" s="937"/>
      <c r="W808" s="937"/>
      <c r="X808" s="937"/>
      <c r="Y808" s="937"/>
      <c r="Z808" s="937"/>
    </row>
    <row r="809" spans="1:26" ht="15.75" customHeight="1">
      <c r="A809" s="937"/>
      <c r="B809" s="937"/>
      <c r="C809" s="937"/>
      <c r="D809" s="937"/>
      <c r="E809" s="937"/>
      <c r="F809" s="937"/>
      <c r="G809" s="937"/>
      <c r="H809" s="937"/>
      <c r="I809" s="937"/>
      <c r="J809" s="937"/>
      <c r="K809" s="937"/>
      <c r="L809" s="937"/>
      <c r="M809" s="937"/>
      <c r="N809" s="937"/>
      <c r="O809" s="937"/>
      <c r="P809" s="937"/>
      <c r="Q809" s="937"/>
      <c r="R809" s="937"/>
      <c r="S809" s="937"/>
      <c r="T809" s="937"/>
      <c r="U809" s="937"/>
      <c r="V809" s="937"/>
      <c r="W809" s="937"/>
      <c r="X809" s="937"/>
      <c r="Y809" s="937"/>
      <c r="Z809" s="937"/>
    </row>
    <row r="810" spans="1:26" ht="15.75" customHeight="1">
      <c r="A810" s="937"/>
      <c r="B810" s="937"/>
      <c r="C810" s="937"/>
      <c r="D810" s="937"/>
      <c r="E810" s="937"/>
      <c r="F810" s="937"/>
      <c r="G810" s="937"/>
      <c r="H810" s="937"/>
      <c r="I810" s="937"/>
      <c r="J810" s="937"/>
      <c r="K810" s="937"/>
      <c r="L810" s="937"/>
      <c r="M810" s="937"/>
      <c r="N810" s="937"/>
      <c r="O810" s="937"/>
      <c r="P810" s="937"/>
      <c r="Q810" s="937"/>
      <c r="R810" s="937"/>
      <c r="S810" s="937"/>
      <c r="T810" s="937"/>
      <c r="U810" s="937"/>
      <c r="V810" s="937"/>
      <c r="W810" s="937"/>
      <c r="X810" s="937"/>
      <c r="Y810" s="937"/>
      <c r="Z810" s="937"/>
    </row>
    <row r="811" spans="1:26" ht="15.75" customHeight="1">
      <c r="A811" s="937"/>
      <c r="B811" s="937"/>
      <c r="C811" s="937"/>
      <c r="D811" s="937"/>
      <c r="E811" s="937"/>
      <c r="F811" s="937"/>
      <c r="G811" s="937"/>
      <c r="H811" s="937"/>
      <c r="I811" s="937"/>
      <c r="J811" s="937"/>
      <c r="K811" s="937"/>
      <c r="L811" s="937"/>
      <c r="M811" s="937"/>
      <c r="N811" s="937"/>
      <c r="O811" s="937"/>
      <c r="P811" s="937"/>
      <c r="Q811" s="937"/>
      <c r="R811" s="937"/>
      <c r="S811" s="937"/>
      <c r="T811" s="937"/>
      <c r="U811" s="937"/>
      <c r="V811" s="937"/>
      <c r="W811" s="937"/>
      <c r="X811" s="937"/>
      <c r="Y811" s="937"/>
      <c r="Z811" s="937"/>
    </row>
    <row r="812" spans="1:26" ht="15.75" customHeight="1">
      <c r="A812" s="937"/>
      <c r="B812" s="937"/>
      <c r="C812" s="937"/>
      <c r="D812" s="937"/>
      <c r="E812" s="937"/>
      <c r="F812" s="937"/>
      <c r="G812" s="937"/>
      <c r="H812" s="937"/>
      <c r="I812" s="937"/>
      <c r="J812" s="937"/>
      <c r="K812" s="937"/>
      <c r="L812" s="937"/>
      <c r="M812" s="937"/>
      <c r="N812" s="937"/>
      <c r="O812" s="937"/>
      <c r="P812" s="937"/>
      <c r="Q812" s="937"/>
      <c r="R812" s="937"/>
      <c r="S812" s="937"/>
      <c r="T812" s="937"/>
      <c r="U812" s="937"/>
      <c r="V812" s="937"/>
      <c r="W812" s="937"/>
      <c r="X812" s="937"/>
      <c r="Y812" s="937"/>
      <c r="Z812" s="937"/>
    </row>
    <row r="813" spans="1:26" ht="15.75" customHeight="1">
      <c r="A813" s="937"/>
      <c r="B813" s="937"/>
      <c r="C813" s="937"/>
      <c r="D813" s="937"/>
      <c r="E813" s="937"/>
      <c r="F813" s="937"/>
      <c r="G813" s="937"/>
      <c r="H813" s="937"/>
      <c r="I813" s="937"/>
      <c r="J813" s="937"/>
      <c r="K813" s="937"/>
      <c r="L813" s="937"/>
      <c r="M813" s="937"/>
      <c r="N813" s="937"/>
      <c r="O813" s="937"/>
      <c r="P813" s="937"/>
      <c r="Q813" s="937"/>
      <c r="R813" s="937"/>
      <c r="S813" s="937"/>
      <c r="T813" s="937"/>
      <c r="U813" s="937"/>
      <c r="V813" s="937"/>
      <c r="W813" s="937"/>
      <c r="X813" s="937"/>
      <c r="Y813" s="937"/>
      <c r="Z813" s="937"/>
    </row>
    <row r="814" spans="1:26" ht="15.75" customHeight="1">
      <c r="A814" s="937"/>
      <c r="B814" s="937"/>
      <c r="C814" s="937"/>
      <c r="D814" s="937"/>
      <c r="E814" s="937"/>
      <c r="F814" s="937"/>
      <c r="G814" s="937"/>
      <c r="H814" s="937"/>
      <c r="I814" s="937"/>
      <c r="J814" s="937"/>
      <c r="K814" s="937"/>
      <c r="L814" s="937"/>
      <c r="M814" s="937"/>
      <c r="N814" s="937"/>
      <c r="O814" s="937"/>
      <c r="P814" s="937"/>
      <c r="Q814" s="937"/>
      <c r="R814" s="937"/>
      <c r="S814" s="937"/>
      <c r="T814" s="937"/>
      <c r="U814" s="937"/>
      <c r="V814" s="937"/>
      <c r="W814" s="937"/>
      <c r="X814" s="937"/>
      <c r="Y814" s="937"/>
      <c r="Z814" s="937"/>
    </row>
    <row r="815" spans="1:26" ht="15.75" customHeight="1">
      <c r="A815" s="937"/>
      <c r="B815" s="937"/>
      <c r="C815" s="937"/>
      <c r="D815" s="937"/>
      <c r="E815" s="937"/>
      <c r="F815" s="937"/>
      <c r="G815" s="937"/>
      <c r="H815" s="937"/>
      <c r="I815" s="937"/>
      <c r="J815" s="937"/>
      <c r="K815" s="937"/>
      <c r="L815" s="937"/>
      <c r="M815" s="937"/>
      <c r="N815" s="937"/>
      <c r="O815" s="937"/>
      <c r="P815" s="937"/>
      <c r="Q815" s="937"/>
      <c r="R815" s="937"/>
      <c r="S815" s="937"/>
      <c r="T815" s="937"/>
      <c r="U815" s="937"/>
      <c r="V815" s="937"/>
      <c r="W815" s="937"/>
      <c r="X815" s="937"/>
      <c r="Y815" s="937"/>
      <c r="Z815" s="937"/>
    </row>
    <row r="816" spans="1:26" ht="15.75" customHeight="1">
      <c r="A816" s="937"/>
      <c r="B816" s="937"/>
      <c r="C816" s="937"/>
      <c r="D816" s="937"/>
      <c r="E816" s="937"/>
      <c r="F816" s="937"/>
      <c r="G816" s="937"/>
      <c r="H816" s="937"/>
      <c r="I816" s="937"/>
      <c r="J816" s="937"/>
      <c r="K816" s="937"/>
      <c r="L816" s="937"/>
      <c r="M816" s="937"/>
      <c r="N816" s="937"/>
      <c r="O816" s="937"/>
      <c r="P816" s="937"/>
      <c r="Q816" s="937"/>
      <c r="R816" s="937"/>
      <c r="S816" s="937"/>
      <c r="T816" s="937"/>
      <c r="U816" s="937"/>
      <c r="V816" s="937"/>
      <c r="W816" s="937"/>
      <c r="X816" s="937"/>
      <c r="Y816" s="937"/>
      <c r="Z816" s="937"/>
    </row>
    <row r="817" spans="1:26" ht="15.75" customHeight="1">
      <c r="A817" s="937"/>
      <c r="B817" s="937"/>
      <c r="C817" s="937"/>
      <c r="D817" s="937"/>
      <c r="E817" s="937"/>
      <c r="F817" s="937"/>
      <c r="G817" s="937"/>
      <c r="H817" s="937"/>
      <c r="I817" s="937"/>
      <c r="J817" s="937"/>
      <c r="K817" s="937"/>
      <c r="L817" s="937"/>
      <c r="M817" s="937"/>
      <c r="N817" s="937"/>
      <c r="O817" s="937"/>
      <c r="P817" s="937"/>
      <c r="Q817" s="937"/>
      <c r="R817" s="937"/>
      <c r="S817" s="937"/>
      <c r="T817" s="937"/>
      <c r="U817" s="937"/>
      <c r="V817" s="937"/>
      <c r="W817" s="937"/>
      <c r="X817" s="937"/>
      <c r="Y817" s="937"/>
      <c r="Z817" s="937"/>
    </row>
    <row r="818" spans="1:26" ht="15.75" customHeight="1">
      <c r="A818" s="937"/>
      <c r="B818" s="937"/>
      <c r="C818" s="937"/>
      <c r="D818" s="937"/>
      <c r="E818" s="937"/>
      <c r="F818" s="937"/>
      <c r="G818" s="937"/>
      <c r="H818" s="937"/>
      <c r="I818" s="937"/>
      <c r="J818" s="937"/>
      <c r="K818" s="937"/>
      <c r="L818" s="937"/>
      <c r="M818" s="937"/>
      <c r="N818" s="937"/>
      <c r="O818" s="937"/>
      <c r="P818" s="937"/>
      <c r="Q818" s="937"/>
      <c r="R818" s="937"/>
      <c r="S818" s="937"/>
      <c r="T818" s="937"/>
      <c r="U818" s="937"/>
      <c r="V818" s="937"/>
      <c r="W818" s="937"/>
      <c r="X818" s="937"/>
      <c r="Y818" s="937"/>
      <c r="Z818" s="937"/>
    </row>
    <row r="819" spans="1:26" ht="15.75" customHeight="1">
      <c r="A819" s="937"/>
      <c r="B819" s="937"/>
      <c r="C819" s="937"/>
      <c r="D819" s="937"/>
      <c r="E819" s="937"/>
      <c r="F819" s="937"/>
      <c r="G819" s="937"/>
      <c r="H819" s="937"/>
      <c r="I819" s="937"/>
      <c r="J819" s="937"/>
      <c r="K819" s="937"/>
      <c r="L819" s="937"/>
      <c r="M819" s="937"/>
      <c r="N819" s="937"/>
      <c r="O819" s="937"/>
      <c r="P819" s="937"/>
      <c r="Q819" s="937"/>
      <c r="R819" s="937"/>
      <c r="S819" s="937"/>
      <c r="T819" s="937"/>
      <c r="U819" s="937"/>
      <c r="V819" s="937"/>
      <c r="W819" s="937"/>
      <c r="X819" s="937"/>
      <c r="Y819" s="937"/>
      <c r="Z819" s="937"/>
    </row>
    <row r="820" spans="1:26" ht="15.75" customHeight="1">
      <c r="A820" s="937"/>
      <c r="B820" s="937"/>
      <c r="C820" s="937"/>
      <c r="D820" s="937"/>
      <c r="E820" s="937"/>
      <c r="F820" s="937"/>
      <c r="G820" s="937"/>
      <c r="H820" s="937"/>
      <c r="I820" s="937"/>
      <c r="J820" s="937"/>
      <c r="K820" s="937"/>
      <c r="L820" s="937"/>
      <c r="M820" s="937"/>
      <c r="N820" s="937"/>
      <c r="O820" s="937"/>
      <c r="P820" s="937"/>
      <c r="Q820" s="937"/>
      <c r="R820" s="937"/>
      <c r="S820" s="937"/>
      <c r="T820" s="937"/>
      <c r="U820" s="937"/>
      <c r="V820" s="937"/>
      <c r="W820" s="937"/>
      <c r="X820" s="937"/>
      <c r="Y820" s="937"/>
      <c r="Z820" s="937"/>
    </row>
    <row r="821" spans="1:26" ht="15.75" customHeight="1">
      <c r="A821" s="937"/>
      <c r="B821" s="937"/>
      <c r="C821" s="937"/>
      <c r="D821" s="937"/>
      <c r="E821" s="937"/>
      <c r="F821" s="937"/>
      <c r="G821" s="937"/>
      <c r="H821" s="937"/>
      <c r="I821" s="937"/>
      <c r="J821" s="937"/>
      <c r="K821" s="937"/>
      <c r="L821" s="937"/>
      <c r="M821" s="937"/>
      <c r="N821" s="937"/>
      <c r="O821" s="937"/>
      <c r="P821" s="937"/>
      <c r="Q821" s="937"/>
      <c r="R821" s="937"/>
      <c r="S821" s="937"/>
      <c r="T821" s="937"/>
      <c r="U821" s="937"/>
      <c r="V821" s="937"/>
      <c r="W821" s="937"/>
      <c r="X821" s="937"/>
      <c r="Y821" s="937"/>
      <c r="Z821" s="937"/>
    </row>
    <row r="822" spans="1:26" ht="15.75" customHeight="1">
      <c r="A822" s="937"/>
      <c r="B822" s="937"/>
      <c r="C822" s="937"/>
      <c r="D822" s="937"/>
      <c r="E822" s="937"/>
      <c r="F822" s="937"/>
      <c r="G822" s="937"/>
      <c r="H822" s="937"/>
      <c r="I822" s="937"/>
      <c r="J822" s="937"/>
      <c r="K822" s="937"/>
      <c r="L822" s="937"/>
      <c r="M822" s="937"/>
      <c r="N822" s="937"/>
      <c r="O822" s="937"/>
      <c r="P822" s="937"/>
      <c r="Q822" s="937"/>
      <c r="R822" s="937"/>
      <c r="S822" s="937"/>
      <c r="T822" s="937"/>
      <c r="U822" s="937"/>
      <c r="V822" s="937"/>
      <c r="W822" s="937"/>
      <c r="X822" s="937"/>
      <c r="Y822" s="937"/>
      <c r="Z822" s="937"/>
    </row>
    <row r="823" spans="1:26" ht="15.75" customHeight="1">
      <c r="A823" s="937"/>
      <c r="B823" s="937"/>
      <c r="C823" s="937"/>
      <c r="D823" s="937"/>
      <c r="E823" s="937"/>
      <c r="F823" s="937"/>
      <c r="G823" s="937"/>
      <c r="H823" s="937"/>
      <c r="I823" s="937"/>
      <c r="J823" s="937"/>
      <c r="K823" s="937"/>
      <c r="L823" s="937"/>
      <c r="M823" s="937"/>
      <c r="N823" s="937"/>
      <c r="O823" s="937"/>
      <c r="P823" s="937"/>
      <c r="Q823" s="937"/>
      <c r="R823" s="937"/>
      <c r="S823" s="937"/>
      <c r="T823" s="937"/>
      <c r="U823" s="937"/>
      <c r="V823" s="937"/>
      <c r="W823" s="937"/>
      <c r="X823" s="937"/>
      <c r="Y823" s="937"/>
      <c r="Z823" s="937"/>
    </row>
    <row r="824" spans="1:26" ht="15.75" customHeight="1">
      <c r="A824" s="937"/>
      <c r="B824" s="937"/>
      <c r="C824" s="937"/>
      <c r="D824" s="937"/>
      <c r="E824" s="937"/>
      <c r="F824" s="937"/>
      <c r="G824" s="937"/>
      <c r="H824" s="937"/>
      <c r="I824" s="937"/>
      <c r="J824" s="937"/>
      <c r="K824" s="937"/>
      <c r="L824" s="937"/>
      <c r="M824" s="937"/>
      <c r="N824" s="937"/>
      <c r="O824" s="937"/>
      <c r="P824" s="937"/>
      <c r="Q824" s="937"/>
      <c r="R824" s="937"/>
      <c r="S824" s="937"/>
      <c r="T824" s="937"/>
      <c r="U824" s="937"/>
      <c r="V824" s="937"/>
      <c r="W824" s="937"/>
      <c r="X824" s="937"/>
      <c r="Y824" s="937"/>
      <c r="Z824" s="937"/>
    </row>
    <row r="825" spans="1:26" ht="15.75" customHeight="1">
      <c r="A825" s="937"/>
      <c r="B825" s="937"/>
      <c r="C825" s="937"/>
      <c r="D825" s="937"/>
      <c r="E825" s="937"/>
      <c r="F825" s="937"/>
      <c r="G825" s="937"/>
      <c r="H825" s="937"/>
      <c r="I825" s="937"/>
      <c r="J825" s="937"/>
      <c r="K825" s="937"/>
      <c r="L825" s="937"/>
      <c r="M825" s="937"/>
      <c r="N825" s="937"/>
      <c r="O825" s="937"/>
      <c r="P825" s="937"/>
      <c r="Q825" s="937"/>
      <c r="R825" s="937"/>
      <c r="S825" s="937"/>
      <c r="T825" s="937"/>
      <c r="U825" s="937"/>
      <c r="V825" s="937"/>
      <c r="W825" s="937"/>
      <c r="X825" s="937"/>
      <c r="Y825" s="937"/>
      <c r="Z825" s="937"/>
    </row>
    <row r="826" spans="1:26" ht="15.75" customHeight="1">
      <c r="A826" s="937"/>
      <c r="B826" s="937"/>
      <c r="C826" s="937"/>
      <c r="D826" s="937"/>
      <c r="E826" s="937"/>
      <c r="F826" s="937"/>
      <c r="G826" s="937"/>
      <c r="H826" s="937"/>
      <c r="I826" s="937"/>
      <c r="J826" s="937"/>
      <c r="K826" s="937"/>
      <c r="L826" s="937"/>
      <c r="M826" s="937"/>
      <c r="N826" s="937"/>
      <c r="O826" s="937"/>
      <c r="P826" s="937"/>
      <c r="Q826" s="937"/>
      <c r="R826" s="937"/>
      <c r="S826" s="937"/>
      <c r="T826" s="937"/>
      <c r="U826" s="937"/>
      <c r="V826" s="937"/>
      <c r="W826" s="937"/>
      <c r="X826" s="937"/>
      <c r="Y826" s="937"/>
      <c r="Z826" s="937"/>
    </row>
    <row r="827" spans="1:26" ht="15.75" customHeight="1">
      <c r="A827" s="937"/>
      <c r="B827" s="937"/>
      <c r="C827" s="937"/>
      <c r="D827" s="937"/>
      <c r="E827" s="937"/>
      <c r="F827" s="937"/>
      <c r="G827" s="937"/>
      <c r="H827" s="937"/>
      <c r="I827" s="937"/>
      <c r="J827" s="937"/>
      <c r="K827" s="937"/>
      <c r="L827" s="937"/>
      <c r="M827" s="937"/>
      <c r="N827" s="937"/>
      <c r="O827" s="937"/>
      <c r="P827" s="937"/>
      <c r="Q827" s="937"/>
      <c r="R827" s="937"/>
      <c r="S827" s="937"/>
      <c r="T827" s="937"/>
      <c r="U827" s="937"/>
      <c r="V827" s="937"/>
      <c r="W827" s="937"/>
      <c r="X827" s="937"/>
      <c r="Y827" s="937"/>
      <c r="Z827" s="937"/>
    </row>
    <row r="828" spans="1:26" ht="15.75" customHeight="1">
      <c r="A828" s="937"/>
      <c r="B828" s="937"/>
      <c r="C828" s="937"/>
      <c r="D828" s="937"/>
      <c r="E828" s="937"/>
      <c r="F828" s="937"/>
      <c r="G828" s="937"/>
      <c r="H828" s="937"/>
      <c r="I828" s="937"/>
      <c r="J828" s="937"/>
      <c r="K828" s="937"/>
      <c r="L828" s="937"/>
      <c r="M828" s="937"/>
      <c r="N828" s="937"/>
      <c r="O828" s="937"/>
      <c r="P828" s="937"/>
      <c r="Q828" s="937"/>
      <c r="R828" s="937"/>
      <c r="S828" s="937"/>
      <c r="T828" s="937"/>
      <c r="U828" s="937"/>
      <c r="V828" s="937"/>
      <c r="W828" s="937"/>
      <c r="X828" s="937"/>
      <c r="Y828" s="937"/>
      <c r="Z828" s="937"/>
    </row>
    <row r="829" spans="1:26" ht="15.75" customHeight="1">
      <c r="A829" s="937"/>
      <c r="B829" s="937"/>
      <c r="C829" s="937"/>
      <c r="D829" s="937"/>
      <c r="E829" s="937"/>
      <c r="F829" s="937"/>
      <c r="G829" s="937"/>
      <c r="H829" s="937"/>
      <c r="I829" s="937"/>
      <c r="J829" s="937"/>
      <c r="K829" s="937"/>
      <c r="L829" s="937"/>
      <c r="M829" s="937"/>
      <c r="N829" s="937"/>
      <c r="O829" s="937"/>
      <c r="P829" s="937"/>
      <c r="Q829" s="937"/>
      <c r="R829" s="937"/>
      <c r="S829" s="937"/>
      <c r="T829" s="937"/>
      <c r="U829" s="937"/>
      <c r="V829" s="937"/>
      <c r="W829" s="937"/>
      <c r="X829" s="937"/>
      <c r="Y829" s="937"/>
      <c r="Z829" s="937"/>
    </row>
    <row r="830" spans="1:26" ht="15.75" customHeight="1">
      <c r="A830" s="937"/>
      <c r="B830" s="937"/>
      <c r="C830" s="937"/>
      <c r="D830" s="937"/>
      <c r="E830" s="937"/>
      <c r="F830" s="937"/>
      <c r="G830" s="937"/>
      <c r="H830" s="937"/>
      <c r="I830" s="937"/>
      <c r="J830" s="937"/>
      <c r="K830" s="937"/>
      <c r="L830" s="937"/>
      <c r="M830" s="937"/>
      <c r="N830" s="937"/>
      <c r="O830" s="937"/>
      <c r="P830" s="937"/>
      <c r="Q830" s="937"/>
      <c r="R830" s="937"/>
      <c r="S830" s="937"/>
      <c r="T830" s="937"/>
      <c r="U830" s="937"/>
      <c r="V830" s="937"/>
      <c r="W830" s="937"/>
      <c r="X830" s="937"/>
      <c r="Y830" s="937"/>
      <c r="Z830" s="937"/>
    </row>
    <row r="831" spans="1:26" ht="15.75" customHeight="1">
      <c r="A831" s="937"/>
      <c r="B831" s="937"/>
      <c r="C831" s="937"/>
      <c r="D831" s="937"/>
      <c r="E831" s="937"/>
      <c r="F831" s="937"/>
      <c r="G831" s="937"/>
      <c r="H831" s="937"/>
      <c r="I831" s="937"/>
      <c r="J831" s="937"/>
      <c r="K831" s="937"/>
      <c r="L831" s="937"/>
      <c r="M831" s="937"/>
      <c r="N831" s="937"/>
      <c r="O831" s="937"/>
      <c r="P831" s="937"/>
      <c r="Q831" s="937"/>
      <c r="R831" s="937"/>
      <c r="S831" s="937"/>
      <c r="T831" s="937"/>
      <c r="U831" s="937"/>
      <c r="V831" s="937"/>
      <c r="W831" s="937"/>
      <c r="X831" s="937"/>
      <c r="Y831" s="937"/>
      <c r="Z831" s="937"/>
    </row>
    <row r="832" spans="1:26" ht="15.75" customHeight="1">
      <c r="A832" s="937"/>
      <c r="B832" s="937"/>
      <c r="C832" s="937"/>
      <c r="D832" s="937"/>
      <c r="E832" s="937"/>
      <c r="F832" s="937"/>
      <c r="G832" s="937"/>
      <c r="H832" s="937"/>
      <c r="I832" s="937"/>
      <c r="J832" s="937"/>
      <c r="K832" s="937"/>
      <c r="L832" s="937"/>
      <c r="M832" s="937"/>
      <c r="N832" s="937"/>
      <c r="O832" s="937"/>
      <c r="P832" s="937"/>
      <c r="Q832" s="937"/>
      <c r="R832" s="937"/>
      <c r="S832" s="937"/>
      <c r="T832" s="937"/>
      <c r="U832" s="937"/>
      <c r="V832" s="937"/>
      <c r="W832" s="937"/>
      <c r="X832" s="937"/>
      <c r="Y832" s="937"/>
      <c r="Z832" s="937"/>
    </row>
    <row r="833" spans="1:26" ht="15.75" customHeight="1">
      <c r="A833" s="937"/>
      <c r="B833" s="937"/>
      <c r="C833" s="937"/>
      <c r="D833" s="937"/>
      <c r="E833" s="937"/>
      <c r="F833" s="937"/>
      <c r="G833" s="937"/>
      <c r="H833" s="937"/>
      <c r="I833" s="937"/>
      <c r="J833" s="937"/>
      <c r="K833" s="937"/>
      <c r="L833" s="937"/>
      <c r="M833" s="937"/>
      <c r="N833" s="937"/>
      <c r="O833" s="937"/>
      <c r="P833" s="937"/>
      <c r="Q833" s="937"/>
      <c r="R833" s="937"/>
      <c r="S833" s="937"/>
      <c r="T833" s="937"/>
      <c r="U833" s="937"/>
      <c r="V833" s="937"/>
      <c r="W833" s="937"/>
      <c r="X833" s="937"/>
      <c r="Y833" s="937"/>
      <c r="Z833" s="937"/>
    </row>
    <row r="834" spans="1:26" ht="15.75" customHeight="1">
      <c r="A834" s="937"/>
      <c r="B834" s="937"/>
      <c r="C834" s="937"/>
      <c r="D834" s="937"/>
      <c r="E834" s="937"/>
      <c r="F834" s="937"/>
      <c r="G834" s="937"/>
      <c r="H834" s="937"/>
      <c r="I834" s="937"/>
      <c r="J834" s="937"/>
      <c r="K834" s="937"/>
      <c r="L834" s="937"/>
      <c r="M834" s="937"/>
      <c r="N834" s="937"/>
      <c r="O834" s="937"/>
      <c r="P834" s="937"/>
      <c r="Q834" s="937"/>
      <c r="R834" s="937"/>
      <c r="S834" s="937"/>
      <c r="T834" s="937"/>
      <c r="U834" s="937"/>
      <c r="V834" s="937"/>
      <c r="W834" s="937"/>
      <c r="X834" s="937"/>
      <c r="Y834" s="937"/>
      <c r="Z834" s="937"/>
    </row>
    <row r="835" spans="1:26" ht="15.75" customHeight="1">
      <c r="A835" s="937"/>
      <c r="B835" s="937"/>
      <c r="C835" s="937"/>
      <c r="D835" s="937"/>
      <c r="E835" s="937"/>
      <c r="F835" s="937"/>
      <c r="G835" s="937"/>
      <c r="H835" s="937"/>
      <c r="I835" s="937"/>
      <c r="J835" s="937"/>
      <c r="K835" s="937"/>
      <c r="L835" s="937"/>
      <c r="M835" s="937"/>
      <c r="N835" s="937"/>
      <c r="O835" s="937"/>
      <c r="P835" s="937"/>
      <c r="Q835" s="937"/>
      <c r="R835" s="937"/>
      <c r="S835" s="937"/>
      <c r="T835" s="937"/>
      <c r="U835" s="937"/>
      <c r="V835" s="937"/>
      <c r="W835" s="937"/>
      <c r="X835" s="937"/>
      <c r="Y835" s="937"/>
      <c r="Z835" s="937"/>
    </row>
    <row r="836" spans="1:26" ht="15.75" customHeight="1">
      <c r="A836" s="937"/>
      <c r="B836" s="937"/>
      <c r="C836" s="937"/>
      <c r="D836" s="937"/>
      <c r="E836" s="937"/>
      <c r="F836" s="937"/>
      <c r="G836" s="937"/>
      <c r="H836" s="937"/>
      <c r="I836" s="937"/>
      <c r="J836" s="937"/>
      <c r="K836" s="937"/>
      <c r="L836" s="937"/>
      <c r="M836" s="937"/>
      <c r="N836" s="937"/>
      <c r="O836" s="937"/>
      <c r="P836" s="937"/>
      <c r="Q836" s="937"/>
      <c r="R836" s="937"/>
      <c r="S836" s="937"/>
      <c r="T836" s="937"/>
      <c r="U836" s="937"/>
      <c r="V836" s="937"/>
      <c r="W836" s="937"/>
      <c r="X836" s="937"/>
      <c r="Y836" s="937"/>
      <c r="Z836" s="937"/>
    </row>
    <row r="837" spans="1:26" ht="15.75" customHeight="1">
      <c r="A837" s="937"/>
      <c r="B837" s="937"/>
      <c r="C837" s="937"/>
      <c r="D837" s="937"/>
      <c r="E837" s="937"/>
      <c r="F837" s="937"/>
      <c r="G837" s="937"/>
      <c r="H837" s="937"/>
      <c r="I837" s="937"/>
      <c r="J837" s="937"/>
      <c r="K837" s="937"/>
      <c r="L837" s="937"/>
      <c r="M837" s="937"/>
      <c r="N837" s="937"/>
      <c r="O837" s="937"/>
      <c r="P837" s="937"/>
      <c r="Q837" s="937"/>
      <c r="R837" s="937"/>
      <c r="S837" s="937"/>
      <c r="T837" s="937"/>
      <c r="U837" s="937"/>
      <c r="V837" s="937"/>
      <c r="W837" s="937"/>
      <c r="X837" s="937"/>
      <c r="Y837" s="937"/>
      <c r="Z837" s="937"/>
    </row>
    <row r="838" spans="1:26" ht="15.75" customHeight="1">
      <c r="A838" s="937"/>
      <c r="B838" s="937"/>
      <c r="C838" s="937"/>
      <c r="D838" s="937"/>
      <c r="E838" s="937"/>
      <c r="F838" s="937"/>
      <c r="G838" s="937"/>
      <c r="H838" s="937"/>
      <c r="I838" s="937"/>
      <c r="J838" s="937"/>
      <c r="K838" s="937"/>
      <c r="L838" s="937"/>
      <c r="M838" s="937"/>
      <c r="N838" s="937"/>
      <c r="O838" s="937"/>
      <c r="P838" s="937"/>
      <c r="Q838" s="937"/>
      <c r="R838" s="937"/>
      <c r="S838" s="937"/>
      <c r="T838" s="937"/>
      <c r="U838" s="937"/>
      <c r="V838" s="937"/>
      <c r="W838" s="937"/>
      <c r="X838" s="937"/>
      <c r="Y838" s="937"/>
      <c r="Z838" s="937"/>
    </row>
    <row r="839" spans="1:26" ht="15.75" customHeight="1">
      <c r="A839" s="937"/>
      <c r="B839" s="937"/>
      <c r="C839" s="937"/>
      <c r="D839" s="937"/>
      <c r="E839" s="937"/>
      <c r="F839" s="937"/>
      <c r="G839" s="937"/>
      <c r="H839" s="937"/>
      <c r="I839" s="937"/>
      <c r="J839" s="937"/>
      <c r="K839" s="937"/>
      <c r="L839" s="937"/>
      <c r="M839" s="937"/>
      <c r="N839" s="937"/>
      <c r="O839" s="937"/>
      <c r="P839" s="937"/>
      <c r="Q839" s="937"/>
      <c r="R839" s="937"/>
      <c r="S839" s="937"/>
      <c r="T839" s="937"/>
      <c r="U839" s="937"/>
      <c r="V839" s="937"/>
      <c r="W839" s="937"/>
      <c r="X839" s="937"/>
      <c r="Y839" s="937"/>
      <c r="Z839" s="937"/>
    </row>
    <row r="840" spans="1:26" ht="15.75" customHeight="1">
      <c r="A840" s="937"/>
      <c r="B840" s="937"/>
      <c r="C840" s="937"/>
      <c r="D840" s="937"/>
      <c r="E840" s="937"/>
      <c r="F840" s="937"/>
      <c r="G840" s="937"/>
      <c r="H840" s="937"/>
      <c r="I840" s="937"/>
      <c r="J840" s="937"/>
      <c r="K840" s="937"/>
      <c r="L840" s="937"/>
      <c r="M840" s="937"/>
      <c r="N840" s="937"/>
      <c r="O840" s="937"/>
      <c r="P840" s="937"/>
      <c r="Q840" s="937"/>
      <c r="R840" s="937"/>
      <c r="S840" s="937"/>
      <c r="T840" s="937"/>
      <c r="U840" s="937"/>
      <c r="V840" s="937"/>
      <c r="W840" s="937"/>
      <c r="X840" s="937"/>
      <c r="Y840" s="937"/>
      <c r="Z840" s="937"/>
    </row>
    <row r="841" spans="1:26" ht="15.75" customHeight="1">
      <c r="A841" s="937"/>
      <c r="B841" s="937"/>
      <c r="C841" s="937"/>
      <c r="D841" s="937"/>
      <c r="E841" s="937"/>
      <c r="F841" s="937"/>
      <c r="G841" s="937"/>
      <c r="H841" s="937"/>
      <c r="I841" s="937"/>
      <c r="J841" s="937"/>
      <c r="K841" s="937"/>
      <c r="L841" s="937"/>
      <c r="M841" s="937"/>
      <c r="N841" s="937"/>
      <c r="O841" s="937"/>
      <c r="P841" s="937"/>
      <c r="Q841" s="937"/>
      <c r="R841" s="937"/>
      <c r="S841" s="937"/>
      <c r="T841" s="937"/>
      <c r="U841" s="937"/>
      <c r="V841" s="937"/>
      <c r="W841" s="937"/>
      <c r="X841" s="937"/>
      <c r="Y841" s="937"/>
      <c r="Z841" s="937"/>
    </row>
    <row r="842" spans="1:26" ht="15.75" customHeight="1">
      <c r="A842" s="937"/>
      <c r="B842" s="937"/>
      <c r="C842" s="937"/>
      <c r="D842" s="937"/>
      <c r="E842" s="937"/>
      <c r="F842" s="937"/>
      <c r="G842" s="937"/>
      <c r="H842" s="937"/>
      <c r="I842" s="937"/>
      <c r="J842" s="937"/>
      <c r="K842" s="937"/>
      <c r="L842" s="937"/>
      <c r="M842" s="937"/>
      <c r="N842" s="937"/>
      <c r="O842" s="937"/>
      <c r="P842" s="937"/>
      <c r="Q842" s="937"/>
      <c r="R842" s="937"/>
      <c r="S842" s="937"/>
      <c r="T842" s="937"/>
      <c r="U842" s="937"/>
      <c r="V842" s="937"/>
      <c r="W842" s="937"/>
      <c r="X842" s="937"/>
      <c r="Y842" s="937"/>
      <c r="Z842" s="937"/>
    </row>
    <row r="843" spans="1:26" ht="15.75" customHeight="1">
      <c r="A843" s="937"/>
      <c r="B843" s="937"/>
      <c r="C843" s="937"/>
      <c r="D843" s="937"/>
      <c r="E843" s="937"/>
      <c r="F843" s="937"/>
      <c r="G843" s="937"/>
      <c r="H843" s="937"/>
      <c r="I843" s="937"/>
      <c r="J843" s="937"/>
      <c r="K843" s="937"/>
      <c r="L843" s="937"/>
      <c r="M843" s="937"/>
      <c r="N843" s="937"/>
      <c r="O843" s="937"/>
      <c r="P843" s="937"/>
      <c r="Q843" s="937"/>
      <c r="R843" s="937"/>
      <c r="S843" s="937"/>
      <c r="T843" s="937"/>
      <c r="U843" s="937"/>
      <c r="V843" s="937"/>
      <c r="W843" s="937"/>
      <c r="X843" s="937"/>
      <c r="Y843" s="937"/>
      <c r="Z843" s="937"/>
    </row>
    <row r="844" spans="1:26" ht="15.75" customHeight="1">
      <c r="A844" s="937"/>
      <c r="B844" s="937"/>
      <c r="C844" s="937"/>
      <c r="D844" s="937"/>
      <c r="E844" s="937"/>
      <c r="F844" s="937"/>
      <c r="G844" s="937"/>
      <c r="H844" s="937"/>
      <c r="I844" s="937"/>
      <c r="J844" s="937"/>
      <c r="K844" s="937"/>
      <c r="L844" s="937"/>
      <c r="M844" s="937"/>
      <c r="N844" s="937"/>
      <c r="O844" s="937"/>
      <c r="P844" s="937"/>
      <c r="Q844" s="937"/>
      <c r="R844" s="937"/>
      <c r="S844" s="937"/>
      <c r="T844" s="937"/>
      <c r="U844" s="937"/>
      <c r="V844" s="937"/>
      <c r="W844" s="937"/>
      <c r="X844" s="937"/>
      <c r="Y844" s="937"/>
      <c r="Z844" s="937"/>
    </row>
    <row r="845" spans="1:26" ht="15.75" customHeight="1">
      <c r="A845" s="937"/>
      <c r="B845" s="937"/>
      <c r="C845" s="937"/>
      <c r="D845" s="937"/>
      <c r="E845" s="937"/>
      <c r="F845" s="937"/>
      <c r="G845" s="937"/>
      <c r="H845" s="937"/>
      <c r="I845" s="937"/>
      <c r="J845" s="937"/>
      <c r="K845" s="937"/>
      <c r="L845" s="937"/>
      <c r="M845" s="937"/>
      <c r="N845" s="937"/>
      <c r="O845" s="937"/>
      <c r="P845" s="937"/>
      <c r="Q845" s="937"/>
      <c r="R845" s="937"/>
      <c r="S845" s="937"/>
      <c r="T845" s="937"/>
      <c r="U845" s="937"/>
      <c r="V845" s="937"/>
      <c r="W845" s="937"/>
      <c r="X845" s="937"/>
      <c r="Y845" s="937"/>
      <c r="Z845" s="937"/>
    </row>
    <row r="846" spans="1:26" ht="15.75" customHeight="1">
      <c r="A846" s="937"/>
      <c r="B846" s="937"/>
      <c r="C846" s="937"/>
      <c r="D846" s="937"/>
      <c r="E846" s="937"/>
      <c r="F846" s="937"/>
      <c r="G846" s="937"/>
      <c r="H846" s="937"/>
      <c r="I846" s="937"/>
      <c r="J846" s="937"/>
      <c r="K846" s="937"/>
      <c r="L846" s="937"/>
      <c r="M846" s="937"/>
      <c r="N846" s="937"/>
      <c r="O846" s="937"/>
      <c r="P846" s="937"/>
      <c r="Q846" s="937"/>
      <c r="R846" s="937"/>
      <c r="S846" s="937"/>
      <c r="T846" s="937"/>
      <c r="U846" s="937"/>
      <c r="V846" s="937"/>
      <c r="W846" s="937"/>
      <c r="X846" s="937"/>
      <c r="Y846" s="937"/>
      <c r="Z846" s="937"/>
    </row>
    <row r="847" spans="1:26" ht="15.75" customHeight="1">
      <c r="A847" s="937"/>
      <c r="B847" s="937"/>
      <c r="C847" s="937"/>
      <c r="D847" s="937"/>
      <c r="E847" s="937"/>
      <c r="F847" s="937"/>
      <c r="G847" s="937"/>
      <c r="H847" s="937"/>
      <c r="I847" s="937"/>
      <c r="J847" s="937"/>
      <c r="K847" s="937"/>
      <c r="L847" s="937"/>
      <c r="M847" s="937"/>
      <c r="N847" s="937"/>
      <c r="O847" s="937"/>
      <c r="P847" s="937"/>
      <c r="Q847" s="937"/>
      <c r="R847" s="937"/>
      <c r="S847" s="937"/>
      <c r="T847" s="937"/>
      <c r="U847" s="937"/>
      <c r="V847" s="937"/>
      <c r="W847" s="937"/>
      <c r="X847" s="937"/>
      <c r="Y847" s="937"/>
      <c r="Z847" s="937"/>
    </row>
    <row r="848" spans="1:26" ht="15.75" customHeight="1">
      <c r="A848" s="937"/>
      <c r="B848" s="937"/>
      <c r="C848" s="937"/>
      <c r="D848" s="937"/>
      <c r="E848" s="937"/>
      <c r="F848" s="937"/>
      <c r="G848" s="937"/>
      <c r="H848" s="937"/>
      <c r="I848" s="937"/>
      <c r="J848" s="937"/>
      <c r="K848" s="937"/>
      <c r="L848" s="937"/>
      <c r="M848" s="937"/>
      <c r="N848" s="937"/>
      <c r="O848" s="937"/>
      <c r="P848" s="937"/>
      <c r="Q848" s="937"/>
      <c r="R848" s="937"/>
      <c r="S848" s="937"/>
      <c r="T848" s="937"/>
      <c r="U848" s="937"/>
      <c r="V848" s="937"/>
      <c r="W848" s="937"/>
      <c r="X848" s="937"/>
      <c r="Y848" s="937"/>
      <c r="Z848" s="937"/>
    </row>
    <row r="849" spans="1:26" ht="15.75" customHeight="1">
      <c r="A849" s="937"/>
      <c r="B849" s="937"/>
      <c r="C849" s="937"/>
      <c r="D849" s="937"/>
      <c r="E849" s="937"/>
      <c r="F849" s="937"/>
      <c r="G849" s="937"/>
      <c r="H849" s="937"/>
      <c r="I849" s="937"/>
      <c r="J849" s="937"/>
      <c r="K849" s="937"/>
      <c r="L849" s="937"/>
      <c r="M849" s="937"/>
      <c r="N849" s="937"/>
      <c r="O849" s="937"/>
      <c r="P849" s="937"/>
      <c r="Q849" s="937"/>
      <c r="R849" s="937"/>
      <c r="S849" s="937"/>
      <c r="T849" s="937"/>
      <c r="U849" s="937"/>
      <c r="V849" s="937"/>
      <c r="W849" s="937"/>
      <c r="X849" s="937"/>
      <c r="Y849" s="937"/>
      <c r="Z849" s="937"/>
    </row>
    <row r="850" spans="1:26" ht="15.75" customHeight="1">
      <c r="A850" s="937"/>
      <c r="B850" s="937"/>
      <c r="C850" s="937"/>
      <c r="D850" s="937"/>
      <c r="E850" s="937"/>
      <c r="F850" s="937"/>
      <c r="G850" s="937"/>
      <c r="H850" s="937"/>
      <c r="I850" s="937"/>
      <c r="J850" s="937"/>
      <c r="K850" s="937"/>
      <c r="L850" s="937"/>
      <c r="M850" s="937"/>
      <c r="N850" s="937"/>
      <c r="O850" s="937"/>
      <c r="P850" s="937"/>
      <c r="Q850" s="937"/>
      <c r="R850" s="937"/>
      <c r="S850" s="937"/>
      <c r="T850" s="937"/>
      <c r="U850" s="937"/>
      <c r="V850" s="937"/>
      <c r="W850" s="937"/>
      <c r="X850" s="937"/>
      <c r="Y850" s="937"/>
      <c r="Z850" s="937"/>
    </row>
    <row r="851" spans="1:26" ht="15.75" customHeight="1">
      <c r="A851" s="937"/>
      <c r="B851" s="937"/>
      <c r="C851" s="937"/>
      <c r="D851" s="937"/>
      <c r="E851" s="937"/>
      <c r="F851" s="937"/>
      <c r="G851" s="937"/>
      <c r="H851" s="937"/>
      <c r="I851" s="937"/>
      <c r="J851" s="937"/>
      <c r="K851" s="937"/>
      <c r="L851" s="937"/>
      <c r="M851" s="937"/>
      <c r="N851" s="937"/>
      <c r="O851" s="937"/>
      <c r="P851" s="937"/>
      <c r="Q851" s="937"/>
      <c r="R851" s="937"/>
      <c r="S851" s="937"/>
      <c r="T851" s="937"/>
      <c r="U851" s="937"/>
      <c r="V851" s="937"/>
      <c r="W851" s="937"/>
      <c r="X851" s="937"/>
      <c r="Y851" s="937"/>
      <c r="Z851" s="937"/>
    </row>
    <row r="852" spans="1:26" ht="15.75" customHeight="1">
      <c r="A852" s="937"/>
      <c r="B852" s="937"/>
      <c r="C852" s="937"/>
      <c r="D852" s="937"/>
      <c r="E852" s="937"/>
      <c r="F852" s="937"/>
      <c r="G852" s="937"/>
      <c r="H852" s="937"/>
      <c r="I852" s="937"/>
      <c r="J852" s="937"/>
      <c r="K852" s="937"/>
      <c r="L852" s="937"/>
      <c r="M852" s="937"/>
      <c r="N852" s="937"/>
      <c r="O852" s="937"/>
      <c r="P852" s="937"/>
      <c r="Q852" s="937"/>
      <c r="R852" s="937"/>
      <c r="S852" s="937"/>
      <c r="T852" s="937"/>
      <c r="U852" s="937"/>
      <c r="V852" s="937"/>
      <c r="W852" s="937"/>
      <c r="X852" s="937"/>
      <c r="Y852" s="937"/>
      <c r="Z852" s="937"/>
    </row>
    <row r="853" spans="1:26" ht="15.75" customHeight="1">
      <c r="A853" s="937"/>
      <c r="B853" s="937"/>
      <c r="C853" s="937"/>
      <c r="D853" s="937"/>
      <c r="E853" s="937"/>
      <c r="F853" s="937"/>
      <c r="G853" s="937"/>
      <c r="H853" s="937"/>
      <c r="I853" s="937"/>
      <c r="J853" s="937"/>
      <c r="K853" s="937"/>
      <c r="L853" s="937"/>
      <c r="M853" s="937"/>
      <c r="N853" s="937"/>
      <c r="O853" s="937"/>
      <c r="P853" s="937"/>
      <c r="Q853" s="937"/>
      <c r="R853" s="937"/>
      <c r="S853" s="937"/>
      <c r="T853" s="937"/>
      <c r="U853" s="937"/>
      <c r="V853" s="937"/>
      <c r="W853" s="937"/>
      <c r="X853" s="937"/>
      <c r="Y853" s="937"/>
      <c r="Z853" s="937"/>
    </row>
    <row r="854" spans="1:26" ht="15.75" customHeight="1">
      <c r="A854" s="937"/>
      <c r="B854" s="937"/>
      <c r="C854" s="937"/>
      <c r="D854" s="937"/>
      <c r="E854" s="937"/>
      <c r="F854" s="937"/>
      <c r="G854" s="937"/>
      <c r="H854" s="937"/>
      <c r="I854" s="937"/>
      <c r="J854" s="937"/>
      <c r="K854" s="937"/>
      <c r="L854" s="937"/>
      <c r="M854" s="937"/>
      <c r="N854" s="937"/>
      <c r="O854" s="937"/>
      <c r="P854" s="937"/>
      <c r="Q854" s="937"/>
      <c r="R854" s="937"/>
      <c r="S854" s="937"/>
      <c r="T854" s="937"/>
      <c r="U854" s="937"/>
      <c r="V854" s="937"/>
      <c r="W854" s="937"/>
      <c r="X854" s="937"/>
      <c r="Y854" s="937"/>
      <c r="Z854" s="937"/>
    </row>
    <row r="855" spans="1:26" ht="15.75" customHeight="1">
      <c r="A855" s="937"/>
      <c r="B855" s="937"/>
      <c r="C855" s="937"/>
      <c r="D855" s="937"/>
      <c r="E855" s="937"/>
      <c r="F855" s="937"/>
      <c r="G855" s="937"/>
      <c r="H855" s="937"/>
      <c r="I855" s="937"/>
      <c r="J855" s="937"/>
      <c r="K855" s="937"/>
      <c r="L855" s="937"/>
      <c r="M855" s="937"/>
      <c r="N855" s="937"/>
      <c r="O855" s="937"/>
      <c r="P855" s="937"/>
      <c r="Q855" s="937"/>
      <c r="R855" s="937"/>
      <c r="S855" s="937"/>
      <c r="T855" s="937"/>
      <c r="U855" s="937"/>
      <c r="V855" s="937"/>
      <c r="W855" s="937"/>
      <c r="X855" s="937"/>
      <c r="Y855" s="937"/>
      <c r="Z855" s="937"/>
    </row>
    <row r="856" spans="1:26" ht="15.75" customHeight="1">
      <c r="A856" s="937"/>
      <c r="B856" s="937"/>
      <c r="C856" s="937"/>
      <c r="D856" s="937"/>
      <c r="E856" s="937"/>
      <c r="F856" s="937"/>
      <c r="G856" s="937"/>
      <c r="H856" s="937"/>
      <c r="I856" s="937"/>
      <c r="J856" s="937"/>
      <c r="K856" s="937"/>
      <c r="L856" s="937"/>
      <c r="M856" s="937"/>
      <c r="N856" s="937"/>
      <c r="O856" s="937"/>
      <c r="P856" s="937"/>
      <c r="Q856" s="937"/>
      <c r="R856" s="937"/>
      <c r="S856" s="937"/>
      <c r="T856" s="937"/>
      <c r="U856" s="937"/>
      <c r="V856" s="937"/>
      <c r="W856" s="937"/>
      <c r="X856" s="937"/>
      <c r="Y856" s="937"/>
      <c r="Z856" s="937"/>
    </row>
    <row r="857" spans="1:26" ht="15.75" customHeight="1">
      <c r="A857" s="937"/>
      <c r="B857" s="937"/>
      <c r="C857" s="937"/>
      <c r="D857" s="937"/>
      <c r="E857" s="937"/>
      <c r="F857" s="937"/>
      <c r="G857" s="937"/>
      <c r="H857" s="937"/>
      <c r="I857" s="937"/>
      <c r="J857" s="937"/>
      <c r="K857" s="937"/>
      <c r="L857" s="937"/>
      <c r="M857" s="937"/>
      <c r="N857" s="937"/>
      <c r="O857" s="937"/>
      <c r="P857" s="937"/>
      <c r="Q857" s="937"/>
      <c r="R857" s="937"/>
      <c r="S857" s="937"/>
      <c r="T857" s="937"/>
      <c r="U857" s="937"/>
      <c r="V857" s="937"/>
      <c r="W857" s="937"/>
      <c r="X857" s="937"/>
      <c r="Y857" s="937"/>
      <c r="Z857" s="937"/>
    </row>
    <row r="858" spans="1:26" ht="15.75" customHeight="1">
      <c r="A858" s="937"/>
      <c r="B858" s="937"/>
      <c r="C858" s="937"/>
      <c r="D858" s="937"/>
      <c r="E858" s="937"/>
      <c r="F858" s="937"/>
      <c r="G858" s="937"/>
      <c r="H858" s="937"/>
      <c r="I858" s="937"/>
      <c r="J858" s="937"/>
      <c r="K858" s="937"/>
      <c r="L858" s="937"/>
      <c r="M858" s="937"/>
      <c r="N858" s="937"/>
      <c r="O858" s="937"/>
      <c r="P858" s="937"/>
      <c r="Q858" s="937"/>
      <c r="R858" s="937"/>
      <c r="S858" s="937"/>
      <c r="T858" s="937"/>
      <c r="U858" s="937"/>
      <c r="V858" s="937"/>
      <c r="W858" s="937"/>
      <c r="X858" s="937"/>
      <c r="Y858" s="937"/>
      <c r="Z858" s="937"/>
    </row>
    <row r="859" spans="1:26" ht="15.75" customHeight="1">
      <c r="A859" s="937"/>
      <c r="B859" s="937"/>
      <c r="C859" s="937"/>
      <c r="D859" s="937"/>
      <c r="E859" s="937"/>
      <c r="F859" s="937"/>
      <c r="G859" s="937"/>
      <c r="H859" s="937"/>
      <c r="I859" s="937"/>
      <c r="J859" s="937"/>
      <c r="K859" s="937"/>
      <c r="L859" s="937"/>
      <c r="M859" s="937"/>
      <c r="N859" s="937"/>
      <c r="O859" s="937"/>
      <c r="P859" s="937"/>
      <c r="Q859" s="937"/>
      <c r="R859" s="937"/>
      <c r="S859" s="937"/>
      <c r="T859" s="937"/>
      <c r="U859" s="937"/>
      <c r="V859" s="937"/>
      <c r="W859" s="937"/>
      <c r="X859" s="937"/>
      <c r="Y859" s="937"/>
      <c r="Z859" s="937"/>
    </row>
    <row r="860" spans="1:26" ht="15.75" customHeight="1">
      <c r="A860" s="937"/>
      <c r="B860" s="937"/>
      <c r="C860" s="937"/>
      <c r="D860" s="937"/>
      <c r="E860" s="937"/>
      <c r="F860" s="937"/>
      <c r="G860" s="937"/>
      <c r="H860" s="937"/>
      <c r="I860" s="937"/>
      <c r="J860" s="937"/>
      <c r="K860" s="937"/>
      <c r="L860" s="937"/>
      <c r="M860" s="937"/>
      <c r="N860" s="937"/>
      <c r="O860" s="937"/>
      <c r="P860" s="937"/>
      <c r="Q860" s="937"/>
      <c r="R860" s="937"/>
      <c r="S860" s="937"/>
      <c r="T860" s="937"/>
      <c r="U860" s="937"/>
      <c r="V860" s="937"/>
      <c r="W860" s="937"/>
      <c r="X860" s="937"/>
      <c r="Y860" s="937"/>
      <c r="Z860" s="937"/>
    </row>
    <row r="861" spans="1:26" ht="15.75" customHeight="1">
      <c r="A861" s="937"/>
      <c r="B861" s="937"/>
      <c r="C861" s="937"/>
      <c r="D861" s="937"/>
      <c r="E861" s="937"/>
      <c r="F861" s="937"/>
      <c r="G861" s="937"/>
      <c r="H861" s="937"/>
      <c r="I861" s="937"/>
      <c r="J861" s="937"/>
      <c r="K861" s="937"/>
      <c r="L861" s="937"/>
      <c r="M861" s="937"/>
      <c r="N861" s="937"/>
      <c r="O861" s="937"/>
      <c r="P861" s="937"/>
      <c r="Q861" s="937"/>
      <c r="R861" s="937"/>
      <c r="S861" s="937"/>
      <c r="T861" s="937"/>
      <c r="U861" s="937"/>
      <c r="V861" s="937"/>
      <c r="W861" s="937"/>
      <c r="X861" s="937"/>
      <c r="Y861" s="937"/>
      <c r="Z861" s="937"/>
    </row>
    <row r="862" spans="1:26" ht="15.75" customHeight="1">
      <c r="A862" s="937"/>
      <c r="B862" s="937"/>
      <c r="C862" s="937"/>
      <c r="D862" s="937"/>
      <c r="E862" s="937"/>
      <c r="F862" s="937"/>
      <c r="G862" s="937"/>
      <c r="H862" s="937"/>
      <c r="I862" s="937"/>
      <c r="J862" s="937"/>
      <c r="K862" s="937"/>
      <c r="L862" s="937"/>
      <c r="M862" s="937"/>
      <c r="N862" s="937"/>
      <c r="O862" s="937"/>
      <c r="P862" s="937"/>
      <c r="Q862" s="937"/>
      <c r="R862" s="937"/>
      <c r="S862" s="937"/>
      <c r="T862" s="937"/>
      <c r="U862" s="937"/>
      <c r="V862" s="937"/>
      <c r="W862" s="937"/>
      <c r="X862" s="937"/>
      <c r="Y862" s="937"/>
      <c r="Z862" s="937"/>
    </row>
    <row r="863" spans="1:26" ht="15.75" customHeight="1">
      <c r="A863" s="937"/>
      <c r="B863" s="937"/>
      <c r="C863" s="937"/>
      <c r="D863" s="937"/>
      <c r="E863" s="937"/>
      <c r="F863" s="937"/>
      <c r="G863" s="937"/>
      <c r="H863" s="937"/>
      <c r="I863" s="937"/>
      <c r="J863" s="937"/>
      <c r="K863" s="937"/>
      <c r="L863" s="937"/>
      <c r="M863" s="937"/>
      <c r="N863" s="937"/>
      <c r="O863" s="937"/>
      <c r="P863" s="937"/>
      <c r="Q863" s="937"/>
      <c r="R863" s="937"/>
      <c r="S863" s="937"/>
      <c r="T863" s="937"/>
      <c r="U863" s="937"/>
      <c r="V863" s="937"/>
      <c r="W863" s="937"/>
      <c r="X863" s="937"/>
      <c r="Y863" s="937"/>
      <c r="Z863" s="937"/>
    </row>
    <row r="864" spans="1:26" ht="15.75" customHeight="1">
      <c r="A864" s="937"/>
      <c r="B864" s="937"/>
      <c r="C864" s="937"/>
      <c r="D864" s="937"/>
      <c r="E864" s="937"/>
      <c r="F864" s="937"/>
      <c r="G864" s="937"/>
      <c r="H864" s="937"/>
      <c r="I864" s="937"/>
      <c r="J864" s="937"/>
      <c r="K864" s="937"/>
      <c r="L864" s="937"/>
      <c r="M864" s="937"/>
      <c r="N864" s="937"/>
      <c r="O864" s="937"/>
      <c r="P864" s="937"/>
      <c r="Q864" s="937"/>
      <c r="R864" s="937"/>
      <c r="S864" s="937"/>
      <c r="T864" s="937"/>
      <c r="U864" s="937"/>
      <c r="V864" s="937"/>
      <c r="W864" s="937"/>
      <c r="X864" s="937"/>
      <c r="Y864" s="937"/>
      <c r="Z864" s="937"/>
    </row>
    <row r="865" spans="1:26" ht="15.75" customHeight="1">
      <c r="A865" s="937"/>
      <c r="B865" s="937"/>
      <c r="C865" s="937"/>
      <c r="D865" s="937"/>
      <c r="E865" s="937"/>
      <c r="F865" s="937"/>
      <c r="G865" s="937"/>
      <c r="H865" s="937"/>
      <c r="I865" s="937"/>
      <c r="J865" s="937"/>
      <c r="K865" s="937"/>
      <c r="L865" s="937"/>
      <c r="M865" s="937"/>
      <c r="N865" s="937"/>
      <c r="O865" s="937"/>
      <c r="P865" s="937"/>
      <c r="Q865" s="937"/>
      <c r="R865" s="937"/>
      <c r="S865" s="937"/>
      <c r="T865" s="937"/>
      <c r="U865" s="937"/>
      <c r="V865" s="937"/>
      <c r="W865" s="937"/>
      <c r="X865" s="937"/>
      <c r="Y865" s="937"/>
      <c r="Z865" s="937"/>
    </row>
    <row r="866" spans="1:26" ht="15.75" customHeight="1">
      <c r="A866" s="937"/>
      <c r="B866" s="937"/>
      <c r="C866" s="937"/>
      <c r="D866" s="937"/>
      <c r="E866" s="937"/>
      <c r="F866" s="937"/>
      <c r="G866" s="937"/>
      <c r="H866" s="937"/>
      <c r="I866" s="937"/>
      <c r="J866" s="937"/>
      <c r="K866" s="937"/>
      <c r="L866" s="937"/>
      <c r="M866" s="937"/>
      <c r="N866" s="937"/>
      <c r="O866" s="937"/>
      <c r="P866" s="937"/>
      <c r="Q866" s="937"/>
      <c r="R866" s="937"/>
      <c r="S866" s="937"/>
      <c r="T866" s="937"/>
      <c r="U866" s="937"/>
      <c r="V866" s="937"/>
      <c r="W866" s="937"/>
      <c r="X866" s="937"/>
      <c r="Y866" s="937"/>
      <c r="Z866" s="937"/>
    </row>
    <row r="867" spans="1:26" ht="15.75" customHeight="1">
      <c r="A867" s="937"/>
      <c r="B867" s="937"/>
      <c r="C867" s="937"/>
      <c r="D867" s="937"/>
      <c r="E867" s="937"/>
      <c r="F867" s="937"/>
      <c r="G867" s="937"/>
      <c r="H867" s="937"/>
      <c r="I867" s="937"/>
      <c r="J867" s="937"/>
      <c r="K867" s="937"/>
      <c r="L867" s="937"/>
      <c r="M867" s="937"/>
      <c r="N867" s="937"/>
      <c r="O867" s="937"/>
      <c r="P867" s="937"/>
      <c r="Q867" s="937"/>
      <c r="R867" s="937"/>
      <c r="S867" s="937"/>
      <c r="T867" s="937"/>
      <c r="U867" s="937"/>
      <c r="V867" s="937"/>
      <c r="W867" s="937"/>
      <c r="X867" s="937"/>
      <c r="Y867" s="937"/>
      <c r="Z867" s="937"/>
    </row>
    <row r="868" spans="1:26" ht="15.75" customHeight="1">
      <c r="A868" s="937"/>
      <c r="B868" s="937"/>
      <c r="C868" s="937"/>
      <c r="D868" s="937"/>
      <c r="E868" s="937"/>
      <c r="F868" s="937"/>
      <c r="G868" s="937"/>
      <c r="H868" s="937"/>
      <c r="I868" s="937"/>
      <c r="J868" s="937"/>
      <c r="K868" s="937"/>
      <c r="L868" s="937"/>
      <c r="M868" s="937"/>
      <c r="N868" s="937"/>
      <c r="O868" s="937"/>
      <c r="P868" s="937"/>
      <c r="Q868" s="937"/>
      <c r="R868" s="937"/>
      <c r="S868" s="937"/>
      <c r="T868" s="937"/>
      <c r="U868" s="937"/>
      <c r="V868" s="937"/>
      <c r="W868" s="937"/>
      <c r="X868" s="937"/>
      <c r="Y868" s="937"/>
      <c r="Z868" s="937"/>
    </row>
    <row r="869" spans="1:26" ht="15.75" customHeight="1">
      <c r="A869" s="937"/>
      <c r="B869" s="937"/>
      <c r="C869" s="937"/>
      <c r="D869" s="937"/>
      <c r="E869" s="937"/>
      <c r="F869" s="937"/>
      <c r="G869" s="937"/>
      <c r="H869" s="937"/>
      <c r="I869" s="937"/>
      <c r="J869" s="937"/>
      <c r="K869" s="937"/>
      <c r="L869" s="937"/>
      <c r="M869" s="937"/>
      <c r="N869" s="937"/>
      <c r="O869" s="937"/>
      <c r="P869" s="937"/>
      <c r="Q869" s="937"/>
      <c r="R869" s="937"/>
      <c r="S869" s="937"/>
      <c r="T869" s="937"/>
      <c r="U869" s="937"/>
      <c r="V869" s="937"/>
      <c r="W869" s="937"/>
      <c r="X869" s="937"/>
      <c r="Y869" s="937"/>
      <c r="Z869" s="937"/>
    </row>
    <row r="870" spans="1:26" ht="15.75" customHeight="1">
      <c r="A870" s="937"/>
      <c r="B870" s="937"/>
      <c r="C870" s="937"/>
      <c r="D870" s="937"/>
      <c r="E870" s="937"/>
      <c r="F870" s="937"/>
      <c r="G870" s="937"/>
      <c r="H870" s="937"/>
      <c r="I870" s="937"/>
      <c r="J870" s="937"/>
      <c r="K870" s="937"/>
      <c r="L870" s="937"/>
      <c r="M870" s="937"/>
      <c r="N870" s="937"/>
      <c r="O870" s="937"/>
      <c r="P870" s="937"/>
      <c r="Q870" s="937"/>
      <c r="R870" s="937"/>
      <c r="S870" s="937"/>
      <c r="T870" s="937"/>
      <c r="U870" s="937"/>
      <c r="V870" s="937"/>
      <c r="W870" s="937"/>
      <c r="X870" s="937"/>
      <c r="Y870" s="937"/>
      <c r="Z870" s="937"/>
    </row>
    <row r="871" spans="1:26" ht="15.75" customHeight="1">
      <c r="A871" s="937"/>
      <c r="B871" s="937"/>
      <c r="C871" s="937"/>
      <c r="D871" s="937"/>
      <c r="E871" s="937"/>
      <c r="F871" s="937"/>
      <c r="G871" s="937"/>
      <c r="H871" s="937"/>
      <c r="I871" s="937"/>
      <c r="J871" s="937"/>
      <c r="K871" s="937"/>
      <c r="L871" s="937"/>
      <c r="M871" s="937"/>
      <c r="N871" s="937"/>
      <c r="O871" s="937"/>
      <c r="P871" s="937"/>
      <c r="Q871" s="937"/>
      <c r="R871" s="937"/>
      <c r="S871" s="937"/>
      <c r="T871" s="937"/>
      <c r="U871" s="937"/>
      <c r="V871" s="937"/>
      <c r="W871" s="937"/>
      <c r="X871" s="937"/>
      <c r="Y871" s="937"/>
      <c r="Z871" s="937"/>
    </row>
    <row r="872" spans="1:26" ht="15.75" customHeight="1">
      <c r="A872" s="937"/>
      <c r="B872" s="937"/>
      <c r="C872" s="937"/>
      <c r="D872" s="937"/>
      <c r="E872" s="937"/>
      <c r="F872" s="937"/>
      <c r="G872" s="937"/>
      <c r="H872" s="937"/>
      <c r="I872" s="937"/>
      <c r="J872" s="937"/>
      <c r="K872" s="937"/>
      <c r="L872" s="937"/>
      <c r="M872" s="937"/>
      <c r="N872" s="937"/>
      <c r="O872" s="937"/>
      <c r="P872" s="937"/>
      <c r="Q872" s="937"/>
      <c r="R872" s="937"/>
      <c r="S872" s="937"/>
      <c r="T872" s="937"/>
      <c r="U872" s="937"/>
      <c r="V872" s="937"/>
      <c r="W872" s="937"/>
      <c r="X872" s="937"/>
      <c r="Y872" s="937"/>
      <c r="Z872" s="937"/>
    </row>
    <row r="873" spans="1:26" ht="15.75" customHeight="1">
      <c r="A873" s="937"/>
      <c r="B873" s="937"/>
      <c r="C873" s="937"/>
      <c r="D873" s="937"/>
      <c r="E873" s="937"/>
      <c r="F873" s="937"/>
      <c r="G873" s="937"/>
      <c r="H873" s="937"/>
      <c r="I873" s="937"/>
      <c r="J873" s="937"/>
      <c r="K873" s="937"/>
      <c r="L873" s="937"/>
      <c r="M873" s="937"/>
      <c r="N873" s="937"/>
      <c r="O873" s="937"/>
      <c r="P873" s="937"/>
      <c r="Q873" s="937"/>
      <c r="R873" s="937"/>
      <c r="S873" s="937"/>
      <c r="T873" s="937"/>
      <c r="U873" s="937"/>
      <c r="V873" s="937"/>
      <c r="W873" s="937"/>
      <c r="X873" s="937"/>
      <c r="Y873" s="937"/>
      <c r="Z873" s="937"/>
    </row>
    <row r="874" spans="1:26" ht="15.75" customHeight="1">
      <c r="A874" s="937"/>
      <c r="B874" s="937"/>
      <c r="C874" s="937"/>
      <c r="D874" s="937"/>
      <c r="E874" s="937"/>
      <c r="F874" s="937"/>
      <c r="G874" s="937"/>
      <c r="H874" s="937"/>
      <c r="I874" s="937"/>
      <c r="J874" s="937"/>
      <c r="K874" s="937"/>
      <c r="L874" s="937"/>
      <c r="M874" s="937"/>
      <c r="N874" s="937"/>
      <c r="O874" s="937"/>
      <c r="P874" s="937"/>
      <c r="Q874" s="937"/>
      <c r="R874" s="937"/>
      <c r="S874" s="937"/>
      <c r="T874" s="937"/>
      <c r="U874" s="937"/>
      <c r="V874" s="937"/>
      <c r="W874" s="937"/>
      <c r="X874" s="937"/>
      <c r="Y874" s="937"/>
      <c r="Z874" s="937"/>
    </row>
    <row r="875" spans="1:26" ht="15.75" customHeight="1">
      <c r="A875" s="937"/>
      <c r="B875" s="937"/>
      <c r="C875" s="937"/>
      <c r="D875" s="937"/>
      <c r="E875" s="937"/>
      <c r="F875" s="937"/>
      <c r="G875" s="937"/>
      <c r="H875" s="937"/>
      <c r="I875" s="937"/>
      <c r="J875" s="937"/>
      <c r="K875" s="937"/>
      <c r="L875" s="937"/>
      <c r="M875" s="937"/>
      <c r="N875" s="937"/>
      <c r="O875" s="937"/>
      <c r="P875" s="937"/>
      <c r="Q875" s="937"/>
      <c r="R875" s="937"/>
      <c r="S875" s="937"/>
      <c r="T875" s="937"/>
      <c r="U875" s="937"/>
      <c r="V875" s="937"/>
      <c r="W875" s="937"/>
      <c r="X875" s="937"/>
      <c r="Y875" s="937"/>
      <c r="Z875" s="937"/>
    </row>
    <row r="876" spans="1:26" ht="15.75" customHeight="1">
      <c r="A876" s="937"/>
      <c r="B876" s="937"/>
      <c r="C876" s="937"/>
      <c r="D876" s="937"/>
      <c r="E876" s="937"/>
      <c r="F876" s="937"/>
      <c r="G876" s="937"/>
      <c r="H876" s="937"/>
      <c r="I876" s="937"/>
      <c r="J876" s="937"/>
      <c r="K876" s="937"/>
      <c r="L876" s="937"/>
      <c r="M876" s="937"/>
      <c r="N876" s="937"/>
      <c r="O876" s="937"/>
      <c r="P876" s="937"/>
      <c r="Q876" s="937"/>
      <c r="R876" s="937"/>
      <c r="S876" s="937"/>
      <c r="T876" s="937"/>
      <c r="U876" s="937"/>
      <c r="V876" s="937"/>
      <c r="W876" s="937"/>
      <c r="X876" s="937"/>
      <c r="Y876" s="937"/>
      <c r="Z876" s="937"/>
    </row>
    <row r="877" spans="1:26" ht="15.75" customHeight="1">
      <c r="A877" s="937"/>
      <c r="B877" s="937"/>
      <c r="C877" s="937"/>
      <c r="D877" s="937"/>
      <c r="E877" s="937"/>
      <c r="F877" s="937"/>
      <c r="G877" s="937"/>
      <c r="H877" s="937"/>
      <c r="I877" s="937"/>
      <c r="J877" s="937"/>
      <c r="K877" s="937"/>
      <c r="L877" s="937"/>
      <c r="M877" s="937"/>
      <c r="N877" s="937"/>
      <c r="O877" s="937"/>
      <c r="P877" s="937"/>
      <c r="Q877" s="937"/>
      <c r="R877" s="937"/>
      <c r="S877" s="937"/>
      <c r="T877" s="937"/>
      <c r="U877" s="937"/>
      <c r="V877" s="937"/>
      <c r="W877" s="937"/>
      <c r="X877" s="937"/>
      <c r="Y877" s="937"/>
      <c r="Z877" s="937"/>
    </row>
    <row r="878" spans="1:26" ht="15.75" customHeight="1">
      <c r="A878" s="937"/>
      <c r="B878" s="937"/>
      <c r="C878" s="937"/>
      <c r="D878" s="937"/>
      <c r="E878" s="937"/>
      <c r="F878" s="937"/>
      <c r="G878" s="937"/>
      <c r="H878" s="937"/>
      <c r="I878" s="937"/>
      <c r="J878" s="937"/>
      <c r="K878" s="937"/>
      <c r="L878" s="937"/>
      <c r="M878" s="937"/>
      <c r="N878" s="937"/>
      <c r="O878" s="937"/>
      <c r="P878" s="937"/>
      <c r="Q878" s="937"/>
      <c r="R878" s="937"/>
      <c r="S878" s="937"/>
      <c r="T878" s="937"/>
      <c r="U878" s="937"/>
      <c r="V878" s="937"/>
      <c r="W878" s="937"/>
      <c r="X878" s="937"/>
      <c r="Y878" s="937"/>
      <c r="Z878" s="937"/>
    </row>
    <row r="879" spans="1:26" ht="15.75" customHeight="1">
      <c r="A879" s="937"/>
      <c r="B879" s="937"/>
      <c r="C879" s="937"/>
      <c r="D879" s="937"/>
      <c r="E879" s="937"/>
      <c r="F879" s="937"/>
      <c r="G879" s="937"/>
      <c r="H879" s="937"/>
      <c r="I879" s="937"/>
      <c r="J879" s="937"/>
      <c r="K879" s="937"/>
      <c r="L879" s="937"/>
      <c r="M879" s="937"/>
      <c r="N879" s="937"/>
      <c r="O879" s="937"/>
      <c r="P879" s="937"/>
      <c r="Q879" s="937"/>
      <c r="R879" s="937"/>
      <c r="S879" s="937"/>
      <c r="T879" s="937"/>
      <c r="U879" s="937"/>
      <c r="V879" s="937"/>
      <c r="W879" s="937"/>
      <c r="X879" s="937"/>
      <c r="Y879" s="937"/>
      <c r="Z879" s="937"/>
    </row>
    <row r="880" spans="1:26" ht="15.75" customHeight="1">
      <c r="A880" s="937"/>
      <c r="B880" s="937"/>
      <c r="C880" s="937"/>
      <c r="D880" s="937"/>
      <c r="E880" s="937"/>
      <c r="F880" s="937"/>
      <c r="G880" s="937"/>
      <c r="H880" s="937"/>
      <c r="I880" s="937"/>
      <c r="J880" s="937"/>
      <c r="K880" s="937"/>
      <c r="L880" s="937"/>
      <c r="M880" s="937"/>
      <c r="N880" s="937"/>
      <c r="O880" s="937"/>
      <c r="P880" s="937"/>
      <c r="Q880" s="937"/>
      <c r="R880" s="937"/>
      <c r="S880" s="937"/>
      <c r="T880" s="937"/>
      <c r="U880" s="937"/>
      <c r="V880" s="937"/>
      <c r="W880" s="937"/>
      <c r="X880" s="937"/>
      <c r="Y880" s="937"/>
      <c r="Z880" s="937"/>
    </row>
    <row r="881" spans="1:26" ht="15.75" customHeight="1">
      <c r="A881" s="937"/>
      <c r="B881" s="937"/>
      <c r="C881" s="937"/>
      <c r="D881" s="937"/>
      <c r="E881" s="937"/>
      <c r="F881" s="937"/>
      <c r="G881" s="937"/>
      <c r="H881" s="937"/>
      <c r="I881" s="937"/>
      <c r="J881" s="937"/>
      <c r="K881" s="937"/>
      <c r="L881" s="937"/>
      <c r="M881" s="937"/>
      <c r="N881" s="937"/>
      <c r="O881" s="937"/>
      <c r="P881" s="937"/>
      <c r="Q881" s="937"/>
      <c r="R881" s="937"/>
      <c r="S881" s="937"/>
      <c r="T881" s="937"/>
      <c r="U881" s="937"/>
      <c r="V881" s="937"/>
      <c r="W881" s="937"/>
      <c r="X881" s="937"/>
      <c r="Y881" s="937"/>
      <c r="Z881" s="937"/>
    </row>
    <row r="882" spans="1:26" ht="15.75" customHeight="1">
      <c r="A882" s="937"/>
      <c r="B882" s="937"/>
      <c r="C882" s="937"/>
      <c r="D882" s="937"/>
      <c r="E882" s="937"/>
      <c r="F882" s="937"/>
      <c r="G882" s="937"/>
      <c r="H882" s="937"/>
      <c r="I882" s="937"/>
      <c r="J882" s="937"/>
      <c r="K882" s="937"/>
      <c r="L882" s="937"/>
      <c r="M882" s="937"/>
      <c r="N882" s="937"/>
      <c r="O882" s="937"/>
      <c r="P882" s="937"/>
      <c r="Q882" s="937"/>
      <c r="R882" s="937"/>
      <c r="S882" s="937"/>
      <c r="T882" s="937"/>
      <c r="U882" s="937"/>
      <c r="V882" s="937"/>
      <c r="W882" s="937"/>
      <c r="X882" s="937"/>
      <c r="Y882" s="937"/>
      <c r="Z882" s="937"/>
    </row>
    <row r="883" spans="1:26" ht="15.75" customHeight="1">
      <c r="A883" s="937"/>
      <c r="B883" s="937"/>
      <c r="C883" s="937"/>
      <c r="D883" s="937"/>
      <c r="E883" s="937"/>
      <c r="F883" s="937"/>
      <c r="G883" s="937"/>
      <c r="H883" s="937"/>
      <c r="I883" s="937"/>
      <c r="J883" s="937"/>
      <c r="K883" s="937"/>
      <c r="L883" s="937"/>
      <c r="M883" s="937"/>
      <c r="N883" s="937"/>
      <c r="O883" s="937"/>
      <c r="P883" s="937"/>
      <c r="Q883" s="937"/>
      <c r="R883" s="937"/>
      <c r="S883" s="937"/>
      <c r="T883" s="937"/>
      <c r="U883" s="937"/>
      <c r="V883" s="937"/>
      <c r="W883" s="937"/>
      <c r="X883" s="937"/>
      <c r="Y883" s="937"/>
      <c r="Z883" s="937"/>
    </row>
    <row r="884" spans="1:26" ht="15.75" customHeight="1">
      <c r="A884" s="937"/>
      <c r="B884" s="937"/>
      <c r="C884" s="937"/>
      <c r="D884" s="937"/>
      <c r="E884" s="937"/>
      <c r="F884" s="937"/>
      <c r="G884" s="937"/>
      <c r="H884" s="937"/>
      <c r="I884" s="937"/>
      <c r="J884" s="937"/>
      <c r="K884" s="937"/>
      <c r="L884" s="937"/>
      <c r="M884" s="937"/>
      <c r="N884" s="937"/>
      <c r="O884" s="937"/>
      <c r="P884" s="937"/>
      <c r="Q884" s="937"/>
      <c r="R884" s="937"/>
      <c r="S884" s="937"/>
      <c r="T884" s="937"/>
      <c r="U884" s="937"/>
      <c r="V884" s="937"/>
      <c r="W884" s="937"/>
      <c r="X884" s="937"/>
      <c r="Y884" s="937"/>
      <c r="Z884" s="937"/>
    </row>
    <row r="885" spans="1:26" ht="15.75" customHeight="1">
      <c r="A885" s="937"/>
      <c r="B885" s="937"/>
      <c r="C885" s="937"/>
      <c r="D885" s="937"/>
      <c r="E885" s="937"/>
      <c r="F885" s="937"/>
      <c r="G885" s="937"/>
      <c r="H885" s="937"/>
      <c r="I885" s="937"/>
      <c r="J885" s="937"/>
      <c r="K885" s="937"/>
      <c r="L885" s="937"/>
      <c r="M885" s="937"/>
      <c r="N885" s="937"/>
      <c r="O885" s="937"/>
      <c r="P885" s="937"/>
      <c r="Q885" s="937"/>
      <c r="R885" s="937"/>
      <c r="S885" s="937"/>
      <c r="T885" s="937"/>
      <c r="U885" s="937"/>
      <c r="V885" s="937"/>
      <c r="W885" s="937"/>
      <c r="X885" s="937"/>
      <c r="Y885" s="937"/>
      <c r="Z885" s="937"/>
    </row>
    <row r="886" spans="1:26" ht="15.75" customHeight="1">
      <c r="A886" s="937"/>
      <c r="B886" s="937"/>
      <c r="C886" s="937"/>
      <c r="D886" s="937"/>
      <c r="E886" s="937"/>
      <c r="F886" s="937"/>
      <c r="G886" s="937"/>
      <c r="H886" s="937"/>
      <c r="I886" s="937"/>
      <c r="J886" s="937"/>
      <c r="K886" s="937"/>
      <c r="L886" s="937"/>
      <c r="M886" s="937"/>
      <c r="N886" s="937"/>
      <c r="O886" s="937"/>
      <c r="P886" s="937"/>
      <c r="Q886" s="937"/>
      <c r="R886" s="937"/>
      <c r="S886" s="937"/>
      <c r="T886" s="937"/>
      <c r="U886" s="937"/>
      <c r="V886" s="937"/>
      <c r="W886" s="937"/>
      <c r="X886" s="937"/>
      <c r="Y886" s="937"/>
      <c r="Z886" s="937"/>
    </row>
    <row r="887" spans="1:26" ht="15.75" customHeight="1">
      <c r="A887" s="937"/>
      <c r="B887" s="937"/>
      <c r="C887" s="937"/>
      <c r="D887" s="937"/>
      <c r="E887" s="937"/>
      <c r="F887" s="937"/>
      <c r="G887" s="937"/>
      <c r="H887" s="937"/>
      <c r="I887" s="937"/>
      <c r="J887" s="937"/>
      <c r="K887" s="937"/>
      <c r="L887" s="937"/>
      <c r="M887" s="937"/>
      <c r="N887" s="937"/>
      <c r="O887" s="937"/>
      <c r="P887" s="937"/>
      <c r="Q887" s="937"/>
      <c r="R887" s="937"/>
      <c r="S887" s="937"/>
      <c r="T887" s="937"/>
      <c r="U887" s="937"/>
      <c r="V887" s="937"/>
      <c r="W887" s="937"/>
      <c r="X887" s="937"/>
      <c r="Y887" s="937"/>
      <c r="Z887" s="937"/>
    </row>
    <row r="888" spans="1:26" ht="15.75" customHeight="1">
      <c r="A888" s="937"/>
      <c r="B888" s="937"/>
      <c r="C888" s="937"/>
      <c r="D888" s="937"/>
      <c r="E888" s="937"/>
      <c r="F888" s="937"/>
      <c r="G888" s="937"/>
      <c r="H888" s="937"/>
      <c r="I888" s="937"/>
      <c r="J888" s="937"/>
      <c r="K888" s="937"/>
      <c r="L888" s="937"/>
      <c r="M888" s="937"/>
      <c r="N888" s="937"/>
      <c r="O888" s="937"/>
      <c r="P888" s="937"/>
      <c r="Q888" s="937"/>
      <c r="R888" s="937"/>
      <c r="S888" s="937"/>
      <c r="T888" s="937"/>
      <c r="U888" s="937"/>
      <c r="V888" s="937"/>
      <c r="W888" s="937"/>
      <c r="X888" s="937"/>
      <c r="Y888" s="937"/>
      <c r="Z888" s="937"/>
    </row>
    <row r="889" spans="1:26" ht="15.75" customHeight="1">
      <c r="A889" s="937"/>
      <c r="B889" s="937"/>
      <c r="C889" s="937"/>
      <c r="D889" s="937"/>
      <c r="E889" s="937"/>
      <c r="F889" s="937"/>
      <c r="G889" s="937"/>
      <c r="H889" s="937"/>
      <c r="I889" s="937"/>
      <c r="J889" s="937"/>
      <c r="K889" s="937"/>
      <c r="L889" s="937"/>
      <c r="M889" s="937"/>
      <c r="N889" s="937"/>
      <c r="O889" s="937"/>
      <c r="P889" s="937"/>
      <c r="Q889" s="937"/>
      <c r="R889" s="937"/>
      <c r="S889" s="937"/>
      <c r="T889" s="937"/>
      <c r="U889" s="937"/>
      <c r="V889" s="937"/>
      <c r="W889" s="937"/>
      <c r="X889" s="937"/>
      <c r="Y889" s="937"/>
      <c r="Z889" s="937"/>
    </row>
    <row r="890" spans="1:26" ht="15.75" customHeight="1">
      <c r="A890" s="937"/>
      <c r="B890" s="937"/>
      <c r="C890" s="937"/>
      <c r="D890" s="937"/>
      <c r="E890" s="937"/>
      <c r="F890" s="937"/>
      <c r="G890" s="937"/>
      <c r="H890" s="937"/>
      <c r="I890" s="937"/>
      <c r="J890" s="937"/>
      <c r="K890" s="937"/>
      <c r="L890" s="937"/>
      <c r="M890" s="937"/>
      <c r="N890" s="937"/>
      <c r="O890" s="937"/>
      <c r="P890" s="937"/>
      <c r="Q890" s="937"/>
      <c r="R890" s="937"/>
      <c r="S890" s="937"/>
      <c r="T890" s="937"/>
      <c r="U890" s="937"/>
      <c r="V890" s="937"/>
      <c r="W890" s="937"/>
      <c r="X890" s="937"/>
      <c r="Y890" s="937"/>
      <c r="Z890" s="937"/>
    </row>
    <row r="891" spans="1:26" ht="15.75" customHeight="1">
      <c r="A891" s="937"/>
      <c r="B891" s="937"/>
      <c r="C891" s="937"/>
      <c r="D891" s="937"/>
      <c r="E891" s="937"/>
      <c r="F891" s="937"/>
      <c r="G891" s="937"/>
      <c r="H891" s="937"/>
      <c r="I891" s="937"/>
      <c r="J891" s="937"/>
      <c r="K891" s="937"/>
      <c r="L891" s="937"/>
      <c r="M891" s="937"/>
      <c r="N891" s="937"/>
      <c r="O891" s="937"/>
      <c r="P891" s="937"/>
      <c r="Q891" s="937"/>
      <c r="R891" s="937"/>
      <c r="S891" s="937"/>
      <c r="T891" s="937"/>
      <c r="U891" s="937"/>
      <c r="V891" s="937"/>
      <c r="W891" s="937"/>
      <c r="X891" s="937"/>
      <c r="Y891" s="937"/>
      <c r="Z891" s="937"/>
    </row>
    <row r="892" spans="1:26" ht="15.75" customHeight="1">
      <c r="A892" s="937"/>
      <c r="B892" s="937"/>
      <c r="C892" s="937"/>
      <c r="D892" s="937"/>
      <c r="E892" s="937"/>
      <c r="F892" s="937"/>
      <c r="G892" s="937"/>
      <c r="H892" s="937"/>
      <c r="I892" s="937"/>
      <c r="J892" s="937"/>
      <c r="K892" s="937"/>
      <c r="L892" s="937"/>
      <c r="M892" s="937"/>
      <c r="N892" s="937"/>
      <c r="O892" s="937"/>
      <c r="P892" s="937"/>
      <c r="Q892" s="937"/>
      <c r="R892" s="937"/>
      <c r="S892" s="937"/>
      <c r="T892" s="937"/>
      <c r="U892" s="937"/>
      <c r="V892" s="937"/>
      <c r="W892" s="937"/>
      <c r="X892" s="937"/>
      <c r="Y892" s="937"/>
      <c r="Z892" s="937"/>
    </row>
    <row r="893" spans="1:26" ht="15.75" customHeight="1">
      <c r="A893" s="937"/>
      <c r="B893" s="937"/>
      <c r="C893" s="937"/>
      <c r="D893" s="937"/>
      <c r="E893" s="937"/>
      <c r="F893" s="937"/>
      <c r="G893" s="937"/>
      <c r="H893" s="937"/>
      <c r="I893" s="937"/>
      <c r="J893" s="937"/>
      <c r="K893" s="937"/>
      <c r="L893" s="937"/>
      <c r="M893" s="937"/>
      <c r="N893" s="937"/>
      <c r="O893" s="937"/>
      <c r="P893" s="937"/>
      <c r="Q893" s="937"/>
      <c r="R893" s="937"/>
      <c r="S893" s="937"/>
      <c r="T893" s="937"/>
      <c r="U893" s="937"/>
      <c r="V893" s="937"/>
      <c r="W893" s="937"/>
      <c r="X893" s="937"/>
      <c r="Y893" s="937"/>
      <c r="Z893" s="937"/>
    </row>
    <row r="894" spans="1:26" ht="15.75" customHeight="1">
      <c r="A894" s="937"/>
      <c r="B894" s="937"/>
      <c r="C894" s="937"/>
      <c r="D894" s="937"/>
      <c r="E894" s="937"/>
      <c r="F894" s="937"/>
      <c r="G894" s="937"/>
      <c r="H894" s="937"/>
      <c r="I894" s="937"/>
      <c r="J894" s="937"/>
      <c r="K894" s="937"/>
      <c r="L894" s="937"/>
      <c r="M894" s="937"/>
      <c r="N894" s="937"/>
      <c r="O894" s="937"/>
      <c r="P894" s="937"/>
      <c r="Q894" s="937"/>
      <c r="R894" s="937"/>
      <c r="S894" s="937"/>
      <c r="T894" s="937"/>
      <c r="U894" s="937"/>
      <c r="V894" s="937"/>
      <c r="W894" s="937"/>
      <c r="X894" s="937"/>
      <c r="Y894" s="937"/>
      <c r="Z894" s="937"/>
    </row>
    <row r="895" spans="1:26" ht="15.75" customHeight="1">
      <c r="A895" s="937"/>
      <c r="B895" s="937"/>
      <c r="C895" s="937"/>
      <c r="D895" s="937"/>
      <c r="E895" s="937"/>
      <c r="F895" s="937"/>
      <c r="G895" s="937"/>
      <c r="H895" s="937"/>
      <c r="I895" s="937"/>
      <c r="J895" s="937"/>
      <c r="K895" s="937"/>
      <c r="L895" s="937"/>
      <c r="M895" s="937"/>
      <c r="N895" s="937"/>
      <c r="O895" s="937"/>
      <c r="P895" s="937"/>
      <c r="Q895" s="937"/>
      <c r="R895" s="937"/>
      <c r="S895" s="937"/>
      <c r="T895" s="937"/>
      <c r="U895" s="937"/>
      <c r="V895" s="937"/>
      <c r="W895" s="937"/>
      <c r="X895" s="937"/>
      <c r="Y895" s="937"/>
      <c r="Z895" s="937"/>
    </row>
    <row r="896" spans="1:26" ht="15.75" customHeight="1">
      <c r="A896" s="937"/>
      <c r="B896" s="937"/>
      <c r="C896" s="937"/>
      <c r="D896" s="937"/>
      <c r="E896" s="937"/>
      <c r="F896" s="937"/>
      <c r="G896" s="937"/>
      <c r="H896" s="937"/>
      <c r="I896" s="937"/>
      <c r="J896" s="937"/>
      <c r="K896" s="937"/>
      <c r="L896" s="937"/>
      <c r="M896" s="937"/>
      <c r="N896" s="937"/>
      <c r="O896" s="937"/>
      <c r="P896" s="937"/>
      <c r="Q896" s="937"/>
      <c r="R896" s="937"/>
      <c r="S896" s="937"/>
      <c r="T896" s="937"/>
      <c r="U896" s="937"/>
      <c r="V896" s="937"/>
      <c r="W896" s="937"/>
      <c r="X896" s="937"/>
      <c r="Y896" s="937"/>
      <c r="Z896" s="937"/>
    </row>
    <row r="897" spans="1:26" ht="15.75" customHeight="1">
      <c r="A897" s="937"/>
      <c r="B897" s="937"/>
      <c r="C897" s="937"/>
      <c r="D897" s="937"/>
      <c r="E897" s="937"/>
      <c r="F897" s="937"/>
      <c r="G897" s="937"/>
      <c r="H897" s="937"/>
      <c r="I897" s="937"/>
      <c r="J897" s="937"/>
      <c r="K897" s="937"/>
      <c r="L897" s="937"/>
      <c r="M897" s="937"/>
      <c r="N897" s="937"/>
      <c r="O897" s="937"/>
      <c r="P897" s="937"/>
      <c r="Q897" s="937"/>
      <c r="R897" s="937"/>
      <c r="S897" s="937"/>
      <c r="T897" s="937"/>
      <c r="U897" s="937"/>
      <c r="V897" s="937"/>
      <c r="W897" s="937"/>
      <c r="X897" s="937"/>
      <c r="Y897" s="937"/>
      <c r="Z897" s="937"/>
    </row>
    <row r="898" spans="1:26" ht="15.75" customHeight="1">
      <c r="A898" s="937"/>
      <c r="B898" s="937"/>
      <c r="C898" s="937"/>
      <c r="D898" s="937"/>
      <c r="E898" s="937"/>
      <c r="F898" s="937"/>
      <c r="G898" s="937"/>
      <c r="H898" s="937"/>
      <c r="I898" s="937"/>
      <c r="J898" s="937"/>
      <c r="K898" s="937"/>
      <c r="L898" s="937"/>
      <c r="M898" s="937"/>
      <c r="N898" s="937"/>
      <c r="O898" s="937"/>
      <c r="P898" s="937"/>
      <c r="Q898" s="937"/>
      <c r="R898" s="937"/>
      <c r="S898" s="937"/>
      <c r="T898" s="937"/>
      <c r="U898" s="937"/>
      <c r="V898" s="937"/>
      <c r="W898" s="937"/>
      <c r="X898" s="937"/>
      <c r="Y898" s="937"/>
      <c r="Z898" s="937"/>
    </row>
    <row r="899" spans="1:26" ht="15.75" customHeight="1">
      <c r="A899" s="937"/>
      <c r="B899" s="937"/>
      <c r="C899" s="937"/>
      <c r="D899" s="937"/>
      <c r="E899" s="937"/>
      <c r="F899" s="937"/>
      <c r="G899" s="937"/>
      <c r="H899" s="937"/>
      <c r="I899" s="937"/>
      <c r="J899" s="937"/>
      <c r="K899" s="937"/>
      <c r="L899" s="937"/>
      <c r="M899" s="937"/>
      <c r="N899" s="937"/>
      <c r="O899" s="937"/>
      <c r="P899" s="937"/>
      <c r="Q899" s="937"/>
      <c r="R899" s="937"/>
      <c r="S899" s="937"/>
      <c r="T899" s="937"/>
      <c r="U899" s="937"/>
      <c r="V899" s="937"/>
      <c r="W899" s="937"/>
      <c r="X899" s="937"/>
      <c r="Y899" s="937"/>
      <c r="Z899" s="937"/>
    </row>
    <row r="900" spans="1:26" ht="15.75" customHeight="1">
      <c r="A900" s="937"/>
      <c r="B900" s="937"/>
      <c r="C900" s="937"/>
      <c r="D900" s="937"/>
      <c r="E900" s="937"/>
      <c r="F900" s="937"/>
      <c r="G900" s="937"/>
      <c r="H900" s="937"/>
      <c r="I900" s="937"/>
      <c r="J900" s="937"/>
      <c r="K900" s="937"/>
      <c r="L900" s="937"/>
      <c r="M900" s="937"/>
      <c r="N900" s="937"/>
      <c r="O900" s="937"/>
      <c r="P900" s="937"/>
      <c r="Q900" s="937"/>
      <c r="R900" s="937"/>
      <c r="S900" s="937"/>
      <c r="T900" s="937"/>
      <c r="U900" s="937"/>
      <c r="V900" s="937"/>
      <c r="W900" s="937"/>
      <c r="X900" s="937"/>
      <c r="Y900" s="937"/>
      <c r="Z900" s="937"/>
    </row>
    <row r="901" spans="1:26" ht="15.75" customHeight="1">
      <c r="A901" s="937"/>
      <c r="B901" s="937"/>
      <c r="C901" s="937"/>
      <c r="D901" s="937"/>
      <c r="E901" s="937"/>
      <c r="F901" s="937"/>
      <c r="G901" s="937"/>
      <c r="H901" s="937"/>
      <c r="I901" s="937"/>
      <c r="J901" s="937"/>
      <c r="K901" s="937"/>
      <c r="L901" s="937"/>
      <c r="M901" s="937"/>
      <c r="N901" s="937"/>
      <c r="O901" s="937"/>
      <c r="P901" s="937"/>
      <c r="Q901" s="937"/>
      <c r="R901" s="937"/>
      <c r="S901" s="937"/>
      <c r="T901" s="937"/>
      <c r="U901" s="937"/>
      <c r="V901" s="937"/>
      <c r="W901" s="937"/>
      <c r="X901" s="937"/>
      <c r="Y901" s="937"/>
      <c r="Z901" s="937"/>
    </row>
    <row r="902" spans="1:26" ht="15.75" customHeight="1">
      <c r="A902" s="937"/>
      <c r="B902" s="937"/>
      <c r="C902" s="937"/>
      <c r="D902" s="937"/>
      <c r="E902" s="937"/>
      <c r="F902" s="937"/>
      <c r="G902" s="937"/>
      <c r="H902" s="937"/>
      <c r="I902" s="937"/>
      <c r="J902" s="937"/>
      <c r="K902" s="937"/>
      <c r="L902" s="937"/>
      <c r="M902" s="937"/>
      <c r="N902" s="937"/>
      <c r="O902" s="937"/>
      <c r="P902" s="937"/>
      <c r="Q902" s="937"/>
      <c r="R902" s="937"/>
      <c r="S902" s="937"/>
      <c r="T902" s="937"/>
      <c r="U902" s="937"/>
      <c r="V902" s="937"/>
      <c r="W902" s="937"/>
      <c r="X902" s="937"/>
      <c r="Y902" s="937"/>
      <c r="Z902" s="937"/>
    </row>
    <row r="903" spans="1:26" ht="15.75" customHeight="1">
      <c r="A903" s="937"/>
      <c r="B903" s="937"/>
      <c r="C903" s="937"/>
      <c r="D903" s="937"/>
      <c r="E903" s="937"/>
      <c r="F903" s="937"/>
      <c r="G903" s="937"/>
      <c r="H903" s="937"/>
      <c r="I903" s="937"/>
      <c r="J903" s="937"/>
      <c r="K903" s="937"/>
      <c r="L903" s="937"/>
      <c r="M903" s="937"/>
      <c r="N903" s="937"/>
      <c r="O903" s="937"/>
      <c r="P903" s="937"/>
      <c r="Q903" s="937"/>
      <c r="R903" s="937"/>
      <c r="S903" s="937"/>
      <c r="T903" s="937"/>
      <c r="U903" s="937"/>
      <c r="V903" s="937"/>
      <c r="W903" s="937"/>
      <c r="X903" s="937"/>
      <c r="Y903" s="937"/>
      <c r="Z903" s="937"/>
    </row>
    <row r="904" spans="1:26" ht="15.75" customHeight="1">
      <c r="A904" s="937"/>
      <c r="B904" s="937"/>
      <c r="C904" s="937"/>
      <c r="D904" s="937"/>
      <c r="E904" s="937"/>
      <c r="F904" s="937"/>
      <c r="G904" s="937"/>
      <c r="H904" s="937"/>
      <c r="I904" s="937"/>
      <c r="J904" s="937"/>
      <c r="K904" s="937"/>
      <c r="L904" s="937"/>
      <c r="M904" s="937"/>
      <c r="N904" s="937"/>
      <c r="O904" s="937"/>
      <c r="P904" s="937"/>
      <c r="Q904" s="937"/>
      <c r="R904" s="937"/>
      <c r="S904" s="937"/>
      <c r="T904" s="937"/>
      <c r="U904" s="937"/>
      <c r="V904" s="937"/>
      <c r="W904" s="937"/>
      <c r="X904" s="937"/>
      <c r="Y904" s="937"/>
      <c r="Z904" s="937"/>
    </row>
    <row r="905" spans="1:26" ht="15.75" customHeight="1">
      <c r="A905" s="937"/>
      <c r="B905" s="937"/>
      <c r="C905" s="937"/>
      <c r="D905" s="937"/>
      <c r="E905" s="937"/>
      <c r="F905" s="937"/>
      <c r="G905" s="937"/>
      <c r="H905" s="937"/>
      <c r="I905" s="937"/>
      <c r="J905" s="937"/>
      <c r="K905" s="937"/>
      <c r="L905" s="937"/>
      <c r="M905" s="937"/>
      <c r="N905" s="937"/>
      <c r="O905" s="937"/>
      <c r="P905" s="937"/>
      <c r="Q905" s="937"/>
      <c r="R905" s="937"/>
      <c r="S905" s="937"/>
      <c r="T905" s="937"/>
      <c r="U905" s="937"/>
      <c r="V905" s="937"/>
      <c r="W905" s="937"/>
      <c r="X905" s="937"/>
      <c r="Y905" s="937"/>
      <c r="Z905" s="937"/>
    </row>
    <row r="906" spans="1:26" ht="15.75" customHeight="1">
      <c r="A906" s="937"/>
      <c r="B906" s="937"/>
      <c r="C906" s="937"/>
      <c r="D906" s="937"/>
      <c r="E906" s="937"/>
      <c r="F906" s="937"/>
      <c r="G906" s="937"/>
      <c r="H906" s="937"/>
      <c r="I906" s="937"/>
      <c r="J906" s="937"/>
      <c r="K906" s="937"/>
      <c r="L906" s="937"/>
      <c r="M906" s="937"/>
      <c r="N906" s="937"/>
      <c r="O906" s="937"/>
      <c r="P906" s="937"/>
      <c r="Q906" s="937"/>
      <c r="R906" s="937"/>
      <c r="S906" s="937"/>
      <c r="T906" s="937"/>
      <c r="U906" s="937"/>
      <c r="V906" s="937"/>
      <c r="W906" s="937"/>
      <c r="X906" s="937"/>
      <c r="Y906" s="937"/>
      <c r="Z906" s="937"/>
    </row>
    <row r="907" spans="1:26" ht="15.75" customHeight="1">
      <c r="A907" s="937"/>
      <c r="B907" s="937"/>
      <c r="C907" s="937"/>
      <c r="D907" s="937"/>
      <c r="E907" s="937"/>
      <c r="F907" s="937"/>
      <c r="G907" s="937"/>
      <c r="H907" s="937"/>
      <c r="I907" s="937"/>
      <c r="J907" s="937"/>
      <c r="K907" s="937"/>
      <c r="L907" s="937"/>
      <c r="M907" s="937"/>
      <c r="N907" s="937"/>
      <c r="O907" s="937"/>
      <c r="P907" s="937"/>
      <c r="Q907" s="937"/>
      <c r="R907" s="937"/>
      <c r="S907" s="937"/>
      <c r="T907" s="937"/>
      <c r="U907" s="937"/>
      <c r="V907" s="937"/>
      <c r="W907" s="937"/>
      <c r="X907" s="937"/>
      <c r="Y907" s="937"/>
      <c r="Z907" s="937"/>
    </row>
    <row r="908" spans="1:26" ht="15.75" customHeight="1">
      <c r="A908" s="937"/>
      <c r="B908" s="937"/>
      <c r="C908" s="937"/>
      <c r="D908" s="937"/>
      <c r="E908" s="937"/>
      <c r="F908" s="937"/>
      <c r="G908" s="937"/>
      <c r="H908" s="937"/>
      <c r="I908" s="937"/>
      <c r="J908" s="937"/>
      <c r="K908" s="937"/>
      <c r="L908" s="937"/>
      <c r="M908" s="937"/>
      <c r="N908" s="937"/>
      <c r="O908" s="937"/>
      <c r="P908" s="937"/>
      <c r="Q908" s="937"/>
      <c r="R908" s="937"/>
      <c r="S908" s="937"/>
      <c r="T908" s="937"/>
      <c r="U908" s="937"/>
      <c r="V908" s="937"/>
      <c r="W908" s="937"/>
      <c r="X908" s="937"/>
      <c r="Y908" s="937"/>
      <c r="Z908" s="937"/>
    </row>
    <row r="909" spans="1:26" ht="15.75" customHeight="1">
      <c r="A909" s="937"/>
      <c r="B909" s="937"/>
      <c r="C909" s="937"/>
      <c r="D909" s="937"/>
      <c r="E909" s="937"/>
      <c r="F909" s="937"/>
      <c r="G909" s="937"/>
      <c r="H909" s="937"/>
      <c r="I909" s="937"/>
      <c r="J909" s="937"/>
      <c r="K909" s="937"/>
      <c r="L909" s="937"/>
      <c r="M909" s="937"/>
      <c r="N909" s="937"/>
      <c r="O909" s="937"/>
      <c r="P909" s="937"/>
      <c r="Q909" s="937"/>
      <c r="R909" s="937"/>
      <c r="S909" s="937"/>
      <c r="T909" s="937"/>
      <c r="U909" s="937"/>
      <c r="V909" s="937"/>
      <c r="W909" s="937"/>
      <c r="X909" s="937"/>
      <c r="Y909" s="937"/>
      <c r="Z909" s="937"/>
    </row>
    <row r="910" spans="1:26" ht="15.75" customHeight="1">
      <c r="A910" s="937"/>
      <c r="B910" s="937"/>
      <c r="C910" s="937"/>
      <c r="D910" s="937"/>
      <c r="E910" s="937"/>
      <c r="F910" s="937"/>
      <c r="G910" s="937"/>
      <c r="H910" s="937"/>
      <c r="I910" s="937"/>
      <c r="J910" s="937"/>
      <c r="K910" s="937"/>
      <c r="L910" s="937"/>
      <c r="M910" s="937"/>
      <c r="N910" s="937"/>
      <c r="O910" s="937"/>
      <c r="P910" s="937"/>
      <c r="Q910" s="937"/>
      <c r="R910" s="937"/>
      <c r="S910" s="937"/>
      <c r="T910" s="937"/>
      <c r="U910" s="937"/>
      <c r="V910" s="937"/>
      <c r="W910" s="937"/>
      <c r="X910" s="937"/>
      <c r="Y910" s="937"/>
      <c r="Z910" s="937"/>
    </row>
    <row r="911" spans="1:26" ht="15.75" customHeight="1">
      <c r="A911" s="937"/>
      <c r="B911" s="937"/>
      <c r="C911" s="937"/>
      <c r="D911" s="937"/>
      <c r="E911" s="937"/>
      <c r="F911" s="937"/>
      <c r="G911" s="937"/>
      <c r="H911" s="937"/>
      <c r="I911" s="937"/>
      <c r="J911" s="937"/>
      <c r="K911" s="937"/>
      <c r="L911" s="937"/>
      <c r="M911" s="937"/>
      <c r="N911" s="937"/>
      <c r="O911" s="937"/>
      <c r="P911" s="937"/>
      <c r="Q911" s="937"/>
      <c r="R911" s="937"/>
      <c r="S911" s="937"/>
      <c r="T911" s="937"/>
      <c r="U911" s="937"/>
      <c r="V911" s="937"/>
      <c r="W911" s="937"/>
      <c r="X911" s="937"/>
      <c r="Y911" s="937"/>
      <c r="Z911" s="937"/>
    </row>
    <row r="912" spans="1:26" ht="15.75" customHeight="1">
      <c r="A912" s="937"/>
      <c r="B912" s="937"/>
      <c r="C912" s="937"/>
      <c r="D912" s="937"/>
      <c r="E912" s="937"/>
      <c r="F912" s="937"/>
      <c r="G912" s="937"/>
      <c r="H912" s="937"/>
      <c r="I912" s="937"/>
      <c r="J912" s="937"/>
      <c r="K912" s="937"/>
      <c r="L912" s="937"/>
      <c r="M912" s="937"/>
      <c r="N912" s="937"/>
      <c r="O912" s="937"/>
      <c r="P912" s="937"/>
      <c r="Q912" s="937"/>
      <c r="R912" s="937"/>
      <c r="S912" s="937"/>
      <c r="T912" s="937"/>
      <c r="U912" s="937"/>
      <c r="V912" s="937"/>
      <c r="W912" s="937"/>
      <c r="X912" s="937"/>
      <c r="Y912" s="937"/>
      <c r="Z912" s="937"/>
    </row>
    <row r="913" spans="1:26" ht="15.75" customHeight="1">
      <c r="A913" s="937"/>
      <c r="B913" s="937"/>
      <c r="C913" s="937"/>
      <c r="D913" s="937"/>
      <c r="E913" s="937"/>
      <c r="F913" s="937"/>
      <c r="G913" s="937"/>
      <c r="H913" s="937"/>
      <c r="I913" s="937"/>
      <c r="J913" s="937"/>
      <c r="K913" s="937"/>
      <c r="L913" s="937"/>
      <c r="M913" s="937"/>
      <c r="N913" s="937"/>
      <c r="O913" s="937"/>
      <c r="P913" s="937"/>
      <c r="Q913" s="937"/>
      <c r="R913" s="937"/>
      <c r="S913" s="937"/>
      <c r="T913" s="937"/>
      <c r="U913" s="937"/>
      <c r="V913" s="937"/>
      <c r="W913" s="937"/>
      <c r="X913" s="937"/>
      <c r="Y913" s="937"/>
      <c r="Z913" s="937"/>
    </row>
    <row r="914" spans="1:26" ht="15.75" customHeight="1">
      <c r="A914" s="937"/>
      <c r="B914" s="937"/>
      <c r="C914" s="937"/>
      <c r="D914" s="937"/>
      <c r="E914" s="937"/>
      <c r="F914" s="937"/>
      <c r="G914" s="937"/>
      <c r="H914" s="937"/>
      <c r="I914" s="937"/>
      <c r="J914" s="937"/>
      <c r="K914" s="937"/>
      <c r="L914" s="937"/>
      <c r="M914" s="937"/>
      <c r="N914" s="937"/>
      <c r="O914" s="937"/>
      <c r="P914" s="937"/>
      <c r="Q914" s="937"/>
      <c r="R914" s="937"/>
      <c r="S914" s="937"/>
      <c r="T914" s="937"/>
      <c r="U914" s="937"/>
      <c r="V914" s="937"/>
      <c r="W914" s="937"/>
      <c r="X914" s="937"/>
      <c r="Y914" s="937"/>
      <c r="Z914" s="937"/>
    </row>
    <row r="915" spans="1:26" ht="15.75" customHeight="1">
      <c r="A915" s="937"/>
      <c r="B915" s="937"/>
      <c r="C915" s="937"/>
      <c r="D915" s="937"/>
      <c r="E915" s="937"/>
      <c r="F915" s="937"/>
      <c r="G915" s="937"/>
      <c r="H915" s="937"/>
      <c r="I915" s="937"/>
      <c r="J915" s="937"/>
      <c r="K915" s="937"/>
      <c r="L915" s="937"/>
      <c r="M915" s="937"/>
      <c r="N915" s="937"/>
      <c r="O915" s="937"/>
      <c r="P915" s="937"/>
      <c r="Q915" s="937"/>
      <c r="R915" s="937"/>
      <c r="S915" s="937"/>
      <c r="T915" s="937"/>
      <c r="U915" s="937"/>
      <c r="V915" s="937"/>
      <c r="W915" s="937"/>
      <c r="X915" s="937"/>
      <c r="Y915" s="937"/>
      <c r="Z915" s="937"/>
    </row>
    <row r="916" spans="1:26" ht="15.75" customHeight="1">
      <c r="A916" s="937"/>
      <c r="B916" s="937"/>
      <c r="C916" s="937"/>
      <c r="D916" s="937"/>
      <c r="E916" s="937"/>
      <c r="F916" s="937"/>
      <c r="G916" s="937"/>
      <c r="H916" s="937"/>
      <c r="I916" s="937"/>
      <c r="J916" s="937"/>
      <c r="K916" s="937"/>
      <c r="L916" s="937"/>
      <c r="M916" s="937"/>
      <c r="N916" s="937"/>
      <c r="O916" s="937"/>
      <c r="P916" s="937"/>
      <c r="Q916" s="937"/>
      <c r="R916" s="937"/>
      <c r="S916" s="937"/>
      <c r="T916" s="937"/>
      <c r="U916" s="937"/>
      <c r="V916" s="937"/>
      <c r="W916" s="937"/>
      <c r="X916" s="937"/>
      <c r="Y916" s="937"/>
      <c r="Z916" s="937"/>
    </row>
    <row r="917" spans="1:26" ht="15.75" customHeight="1">
      <c r="A917" s="937"/>
      <c r="B917" s="937"/>
      <c r="C917" s="937"/>
      <c r="D917" s="937"/>
      <c r="E917" s="937"/>
      <c r="F917" s="937"/>
      <c r="G917" s="937"/>
      <c r="H917" s="937"/>
      <c r="I917" s="937"/>
      <c r="J917" s="937"/>
      <c r="K917" s="937"/>
      <c r="L917" s="937"/>
      <c r="M917" s="937"/>
      <c r="N917" s="937"/>
      <c r="O917" s="937"/>
      <c r="P917" s="937"/>
      <c r="Q917" s="937"/>
      <c r="R917" s="937"/>
      <c r="S917" s="937"/>
      <c r="T917" s="937"/>
      <c r="U917" s="937"/>
      <c r="V917" s="937"/>
      <c r="W917" s="937"/>
      <c r="X917" s="937"/>
      <c r="Y917" s="937"/>
      <c r="Z917" s="937"/>
    </row>
    <row r="918" spans="1:26" ht="15.75" customHeight="1">
      <c r="A918" s="937"/>
      <c r="B918" s="937"/>
      <c r="C918" s="937"/>
      <c r="D918" s="937"/>
      <c r="E918" s="937"/>
      <c r="F918" s="937"/>
      <c r="G918" s="937"/>
      <c r="H918" s="937"/>
      <c r="I918" s="937"/>
      <c r="J918" s="937"/>
      <c r="K918" s="937"/>
      <c r="L918" s="937"/>
      <c r="M918" s="937"/>
      <c r="N918" s="937"/>
      <c r="O918" s="937"/>
      <c r="P918" s="937"/>
      <c r="Q918" s="937"/>
      <c r="R918" s="937"/>
      <c r="S918" s="937"/>
      <c r="T918" s="937"/>
      <c r="U918" s="937"/>
      <c r="V918" s="937"/>
      <c r="W918" s="937"/>
      <c r="X918" s="937"/>
      <c r="Y918" s="937"/>
      <c r="Z918" s="937"/>
    </row>
    <row r="919" spans="1:26" ht="15.75" customHeight="1">
      <c r="A919" s="937"/>
      <c r="B919" s="937"/>
      <c r="C919" s="937"/>
      <c r="D919" s="937"/>
      <c r="E919" s="937"/>
      <c r="F919" s="937"/>
      <c r="G919" s="937"/>
      <c r="H919" s="937"/>
      <c r="I919" s="937"/>
      <c r="J919" s="937"/>
      <c r="K919" s="937"/>
      <c r="L919" s="937"/>
      <c r="M919" s="937"/>
      <c r="N919" s="937"/>
      <c r="O919" s="937"/>
      <c r="P919" s="937"/>
      <c r="Q919" s="937"/>
      <c r="R919" s="937"/>
      <c r="S919" s="937"/>
      <c r="T919" s="937"/>
      <c r="U919" s="937"/>
      <c r="V919" s="937"/>
      <c r="W919" s="937"/>
      <c r="X919" s="937"/>
      <c r="Y919" s="937"/>
      <c r="Z919" s="937"/>
    </row>
    <row r="920" spans="1:26" ht="15.75" customHeight="1">
      <c r="A920" s="937"/>
      <c r="B920" s="937"/>
      <c r="C920" s="937"/>
      <c r="D920" s="937"/>
      <c r="E920" s="937"/>
      <c r="F920" s="937"/>
      <c r="G920" s="937"/>
      <c r="H920" s="937"/>
      <c r="I920" s="937"/>
      <c r="J920" s="937"/>
      <c r="K920" s="937"/>
      <c r="L920" s="937"/>
      <c r="M920" s="937"/>
      <c r="N920" s="937"/>
      <c r="O920" s="937"/>
      <c r="P920" s="937"/>
      <c r="Q920" s="937"/>
      <c r="R920" s="937"/>
      <c r="S920" s="937"/>
      <c r="T920" s="937"/>
      <c r="U920" s="937"/>
      <c r="V920" s="937"/>
      <c r="W920" s="937"/>
      <c r="X920" s="937"/>
      <c r="Y920" s="937"/>
      <c r="Z920" s="937"/>
    </row>
    <row r="921" spans="1:26" ht="15.75" customHeight="1">
      <c r="A921" s="937"/>
      <c r="B921" s="937"/>
      <c r="C921" s="937"/>
      <c r="D921" s="937"/>
      <c r="E921" s="937"/>
      <c r="F921" s="937"/>
      <c r="G921" s="937"/>
      <c r="H921" s="937"/>
      <c r="I921" s="937"/>
      <c r="J921" s="937"/>
      <c r="K921" s="937"/>
      <c r="L921" s="937"/>
      <c r="M921" s="937"/>
      <c r="N921" s="937"/>
      <c r="O921" s="937"/>
      <c r="P921" s="937"/>
      <c r="Q921" s="937"/>
      <c r="R921" s="937"/>
      <c r="S921" s="937"/>
      <c r="T921" s="937"/>
      <c r="U921" s="937"/>
      <c r="V921" s="937"/>
      <c r="W921" s="937"/>
      <c r="X921" s="937"/>
      <c r="Y921" s="937"/>
      <c r="Z921" s="937"/>
    </row>
    <row r="922" spans="1:26" ht="15.75" customHeight="1">
      <c r="A922" s="937"/>
      <c r="B922" s="937"/>
      <c r="C922" s="937"/>
      <c r="D922" s="937"/>
      <c r="E922" s="937"/>
      <c r="F922" s="937"/>
      <c r="G922" s="937"/>
      <c r="H922" s="937"/>
      <c r="I922" s="937"/>
      <c r="J922" s="937"/>
      <c r="K922" s="937"/>
      <c r="L922" s="937"/>
      <c r="M922" s="937"/>
      <c r="N922" s="937"/>
      <c r="O922" s="937"/>
      <c r="P922" s="937"/>
      <c r="Q922" s="937"/>
      <c r="R922" s="937"/>
      <c r="S922" s="937"/>
      <c r="T922" s="937"/>
      <c r="U922" s="937"/>
      <c r="V922" s="937"/>
      <c r="W922" s="937"/>
      <c r="X922" s="937"/>
      <c r="Y922" s="937"/>
      <c r="Z922" s="937"/>
    </row>
    <row r="923" spans="1:26" ht="15.75" customHeight="1">
      <c r="A923" s="937"/>
      <c r="B923" s="937"/>
      <c r="C923" s="937"/>
      <c r="D923" s="937"/>
      <c r="E923" s="937"/>
      <c r="F923" s="937"/>
      <c r="G923" s="937"/>
      <c r="H923" s="937"/>
      <c r="I923" s="937"/>
      <c r="J923" s="937"/>
      <c r="K923" s="937"/>
      <c r="L923" s="937"/>
      <c r="M923" s="937"/>
      <c r="N923" s="937"/>
      <c r="O923" s="937"/>
      <c r="P923" s="937"/>
      <c r="Q923" s="937"/>
      <c r="R923" s="937"/>
      <c r="S923" s="937"/>
      <c r="T923" s="937"/>
      <c r="U923" s="937"/>
      <c r="V923" s="937"/>
      <c r="W923" s="937"/>
      <c r="X923" s="937"/>
      <c r="Y923" s="937"/>
      <c r="Z923" s="937"/>
    </row>
    <row r="924" spans="1:26" ht="15.75" customHeight="1">
      <c r="A924" s="937"/>
      <c r="B924" s="937"/>
      <c r="C924" s="937"/>
      <c r="D924" s="937"/>
      <c r="E924" s="937"/>
      <c r="F924" s="937"/>
      <c r="G924" s="937"/>
      <c r="H924" s="937"/>
      <c r="I924" s="937"/>
      <c r="J924" s="937"/>
      <c r="K924" s="937"/>
      <c r="L924" s="937"/>
      <c r="M924" s="937"/>
      <c r="N924" s="937"/>
      <c r="O924" s="937"/>
      <c r="P924" s="937"/>
      <c r="Q924" s="937"/>
      <c r="R924" s="937"/>
      <c r="S924" s="937"/>
      <c r="T924" s="937"/>
      <c r="U924" s="937"/>
      <c r="V924" s="937"/>
      <c r="W924" s="937"/>
      <c r="X924" s="937"/>
      <c r="Y924" s="937"/>
      <c r="Z924" s="937"/>
    </row>
    <row r="925" spans="1:26" ht="15.75" customHeight="1">
      <c r="A925" s="937"/>
      <c r="B925" s="937"/>
      <c r="C925" s="937"/>
      <c r="D925" s="937"/>
      <c r="E925" s="937"/>
      <c r="F925" s="937"/>
      <c r="G925" s="937"/>
      <c r="H925" s="937"/>
      <c r="I925" s="937"/>
      <c r="J925" s="937"/>
      <c r="K925" s="937"/>
      <c r="L925" s="937"/>
      <c r="M925" s="937"/>
      <c r="N925" s="937"/>
      <c r="O925" s="937"/>
      <c r="P925" s="937"/>
      <c r="Q925" s="937"/>
      <c r="R925" s="937"/>
      <c r="S925" s="937"/>
      <c r="T925" s="937"/>
      <c r="U925" s="937"/>
      <c r="V925" s="937"/>
      <c r="W925" s="937"/>
      <c r="X925" s="937"/>
      <c r="Y925" s="937"/>
      <c r="Z925" s="937"/>
    </row>
    <row r="926" spans="1:26" ht="15.75" customHeight="1">
      <c r="A926" s="937"/>
      <c r="B926" s="937"/>
      <c r="C926" s="937"/>
      <c r="D926" s="937"/>
      <c r="E926" s="937"/>
      <c r="F926" s="937"/>
      <c r="G926" s="937"/>
      <c r="H926" s="937"/>
      <c r="I926" s="937"/>
      <c r="J926" s="937"/>
      <c r="K926" s="937"/>
      <c r="L926" s="937"/>
      <c r="M926" s="937"/>
      <c r="N926" s="937"/>
      <c r="O926" s="937"/>
      <c r="P926" s="937"/>
      <c r="Q926" s="937"/>
      <c r="R926" s="937"/>
      <c r="S926" s="937"/>
      <c r="T926" s="937"/>
      <c r="U926" s="937"/>
      <c r="V926" s="937"/>
      <c r="W926" s="937"/>
      <c r="X926" s="937"/>
      <c r="Y926" s="937"/>
      <c r="Z926" s="937"/>
    </row>
    <row r="927" spans="1:26" ht="15.75" customHeight="1">
      <c r="A927" s="937"/>
      <c r="B927" s="937"/>
      <c r="C927" s="937"/>
      <c r="D927" s="937"/>
      <c r="E927" s="937"/>
      <c r="F927" s="937"/>
      <c r="G927" s="937"/>
      <c r="H927" s="937"/>
      <c r="I927" s="937"/>
      <c r="J927" s="937"/>
      <c r="K927" s="937"/>
      <c r="L927" s="937"/>
      <c r="M927" s="937"/>
      <c r="N927" s="937"/>
      <c r="O927" s="937"/>
      <c r="P927" s="937"/>
      <c r="Q927" s="937"/>
      <c r="R927" s="937"/>
      <c r="S927" s="937"/>
      <c r="T927" s="937"/>
      <c r="U927" s="937"/>
      <c r="V927" s="937"/>
      <c r="W927" s="937"/>
      <c r="X927" s="937"/>
      <c r="Y927" s="937"/>
      <c r="Z927" s="937"/>
    </row>
    <row r="928" spans="1:26" ht="15.75" customHeight="1">
      <c r="A928" s="937"/>
      <c r="B928" s="937"/>
      <c r="C928" s="937"/>
      <c r="D928" s="937"/>
      <c r="E928" s="937"/>
      <c r="F928" s="937"/>
      <c r="G928" s="937"/>
      <c r="H928" s="937"/>
      <c r="I928" s="937"/>
      <c r="J928" s="937"/>
      <c r="K928" s="937"/>
      <c r="L928" s="937"/>
      <c r="M928" s="937"/>
      <c r="N928" s="937"/>
      <c r="O928" s="937"/>
      <c r="P928" s="937"/>
      <c r="Q928" s="937"/>
      <c r="R928" s="937"/>
      <c r="S928" s="937"/>
      <c r="T928" s="937"/>
      <c r="U928" s="937"/>
      <c r="V928" s="937"/>
      <c r="W928" s="937"/>
      <c r="X928" s="937"/>
      <c r="Y928" s="937"/>
      <c r="Z928" s="937"/>
    </row>
    <row r="929" spans="1:26" ht="15.75" customHeight="1">
      <c r="A929" s="937"/>
      <c r="B929" s="937"/>
      <c r="C929" s="937"/>
      <c r="D929" s="937"/>
      <c r="E929" s="937"/>
      <c r="F929" s="937"/>
      <c r="G929" s="937"/>
      <c r="H929" s="937"/>
      <c r="I929" s="937"/>
      <c r="J929" s="937"/>
      <c r="K929" s="937"/>
      <c r="L929" s="937"/>
      <c r="M929" s="937"/>
      <c r="N929" s="937"/>
      <c r="O929" s="937"/>
      <c r="P929" s="937"/>
      <c r="Q929" s="937"/>
      <c r="R929" s="937"/>
      <c r="S929" s="937"/>
      <c r="T929" s="937"/>
      <c r="U929" s="937"/>
      <c r="V929" s="937"/>
      <c r="W929" s="937"/>
      <c r="X929" s="937"/>
      <c r="Y929" s="937"/>
      <c r="Z929" s="937"/>
    </row>
    <row r="930" spans="1:26" ht="15.75" customHeight="1">
      <c r="A930" s="937"/>
      <c r="B930" s="937"/>
      <c r="C930" s="937"/>
      <c r="D930" s="937"/>
      <c r="E930" s="937"/>
      <c r="F930" s="937"/>
      <c r="G930" s="937"/>
      <c r="H930" s="937"/>
      <c r="I930" s="937"/>
      <c r="J930" s="937"/>
      <c r="K930" s="937"/>
      <c r="L930" s="937"/>
      <c r="M930" s="937"/>
      <c r="N930" s="937"/>
      <c r="O930" s="937"/>
      <c r="P930" s="937"/>
      <c r="Q930" s="937"/>
      <c r="R930" s="937"/>
      <c r="S930" s="937"/>
      <c r="T930" s="937"/>
      <c r="U930" s="937"/>
      <c r="V930" s="937"/>
      <c r="W930" s="937"/>
      <c r="X930" s="937"/>
      <c r="Y930" s="937"/>
      <c r="Z930" s="937"/>
    </row>
    <row r="931" spans="1:26" ht="15.75" customHeight="1">
      <c r="A931" s="937"/>
      <c r="B931" s="937"/>
      <c r="C931" s="937"/>
      <c r="D931" s="937"/>
      <c r="E931" s="937"/>
      <c r="F931" s="937"/>
      <c r="G931" s="937"/>
      <c r="H931" s="937"/>
      <c r="I931" s="937"/>
      <c r="J931" s="937"/>
      <c r="K931" s="937"/>
      <c r="L931" s="937"/>
      <c r="M931" s="937"/>
      <c r="N931" s="937"/>
      <c r="O931" s="937"/>
      <c r="P931" s="937"/>
      <c r="Q931" s="937"/>
      <c r="R931" s="937"/>
      <c r="S931" s="937"/>
      <c r="T931" s="937"/>
      <c r="U931" s="937"/>
      <c r="V931" s="937"/>
      <c r="W931" s="937"/>
      <c r="X931" s="937"/>
      <c r="Y931" s="937"/>
      <c r="Z931" s="937"/>
    </row>
    <row r="932" spans="1:26" ht="15.75" customHeight="1">
      <c r="A932" s="937"/>
      <c r="B932" s="937"/>
      <c r="C932" s="937"/>
      <c r="D932" s="937"/>
      <c r="E932" s="937"/>
      <c r="F932" s="937"/>
      <c r="G932" s="937"/>
      <c r="H932" s="937"/>
      <c r="I932" s="937"/>
      <c r="J932" s="937"/>
      <c r="K932" s="937"/>
      <c r="L932" s="937"/>
      <c r="M932" s="937"/>
      <c r="N932" s="937"/>
      <c r="O932" s="937"/>
      <c r="P932" s="937"/>
      <c r="Q932" s="937"/>
      <c r="R932" s="937"/>
      <c r="S932" s="937"/>
      <c r="T932" s="937"/>
      <c r="U932" s="937"/>
      <c r="V932" s="937"/>
      <c r="W932" s="937"/>
      <c r="X932" s="937"/>
      <c r="Y932" s="937"/>
      <c r="Z932" s="937"/>
    </row>
    <row r="933" spans="1:26" ht="15.75" customHeight="1">
      <c r="A933" s="937"/>
      <c r="B933" s="937"/>
      <c r="C933" s="937"/>
      <c r="D933" s="937"/>
      <c r="E933" s="937"/>
      <c r="F933" s="937"/>
      <c r="G933" s="937"/>
      <c r="H933" s="937"/>
      <c r="I933" s="937"/>
      <c r="J933" s="937"/>
      <c r="K933" s="937"/>
      <c r="L933" s="937"/>
      <c r="M933" s="937"/>
      <c r="N933" s="937"/>
      <c r="O933" s="937"/>
      <c r="P933" s="937"/>
      <c r="Q933" s="937"/>
      <c r="R933" s="937"/>
      <c r="S933" s="937"/>
      <c r="T933" s="937"/>
      <c r="U933" s="937"/>
      <c r="V933" s="937"/>
      <c r="W933" s="937"/>
      <c r="X933" s="937"/>
      <c r="Y933" s="937"/>
      <c r="Z933" s="937"/>
    </row>
    <row r="934" spans="1:26" ht="15.75" customHeight="1">
      <c r="A934" s="937"/>
      <c r="B934" s="937"/>
      <c r="C934" s="937"/>
      <c r="D934" s="937"/>
      <c r="E934" s="937"/>
      <c r="F934" s="937"/>
      <c r="G934" s="937"/>
      <c r="H934" s="937"/>
      <c r="I934" s="937"/>
      <c r="J934" s="937"/>
      <c r="K934" s="937"/>
      <c r="L934" s="937"/>
      <c r="M934" s="937"/>
      <c r="N934" s="937"/>
      <c r="O934" s="937"/>
      <c r="P934" s="937"/>
      <c r="Q934" s="937"/>
      <c r="R934" s="937"/>
      <c r="S934" s="937"/>
      <c r="T934" s="937"/>
      <c r="U934" s="937"/>
      <c r="V934" s="937"/>
      <c r="W934" s="937"/>
      <c r="X934" s="937"/>
      <c r="Y934" s="937"/>
      <c r="Z934" s="937"/>
    </row>
    <row r="935" spans="1:26" ht="15.75" customHeight="1">
      <c r="A935" s="937"/>
      <c r="B935" s="937"/>
      <c r="C935" s="937"/>
      <c r="D935" s="937"/>
      <c r="E935" s="937"/>
      <c r="F935" s="937"/>
      <c r="G935" s="937"/>
      <c r="H935" s="937"/>
      <c r="I935" s="937"/>
      <c r="J935" s="937"/>
      <c r="K935" s="937"/>
      <c r="L935" s="937"/>
      <c r="M935" s="937"/>
      <c r="N935" s="937"/>
      <c r="O935" s="937"/>
      <c r="P935" s="937"/>
      <c r="Q935" s="937"/>
      <c r="R935" s="937"/>
      <c r="S935" s="937"/>
      <c r="T935" s="937"/>
      <c r="U935" s="937"/>
      <c r="V935" s="937"/>
      <c r="W935" s="937"/>
      <c r="X935" s="937"/>
      <c r="Y935" s="937"/>
      <c r="Z935" s="937"/>
    </row>
    <row r="936" spans="1:26" ht="15.75" customHeight="1">
      <c r="A936" s="937"/>
      <c r="B936" s="937"/>
      <c r="C936" s="937"/>
      <c r="D936" s="937"/>
      <c r="E936" s="937"/>
      <c r="F936" s="937"/>
      <c r="G936" s="937"/>
      <c r="H936" s="937"/>
      <c r="I936" s="937"/>
      <c r="J936" s="937"/>
      <c r="K936" s="937"/>
      <c r="L936" s="937"/>
      <c r="M936" s="937"/>
      <c r="N936" s="937"/>
      <c r="O936" s="937"/>
      <c r="P936" s="937"/>
      <c r="Q936" s="937"/>
      <c r="R936" s="937"/>
      <c r="S936" s="937"/>
      <c r="T936" s="937"/>
      <c r="U936" s="937"/>
      <c r="V936" s="937"/>
      <c r="W936" s="937"/>
      <c r="X936" s="937"/>
      <c r="Y936" s="937"/>
      <c r="Z936" s="937"/>
    </row>
    <row r="937" spans="1:26" ht="15.75" customHeight="1">
      <c r="A937" s="937"/>
      <c r="B937" s="937"/>
      <c r="C937" s="937"/>
      <c r="D937" s="937"/>
      <c r="E937" s="937"/>
      <c r="F937" s="937"/>
      <c r="G937" s="937"/>
      <c r="H937" s="937"/>
      <c r="I937" s="937"/>
      <c r="J937" s="937"/>
      <c r="K937" s="937"/>
      <c r="L937" s="937"/>
      <c r="M937" s="937"/>
      <c r="N937" s="937"/>
      <c r="O937" s="937"/>
      <c r="P937" s="937"/>
      <c r="Q937" s="937"/>
      <c r="R937" s="937"/>
      <c r="S937" s="937"/>
      <c r="T937" s="937"/>
      <c r="U937" s="937"/>
      <c r="V937" s="937"/>
      <c r="W937" s="937"/>
      <c r="X937" s="937"/>
      <c r="Y937" s="937"/>
      <c r="Z937" s="937"/>
    </row>
    <row r="938" spans="1:26" ht="15.75" customHeight="1">
      <c r="A938" s="937"/>
      <c r="B938" s="937"/>
      <c r="C938" s="937"/>
      <c r="D938" s="937"/>
      <c r="E938" s="937"/>
      <c r="F938" s="937"/>
      <c r="G938" s="937"/>
      <c r="H938" s="937"/>
      <c r="I938" s="937"/>
      <c r="J938" s="937"/>
      <c r="K938" s="937"/>
      <c r="L938" s="937"/>
      <c r="M938" s="937"/>
      <c r="N938" s="937"/>
      <c r="O938" s="937"/>
      <c r="P938" s="937"/>
      <c r="Q938" s="937"/>
      <c r="R938" s="937"/>
      <c r="S938" s="937"/>
      <c r="T938" s="937"/>
      <c r="U938" s="937"/>
      <c r="V938" s="937"/>
      <c r="W938" s="937"/>
      <c r="X938" s="937"/>
      <c r="Y938" s="937"/>
      <c r="Z938" s="937"/>
    </row>
    <row r="939" spans="1:26" ht="15.75" customHeight="1">
      <c r="A939" s="937"/>
      <c r="B939" s="937"/>
      <c r="C939" s="937"/>
      <c r="D939" s="937"/>
      <c r="E939" s="937"/>
      <c r="F939" s="937"/>
      <c r="G939" s="937"/>
      <c r="H939" s="937"/>
      <c r="I939" s="937"/>
      <c r="J939" s="937"/>
      <c r="K939" s="937"/>
      <c r="L939" s="937"/>
      <c r="M939" s="937"/>
      <c r="N939" s="937"/>
      <c r="O939" s="937"/>
      <c r="P939" s="937"/>
      <c r="Q939" s="937"/>
      <c r="R939" s="937"/>
      <c r="S939" s="937"/>
      <c r="T939" s="937"/>
      <c r="U939" s="937"/>
      <c r="V939" s="937"/>
      <c r="W939" s="937"/>
      <c r="X939" s="937"/>
      <c r="Y939" s="937"/>
      <c r="Z939" s="937"/>
    </row>
    <row r="940" spans="1:26" ht="15.75" customHeight="1">
      <c r="A940" s="937"/>
      <c r="B940" s="937"/>
      <c r="C940" s="937"/>
      <c r="D940" s="937"/>
      <c r="E940" s="937"/>
      <c r="F940" s="937"/>
      <c r="G940" s="937"/>
      <c r="H940" s="937"/>
      <c r="I940" s="937"/>
      <c r="J940" s="937"/>
      <c r="K940" s="937"/>
      <c r="L940" s="937"/>
      <c r="M940" s="937"/>
      <c r="N940" s="937"/>
      <c r="O940" s="937"/>
      <c r="P940" s="937"/>
      <c r="Q940" s="937"/>
      <c r="R940" s="937"/>
      <c r="S940" s="937"/>
      <c r="T940" s="937"/>
      <c r="U940" s="937"/>
      <c r="V940" s="937"/>
      <c r="W940" s="937"/>
      <c r="X940" s="937"/>
      <c r="Y940" s="937"/>
      <c r="Z940" s="937"/>
    </row>
    <row r="941" spans="1:26" ht="15.75" customHeight="1">
      <c r="A941" s="937"/>
      <c r="B941" s="937"/>
      <c r="C941" s="937"/>
      <c r="D941" s="937"/>
      <c r="E941" s="937"/>
      <c r="F941" s="937"/>
      <c r="G941" s="937"/>
      <c r="H941" s="937"/>
      <c r="I941" s="937"/>
      <c r="J941" s="937"/>
      <c r="K941" s="937"/>
      <c r="L941" s="937"/>
      <c r="M941" s="937"/>
      <c r="N941" s="937"/>
      <c r="O941" s="937"/>
      <c r="P941" s="937"/>
      <c r="Q941" s="937"/>
      <c r="R941" s="937"/>
      <c r="S941" s="937"/>
      <c r="T941" s="937"/>
      <c r="U941" s="937"/>
      <c r="V941" s="937"/>
      <c r="W941" s="937"/>
      <c r="X941" s="937"/>
      <c r="Y941" s="937"/>
      <c r="Z941" s="937"/>
    </row>
    <row r="942" spans="1:26" ht="15.75" customHeight="1">
      <c r="A942" s="937"/>
      <c r="B942" s="937"/>
      <c r="C942" s="937"/>
      <c r="D942" s="937"/>
      <c r="E942" s="937"/>
      <c r="F942" s="937"/>
      <c r="G942" s="937"/>
      <c r="H942" s="937"/>
      <c r="I942" s="937"/>
      <c r="J942" s="937"/>
      <c r="K942" s="937"/>
      <c r="L942" s="937"/>
      <c r="M942" s="937"/>
      <c r="N942" s="937"/>
      <c r="O942" s="937"/>
      <c r="P942" s="937"/>
      <c r="Q942" s="937"/>
      <c r="R942" s="937"/>
      <c r="S942" s="937"/>
      <c r="T942" s="937"/>
      <c r="U942" s="937"/>
      <c r="V942" s="937"/>
      <c r="W942" s="937"/>
      <c r="X942" s="937"/>
      <c r="Y942" s="937"/>
      <c r="Z942" s="937"/>
    </row>
    <row r="943" spans="1:26" ht="15.75" customHeight="1">
      <c r="A943" s="937"/>
      <c r="B943" s="937"/>
      <c r="C943" s="937"/>
      <c r="D943" s="937"/>
      <c r="E943" s="937"/>
      <c r="F943" s="937"/>
      <c r="G943" s="937"/>
      <c r="H943" s="937"/>
      <c r="I943" s="937"/>
      <c r="J943" s="937"/>
      <c r="K943" s="937"/>
      <c r="L943" s="937"/>
      <c r="M943" s="937"/>
      <c r="N943" s="937"/>
      <c r="O943" s="937"/>
      <c r="P943" s="937"/>
      <c r="Q943" s="937"/>
      <c r="R943" s="937"/>
      <c r="S943" s="937"/>
      <c r="T943" s="937"/>
      <c r="U943" s="937"/>
      <c r="V943" s="937"/>
      <c r="W943" s="937"/>
      <c r="X943" s="937"/>
      <c r="Y943" s="937"/>
      <c r="Z943" s="937"/>
    </row>
    <row r="944" spans="1:26" ht="15.75" customHeight="1">
      <c r="A944" s="937"/>
      <c r="B944" s="937"/>
      <c r="C944" s="937"/>
      <c r="D944" s="937"/>
      <c r="E944" s="937"/>
      <c r="F944" s="937"/>
      <c r="G944" s="937"/>
      <c r="H944" s="937"/>
      <c r="I944" s="937"/>
      <c r="J944" s="937"/>
      <c r="K944" s="937"/>
      <c r="L944" s="937"/>
      <c r="M944" s="937"/>
      <c r="N944" s="937"/>
      <c r="O944" s="937"/>
      <c r="P944" s="937"/>
      <c r="Q944" s="937"/>
      <c r="R944" s="937"/>
      <c r="S944" s="937"/>
      <c r="T944" s="937"/>
      <c r="U944" s="937"/>
      <c r="V944" s="937"/>
      <c r="W944" s="937"/>
      <c r="X944" s="937"/>
      <c r="Y944" s="937"/>
      <c r="Z944" s="937"/>
    </row>
    <row r="945" spans="1:26" ht="15.75" customHeight="1">
      <c r="A945" s="937"/>
      <c r="B945" s="937"/>
      <c r="C945" s="937"/>
      <c r="D945" s="937"/>
      <c r="E945" s="937"/>
      <c r="F945" s="937"/>
      <c r="G945" s="937"/>
      <c r="H945" s="937"/>
      <c r="I945" s="937"/>
      <c r="J945" s="937"/>
      <c r="K945" s="937"/>
      <c r="L945" s="937"/>
      <c r="M945" s="937"/>
      <c r="N945" s="937"/>
      <c r="O945" s="937"/>
      <c r="P945" s="937"/>
      <c r="Q945" s="937"/>
      <c r="R945" s="937"/>
      <c r="S945" s="937"/>
      <c r="T945" s="937"/>
      <c r="U945" s="937"/>
      <c r="V945" s="937"/>
      <c r="W945" s="937"/>
      <c r="X945" s="937"/>
      <c r="Y945" s="937"/>
      <c r="Z945" s="937"/>
    </row>
    <row r="946" spans="1:26" ht="15.75" customHeight="1">
      <c r="A946" s="937"/>
      <c r="B946" s="937"/>
      <c r="C946" s="937"/>
      <c r="D946" s="937"/>
      <c r="E946" s="937"/>
      <c r="F946" s="937"/>
      <c r="G946" s="937"/>
      <c r="H946" s="937"/>
      <c r="I946" s="937"/>
      <c r="J946" s="937"/>
      <c r="K946" s="937"/>
      <c r="L946" s="937"/>
      <c r="M946" s="937"/>
      <c r="N946" s="937"/>
      <c r="O946" s="937"/>
      <c r="P946" s="937"/>
      <c r="Q946" s="937"/>
      <c r="R946" s="937"/>
      <c r="S946" s="937"/>
      <c r="T946" s="937"/>
      <c r="U946" s="937"/>
      <c r="V946" s="937"/>
      <c r="W946" s="937"/>
      <c r="X946" s="937"/>
      <c r="Y946" s="937"/>
      <c r="Z946" s="937"/>
    </row>
    <row r="947" spans="1:26" ht="15.75" customHeight="1">
      <c r="A947" s="937"/>
      <c r="B947" s="937"/>
      <c r="C947" s="937"/>
      <c r="D947" s="937"/>
      <c r="E947" s="937"/>
      <c r="F947" s="937"/>
      <c r="G947" s="937"/>
      <c r="H947" s="937"/>
      <c r="I947" s="937"/>
      <c r="J947" s="937"/>
      <c r="K947" s="937"/>
      <c r="L947" s="937"/>
      <c r="M947" s="937"/>
      <c r="N947" s="937"/>
      <c r="O947" s="937"/>
      <c r="P947" s="937"/>
      <c r="Q947" s="937"/>
      <c r="R947" s="937"/>
      <c r="S947" s="937"/>
      <c r="T947" s="937"/>
      <c r="U947" s="937"/>
      <c r="V947" s="937"/>
      <c r="W947" s="937"/>
      <c r="X947" s="937"/>
      <c r="Y947" s="937"/>
      <c r="Z947" s="937"/>
    </row>
    <row r="948" spans="1:26" ht="15.75" customHeight="1">
      <c r="A948" s="937"/>
      <c r="B948" s="937"/>
      <c r="C948" s="937"/>
      <c r="D948" s="937"/>
      <c r="E948" s="937"/>
      <c r="F948" s="937"/>
      <c r="G948" s="937"/>
      <c r="H948" s="937"/>
      <c r="I948" s="937"/>
      <c r="J948" s="937"/>
      <c r="K948" s="937"/>
      <c r="L948" s="937"/>
      <c r="M948" s="937"/>
      <c r="N948" s="937"/>
      <c r="O948" s="937"/>
      <c r="P948" s="937"/>
      <c r="Q948" s="937"/>
      <c r="R948" s="937"/>
      <c r="S948" s="937"/>
      <c r="T948" s="937"/>
      <c r="U948" s="937"/>
      <c r="V948" s="937"/>
      <c r="W948" s="937"/>
      <c r="X948" s="937"/>
      <c r="Y948" s="937"/>
      <c r="Z948" s="937"/>
    </row>
    <row r="949" spans="1:26" ht="15.75" customHeight="1">
      <c r="A949" s="937"/>
      <c r="B949" s="937"/>
      <c r="C949" s="937"/>
      <c r="D949" s="937"/>
      <c r="E949" s="937"/>
      <c r="F949" s="937"/>
      <c r="G949" s="937"/>
      <c r="H949" s="937"/>
      <c r="I949" s="937"/>
      <c r="J949" s="937"/>
      <c r="K949" s="937"/>
      <c r="L949" s="937"/>
      <c r="M949" s="937"/>
      <c r="N949" s="937"/>
      <c r="O949" s="937"/>
      <c r="P949" s="937"/>
      <c r="Q949" s="937"/>
      <c r="R949" s="937"/>
      <c r="S949" s="937"/>
      <c r="T949" s="937"/>
      <c r="U949" s="937"/>
      <c r="V949" s="937"/>
      <c r="W949" s="937"/>
      <c r="X949" s="937"/>
      <c r="Y949" s="937"/>
      <c r="Z949" s="937"/>
    </row>
    <row r="950" spans="1:26" ht="15.75" customHeight="1">
      <c r="A950" s="937"/>
      <c r="B950" s="937"/>
      <c r="C950" s="937"/>
      <c r="D950" s="937"/>
      <c r="E950" s="937"/>
      <c r="F950" s="937"/>
      <c r="G950" s="937"/>
      <c r="H950" s="937"/>
      <c r="I950" s="937"/>
      <c r="J950" s="937"/>
      <c r="K950" s="937"/>
      <c r="L950" s="937"/>
      <c r="M950" s="937"/>
      <c r="N950" s="937"/>
      <c r="O950" s="937"/>
      <c r="P950" s="937"/>
      <c r="Q950" s="937"/>
      <c r="R950" s="937"/>
      <c r="S950" s="937"/>
      <c r="T950" s="937"/>
      <c r="U950" s="937"/>
      <c r="V950" s="937"/>
      <c r="W950" s="937"/>
      <c r="X950" s="937"/>
      <c r="Y950" s="937"/>
      <c r="Z950" s="937"/>
    </row>
    <row r="951" spans="1:26" ht="15.75" customHeight="1">
      <c r="A951" s="937"/>
      <c r="B951" s="937"/>
      <c r="C951" s="937"/>
      <c r="D951" s="937"/>
      <c r="E951" s="937"/>
      <c r="F951" s="937"/>
      <c r="G951" s="937"/>
      <c r="H951" s="937"/>
      <c r="I951" s="937"/>
      <c r="J951" s="937"/>
      <c r="K951" s="937"/>
      <c r="L951" s="937"/>
      <c r="M951" s="937"/>
      <c r="N951" s="937"/>
      <c r="O951" s="937"/>
      <c r="P951" s="937"/>
      <c r="Q951" s="937"/>
      <c r="R951" s="937"/>
      <c r="S951" s="937"/>
      <c r="T951" s="937"/>
      <c r="U951" s="937"/>
      <c r="V951" s="937"/>
      <c r="W951" s="937"/>
      <c r="X951" s="937"/>
      <c r="Y951" s="937"/>
      <c r="Z951" s="937"/>
    </row>
    <row r="952" spans="1:26" ht="15.75" customHeight="1">
      <c r="A952" s="937"/>
      <c r="B952" s="937"/>
      <c r="C952" s="937"/>
      <c r="D952" s="937"/>
      <c r="E952" s="937"/>
      <c r="F952" s="937"/>
      <c r="G952" s="937"/>
      <c r="H952" s="937"/>
      <c r="I952" s="937"/>
      <c r="J952" s="937"/>
      <c r="K952" s="937"/>
      <c r="L952" s="937"/>
      <c r="M952" s="937"/>
      <c r="N952" s="937"/>
      <c r="O952" s="937"/>
      <c r="P952" s="937"/>
      <c r="Q952" s="937"/>
      <c r="R952" s="937"/>
      <c r="S952" s="937"/>
      <c r="T952" s="937"/>
      <c r="U952" s="937"/>
      <c r="V952" s="937"/>
      <c r="W952" s="937"/>
      <c r="X952" s="937"/>
      <c r="Y952" s="937"/>
      <c r="Z952" s="937"/>
    </row>
    <row r="953" spans="1:26" ht="15.75" customHeight="1">
      <c r="A953" s="937"/>
      <c r="B953" s="937"/>
      <c r="C953" s="937"/>
      <c r="D953" s="937"/>
      <c r="E953" s="937"/>
      <c r="F953" s="937"/>
      <c r="G953" s="937"/>
      <c r="H953" s="937"/>
      <c r="I953" s="937"/>
      <c r="J953" s="937"/>
      <c r="K953" s="937"/>
      <c r="L953" s="937"/>
      <c r="M953" s="937"/>
      <c r="N953" s="937"/>
      <c r="O953" s="937"/>
      <c r="P953" s="937"/>
      <c r="Q953" s="937"/>
      <c r="R953" s="937"/>
      <c r="S953" s="937"/>
      <c r="T953" s="937"/>
      <c r="U953" s="937"/>
      <c r="V953" s="937"/>
      <c r="W953" s="937"/>
      <c r="X953" s="937"/>
      <c r="Y953" s="937"/>
      <c r="Z953" s="937"/>
    </row>
    <row r="954" spans="1:26" ht="15.75" customHeight="1">
      <c r="A954" s="937"/>
      <c r="B954" s="937"/>
      <c r="C954" s="937"/>
      <c r="D954" s="937"/>
      <c r="E954" s="937"/>
      <c r="F954" s="937"/>
      <c r="G954" s="937"/>
      <c r="H954" s="937"/>
      <c r="I954" s="937"/>
      <c r="J954" s="937"/>
      <c r="K954" s="937"/>
      <c r="L954" s="937"/>
      <c r="M954" s="937"/>
      <c r="N954" s="937"/>
      <c r="O954" s="937"/>
      <c r="P954" s="937"/>
      <c r="Q954" s="937"/>
      <c r="R954" s="937"/>
      <c r="S954" s="937"/>
      <c r="T954" s="937"/>
      <c r="U954" s="937"/>
      <c r="V954" s="937"/>
      <c r="W954" s="937"/>
      <c r="X954" s="937"/>
      <c r="Y954" s="937"/>
      <c r="Z954" s="937"/>
    </row>
    <row r="955" spans="1:26" ht="15.75" customHeight="1">
      <c r="A955" s="937"/>
      <c r="B955" s="937"/>
      <c r="C955" s="937"/>
      <c r="D955" s="937"/>
      <c r="E955" s="937"/>
      <c r="F955" s="937"/>
      <c r="G955" s="937"/>
      <c r="H955" s="937"/>
      <c r="I955" s="937"/>
      <c r="J955" s="937"/>
      <c r="K955" s="937"/>
      <c r="L955" s="937"/>
      <c r="M955" s="937"/>
      <c r="N955" s="937"/>
      <c r="O955" s="937"/>
      <c r="P955" s="937"/>
      <c r="Q955" s="937"/>
      <c r="R955" s="937"/>
      <c r="S955" s="937"/>
      <c r="T955" s="937"/>
      <c r="U955" s="937"/>
      <c r="V955" s="937"/>
      <c r="W955" s="937"/>
      <c r="X955" s="937"/>
      <c r="Y955" s="937"/>
      <c r="Z955" s="937"/>
    </row>
    <row r="956" spans="1:26" ht="15.75" customHeight="1">
      <c r="A956" s="937"/>
      <c r="B956" s="937"/>
      <c r="C956" s="937"/>
      <c r="D956" s="937"/>
      <c r="E956" s="937"/>
      <c r="F956" s="937"/>
      <c r="G956" s="937"/>
      <c r="H956" s="937"/>
      <c r="I956" s="937"/>
      <c r="J956" s="937"/>
      <c r="K956" s="937"/>
      <c r="L956" s="937"/>
      <c r="M956" s="937"/>
      <c r="N956" s="937"/>
      <c r="O956" s="937"/>
      <c r="P956" s="937"/>
      <c r="Q956" s="937"/>
      <c r="R956" s="937"/>
      <c r="S956" s="937"/>
      <c r="T956" s="937"/>
      <c r="U956" s="937"/>
      <c r="V956" s="937"/>
      <c r="W956" s="937"/>
      <c r="X956" s="937"/>
      <c r="Y956" s="937"/>
      <c r="Z956" s="937"/>
    </row>
    <row r="957" spans="1:26" ht="15.75" customHeight="1">
      <c r="A957" s="937"/>
      <c r="B957" s="937"/>
      <c r="C957" s="937"/>
      <c r="D957" s="937"/>
      <c r="E957" s="937"/>
      <c r="F957" s="937"/>
      <c r="G957" s="937"/>
      <c r="H957" s="937"/>
      <c r="I957" s="937"/>
      <c r="J957" s="937"/>
      <c r="K957" s="937"/>
      <c r="L957" s="937"/>
      <c r="M957" s="937"/>
      <c r="N957" s="937"/>
      <c r="O957" s="937"/>
      <c r="P957" s="937"/>
      <c r="Q957" s="937"/>
      <c r="R957" s="937"/>
      <c r="S957" s="937"/>
      <c r="T957" s="937"/>
      <c r="U957" s="937"/>
      <c r="V957" s="937"/>
      <c r="W957" s="937"/>
      <c r="X957" s="937"/>
      <c r="Y957" s="937"/>
      <c r="Z957" s="937"/>
    </row>
    <row r="958" spans="1:26" ht="15.75" customHeight="1">
      <c r="A958" s="937"/>
      <c r="B958" s="937"/>
      <c r="C958" s="937"/>
      <c r="D958" s="937"/>
      <c r="E958" s="937"/>
      <c r="F958" s="937"/>
      <c r="G958" s="937"/>
      <c r="H958" s="937"/>
      <c r="I958" s="937"/>
      <c r="J958" s="937"/>
      <c r="K958" s="937"/>
      <c r="L958" s="937"/>
      <c r="M958" s="937"/>
      <c r="N958" s="937"/>
      <c r="O958" s="937"/>
      <c r="P958" s="937"/>
      <c r="Q958" s="937"/>
      <c r="R958" s="937"/>
      <c r="S958" s="937"/>
      <c r="T958" s="937"/>
      <c r="U958" s="937"/>
      <c r="V958" s="937"/>
      <c r="W958" s="937"/>
      <c r="X958" s="937"/>
      <c r="Y958" s="937"/>
      <c r="Z958" s="937"/>
    </row>
    <row r="959" spans="1:26" ht="15.75" customHeight="1">
      <c r="A959" s="937"/>
      <c r="B959" s="937"/>
      <c r="C959" s="937"/>
      <c r="D959" s="937"/>
      <c r="E959" s="937"/>
      <c r="F959" s="937"/>
      <c r="G959" s="937"/>
      <c r="H959" s="937"/>
      <c r="I959" s="937"/>
      <c r="J959" s="937"/>
      <c r="K959" s="937"/>
      <c r="L959" s="937"/>
      <c r="M959" s="937"/>
      <c r="N959" s="937"/>
      <c r="O959" s="937"/>
      <c r="P959" s="937"/>
      <c r="Q959" s="937"/>
      <c r="R959" s="937"/>
      <c r="S959" s="937"/>
      <c r="T959" s="937"/>
      <c r="U959" s="937"/>
      <c r="V959" s="937"/>
      <c r="W959" s="937"/>
      <c r="X959" s="937"/>
      <c r="Y959" s="937"/>
      <c r="Z959" s="937"/>
    </row>
    <row r="960" spans="1:26" ht="15.75" customHeight="1">
      <c r="A960" s="937"/>
      <c r="B960" s="937"/>
      <c r="C960" s="937"/>
      <c r="D960" s="937"/>
      <c r="E960" s="937"/>
      <c r="F960" s="937"/>
      <c r="G960" s="937"/>
      <c r="H960" s="937"/>
      <c r="I960" s="937"/>
      <c r="J960" s="937"/>
      <c r="K960" s="937"/>
      <c r="L960" s="937"/>
      <c r="M960" s="937"/>
      <c r="N960" s="937"/>
      <c r="O960" s="937"/>
      <c r="P960" s="937"/>
      <c r="Q960" s="937"/>
      <c r="R960" s="937"/>
      <c r="S960" s="937"/>
      <c r="T960" s="937"/>
      <c r="U960" s="937"/>
      <c r="V960" s="937"/>
      <c r="W960" s="937"/>
      <c r="X960" s="937"/>
      <c r="Y960" s="937"/>
      <c r="Z960" s="937"/>
    </row>
    <row r="961" spans="1:26" ht="15.75" customHeight="1">
      <c r="A961" s="937"/>
      <c r="B961" s="937"/>
      <c r="C961" s="937"/>
      <c r="D961" s="937"/>
      <c r="E961" s="937"/>
      <c r="F961" s="937"/>
      <c r="G961" s="937"/>
      <c r="H961" s="937"/>
      <c r="I961" s="937"/>
      <c r="J961" s="937"/>
      <c r="K961" s="937"/>
      <c r="L961" s="937"/>
      <c r="M961" s="937"/>
      <c r="N961" s="937"/>
      <c r="O961" s="937"/>
      <c r="P961" s="937"/>
      <c r="Q961" s="937"/>
      <c r="R961" s="937"/>
      <c r="S961" s="937"/>
      <c r="T961" s="937"/>
      <c r="U961" s="937"/>
      <c r="V961" s="937"/>
      <c r="W961" s="937"/>
      <c r="X961" s="937"/>
      <c r="Y961" s="937"/>
      <c r="Z961" s="937"/>
    </row>
    <row r="962" spans="1:26" ht="15.75" customHeight="1">
      <c r="A962" s="937"/>
      <c r="B962" s="937"/>
      <c r="C962" s="937"/>
      <c r="D962" s="937"/>
      <c r="E962" s="937"/>
      <c r="F962" s="937"/>
      <c r="G962" s="937"/>
      <c r="H962" s="937"/>
      <c r="I962" s="937"/>
      <c r="J962" s="937"/>
      <c r="K962" s="937"/>
      <c r="L962" s="937"/>
      <c r="M962" s="937"/>
      <c r="N962" s="937"/>
      <c r="O962" s="937"/>
      <c r="P962" s="937"/>
      <c r="Q962" s="937"/>
      <c r="R962" s="937"/>
      <c r="S962" s="937"/>
      <c r="T962" s="937"/>
      <c r="U962" s="937"/>
      <c r="V962" s="937"/>
      <c r="W962" s="937"/>
      <c r="X962" s="937"/>
      <c r="Y962" s="937"/>
      <c r="Z962" s="937"/>
    </row>
    <row r="963" spans="1:26" ht="15.75" customHeight="1">
      <c r="A963" s="937"/>
      <c r="B963" s="937"/>
      <c r="C963" s="937"/>
      <c r="D963" s="937"/>
      <c r="E963" s="937"/>
      <c r="F963" s="937"/>
      <c r="G963" s="937"/>
      <c r="H963" s="937"/>
      <c r="I963" s="937"/>
      <c r="J963" s="937"/>
      <c r="K963" s="937"/>
      <c r="L963" s="937"/>
      <c r="M963" s="937"/>
      <c r="N963" s="937"/>
      <c r="O963" s="937"/>
      <c r="P963" s="937"/>
      <c r="Q963" s="937"/>
      <c r="R963" s="937"/>
      <c r="S963" s="937"/>
      <c r="T963" s="937"/>
      <c r="U963" s="937"/>
      <c r="V963" s="937"/>
      <c r="W963" s="937"/>
      <c r="X963" s="937"/>
      <c r="Y963" s="937"/>
      <c r="Z963" s="937"/>
    </row>
    <row r="964" spans="1:26" ht="15.75" customHeight="1">
      <c r="A964" s="937"/>
      <c r="B964" s="937"/>
      <c r="C964" s="937"/>
      <c r="D964" s="937"/>
      <c r="E964" s="937"/>
      <c r="F964" s="937"/>
      <c r="G964" s="937"/>
      <c r="H964" s="937"/>
      <c r="I964" s="937"/>
      <c r="J964" s="937"/>
      <c r="K964" s="937"/>
      <c r="L964" s="937"/>
      <c r="M964" s="937"/>
      <c r="N964" s="937"/>
      <c r="O964" s="937"/>
      <c r="P964" s="937"/>
      <c r="Q964" s="937"/>
      <c r="R964" s="937"/>
      <c r="S964" s="937"/>
      <c r="T964" s="937"/>
      <c r="U964" s="937"/>
      <c r="V964" s="937"/>
      <c r="W964" s="937"/>
      <c r="X964" s="937"/>
      <c r="Y964" s="937"/>
      <c r="Z964" s="937"/>
    </row>
    <row r="965" spans="1:26" ht="15.75" customHeight="1">
      <c r="A965" s="937"/>
      <c r="B965" s="937"/>
      <c r="C965" s="937"/>
      <c r="D965" s="937"/>
      <c r="E965" s="937"/>
      <c r="F965" s="937"/>
      <c r="G965" s="937"/>
      <c r="H965" s="937"/>
      <c r="I965" s="937"/>
      <c r="J965" s="937"/>
      <c r="K965" s="937"/>
      <c r="L965" s="937"/>
      <c r="M965" s="937"/>
      <c r="N965" s="937"/>
      <c r="O965" s="937"/>
      <c r="P965" s="937"/>
      <c r="Q965" s="937"/>
      <c r="R965" s="937"/>
      <c r="S965" s="937"/>
      <c r="T965" s="937"/>
      <c r="U965" s="937"/>
      <c r="V965" s="937"/>
      <c r="W965" s="937"/>
      <c r="X965" s="937"/>
      <c r="Y965" s="937"/>
      <c r="Z965" s="937"/>
    </row>
    <row r="966" spans="1:26" ht="15.75" customHeight="1">
      <c r="A966" s="937"/>
      <c r="B966" s="937"/>
      <c r="C966" s="937"/>
      <c r="D966" s="937"/>
      <c r="E966" s="937"/>
      <c r="F966" s="937"/>
      <c r="G966" s="937"/>
      <c r="H966" s="937"/>
      <c r="I966" s="937"/>
      <c r="J966" s="937"/>
      <c r="K966" s="937"/>
      <c r="L966" s="937"/>
      <c r="M966" s="937"/>
      <c r="N966" s="937"/>
      <c r="O966" s="937"/>
      <c r="P966" s="937"/>
      <c r="Q966" s="937"/>
      <c r="R966" s="937"/>
      <c r="S966" s="937"/>
      <c r="T966" s="937"/>
      <c r="U966" s="937"/>
      <c r="V966" s="937"/>
      <c r="W966" s="937"/>
      <c r="X966" s="937"/>
      <c r="Y966" s="937"/>
      <c r="Z966" s="937"/>
    </row>
    <row r="967" spans="1:26" ht="15.75" customHeight="1">
      <c r="A967" s="937"/>
      <c r="B967" s="937"/>
      <c r="C967" s="937"/>
      <c r="D967" s="937"/>
      <c r="E967" s="937"/>
      <c r="F967" s="937"/>
      <c r="G967" s="937"/>
      <c r="H967" s="937"/>
      <c r="I967" s="937"/>
      <c r="J967" s="937"/>
      <c r="K967" s="937"/>
      <c r="L967" s="937"/>
      <c r="M967" s="937"/>
      <c r="N967" s="937"/>
      <c r="O967" s="937"/>
      <c r="P967" s="937"/>
      <c r="Q967" s="937"/>
      <c r="R967" s="937"/>
      <c r="S967" s="937"/>
      <c r="T967" s="937"/>
      <c r="U967" s="937"/>
      <c r="V967" s="937"/>
      <c r="W967" s="937"/>
      <c r="X967" s="937"/>
      <c r="Y967" s="937"/>
      <c r="Z967" s="937"/>
    </row>
    <row r="968" spans="1:26" ht="15.75" customHeight="1">
      <c r="A968" s="937"/>
      <c r="B968" s="937"/>
      <c r="C968" s="937"/>
      <c r="D968" s="937"/>
      <c r="E968" s="937"/>
      <c r="F968" s="937"/>
      <c r="G968" s="937"/>
      <c r="H968" s="937"/>
      <c r="I968" s="937"/>
      <c r="J968" s="937"/>
      <c r="K968" s="937"/>
      <c r="L968" s="937"/>
      <c r="M968" s="937"/>
      <c r="N968" s="937"/>
      <c r="O968" s="937"/>
      <c r="P968" s="937"/>
      <c r="Q968" s="937"/>
      <c r="R968" s="937"/>
      <c r="S968" s="937"/>
      <c r="T968" s="937"/>
      <c r="U968" s="937"/>
      <c r="V968" s="937"/>
      <c r="W968" s="937"/>
      <c r="X968" s="937"/>
      <c r="Y968" s="937"/>
      <c r="Z968" s="937"/>
    </row>
    <row r="969" spans="1:26" ht="15.75" customHeight="1">
      <c r="A969" s="937"/>
      <c r="B969" s="937"/>
      <c r="C969" s="937"/>
      <c r="D969" s="937"/>
      <c r="E969" s="937"/>
      <c r="F969" s="937"/>
      <c r="G969" s="937"/>
      <c r="H969" s="937"/>
      <c r="I969" s="937"/>
      <c r="J969" s="937"/>
      <c r="K969" s="937"/>
      <c r="L969" s="937"/>
      <c r="M969" s="937"/>
      <c r="N969" s="937"/>
      <c r="O969" s="937"/>
      <c r="P969" s="937"/>
      <c r="Q969" s="937"/>
      <c r="R969" s="937"/>
      <c r="S969" s="937"/>
      <c r="T969" s="937"/>
      <c r="U969" s="937"/>
      <c r="V969" s="937"/>
      <c r="W969" s="937"/>
      <c r="X969" s="937"/>
      <c r="Y969" s="937"/>
      <c r="Z969" s="937"/>
    </row>
    <row r="970" spans="1:26" ht="15.75" customHeight="1">
      <c r="A970" s="937"/>
      <c r="B970" s="937"/>
      <c r="C970" s="937"/>
      <c r="D970" s="937"/>
      <c r="E970" s="937"/>
      <c r="F970" s="937"/>
      <c r="G970" s="937"/>
      <c r="H970" s="937"/>
      <c r="I970" s="937"/>
      <c r="J970" s="937"/>
      <c r="K970" s="937"/>
      <c r="L970" s="937"/>
      <c r="M970" s="937"/>
      <c r="N970" s="937"/>
      <c r="O970" s="937"/>
      <c r="P970" s="937"/>
      <c r="Q970" s="937"/>
      <c r="R970" s="937"/>
      <c r="S970" s="937"/>
      <c r="T970" s="937"/>
      <c r="U970" s="937"/>
      <c r="V970" s="937"/>
      <c r="W970" s="937"/>
      <c r="X970" s="937"/>
      <c r="Y970" s="937"/>
      <c r="Z970" s="937"/>
    </row>
    <row r="971" spans="1:26" ht="15.75" customHeight="1">
      <c r="A971" s="937"/>
      <c r="B971" s="937"/>
      <c r="C971" s="937"/>
      <c r="D971" s="937"/>
      <c r="E971" s="937"/>
      <c r="F971" s="937"/>
      <c r="G971" s="937"/>
      <c r="H971" s="937"/>
      <c r="I971" s="937"/>
      <c r="J971" s="937"/>
      <c r="K971" s="937"/>
      <c r="L971" s="937"/>
      <c r="M971" s="937"/>
      <c r="N971" s="937"/>
      <c r="O971" s="937"/>
      <c r="P971" s="937"/>
      <c r="Q971" s="937"/>
      <c r="R971" s="937"/>
      <c r="S971" s="937"/>
      <c r="T971" s="937"/>
      <c r="U971" s="937"/>
      <c r="V971" s="937"/>
      <c r="W971" s="937"/>
      <c r="X971" s="937"/>
      <c r="Y971" s="937"/>
      <c r="Z971" s="937"/>
    </row>
    <row r="972" spans="1:26" ht="15.75" customHeight="1">
      <c r="A972" s="937"/>
      <c r="B972" s="937"/>
      <c r="C972" s="937"/>
      <c r="D972" s="937"/>
      <c r="E972" s="937"/>
      <c r="F972" s="937"/>
      <c r="G972" s="937"/>
      <c r="H972" s="937"/>
      <c r="I972" s="937"/>
      <c r="J972" s="937"/>
      <c r="K972" s="937"/>
      <c r="L972" s="937"/>
      <c r="M972" s="937"/>
      <c r="N972" s="937"/>
      <c r="O972" s="937"/>
      <c r="P972" s="937"/>
      <c r="Q972" s="937"/>
      <c r="R972" s="937"/>
      <c r="S972" s="937"/>
      <c r="T972" s="937"/>
      <c r="U972" s="937"/>
      <c r="V972" s="937"/>
      <c r="W972" s="937"/>
      <c r="X972" s="937"/>
      <c r="Y972" s="937"/>
      <c r="Z972" s="937"/>
    </row>
    <row r="973" spans="1:26" ht="15.75" customHeight="1">
      <c r="A973" s="937"/>
      <c r="B973" s="937"/>
      <c r="C973" s="937"/>
      <c r="D973" s="937"/>
      <c r="E973" s="937"/>
      <c r="F973" s="937"/>
      <c r="G973" s="937"/>
      <c r="H973" s="937"/>
      <c r="I973" s="937"/>
      <c r="J973" s="937"/>
      <c r="K973" s="937"/>
      <c r="L973" s="937"/>
      <c r="M973" s="937"/>
      <c r="N973" s="937"/>
      <c r="O973" s="937"/>
      <c r="P973" s="937"/>
      <c r="Q973" s="937"/>
      <c r="R973" s="937"/>
      <c r="S973" s="937"/>
      <c r="T973" s="937"/>
      <c r="U973" s="937"/>
      <c r="V973" s="937"/>
      <c r="W973" s="937"/>
      <c r="X973" s="937"/>
      <c r="Y973" s="937"/>
      <c r="Z973" s="937"/>
    </row>
    <row r="974" spans="1:26" ht="15.75" customHeight="1">
      <c r="A974" s="937"/>
      <c r="B974" s="937"/>
      <c r="C974" s="937"/>
      <c r="D974" s="937"/>
      <c r="E974" s="937"/>
      <c r="F974" s="937"/>
      <c r="G974" s="937"/>
      <c r="H974" s="937"/>
      <c r="I974" s="937"/>
      <c r="J974" s="937"/>
      <c r="K974" s="937"/>
      <c r="L974" s="937"/>
      <c r="M974" s="937"/>
      <c r="N974" s="937"/>
      <c r="O974" s="937"/>
      <c r="P974" s="937"/>
      <c r="Q974" s="937"/>
      <c r="R974" s="937"/>
      <c r="S974" s="937"/>
      <c r="T974" s="937"/>
      <c r="U974" s="937"/>
      <c r="V974" s="937"/>
      <c r="W974" s="937"/>
      <c r="X974" s="937"/>
      <c r="Y974" s="937"/>
      <c r="Z974" s="937"/>
    </row>
    <row r="975" spans="1:26" ht="15.75" customHeight="1">
      <c r="A975" s="937"/>
      <c r="B975" s="937"/>
      <c r="C975" s="937"/>
      <c r="D975" s="937"/>
      <c r="E975" s="937"/>
      <c r="F975" s="937"/>
      <c r="G975" s="937"/>
      <c r="H975" s="937"/>
      <c r="I975" s="937"/>
      <c r="J975" s="937"/>
      <c r="K975" s="937"/>
      <c r="L975" s="937"/>
      <c r="M975" s="937"/>
      <c r="N975" s="937"/>
      <c r="O975" s="937"/>
      <c r="P975" s="937"/>
      <c r="Q975" s="937"/>
      <c r="R975" s="937"/>
      <c r="S975" s="937"/>
      <c r="T975" s="937"/>
      <c r="U975" s="937"/>
      <c r="V975" s="937"/>
      <c r="W975" s="937"/>
      <c r="X975" s="937"/>
      <c r="Y975" s="937"/>
      <c r="Z975" s="937"/>
    </row>
    <row r="976" spans="1:26" ht="15.75" customHeight="1">
      <c r="A976" s="937"/>
      <c r="B976" s="937"/>
      <c r="C976" s="937"/>
      <c r="D976" s="937"/>
      <c r="E976" s="937"/>
      <c r="F976" s="937"/>
      <c r="G976" s="937"/>
      <c r="H976" s="937"/>
      <c r="I976" s="937"/>
      <c r="J976" s="937"/>
      <c r="K976" s="937"/>
      <c r="L976" s="937"/>
      <c r="M976" s="937"/>
      <c r="N976" s="937"/>
      <c r="O976" s="937"/>
      <c r="P976" s="937"/>
      <c r="Q976" s="937"/>
      <c r="R976" s="937"/>
      <c r="S976" s="937"/>
      <c r="T976" s="937"/>
      <c r="U976" s="937"/>
      <c r="V976" s="937"/>
      <c r="W976" s="937"/>
      <c r="X976" s="937"/>
      <c r="Y976" s="937"/>
      <c r="Z976" s="937"/>
    </row>
    <row r="977" spans="1:26" ht="15.75" customHeight="1">
      <c r="A977" s="937"/>
      <c r="B977" s="937"/>
      <c r="C977" s="937"/>
      <c r="D977" s="937"/>
      <c r="E977" s="937"/>
      <c r="F977" s="937"/>
      <c r="G977" s="937"/>
      <c r="H977" s="937"/>
      <c r="I977" s="937"/>
      <c r="J977" s="937"/>
      <c r="K977" s="937"/>
      <c r="L977" s="937"/>
      <c r="M977" s="937"/>
      <c r="N977" s="937"/>
      <c r="O977" s="937"/>
      <c r="P977" s="937"/>
      <c r="Q977" s="937"/>
      <c r="R977" s="937"/>
      <c r="S977" s="937"/>
      <c r="T977" s="937"/>
      <c r="U977" s="937"/>
      <c r="V977" s="937"/>
      <c r="W977" s="937"/>
      <c r="X977" s="937"/>
      <c r="Y977" s="937"/>
      <c r="Z977" s="937"/>
    </row>
    <row r="978" spans="1:26" ht="15.75" customHeight="1">
      <c r="A978" s="937"/>
      <c r="B978" s="937"/>
      <c r="C978" s="937"/>
      <c r="D978" s="937"/>
      <c r="E978" s="937"/>
      <c r="F978" s="937"/>
      <c r="G978" s="937"/>
      <c r="H978" s="937"/>
      <c r="I978" s="937"/>
      <c r="J978" s="937"/>
      <c r="K978" s="937"/>
      <c r="L978" s="937"/>
      <c r="M978" s="937"/>
      <c r="N978" s="937"/>
      <c r="O978" s="937"/>
      <c r="P978" s="937"/>
      <c r="Q978" s="937"/>
      <c r="R978" s="937"/>
      <c r="S978" s="937"/>
      <c r="T978" s="937"/>
      <c r="U978" s="937"/>
      <c r="V978" s="937"/>
      <c r="W978" s="937"/>
      <c r="X978" s="937"/>
      <c r="Y978" s="937"/>
      <c r="Z978" s="937"/>
    </row>
    <row r="979" spans="1:26" ht="15.75" customHeight="1">
      <c r="A979" s="937"/>
      <c r="B979" s="937"/>
      <c r="C979" s="937"/>
      <c r="D979" s="937"/>
      <c r="E979" s="937"/>
      <c r="F979" s="937"/>
      <c r="G979" s="937"/>
      <c r="H979" s="937"/>
      <c r="I979" s="937"/>
      <c r="J979" s="937"/>
      <c r="K979" s="937"/>
      <c r="L979" s="937"/>
      <c r="M979" s="937"/>
      <c r="N979" s="937"/>
      <c r="O979" s="937"/>
      <c r="P979" s="937"/>
      <c r="Q979" s="937"/>
      <c r="R979" s="937"/>
      <c r="S979" s="937"/>
      <c r="T979" s="937"/>
      <c r="U979" s="937"/>
      <c r="V979" s="937"/>
      <c r="W979" s="937"/>
      <c r="X979" s="937"/>
      <c r="Y979" s="937"/>
      <c r="Z979" s="937"/>
    </row>
    <row r="980" spans="1:26" ht="15.75" customHeight="1">
      <c r="A980" s="937"/>
      <c r="B980" s="937"/>
      <c r="C980" s="937"/>
      <c r="D980" s="937"/>
      <c r="E980" s="937"/>
      <c r="F980" s="937"/>
      <c r="G980" s="937"/>
      <c r="H980" s="937"/>
      <c r="I980" s="937"/>
      <c r="J980" s="937"/>
      <c r="K980" s="937"/>
      <c r="L980" s="937"/>
      <c r="M980" s="937"/>
      <c r="N980" s="937"/>
      <c r="O980" s="937"/>
      <c r="P980" s="937"/>
      <c r="Q980" s="937"/>
      <c r="R980" s="937"/>
      <c r="S980" s="937"/>
      <c r="T980" s="937"/>
      <c r="U980" s="937"/>
      <c r="V980" s="937"/>
      <c r="W980" s="937"/>
      <c r="X980" s="937"/>
      <c r="Y980" s="937"/>
      <c r="Z980" s="937"/>
    </row>
    <row r="981" spans="1:26" ht="15.75" customHeight="1">
      <c r="A981" s="937"/>
      <c r="B981" s="937"/>
      <c r="C981" s="937"/>
      <c r="D981" s="937"/>
      <c r="E981" s="937"/>
      <c r="F981" s="937"/>
      <c r="G981" s="937"/>
      <c r="H981" s="937"/>
      <c r="I981" s="937"/>
      <c r="J981" s="937"/>
      <c r="K981" s="937"/>
      <c r="L981" s="937"/>
      <c r="M981" s="937"/>
      <c r="N981" s="937"/>
      <c r="O981" s="937"/>
      <c r="P981" s="937"/>
      <c r="Q981" s="937"/>
      <c r="R981" s="937"/>
      <c r="S981" s="937"/>
      <c r="T981" s="937"/>
      <c r="U981" s="937"/>
      <c r="V981" s="937"/>
      <c r="W981" s="937"/>
      <c r="X981" s="937"/>
      <c r="Y981" s="937"/>
      <c r="Z981" s="937"/>
    </row>
    <row r="982" spans="1:26" ht="15.75" customHeight="1">
      <c r="A982" s="937"/>
      <c r="B982" s="937"/>
      <c r="C982" s="937"/>
      <c r="D982" s="937"/>
      <c r="E982" s="937"/>
      <c r="F982" s="937"/>
      <c r="G982" s="937"/>
      <c r="H982" s="937"/>
      <c r="I982" s="937"/>
      <c r="J982" s="937"/>
      <c r="K982" s="937"/>
      <c r="L982" s="937"/>
      <c r="M982" s="937"/>
      <c r="N982" s="937"/>
      <c r="O982" s="937"/>
      <c r="P982" s="937"/>
      <c r="Q982" s="937"/>
      <c r="R982" s="937"/>
      <c r="S982" s="937"/>
      <c r="T982" s="937"/>
      <c r="U982" s="937"/>
      <c r="V982" s="937"/>
      <c r="W982" s="937"/>
      <c r="X982" s="937"/>
      <c r="Y982" s="937"/>
      <c r="Z982" s="937"/>
    </row>
    <row r="983" spans="1:26" ht="15.75" customHeight="1">
      <c r="A983" s="937"/>
      <c r="B983" s="937"/>
      <c r="C983" s="937"/>
      <c r="D983" s="937"/>
      <c r="E983" s="937"/>
      <c r="F983" s="937"/>
      <c r="G983" s="937"/>
      <c r="H983" s="937"/>
      <c r="I983" s="937"/>
      <c r="J983" s="937"/>
      <c r="K983" s="937"/>
      <c r="L983" s="937"/>
      <c r="M983" s="937"/>
      <c r="N983" s="937"/>
      <c r="O983" s="937"/>
      <c r="P983" s="937"/>
      <c r="Q983" s="937"/>
      <c r="R983" s="937"/>
      <c r="S983" s="937"/>
      <c r="T983" s="937"/>
      <c r="U983" s="937"/>
      <c r="V983" s="937"/>
      <c r="W983" s="937"/>
      <c r="X983" s="937"/>
      <c r="Y983" s="937"/>
      <c r="Z983" s="937"/>
    </row>
    <row r="984" spans="1:26" ht="15.75" customHeight="1">
      <c r="A984" s="937"/>
      <c r="B984" s="937"/>
      <c r="C984" s="937"/>
      <c r="D984" s="937"/>
      <c r="E984" s="937"/>
      <c r="F984" s="937"/>
      <c r="G984" s="937"/>
      <c r="H984" s="937"/>
      <c r="I984" s="937"/>
      <c r="J984" s="937"/>
      <c r="K984" s="937"/>
      <c r="L984" s="937"/>
      <c r="M984" s="937"/>
      <c r="N984" s="937"/>
      <c r="O984" s="937"/>
      <c r="P984" s="937"/>
      <c r="Q984" s="937"/>
      <c r="R984" s="937"/>
      <c r="S984" s="937"/>
      <c r="T984" s="937"/>
      <c r="U984" s="937"/>
      <c r="V984" s="937"/>
      <c r="W984" s="937"/>
      <c r="X984" s="937"/>
      <c r="Y984" s="937"/>
      <c r="Z984" s="937"/>
    </row>
    <row r="985" spans="1:26" ht="15.75" customHeight="1">
      <c r="A985" s="937"/>
      <c r="B985" s="937"/>
      <c r="C985" s="937"/>
      <c r="D985" s="937"/>
      <c r="E985" s="937"/>
      <c r="F985" s="937"/>
      <c r="G985" s="937"/>
      <c r="H985" s="937"/>
      <c r="I985" s="937"/>
      <c r="J985" s="937"/>
      <c r="K985" s="937"/>
      <c r="L985" s="937"/>
      <c r="M985" s="937"/>
      <c r="N985" s="937"/>
      <c r="O985" s="937"/>
      <c r="P985" s="937"/>
      <c r="Q985" s="937"/>
      <c r="R985" s="937"/>
      <c r="S985" s="937"/>
      <c r="T985" s="937"/>
      <c r="U985" s="937"/>
      <c r="V985" s="937"/>
      <c r="W985" s="937"/>
      <c r="X985" s="937"/>
      <c r="Y985" s="937"/>
      <c r="Z985" s="937"/>
    </row>
    <row r="986" spans="1:26" ht="15.75" customHeight="1">
      <c r="A986" s="937"/>
      <c r="B986" s="937"/>
      <c r="C986" s="937"/>
      <c r="D986" s="937"/>
      <c r="E986" s="937"/>
      <c r="F986" s="937"/>
      <c r="G986" s="937"/>
      <c r="H986" s="937"/>
      <c r="I986" s="937"/>
      <c r="J986" s="937"/>
      <c r="K986" s="937"/>
      <c r="L986" s="937"/>
      <c r="M986" s="937"/>
      <c r="N986" s="937"/>
      <c r="O986" s="937"/>
      <c r="P986" s="937"/>
      <c r="Q986" s="937"/>
      <c r="R986" s="937"/>
      <c r="S986" s="937"/>
      <c r="T986" s="937"/>
      <c r="U986" s="937"/>
      <c r="V986" s="937"/>
      <c r="W986" s="937"/>
      <c r="X986" s="937"/>
      <c r="Y986" s="937"/>
      <c r="Z986" s="937"/>
    </row>
    <row r="987" spans="1:26" ht="15.75" customHeight="1">
      <c r="A987" s="937"/>
      <c r="B987" s="937"/>
      <c r="C987" s="937"/>
      <c r="D987" s="937"/>
      <c r="E987" s="937"/>
      <c r="F987" s="937"/>
      <c r="G987" s="937"/>
      <c r="H987" s="937"/>
      <c r="I987" s="937"/>
      <c r="J987" s="937"/>
      <c r="K987" s="937"/>
      <c r="L987" s="937"/>
      <c r="M987" s="937"/>
      <c r="N987" s="937"/>
      <c r="O987" s="937"/>
      <c r="P987" s="937"/>
      <c r="Q987" s="937"/>
      <c r="R987" s="937"/>
      <c r="S987" s="937"/>
      <c r="T987" s="937"/>
      <c r="U987" s="937"/>
      <c r="V987" s="937"/>
      <c r="W987" s="937"/>
      <c r="X987" s="937"/>
      <c r="Y987" s="937"/>
      <c r="Z987" s="937"/>
    </row>
    <row r="988" spans="1:26" ht="15.75" customHeight="1">
      <c r="A988" s="937"/>
      <c r="B988" s="937"/>
      <c r="C988" s="937"/>
      <c r="D988" s="937"/>
      <c r="E988" s="937"/>
      <c r="F988" s="937"/>
      <c r="G988" s="937"/>
      <c r="H988" s="937"/>
      <c r="I988" s="937"/>
      <c r="J988" s="937"/>
      <c r="K988" s="937"/>
      <c r="L988" s="937"/>
      <c r="M988" s="937"/>
      <c r="N988" s="937"/>
      <c r="O988" s="937"/>
      <c r="P988" s="937"/>
      <c r="Q988" s="937"/>
      <c r="R988" s="937"/>
      <c r="S988" s="937"/>
      <c r="T988" s="937"/>
      <c r="U988" s="937"/>
      <c r="V988" s="937"/>
      <c r="W988" s="937"/>
      <c r="X988" s="937"/>
      <c r="Y988" s="937"/>
      <c r="Z988" s="937"/>
    </row>
    <row r="989" spans="1:26" ht="15.75" customHeight="1">
      <c r="A989" s="937"/>
      <c r="B989" s="937"/>
      <c r="C989" s="937"/>
      <c r="D989" s="937"/>
      <c r="E989" s="937"/>
      <c r="F989" s="937"/>
      <c r="G989" s="937"/>
      <c r="H989" s="937"/>
      <c r="I989" s="937"/>
      <c r="J989" s="937"/>
      <c r="K989" s="937"/>
      <c r="L989" s="937"/>
      <c r="M989" s="937"/>
      <c r="N989" s="937"/>
      <c r="O989" s="937"/>
      <c r="P989" s="937"/>
      <c r="Q989" s="937"/>
      <c r="R989" s="937"/>
      <c r="S989" s="937"/>
      <c r="T989" s="937"/>
      <c r="U989" s="937"/>
      <c r="V989" s="937"/>
      <c r="W989" s="937"/>
      <c r="X989" s="937"/>
      <c r="Y989" s="937"/>
      <c r="Z989" s="937"/>
    </row>
    <row r="990" spans="1:26" ht="15.75" customHeight="1">
      <c r="A990" s="937"/>
      <c r="B990" s="937"/>
      <c r="C990" s="937"/>
      <c r="D990" s="937"/>
      <c r="E990" s="937"/>
      <c r="F990" s="937"/>
      <c r="G990" s="937"/>
      <c r="H990" s="937"/>
      <c r="I990" s="937"/>
      <c r="J990" s="937"/>
      <c r="K990" s="937"/>
      <c r="L990" s="937"/>
      <c r="M990" s="937"/>
      <c r="N990" s="937"/>
      <c r="O990" s="937"/>
      <c r="P990" s="937"/>
      <c r="Q990" s="937"/>
      <c r="R990" s="937"/>
      <c r="S990" s="937"/>
      <c r="T990" s="937"/>
      <c r="U990" s="937"/>
      <c r="V990" s="937"/>
      <c r="W990" s="937"/>
      <c r="X990" s="937"/>
      <c r="Y990" s="937"/>
      <c r="Z990" s="937"/>
    </row>
    <row r="991" spans="1:26" ht="15.75" customHeight="1">
      <c r="A991" s="937"/>
      <c r="B991" s="937"/>
      <c r="C991" s="937"/>
      <c r="D991" s="937"/>
      <c r="E991" s="937"/>
      <c r="F991" s="937"/>
      <c r="G991" s="937"/>
      <c r="H991" s="937"/>
      <c r="I991" s="937"/>
      <c r="J991" s="937"/>
      <c r="K991" s="937"/>
      <c r="L991" s="937"/>
      <c r="M991" s="937"/>
      <c r="N991" s="937"/>
      <c r="O991" s="937"/>
      <c r="P991" s="937"/>
      <c r="Q991" s="937"/>
      <c r="R991" s="937"/>
      <c r="S991" s="937"/>
      <c r="T991" s="937"/>
      <c r="U991" s="937"/>
      <c r="V991" s="937"/>
      <c r="W991" s="937"/>
      <c r="X991" s="937"/>
      <c r="Y991" s="937"/>
      <c r="Z991" s="937"/>
    </row>
    <row r="992" spans="1:26" ht="15.75" customHeight="1">
      <c r="A992" s="937"/>
      <c r="B992" s="937"/>
      <c r="C992" s="937"/>
      <c r="D992" s="937"/>
      <c r="E992" s="937"/>
      <c r="F992" s="937"/>
      <c r="G992" s="937"/>
      <c r="H992" s="937"/>
      <c r="I992" s="937"/>
      <c r="J992" s="937"/>
      <c r="K992" s="937"/>
      <c r="L992" s="937"/>
      <c r="M992" s="937"/>
      <c r="N992" s="937"/>
      <c r="O992" s="937"/>
      <c r="P992" s="937"/>
      <c r="Q992" s="937"/>
      <c r="R992" s="937"/>
      <c r="S992" s="937"/>
      <c r="T992" s="937"/>
      <c r="U992" s="937"/>
      <c r="V992" s="937"/>
      <c r="W992" s="937"/>
      <c r="X992" s="937"/>
      <c r="Y992" s="937"/>
      <c r="Z992" s="937"/>
    </row>
    <row r="993" spans="1:26" ht="15.75" customHeight="1">
      <c r="A993" s="937"/>
      <c r="B993" s="937"/>
      <c r="C993" s="937"/>
      <c r="D993" s="937"/>
      <c r="E993" s="937"/>
      <c r="F993" s="937"/>
      <c r="G993" s="937"/>
      <c r="H993" s="937"/>
      <c r="I993" s="937"/>
      <c r="J993" s="937"/>
      <c r="K993" s="937"/>
      <c r="L993" s="937"/>
      <c r="M993" s="937"/>
      <c r="N993" s="937"/>
      <c r="O993" s="937"/>
      <c r="P993" s="937"/>
      <c r="Q993" s="937"/>
      <c r="R993" s="937"/>
      <c r="S993" s="937"/>
      <c r="T993" s="937"/>
      <c r="U993" s="937"/>
      <c r="V993" s="937"/>
      <c r="W993" s="937"/>
      <c r="X993" s="937"/>
      <c r="Y993" s="937"/>
      <c r="Z993" s="937"/>
    </row>
    <row r="994" spans="1:26" ht="15.75" customHeight="1">
      <c r="A994" s="937"/>
      <c r="B994" s="937"/>
      <c r="C994" s="937"/>
      <c r="D994" s="937"/>
      <c r="E994" s="937"/>
      <c r="F994" s="937"/>
      <c r="G994" s="937"/>
      <c r="H994" s="937"/>
      <c r="I994" s="937"/>
      <c r="J994" s="937"/>
      <c r="K994" s="937"/>
      <c r="L994" s="937"/>
      <c r="M994" s="937"/>
      <c r="N994" s="937"/>
      <c r="O994" s="937"/>
      <c r="P994" s="937"/>
      <c r="Q994" s="937"/>
      <c r="R994" s="937"/>
      <c r="S994" s="937"/>
      <c r="T994" s="937"/>
      <c r="U994" s="937"/>
      <c r="V994" s="937"/>
      <c r="W994" s="937"/>
      <c r="X994" s="937"/>
      <c r="Y994" s="937"/>
      <c r="Z994" s="937"/>
    </row>
    <row r="995" spans="1:26" ht="15.75" customHeight="1">
      <c r="A995" s="937"/>
      <c r="B995" s="937"/>
      <c r="C995" s="937"/>
      <c r="D995" s="937"/>
      <c r="E995" s="937"/>
      <c r="F995" s="937"/>
      <c r="G995" s="937"/>
      <c r="H995" s="937"/>
      <c r="I995" s="937"/>
      <c r="J995" s="937"/>
      <c r="K995" s="937"/>
      <c r="L995" s="937"/>
      <c r="M995" s="937"/>
      <c r="N995" s="937"/>
      <c r="O995" s="937"/>
      <c r="P995" s="937"/>
      <c r="Q995" s="937"/>
      <c r="R995" s="937"/>
      <c r="S995" s="937"/>
      <c r="T995" s="937"/>
      <c r="U995" s="937"/>
      <c r="V995" s="937"/>
      <c r="W995" s="937"/>
      <c r="X995" s="937"/>
      <c r="Y995" s="937"/>
      <c r="Z995" s="937"/>
    </row>
    <row r="996" spans="1:26" ht="15.75" customHeight="1">
      <c r="A996" s="937"/>
      <c r="B996" s="937"/>
      <c r="C996" s="937"/>
      <c r="D996" s="937"/>
      <c r="E996" s="937"/>
      <c r="F996" s="937"/>
      <c r="G996" s="937"/>
      <c r="H996" s="937"/>
      <c r="I996" s="937"/>
      <c r="J996" s="937"/>
      <c r="K996" s="937"/>
      <c r="L996" s="937"/>
      <c r="M996" s="937"/>
      <c r="N996" s="937"/>
      <c r="O996" s="937"/>
      <c r="P996" s="937"/>
      <c r="Q996" s="937"/>
      <c r="R996" s="937"/>
      <c r="S996" s="937"/>
      <c r="T996" s="937"/>
      <c r="U996" s="937"/>
      <c r="V996" s="937"/>
      <c r="W996" s="937"/>
      <c r="X996" s="937"/>
      <c r="Y996" s="937"/>
      <c r="Z996" s="937"/>
    </row>
    <row r="997" spans="1:26" ht="15.75" customHeight="1">
      <c r="A997" s="937"/>
      <c r="B997" s="937"/>
      <c r="C997" s="937"/>
      <c r="D997" s="937"/>
      <c r="E997" s="937"/>
      <c r="F997" s="937"/>
      <c r="G997" s="937"/>
      <c r="H997" s="937"/>
      <c r="I997" s="937"/>
      <c r="J997" s="937"/>
      <c r="K997" s="937"/>
      <c r="L997" s="937"/>
      <c r="M997" s="937"/>
      <c r="N997" s="937"/>
      <c r="O997" s="937"/>
      <c r="P997" s="937"/>
      <c r="Q997" s="937"/>
      <c r="R997" s="937"/>
      <c r="S997" s="937"/>
      <c r="T997" s="937"/>
      <c r="U997" s="937"/>
      <c r="V997" s="937"/>
      <c r="W997" s="937"/>
      <c r="X997" s="937"/>
      <c r="Y997" s="937"/>
      <c r="Z997" s="937"/>
    </row>
    <row r="998" spans="1:26" ht="15.75" customHeight="1">
      <c r="A998" s="937"/>
      <c r="B998" s="937"/>
      <c r="C998" s="937"/>
      <c r="D998" s="937"/>
      <c r="E998" s="937"/>
      <c r="F998" s="937"/>
      <c r="G998" s="937"/>
      <c r="H998" s="937"/>
      <c r="I998" s="937"/>
      <c r="J998" s="937"/>
      <c r="K998" s="937"/>
      <c r="L998" s="937"/>
      <c r="M998" s="937"/>
      <c r="N998" s="937"/>
      <c r="O998" s="937"/>
      <c r="P998" s="937"/>
      <c r="Q998" s="937"/>
      <c r="R998" s="937"/>
      <c r="S998" s="937"/>
      <c r="T998" s="937"/>
      <c r="U998" s="937"/>
      <c r="V998" s="937"/>
      <c r="W998" s="937"/>
      <c r="X998" s="937"/>
      <c r="Y998" s="937"/>
      <c r="Z998" s="937"/>
    </row>
    <row r="999" spans="1:26" ht="15.75" customHeight="1">
      <c r="A999" s="937"/>
      <c r="B999" s="937"/>
      <c r="C999" s="937"/>
      <c r="D999" s="937"/>
      <c r="E999" s="937"/>
      <c r="F999" s="937"/>
      <c r="G999" s="937"/>
      <c r="H999" s="937"/>
      <c r="I999" s="937"/>
      <c r="J999" s="937"/>
      <c r="K999" s="937"/>
      <c r="L999" s="937"/>
      <c r="M999" s="937"/>
      <c r="N999" s="937"/>
      <c r="O999" s="937"/>
      <c r="P999" s="937"/>
      <c r="Q999" s="937"/>
      <c r="R999" s="937"/>
      <c r="S999" s="937"/>
      <c r="T999" s="937"/>
      <c r="U999" s="937"/>
      <c r="V999" s="937"/>
      <c r="W999" s="937"/>
      <c r="X999" s="937"/>
      <c r="Y999" s="937"/>
      <c r="Z999" s="937"/>
    </row>
    <row r="1000" spans="1:26" ht="15.75" customHeight="1">
      <c r="A1000" s="937"/>
      <c r="B1000" s="937"/>
      <c r="C1000" s="937"/>
      <c r="D1000" s="937"/>
      <c r="E1000" s="937"/>
      <c r="F1000" s="937"/>
      <c r="G1000" s="937"/>
      <c r="H1000" s="937"/>
      <c r="I1000" s="937"/>
      <c r="J1000" s="937"/>
      <c r="K1000" s="937"/>
      <c r="L1000" s="937"/>
      <c r="M1000" s="937"/>
      <c r="N1000" s="937"/>
      <c r="O1000" s="937"/>
      <c r="P1000" s="937"/>
      <c r="Q1000" s="937"/>
      <c r="R1000" s="937"/>
      <c r="S1000" s="937"/>
      <c r="T1000" s="937"/>
      <c r="U1000" s="937"/>
      <c r="V1000" s="937"/>
      <c r="W1000" s="937"/>
      <c r="X1000" s="937"/>
      <c r="Y1000" s="937"/>
      <c r="Z1000" s="937"/>
    </row>
    <row r="1001" spans="1:26" ht="15.75" customHeight="1">
      <c r="A1001" s="937"/>
      <c r="B1001" s="937"/>
      <c r="C1001" s="937"/>
      <c r="D1001" s="937"/>
      <c r="E1001" s="937"/>
      <c r="F1001" s="937"/>
      <c r="G1001" s="937"/>
      <c r="H1001" s="937"/>
      <c r="I1001" s="937"/>
      <c r="J1001" s="937"/>
      <c r="K1001" s="937"/>
      <c r="L1001" s="937"/>
      <c r="M1001" s="937"/>
      <c r="N1001" s="937"/>
      <c r="O1001" s="937"/>
      <c r="P1001" s="937"/>
      <c r="Q1001" s="937"/>
      <c r="R1001" s="937"/>
      <c r="S1001" s="937"/>
      <c r="T1001" s="937"/>
      <c r="U1001" s="937"/>
      <c r="V1001" s="937"/>
      <c r="W1001" s="937"/>
      <c r="X1001" s="937"/>
      <c r="Y1001" s="937"/>
      <c r="Z1001" s="937"/>
    </row>
    <row r="1002" spans="1:26" ht="15.75" customHeight="1">
      <c r="A1002" s="937"/>
      <c r="B1002" s="937"/>
      <c r="C1002" s="937"/>
      <c r="D1002" s="937"/>
      <c r="E1002" s="937"/>
      <c r="F1002" s="937"/>
      <c r="G1002" s="937"/>
      <c r="H1002" s="937"/>
      <c r="I1002" s="937"/>
      <c r="J1002" s="937"/>
      <c r="K1002" s="937"/>
      <c r="L1002" s="937"/>
      <c r="M1002" s="937"/>
      <c r="N1002" s="937"/>
      <c r="O1002" s="937"/>
      <c r="P1002" s="937"/>
      <c r="Q1002" s="937"/>
      <c r="R1002" s="937"/>
      <c r="S1002" s="937"/>
      <c r="T1002" s="937"/>
      <c r="U1002" s="937"/>
      <c r="V1002" s="937"/>
      <c r="W1002" s="937"/>
      <c r="X1002" s="937"/>
      <c r="Y1002" s="937"/>
      <c r="Z1002" s="937"/>
    </row>
    <row r="1003" spans="1:26" ht="15.75" customHeight="1">
      <c r="A1003" s="937"/>
      <c r="B1003" s="937"/>
      <c r="C1003" s="937"/>
      <c r="D1003" s="937"/>
      <c r="E1003" s="937"/>
      <c r="F1003" s="937"/>
      <c r="G1003" s="937"/>
      <c r="H1003" s="937"/>
      <c r="I1003" s="937"/>
      <c r="J1003" s="937"/>
      <c r="K1003" s="937"/>
      <c r="L1003" s="937"/>
      <c r="M1003" s="937"/>
      <c r="N1003" s="937"/>
      <c r="O1003" s="937"/>
      <c r="P1003" s="937"/>
      <c r="Q1003" s="937"/>
      <c r="R1003" s="937"/>
      <c r="S1003" s="937"/>
      <c r="T1003" s="937"/>
      <c r="U1003" s="937"/>
      <c r="V1003" s="937"/>
      <c r="W1003" s="937"/>
      <c r="X1003" s="937"/>
      <c r="Y1003" s="937"/>
      <c r="Z1003" s="937"/>
    </row>
    <row r="1004" spans="1:26" ht="15.75" customHeight="1">
      <c r="A1004" s="937"/>
      <c r="B1004" s="937"/>
      <c r="C1004" s="937"/>
      <c r="D1004" s="937"/>
      <c r="E1004" s="937"/>
      <c r="F1004" s="937"/>
      <c r="G1004" s="937"/>
      <c r="H1004" s="937"/>
      <c r="I1004" s="937"/>
      <c r="J1004" s="937"/>
      <c r="K1004" s="937"/>
      <c r="L1004" s="937"/>
      <c r="M1004" s="937"/>
      <c r="N1004" s="937"/>
      <c r="O1004" s="937"/>
      <c r="P1004" s="937"/>
      <c r="Q1004" s="937"/>
      <c r="R1004" s="937"/>
      <c r="S1004" s="937"/>
      <c r="T1004" s="937"/>
      <c r="U1004" s="937"/>
      <c r="V1004" s="937"/>
      <c r="W1004" s="937"/>
      <c r="X1004" s="937"/>
      <c r="Y1004" s="937"/>
      <c r="Z1004" s="937"/>
    </row>
    <row r="1005" spans="1:26" ht="15.75" customHeight="1">
      <c r="A1005" s="937"/>
      <c r="B1005" s="937"/>
      <c r="C1005" s="937"/>
      <c r="D1005" s="937"/>
      <c r="E1005" s="937"/>
      <c r="F1005" s="937"/>
      <c r="G1005" s="937"/>
      <c r="H1005" s="937"/>
      <c r="I1005" s="937"/>
      <c r="J1005" s="937"/>
      <c r="K1005" s="937"/>
      <c r="L1005" s="937"/>
      <c r="M1005" s="937"/>
      <c r="N1005" s="937"/>
      <c r="O1005" s="937"/>
      <c r="P1005" s="937"/>
      <c r="Q1005" s="937"/>
      <c r="R1005" s="937"/>
      <c r="S1005" s="937"/>
      <c r="T1005" s="937"/>
      <c r="U1005" s="937"/>
      <c r="V1005" s="937"/>
      <c r="W1005" s="937"/>
      <c r="X1005" s="937"/>
      <c r="Y1005" s="937"/>
      <c r="Z1005" s="937"/>
    </row>
    <row r="1006" spans="1:26" ht="15.75" customHeight="1">
      <c r="A1006" s="937"/>
      <c r="B1006" s="937"/>
      <c r="C1006" s="937"/>
      <c r="D1006" s="937"/>
      <c r="E1006" s="937"/>
      <c r="F1006" s="937"/>
      <c r="G1006" s="937"/>
      <c r="H1006" s="937"/>
      <c r="I1006" s="937"/>
      <c r="J1006" s="937"/>
      <c r="K1006" s="937"/>
      <c r="L1006" s="937"/>
      <c r="M1006" s="937"/>
      <c r="N1006" s="937"/>
      <c r="O1006" s="937"/>
      <c r="P1006" s="937"/>
      <c r="Q1006" s="937"/>
      <c r="R1006" s="937"/>
      <c r="S1006" s="937"/>
      <c r="T1006" s="937"/>
      <c r="U1006" s="937"/>
      <c r="V1006" s="937"/>
      <c r="W1006" s="937"/>
      <c r="X1006" s="937"/>
      <c r="Y1006" s="937"/>
      <c r="Z1006" s="937"/>
    </row>
    <row r="1007" spans="1:26" ht="15.75" customHeight="1">
      <c r="A1007" s="937"/>
      <c r="B1007" s="937"/>
      <c r="C1007" s="937"/>
      <c r="D1007" s="937"/>
      <c r="E1007" s="937"/>
      <c r="F1007" s="937"/>
      <c r="G1007" s="937"/>
      <c r="H1007" s="937"/>
      <c r="I1007" s="937"/>
      <c r="J1007" s="937"/>
      <c r="K1007" s="937"/>
      <c r="L1007" s="937"/>
      <c r="M1007" s="937"/>
      <c r="N1007" s="937"/>
      <c r="O1007" s="937"/>
      <c r="P1007" s="937"/>
      <c r="Q1007" s="937"/>
      <c r="R1007" s="937"/>
      <c r="S1007" s="937"/>
      <c r="T1007" s="937"/>
      <c r="U1007" s="937"/>
      <c r="V1007" s="937"/>
      <c r="W1007" s="937"/>
      <c r="X1007" s="937"/>
      <c r="Y1007" s="937"/>
      <c r="Z1007" s="937"/>
    </row>
    <row r="1008" spans="1:26" ht="15.75" customHeight="1">
      <c r="A1008" s="937"/>
      <c r="B1008" s="937"/>
      <c r="C1008" s="937"/>
      <c r="D1008" s="937"/>
      <c r="E1008" s="937"/>
      <c r="F1008" s="937"/>
      <c r="G1008" s="937"/>
      <c r="H1008" s="937"/>
      <c r="I1008" s="937"/>
      <c r="J1008" s="937"/>
      <c r="K1008" s="937"/>
      <c r="L1008" s="937"/>
      <c r="M1008" s="937"/>
      <c r="N1008" s="937"/>
      <c r="O1008" s="937"/>
      <c r="P1008" s="937"/>
      <c r="Q1008" s="937"/>
      <c r="R1008" s="937"/>
      <c r="S1008" s="937"/>
      <c r="T1008" s="937"/>
      <c r="U1008" s="937"/>
      <c r="V1008" s="937"/>
      <c r="W1008" s="937"/>
      <c r="X1008" s="937"/>
      <c r="Y1008" s="937"/>
      <c r="Z1008" s="937"/>
    </row>
    <row r="1009" spans="1:26" ht="15.75" customHeight="1">
      <c r="A1009" s="937"/>
      <c r="B1009" s="937"/>
      <c r="C1009" s="937"/>
      <c r="D1009" s="937"/>
      <c r="E1009" s="937"/>
      <c r="F1009" s="937"/>
      <c r="G1009" s="937"/>
      <c r="H1009" s="937"/>
      <c r="I1009" s="937"/>
      <c r="J1009" s="937"/>
      <c r="K1009" s="937"/>
      <c r="L1009" s="937"/>
      <c r="M1009" s="937"/>
      <c r="N1009" s="937"/>
      <c r="O1009" s="937"/>
      <c r="P1009" s="937"/>
      <c r="Q1009" s="937"/>
      <c r="R1009" s="937"/>
      <c r="S1009" s="937"/>
      <c r="T1009" s="937"/>
      <c r="U1009" s="937"/>
      <c r="V1009" s="937"/>
      <c r="W1009" s="937"/>
      <c r="X1009" s="937"/>
      <c r="Y1009" s="937"/>
      <c r="Z1009" s="937"/>
    </row>
    <row r="1010" spans="1:26" ht="15.75" customHeight="1">
      <c r="A1010" s="937"/>
      <c r="B1010" s="937"/>
      <c r="C1010" s="937"/>
      <c r="D1010" s="937"/>
      <c r="E1010" s="937"/>
      <c r="F1010" s="937"/>
      <c r="G1010" s="937"/>
      <c r="H1010" s="937"/>
      <c r="I1010" s="937"/>
      <c r="J1010" s="937"/>
      <c r="K1010" s="937"/>
      <c r="L1010" s="937"/>
      <c r="M1010" s="937"/>
      <c r="N1010" s="937"/>
      <c r="O1010" s="937"/>
      <c r="P1010" s="937"/>
      <c r="Q1010" s="937"/>
      <c r="R1010" s="937"/>
      <c r="S1010" s="937"/>
      <c r="T1010" s="937"/>
      <c r="U1010" s="937"/>
      <c r="V1010" s="937"/>
      <c r="W1010" s="937"/>
      <c r="X1010" s="937"/>
      <c r="Y1010" s="937"/>
      <c r="Z1010" s="937"/>
    </row>
    <row r="1011" spans="1:26" ht="15.75" customHeight="1">
      <c r="A1011" s="937"/>
      <c r="B1011" s="937"/>
      <c r="C1011" s="937"/>
      <c r="D1011" s="937"/>
      <c r="E1011" s="937"/>
      <c r="F1011" s="937"/>
      <c r="G1011" s="937"/>
      <c r="H1011" s="937"/>
      <c r="I1011" s="937"/>
      <c r="J1011" s="937"/>
      <c r="K1011" s="937"/>
      <c r="L1011" s="937"/>
      <c r="M1011" s="937"/>
      <c r="N1011" s="937"/>
      <c r="O1011" s="937"/>
      <c r="P1011" s="937"/>
      <c r="Q1011" s="937"/>
      <c r="R1011" s="937"/>
      <c r="S1011" s="937"/>
      <c r="T1011" s="937"/>
      <c r="U1011" s="937"/>
      <c r="V1011" s="937"/>
      <c r="W1011" s="937"/>
      <c r="X1011" s="937"/>
      <c r="Y1011" s="937"/>
      <c r="Z1011" s="937"/>
    </row>
    <row r="1012" spans="1:26" ht="15.75" customHeight="1">
      <c r="A1012" s="937"/>
      <c r="B1012" s="937"/>
      <c r="C1012" s="937"/>
      <c r="D1012" s="937"/>
      <c r="E1012" s="937"/>
      <c r="F1012" s="937"/>
      <c r="G1012" s="937"/>
      <c r="H1012" s="937"/>
      <c r="I1012" s="937"/>
      <c r="J1012" s="937"/>
      <c r="K1012" s="937"/>
      <c r="L1012" s="937"/>
      <c r="M1012" s="937"/>
      <c r="N1012" s="937"/>
      <c r="O1012" s="937"/>
      <c r="P1012" s="937"/>
      <c r="Q1012" s="937"/>
      <c r="R1012" s="937"/>
      <c r="S1012" s="937"/>
      <c r="T1012" s="937"/>
      <c r="U1012" s="937"/>
      <c r="V1012" s="937"/>
      <c r="W1012" s="937"/>
      <c r="X1012" s="937"/>
      <c r="Y1012" s="937"/>
      <c r="Z1012" s="937"/>
    </row>
    <row r="1013" spans="1:26" ht="15.75" customHeight="1">
      <c r="A1013" s="937"/>
      <c r="B1013" s="937"/>
      <c r="C1013" s="937"/>
      <c r="D1013" s="937"/>
      <c r="E1013" s="937"/>
      <c r="F1013" s="937"/>
      <c r="G1013" s="937"/>
      <c r="H1013" s="937"/>
      <c r="I1013" s="937"/>
      <c r="J1013" s="937"/>
      <c r="K1013" s="937"/>
      <c r="L1013" s="937"/>
      <c r="M1013" s="937"/>
      <c r="N1013" s="937"/>
      <c r="O1013" s="937"/>
      <c r="P1013" s="937"/>
      <c r="Q1013" s="937"/>
      <c r="R1013" s="937"/>
      <c r="S1013" s="937"/>
      <c r="T1013" s="937"/>
      <c r="U1013" s="937"/>
      <c r="V1013" s="937"/>
      <c r="W1013" s="937"/>
      <c r="X1013" s="937"/>
      <c r="Y1013" s="937"/>
      <c r="Z1013" s="937"/>
    </row>
    <row r="1014" spans="1:26" ht="15.75" customHeight="1">
      <c r="A1014" s="937"/>
      <c r="B1014" s="937"/>
      <c r="C1014" s="937"/>
      <c r="D1014" s="937"/>
      <c r="E1014" s="937"/>
      <c r="F1014" s="937"/>
      <c r="G1014" s="937"/>
      <c r="H1014" s="937"/>
      <c r="I1014" s="937"/>
      <c r="J1014" s="937"/>
      <c r="K1014" s="937"/>
      <c r="L1014" s="937"/>
      <c r="M1014" s="937"/>
      <c r="N1014" s="937"/>
      <c r="O1014" s="937"/>
      <c r="P1014" s="937"/>
      <c r="Q1014" s="937"/>
      <c r="R1014" s="937"/>
      <c r="S1014" s="937"/>
      <c r="T1014" s="937"/>
      <c r="U1014" s="937"/>
      <c r="V1014" s="937"/>
      <c r="W1014" s="937"/>
      <c r="X1014" s="937"/>
      <c r="Y1014" s="937"/>
      <c r="Z1014" s="937"/>
    </row>
    <row r="1015" spans="1:26" ht="15.75" customHeight="1">
      <c r="A1015" s="937"/>
      <c r="B1015" s="937"/>
      <c r="C1015" s="937"/>
      <c r="D1015" s="937"/>
      <c r="E1015" s="937"/>
      <c r="F1015" s="937"/>
      <c r="G1015" s="937"/>
      <c r="H1015" s="937"/>
      <c r="I1015" s="937"/>
      <c r="J1015" s="937"/>
      <c r="K1015" s="937"/>
      <c r="L1015" s="937"/>
      <c r="M1015" s="937"/>
      <c r="N1015" s="937"/>
      <c r="O1015" s="937"/>
      <c r="P1015" s="937"/>
      <c r="Q1015" s="937"/>
      <c r="R1015" s="937"/>
      <c r="S1015" s="937"/>
      <c r="T1015" s="937"/>
      <c r="U1015" s="937"/>
      <c r="V1015" s="937"/>
      <c r="W1015" s="937"/>
      <c r="X1015" s="937"/>
      <c r="Y1015" s="937"/>
      <c r="Z1015" s="937"/>
    </row>
    <row r="1016" spans="1:26" ht="15.75" customHeight="1">
      <c r="A1016" s="937"/>
      <c r="B1016" s="937"/>
      <c r="C1016" s="937"/>
      <c r="D1016" s="937"/>
      <c r="E1016" s="937"/>
      <c r="F1016" s="937"/>
      <c r="G1016" s="937"/>
      <c r="H1016" s="937"/>
      <c r="I1016" s="937"/>
      <c r="J1016" s="937"/>
      <c r="K1016" s="937"/>
      <c r="L1016" s="937"/>
      <c r="M1016" s="937"/>
      <c r="N1016" s="937"/>
      <c r="O1016" s="937"/>
      <c r="P1016" s="937"/>
      <c r="Q1016" s="937"/>
      <c r="R1016" s="937"/>
      <c r="S1016" s="937"/>
      <c r="T1016" s="937"/>
      <c r="U1016" s="937"/>
      <c r="V1016" s="937"/>
      <c r="W1016" s="937"/>
      <c r="X1016" s="937"/>
      <c r="Y1016" s="937"/>
      <c r="Z1016" s="937"/>
    </row>
    <row r="1017" spans="1:26" ht="15.75" customHeight="1">
      <c r="A1017" s="937"/>
      <c r="B1017" s="937"/>
      <c r="C1017" s="937"/>
      <c r="D1017" s="937"/>
      <c r="E1017" s="937"/>
      <c r="F1017" s="937"/>
      <c r="G1017" s="937"/>
      <c r="H1017" s="937"/>
      <c r="I1017" s="937"/>
      <c r="J1017" s="937"/>
      <c r="K1017" s="937"/>
      <c r="L1017" s="937"/>
      <c r="M1017" s="937"/>
      <c r="N1017" s="937"/>
      <c r="O1017" s="937"/>
      <c r="P1017" s="937"/>
      <c r="Q1017" s="937"/>
      <c r="R1017" s="937"/>
      <c r="S1017" s="937"/>
      <c r="T1017" s="937"/>
      <c r="U1017" s="937"/>
      <c r="V1017" s="937"/>
      <c r="W1017" s="937"/>
      <c r="X1017" s="937"/>
      <c r="Y1017" s="937"/>
      <c r="Z1017" s="937"/>
    </row>
    <row r="1018" spans="1:26" ht="15.75" customHeight="1">
      <c r="A1018" s="937"/>
      <c r="B1018" s="937"/>
      <c r="C1018" s="937"/>
      <c r="D1018" s="937"/>
      <c r="E1018" s="937"/>
      <c r="F1018" s="937"/>
      <c r="G1018" s="937"/>
      <c r="H1018" s="937"/>
      <c r="I1018" s="937"/>
      <c r="J1018" s="937"/>
      <c r="K1018" s="937"/>
      <c r="L1018" s="937"/>
      <c r="M1018" s="937"/>
      <c r="N1018" s="937"/>
      <c r="O1018" s="937"/>
      <c r="P1018" s="937"/>
      <c r="Q1018" s="937"/>
      <c r="R1018" s="937"/>
      <c r="S1018" s="937"/>
      <c r="T1018" s="937"/>
      <c r="U1018" s="937"/>
      <c r="V1018" s="937"/>
      <c r="W1018" s="937"/>
      <c r="X1018" s="937"/>
      <c r="Y1018" s="937"/>
      <c r="Z1018" s="937"/>
    </row>
    <row r="1019" spans="1:26" ht="15.75" customHeight="1">
      <c r="A1019" s="937"/>
      <c r="B1019" s="937"/>
      <c r="C1019" s="937"/>
      <c r="D1019" s="937"/>
      <c r="E1019" s="937"/>
      <c r="F1019" s="937"/>
      <c r="G1019" s="937"/>
      <c r="H1019" s="937"/>
      <c r="I1019" s="937"/>
      <c r="J1019" s="937"/>
      <c r="K1019" s="937"/>
      <c r="L1019" s="937"/>
      <c r="M1019" s="937"/>
      <c r="N1019" s="937"/>
      <c r="O1019" s="937"/>
      <c r="P1019" s="937"/>
      <c r="Q1019" s="937"/>
      <c r="R1019" s="937"/>
      <c r="S1019" s="937"/>
      <c r="T1019" s="937"/>
      <c r="U1019" s="937"/>
      <c r="V1019" s="937"/>
      <c r="W1019" s="937"/>
      <c r="X1019" s="937"/>
      <c r="Y1019" s="937"/>
      <c r="Z1019" s="937"/>
    </row>
    <row r="1020" spans="1:26" ht="15.75" customHeight="1">
      <c r="A1020" s="937"/>
      <c r="B1020" s="937"/>
      <c r="C1020" s="937"/>
      <c r="D1020" s="937"/>
      <c r="E1020" s="937"/>
      <c r="F1020" s="937"/>
      <c r="G1020" s="937"/>
      <c r="H1020" s="937"/>
      <c r="I1020" s="937"/>
      <c r="J1020" s="937"/>
      <c r="K1020" s="937"/>
      <c r="L1020" s="937"/>
      <c r="M1020" s="937"/>
      <c r="N1020" s="937"/>
      <c r="O1020" s="937"/>
      <c r="P1020" s="937"/>
      <c r="Q1020" s="937"/>
      <c r="R1020" s="937"/>
      <c r="S1020" s="937"/>
      <c r="T1020" s="937"/>
      <c r="U1020" s="937"/>
      <c r="V1020" s="937"/>
      <c r="W1020" s="937"/>
      <c r="X1020" s="937"/>
      <c r="Y1020" s="937"/>
      <c r="Z1020" s="937"/>
    </row>
    <row r="1021" spans="1:26" ht="15.75" customHeight="1">
      <c r="A1021" s="937"/>
      <c r="B1021" s="937"/>
      <c r="C1021" s="937"/>
      <c r="D1021" s="937"/>
      <c r="E1021" s="937"/>
      <c r="F1021" s="937"/>
      <c r="G1021" s="937"/>
      <c r="H1021" s="937"/>
      <c r="I1021" s="937"/>
      <c r="J1021" s="937"/>
      <c r="K1021" s="937"/>
      <c r="L1021" s="937"/>
      <c r="M1021" s="937"/>
      <c r="N1021" s="937"/>
      <c r="O1021" s="937"/>
      <c r="P1021" s="937"/>
      <c r="Q1021" s="937"/>
      <c r="R1021" s="937"/>
      <c r="S1021" s="937"/>
      <c r="T1021" s="937"/>
      <c r="U1021" s="937"/>
      <c r="V1021" s="937"/>
      <c r="W1021" s="937"/>
      <c r="X1021" s="937"/>
      <c r="Y1021" s="937"/>
      <c r="Z1021" s="937"/>
    </row>
    <row r="1022" spans="1:26" ht="15.75" customHeight="1">
      <c r="A1022" s="937"/>
      <c r="B1022" s="937"/>
      <c r="C1022" s="937"/>
      <c r="D1022" s="937"/>
      <c r="E1022" s="937"/>
      <c r="F1022" s="937"/>
      <c r="G1022" s="937"/>
      <c r="H1022" s="937"/>
      <c r="I1022" s="937"/>
      <c r="J1022" s="937"/>
      <c r="K1022" s="937"/>
      <c r="L1022" s="937"/>
      <c r="M1022" s="937"/>
      <c r="N1022" s="937"/>
      <c r="O1022" s="937"/>
      <c r="P1022" s="937"/>
      <c r="Q1022" s="937"/>
      <c r="R1022" s="937"/>
      <c r="S1022" s="937"/>
      <c r="T1022" s="937"/>
      <c r="U1022" s="937"/>
      <c r="V1022" s="937"/>
      <c r="W1022" s="937"/>
      <c r="X1022" s="937"/>
      <c r="Y1022" s="937"/>
      <c r="Z1022" s="937"/>
    </row>
    <row r="1023" spans="1:26" ht="15.75" customHeight="1">
      <c r="A1023" s="937"/>
      <c r="B1023" s="937"/>
      <c r="C1023" s="937"/>
      <c r="D1023" s="937"/>
      <c r="E1023" s="937"/>
      <c r="F1023" s="937"/>
      <c r="G1023" s="937"/>
      <c r="H1023" s="937"/>
      <c r="I1023" s="937"/>
      <c r="J1023" s="937"/>
      <c r="K1023" s="937"/>
      <c r="L1023" s="937"/>
      <c r="M1023" s="937"/>
      <c r="N1023" s="937"/>
      <c r="O1023" s="937"/>
      <c r="P1023" s="937"/>
      <c r="Q1023" s="937"/>
      <c r="R1023" s="937"/>
      <c r="S1023" s="937"/>
      <c r="T1023" s="937"/>
      <c r="U1023" s="937"/>
      <c r="V1023" s="937"/>
      <c r="W1023" s="937"/>
      <c r="X1023" s="937"/>
      <c r="Y1023" s="937"/>
      <c r="Z1023" s="937"/>
    </row>
    <row r="1024" spans="1:26" ht="15.75" customHeight="1">
      <c r="A1024" s="937"/>
      <c r="B1024" s="937"/>
      <c r="C1024" s="937"/>
      <c r="D1024" s="937"/>
      <c r="E1024" s="937"/>
      <c r="F1024" s="937"/>
      <c r="G1024" s="937"/>
      <c r="H1024" s="937"/>
      <c r="I1024" s="937"/>
      <c r="J1024" s="937"/>
      <c r="K1024" s="937"/>
      <c r="L1024" s="937"/>
      <c r="M1024" s="937"/>
      <c r="N1024" s="937"/>
      <c r="O1024" s="937"/>
      <c r="P1024" s="937"/>
      <c r="Q1024" s="937"/>
      <c r="R1024" s="937"/>
      <c r="S1024" s="937"/>
      <c r="T1024" s="937"/>
      <c r="U1024" s="937"/>
      <c r="V1024" s="937"/>
      <c r="W1024" s="937"/>
      <c r="X1024" s="937"/>
      <c r="Y1024" s="937"/>
      <c r="Z1024" s="937"/>
    </row>
    <row r="1025" spans="1:26" ht="15.75" customHeight="1">
      <c r="A1025" s="937"/>
      <c r="B1025" s="937"/>
      <c r="C1025" s="937"/>
      <c r="D1025" s="937"/>
      <c r="E1025" s="937"/>
      <c r="F1025" s="937"/>
      <c r="G1025" s="937"/>
      <c r="H1025" s="937"/>
      <c r="I1025" s="937"/>
      <c r="J1025" s="937"/>
      <c r="K1025" s="937"/>
      <c r="L1025" s="937"/>
      <c r="M1025" s="937"/>
      <c r="N1025" s="937"/>
      <c r="O1025" s="937"/>
      <c r="P1025" s="937"/>
      <c r="Q1025" s="937"/>
      <c r="R1025" s="937"/>
      <c r="S1025" s="937"/>
      <c r="T1025" s="937"/>
      <c r="U1025" s="937"/>
      <c r="V1025" s="937"/>
      <c r="W1025" s="937"/>
      <c r="X1025" s="937"/>
      <c r="Y1025" s="937"/>
      <c r="Z1025" s="937"/>
    </row>
    <row r="1026" spans="1:26" ht="15.75" customHeight="1">
      <c r="A1026" s="937"/>
      <c r="B1026" s="937"/>
      <c r="C1026" s="937"/>
      <c r="D1026" s="937"/>
      <c r="E1026" s="937"/>
      <c r="F1026" s="937"/>
      <c r="G1026" s="937"/>
      <c r="H1026" s="937"/>
      <c r="I1026" s="937"/>
      <c r="J1026" s="937"/>
      <c r="K1026" s="937"/>
      <c r="L1026" s="937"/>
      <c r="M1026" s="937"/>
      <c r="N1026" s="937"/>
      <c r="O1026" s="937"/>
      <c r="P1026" s="937"/>
      <c r="Q1026" s="937"/>
      <c r="R1026" s="937"/>
      <c r="S1026" s="937"/>
      <c r="T1026" s="937"/>
      <c r="U1026" s="937"/>
      <c r="V1026" s="937"/>
      <c r="W1026" s="937"/>
      <c r="X1026" s="937"/>
      <c r="Y1026" s="937"/>
      <c r="Z1026" s="937"/>
    </row>
    <row r="1027" spans="1:26" ht="15.75" customHeight="1">
      <c r="A1027" s="937"/>
      <c r="B1027" s="937"/>
      <c r="C1027" s="937"/>
      <c r="D1027" s="937"/>
      <c r="E1027" s="937"/>
      <c r="F1027" s="937"/>
      <c r="G1027" s="937"/>
      <c r="H1027" s="937"/>
      <c r="I1027" s="937"/>
      <c r="J1027" s="937"/>
      <c r="K1027" s="937"/>
      <c r="L1027" s="937"/>
      <c r="M1027" s="937"/>
      <c r="N1027" s="937"/>
      <c r="O1027" s="937"/>
      <c r="P1027" s="937"/>
      <c r="Q1027" s="937"/>
      <c r="R1027" s="937"/>
      <c r="S1027" s="937"/>
      <c r="T1027" s="937"/>
      <c r="U1027" s="937"/>
      <c r="V1027" s="937"/>
      <c r="W1027" s="937"/>
      <c r="X1027" s="937"/>
      <c r="Y1027" s="937"/>
      <c r="Z1027" s="937"/>
    </row>
    <row r="1028" spans="1:26" ht="15.75" customHeight="1">
      <c r="A1028" s="937"/>
      <c r="B1028" s="937"/>
      <c r="C1028" s="937"/>
      <c r="D1028" s="937"/>
      <c r="E1028" s="937"/>
      <c r="F1028" s="937"/>
      <c r="G1028" s="937"/>
      <c r="H1028" s="937"/>
      <c r="I1028" s="937"/>
      <c r="J1028" s="937"/>
      <c r="K1028" s="937"/>
      <c r="L1028" s="937"/>
      <c r="M1028" s="937"/>
      <c r="N1028" s="937"/>
      <c r="O1028" s="937"/>
      <c r="P1028" s="937"/>
      <c r="Q1028" s="937"/>
      <c r="R1028" s="937"/>
      <c r="S1028" s="937"/>
      <c r="T1028" s="937"/>
      <c r="U1028" s="937"/>
      <c r="V1028" s="937"/>
      <c r="W1028" s="937"/>
      <c r="X1028" s="937"/>
      <c r="Y1028" s="937"/>
      <c r="Z1028" s="937"/>
    </row>
    <row r="1029" spans="1:26" ht="15.75" customHeight="1">
      <c r="A1029" s="937"/>
      <c r="B1029" s="937"/>
      <c r="C1029" s="937"/>
      <c r="D1029" s="937"/>
      <c r="E1029" s="937"/>
      <c r="F1029" s="937"/>
      <c r="G1029" s="937"/>
      <c r="H1029" s="937"/>
      <c r="I1029" s="937"/>
      <c r="J1029" s="937"/>
      <c r="K1029" s="937"/>
      <c r="L1029" s="937"/>
      <c r="M1029" s="937"/>
      <c r="N1029" s="937"/>
      <c r="O1029" s="937"/>
      <c r="P1029" s="937"/>
      <c r="Q1029" s="937"/>
      <c r="R1029" s="937"/>
      <c r="S1029" s="937"/>
      <c r="T1029" s="937"/>
      <c r="U1029" s="937"/>
      <c r="V1029" s="937"/>
      <c r="W1029" s="937"/>
      <c r="X1029" s="937"/>
      <c r="Y1029" s="937"/>
      <c r="Z1029" s="937"/>
    </row>
    <row r="1030" spans="1:26" ht="15.75" customHeight="1">
      <c r="A1030" s="937"/>
      <c r="B1030" s="937"/>
      <c r="C1030" s="937"/>
      <c r="D1030" s="937"/>
      <c r="E1030" s="937"/>
      <c r="F1030" s="937"/>
      <c r="G1030" s="937"/>
      <c r="H1030" s="937"/>
      <c r="I1030" s="937"/>
      <c r="J1030" s="937"/>
      <c r="K1030" s="937"/>
      <c r="L1030" s="937"/>
      <c r="M1030" s="937"/>
      <c r="N1030" s="937"/>
      <c r="O1030" s="937"/>
      <c r="P1030" s="937"/>
      <c r="Q1030" s="937"/>
      <c r="R1030" s="937"/>
      <c r="S1030" s="937"/>
      <c r="T1030" s="937"/>
      <c r="U1030" s="937"/>
      <c r="V1030" s="937"/>
      <c r="W1030" s="937"/>
      <c r="X1030" s="937"/>
      <c r="Y1030" s="937"/>
      <c r="Z1030" s="937"/>
    </row>
    <row r="1031" spans="1:26" ht="15.75" customHeight="1">
      <c r="A1031" s="937"/>
      <c r="B1031" s="937"/>
      <c r="C1031" s="937"/>
      <c r="D1031" s="937"/>
      <c r="E1031" s="937"/>
      <c r="F1031" s="937"/>
      <c r="G1031" s="937"/>
      <c r="H1031" s="937"/>
      <c r="I1031" s="937"/>
      <c r="J1031" s="937"/>
      <c r="K1031" s="937"/>
      <c r="L1031" s="937"/>
      <c r="M1031" s="937"/>
      <c r="N1031" s="937"/>
      <c r="O1031" s="937"/>
      <c r="P1031" s="937"/>
      <c r="Q1031" s="937"/>
      <c r="R1031" s="937"/>
      <c r="S1031" s="937"/>
      <c r="T1031" s="937"/>
      <c r="U1031" s="937"/>
      <c r="V1031" s="937"/>
      <c r="W1031" s="937"/>
      <c r="X1031" s="937"/>
      <c r="Y1031" s="937"/>
      <c r="Z1031" s="937"/>
    </row>
    <row r="1032" spans="1:26" ht="15.75" customHeight="1">
      <c r="A1032" s="937"/>
      <c r="B1032" s="937"/>
      <c r="C1032" s="937"/>
      <c r="D1032" s="937"/>
      <c r="E1032" s="937"/>
      <c r="F1032" s="937"/>
      <c r="G1032" s="937"/>
      <c r="H1032" s="937"/>
      <c r="I1032" s="937"/>
      <c r="J1032" s="937"/>
      <c r="K1032" s="937"/>
      <c r="L1032" s="937"/>
      <c r="M1032" s="937"/>
      <c r="N1032" s="937"/>
      <c r="O1032" s="937"/>
      <c r="P1032" s="937"/>
      <c r="Q1032" s="937"/>
      <c r="R1032" s="937"/>
      <c r="S1032" s="937"/>
      <c r="T1032" s="937"/>
      <c r="U1032" s="937"/>
      <c r="V1032" s="937"/>
      <c r="W1032" s="937"/>
      <c r="X1032" s="937"/>
      <c r="Y1032" s="937"/>
      <c r="Z1032" s="937"/>
    </row>
    <row r="1033" spans="1:26" ht="15.75" customHeight="1">
      <c r="A1033" s="937"/>
      <c r="B1033" s="937"/>
      <c r="C1033" s="937"/>
      <c r="D1033" s="937"/>
      <c r="E1033" s="937"/>
      <c r="F1033" s="937"/>
      <c r="G1033" s="937"/>
      <c r="H1033" s="937"/>
      <c r="I1033" s="937"/>
      <c r="J1033" s="937"/>
      <c r="K1033" s="937"/>
      <c r="L1033" s="937"/>
      <c r="M1033" s="937"/>
      <c r="N1033" s="937"/>
      <c r="O1033" s="937"/>
      <c r="P1033" s="937"/>
      <c r="Q1033" s="937"/>
      <c r="R1033" s="937"/>
      <c r="S1033" s="937"/>
      <c r="T1033" s="937"/>
      <c r="U1033" s="937"/>
      <c r="V1033" s="937"/>
      <c r="W1033" s="937"/>
      <c r="X1033" s="937"/>
      <c r="Y1033" s="937"/>
      <c r="Z1033" s="937"/>
    </row>
    <row r="1034" spans="1:26" ht="15.75" customHeight="1">
      <c r="A1034" s="937"/>
      <c r="B1034" s="937"/>
      <c r="C1034" s="937"/>
      <c r="D1034" s="937"/>
      <c r="E1034" s="937"/>
      <c r="F1034" s="937"/>
      <c r="G1034" s="937"/>
      <c r="H1034" s="937"/>
      <c r="I1034" s="937"/>
      <c r="J1034" s="937"/>
      <c r="K1034" s="937"/>
      <c r="L1034" s="937"/>
      <c r="M1034" s="937"/>
      <c r="N1034" s="937"/>
      <c r="O1034" s="937"/>
      <c r="P1034" s="937"/>
      <c r="Q1034" s="937"/>
      <c r="R1034" s="937"/>
      <c r="S1034" s="937"/>
      <c r="T1034" s="937"/>
      <c r="U1034" s="937"/>
      <c r="V1034" s="937"/>
      <c r="W1034" s="937"/>
      <c r="X1034" s="937"/>
      <c r="Y1034" s="937"/>
      <c r="Z1034" s="937"/>
    </row>
    <row r="1035" spans="1:26" ht="15.75" customHeight="1">
      <c r="A1035" s="937"/>
      <c r="B1035" s="937"/>
      <c r="C1035" s="937"/>
      <c r="D1035" s="937"/>
      <c r="E1035" s="937"/>
      <c r="F1035" s="937"/>
      <c r="G1035" s="937"/>
      <c r="H1035" s="937"/>
      <c r="I1035" s="937"/>
      <c r="J1035" s="937"/>
      <c r="K1035" s="937"/>
      <c r="L1035" s="937"/>
      <c r="M1035" s="937"/>
      <c r="N1035" s="937"/>
      <c r="O1035" s="937"/>
      <c r="P1035" s="937"/>
      <c r="Q1035" s="937"/>
      <c r="R1035" s="937"/>
      <c r="S1035" s="937"/>
      <c r="T1035" s="937"/>
      <c r="U1035" s="937"/>
      <c r="V1035" s="937"/>
      <c r="W1035" s="937"/>
      <c r="X1035" s="937"/>
      <c r="Y1035" s="937"/>
      <c r="Z1035" s="937"/>
    </row>
    <row r="1036" spans="1:26" ht="15.75" customHeight="1">
      <c r="A1036" s="937"/>
      <c r="B1036" s="937"/>
      <c r="C1036" s="937"/>
      <c r="D1036" s="937"/>
      <c r="E1036" s="937"/>
      <c r="F1036" s="937"/>
      <c r="G1036" s="937"/>
      <c r="H1036" s="937"/>
      <c r="I1036" s="937"/>
      <c r="J1036" s="937"/>
      <c r="K1036" s="937"/>
      <c r="L1036" s="937"/>
      <c r="M1036" s="937"/>
      <c r="N1036" s="937"/>
      <c r="O1036" s="937"/>
      <c r="P1036" s="937"/>
      <c r="Q1036" s="937"/>
      <c r="R1036" s="937"/>
      <c r="S1036" s="937"/>
      <c r="T1036" s="937"/>
      <c r="U1036" s="937"/>
      <c r="V1036" s="937"/>
      <c r="W1036" s="937"/>
      <c r="X1036" s="937"/>
      <c r="Y1036" s="937"/>
      <c r="Z1036" s="937"/>
    </row>
    <row r="1037" spans="1:26" ht="15.75" customHeight="1">
      <c r="A1037" s="937"/>
      <c r="B1037" s="937"/>
      <c r="C1037" s="937"/>
      <c r="D1037" s="937"/>
      <c r="E1037" s="937"/>
      <c r="F1037" s="937"/>
      <c r="G1037" s="937"/>
      <c r="H1037" s="937"/>
      <c r="I1037" s="937"/>
      <c r="J1037" s="937"/>
      <c r="K1037" s="937"/>
      <c r="L1037" s="937"/>
      <c r="M1037" s="937"/>
      <c r="N1037" s="937"/>
      <c r="O1037" s="937"/>
      <c r="P1037" s="937"/>
      <c r="Q1037" s="937"/>
      <c r="R1037" s="937"/>
      <c r="S1037" s="937"/>
      <c r="T1037" s="937"/>
      <c r="U1037" s="937"/>
      <c r="V1037" s="937"/>
      <c r="W1037" s="937"/>
      <c r="X1037" s="937"/>
      <c r="Y1037" s="937"/>
      <c r="Z1037" s="937"/>
    </row>
    <row r="1038" spans="1:26" ht="15.75" customHeight="1">
      <c r="A1038" s="937"/>
      <c r="B1038" s="937"/>
      <c r="C1038" s="937"/>
      <c r="D1038" s="937"/>
      <c r="E1038" s="937"/>
      <c r="F1038" s="937"/>
      <c r="G1038" s="937"/>
      <c r="H1038" s="937"/>
      <c r="I1038" s="937"/>
      <c r="J1038" s="937"/>
      <c r="K1038" s="937"/>
      <c r="L1038" s="937"/>
      <c r="M1038" s="937"/>
      <c r="N1038" s="937"/>
      <c r="O1038" s="937"/>
      <c r="P1038" s="937"/>
      <c r="Q1038" s="937"/>
      <c r="R1038" s="937"/>
      <c r="S1038" s="937"/>
      <c r="T1038" s="937"/>
      <c r="U1038" s="937"/>
      <c r="V1038" s="937"/>
      <c r="W1038" s="937"/>
      <c r="X1038" s="937"/>
      <c r="Y1038" s="937"/>
      <c r="Z1038" s="937"/>
    </row>
    <row r="1039" spans="1:26" ht="15.75" customHeight="1">
      <c r="A1039" s="937"/>
      <c r="B1039" s="937"/>
      <c r="C1039" s="937"/>
      <c r="D1039" s="937"/>
      <c r="E1039" s="937"/>
      <c r="F1039" s="937"/>
      <c r="G1039" s="937"/>
      <c r="H1039" s="937"/>
      <c r="I1039" s="937"/>
      <c r="J1039" s="937"/>
      <c r="K1039" s="937"/>
      <c r="L1039" s="937"/>
      <c r="M1039" s="937"/>
      <c r="N1039" s="937"/>
      <c r="O1039" s="937"/>
      <c r="P1039" s="937"/>
      <c r="Q1039" s="937"/>
      <c r="R1039" s="937"/>
      <c r="S1039" s="937"/>
      <c r="T1039" s="937"/>
      <c r="U1039" s="937"/>
      <c r="V1039" s="937"/>
      <c r="W1039" s="937"/>
      <c r="X1039" s="937"/>
      <c r="Y1039" s="937"/>
      <c r="Z1039" s="937"/>
    </row>
    <row r="1040" spans="1:26" ht="15.75" customHeight="1">
      <c r="A1040" s="937"/>
      <c r="B1040" s="937"/>
      <c r="C1040" s="937"/>
      <c r="D1040" s="937"/>
      <c r="E1040" s="937"/>
      <c r="F1040" s="937"/>
      <c r="G1040" s="937"/>
      <c r="H1040" s="937"/>
      <c r="I1040" s="937"/>
      <c r="J1040" s="937"/>
      <c r="K1040" s="937"/>
      <c r="L1040" s="937"/>
      <c r="M1040" s="937"/>
      <c r="N1040" s="937"/>
      <c r="O1040" s="937"/>
      <c r="P1040" s="937"/>
      <c r="Q1040" s="937"/>
      <c r="R1040" s="937"/>
      <c r="S1040" s="937"/>
      <c r="T1040" s="937"/>
      <c r="U1040" s="937"/>
      <c r="V1040" s="937"/>
      <c r="W1040" s="937"/>
      <c r="X1040" s="937"/>
      <c r="Y1040" s="937"/>
      <c r="Z1040" s="937"/>
    </row>
    <row r="1041" spans="1:26" ht="15.75" customHeight="1">
      <c r="A1041" s="937"/>
      <c r="B1041" s="937"/>
      <c r="C1041" s="937"/>
      <c r="D1041" s="937"/>
      <c r="E1041" s="937"/>
      <c r="F1041" s="937"/>
      <c r="G1041" s="937"/>
      <c r="H1041" s="937"/>
      <c r="I1041" s="937"/>
      <c r="J1041" s="937"/>
      <c r="K1041" s="937"/>
      <c r="L1041" s="937"/>
      <c r="M1041" s="937"/>
      <c r="N1041" s="937"/>
      <c r="O1041" s="937"/>
      <c r="P1041" s="937"/>
      <c r="Q1041" s="937"/>
      <c r="R1041" s="937"/>
      <c r="S1041" s="937"/>
      <c r="T1041" s="937"/>
      <c r="U1041" s="937"/>
      <c r="V1041" s="937"/>
      <c r="W1041" s="937"/>
      <c r="X1041" s="937"/>
      <c r="Y1041" s="937"/>
      <c r="Z1041" s="937"/>
    </row>
    <row r="1042" spans="1:26" ht="15.75" customHeight="1">
      <c r="A1042" s="937"/>
      <c r="B1042" s="937"/>
      <c r="C1042" s="937"/>
      <c r="D1042" s="937"/>
      <c r="E1042" s="937"/>
      <c r="F1042" s="937"/>
      <c r="G1042" s="937"/>
      <c r="H1042" s="937"/>
      <c r="I1042" s="937"/>
      <c r="J1042" s="937"/>
      <c r="K1042" s="937"/>
      <c r="L1042" s="937"/>
      <c r="M1042" s="937"/>
      <c r="N1042" s="937"/>
      <c r="O1042" s="937"/>
      <c r="P1042" s="937"/>
      <c r="Q1042" s="937"/>
      <c r="R1042" s="937"/>
      <c r="S1042" s="937"/>
      <c r="T1042" s="937"/>
      <c r="U1042" s="937"/>
      <c r="V1042" s="937"/>
      <c r="W1042" s="937"/>
      <c r="X1042" s="937"/>
      <c r="Y1042" s="937"/>
      <c r="Z1042" s="937"/>
    </row>
    <row r="1043" spans="1:26" ht="15.75" customHeight="1">
      <c r="A1043" s="937"/>
      <c r="B1043" s="937"/>
      <c r="C1043" s="937"/>
      <c r="D1043" s="937"/>
      <c r="E1043" s="937"/>
      <c r="F1043" s="937"/>
      <c r="G1043" s="937"/>
      <c r="H1043" s="937"/>
      <c r="I1043" s="937"/>
      <c r="J1043" s="937"/>
      <c r="K1043" s="937"/>
      <c r="L1043" s="937"/>
      <c r="M1043" s="937"/>
      <c r="N1043" s="937"/>
      <c r="O1043" s="937"/>
      <c r="P1043" s="937"/>
      <c r="Q1043" s="937"/>
      <c r="R1043" s="937"/>
      <c r="S1043" s="937"/>
      <c r="T1043" s="937"/>
      <c r="U1043" s="937"/>
      <c r="V1043" s="937"/>
      <c r="W1043" s="937"/>
      <c r="X1043" s="937"/>
      <c r="Y1043" s="937"/>
      <c r="Z1043" s="937"/>
    </row>
    <row r="1044" spans="1:26" ht="15.75" customHeight="1">
      <c r="A1044" s="937"/>
      <c r="B1044" s="937"/>
      <c r="C1044" s="937"/>
      <c r="D1044" s="937"/>
      <c r="E1044" s="937"/>
      <c r="F1044" s="937"/>
      <c r="G1044" s="937"/>
      <c r="H1044" s="937"/>
      <c r="I1044" s="937"/>
      <c r="J1044" s="937"/>
      <c r="K1044" s="937"/>
      <c r="L1044" s="937"/>
      <c r="M1044" s="937"/>
      <c r="N1044" s="937"/>
      <c r="O1044" s="937"/>
      <c r="P1044" s="937"/>
      <c r="Q1044" s="937"/>
      <c r="R1044" s="937"/>
      <c r="S1044" s="937"/>
      <c r="T1044" s="937"/>
      <c r="U1044" s="937"/>
      <c r="V1044" s="937"/>
      <c r="W1044" s="937"/>
      <c r="X1044" s="937"/>
      <c r="Y1044" s="937"/>
      <c r="Z1044" s="937"/>
    </row>
    <row r="1045" spans="1:26" ht="15.75" customHeight="1">
      <c r="A1045" s="937"/>
      <c r="B1045" s="937"/>
      <c r="C1045" s="937"/>
      <c r="D1045" s="937"/>
      <c r="E1045" s="937"/>
      <c r="F1045" s="937"/>
      <c r="G1045" s="937"/>
      <c r="H1045" s="937"/>
      <c r="I1045" s="937"/>
      <c r="J1045" s="937"/>
      <c r="K1045" s="937"/>
      <c r="L1045" s="937"/>
      <c r="M1045" s="937"/>
      <c r="N1045" s="937"/>
      <c r="O1045" s="937"/>
      <c r="P1045" s="937"/>
      <c r="Q1045" s="937"/>
      <c r="R1045" s="937"/>
      <c r="S1045" s="937"/>
      <c r="T1045" s="937"/>
      <c r="U1045" s="937"/>
      <c r="V1045" s="937"/>
      <c r="W1045" s="937"/>
      <c r="X1045" s="937"/>
      <c r="Y1045" s="937"/>
      <c r="Z1045" s="937"/>
    </row>
    <row r="1046" spans="1:26" ht="15.75" customHeight="1">
      <c r="A1046" s="937"/>
      <c r="B1046" s="937"/>
      <c r="C1046" s="937"/>
      <c r="D1046" s="937"/>
      <c r="E1046" s="937"/>
      <c r="F1046" s="937"/>
      <c r="G1046" s="937"/>
      <c r="H1046" s="937"/>
      <c r="I1046" s="937"/>
      <c r="J1046" s="937"/>
      <c r="K1046" s="937"/>
      <c r="L1046" s="937"/>
      <c r="M1046" s="937"/>
      <c r="N1046" s="937"/>
      <c r="O1046" s="937"/>
      <c r="P1046" s="937"/>
      <c r="Q1046" s="937"/>
      <c r="R1046" s="937"/>
      <c r="S1046" s="937"/>
      <c r="T1046" s="937"/>
      <c r="U1046" s="937"/>
      <c r="V1046" s="937"/>
      <c r="W1046" s="937"/>
      <c r="X1046" s="937"/>
      <c r="Y1046" s="937"/>
      <c r="Z1046" s="937"/>
    </row>
    <row r="1047" spans="1:26" ht="15.75" customHeight="1">
      <c r="A1047" s="937"/>
      <c r="B1047" s="937"/>
      <c r="C1047" s="937"/>
      <c r="D1047" s="937"/>
      <c r="E1047" s="937"/>
      <c r="F1047" s="937"/>
      <c r="G1047" s="937"/>
      <c r="H1047" s="937"/>
      <c r="I1047" s="937"/>
      <c r="J1047" s="937"/>
      <c r="K1047" s="937"/>
      <c r="L1047" s="937"/>
      <c r="M1047" s="937"/>
      <c r="N1047" s="937"/>
      <c r="O1047" s="937"/>
      <c r="P1047" s="937"/>
      <c r="Q1047" s="937"/>
      <c r="R1047" s="937"/>
      <c r="S1047" s="937"/>
      <c r="T1047" s="937"/>
      <c r="U1047" s="937"/>
      <c r="V1047" s="937"/>
      <c r="W1047" s="937"/>
      <c r="X1047" s="937"/>
      <c r="Y1047" s="937"/>
      <c r="Z1047" s="937"/>
    </row>
    <row r="1048" spans="1:26" ht="15.75" customHeight="1">
      <c r="A1048" s="937"/>
      <c r="B1048" s="937"/>
      <c r="C1048" s="937"/>
      <c r="D1048" s="937"/>
      <c r="E1048" s="937"/>
      <c r="F1048" s="937"/>
      <c r="G1048" s="937"/>
      <c r="H1048" s="937"/>
      <c r="I1048" s="937"/>
      <c r="J1048" s="937"/>
      <c r="K1048" s="937"/>
      <c r="L1048" s="937"/>
      <c r="M1048" s="937"/>
      <c r="N1048" s="937"/>
      <c r="O1048" s="937"/>
      <c r="P1048" s="937"/>
      <c r="Q1048" s="937"/>
      <c r="R1048" s="937"/>
      <c r="S1048" s="937"/>
      <c r="T1048" s="937"/>
      <c r="U1048" s="937"/>
      <c r="V1048" s="937"/>
      <c r="W1048" s="937"/>
      <c r="X1048" s="937"/>
      <c r="Y1048" s="937"/>
      <c r="Z1048" s="937"/>
    </row>
    <row r="1049" spans="1:26" ht="15.75" customHeight="1">
      <c r="A1049" s="937"/>
      <c r="B1049" s="937"/>
      <c r="C1049" s="937"/>
      <c r="D1049" s="937"/>
      <c r="E1049" s="937"/>
      <c r="F1049" s="937"/>
      <c r="G1049" s="937"/>
      <c r="H1049" s="937"/>
      <c r="I1049" s="937"/>
      <c r="J1049" s="937"/>
      <c r="K1049" s="937"/>
      <c r="L1049" s="937"/>
      <c r="M1049" s="937"/>
      <c r="N1049" s="937"/>
      <c r="O1049" s="937"/>
      <c r="P1049" s="937"/>
      <c r="Q1049" s="937"/>
      <c r="R1049" s="937"/>
      <c r="S1049" s="937"/>
      <c r="T1049" s="937"/>
      <c r="U1049" s="937"/>
      <c r="V1049" s="937"/>
      <c r="W1049" s="937"/>
      <c r="X1049" s="937"/>
      <c r="Y1049" s="937"/>
      <c r="Z1049" s="937"/>
    </row>
    <row r="1050" spans="1:26" ht="15.75" customHeight="1">
      <c r="A1050" s="937"/>
      <c r="B1050" s="937"/>
      <c r="C1050" s="937"/>
      <c r="D1050" s="937"/>
      <c r="E1050" s="937"/>
      <c r="F1050" s="937"/>
      <c r="G1050" s="937"/>
      <c r="H1050" s="937"/>
      <c r="I1050" s="937"/>
      <c r="J1050" s="937"/>
      <c r="K1050" s="937"/>
      <c r="L1050" s="937"/>
      <c r="M1050" s="937"/>
      <c r="N1050" s="937"/>
      <c r="O1050" s="937"/>
      <c r="P1050" s="937"/>
      <c r="Q1050" s="937"/>
      <c r="R1050" s="937"/>
      <c r="S1050" s="937"/>
      <c r="T1050" s="937"/>
      <c r="U1050" s="937"/>
      <c r="V1050" s="937"/>
      <c r="W1050" s="937"/>
      <c r="X1050" s="937"/>
      <c r="Y1050" s="937"/>
      <c r="Z1050" s="937"/>
    </row>
    <row r="1051" spans="1:26" ht="15.75" customHeight="1">
      <c r="A1051" s="937"/>
      <c r="B1051" s="937"/>
      <c r="C1051" s="937"/>
      <c r="D1051" s="937"/>
      <c r="E1051" s="937"/>
      <c r="F1051" s="937"/>
      <c r="G1051" s="937"/>
      <c r="H1051" s="937"/>
      <c r="I1051" s="937"/>
      <c r="J1051" s="937"/>
      <c r="K1051" s="937"/>
      <c r="L1051" s="937"/>
      <c r="M1051" s="937"/>
      <c r="N1051" s="937"/>
      <c r="O1051" s="937"/>
      <c r="P1051" s="937"/>
      <c r="Q1051" s="937"/>
      <c r="R1051" s="937"/>
      <c r="S1051" s="937"/>
      <c r="T1051" s="937"/>
      <c r="U1051" s="937"/>
      <c r="V1051" s="937"/>
      <c r="W1051" s="937"/>
      <c r="X1051" s="937"/>
      <c r="Y1051" s="937"/>
      <c r="Z1051" s="937"/>
    </row>
    <row r="1052" spans="1:26" ht="15.75" customHeight="1">
      <c r="A1052" s="937"/>
      <c r="B1052" s="937"/>
      <c r="C1052" s="937"/>
      <c r="D1052" s="937"/>
      <c r="E1052" s="937"/>
      <c r="F1052" s="937"/>
      <c r="G1052" s="937"/>
      <c r="H1052" s="937"/>
      <c r="I1052" s="937"/>
      <c r="J1052" s="937"/>
      <c r="K1052" s="937"/>
      <c r="L1052" s="937"/>
      <c r="M1052" s="937"/>
      <c r="N1052" s="937"/>
      <c r="O1052" s="937"/>
      <c r="P1052" s="937"/>
      <c r="Q1052" s="937"/>
      <c r="R1052" s="937"/>
      <c r="S1052" s="937"/>
      <c r="T1052" s="937"/>
      <c r="U1052" s="937"/>
      <c r="V1052" s="937"/>
      <c r="W1052" s="937"/>
      <c r="X1052" s="937"/>
      <c r="Y1052" s="937"/>
      <c r="Z1052" s="937"/>
    </row>
    <row r="1053" spans="1:26" ht="15.75" customHeight="1">
      <c r="A1053" s="937"/>
      <c r="B1053" s="937"/>
      <c r="C1053" s="937"/>
      <c r="D1053" s="937"/>
      <c r="E1053" s="937"/>
      <c r="F1053" s="937"/>
      <c r="G1053" s="937"/>
      <c r="H1053" s="937"/>
      <c r="I1053" s="937"/>
      <c r="J1053" s="937"/>
      <c r="K1053" s="937"/>
      <c r="L1053" s="937"/>
      <c r="M1053" s="937"/>
      <c r="N1053" s="937"/>
      <c r="O1053" s="937"/>
      <c r="P1053" s="937"/>
      <c r="Q1053" s="937"/>
      <c r="R1053" s="937"/>
      <c r="S1053" s="937"/>
      <c r="T1053" s="937"/>
      <c r="U1053" s="937"/>
      <c r="V1053" s="937"/>
      <c r="W1053" s="937"/>
      <c r="X1053" s="937"/>
      <c r="Y1053" s="937"/>
      <c r="Z1053" s="937"/>
    </row>
    <row r="1054" spans="1:26" ht="15.75" customHeight="1">
      <c r="A1054" s="937"/>
      <c r="B1054" s="937"/>
      <c r="C1054" s="937"/>
      <c r="D1054" s="937"/>
      <c r="E1054" s="937"/>
      <c r="F1054" s="937"/>
      <c r="G1054" s="937"/>
      <c r="H1054" s="937"/>
      <c r="I1054" s="937"/>
      <c r="J1054" s="937"/>
      <c r="K1054" s="937"/>
      <c r="L1054" s="937"/>
      <c r="M1054" s="937"/>
      <c r="N1054" s="937"/>
      <c r="O1054" s="937"/>
      <c r="P1054" s="937"/>
      <c r="Q1054" s="937"/>
      <c r="R1054" s="937"/>
      <c r="S1054" s="937"/>
      <c r="T1054" s="937"/>
      <c r="U1054" s="937"/>
      <c r="V1054" s="937"/>
      <c r="W1054" s="937"/>
      <c r="X1054" s="937"/>
      <c r="Y1054" s="937"/>
      <c r="Z1054" s="937"/>
    </row>
    <row r="1055" spans="1:26" ht="15.75" customHeight="1">
      <c r="A1055" s="937"/>
      <c r="B1055" s="937"/>
      <c r="C1055" s="937"/>
      <c r="D1055" s="937"/>
      <c r="E1055" s="937"/>
      <c r="F1055" s="937"/>
      <c r="G1055" s="937"/>
      <c r="H1055" s="937"/>
      <c r="I1055" s="937"/>
      <c r="J1055" s="937"/>
      <c r="K1055" s="937"/>
      <c r="L1055" s="937"/>
      <c r="M1055" s="937"/>
      <c r="N1055" s="937"/>
      <c r="O1055" s="937"/>
      <c r="P1055" s="937"/>
      <c r="Q1055" s="937"/>
      <c r="R1055" s="937"/>
      <c r="S1055" s="937"/>
      <c r="T1055" s="937"/>
      <c r="U1055" s="937"/>
      <c r="V1055" s="937"/>
      <c r="W1055" s="937"/>
      <c r="X1055" s="937"/>
      <c r="Y1055" s="937"/>
      <c r="Z1055" s="937"/>
    </row>
    <row r="1056" spans="1:26" ht="15.75" customHeight="1">
      <c r="A1056" s="937"/>
      <c r="B1056" s="937"/>
      <c r="C1056" s="937"/>
      <c r="D1056" s="937"/>
      <c r="E1056" s="937"/>
      <c r="F1056" s="937"/>
      <c r="G1056" s="937"/>
      <c r="H1056" s="937"/>
      <c r="I1056" s="937"/>
      <c r="J1056" s="937"/>
      <c r="K1056" s="937"/>
      <c r="L1056" s="937"/>
      <c r="M1056" s="937"/>
      <c r="N1056" s="937"/>
      <c r="O1056" s="937"/>
      <c r="P1056" s="937"/>
      <c r="Q1056" s="937"/>
      <c r="R1056" s="937"/>
      <c r="S1056" s="937"/>
      <c r="T1056" s="937"/>
      <c r="U1056" s="937"/>
      <c r="V1056" s="937"/>
      <c r="W1056" s="937"/>
      <c r="X1056" s="937"/>
      <c r="Y1056" s="937"/>
      <c r="Z1056" s="937"/>
    </row>
    <row r="1057" spans="1:26" ht="15.75" customHeight="1">
      <c r="A1057" s="937"/>
      <c r="B1057" s="937"/>
      <c r="C1057" s="937"/>
      <c r="D1057" s="937"/>
      <c r="E1057" s="937"/>
      <c r="F1057" s="937"/>
      <c r="G1057" s="937"/>
      <c r="H1057" s="937"/>
      <c r="I1057" s="937"/>
      <c r="J1057" s="937"/>
      <c r="K1057" s="937"/>
      <c r="L1057" s="937"/>
      <c r="M1057" s="937"/>
      <c r="N1057" s="937"/>
      <c r="O1057" s="937"/>
      <c r="P1057" s="937"/>
      <c r="Q1057" s="937"/>
      <c r="R1057" s="937"/>
      <c r="S1057" s="937"/>
      <c r="T1057" s="937"/>
      <c r="U1057" s="937"/>
      <c r="V1057" s="937"/>
      <c r="W1057" s="937"/>
      <c r="X1057" s="937"/>
      <c r="Y1057" s="937"/>
      <c r="Z1057" s="937"/>
    </row>
    <row r="1058" spans="1:26" ht="15.75" customHeight="1">
      <c r="A1058" s="937"/>
      <c r="B1058" s="937"/>
      <c r="C1058" s="937"/>
      <c r="D1058" s="937"/>
      <c r="E1058" s="937"/>
      <c r="F1058" s="937"/>
      <c r="G1058" s="937"/>
      <c r="H1058" s="937"/>
      <c r="I1058" s="937"/>
      <c r="J1058" s="937"/>
      <c r="K1058" s="937"/>
      <c r="L1058" s="937"/>
      <c r="M1058" s="937"/>
      <c r="N1058" s="937"/>
      <c r="O1058" s="937"/>
      <c r="P1058" s="937"/>
      <c r="Q1058" s="937"/>
      <c r="R1058" s="937"/>
      <c r="S1058" s="937"/>
      <c r="T1058" s="937"/>
      <c r="U1058" s="937"/>
      <c r="V1058" s="937"/>
      <c r="W1058" s="937"/>
      <c r="X1058" s="937"/>
      <c r="Y1058" s="937"/>
      <c r="Z1058" s="937"/>
    </row>
    <row r="1059" spans="1:26" ht="15.75" customHeight="1">
      <c r="A1059" s="937"/>
      <c r="B1059" s="937"/>
      <c r="C1059" s="937"/>
      <c r="D1059" s="937"/>
      <c r="E1059" s="937"/>
      <c r="F1059" s="937"/>
      <c r="G1059" s="937"/>
      <c r="H1059" s="937"/>
      <c r="I1059" s="937"/>
      <c r="J1059" s="937"/>
      <c r="K1059" s="937"/>
      <c r="L1059" s="937"/>
      <c r="M1059" s="937"/>
      <c r="N1059" s="937"/>
      <c r="O1059" s="937"/>
      <c r="P1059" s="937"/>
      <c r="Q1059" s="937"/>
      <c r="R1059" s="937"/>
      <c r="S1059" s="937"/>
      <c r="T1059" s="937"/>
      <c r="U1059" s="937"/>
      <c r="V1059" s="937"/>
      <c r="W1059" s="937"/>
      <c r="X1059" s="937"/>
      <c r="Y1059" s="937"/>
      <c r="Z1059" s="937"/>
    </row>
    <row r="1060" spans="1:26" ht="15.75" customHeight="1">
      <c r="A1060" s="937"/>
      <c r="B1060" s="937"/>
      <c r="C1060" s="937"/>
      <c r="D1060" s="937"/>
      <c r="E1060" s="937"/>
      <c r="F1060" s="937"/>
      <c r="G1060" s="937"/>
      <c r="H1060" s="937"/>
      <c r="I1060" s="937"/>
      <c r="J1060" s="937"/>
      <c r="K1060" s="937"/>
      <c r="L1060" s="937"/>
      <c r="M1060" s="937"/>
      <c r="N1060" s="937"/>
      <c r="O1060" s="937"/>
      <c r="P1060" s="937"/>
      <c r="Q1060" s="937"/>
      <c r="R1060" s="937"/>
      <c r="S1060" s="937"/>
      <c r="T1060" s="937"/>
      <c r="U1060" s="937"/>
      <c r="V1060" s="937"/>
      <c r="W1060" s="937"/>
      <c r="X1060" s="937"/>
      <c r="Y1060" s="937"/>
      <c r="Z1060" s="937"/>
    </row>
    <row r="1061" spans="1:26" ht="15.75" customHeight="1">
      <c r="A1061" s="937"/>
      <c r="B1061" s="937"/>
      <c r="C1061" s="937"/>
      <c r="D1061" s="937"/>
      <c r="E1061" s="937"/>
      <c r="F1061" s="937"/>
      <c r="G1061" s="937"/>
      <c r="H1061" s="937"/>
      <c r="I1061" s="937"/>
      <c r="J1061" s="937"/>
      <c r="K1061" s="937"/>
      <c r="L1061" s="937"/>
      <c r="M1061" s="937"/>
      <c r="N1061" s="937"/>
      <c r="O1061" s="937"/>
      <c r="P1061" s="937"/>
      <c r="Q1061" s="937"/>
      <c r="R1061" s="937"/>
      <c r="S1061" s="937"/>
      <c r="T1061" s="937"/>
      <c r="U1061" s="937"/>
      <c r="V1061" s="937"/>
      <c r="W1061" s="937"/>
      <c r="X1061" s="937"/>
      <c r="Y1061" s="937"/>
      <c r="Z1061" s="937"/>
    </row>
    <row r="1062" spans="1:26" ht="15.75" customHeight="1">
      <c r="A1062" s="937"/>
      <c r="B1062" s="937"/>
      <c r="C1062" s="937"/>
      <c r="D1062" s="937"/>
      <c r="E1062" s="937"/>
      <c r="F1062" s="937"/>
      <c r="G1062" s="937"/>
      <c r="H1062" s="937"/>
      <c r="I1062" s="937"/>
      <c r="J1062" s="937"/>
      <c r="K1062" s="937"/>
      <c r="L1062" s="937"/>
      <c r="M1062" s="937"/>
      <c r="N1062" s="937"/>
      <c r="O1062" s="937"/>
      <c r="P1062" s="937"/>
      <c r="Q1062" s="937"/>
      <c r="R1062" s="937"/>
      <c r="S1062" s="937"/>
      <c r="T1062" s="937"/>
      <c r="U1062" s="937"/>
      <c r="V1062" s="937"/>
      <c r="W1062" s="937"/>
      <c r="X1062" s="937"/>
      <c r="Y1062" s="937"/>
      <c r="Z1062" s="937"/>
    </row>
    <row r="1063" spans="1:26" ht="15.75" customHeight="1">
      <c r="A1063" s="937"/>
      <c r="B1063" s="937"/>
      <c r="C1063" s="937"/>
      <c r="D1063" s="937"/>
      <c r="E1063" s="937"/>
      <c r="F1063" s="937"/>
      <c r="G1063" s="937"/>
      <c r="H1063" s="937"/>
      <c r="I1063" s="937"/>
      <c r="J1063" s="937"/>
      <c r="K1063" s="937"/>
      <c r="L1063" s="937"/>
      <c r="M1063" s="937"/>
      <c r="N1063" s="937"/>
      <c r="O1063" s="937"/>
      <c r="P1063" s="937"/>
      <c r="Q1063" s="937"/>
      <c r="R1063" s="937"/>
      <c r="S1063" s="937"/>
      <c r="T1063" s="937"/>
      <c r="U1063" s="937"/>
      <c r="V1063" s="937"/>
      <c r="W1063" s="937"/>
      <c r="X1063" s="937"/>
      <c r="Y1063" s="937"/>
      <c r="Z1063" s="937"/>
    </row>
    <row r="1064" spans="1:26" ht="15.75" customHeight="1">
      <c r="A1064" s="937"/>
      <c r="B1064" s="937"/>
      <c r="C1064" s="937"/>
      <c r="D1064" s="937"/>
      <c r="E1064" s="937"/>
      <c r="F1064" s="937"/>
      <c r="G1064" s="937"/>
      <c r="H1064" s="937"/>
      <c r="I1064" s="937"/>
      <c r="J1064" s="937"/>
      <c r="K1064" s="937"/>
      <c r="L1064" s="937"/>
      <c r="M1064" s="937"/>
      <c r="N1064" s="937"/>
      <c r="O1064" s="937"/>
      <c r="P1064" s="937"/>
      <c r="Q1064" s="937"/>
      <c r="R1064" s="937"/>
      <c r="S1064" s="937"/>
      <c r="T1064" s="937"/>
      <c r="U1064" s="937"/>
      <c r="V1064" s="937"/>
      <c r="W1064" s="937"/>
      <c r="X1064" s="937"/>
      <c r="Y1064" s="937"/>
      <c r="Z1064" s="937"/>
    </row>
    <row r="1065" spans="1:26" ht="15.75" customHeight="1">
      <c r="A1065" s="937"/>
      <c r="B1065" s="937"/>
      <c r="C1065" s="937"/>
      <c r="D1065" s="937"/>
      <c r="E1065" s="937"/>
      <c r="F1065" s="937"/>
      <c r="G1065" s="937"/>
      <c r="H1065" s="937"/>
      <c r="I1065" s="937"/>
      <c r="J1065" s="937"/>
      <c r="K1065" s="937"/>
      <c r="L1065" s="937"/>
      <c r="M1065" s="937"/>
      <c r="N1065" s="937"/>
      <c r="O1065" s="937"/>
      <c r="P1065" s="937"/>
      <c r="Q1065" s="937"/>
      <c r="R1065" s="937"/>
      <c r="S1065" s="937"/>
      <c r="T1065" s="937"/>
      <c r="U1065" s="937"/>
      <c r="V1065" s="937"/>
      <c r="W1065" s="937"/>
      <c r="X1065" s="937"/>
      <c r="Y1065" s="937"/>
      <c r="Z1065" s="937"/>
    </row>
    <row r="1066" spans="1:26" ht="15.75" customHeight="1">
      <c r="A1066" s="937"/>
      <c r="B1066" s="937"/>
      <c r="C1066" s="937"/>
      <c r="D1066" s="937"/>
      <c r="E1066" s="937"/>
      <c r="F1066" s="937"/>
      <c r="G1066" s="937"/>
      <c r="H1066" s="937"/>
      <c r="I1066" s="937"/>
      <c r="J1066" s="937"/>
      <c r="K1066" s="937"/>
      <c r="L1066" s="937"/>
      <c r="M1066" s="937"/>
      <c r="N1066" s="937"/>
      <c r="O1066" s="937"/>
      <c r="P1066" s="937"/>
      <c r="Q1066" s="937"/>
      <c r="R1066" s="937"/>
      <c r="S1066" s="937"/>
      <c r="T1066" s="937"/>
      <c r="U1066" s="937"/>
      <c r="V1066" s="937"/>
      <c r="W1066" s="937"/>
      <c r="X1066" s="937"/>
      <c r="Y1066" s="937"/>
      <c r="Z1066" s="937"/>
    </row>
    <row r="1067" spans="1:26" ht="15.75" customHeight="1">
      <c r="A1067" s="937"/>
      <c r="B1067" s="937"/>
      <c r="C1067" s="937"/>
      <c r="D1067" s="937"/>
      <c r="E1067" s="937"/>
      <c r="F1067" s="937"/>
      <c r="G1067" s="937"/>
      <c r="H1067" s="937"/>
      <c r="I1067" s="937"/>
      <c r="J1067" s="937"/>
      <c r="K1067" s="937"/>
      <c r="L1067" s="937"/>
      <c r="M1067" s="937"/>
      <c r="N1067" s="937"/>
      <c r="O1067" s="937"/>
      <c r="P1067" s="937"/>
      <c r="Q1067" s="937"/>
      <c r="R1067" s="937"/>
      <c r="S1067" s="937"/>
      <c r="T1067" s="937"/>
      <c r="U1067" s="937"/>
      <c r="V1067" s="937"/>
      <c r="W1067" s="937"/>
      <c r="X1067" s="937"/>
      <c r="Y1067" s="937"/>
      <c r="Z1067" s="937"/>
    </row>
    <row r="1068" spans="1:26" ht="15.75" customHeight="1">
      <c r="A1068" s="937"/>
      <c r="B1068" s="937"/>
      <c r="C1068" s="937"/>
      <c r="D1068" s="937"/>
      <c r="E1068" s="937"/>
      <c r="F1068" s="937"/>
      <c r="G1068" s="937"/>
      <c r="H1068" s="937"/>
      <c r="I1068" s="937"/>
      <c r="J1068" s="937"/>
      <c r="K1068" s="937"/>
      <c r="L1068" s="937"/>
      <c r="M1068" s="937"/>
      <c r="N1068" s="937"/>
      <c r="O1068" s="937"/>
      <c r="P1068" s="937"/>
      <c r="Q1068" s="937"/>
      <c r="R1068" s="937"/>
      <c r="S1068" s="937"/>
      <c r="T1068" s="937"/>
      <c r="U1068" s="937"/>
      <c r="V1068" s="937"/>
      <c r="W1068" s="937"/>
      <c r="X1068" s="937"/>
      <c r="Y1068" s="937"/>
      <c r="Z1068" s="937"/>
    </row>
    <row r="1069" spans="1:26" ht="15.75" customHeight="1">
      <c r="A1069" s="937"/>
      <c r="B1069" s="937"/>
      <c r="C1069" s="937"/>
      <c r="D1069" s="937"/>
      <c r="E1069" s="937"/>
      <c r="F1069" s="937"/>
      <c r="G1069" s="937"/>
      <c r="H1069" s="937"/>
      <c r="I1069" s="937"/>
      <c r="J1069" s="937"/>
      <c r="K1069" s="937"/>
      <c r="L1069" s="937"/>
      <c r="M1069" s="937"/>
      <c r="N1069" s="937"/>
      <c r="O1069" s="937"/>
      <c r="P1069" s="937"/>
      <c r="Q1069" s="937"/>
      <c r="R1069" s="937"/>
      <c r="S1069" s="937"/>
      <c r="T1069" s="937"/>
      <c r="U1069" s="937"/>
      <c r="V1069" s="937"/>
      <c r="W1069" s="937"/>
      <c r="X1069" s="937"/>
      <c r="Y1069" s="937"/>
      <c r="Z1069" s="937"/>
    </row>
    <row r="1070" spans="1:26" ht="15.75" customHeight="1">
      <c r="A1070" s="937"/>
      <c r="B1070" s="937"/>
      <c r="C1070" s="937"/>
      <c r="D1070" s="937"/>
      <c r="E1070" s="937"/>
      <c r="F1070" s="937"/>
      <c r="G1070" s="937"/>
      <c r="H1070" s="937"/>
      <c r="I1070" s="937"/>
      <c r="J1070" s="937"/>
      <c r="K1070" s="937"/>
      <c r="L1070" s="937"/>
      <c r="M1070" s="937"/>
      <c r="N1070" s="937"/>
      <c r="O1070" s="937"/>
      <c r="P1070" s="937"/>
      <c r="Q1070" s="937"/>
      <c r="R1070" s="937"/>
      <c r="S1070" s="937"/>
      <c r="T1070" s="937"/>
      <c r="U1070" s="937"/>
      <c r="V1070" s="937"/>
      <c r="W1070" s="937"/>
      <c r="X1070" s="937"/>
      <c r="Y1070" s="937"/>
      <c r="Z1070" s="937"/>
    </row>
    <row r="1071" spans="1:26" ht="15.75" customHeight="1">
      <c r="A1071" s="937"/>
      <c r="B1071" s="937"/>
      <c r="C1071" s="937"/>
      <c r="D1071" s="937"/>
      <c r="E1071" s="937"/>
      <c r="F1071" s="937"/>
      <c r="G1071" s="937"/>
      <c r="H1071" s="937"/>
      <c r="I1071" s="937"/>
      <c r="J1071" s="937"/>
      <c r="K1071" s="937"/>
      <c r="L1071" s="937"/>
      <c r="M1071" s="937"/>
      <c r="N1071" s="937"/>
      <c r="O1071" s="937"/>
      <c r="P1071" s="937"/>
      <c r="Q1071" s="937"/>
      <c r="R1071" s="937"/>
      <c r="S1071" s="937"/>
      <c r="T1071" s="937"/>
      <c r="U1071" s="937"/>
      <c r="V1071" s="937"/>
      <c r="W1071" s="937"/>
      <c r="X1071" s="937"/>
      <c r="Y1071" s="937"/>
      <c r="Z1071" s="937"/>
    </row>
    <row r="1072" spans="1:26" ht="15.75" customHeight="1">
      <c r="A1072" s="937"/>
      <c r="B1072" s="937"/>
      <c r="C1072" s="937"/>
      <c r="D1072" s="937"/>
      <c r="E1072" s="937"/>
      <c r="F1072" s="937"/>
      <c r="G1072" s="937"/>
      <c r="H1072" s="937"/>
      <c r="I1072" s="937"/>
      <c r="J1072" s="937"/>
      <c r="K1072" s="937"/>
      <c r="L1072" s="937"/>
      <c r="M1072" s="937"/>
      <c r="N1072" s="937"/>
      <c r="O1072" s="937"/>
      <c r="P1072" s="937"/>
      <c r="Q1072" s="937"/>
      <c r="R1072" s="937"/>
      <c r="S1072" s="937"/>
      <c r="T1072" s="937"/>
      <c r="U1072" s="937"/>
      <c r="V1072" s="937"/>
      <c r="W1072" s="937"/>
      <c r="X1072" s="937"/>
      <c r="Y1072" s="937"/>
      <c r="Z1072" s="937"/>
    </row>
    <row r="1073" spans="1:26" ht="15.75" customHeight="1">
      <c r="A1073" s="937"/>
      <c r="B1073" s="937"/>
      <c r="C1073" s="937"/>
      <c r="D1073" s="937"/>
      <c r="E1073" s="937"/>
      <c r="F1073" s="937"/>
      <c r="G1073" s="937"/>
      <c r="H1073" s="937"/>
      <c r="I1073" s="937"/>
      <c r="J1073" s="937"/>
      <c r="K1073" s="937"/>
      <c r="L1073" s="937"/>
      <c r="M1073" s="937"/>
      <c r="N1073" s="937"/>
      <c r="O1073" s="937"/>
      <c r="P1073" s="937"/>
      <c r="Q1073" s="937"/>
      <c r="R1073" s="937"/>
      <c r="S1073" s="937"/>
      <c r="T1073" s="937"/>
      <c r="U1073" s="937"/>
      <c r="V1073" s="937"/>
      <c r="W1073" s="937"/>
      <c r="X1073" s="937"/>
      <c r="Y1073" s="937"/>
      <c r="Z1073" s="937"/>
    </row>
    <row r="1074" spans="1:26" ht="15.75" customHeight="1">
      <c r="A1074" s="937"/>
      <c r="B1074" s="937"/>
      <c r="C1074" s="937"/>
      <c r="D1074" s="937"/>
      <c r="E1074" s="937"/>
      <c r="F1074" s="937"/>
      <c r="G1074" s="937"/>
      <c r="H1074" s="937"/>
      <c r="I1074" s="937"/>
      <c r="J1074" s="937"/>
      <c r="K1074" s="937"/>
      <c r="L1074" s="937"/>
      <c r="M1074" s="937"/>
      <c r="N1074" s="937"/>
      <c r="O1074" s="937"/>
      <c r="P1074" s="937"/>
      <c r="Q1074" s="937"/>
      <c r="R1074" s="937"/>
      <c r="S1074" s="937"/>
      <c r="T1074" s="937"/>
      <c r="U1074" s="937"/>
      <c r="V1074" s="937"/>
      <c r="W1074" s="937"/>
      <c r="X1074" s="937"/>
      <c r="Y1074" s="937"/>
      <c r="Z1074" s="937"/>
    </row>
    <row r="1075" spans="1:26" ht="15.75" customHeight="1">
      <c r="A1075" s="937"/>
      <c r="B1075" s="937"/>
      <c r="C1075" s="937"/>
      <c r="D1075" s="937"/>
      <c r="E1075" s="937"/>
      <c r="F1075" s="937"/>
      <c r="G1075" s="937"/>
      <c r="H1075" s="937"/>
      <c r="I1075" s="937"/>
      <c r="J1075" s="937"/>
      <c r="K1075" s="937"/>
      <c r="L1075" s="937"/>
      <c r="M1075" s="937"/>
      <c r="N1075" s="937"/>
      <c r="O1075" s="937"/>
      <c r="P1075" s="937"/>
      <c r="Q1075" s="937"/>
      <c r="R1075" s="937"/>
      <c r="S1075" s="937"/>
      <c r="T1075" s="937"/>
      <c r="U1075" s="937"/>
      <c r="V1075" s="937"/>
      <c r="W1075" s="937"/>
      <c r="X1075" s="937"/>
      <c r="Y1075" s="937"/>
      <c r="Z1075" s="937"/>
    </row>
    <row r="1076" spans="1:26" ht="15.75" customHeight="1">
      <c r="A1076" s="937"/>
      <c r="B1076" s="937"/>
      <c r="C1076" s="937"/>
      <c r="D1076" s="937"/>
      <c r="E1076" s="937"/>
      <c r="F1076" s="937"/>
      <c r="G1076" s="937"/>
      <c r="H1076" s="937"/>
      <c r="I1076" s="937"/>
      <c r="J1076" s="937"/>
      <c r="K1076" s="937"/>
      <c r="L1076" s="937"/>
      <c r="M1076" s="937"/>
      <c r="N1076" s="937"/>
      <c r="O1076" s="937"/>
      <c r="P1076" s="937"/>
      <c r="Q1076" s="937"/>
      <c r="R1076" s="937"/>
      <c r="S1076" s="937"/>
      <c r="T1076" s="937"/>
      <c r="U1076" s="937"/>
      <c r="V1076" s="937"/>
      <c r="W1076" s="937"/>
      <c r="X1076" s="937"/>
      <c r="Y1076" s="937"/>
      <c r="Z1076" s="937"/>
    </row>
    <row r="1077" spans="1:26" ht="15.75" customHeight="1">
      <c r="A1077" s="937"/>
      <c r="B1077" s="937"/>
      <c r="C1077" s="937"/>
      <c r="D1077" s="937"/>
      <c r="E1077" s="937"/>
      <c r="F1077" s="937"/>
      <c r="G1077" s="937"/>
      <c r="H1077" s="937"/>
      <c r="I1077" s="937"/>
      <c r="J1077" s="937"/>
      <c r="K1077" s="937"/>
      <c r="L1077" s="937"/>
      <c r="M1077" s="937"/>
      <c r="N1077" s="937"/>
      <c r="O1077" s="937"/>
      <c r="P1077" s="937"/>
      <c r="Q1077" s="937"/>
      <c r="R1077" s="937"/>
      <c r="S1077" s="937"/>
      <c r="T1077" s="937"/>
      <c r="U1077" s="937"/>
      <c r="V1077" s="937"/>
      <c r="W1077" s="937"/>
      <c r="X1077" s="937"/>
      <c r="Y1077" s="937"/>
      <c r="Z1077" s="937"/>
    </row>
    <row r="1078" spans="1:26" ht="15.75" customHeight="1">
      <c r="A1078" s="937"/>
      <c r="B1078" s="937"/>
      <c r="C1078" s="937"/>
      <c r="D1078" s="937"/>
      <c r="E1078" s="937"/>
      <c r="F1078" s="937"/>
      <c r="G1078" s="937"/>
      <c r="H1078" s="937"/>
      <c r="I1078" s="937"/>
      <c r="J1078" s="937"/>
      <c r="K1078" s="937"/>
      <c r="L1078" s="937"/>
      <c r="M1078" s="937"/>
      <c r="N1078" s="937"/>
      <c r="O1078" s="937"/>
      <c r="P1078" s="937"/>
      <c r="Q1078" s="937"/>
      <c r="R1078" s="937"/>
      <c r="S1078" s="937"/>
      <c r="T1078" s="937"/>
      <c r="U1078" s="937"/>
      <c r="V1078" s="937"/>
      <c r="W1078" s="937"/>
      <c r="X1078" s="937"/>
      <c r="Y1078" s="937"/>
      <c r="Z1078" s="937"/>
    </row>
    <row r="1079" spans="1:26" ht="15.75" customHeight="1">
      <c r="A1079" s="937"/>
      <c r="B1079" s="937"/>
      <c r="C1079" s="937"/>
      <c r="D1079" s="937"/>
      <c r="E1079" s="937"/>
      <c r="F1079" s="937"/>
      <c r="G1079" s="937"/>
      <c r="H1079" s="937"/>
      <c r="I1079" s="937"/>
      <c r="J1079" s="937"/>
      <c r="K1079" s="937"/>
      <c r="L1079" s="937"/>
      <c r="M1079" s="937"/>
      <c r="N1079" s="937"/>
      <c r="O1079" s="937"/>
      <c r="P1079" s="937"/>
      <c r="Q1079" s="937"/>
      <c r="R1079" s="937"/>
      <c r="S1079" s="937"/>
      <c r="T1079" s="937"/>
      <c r="U1079" s="937"/>
      <c r="V1079" s="937"/>
      <c r="W1079" s="937"/>
      <c r="X1079" s="937"/>
      <c r="Y1079" s="937"/>
      <c r="Z1079" s="937"/>
    </row>
    <row r="1080" spans="1:26" ht="15.75" customHeight="1">
      <c r="A1080" s="937"/>
      <c r="B1080" s="937"/>
      <c r="C1080" s="937"/>
      <c r="D1080" s="937"/>
      <c r="E1080" s="937"/>
      <c r="F1080" s="937"/>
      <c r="G1080" s="937"/>
      <c r="H1080" s="937"/>
      <c r="I1080" s="937"/>
      <c r="J1080" s="937"/>
      <c r="K1080" s="937"/>
      <c r="L1080" s="937"/>
      <c r="M1080" s="937"/>
      <c r="N1080" s="937"/>
      <c r="O1080" s="937"/>
      <c r="P1080" s="937"/>
      <c r="Q1080" s="937"/>
      <c r="R1080" s="937"/>
      <c r="S1080" s="937"/>
      <c r="T1080" s="937"/>
      <c r="U1080" s="937"/>
      <c r="V1080" s="937"/>
      <c r="W1080" s="937"/>
      <c r="X1080" s="937"/>
      <c r="Y1080" s="937"/>
      <c r="Z1080" s="937"/>
    </row>
    <row r="1081" spans="1:26" ht="15.75" customHeight="1">
      <c r="A1081" s="937"/>
      <c r="B1081" s="937"/>
      <c r="C1081" s="937"/>
      <c r="D1081" s="937"/>
      <c r="E1081" s="937"/>
      <c r="F1081" s="937"/>
      <c r="G1081" s="937"/>
      <c r="H1081" s="937"/>
      <c r="I1081" s="937"/>
      <c r="J1081" s="937"/>
      <c r="K1081" s="937"/>
      <c r="L1081" s="937"/>
      <c r="M1081" s="937"/>
      <c r="N1081" s="937"/>
      <c r="O1081" s="937"/>
      <c r="P1081" s="937"/>
      <c r="Q1081" s="937"/>
      <c r="R1081" s="937"/>
      <c r="S1081" s="937"/>
      <c r="T1081" s="937"/>
      <c r="U1081" s="937"/>
      <c r="V1081" s="937"/>
      <c r="W1081" s="937"/>
      <c r="X1081" s="937"/>
      <c r="Y1081" s="937"/>
      <c r="Z1081" s="937"/>
    </row>
    <row r="1082" spans="1:26" ht="15.75" customHeight="1">
      <c r="A1082" s="937"/>
      <c r="B1082" s="937"/>
      <c r="C1082" s="937"/>
      <c r="D1082" s="937"/>
      <c r="E1082" s="937"/>
      <c r="F1082" s="937"/>
      <c r="G1082" s="937"/>
      <c r="H1082" s="937"/>
      <c r="I1082" s="937"/>
      <c r="J1082" s="937"/>
      <c r="K1082" s="937"/>
      <c r="L1082" s="937"/>
      <c r="M1082" s="937"/>
      <c r="N1082" s="937"/>
      <c r="O1082" s="937"/>
      <c r="P1082" s="937"/>
      <c r="Q1082" s="937"/>
      <c r="R1082" s="937"/>
      <c r="S1082" s="937"/>
      <c r="T1082" s="937"/>
      <c r="U1082" s="937"/>
      <c r="V1082" s="937"/>
      <c r="W1082" s="937"/>
      <c r="X1082" s="937"/>
      <c r="Y1082" s="937"/>
      <c r="Z1082" s="937"/>
    </row>
    <row r="1083" spans="1:26" ht="15.75" customHeight="1">
      <c r="A1083" s="937"/>
      <c r="B1083" s="937"/>
      <c r="C1083" s="937"/>
      <c r="D1083" s="937"/>
      <c r="E1083" s="937"/>
      <c r="F1083" s="937"/>
      <c r="G1083" s="937"/>
      <c r="H1083" s="937"/>
      <c r="I1083" s="937"/>
      <c r="J1083" s="937"/>
      <c r="K1083" s="937"/>
      <c r="L1083" s="937"/>
      <c r="M1083" s="937"/>
      <c r="N1083" s="937"/>
      <c r="O1083" s="937"/>
      <c r="P1083" s="937"/>
      <c r="Q1083" s="937"/>
      <c r="R1083" s="937"/>
      <c r="S1083" s="937"/>
      <c r="T1083" s="937"/>
      <c r="U1083" s="937"/>
      <c r="V1083" s="937"/>
      <c r="W1083" s="937"/>
      <c r="X1083" s="937"/>
      <c r="Y1083" s="937"/>
      <c r="Z1083" s="937"/>
    </row>
    <row r="1084" spans="1:26" ht="15.75" customHeight="1">
      <c r="A1084" s="937"/>
      <c r="B1084" s="937"/>
      <c r="C1084" s="937"/>
      <c r="D1084" s="937"/>
      <c r="E1084" s="937"/>
      <c r="F1084" s="937"/>
      <c r="G1084" s="937"/>
      <c r="H1084" s="937"/>
      <c r="I1084" s="937"/>
      <c r="J1084" s="937"/>
      <c r="K1084" s="937"/>
      <c r="L1084" s="937"/>
      <c r="M1084" s="937"/>
      <c r="N1084" s="937"/>
      <c r="O1084" s="937"/>
      <c r="P1084" s="937"/>
      <c r="Q1084" s="937"/>
      <c r="R1084" s="937"/>
      <c r="S1084" s="937"/>
      <c r="T1084" s="937"/>
      <c r="U1084" s="937"/>
      <c r="V1084" s="937"/>
      <c r="W1084" s="937"/>
      <c r="X1084" s="937"/>
      <c r="Y1084" s="937"/>
      <c r="Z1084" s="937"/>
    </row>
    <row r="1085" spans="1:26" ht="15.75" customHeight="1">
      <c r="A1085" s="937"/>
      <c r="B1085" s="937"/>
      <c r="C1085" s="937"/>
      <c r="D1085" s="937"/>
      <c r="E1085" s="937"/>
      <c r="F1085" s="937"/>
      <c r="G1085" s="937"/>
      <c r="H1085" s="937"/>
      <c r="I1085" s="937"/>
      <c r="J1085" s="937"/>
      <c r="K1085" s="937"/>
      <c r="L1085" s="937"/>
      <c r="M1085" s="937"/>
      <c r="N1085" s="937"/>
      <c r="O1085" s="937"/>
      <c r="P1085" s="937"/>
      <c r="Q1085" s="937"/>
      <c r="R1085" s="937"/>
      <c r="S1085" s="937"/>
      <c r="T1085" s="937"/>
      <c r="U1085" s="937"/>
      <c r="V1085" s="937"/>
      <c r="W1085" s="937"/>
      <c r="X1085" s="937"/>
      <c r="Y1085" s="937"/>
      <c r="Z1085" s="937"/>
    </row>
    <row r="1086" spans="1:26" ht="15.75" customHeight="1">
      <c r="A1086" s="937"/>
      <c r="B1086" s="937"/>
      <c r="C1086" s="937"/>
      <c r="D1086" s="937"/>
      <c r="E1086" s="937"/>
      <c r="F1086" s="937"/>
      <c r="G1086" s="937"/>
      <c r="H1086" s="937"/>
      <c r="I1086" s="937"/>
      <c r="J1086" s="937"/>
      <c r="K1086" s="937"/>
      <c r="L1086" s="937"/>
      <c r="M1086" s="937"/>
      <c r="N1086" s="937"/>
      <c r="O1086" s="937"/>
      <c r="P1086" s="937"/>
      <c r="Q1086" s="937"/>
      <c r="R1086" s="937"/>
      <c r="S1086" s="937"/>
      <c r="T1086" s="937"/>
      <c r="U1086" s="937"/>
      <c r="V1086" s="937"/>
      <c r="W1086" s="937"/>
      <c r="X1086" s="937"/>
      <c r="Y1086" s="937"/>
      <c r="Z1086" s="937"/>
    </row>
    <row r="1087" spans="1:26" ht="15.75" customHeight="1">
      <c r="A1087" s="937"/>
      <c r="B1087" s="937"/>
      <c r="C1087" s="937"/>
      <c r="D1087" s="937"/>
      <c r="E1087" s="937"/>
      <c r="F1087" s="937"/>
      <c r="G1087" s="937"/>
      <c r="H1087" s="937"/>
      <c r="I1087" s="937"/>
      <c r="J1087" s="937"/>
      <c r="K1087" s="937"/>
      <c r="L1087" s="937"/>
      <c r="M1087" s="937"/>
      <c r="N1087" s="937"/>
      <c r="O1087" s="937"/>
      <c r="P1087" s="937"/>
      <c r="Q1087" s="937"/>
      <c r="R1087" s="937"/>
      <c r="S1087" s="937"/>
      <c r="T1087" s="937"/>
      <c r="U1087" s="937"/>
      <c r="V1087" s="937"/>
      <c r="W1087" s="937"/>
      <c r="X1087" s="937"/>
      <c r="Y1087" s="937"/>
      <c r="Z1087" s="937"/>
    </row>
    <row r="1088" spans="1:26" ht="15.75" customHeight="1">
      <c r="A1088" s="937"/>
      <c r="B1088" s="937"/>
      <c r="C1088" s="937"/>
      <c r="D1088" s="937"/>
      <c r="E1088" s="937"/>
      <c r="F1088" s="937"/>
      <c r="G1088" s="937"/>
      <c r="H1088" s="937"/>
      <c r="I1088" s="937"/>
      <c r="J1088" s="937"/>
      <c r="K1088" s="937"/>
      <c r="L1088" s="937"/>
      <c r="M1088" s="937"/>
      <c r="N1088" s="937"/>
      <c r="O1088" s="937"/>
      <c r="P1088" s="937"/>
      <c r="Q1088" s="937"/>
      <c r="R1088" s="937"/>
      <c r="S1088" s="937"/>
      <c r="T1088" s="937"/>
      <c r="U1088" s="937"/>
      <c r="V1088" s="937"/>
      <c r="W1088" s="937"/>
      <c r="X1088" s="937"/>
      <c r="Y1088" s="937"/>
      <c r="Z1088" s="937"/>
    </row>
    <row r="1089" spans="1:26" ht="15.75" customHeight="1">
      <c r="A1089" s="937"/>
      <c r="B1089" s="937"/>
      <c r="C1089" s="937"/>
      <c r="D1089" s="937"/>
      <c r="E1089" s="937"/>
      <c r="F1089" s="937"/>
      <c r="G1089" s="937"/>
      <c r="H1089" s="937"/>
      <c r="I1089" s="937"/>
      <c r="J1089" s="937"/>
      <c r="K1089" s="937"/>
      <c r="L1089" s="937"/>
      <c r="M1089" s="937"/>
      <c r="N1089" s="937"/>
      <c r="O1089" s="937"/>
      <c r="P1089" s="937"/>
      <c r="Q1089" s="937"/>
      <c r="R1089" s="937"/>
      <c r="S1089" s="937"/>
      <c r="T1089" s="937"/>
      <c r="U1089" s="937"/>
      <c r="V1089" s="937"/>
      <c r="W1089" s="937"/>
      <c r="X1089" s="937"/>
      <c r="Y1089" s="937"/>
      <c r="Z1089" s="937"/>
    </row>
    <row r="1090" spans="1:26" ht="15.75" customHeight="1">
      <c r="A1090" s="937"/>
      <c r="B1090" s="937"/>
      <c r="C1090" s="937"/>
      <c r="D1090" s="937"/>
      <c r="E1090" s="937"/>
      <c r="F1090" s="937"/>
      <c r="G1090" s="937"/>
      <c r="H1090" s="937"/>
      <c r="I1090" s="937"/>
      <c r="J1090" s="937"/>
      <c r="K1090" s="937"/>
      <c r="L1090" s="937"/>
      <c r="M1090" s="937"/>
      <c r="N1090" s="937"/>
      <c r="O1090" s="937"/>
      <c r="P1090" s="937"/>
      <c r="Q1090" s="937"/>
      <c r="R1090" s="937"/>
      <c r="S1090" s="937"/>
      <c r="T1090" s="937"/>
      <c r="U1090" s="937"/>
      <c r="V1090" s="937"/>
      <c r="W1090" s="937"/>
      <c r="X1090" s="937"/>
      <c r="Y1090" s="937"/>
      <c r="Z1090" s="937"/>
    </row>
    <row r="1091" spans="1:26" ht="15.75" customHeight="1">
      <c r="A1091" s="937"/>
      <c r="B1091" s="937"/>
      <c r="C1091" s="937"/>
      <c r="D1091" s="937"/>
      <c r="E1091" s="937"/>
      <c r="F1091" s="937"/>
      <c r="G1091" s="937"/>
      <c r="H1091" s="937"/>
      <c r="I1091" s="937"/>
      <c r="J1091" s="937"/>
      <c r="K1091" s="937"/>
      <c r="L1091" s="937"/>
      <c r="M1091" s="937"/>
      <c r="N1091" s="937"/>
      <c r="O1091" s="937"/>
      <c r="P1091" s="937"/>
      <c r="Q1091" s="937"/>
      <c r="R1091" s="937"/>
      <c r="S1091" s="937"/>
      <c r="T1091" s="937"/>
      <c r="U1091" s="937"/>
      <c r="V1091" s="937"/>
      <c r="W1091" s="937"/>
      <c r="X1091" s="937"/>
      <c r="Y1091" s="937"/>
      <c r="Z1091" s="937"/>
    </row>
    <row r="1092" spans="1:26" ht="15.75" customHeight="1">
      <c r="A1092" s="937"/>
      <c r="B1092" s="937"/>
      <c r="C1092" s="937"/>
      <c r="D1092" s="937"/>
      <c r="E1092" s="937"/>
      <c r="F1092" s="937"/>
      <c r="G1092" s="937"/>
      <c r="H1092" s="937"/>
      <c r="I1092" s="937"/>
      <c r="J1092" s="937"/>
      <c r="K1092" s="937"/>
      <c r="L1092" s="937"/>
      <c r="M1092" s="937"/>
      <c r="N1092" s="937"/>
      <c r="O1092" s="937"/>
      <c r="P1092" s="937"/>
      <c r="Q1092" s="937"/>
      <c r="R1092" s="937"/>
      <c r="S1092" s="937"/>
      <c r="T1092" s="937"/>
      <c r="U1092" s="937"/>
      <c r="V1092" s="937"/>
      <c r="W1092" s="937"/>
      <c r="X1092" s="937"/>
      <c r="Y1092" s="937"/>
      <c r="Z1092" s="937"/>
    </row>
    <row r="1093" spans="1:26" ht="15.75" customHeight="1">
      <c r="A1093" s="937"/>
      <c r="B1093" s="937"/>
      <c r="C1093" s="937"/>
      <c r="D1093" s="937"/>
      <c r="E1093" s="937"/>
      <c r="F1093" s="937"/>
      <c r="G1093" s="937"/>
      <c r="H1093" s="937"/>
      <c r="I1093" s="937"/>
      <c r="J1093" s="937"/>
      <c r="K1093" s="937"/>
      <c r="L1093" s="937"/>
      <c r="M1093" s="937"/>
      <c r="N1093" s="937"/>
      <c r="O1093" s="937"/>
      <c r="P1093" s="937"/>
      <c r="Q1093" s="937"/>
      <c r="R1093" s="937"/>
      <c r="S1093" s="937"/>
      <c r="T1093" s="937"/>
      <c r="U1093" s="937"/>
      <c r="V1093" s="937"/>
      <c r="W1093" s="937"/>
      <c r="X1093" s="937"/>
      <c r="Y1093" s="937"/>
      <c r="Z1093" s="937"/>
    </row>
    <row r="1094" spans="1:26" ht="15.75" customHeight="1">
      <c r="A1094" s="937"/>
      <c r="B1094" s="937"/>
      <c r="C1094" s="937"/>
      <c r="D1094" s="937"/>
      <c r="E1094" s="937"/>
      <c r="F1094" s="937"/>
      <c r="G1094" s="937"/>
      <c r="H1094" s="937"/>
      <c r="I1094" s="937"/>
      <c r="J1094" s="937"/>
      <c r="K1094" s="937"/>
      <c r="L1094" s="937"/>
      <c r="M1094" s="937"/>
      <c r="N1094" s="937"/>
      <c r="O1094" s="937"/>
      <c r="P1094" s="937"/>
      <c r="Q1094" s="937"/>
      <c r="R1094" s="937"/>
      <c r="S1094" s="937"/>
      <c r="T1094" s="937"/>
      <c r="U1094" s="937"/>
      <c r="V1094" s="937"/>
      <c r="W1094" s="937"/>
      <c r="X1094" s="937"/>
      <c r="Y1094" s="937"/>
      <c r="Z1094" s="937"/>
    </row>
    <row r="1095" spans="1:26" ht="15.75" customHeight="1">
      <c r="A1095" s="937"/>
      <c r="B1095" s="937"/>
      <c r="C1095" s="937"/>
      <c r="D1095" s="937"/>
      <c r="E1095" s="937"/>
      <c r="F1095" s="937"/>
      <c r="G1095" s="937"/>
      <c r="H1095" s="937"/>
      <c r="I1095" s="937"/>
      <c r="J1095" s="937"/>
      <c r="K1095" s="937"/>
      <c r="L1095" s="937"/>
      <c r="M1095" s="937"/>
      <c r="N1095" s="937"/>
      <c r="O1095" s="937"/>
      <c r="P1095" s="937"/>
      <c r="Q1095" s="937"/>
      <c r="R1095" s="937"/>
      <c r="S1095" s="937"/>
      <c r="T1095" s="937"/>
      <c r="U1095" s="937"/>
      <c r="V1095" s="937"/>
      <c r="W1095" s="937"/>
      <c r="X1095" s="937"/>
      <c r="Y1095" s="937"/>
      <c r="Z1095" s="937"/>
    </row>
    <row r="1096" spans="1:26" ht="15.75" customHeight="1">
      <c r="A1096" s="937"/>
      <c r="B1096" s="937"/>
      <c r="C1096" s="937"/>
      <c r="D1096" s="937"/>
      <c r="E1096" s="937"/>
      <c r="F1096" s="937"/>
      <c r="G1096" s="937"/>
      <c r="H1096" s="937"/>
      <c r="I1096" s="937"/>
      <c r="J1096" s="937"/>
      <c r="K1096" s="937"/>
      <c r="L1096" s="937"/>
      <c r="M1096" s="937"/>
      <c r="N1096" s="937"/>
      <c r="O1096" s="937"/>
      <c r="P1096" s="937"/>
      <c r="Q1096" s="937"/>
      <c r="R1096" s="937"/>
      <c r="S1096" s="937"/>
      <c r="T1096" s="937"/>
      <c r="U1096" s="937"/>
      <c r="V1096" s="937"/>
      <c r="W1096" s="937"/>
      <c r="X1096" s="937"/>
      <c r="Y1096" s="937"/>
      <c r="Z1096" s="937"/>
    </row>
    <row r="1097" spans="1:26" ht="15.75" customHeight="1">
      <c r="A1097" s="937"/>
      <c r="B1097" s="937"/>
      <c r="C1097" s="937"/>
      <c r="D1097" s="937"/>
      <c r="E1097" s="937"/>
      <c r="F1097" s="937"/>
      <c r="G1097" s="937"/>
      <c r="H1097" s="937"/>
      <c r="I1097" s="937"/>
      <c r="J1097" s="937"/>
      <c r="K1097" s="937"/>
      <c r="L1097" s="937"/>
      <c r="M1097" s="937"/>
      <c r="N1097" s="937"/>
      <c r="O1097" s="937"/>
      <c r="P1097" s="937"/>
      <c r="Q1097" s="937"/>
      <c r="R1097" s="937"/>
      <c r="S1097" s="937"/>
      <c r="T1097" s="937"/>
      <c r="U1097" s="937"/>
      <c r="V1097" s="937"/>
      <c r="W1097" s="937"/>
      <c r="X1097" s="937"/>
      <c r="Y1097" s="937"/>
      <c r="Z1097" s="937"/>
    </row>
    <row r="1098" spans="1:26" ht="15.75" customHeight="1">
      <c r="A1098" s="937"/>
      <c r="B1098" s="937"/>
      <c r="C1098" s="937"/>
      <c r="D1098" s="937"/>
      <c r="E1098" s="937"/>
      <c r="F1098" s="937"/>
      <c r="G1098" s="937"/>
      <c r="H1098" s="937"/>
      <c r="I1098" s="937"/>
      <c r="J1098" s="937"/>
      <c r="K1098" s="937"/>
      <c r="L1098" s="937"/>
      <c r="M1098" s="937"/>
      <c r="N1098" s="937"/>
      <c r="O1098" s="937"/>
      <c r="P1098" s="937"/>
      <c r="Q1098" s="937"/>
      <c r="R1098" s="937"/>
      <c r="S1098" s="937"/>
      <c r="T1098" s="937"/>
      <c r="U1098" s="937"/>
      <c r="V1098" s="937"/>
      <c r="W1098" s="937"/>
      <c r="X1098" s="937"/>
      <c r="Y1098" s="937"/>
      <c r="Z1098" s="937"/>
    </row>
    <row r="1099" spans="1:26" ht="15.75" customHeight="1">
      <c r="A1099" s="937"/>
      <c r="B1099" s="937"/>
      <c r="C1099" s="937"/>
      <c r="D1099" s="937"/>
      <c r="E1099" s="937"/>
      <c r="F1099" s="937"/>
      <c r="G1099" s="937"/>
      <c r="H1099" s="937"/>
      <c r="I1099" s="937"/>
      <c r="J1099" s="937"/>
      <c r="K1099" s="937"/>
      <c r="L1099" s="937"/>
      <c r="M1099" s="937"/>
      <c r="N1099" s="937"/>
      <c r="O1099" s="937"/>
      <c r="P1099" s="937"/>
      <c r="Q1099" s="937"/>
      <c r="R1099" s="937"/>
      <c r="S1099" s="937"/>
      <c r="T1099" s="937"/>
      <c r="U1099" s="937"/>
      <c r="V1099" s="937"/>
      <c r="W1099" s="937"/>
      <c r="X1099" s="937"/>
      <c r="Y1099" s="937"/>
      <c r="Z1099" s="937"/>
    </row>
    <row r="1100" spans="1:26" ht="15.75" customHeight="1">
      <c r="A1100" s="937"/>
      <c r="B1100" s="937"/>
      <c r="C1100" s="937"/>
      <c r="D1100" s="937"/>
      <c r="E1100" s="937"/>
      <c r="F1100" s="937"/>
      <c r="G1100" s="937"/>
      <c r="H1100" s="937"/>
      <c r="I1100" s="937"/>
      <c r="J1100" s="937"/>
      <c r="K1100" s="937"/>
      <c r="L1100" s="937"/>
      <c r="M1100" s="937"/>
      <c r="N1100" s="937"/>
      <c r="O1100" s="937"/>
      <c r="P1100" s="937"/>
      <c r="Q1100" s="937"/>
      <c r="R1100" s="937"/>
      <c r="S1100" s="937"/>
      <c r="T1100" s="937"/>
      <c r="U1100" s="937"/>
      <c r="V1100" s="937"/>
      <c r="W1100" s="937"/>
      <c r="X1100" s="937"/>
      <c r="Y1100" s="937"/>
      <c r="Z1100" s="937"/>
    </row>
    <row r="1101" spans="1:26" ht="15.75" customHeight="1">
      <c r="A1101" s="937"/>
      <c r="B1101" s="937"/>
      <c r="C1101" s="937"/>
      <c r="D1101" s="937"/>
      <c r="E1101" s="937"/>
      <c r="F1101" s="937"/>
      <c r="G1101" s="937"/>
      <c r="H1101" s="937"/>
      <c r="I1101" s="937"/>
      <c r="J1101" s="937"/>
      <c r="K1101" s="937"/>
      <c r="L1101" s="937"/>
      <c r="M1101" s="937"/>
      <c r="N1101" s="937"/>
      <c r="O1101" s="937"/>
      <c r="P1101" s="937"/>
      <c r="Q1101" s="937"/>
      <c r="R1101" s="937"/>
      <c r="S1101" s="937"/>
      <c r="T1101" s="937"/>
      <c r="U1101" s="937"/>
      <c r="V1101" s="937"/>
      <c r="W1101" s="937"/>
      <c r="X1101" s="937"/>
      <c r="Y1101" s="937"/>
      <c r="Z1101" s="937"/>
    </row>
    <row r="1102" spans="1:26" ht="15.75" customHeight="1">
      <c r="A1102" s="937"/>
      <c r="B1102" s="937"/>
      <c r="C1102" s="937"/>
      <c r="D1102" s="937"/>
      <c r="E1102" s="937"/>
      <c r="F1102" s="937"/>
      <c r="G1102" s="937"/>
      <c r="H1102" s="937"/>
      <c r="I1102" s="937"/>
      <c r="J1102" s="937"/>
      <c r="K1102" s="937"/>
      <c r="L1102" s="937"/>
      <c r="M1102" s="937"/>
      <c r="N1102" s="937"/>
      <c r="O1102" s="937"/>
      <c r="P1102" s="937"/>
      <c r="Q1102" s="937"/>
      <c r="R1102" s="937"/>
      <c r="S1102" s="937"/>
      <c r="T1102" s="937"/>
      <c r="U1102" s="937"/>
      <c r="V1102" s="937"/>
      <c r="W1102" s="937"/>
      <c r="X1102" s="937"/>
      <c r="Y1102" s="937"/>
      <c r="Z1102" s="937"/>
    </row>
    <row r="1103" spans="1:26" ht="15.75" customHeight="1">
      <c r="A1103" s="937"/>
      <c r="B1103" s="937"/>
      <c r="C1103" s="937"/>
      <c r="D1103" s="937"/>
      <c r="E1103" s="937"/>
      <c r="F1103" s="937"/>
      <c r="G1103" s="937"/>
      <c r="H1103" s="937"/>
      <c r="I1103" s="937"/>
      <c r="J1103" s="937"/>
      <c r="K1103" s="937"/>
      <c r="L1103" s="937"/>
      <c r="M1103" s="937"/>
      <c r="N1103" s="937"/>
      <c r="O1103" s="937"/>
      <c r="P1103" s="937"/>
      <c r="Q1103" s="937"/>
      <c r="R1103" s="937"/>
      <c r="S1103" s="937"/>
      <c r="T1103" s="937"/>
      <c r="U1103" s="937"/>
      <c r="V1103" s="937"/>
      <c r="W1103" s="937"/>
      <c r="X1103" s="937"/>
      <c r="Y1103" s="937"/>
      <c r="Z1103" s="937"/>
    </row>
    <row r="1104" spans="1:26" ht="15.75" customHeight="1">
      <c r="A1104" s="937"/>
      <c r="B1104" s="937"/>
      <c r="C1104" s="937"/>
      <c r="D1104" s="937"/>
      <c r="E1104" s="937"/>
      <c r="F1104" s="937"/>
      <c r="G1104" s="937"/>
      <c r="H1104" s="937"/>
      <c r="I1104" s="937"/>
      <c r="J1104" s="937"/>
      <c r="K1104" s="937"/>
      <c r="L1104" s="937"/>
      <c r="M1104" s="937"/>
      <c r="N1104" s="937"/>
      <c r="O1104" s="937"/>
      <c r="P1104" s="937"/>
      <c r="Q1104" s="937"/>
      <c r="R1104" s="937"/>
      <c r="S1104" s="937"/>
      <c r="T1104" s="937"/>
      <c r="U1104" s="937"/>
      <c r="V1104" s="937"/>
      <c r="W1104" s="937"/>
      <c r="X1104" s="937"/>
      <c r="Y1104" s="937"/>
      <c r="Z1104" s="937"/>
    </row>
    <row r="1105" spans="1:26" ht="15.75" customHeight="1">
      <c r="A1105" s="937"/>
      <c r="B1105" s="937"/>
      <c r="C1105" s="937"/>
      <c r="D1105" s="937"/>
      <c r="E1105" s="937"/>
      <c r="F1105" s="937"/>
      <c r="G1105" s="937"/>
      <c r="H1105" s="937"/>
      <c r="I1105" s="937"/>
      <c r="J1105" s="937"/>
      <c r="K1105" s="937"/>
      <c r="L1105" s="937"/>
      <c r="M1105" s="937"/>
      <c r="N1105" s="937"/>
      <c r="O1105" s="937"/>
      <c r="P1105" s="937"/>
      <c r="Q1105" s="937"/>
      <c r="R1105" s="937"/>
      <c r="S1105" s="937"/>
      <c r="T1105" s="937"/>
      <c r="U1105" s="937"/>
      <c r="V1105" s="937"/>
      <c r="W1105" s="937"/>
      <c r="X1105" s="937"/>
      <c r="Y1105" s="937"/>
      <c r="Z1105" s="937"/>
    </row>
    <row r="1106" spans="1:26" ht="15.75" customHeight="1">
      <c r="A1106" s="937"/>
      <c r="B1106" s="937"/>
      <c r="C1106" s="937"/>
      <c r="D1106" s="937"/>
      <c r="E1106" s="937"/>
      <c r="F1106" s="937"/>
      <c r="G1106" s="937"/>
      <c r="H1106" s="937"/>
      <c r="I1106" s="937"/>
      <c r="J1106" s="937"/>
      <c r="K1106" s="937"/>
      <c r="L1106" s="937"/>
      <c r="M1106" s="937"/>
      <c r="N1106" s="937"/>
      <c r="O1106" s="937"/>
      <c r="P1106" s="937"/>
      <c r="Q1106" s="937"/>
      <c r="R1106" s="937"/>
      <c r="S1106" s="937"/>
      <c r="T1106" s="937"/>
      <c r="U1106" s="937"/>
      <c r="V1106" s="937"/>
      <c r="W1106" s="937"/>
      <c r="X1106" s="937"/>
      <c r="Y1106" s="937"/>
      <c r="Z1106" s="937"/>
    </row>
    <row r="1107" spans="1:26" ht="15.75" customHeight="1">
      <c r="A1107" s="937"/>
      <c r="B1107" s="937"/>
      <c r="C1107" s="937"/>
      <c r="D1107" s="937"/>
      <c r="E1107" s="937"/>
      <c r="F1107" s="937"/>
      <c r="G1107" s="937"/>
      <c r="H1107" s="937"/>
      <c r="I1107" s="937"/>
      <c r="J1107" s="937"/>
      <c r="K1107" s="937"/>
      <c r="L1107" s="937"/>
      <c r="M1107" s="937"/>
      <c r="N1107" s="937"/>
      <c r="O1107" s="937"/>
      <c r="P1107" s="937"/>
      <c r="Q1107" s="937"/>
      <c r="R1107" s="937"/>
      <c r="S1107" s="937"/>
      <c r="T1107" s="937"/>
      <c r="U1107" s="937"/>
      <c r="V1107" s="937"/>
      <c r="W1107" s="937"/>
      <c r="X1107" s="937"/>
      <c r="Y1107" s="937"/>
      <c r="Z1107" s="937"/>
    </row>
    <row r="1108" spans="1:26" ht="15.75" customHeight="1">
      <c r="A1108" s="937"/>
      <c r="B1108" s="937"/>
      <c r="C1108" s="937"/>
      <c r="D1108" s="937"/>
      <c r="E1108" s="937"/>
      <c r="F1108" s="937"/>
      <c r="G1108" s="937"/>
      <c r="H1108" s="937"/>
      <c r="I1108" s="937"/>
      <c r="J1108" s="937"/>
      <c r="K1108" s="937"/>
      <c r="L1108" s="937"/>
      <c r="M1108" s="937"/>
      <c r="N1108" s="937"/>
      <c r="O1108" s="937"/>
      <c r="P1108" s="937"/>
      <c r="Q1108" s="937"/>
      <c r="R1108" s="937"/>
      <c r="S1108" s="937"/>
      <c r="T1108" s="937"/>
      <c r="U1108" s="937"/>
      <c r="V1108" s="937"/>
      <c r="W1108" s="937"/>
      <c r="X1108" s="937"/>
      <c r="Y1108" s="937"/>
      <c r="Z1108" s="937"/>
    </row>
    <row r="1109" spans="1:26" ht="15.75" customHeight="1">
      <c r="A1109" s="937"/>
      <c r="B1109" s="937"/>
      <c r="C1109" s="937"/>
      <c r="D1109" s="937"/>
      <c r="E1109" s="937"/>
      <c r="F1109" s="937"/>
      <c r="G1109" s="937"/>
      <c r="H1109" s="937"/>
      <c r="I1109" s="937"/>
      <c r="J1109" s="937"/>
      <c r="K1109" s="937"/>
      <c r="L1109" s="937"/>
      <c r="M1109" s="937"/>
      <c r="N1109" s="937"/>
      <c r="O1109" s="937"/>
      <c r="P1109" s="937"/>
      <c r="Q1109" s="937"/>
      <c r="R1109" s="937"/>
      <c r="S1109" s="937"/>
      <c r="T1109" s="937"/>
      <c r="U1109" s="937"/>
      <c r="V1109" s="937"/>
      <c r="W1109" s="937"/>
      <c r="X1109" s="937"/>
      <c r="Y1109" s="937"/>
      <c r="Z1109" s="937"/>
    </row>
    <row r="1110" spans="1:26" ht="15.75" customHeight="1">
      <c r="A1110" s="937"/>
      <c r="B1110" s="937"/>
      <c r="C1110" s="937"/>
      <c r="D1110" s="937"/>
      <c r="E1110" s="937"/>
      <c r="F1110" s="937"/>
      <c r="G1110" s="937"/>
      <c r="H1110" s="937"/>
      <c r="I1110" s="937"/>
      <c r="J1110" s="937"/>
      <c r="K1110" s="937"/>
      <c r="L1110" s="937"/>
      <c r="M1110" s="937"/>
      <c r="N1110" s="937"/>
      <c r="O1110" s="937"/>
      <c r="P1110" s="937"/>
      <c r="Q1110" s="937"/>
      <c r="R1110" s="937"/>
      <c r="S1110" s="937"/>
      <c r="T1110" s="937"/>
      <c r="U1110" s="937"/>
      <c r="V1110" s="937"/>
      <c r="W1110" s="937"/>
      <c r="X1110" s="937"/>
      <c r="Y1110" s="937"/>
      <c r="Z1110" s="937"/>
    </row>
    <row r="1111" spans="1:26" ht="15.75" customHeight="1">
      <c r="A1111" s="937"/>
      <c r="B1111" s="937"/>
      <c r="C1111" s="937"/>
      <c r="D1111" s="937"/>
      <c r="E1111" s="937"/>
      <c r="F1111" s="937"/>
      <c r="G1111" s="937"/>
      <c r="H1111" s="937"/>
      <c r="I1111" s="937"/>
      <c r="J1111" s="937"/>
      <c r="K1111" s="937"/>
      <c r="L1111" s="937"/>
      <c r="M1111" s="937"/>
      <c r="N1111" s="937"/>
      <c r="O1111" s="937"/>
      <c r="P1111" s="937"/>
      <c r="Q1111" s="937"/>
      <c r="R1111" s="937"/>
      <c r="S1111" s="937"/>
      <c r="T1111" s="937"/>
      <c r="U1111" s="937"/>
      <c r="V1111" s="937"/>
      <c r="W1111" s="937"/>
      <c r="X1111" s="937"/>
      <c r="Y1111" s="937"/>
      <c r="Z1111" s="937"/>
    </row>
    <row r="1112" spans="1:26" ht="15.75" customHeight="1">
      <c r="A1112" s="937"/>
      <c r="B1112" s="937"/>
      <c r="C1112" s="937"/>
      <c r="D1112" s="937"/>
      <c r="E1112" s="937"/>
      <c r="F1112" s="937"/>
      <c r="G1112" s="937"/>
      <c r="H1112" s="937"/>
      <c r="I1112" s="937"/>
      <c r="J1112" s="937"/>
      <c r="K1112" s="937"/>
      <c r="L1112" s="937"/>
      <c r="M1112" s="937"/>
      <c r="N1112" s="937"/>
      <c r="O1112" s="937"/>
      <c r="P1112" s="937"/>
      <c r="Q1112" s="937"/>
      <c r="R1112" s="937"/>
      <c r="S1112" s="937"/>
      <c r="T1112" s="937"/>
      <c r="U1112" s="937"/>
      <c r="V1112" s="937"/>
      <c r="W1112" s="937"/>
      <c r="X1112" s="937"/>
      <c r="Y1112" s="937"/>
      <c r="Z1112" s="937"/>
    </row>
    <row r="1113" spans="1:26" ht="15.75" customHeight="1">
      <c r="A1113" s="937"/>
      <c r="B1113" s="937"/>
      <c r="C1113" s="937"/>
      <c r="D1113" s="937"/>
      <c r="E1113" s="937"/>
      <c r="F1113" s="937"/>
      <c r="G1113" s="937"/>
      <c r="H1113" s="937"/>
      <c r="I1113" s="937"/>
      <c r="J1113" s="937"/>
      <c r="K1113" s="937"/>
      <c r="L1113" s="937"/>
      <c r="M1113" s="937"/>
      <c r="N1113" s="937"/>
      <c r="O1113" s="937"/>
      <c r="P1113" s="937"/>
      <c r="Q1113" s="937"/>
      <c r="R1113" s="937"/>
      <c r="S1113" s="937"/>
      <c r="T1113" s="937"/>
      <c r="U1113" s="937"/>
      <c r="V1113" s="937"/>
      <c r="W1113" s="937"/>
      <c r="X1113" s="937"/>
      <c r="Y1113" s="937"/>
      <c r="Z1113" s="937"/>
    </row>
    <row r="1114" spans="1:26" ht="15.75" customHeight="1">
      <c r="A1114" s="937"/>
      <c r="B1114" s="937"/>
      <c r="C1114" s="937"/>
      <c r="D1114" s="937"/>
      <c r="E1114" s="937"/>
      <c r="F1114" s="937"/>
      <c r="G1114" s="937"/>
      <c r="H1114" s="937"/>
      <c r="I1114" s="937"/>
      <c r="J1114" s="937"/>
      <c r="K1114" s="937"/>
      <c r="L1114" s="937"/>
      <c r="M1114" s="937"/>
      <c r="N1114" s="937"/>
      <c r="O1114" s="937"/>
      <c r="P1114" s="937"/>
      <c r="Q1114" s="937"/>
      <c r="R1114" s="937"/>
      <c r="S1114" s="937"/>
      <c r="T1114" s="937"/>
      <c r="U1114" s="937"/>
      <c r="V1114" s="937"/>
      <c r="W1114" s="937"/>
      <c r="X1114" s="937"/>
      <c r="Y1114" s="937"/>
      <c r="Z1114" s="937"/>
    </row>
    <row r="1115" spans="1:26" ht="15.75" customHeight="1">
      <c r="A1115" s="937"/>
      <c r="B1115" s="937"/>
      <c r="C1115" s="937"/>
      <c r="D1115" s="937"/>
      <c r="E1115" s="937"/>
      <c r="F1115" s="937"/>
      <c r="G1115" s="937"/>
      <c r="H1115" s="937"/>
      <c r="I1115" s="937"/>
      <c r="J1115" s="937"/>
      <c r="K1115" s="937"/>
      <c r="L1115" s="937"/>
      <c r="M1115" s="937"/>
      <c r="N1115" s="937"/>
      <c r="O1115" s="937"/>
      <c r="P1115" s="937"/>
      <c r="Q1115" s="937"/>
      <c r="R1115" s="937"/>
      <c r="S1115" s="937"/>
      <c r="T1115" s="937"/>
      <c r="U1115" s="937"/>
      <c r="V1115" s="937"/>
      <c r="W1115" s="937"/>
      <c r="X1115" s="937"/>
      <c r="Y1115" s="937"/>
      <c r="Z1115" s="937"/>
    </row>
    <row r="1116" spans="1:26" ht="15.75" customHeight="1">
      <c r="A1116" s="937"/>
      <c r="B1116" s="937"/>
      <c r="C1116" s="937"/>
      <c r="D1116" s="937"/>
      <c r="E1116" s="937"/>
      <c r="F1116" s="937"/>
      <c r="G1116" s="937"/>
      <c r="H1116" s="937"/>
      <c r="I1116" s="937"/>
      <c r="J1116" s="937"/>
      <c r="K1116" s="937"/>
      <c r="L1116" s="937"/>
      <c r="M1116" s="937"/>
      <c r="N1116" s="937"/>
      <c r="O1116" s="937"/>
      <c r="P1116" s="937"/>
      <c r="Q1116" s="937"/>
      <c r="R1116" s="937"/>
      <c r="S1116" s="937"/>
      <c r="T1116" s="937"/>
      <c r="U1116" s="937"/>
      <c r="V1116" s="937"/>
      <c r="W1116" s="937"/>
      <c r="X1116" s="937"/>
      <c r="Y1116" s="937"/>
      <c r="Z1116" s="937"/>
    </row>
    <row r="1117" spans="1:26" ht="15.75" customHeight="1">
      <c r="A1117" s="937"/>
      <c r="B1117" s="937"/>
      <c r="C1117" s="937"/>
      <c r="D1117" s="937"/>
      <c r="E1117" s="937"/>
      <c r="F1117" s="937"/>
      <c r="G1117" s="937"/>
      <c r="H1117" s="937"/>
      <c r="I1117" s="937"/>
      <c r="J1117" s="937"/>
      <c r="K1117" s="937"/>
      <c r="L1117" s="937"/>
      <c r="M1117" s="937"/>
      <c r="N1117" s="937"/>
      <c r="O1117" s="937"/>
      <c r="P1117" s="937"/>
      <c r="Q1117" s="937"/>
      <c r="R1117" s="937"/>
      <c r="S1117" s="937"/>
      <c r="T1117" s="937"/>
      <c r="U1117" s="937"/>
      <c r="V1117" s="937"/>
      <c r="W1117" s="937"/>
      <c r="X1117" s="937"/>
      <c r="Y1117" s="937"/>
      <c r="Z1117" s="937"/>
    </row>
    <row r="1118" spans="1:26" ht="15.75" customHeight="1">
      <c r="A1118" s="937"/>
      <c r="B1118" s="937"/>
      <c r="C1118" s="937"/>
      <c r="D1118" s="937"/>
      <c r="E1118" s="937"/>
      <c r="F1118" s="937"/>
      <c r="G1118" s="937"/>
      <c r="H1118" s="937"/>
      <c r="I1118" s="937"/>
      <c r="J1118" s="937"/>
      <c r="K1118" s="937"/>
      <c r="L1118" s="937"/>
      <c r="M1118" s="937"/>
      <c r="N1118" s="937"/>
      <c r="O1118" s="937"/>
      <c r="P1118" s="937"/>
      <c r="Q1118" s="937"/>
      <c r="R1118" s="937"/>
      <c r="S1118" s="937"/>
      <c r="T1118" s="937"/>
      <c r="U1118" s="937"/>
      <c r="V1118" s="937"/>
      <c r="W1118" s="937"/>
      <c r="X1118" s="937"/>
      <c r="Y1118" s="937"/>
      <c r="Z1118" s="937"/>
    </row>
    <row r="1119" spans="1:26" ht="15.75" customHeight="1">
      <c r="A1119" s="937"/>
      <c r="B1119" s="937"/>
      <c r="C1119" s="937"/>
      <c r="D1119" s="937"/>
      <c r="E1119" s="937"/>
      <c r="F1119" s="937"/>
      <c r="G1119" s="937"/>
      <c r="H1119" s="937"/>
      <c r="I1119" s="937"/>
      <c r="J1119" s="937"/>
      <c r="K1119" s="937"/>
      <c r="L1119" s="937"/>
      <c r="M1119" s="937"/>
      <c r="N1119" s="937"/>
      <c r="O1119" s="937"/>
      <c r="P1119" s="937"/>
      <c r="Q1119" s="937"/>
      <c r="R1119" s="937"/>
      <c r="S1119" s="937"/>
      <c r="T1119" s="937"/>
      <c r="U1119" s="937"/>
      <c r="V1119" s="937"/>
      <c r="W1119" s="937"/>
      <c r="X1119" s="937"/>
      <c r="Y1119" s="937"/>
      <c r="Z1119" s="937"/>
    </row>
    <row r="1120" spans="1:26" ht="15.75" customHeight="1">
      <c r="A1120" s="937"/>
      <c r="B1120" s="937"/>
      <c r="C1120" s="937"/>
      <c r="D1120" s="937"/>
      <c r="E1120" s="937"/>
      <c r="F1120" s="937"/>
      <c r="G1120" s="937"/>
      <c r="H1120" s="937"/>
      <c r="I1120" s="937"/>
      <c r="J1120" s="937"/>
      <c r="K1120" s="937"/>
      <c r="L1120" s="937"/>
      <c r="M1120" s="937"/>
      <c r="N1120" s="937"/>
      <c r="O1120" s="937"/>
      <c r="P1120" s="937"/>
      <c r="Q1120" s="937"/>
      <c r="R1120" s="937"/>
      <c r="S1120" s="937"/>
      <c r="T1120" s="937"/>
      <c r="U1120" s="937"/>
      <c r="V1120" s="937"/>
      <c r="W1120" s="937"/>
      <c r="X1120" s="937"/>
      <c r="Y1120" s="937"/>
      <c r="Z1120" s="937"/>
    </row>
    <row r="1121" spans="1:26" ht="15.75" customHeight="1">
      <c r="A1121" s="937"/>
      <c r="B1121" s="937"/>
      <c r="C1121" s="937"/>
      <c r="D1121" s="937"/>
      <c r="E1121" s="937"/>
      <c r="F1121" s="937"/>
      <c r="G1121" s="937"/>
      <c r="H1121" s="937"/>
      <c r="I1121" s="937"/>
      <c r="J1121" s="937"/>
      <c r="K1121" s="937"/>
      <c r="L1121" s="937"/>
      <c r="M1121" s="937"/>
      <c r="N1121" s="937"/>
      <c r="O1121" s="937"/>
      <c r="P1121" s="937"/>
      <c r="Q1121" s="937"/>
      <c r="R1121" s="937"/>
      <c r="S1121" s="937"/>
      <c r="T1121" s="937"/>
      <c r="U1121" s="937"/>
      <c r="V1121" s="937"/>
      <c r="W1121" s="937"/>
      <c r="X1121" s="937"/>
      <c r="Y1121" s="937"/>
      <c r="Z1121" s="937"/>
    </row>
    <row r="1122" spans="1:26" ht="15.75" customHeight="1">
      <c r="A1122" s="937"/>
      <c r="B1122" s="937"/>
      <c r="C1122" s="937"/>
      <c r="D1122" s="937"/>
      <c r="E1122" s="937"/>
      <c r="F1122" s="937"/>
      <c r="G1122" s="937"/>
      <c r="H1122" s="937"/>
      <c r="I1122" s="937"/>
      <c r="J1122" s="937"/>
      <c r="K1122" s="937"/>
      <c r="L1122" s="937"/>
      <c r="M1122" s="937"/>
      <c r="N1122" s="937"/>
      <c r="O1122" s="937"/>
      <c r="P1122" s="937"/>
      <c r="Q1122" s="937"/>
      <c r="R1122" s="937"/>
      <c r="S1122" s="937"/>
      <c r="T1122" s="937"/>
      <c r="U1122" s="937"/>
      <c r="V1122" s="937"/>
      <c r="W1122" s="937"/>
      <c r="X1122" s="937"/>
      <c r="Y1122" s="937"/>
      <c r="Z1122" s="937"/>
    </row>
    <row r="1123" spans="1:26" ht="15.75" customHeight="1">
      <c r="A1123" s="937"/>
      <c r="B1123" s="937"/>
      <c r="C1123" s="937"/>
      <c r="D1123" s="937"/>
      <c r="E1123" s="937"/>
      <c r="F1123" s="937"/>
      <c r="G1123" s="937"/>
      <c r="H1123" s="937"/>
      <c r="I1123" s="937"/>
      <c r="J1123" s="937"/>
      <c r="K1123" s="937"/>
      <c r="L1123" s="937"/>
      <c r="M1123" s="937"/>
      <c r="N1123" s="937"/>
      <c r="O1123" s="937"/>
      <c r="P1123" s="937"/>
      <c r="Q1123" s="937"/>
      <c r="R1123" s="937"/>
      <c r="S1123" s="937"/>
      <c r="T1123" s="937"/>
      <c r="U1123" s="937"/>
      <c r="V1123" s="937"/>
      <c r="W1123" s="937"/>
      <c r="X1123" s="937"/>
      <c r="Y1123" s="937"/>
      <c r="Z1123" s="937"/>
    </row>
    <row r="1124" spans="1:26" ht="15.75" customHeight="1">
      <c r="A1124" s="937"/>
      <c r="B1124" s="937"/>
      <c r="C1124" s="937"/>
      <c r="D1124" s="937"/>
      <c r="E1124" s="937"/>
      <c r="F1124" s="937"/>
      <c r="G1124" s="937"/>
      <c r="H1124" s="937"/>
      <c r="I1124" s="937"/>
      <c r="J1124" s="937"/>
      <c r="K1124" s="937"/>
      <c r="L1124" s="937"/>
      <c r="M1124" s="937"/>
      <c r="N1124" s="937"/>
      <c r="O1124" s="937"/>
      <c r="P1124" s="937"/>
      <c r="Q1124" s="937"/>
      <c r="R1124" s="937"/>
      <c r="S1124" s="937"/>
      <c r="T1124" s="937"/>
      <c r="U1124" s="937"/>
      <c r="V1124" s="937"/>
      <c r="W1124" s="937"/>
      <c r="X1124" s="937"/>
      <c r="Y1124" s="937"/>
      <c r="Z1124" s="937"/>
    </row>
    <row r="1125" spans="1:26" ht="15.75" customHeight="1">
      <c r="A1125" s="937"/>
      <c r="B1125" s="937"/>
      <c r="C1125" s="937"/>
      <c r="D1125" s="937"/>
      <c r="E1125" s="937"/>
      <c r="F1125" s="937"/>
      <c r="G1125" s="937"/>
      <c r="H1125" s="937"/>
      <c r="I1125" s="937"/>
      <c r="J1125" s="937"/>
      <c r="K1125" s="937"/>
      <c r="L1125" s="937"/>
      <c r="M1125" s="937"/>
      <c r="N1125" s="937"/>
      <c r="O1125" s="937"/>
      <c r="P1125" s="937"/>
      <c r="Q1125" s="937"/>
      <c r="R1125" s="937"/>
      <c r="S1125" s="937"/>
      <c r="T1125" s="937"/>
      <c r="U1125" s="937"/>
      <c r="V1125" s="937"/>
      <c r="W1125" s="937"/>
      <c r="X1125" s="937"/>
      <c r="Y1125" s="937"/>
      <c r="Z1125" s="937"/>
    </row>
    <row r="1126" spans="1:26" ht="15.75" customHeight="1">
      <c r="A1126" s="937"/>
      <c r="B1126" s="937"/>
      <c r="C1126" s="937"/>
      <c r="D1126" s="937"/>
      <c r="E1126" s="937"/>
      <c r="F1126" s="937"/>
      <c r="G1126" s="937"/>
      <c r="H1126" s="937"/>
      <c r="I1126" s="937"/>
      <c r="J1126" s="937"/>
      <c r="K1126" s="937"/>
      <c r="L1126" s="937"/>
      <c r="M1126" s="937"/>
      <c r="N1126" s="937"/>
      <c r="O1126" s="937"/>
      <c r="P1126" s="937"/>
      <c r="Q1126" s="937"/>
      <c r="R1126" s="937"/>
      <c r="S1126" s="937"/>
      <c r="T1126" s="937"/>
      <c r="U1126" s="937"/>
      <c r="V1126" s="937"/>
      <c r="W1126" s="937"/>
      <c r="X1126" s="937"/>
      <c r="Y1126" s="937"/>
      <c r="Z1126" s="937"/>
    </row>
    <row r="1127" spans="1:26" ht="15.75" customHeight="1">
      <c r="A1127" s="937"/>
      <c r="B1127" s="937"/>
      <c r="C1127" s="937"/>
      <c r="D1127" s="937"/>
      <c r="E1127" s="937"/>
      <c r="F1127" s="937"/>
      <c r="G1127" s="937"/>
      <c r="H1127" s="937"/>
      <c r="I1127" s="937"/>
      <c r="J1127" s="937"/>
      <c r="K1127" s="937"/>
      <c r="L1127" s="937"/>
      <c r="M1127" s="937"/>
      <c r="N1127" s="937"/>
      <c r="O1127" s="937"/>
      <c r="P1127" s="937"/>
      <c r="Q1127" s="937"/>
      <c r="R1127" s="937"/>
      <c r="S1127" s="937"/>
      <c r="T1127" s="937"/>
      <c r="U1127" s="937"/>
      <c r="V1127" s="937"/>
      <c r="W1127" s="937"/>
      <c r="X1127" s="937"/>
      <c r="Y1127" s="937"/>
      <c r="Z1127" s="937"/>
    </row>
    <row r="1128" spans="1:26" ht="15.75" customHeight="1">
      <c r="A1128" s="937"/>
      <c r="B1128" s="937"/>
      <c r="C1128" s="937"/>
      <c r="D1128" s="937"/>
      <c r="E1128" s="937"/>
      <c r="F1128" s="937"/>
      <c r="G1128" s="937"/>
      <c r="H1128" s="937"/>
      <c r="I1128" s="937"/>
      <c r="J1128" s="937"/>
      <c r="K1128" s="937"/>
      <c r="L1128" s="937"/>
      <c r="M1128" s="937"/>
      <c r="N1128" s="937"/>
      <c r="O1128" s="937"/>
      <c r="P1128" s="937"/>
      <c r="Q1128" s="937"/>
      <c r="R1128" s="937"/>
      <c r="S1128" s="937"/>
      <c r="T1128" s="937"/>
      <c r="U1128" s="937"/>
      <c r="V1128" s="937"/>
      <c r="W1128" s="937"/>
      <c r="X1128" s="937"/>
      <c r="Y1128" s="937"/>
      <c r="Z1128" s="937"/>
    </row>
    <row r="1129" spans="1:26" ht="15.75" customHeight="1">
      <c r="A1129" s="937"/>
      <c r="B1129" s="937"/>
      <c r="C1129" s="937"/>
      <c r="D1129" s="937"/>
      <c r="E1129" s="937"/>
      <c r="F1129" s="937"/>
      <c r="G1129" s="937"/>
      <c r="H1129" s="937"/>
      <c r="I1129" s="937"/>
      <c r="J1129" s="937"/>
      <c r="K1129" s="937"/>
      <c r="L1129" s="937"/>
      <c r="M1129" s="937"/>
      <c r="N1129" s="937"/>
      <c r="O1129" s="937"/>
      <c r="P1129" s="937"/>
      <c r="Q1129" s="937"/>
      <c r="R1129" s="937"/>
      <c r="S1129" s="937"/>
      <c r="T1129" s="937"/>
      <c r="U1129" s="937"/>
      <c r="V1129" s="937"/>
      <c r="W1129" s="937"/>
      <c r="X1129" s="937"/>
      <c r="Y1129" s="937"/>
      <c r="Z1129" s="937"/>
    </row>
    <row r="1130" spans="1:26" ht="15.75" customHeight="1">
      <c r="A1130" s="937"/>
      <c r="B1130" s="937"/>
      <c r="C1130" s="937"/>
      <c r="D1130" s="937"/>
      <c r="E1130" s="937"/>
      <c r="F1130" s="937"/>
      <c r="G1130" s="937"/>
      <c r="H1130" s="937"/>
      <c r="I1130" s="937"/>
      <c r="J1130" s="937"/>
      <c r="K1130" s="937"/>
      <c r="L1130" s="937"/>
      <c r="M1130" s="937"/>
      <c r="N1130" s="937"/>
      <c r="O1130" s="937"/>
      <c r="P1130" s="937"/>
      <c r="Q1130" s="937"/>
      <c r="R1130" s="937"/>
      <c r="S1130" s="937"/>
      <c r="T1130" s="937"/>
      <c r="U1130" s="937"/>
      <c r="V1130" s="937"/>
      <c r="W1130" s="937"/>
      <c r="X1130" s="937"/>
      <c r="Y1130" s="937"/>
      <c r="Z1130" s="937"/>
    </row>
    <row r="1131" spans="1:26" ht="15.75" customHeight="1">
      <c r="A1131" s="937"/>
      <c r="B1131" s="937"/>
      <c r="C1131" s="937"/>
      <c r="D1131" s="937"/>
      <c r="E1131" s="937"/>
      <c r="F1131" s="937"/>
      <c r="G1131" s="937"/>
      <c r="H1131" s="937"/>
      <c r="I1131" s="937"/>
      <c r="J1131" s="937"/>
      <c r="K1131" s="937"/>
      <c r="L1131" s="937"/>
      <c r="M1131" s="937"/>
      <c r="N1131" s="937"/>
      <c r="O1131" s="937"/>
      <c r="P1131" s="937"/>
      <c r="Q1131" s="937"/>
      <c r="R1131" s="937"/>
      <c r="S1131" s="937"/>
      <c r="T1131" s="937"/>
      <c r="U1131" s="937"/>
      <c r="V1131" s="937"/>
      <c r="W1131" s="937"/>
      <c r="X1131" s="937"/>
      <c r="Y1131" s="937"/>
      <c r="Z1131" s="937"/>
    </row>
    <row r="1132" spans="1:26" ht="15.75" customHeight="1">
      <c r="A1132" s="937"/>
      <c r="B1132" s="937"/>
      <c r="C1132" s="937"/>
      <c r="D1132" s="937"/>
      <c r="E1132" s="937"/>
      <c r="F1132" s="937"/>
      <c r="G1132" s="937"/>
      <c r="H1132" s="937"/>
      <c r="I1132" s="937"/>
      <c r="J1132" s="937"/>
      <c r="K1132" s="937"/>
      <c r="L1132" s="937"/>
      <c r="M1132" s="937"/>
      <c r="N1132" s="937"/>
      <c r="O1132" s="937"/>
      <c r="P1132" s="937"/>
      <c r="Q1132" s="937"/>
      <c r="R1132" s="937"/>
      <c r="S1132" s="937"/>
      <c r="T1132" s="937"/>
      <c r="U1132" s="937"/>
      <c r="V1132" s="937"/>
      <c r="W1132" s="937"/>
      <c r="X1132" s="937"/>
      <c r="Y1132" s="937"/>
      <c r="Z1132" s="937"/>
    </row>
    <row r="1133" spans="1:26" ht="15.75" customHeight="1">
      <c r="A1133" s="937"/>
      <c r="B1133" s="937"/>
      <c r="C1133" s="937"/>
      <c r="D1133" s="937"/>
      <c r="E1133" s="937"/>
      <c r="F1133" s="937"/>
      <c r="G1133" s="937"/>
      <c r="H1133" s="937"/>
      <c r="I1133" s="937"/>
      <c r="J1133" s="937"/>
      <c r="K1133" s="937"/>
      <c r="L1133" s="937"/>
      <c r="M1133" s="937"/>
      <c r="N1133" s="937"/>
      <c r="O1133" s="937"/>
      <c r="P1133" s="937"/>
      <c r="Q1133" s="937"/>
      <c r="R1133" s="937"/>
      <c r="S1133" s="937"/>
      <c r="T1133" s="937"/>
      <c r="U1133" s="937"/>
      <c r="V1133" s="937"/>
      <c r="W1133" s="937"/>
      <c r="X1133" s="937"/>
      <c r="Y1133" s="937"/>
      <c r="Z1133" s="937"/>
    </row>
    <row r="1134" spans="1:26" ht="15.75" customHeight="1">
      <c r="A1134" s="937"/>
      <c r="B1134" s="937"/>
      <c r="C1134" s="937"/>
      <c r="D1134" s="937"/>
      <c r="E1134" s="937"/>
      <c r="F1134" s="937"/>
      <c r="G1134" s="937"/>
      <c r="H1134" s="937"/>
      <c r="I1134" s="937"/>
      <c r="J1134" s="937"/>
      <c r="K1134" s="937"/>
      <c r="L1134" s="937"/>
      <c r="M1134" s="937"/>
      <c r="N1134" s="937"/>
      <c r="O1134" s="937"/>
      <c r="P1134" s="937"/>
      <c r="Q1134" s="937"/>
      <c r="R1134" s="937"/>
      <c r="S1134" s="937"/>
      <c r="T1134" s="937"/>
      <c r="U1134" s="937"/>
      <c r="V1134" s="937"/>
      <c r="W1134" s="937"/>
      <c r="X1134" s="937"/>
      <c r="Y1134" s="937"/>
      <c r="Z1134" s="937"/>
    </row>
    <row r="1135" spans="1:26" ht="15.75" customHeight="1">
      <c r="A1135" s="937"/>
      <c r="B1135" s="937"/>
      <c r="C1135" s="937"/>
      <c r="D1135" s="937"/>
      <c r="E1135" s="937"/>
      <c r="F1135" s="937"/>
      <c r="G1135" s="937"/>
      <c r="H1135" s="937"/>
      <c r="I1135" s="937"/>
      <c r="J1135" s="937"/>
      <c r="K1135" s="937"/>
      <c r="L1135" s="937"/>
      <c r="M1135" s="937"/>
      <c r="N1135" s="937"/>
      <c r="O1135" s="937"/>
      <c r="P1135" s="937"/>
      <c r="Q1135" s="937"/>
      <c r="R1135" s="937"/>
      <c r="S1135" s="937"/>
      <c r="T1135" s="937"/>
      <c r="U1135" s="937"/>
      <c r="V1135" s="937"/>
      <c r="W1135" s="937"/>
      <c r="X1135" s="937"/>
      <c r="Y1135" s="937"/>
      <c r="Z1135" s="937"/>
    </row>
    <row r="1136" spans="1:26" ht="15.75" customHeight="1">
      <c r="A1136" s="937"/>
      <c r="B1136" s="937"/>
      <c r="C1136" s="937"/>
      <c r="D1136" s="937"/>
      <c r="E1136" s="937"/>
      <c r="F1136" s="937"/>
      <c r="G1136" s="937"/>
      <c r="H1136" s="937"/>
      <c r="I1136" s="937"/>
      <c r="J1136" s="937"/>
      <c r="K1136" s="937"/>
      <c r="L1136" s="937"/>
      <c r="M1136" s="937"/>
      <c r="N1136" s="937"/>
      <c r="O1136" s="937"/>
      <c r="P1136" s="937"/>
      <c r="Q1136" s="937"/>
      <c r="R1136" s="937"/>
      <c r="S1136" s="937"/>
      <c r="T1136" s="937"/>
      <c r="U1136" s="937"/>
      <c r="V1136" s="937"/>
      <c r="W1136" s="937"/>
      <c r="X1136" s="937"/>
      <c r="Y1136" s="937"/>
      <c r="Z1136" s="937"/>
    </row>
    <row r="1137" spans="1:26" ht="15.75" customHeight="1">
      <c r="A1137" s="937"/>
      <c r="B1137" s="937"/>
      <c r="C1137" s="937"/>
      <c r="D1137" s="937"/>
      <c r="E1137" s="937"/>
      <c r="F1137" s="937"/>
      <c r="G1137" s="937"/>
      <c r="H1137" s="937"/>
      <c r="I1137" s="937"/>
      <c r="J1137" s="937"/>
      <c r="K1137" s="937"/>
      <c r="L1137" s="937"/>
      <c r="M1137" s="937"/>
      <c r="N1137" s="937"/>
      <c r="O1137" s="937"/>
      <c r="P1137" s="937"/>
      <c r="Q1137" s="937"/>
      <c r="R1137" s="937"/>
      <c r="S1137" s="937"/>
      <c r="T1137" s="937"/>
      <c r="U1137" s="937"/>
      <c r="V1137" s="937"/>
      <c r="W1137" s="937"/>
      <c r="X1137" s="937"/>
      <c r="Y1137" s="937"/>
      <c r="Z1137" s="937"/>
    </row>
    <row r="1138" spans="1:26" ht="15.75" customHeight="1">
      <c r="A1138" s="937"/>
      <c r="B1138" s="937"/>
      <c r="C1138" s="937"/>
      <c r="D1138" s="937"/>
      <c r="E1138" s="937"/>
      <c r="F1138" s="937"/>
      <c r="G1138" s="937"/>
      <c r="H1138" s="937"/>
      <c r="I1138" s="937"/>
      <c r="J1138" s="937"/>
      <c r="K1138" s="937"/>
      <c r="L1138" s="937"/>
      <c r="M1138" s="937"/>
      <c r="N1138" s="937"/>
      <c r="O1138" s="937"/>
      <c r="P1138" s="937"/>
      <c r="Q1138" s="937"/>
      <c r="R1138" s="937"/>
      <c r="S1138" s="937"/>
      <c r="T1138" s="937"/>
      <c r="U1138" s="937"/>
      <c r="V1138" s="937"/>
      <c r="W1138" s="937"/>
      <c r="X1138" s="937"/>
      <c r="Y1138" s="937"/>
      <c r="Z1138" s="937"/>
    </row>
    <row r="1139" spans="1:26" ht="15.75" customHeight="1">
      <c r="A1139" s="937"/>
      <c r="B1139" s="937"/>
      <c r="C1139" s="937"/>
      <c r="D1139" s="937"/>
      <c r="E1139" s="937"/>
      <c r="F1139" s="937"/>
      <c r="G1139" s="937"/>
      <c r="H1139" s="937"/>
      <c r="I1139" s="937"/>
      <c r="J1139" s="937"/>
      <c r="K1139" s="937"/>
      <c r="L1139" s="937"/>
      <c r="M1139" s="937"/>
      <c r="N1139" s="937"/>
      <c r="O1139" s="937"/>
      <c r="P1139" s="937"/>
      <c r="Q1139" s="937"/>
      <c r="R1139" s="937"/>
      <c r="S1139" s="937"/>
      <c r="T1139" s="937"/>
      <c r="U1139" s="937"/>
      <c r="V1139" s="937"/>
      <c r="W1139" s="937"/>
      <c r="X1139" s="937"/>
      <c r="Y1139" s="937"/>
      <c r="Z1139" s="937"/>
    </row>
    <row r="1140" spans="1:26" ht="15.75" customHeight="1">
      <c r="A1140" s="937"/>
      <c r="B1140" s="937"/>
      <c r="C1140" s="937"/>
      <c r="D1140" s="937"/>
      <c r="E1140" s="937"/>
      <c r="F1140" s="937"/>
      <c r="G1140" s="937"/>
      <c r="H1140" s="937"/>
      <c r="I1140" s="937"/>
      <c r="J1140" s="937"/>
      <c r="K1140" s="937"/>
      <c r="L1140" s="937"/>
      <c r="M1140" s="937"/>
      <c r="N1140" s="937"/>
      <c r="O1140" s="937"/>
      <c r="P1140" s="937"/>
      <c r="Q1140" s="937"/>
      <c r="R1140" s="937"/>
      <c r="S1140" s="937"/>
      <c r="T1140" s="937"/>
      <c r="U1140" s="937"/>
      <c r="V1140" s="937"/>
      <c r="W1140" s="937"/>
      <c r="X1140" s="937"/>
      <c r="Y1140" s="937"/>
      <c r="Z1140" s="937"/>
    </row>
    <row r="1141" spans="1:26" ht="15.75" customHeight="1">
      <c r="A1141" s="937"/>
      <c r="B1141" s="937"/>
      <c r="C1141" s="937"/>
      <c r="D1141" s="937"/>
      <c r="E1141" s="937"/>
      <c r="F1141" s="937"/>
      <c r="G1141" s="937"/>
      <c r="H1141" s="937"/>
      <c r="I1141" s="937"/>
      <c r="J1141" s="937"/>
      <c r="K1141" s="937"/>
      <c r="L1141" s="937"/>
      <c r="M1141" s="937"/>
      <c r="N1141" s="937"/>
      <c r="O1141" s="937"/>
      <c r="P1141" s="937"/>
      <c r="Q1141" s="937"/>
      <c r="R1141" s="937"/>
      <c r="S1141" s="937"/>
      <c r="T1141" s="937"/>
      <c r="U1141" s="937"/>
      <c r="V1141" s="937"/>
      <c r="W1141" s="937"/>
      <c r="X1141" s="937"/>
      <c r="Y1141" s="937"/>
      <c r="Z1141" s="937"/>
    </row>
    <row r="1142" spans="1:26" ht="15.75" customHeight="1">
      <c r="A1142" s="937"/>
      <c r="B1142" s="937"/>
      <c r="C1142" s="937"/>
      <c r="D1142" s="937"/>
      <c r="E1142" s="937"/>
      <c r="F1142" s="937"/>
      <c r="G1142" s="937"/>
      <c r="H1142" s="937"/>
      <c r="I1142" s="937"/>
      <c r="J1142" s="937"/>
      <c r="K1142" s="937"/>
      <c r="L1142" s="937"/>
      <c r="M1142" s="937"/>
      <c r="N1142" s="937"/>
      <c r="O1142" s="937"/>
      <c r="P1142" s="937"/>
      <c r="Q1142" s="937"/>
      <c r="R1142" s="937"/>
      <c r="S1142" s="937"/>
      <c r="T1142" s="937"/>
      <c r="U1142" s="937"/>
      <c r="V1142" s="937"/>
      <c r="W1142" s="937"/>
      <c r="X1142" s="937"/>
      <c r="Y1142" s="937"/>
      <c r="Z1142" s="937"/>
    </row>
    <row r="1143" spans="1:26" ht="15.75" customHeight="1">
      <c r="A1143" s="937"/>
      <c r="B1143" s="937"/>
      <c r="C1143" s="937"/>
      <c r="D1143" s="937"/>
      <c r="E1143" s="937"/>
      <c r="F1143" s="937"/>
      <c r="G1143" s="937"/>
      <c r="H1143" s="937"/>
      <c r="I1143" s="937"/>
      <c r="J1143" s="937"/>
      <c r="K1143" s="937"/>
      <c r="L1143" s="937"/>
      <c r="M1143" s="937"/>
      <c r="N1143" s="937"/>
      <c r="O1143" s="937"/>
      <c r="P1143" s="937"/>
      <c r="Q1143" s="937"/>
      <c r="R1143" s="937"/>
      <c r="S1143" s="937"/>
      <c r="T1143" s="937"/>
      <c r="U1143" s="937"/>
      <c r="V1143" s="937"/>
      <c r="W1143" s="937"/>
      <c r="X1143" s="937"/>
      <c r="Y1143" s="937"/>
      <c r="Z1143" s="937"/>
    </row>
    <row r="1144" spans="1:26" ht="15.75" customHeight="1">
      <c r="A1144" s="937"/>
      <c r="B1144" s="937"/>
      <c r="C1144" s="937"/>
      <c r="D1144" s="937"/>
      <c r="E1144" s="937"/>
      <c r="F1144" s="937"/>
      <c r="G1144" s="937"/>
      <c r="H1144" s="937"/>
      <c r="I1144" s="937"/>
      <c r="J1144" s="937"/>
      <c r="K1144" s="937"/>
      <c r="L1144" s="937"/>
      <c r="M1144" s="937"/>
      <c r="N1144" s="937"/>
      <c r="O1144" s="937"/>
      <c r="P1144" s="937"/>
      <c r="Q1144" s="937"/>
      <c r="R1144" s="937"/>
      <c r="S1144" s="937"/>
      <c r="T1144" s="937"/>
      <c r="U1144" s="937"/>
      <c r="V1144" s="937"/>
      <c r="W1144" s="937"/>
      <c r="X1144" s="937"/>
      <c r="Y1144" s="937"/>
      <c r="Z1144" s="937"/>
    </row>
    <row r="1145" spans="1:26" ht="15.75" customHeight="1">
      <c r="A1145" s="937"/>
      <c r="B1145" s="937"/>
      <c r="C1145" s="937"/>
      <c r="D1145" s="937"/>
      <c r="E1145" s="937"/>
      <c r="F1145" s="937"/>
      <c r="G1145" s="937"/>
      <c r="H1145" s="937"/>
      <c r="I1145" s="937"/>
      <c r="J1145" s="937"/>
      <c r="K1145" s="937"/>
      <c r="L1145" s="937"/>
      <c r="M1145" s="937"/>
      <c r="N1145" s="937"/>
      <c r="O1145" s="937"/>
      <c r="P1145" s="937"/>
      <c r="Q1145" s="937"/>
      <c r="R1145" s="937"/>
      <c r="S1145" s="937"/>
      <c r="T1145" s="937"/>
      <c r="U1145" s="937"/>
      <c r="V1145" s="937"/>
      <c r="W1145" s="937"/>
      <c r="X1145" s="937"/>
      <c r="Y1145" s="937"/>
      <c r="Z1145" s="937"/>
    </row>
    <row r="1146" spans="1:26" ht="15.75" customHeight="1">
      <c r="A1146" s="937"/>
      <c r="B1146" s="937"/>
      <c r="C1146" s="937"/>
      <c r="D1146" s="937"/>
      <c r="E1146" s="937"/>
      <c r="F1146" s="937"/>
      <c r="G1146" s="937"/>
      <c r="H1146" s="937"/>
      <c r="I1146" s="937"/>
      <c r="J1146" s="937"/>
      <c r="K1146" s="937"/>
      <c r="L1146" s="937"/>
      <c r="M1146" s="937"/>
      <c r="N1146" s="937"/>
      <c r="O1146" s="937"/>
      <c r="P1146" s="937"/>
      <c r="Q1146" s="937"/>
      <c r="R1146" s="937"/>
      <c r="S1146" s="937"/>
      <c r="T1146" s="937"/>
      <c r="U1146" s="937"/>
      <c r="V1146" s="937"/>
      <c r="W1146" s="937"/>
      <c r="X1146" s="937"/>
      <c r="Y1146" s="937"/>
      <c r="Z1146" s="937"/>
    </row>
    <row r="1147" spans="1:26" ht="15.75" customHeight="1">
      <c r="A1147" s="937"/>
      <c r="B1147" s="937"/>
      <c r="C1147" s="937"/>
      <c r="D1147" s="937"/>
      <c r="E1147" s="937"/>
      <c r="F1147" s="937"/>
      <c r="G1147" s="937"/>
      <c r="H1147" s="937"/>
      <c r="I1147" s="937"/>
      <c r="J1147" s="937"/>
      <c r="K1147" s="937"/>
      <c r="L1147" s="937"/>
      <c r="M1147" s="937"/>
      <c r="N1147" s="937"/>
      <c r="O1147" s="937"/>
      <c r="P1147" s="937"/>
      <c r="Q1147" s="937"/>
      <c r="R1147" s="937"/>
      <c r="S1147" s="937"/>
      <c r="T1147" s="937"/>
      <c r="U1147" s="937"/>
      <c r="V1147" s="937"/>
      <c r="W1147" s="937"/>
      <c r="X1147" s="937"/>
      <c r="Y1147" s="937"/>
      <c r="Z1147" s="937"/>
    </row>
    <row r="1148" spans="1:26" ht="15.75" customHeight="1">
      <c r="A1148" s="937"/>
      <c r="B1148" s="937"/>
      <c r="C1148" s="937"/>
      <c r="D1148" s="937"/>
      <c r="E1148" s="937"/>
      <c r="F1148" s="937"/>
      <c r="G1148" s="937"/>
      <c r="H1148" s="937"/>
      <c r="I1148" s="937"/>
      <c r="J1148" s="937"/>
      <c r="K1148" s="937"/>
      <c r="L1148" s="937"/>
      <c r="M1148" s="937"/>
      <c r="N1148" s="937"/>
      <c r="O1148" s="937"/>
      <c r="P1148" s="937"/>
      <c r="Q1148" s="937"/>
      <c r="R1148" s="937"/>
      <c r="S1148" s="937"/>
      <c r="T1148" s="937"/>
      <c r="U1148" s="937"/>
      <c r="V1148" s="937"/>
      <c r="W1148" s="937"/>
      <c r="X1148" s="937"/>
      <c r="Y1148" s="937"/>
      <c r="Z1148" s="937"/>
    </row>
    <row r="1149" spans="1:26" ht="15.75" customHeight="1">
      <c r="A1149" s="937"/>
      <c r="B1149" s="937"/>
      <c r="C1149" s="937"/>
      <c r="D1149" s="937"/>
      <c r="E1149" s="937"/>
      <c r="F1149" s="937"/>
      <c r="G1149" s="937"/>
      <c r="H1149" s="937"/>
      <c r="I1149" s="937"/>
      <c r="J1149" s="937"/>
      <c r="K1149" s="937"/>
      <c r="L1149" s="937"/>
      <c r="M1149" s="937"/>
      <c r="N1149" s="937"/>
      <c r="O1149" s="937"/>
      <c r="P1149" s="937"/>
      <c r="Q1149" s="937"/>
      <c r="R1149" s="937"/>
      <c r="S1149" s="937"/>
      <c r="T1149" s="937"/>
      <c r="U1149" s="937"/>
      <c r="V1149" s="937"/>
      <c r="W1149" s="937"/>
      <c r="X1149" s="937"/>
      <c r="Y1149" s="937"/>
      <c r="Z1149" s="937"/>
    </row>
    <row r="1150" spans="1:26" ht="15.75" customHeight="1">
      <c r="A1150" s="937"/>
      <c r="B1150" s="937"/>
      <c r="C1150" s="937"/>
      <c r="D1150" s="937"/>
      <c r="E1150" s="937"/>
      <c r="F1150" s="937"/>
      <c r="G1150" s="937"/>
      <c r="H1150" s="937"/>
      <c r="I1150" s="937"/>
      <c r="J1150" s="937"/>
      <c r="K1150" s="937"/>
      <c r="L1150" s="937"/>
      <c r="M1150" s="937"/>
      <c r="N1150" s="937"/>
      <c r="O1150" s="937"/>
      <c r="P1150" s="937"/>
      <c r="Q1150" s="937"/>
      <c r="R1150" s="937"/>
      <c r="S1150" s="937"/>
      <c r="T1150" s="937"/>
      <c r="U1150" s="937"/>
      <c r="V1150" s="937"/>
      <c r="W1150" s="937"/>
      <c r="X1150" s="937"/>
      <c r="Y1150" s="937"/>
      <c r="Z1150" s="937"/>
    </row>
    <row r="1151" spans="1:26" ht="15.75" customHeight="1">
      <c r="A1151" s="937"/>
      <c r="B1151" s="937"/>
      <c r="C1151" s="937"/>
      <c r="D1151" s="937"/>
      <c r="E1151" s="937"/>
      <c r="F1151" s="937"/>
      <c r="G1151" s="937"/>
      <c r="H1151" s="937"/>
      <c r="I1151" s="937"/>
      <c r="J1151" s="937"/>
      <c r="K1151" s="937"/>
      <c r="L1151" s="937"/>
      <c r="M1151" s="937"/>
      <c r="N1151" s="937"/>
      <c r="O1151" s="937"/>
      <c r="P1151" s="937"/>
      <c r="Q1151" s="937"/>
      <c r="R1151" s="937"/>
      <c r="S1151" s="937"/>
      <c r="T1151" s="937"/>
      <c r="U1151" s="937"/>
      <c r="V1151" s="937"/>
      <c r="W1151" s="937"/>
      <c r="X1151" s="937"/>
      <c r="Y1151" s="937"/>
      <c r="Z1151" s="937"/>
    </row>
    <row r="1152" spans="1:26" ht="15.75" customHeight="1">
      <c r="A1152" s="937"/>
      <c r="B1152" s="937"/>
      <c r="C1152" s="937"/>
      <c r="D1152" s="937"/>
      <c r="E1152" s="937"/>
      <c r="F1152" s="937"/>
      <c r="G1152" s="937"/>
      <c r="H1152" s="937"/>
      <c r="I1152" s="937"/>
      <c r="J1152" s="937"/>
      <c r="K1152" s="937"/>
      <c r="L1152" s="937"/>
      <c r="M1152" s="937"/>
      <c r="N1152" s="937"/>
      <c r="O1152" s="937"/>
      <c r="P1152" s="937"/>
      <c r="Q1152" s="937"/>
      <c r="R1152" s="937"/>
      <c r="S1152" s="937"/>
      <c r="T1152" s="937"/>
      <c r="U1152" s="937"/>
      <c r="V1152" s="937"/>
      <c r="W1152" s="937"/>
      <c r="X1152" s="937"/>
      <c r="Y1152" s="937"/>
      <c r="Z1152" s="937"/>
    </row>
    <row r="1153" spans="1:26" ht="15.75" customHeight="1">
      <c r="A1153" s="937"/>
      <c r="B1153" s="937"/>
      <c r="C1153" s="937"/>
      <c r="D1153" s="937"/>
      <c r="E1153" s="937"/>
      <c r="F1153" s="937"/>
      <c r="G1153" s="937"/>
      <c r="H1153" s="937"/>
      <c r="I1153" s="937"/>
      <c r="J1153" s="937"/>
      <c r="K1153" s="937"/>
      <c r="L1153" s="937"/>
      <c r="M1153" s="937"/>
      <c r="N1153" s="937"/>
      <c r="O1153" s="937"/>
      <c r="P1153" s="937"/>
      <c r="Q1153" s="937"/>
      <c r="R1153" s="937"/>
      <c r="S1153" s="937"/>
      <c r="T1153" s="937"/>
      <c r="U1153" s="937"/>
      <c r="V1153" s="937"/>
      <c r="W1153" s="937"/>
      <c r="X1153" s="937"/>
      <c r="Y1153" s="937"/>
      <c r="Z1153" s="937"/>
    </row>
    <row r="1154" spans="1:26" ht="15.75" customHeight="1">
      <c r="A1154" s="937"/>
      <c r="B1154" s="937"/>
      <c r="C1154" s="937"/>
      <c r="D1154" s="937"/>
      <c r="E1154" s="937"/>
      <c r="F1154" s="937"/>
      <c r="G1154" s="937"/>
      <c r="H1154" s="937"/>
      <c r="I1154" s="937"/>
      <c r="J1154" s="937"/>
      <c r="K1154" s="937"/>
      <c r="L1154" s="937"/>
      <c r="M1154" s="937"/>
      <c r="N1154" s="937"/>
      <c r="O1154" s="937"/>
      <c r="P1154" s="937"/>
      <c r="Q1154" s="937"/>
      <c r="R1154" s="937"/>
      <c r="S1154" s="937"/>
      <c r="T1154" s="937"/>
      <c r="U1154" s="937"/>
      <c r="V1154" s="937"/>
      <c r="W1154" s="937"/>
      <c r="X1154" s="937"/>
      <c r="Y1154" s="937"/>
      <c r="Z1154" s="937"/>
    </row>
    <row r="1155" spans="1:26" ht="15.75" customHeight="1">
      <c r="A1155" s="937"/>
      <c r="B1155" s="937"/>
      <c r="C1155" s="937"/>
      <c r="D1155" s="937"/>
      <c r="E1155" s="937"/>
      <c r="F1155" s="937"/>
      <c r="G1155" s="937"/>
      <c r="H1155" s="937"/>
      <c r="I1155" s="937"/>
      <c r="J1155" s="937"/>
      <c r="K1155" s="937"/>
      <c r="L1155" s="937"/>
      <c r="M1155" s="937"/>
      <c r="N1155" s="937"/>
      <c r="O1155" s="937"/>
      <c r="P1155" s="937"/>
      <c r="Q1155" s="937"/>
      <c r="R1155" s="937"/>
      <c r="S1155" s="937"/>
      <c r="T1155" s="937"/>
      <c r="U1155" s="937"/>
      <c r="V1155" s="937"/>
      <c r="W1155" s="937"/>
      <c r="X1155" s="937"/>
      <c r="Y1155" s="937"/>
      <c r="Z1155" s="937"/>
    </row>
    <row r="1156" spans="1:26" ht="15.75" customHeight="1">
      <c r="A1156" s="937"/>
      <c r="B1156" s="937"/>
      <c r="C1156" s="937"/>
      <c r="D1156" s="937"/>
      <c r="E1156" s="937"/>
      <c r="F1156" s="937"/>
      <c r="G1156" s="937"/>
      <c r="H1156" s="937"/>
      <c r="I1156" s="937"/>
      <c r="J1156" s="937"/>
      <c r="K1156" s="937"/>
      <c r="L1156" s="937"/>
      <c r="M1156" s="937"/>
      <c r="N1156" s="937"/>
      <c r="O1156" s="937"/>
      <c r="P1156" s="937"/>
      <c r="Q1156" s="937"/>
      <c r="R1156" s="937"/>
      <c r="S1156" s="937"/>
      <c r="T1156" s="937"/>
      <c r="U1156" s="937"/>
      <c r="V1156" s="937"/>
      <c r="W1156" s="937"/>
      <c r="X1156" s="937"/>
      <c r="Y1156" s="937"/>
      <c r="Z1156" s="937"/>
    </row>
    <row r="1157" spans="1:26" ht="15.75" customHeight="1">
      <c r="A1157" s="937"/>
      <c r="B1157" s="937"/>
      <c r="C1157" s="937"/>
      <c r="D1157" s="937"/>
      <c r="E1157" s="937"/>
      <c r="F1157" s="937"/>
      <c r="G1157" s="937"/>
      <c r="H1157" s="937"/>
      <c r="I1157" s="937"/>
      <c r="J1157" s="937"/>
      <c r="K1157" s="937"/>
      <c r="L1157" s="937"/>
      <c r="M1157" s="937"/>
      <c r="N1157" s="937"/>
      <c r="O1157" s="937"/>
      <c r="P1157" s="937"/>
      <c r="Q1157" s="937"/>
      <c r="R1157" s="937"/>
      <c r="S1157" s="937"/>
      <c r="T1157" s="937"/>
      <c r="U1157" s="937"/>
      <c r="V1157" s="937"/>
      <c r="W1157" s="937"/>
      <c r="X1157" s="937"/>
      <c r="Y1157" s="937"/>
      <c r="Z1157" s="937"/>
    </row>
    <row r="1158" spans="1:26" ht="15.75" customHeight="1">
      <c r="A1158" s="937"/>
      <c r="B1158" s="937"/>
      <c r="C1158" s="937"/>
      <c r="D1158" s="937"/>
      <c r="E1158" s="937"/>
      <c r="F1158" s="937"/>
      <c r="G1158" s="937"/>
      <c r="H1158" s="937"/>
      <c r="I1158" s="937"/>
      <c r="J1158" s="937"/>
      <c r="K1158" s="937"/>
      <c r="L1158" s="937"/>
      <c r="M1158" s="937"/>
      <c r="N1158" s="937"/>
      <c r="O1158" s="937"/>
      <c r="P1158" s="937"/>
      <c r="Q1158" s="937"/>
      <c r="R1158" s="937"/>
      <c r="S1158" s="937"/>
      <c r="T1158" s="937"/>
      <c r="U1158" s="937"/>
      <c r="V1158" s="937"/>
      <c r="W1158" s="937"/>
      <c r="X1158" s="937"/>
      <c r="Y1158" s="937"/>
      <c r="Z1158" s="937"/>
    </row>
    <row r="1159" spans="1:26" ht="15.75" customHeight="1">
      <c r="A1159" s="937"/>
      <c r="B1159" s="937"/>
      <c r="C1159" s="937"/>
      <c r="D1159" s="937"/>
      <c r="E1159" s="937"/>
      <c r="F1159" s="937"/>
      <c r="G1159" s="937"/>
      <c r="H1159" s="937"/>
      <c r="I1159" s="937"/>
      <c r="J1159" s="937"/>
      <c r="K1159" s="937"/>
      <c r="L1159" s="937"/>
      <c r="M1159" s="937"/>
      <c r="N1159" s="937"/>
      <c r="O1159" s="937"/>
      <c r="P1159" s="937"/>
      <c r="Q1159" s="937"/>
      <c r="R1159" s="937"/>
      <c r="S1159" s="937"/>
      <c r="T1159" s="937"/>
      <c r="U1159" s="937"/>
      <c r="V1159" s="937"/>
      <c r="W1159" s="937"/>
      <c r="X1159" s="937"/>
      <c r="Y1159" s="937"/>
      <c r="Z1159" s="937"/>
    </row>
  </sheetData>
  <conditionalFormatting sqref="F330">
    <cfRule type="cellIs" dxfId="20" priority="1" operator="greaterThanOrEqual">
      <formula>0.4</formula>
    </cfRule>
    <cfRule type="cellIs" dxfId="19" priority="2" operator="between">
      <formula>0.35</formula>
      <formula>0.3999</formula>
    </cfRule>
    <cfRule type="cellIs" dxfId="18" priority="3" operator="between">
      <formula>0.3</formula>
      <formula>0.3499</formula>
    </cfRule>
    <cfRule type="cellIs" dxfId="17" priority="4" operator="lessThan">
      <formula>0.3</formula>
    </cfRule>
  </conditionalFormatting>
  <conditionalFormatting sqref="K4:K6 J5:J12 I7:I11 K12 G317:G328">
    <cfRule type="cellIs" dxfId="16" priority="5" stopIfTrue="1" operator="lessThan">
      <formula>0</formula>
    </cfRule>
  </conditionalFormatting>
  <dataValidations count="14">
    <dataValidation type="list" allowBlank="1" showErrorMessage="1" sqref="E15:E124 E302" xr:uid="{00000000-0002-0000-0200-000000000000}">
      <formula1>"MT,MTcod,MTCoach,ET,ETcod,ETCoach,ST,STcod,STCoach,T,Tcod,TCoach,HTS,STS,TS"</formula1>
    </dataValidation>
    <dataValidation type="list" allowBlank="1" sqref="J327" xr:uid="{00000000-0002-0000-0200-000001000000}">
      <formula1>"Bruno,Davide Z."</formula1>
    </dataValidation>
    <dataValidation type="list" allowBlank="1" showErrorMessage="1" sqref="B314:B315" xr:uid="{00000000-0002-0000-0200-000002000000}">
      <formula1>"Corsi,Ricavi da Spese Fatturate al Cliente"</formula1>
    </dataValidation>
    <dataValidation type="list" allowBlank="1" showErrorMessage="1" sqref="I3" xr:uid="{00000000-0002-0000-0200-000003000000}">
      <formula1>"Finanziato,Autofinanziato"</formula1>
    </dataValidation>
    <dataValidation type="list" allowBlank="1" showErrorMessage="1" sqref="B129" xr:uid="{00000000-0002-0000-0200-000004000000}">
      <formula1>"Royalties"</formula1>
    </dataValidation>
    <dataValidation type="list" allowBlank="1" showErrorMessage="1" sqref="C15:C124 C129 C132:C297 C302 C305:C309 C314:C315" xr:uid="{00000000-0002-0000-0200-000005000000}">
      <formula1>"blackship,Master in Vendita"</formula1>
    </dataValidation>
    <dataValidation type="list" allowBlank="1" showErrorMessage="1" sqref="D132:D297 F302" xr:uid="{00000000-0002-0000-0200-000006000000}">
      <formula1>"x"</formula1>
    </dataValidation>
    <dataValidation type="list" allowBlank="1" showErrorMessage="1" sqref="B302 B305:B309" xr:uid="{00000000-0002-0000-0200-000007000000}">
      <formula1>"Provvigioni"</formula1>
    </dataValidation>
    <dataValidation type="list" allowBlank="1" sqref="E7" xr:uid="{00000000-0002-0000-0200-000008000000}">
      <formula1>$M$2:$M$55</formula1>
    </dataValidation>
    <dataValidation type="list" allowBlank="1" sqref="E8" xr:uid="{00000000-0002-0000-0200-000009000000}">
      <formula1>$N$2:$N$23</formula1>
    </dataValidation>
    <dataValidation type="list" allowBlank="1" showErrorMessage="1" sqref="B132:B297" xr:uid="{00000000-0002-0000-0200-00000A000000}">
      <formula1>"Rimborsi Spese,Sale &amp; Hotel,Service,Manuali &amp; Materiali,Gadget,Furgone &amp; Facchino"</formula1>
    </dataValidation>
    <dataValidation type="list" allowBlank="1" showErrorMessage="1" sqref="K10" xr:uid="{00000000-0002-0000-0200-00000B000000}">
      <formula1>$O$2:$O$19</formula1>
    </dataValidation>
    <dataValidation type="list" allowBlank="1" showErrorMessage="1" sqref="K3" xr:uid="{00000000-0002-0000-0200-00000C000000}">
      <formula1>"Incluse,Escluse"</formula1>
    </dataValidation>
    <dataValidation type="list" allowBlank="1" showErrorMessage="1" sqref="B15:B124" xr:uid="{00000000-0002-0000-0200-00000D000000}">
      <formula1>"Docenze e Assistenze"</formula1>
    </dataValidation>
  </dataValidations>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98"/>
  <sheetViews>
    <sheetView workbookViewId="0"/>
  </sheetViews>
  <sheetFormatPr defaultColWidth="14.42578125" defaultRowHeight="15" customHeight="1" outlineLevelRow="1"/>
  <cols>
    <col min="1" max="1" width="4.140625" customWidth="1"/>
    <col min="2" max="2" width="20.7109375" customWidth="1"/>
    <col min="4" max="4" width="36.42578125" customWidth="1"/>
    <col min="5" max="5" width="12.85546875" customWidth="1"/>
    <col min="6" max="6" width="16.140625" customWidth="1"/>
    <col min="7" max="7" width="37.28515625" customWidth="1"/>
    <col min="8" max="8" width="30.7109375" customWidth="1"/>
    <col min="9" max="9" width="26.28515625" customWidth="1"/>
    <col min="10" max="10" width="10.7109375" customWidth="1"/>
    <col min="11" max="11" width="12.7109375" customWidth="1"/>
    <col min="12" max="12" width="15.7109375" customWidth="1"/>
    <col min="13" max="16" width="22.42578125" customWidth="1"/>
    <col min="17" max="26" width="8.7109375" customWidth="1"/>
  </cols>
  <sheetData>
    <row r="1" spans="1:26" ht="12.75" customHeight="1">
      <c r="A1" s="1030"/>
      <c r="B1" s="1030"/>
      <c r="C1" s="1030"/>
      <c r="D1" s="1031" t="s">
        <v>3333</v>
      </c>
      <c r="E1" s="1031"/>
      <c r="F1" s="1031"/>
      <c r="G1" s="1031"/>
      <c r="H1" s="1031"/>
      <c r="I1" s="1032"/>
      <c r="J1" s="1031"/>
      <c r="K1" s="1033"/>
      <c r="L1" s="1030"/>
      <c r="M1" s="1030" t="s">
        <v>3334</v>
      </c>
      <c r="N1" s="1030" t="s">
        <v>3335</v>
      </c>
      <c r="O1" s="1030" t="s">
        <v>3336</v>
      </c>
      <c r="P1" s="1030" t="s">
        <v>3337</v>
      </c>
      <c r="Q1" s="1030"/>
      <c r="R1" s="1030"/>
      <c r="S1" s="1030"/>
      <c r="T1" s="1030"/>
      <c r="U1" s="1030"/>
      <c r="V1" s="1030"/>
      <c r="W1" s="1030"/>
      <c r="X1" s="1030"/>
      <c r="Y1" s="1030"/>
      <c r="Z1" s="1030"/>
    </row>
    <row r="2" spans="1:26" ht="30.75" customHeight="1">
      <c r="A2" s="1030"/>
      <c r="B2" s="1030"/>
      <c r="C2" s="1030"/>
      <c r="D2" s="1034" t="s">
        <v>3338</v>
      </c>
      <c r="E2" s="1035" t="s">
        <v>117</v>
      </c>
      <c r="F2" s="1036" t="s">
        <v>3339</v>
      </c>
      <c r="G2" s="1035" t="s">
        <v>3562</v>
      </c>
      <c r="H2" s="1036" t="s">
        <v>3341</v>
      </c>
      <c r="I2" s="1037" t="s">
        <v>3342</v>
      </c>
      <c r="J2" s="1038" t="s">
        <v>3343</v>
      </c>
      <c r="K2" s="1037">
        <f>'Lista Corso'!BM490</f>
        <v>158923.85</v>
      </c>
      <c r="L2" s="1039"/>
      <c r="M2" s="1040" t="s">
        <v>3344</v>
      </c>
      <c r="N2" s="1040" t="s">
        <v>3345</v>
      </c>
      <c r="O2" s="1040" t="s">
        <v>3346</v>
      </c>
      <c r="P2" s="1040" t="s">
        <v>3346</v>
      </c>
      <c r="Q2" s="1030"/>
      <c r="R2" s="1030"/>
      <c r="S2" s="1030"/>
      <c r="T2" s="1030"/>
      <c r="U2" s="1030"/>
      <c r="V2" s="1030"/>
      <c r="W2" s="1030"/>
      <c r="X2" s="1030"/>
      <c r="Y2" s="1030"/>
      <c r="Z2" s="1030"/>
    </row>
    <row r="3" spans="1:26" ht="12.75" customHeight="1">
      <c r="A3" s="1030"/>
      <c r="B3" s="1030"/>
      <c r="C3" s="1030"/>
      <c r="D3" s="1034" t="s">
        <v>3347</v>
      </c>
      <c r="E3" s="1035">
        <f>3+3+2</f>
        <v>8</v>
      </c>
      <c r="F3" s="1034" t="s">
        <v>3348</v>
      </c>
      <c r="G3" s="1035" t="s">
        <v>3349</v>
      </c>
      <c r="H3" s="1038" t="s">
        <v>3350</v>
      </c>
      <c r="I3" s="1037" t="s">
        <v>3351</v>
      </c>
      <c r="J3" s="1038" t="s">
        <v>3352</v>
      </c>
      <c r="K3" s="1037" t="s">
        <v>3353</v>
      </c>
      <c r="L3" s="1039"/>
      <c r="M3" s="1040" t="s">
        <v>690</v>
      </c>
      <c r="N3" s="1040" t="s">
        <v>3354</v>
      </c>
      <c r="O3" s="1040" t="s">
        <v>998</v>
      </c>
      <c r="P3" s="1040" t="s">
        <v>998</v>
      </c>
      <c r="Q3" s="1030"/>
      <c r="R3" s="1030"/>
      <c r="S3" s="1030"/>
      <c r="T3" s="1030"/>
      <c r="U3" s="1030"/>
      <c r="V3" s="1030"/>
      <c r="W3" s="1030"/>
      <c r="X3" s="1030"/>
      <c r="Y3" s="1030"/>
      <c r="Z3" s="1030"/>
    </row>
    <row r="4" spans="1:26" ht="12.75" customHeight="1">
      <c r="A4" s="1030"/>
      <c r="B4" s="1030"/>
      <c r="C4" s="1030"/>
      <c r="D4" s="1039"/>
      <c r="E4" s="1030"/>
      <c r="F4" s="1039"/>
      <c r="G4" s="1039"/>
      <c r="H4" s="1030"/>
      <c r="I4" s="1041"/>
      <c r="J4" s="1038" t="s">
        <v>3355</v>
      </c>
      <c r="K4" s="1042" t="str">
        <f>IF(E3=0,"",IF(K2/E3&lt;2500,"C",IF(K2/E3&lt;4000,"B","A")))</f>
        <v>A</v>
      </c>
      <c r="L4" s="1039"/>
      <c r="M4" s="1040" t="s">
        <v>117</v>
      </c>
      <c r="N4" s="1040" t="s">
        <v>3346</v>
      </c>
      <c r="O4" s="1040" t="s">
        <v>3356</v>
      </c>
      <c r="P4" s="1040" t="s">
        <v>3356</v>
      </c>
      <c r="Q4" s="1030"/>
      <c r="R4" s="1030"/>
      <c r="S4" s="1030"/>
      <c r="T4" s="1030"/>
      <c r="U4" s="1030"/>
      <c r="V4" s="1030"/>
      <c r="W4" s="1030"/>
      <c r="X4" s="1030"/>
      <c r="Y4" s="1030"/>
      <c r="Z4" s="1030"/>
    </row>
    <row r="5" spans="1:26" ht="12.75" customHeight="1">
      <c r="A5" s="1030"/>
      <c r="B5" s="1030"/>
      <c r="C5" s="1030"/>
      <c r="D5" s="1039"/>
      <c r="E5" s="1030"/>
      <c r="F5" s="1039"/>
      <c r="G5" s="1039"/>
      <c r="H5" s="1030"/>
      <c r="I5" s="1041"/>
      <c r="J5" s="1043"/>
      <c r="K5" s="1044"/>
      <c r="L5" s="1039"/>
      <c r="M5" s="1040" t="s">
        <v>3346</v>
      </c>
      <c r="N5" s="1040" t="s">
        <v>998</v>
      </c>
      <c r="O5" s="1040" t="s">
        <v>1077</v>
      </c>
      <c r="P5" s="1040" t="s">
        <v>3357</v>
      </c>
      <c r="Q5" s="1030"/>
      <c r="R5" s="1030"/>
      <c r="S5" s="1030"/>
      <c r="T5" s="1030"/>
      <c r="U5" s="1030"/>
      <c r="V5" s="1030"/>
      <c r="W5" s="1030"/>
      <c r="X5" s="1030"/>
      <c r="Y5" s="1030"/>
      <c r="Z5" s="1030"/>
    </row>
    <row r="6" spans="1:26" ht="12.75" customHeight="1">
      <c r="A6" s="1030"/>
      <c r="B6" s="1030"/>
      <c r="C6" s="1030"/>
      <c r="D6" s="1039"/>
      <c r="E6" s="1030"/>
      <c r="F6" s="1039"/>
      <c r="G6" s="1039"/>
      <c r="H6" s="1030"/>
      <c r="I6" s="1041"/>
      <c r="J6" s="1045" t="s">
        <v>3358</v>
      </c>
      <c r="K6" s="1045" t="s">
        <v>3359</v>
      </c>
      <c r="L6" s="1039"/>
      <c r="M6" s="1040" t="s">
        <v>998</v>
      </c>
      <c r="N6" s="1040" t="s">
        <v>3356</v>
      </c>
      <c r="O6" s="1040" t="s">
        <v>976</v>
      </c>
      <c r="P6" s="1040" t="s">
        <v>1077</v>
      </c>
      <c r="Q6" s="1030"/>
      <c r="R6" s="1030"/>
      <c r="S6" s="1030"/>
      <c r="T6" s="1030"/>
      <c r="U6" s="1030"/>
      <c r="V6" s="1030"/>
      <c r="W6" s="1030"/>
      <c r="X6" s="1030"/>
      <c r="Y6" s="1030"/>
      <c r="Z6" s="1030"/>
    </row>
    <row r="7" spans="1:26" ht="26.25" customHeight="1">
      <c r="A7" s="1030"/>
      <c r="B7" s="1030"/>
      <c r="C7" s="1030"/>
      <c r="D7" s="1046" t="s">
        <v>3360</v>
      </c>
      <c r="E7" s="1035"/>
      <c r="F7" s="1035"/>
      <c r="G7" s="1047"/>
      <c r="H7" s="1047"/>
      <c r="I7" s="1048" t="s">
        <v>3361</v>
      </c>
      <c r="J7" s="1049">
        <v>0</v>
      </c>
      <c r="K7" s="1050" t="str">
        <f t="shared" ref="K7:K8" si="0">IF(E7=0,"-",E7)</f>
        <v>-</v>
      </c>
      <c r="L7" s="1030"/>
      <c r="M7" s="1040" t="s">
        <v>3356</v>
      </c>
      <c r="N7" s="1040" t="s">
        <v>1077</v>
      </c>
      <c r="O7" s="1040" t="s">
        <v>1388</v>
      </c>
      <c r="P7" s="1040" t="s">
        <v>976</v>
      </c>
      <c r="Q7" s="1030"/>
      <c r="R7" s="1030"/>
      <c r="S7" s="1030"/>
      <c r="T7" s="1030"/>
      <c r="U7" s="1030"/>
      <c r="V7" s="1030"/>
      <c r="W7" s="1030"/>
      <c r="X7" s="1030"/>
      <c r="Y7" s="1030"/>
      <c r="Z7" s="1030"/>
    </row>
    <row r="8" spans="1:26" ht="12.75" customHeight="1">
      <c r="A8" s="1030"/>
      <c r="B8" s="1030"/>
      <c r="C8" s="1030"/>
      <c r="D8" s="1046" t="s">
        <v>3362</v>
      </c>
      <c r="E8" s="1035"/>
      <c r="F8" s="1035"/>
      <c r="G8" s="1047"/>
      <c r="H8" s="1047"/>
      <c r="I8" s="1038" t="s">
        <v>3363</v>
      </c>
      <c r="J8" s="1049">
        <v>0</v>
      </c>
      <c r="K8" s="1050" t="str">
        <f t="shared" si="0"/>
        <v>-</v>
      </c>
      <c r="L8" s="1030"/>
      <c r="M8" s="1040" t="s">
        <v>3357</v>
      </c>
      <c r="N8" s="1040" t="s">
        <v>976</v>
      </c>
      <c r="O8" s="1040" t="s">
        <v>2642</v>
      </c>
      <c r="P8" s="1040" t="s">
        <v>3364</v>
      </c>
      <c r="Q8" s="1030"/>
      <c r="R8" s="1030"/>
      <c r="S8" s="1030"/>
      <c r="T8" s="1030"/>
      <c r="U8" s="1030"/>
      <c r="V8" s="1030"/>
      <c r="W8" s="1030"/>
      <c r="X8" s="1030"/>
      <c r="Y8" s="1030"/>
      <c r="Z8" s="1030"/>
    </row>
    <row r="9" spans="1:26" ht="12.75" customHeight="1">
      <c r="A9" s="1030"/>
      <c r="B9" s="1030"/>
      <c r="C9" s="1030"/>
      <c r="D9" s="1051"/>
      <c r="E9" s="1051"/>
      <c r="F9" s="1034"/>
      <c r="G9" s="1047"/>
      <c r="H9" s="1047"/>
      <c r="I9" s="1038" t="s">
        <v>3365</v>
      </c>
      <c r="J9" s="1049">
        <v>0</v>
      </c>
      <c r="K9" s="1050" t="str">
        <f>IF(E8=0,"-",E8)</f>
        <v>-</v>
      </c>
      <c r="L9" s="1030"/>
      <c r="M9" s="1040" t="s">
        <v>1077</v>
      </c>
      <c r="N9" s="1040" t="s">
        <v>3364</v>
      </c>
      <c r="O9" s="1040" t="s">
        <v>3366</v>
      </c>
      <c r="P9" s="1040" t="s">
        <v>1388</v>
      </c>
      <c r="Q9" s="1030"/>
      <c r="R9" s="1030"/>
      <c r="S9" s="1030"/>
      <c r="T9" s="1030"/>
      <c r="U9" s="1030"/>
      <c r="V9" s="1030"/>
      <c r="W9" s="1030"/>
      <c r="X9" s="1030"/>
      <c r="Y9" s="1030"/>
      <c r="Z9" s="1030"/>
    </row>
    <row r="10" spans="1:26" ht="12.75" customHeight="1">
      <c r="A10" s="1030"/>
      <c r="B10" s="1030"/>
      <c r="C10" s="1030"/>
      <c r="D10" s="1051"/>
      <c r="E10" s="1051"/>
      <c r="F10" s="1034"/>
      <c r="G10" s="1047"/>
      <c r="H10" s="1052"/>
      <c r="I10" s="1038" t="s">
        <v>3367</v>
      </c>
      <c r="J10" s="1049">
        <v>0</v>
      </c>
      <c r="K10" s="1053"/>
      <c r="L10" s="1030"/>
      <c r="M10" s="1040" t="s">
        <v>976</v>
      </c>
      <c r="N10" s="1040" t="s">
        <v>1388</v>
      </c>
      <c r="O10" s="1040" t="s">
        <v>3368</v>
      </c>
      <c r="P10" s="1040" t="s">
        <v>2642</v>
      </c>
      <c r="Q10" s="1030"/>
      <c r="R10" s="1030"/>
      <c r="S10" s="1030"/>
      <c r="T10" s="1030"/>
      <c r="U10" s="1030"/>
      <c r="V10" s="1030"/>
      <c r="W10" s="1030"/>
      <c r="X10" s="1030"/>
      <c r="Y10" s="1030"/>
      <c r="Z10" s="1030"/>
    </row>
    <row r="11" spans="1:26" ht="12.75" customHeight="1">
      <c r="A11" s="1030"/>
      <c r="B11" s="1030"/>
      <c r="C11" s="1030"/>
      <c r="D11" s="1051"/>
      <c r="E11" s="1051"/>
      <c r="F11" s="1034"/>
      <c r="G11" s="1047"/>
      <c r="H11" s="1052"/>
      <c r="I11" s="1038" t="s">
        <v>3369</v>
      </c>
      <c r="J11" s="1049"/>
      <c r="K11" s="1054" t="s">
        <v>118</v>
      </c>
      <c r="L11" s="1030"/>
      <c r="M11" s="1040" t="s">
        <v>3364</v>
      </c>
      <c r="N11" s="1040" t="s">
        <v>2642</v>
      </c>
      <c r="O11" s="1040" t="s">
        <v>3370</v>
      </c>
      <c r="P11" s="1040" t="s">
        <v>3366</v>
      </c>
      <c r="Q11" s="1030"/>
      <c r="R11" s="1030"/>
      <c r="S11" s="1030"/>
      <c r="T11" s="1030"/>
      <c r="U11" s="1030"/>
      <c r="V11" s="1030"/>
      <c r="W11" s="1030"/>
      <c r="X11" s="1030"/>
      <c r="Y11" s="1030"/>
      <c r="Z11" s="1030"/>
    </row>
    <row r="12" spans="1:26" ht="12.75" customHeight="1">
      <c r="A12" s="1030"/>
      <c r="B12" s="1030"/>
      <c r="C12" s="1030"/>
      <c r="D12" s="1055"/>
      <c r="E12" s="1056"/>
      <c r="F12" s="1055"/>
      <c r="G12" s="1055"/>
      <c r="H12" s="1056"/>
      <c r="I12" s="1057"/>
      <c r="J12" s="1058"/>
      <c r="K12" s="1059"/>
      <c r="L12" s="1039"/>
      <c r="M12" s="1040" t="s">
        <v>1388</v>
      </c>
      <c r="N12" s="1040" t="s">
        <v>3366</v>
      </c>
      <c r="O12" s="1040" t="s">
        <v>2940</v>
      </c>
      <c r="P12" s="1040" t="s">
        <v>3368</v>
      </c>
      <c r="Q12" s="1030"/>
      <c r="R12" s="1030"/>
      <c r="S12" s="1030"/>
      <c r="T12" s="1030"/>
      <c r="U12" s="1030"/>
      <c r="V12" s="1030"/>
      <c r="W12" s="1030"/>
      <c r="X12" s="1030"/>
      <c r="Y12" s="1030"/>
      <c r="Z12" s="1030"/>
    </row>
    <row r="13" spans="1:26" ht="12.75" customHeight="1">
      <c r="A13" s="1060"/>
      <c r="B13" s="1030"/>
      <c r="C13" s="1030"/>
      <c r="D13" s="1031" t="s">
        <v>3371</v>
      </c>
      <c r="E13" s="1031"/>
      <c r="F13" s="1031"/>
      <c r="G13" s="1031"/>
      <c r="H13" s="1031"/>
      <c r="I13" s="1032"/>
      <c r="J13" s="1031"/>
      <c r="K13" s="1033"/>
      <c r="L13" s="1030"/>
      <c r="M13" s="1040" t="s">
        <v>2642</v>
      </c>
      <c r="N13" s="1040" t="s">
        <v>3370</v>
      </c>
      <c r="O13" s="1040" t="s">
        <v>3372</v>
      </c>
      <c r="P13" s="1040" t="s">
        <v>3370</v>
      </c>
      <c r="Q13" s="1030"/>
      <c r="R13" s="1030"/>
      <c r="S13" s="1030"/>
      <c r="T13" s="1030"/>
      <c r="U13" s="1030"/>
      <c r="V13" s="1030"/>
      <c r="W13" s="1030"/>
      <c r="X13" s="1030"/>
      <c r="Y13" s="1030"/>
      <c r="Z13" s="1030"/>
    </row>
    <row r="14" spans="1:26" ht="12.75" customHeight="1">
      <c r="A14" s="1061"/>
      <c r="B14" s="1062" t="s">
        <v>3373</v>
      </c>
      <c r="C14" s="1063" t="s">
        <v>3374</v>
      </c>
      <c r="D14" s="1064" t="s">
        <v>3375</v>
      </c>
      <c r="E14" s="1064" t="s">
        <v>3376</v>
      </c>
      <c r="F14" s="1064" t="s">
        <v>3377</v>
      </c>
      <c r="G14" s="1064" t="s">
        <v>3378</v>
      </c>
      <c r="H14" s="1064" t="s">
        <v>3377</v>
      </c>
      <c r="I14" s="1064" t="s">
        <v>3379</v>
      </c>
      <c r="J14" s="1064" t="s">
        <v>3380</v>
      </c>
      <c r="K14" s="1065" t="s">
        <v>3381</v>
      </c>
      <c r="L14" s="1030"/>
      <c r="M14" s="1040" t="s">
        <v>3366</v>
      </c>
      <c r="N14" s="1040" t="s">
        <v>2940</v>
      </c>
      <c r="O14" s="1040" t="s">
        <v>2667</v>
      </c>
      <c r="P14" s="1040" t="s">
        <v>2940</v>
      </c>
      <c r="Q14" s="1030"/>
      <c r="R14" s="1030"/>
      <c r="S14" s="1030"/>
      <c r="T14" s="1030"/>
      <c r="U14" s="1030"/>
      <c r="V14" s="1030"/>
      <c r="W14" s="1030"/>
      <c r="X14" s="1030"/>
      <c r="Y14" s="1030"/>
      <c r="Z14" s="1030"/>
    </row>
    <row r="15" spans="1:26" ht="12.75" hidden="1" customHeight="1" outlineLevel="1">
      <c r="A15" s="1061">
        <v>1</v>
      </c>
      <c r="B15" s="1051" t="s">
        <v>3382</v>
      </c>
      <c r="C15" s="1066" t="s">
        <v>3342</v>
      </c>
      <c r="D15" s="1035" t="s">
        <v>3145</v>
      </c>
      <c r="E15" s="1035" t="s">
        <v>3383</v>
      </c>
      <c r="F15" s="1073" t="s">
        <v>3384</v>
      </c>
      <c r="G15" s="1068">
        <f t="shared" ref="G15:G68" si="1">IF(E15="MT",800,IF(E15="ET",600,IF(E15="ST",400,IF(E15="T",300,IF(E15="HTS",200,IF(E15="STS",150,IF(E15="TS",100,))))))+IF(E15="MTcod",600,IF(E15="ETcod",450,IF(E15="STcod",350,IF(E15="Tcod",250,)))+IF(E15="MTCoach",800,IF(E15="ETCoach",600,IF(E15="STCoach",400,IF(E15="TCoach",300,))))))</f>
        <v>600</v>
      </c>
      <c r="H15" s="1074"/>
      <c r="I15" s="1070">
        <v>3</v>
      </c>
      <c r="J15" s="1071"/>
      <c r="K15" s="1072">
        <f t="shared" ref="K15:K96" si="2">I15*(G15)+J15</f>
        <v>1800</v>
      </c>
      <c r="L15" s="1064" t="s">
        <v>3386</v>
      </c>
      <c r="M15" s="1040" t="s">
        <v>3368</v>
      </c>
      <c r="N15" s="1040" t="s">
        <v>3372</v>
      </c>
      <c r="O15" s="1040" t="s">
        <v>3387</v>
      </c>
      <c r="P15" s="1040" t="s">
        <v>3372</v>
      </c>
      <c r="Q15" s="1030"/>
      <c r="R15" s="1030"/>
      <c r="S15" s="1030"/>
      <c r="T15" s="1030"/>
      <c r="U15" s="1030"/>
      <c r="V15" s="1030"/>
      <c r="W15" s="1030"/>
      <c r="X15" s="1030"/>
      <c r="Y15" s="1030"/>
      <c r="Z15" s="1030"/>
    </row>
    <row r="16" spans="1:26" ht="12.75" hidden="1" customHeight="1" outlineLevel="1">
      <c r="A16" s="1061">
        <v>2</v>
      </c>
      <c r="B16" s="1051" t="s">
        <v>3382</v>
      </c>
      <c r="C16" s="1066" t="s">
        <v>3342</v>
      </c>
      <c r="D16" s="1035" t="s">
        <v>3346</v>
      </c>
      <c r="E16" s="1035" t="s">
        <v>3388</v>
      </c>
      <c r="F16" s="1073" t="s">
        <v>3384</v>
      </c>
      <c r="G16" s="1068">
        <f t="shared" si="1"/>
        <v>200</v>
      </c>
      <c r="H16" s="1074"/>
      <c r="I16" s="1070">
        <v>3.5</v>
      </c>
      <c r="J16" s="1071"/>
      <c r="K16" s="1072">
        <f t="shared" si="2"/>
        <v>700</v>
      </c>
      <c r="L16" s="1064" t="s">
        <v>3389</v>
      </c>
      <c r="M16" s="1040" t="s">
        <v>3370</v>
      </c>
      <c r="N16" s="1040" t="s">
        <v>2667</v>
      </c>
      <c r="O16" s="1040" t="s">
        <v>2689</v>
      </c>
      <c r="P16" s="1040" t="s">
        <v>2667</v>
      </c>
      <c r="Q16" s="1030"/>
      <c r="R16" s="1030"/>
      <c r="S16" s="1030"/>
      <c r="T16" s="1030"/>
      <c r="U16" s="1030"/>
      <c r="V16" s="1030"/>
      <c r="W16" s="1030"/>
      <c r="X16" s="1030"/>
      <c r="Y16" s="1030"/>
      <c r="Z16" s="1030"/>
    </row>
    <row r="17" spans="1:26" ht="12.75" hidden="1" customHeight="1" outlineLevel="1">
      <c r="A17" s="1061">
        <v>3</v>
      </c>
      <c r="B17" s="1051" t="s">
        <v>3382</v>
      </c>
      <c r="C17" s="1066" t="s">
        <v>3342</v>
      </c>
      <c r="D17" s="1035" t="s">
        <v>998</v>
      </c>
      <c r="E17" s="1035" t="s">
        <v>3388</v>
      </c>
      <c r="F17" s="1073" t="s">
        <v>3384</v>
      </c>
      <c r="G17" s="1068">
        <f t="shared" si="1"/>
        <v>200</v>
      </c>
      <c r="H17" s="1074"/>
      <c r="I17" s="1070">
        <v>0</v>
      </c>
      <c r="J17" s="1071"/>
      <c r="K17" s="1072">
        <f t="shared" si="2"/>
        <v>0</v>
      </c>
      <c r="L17" s="1064" t="s">
        <v>3390</v>
      </c>
      <c r="M17" s="1040" t="s">
        <v>2940</v>
      </c>
      <c r="N17" s="1040" t="s">
        <v>3387</v>
      </c>
      <c r="O17" s="1040" t="s">
        <v>3145</v>
      </c>
      <c r="P17" s="1040" t="s">
        <v>3391</v>
      </c>
      <c r="Q17" s="1030"/>
      <c r="R17" s="1030"/>
      <c r="S17" s="1030"/>
      <c r="T17" s="1030"/>
      <c r="U17" s="1030"/>
      <c r="V17" s="1030"/>
      <c r="W17" s="1030"/>
      <c r="X17" s="1030"/>
      <c r="Y17" s="1030"/>
      <c r="Z17" s="1030"/>
    </row>
    <row r="18" spans="1:26" ht="12.75" hidden="1" customHeight="1" outlineLevel="1">
      <c r="A18" s="1061">
        <f t="shared" ref="A18:A88" si="3">A17+1</f>
        <v>4</v>
      </c>
      <c r="B18" s="1051" t="s">
        <v>3382</v>
      </c>
      <c r="C18" s="1066" t="s">
        <v>3342</v>
      </c>
      <c r="D18" s="1035" t="s">
        <v>3392</v>
      </c>
      <c r="E18" s="1035" t="s">
        <v>3393</v>
      </c>
      <c r="F18" s="1073" t="s">
        <v>3384</v>
      </c>
      <c r="G18" s="1068">
        <f t="shared" si="1"/>
        <v>100</v>
      </c>
      <c r="H18" s="1074"/>
      <c r="I18" s="1070">
        <v>3</v>
      </c>
      <c r="J18" s="1071"/>
      <c r="K18" s="1072">
        <f t="shared" si="2"/>
        <v>300</v>
      </c>
      <c r="L18" s="1064" t="s">
        <v>3394</v>
      </c>
      <c r="M18" s="1040" t="s">
        <v>3372</v>
      </c>
      <c r="N18" s="1040" t="s">
        <v>2689</v>
      </c>
      <c r="O18" s="1040" t="s">
        <v>3395</v>
      </c>
      <c r="P18" s="1040" t="s">
        <v>3396</v>
      </c>
      <c r="Q18" s="1030"/>
      <c r="R18" s="1030"/>
      <c r="S18" s="1030"/>
      <c r="T18" s="1030"/>
      <c r="U18" s="1030"/>
      <c r="V18" s="1030"/>
      <c r="W18" s="1030"/>
      <c r="X18" s="1030"/>
      <c r="Y18" s="1030"/>
      <c r="Z18" s="1030"/>
    </row>
    <row r="19" spans="1:26" ht="12.75" hidden="1" customHeight="1" outlineLevel="1">
      <c r="A19" s="1061">
        <f t="shared" si="3"/>
        <v>5</v>
      </c>
      <c r="B19" s="1051" t="s">
        <v>3382</v>
      </c>
      <c r="C19" s="1066" t="s">
        <v>3342</v>
      </c>
      <c r="D19" s="1035" t="s">
        <v>3356</v>
      </c>
      <c r="E19" s="1035" t="s">
        <v>3383</v>
      </c>
      <c r="F19" s="1073" t="s">
        <v>3384</v>
      </c>
      <c r="G19" s="1068">
        <f t="shared" si="1"/>
        <v>600</v>
      </c>
      <c r="H19" s="1074"/>
      <c r="I19" s="1070">
        <v>3</v>
      </c>
      <c r="J19" s="1071"/>
      <c r="K19" s="1072">
        <f t="shared" si="2"/>
        <v>1800</v>
      </c>
      <c r="L19" s="1064" t="s">
        <v>3397</v>
      </c>
      <c r="M19" s="1040" t="s">
        <v>2667</v>
      </c>
      <c r="N19" s="1040" t="s">
        <v>3145</v>
      </c>
      <c r="O19" s="1040" t="s">
        <v>3398</v>
      </c>
      <c r="P19" s="1040" t="s">
        <v>3399</v>
      </c>
      <c r="Q19" s="1030"/>
      <c r="R19" s="1030"/>
      <c r="S19" s="1030"/>
      <c r="T19" s="1030"/>
      <c r="U19" s="1030"/>
      <c r="V19" s="1030"/>
      <c r="W19" s="1030"/>
      <c r="X19" s="1030"/>
      <c r="Y19" s="1030"/>
      <c r="Z19" s="1030"/>
    </row>
    <row r="20" spans="1:26" ht="12.75" hidden="1" customHeight="1" outlineLevel="1">
      <c r="A20" s="1061">
        <f t="shared" si="3"/>
        <v>6</v>
      </c>
      <c r="B20" s="1051" t="s">
        <v>3382</v>
      </c>
      <c r="C20" s="1066" t="s">
        <v>3342</v>
      </c>
      <c r="D20" s="1035" t="s">
        <v>3357</v>
      </c>
      <c r="E20" s="1035" t="s">
        <v>3388</v>
      </c>
      <c r="F20" s="1073" t="s">
        <v>3384</v>
      </c>
      <c r="G20" s="1068">
        <f t="shared" si="1"/>
        <v>200</v>
      </c>
      <c r="H20" s="1074"/>
      <c r="I20" s="1070">
        <v>3</v>
      </c>
      <c r="J20" s="1071"/>
      <c r="K20" s="1072">
        <f t="shared" si="2"/>
        <v>600</v>
      </c>
      <c r="L20" s="1030"/>
      <c r="M20" s="1030" t="s">
        <v>3391</v>
      </c>
      <c r="N20" s="1030" t="s">
        <v>3395</v>
      </c>
      <c r="O20" s="1030" t="s">
        <v>3400</v>
      </c>
      <c r="P20" s="1030" t="s">
        <v>3387</v>
      </c>
      <c r="Q20" s="1030"/>
      <c r="R20" s="1030"/>
      <c r="S20" s="1030"/>
      <c r="T20" s="1030"/>
      <c r="U20" s="1030"/>
      <c r="V20" s="1030"/>
      <c r="W20" s="1030"/>
      <c r="X20" s="1030"/>
      <c r="Y20" s="1030"/>
      <c r="Z20" s="1030"/>
    </row>
    <row r="21" spans="1:26" ht="12.75" hidden="1" customHeight="1" outlineLevel="1">
      <c r="A21" s="1061">
        <f t="shared" si="3"/>
        <v>7</v>
      </c>
      <c r="B21" s="1051" t="s">
        <v>3382</v>
      </c>
      <c r="C21" s="1066" t="s">
        <v>3342</v>
      </c>
      <c r="D21" s="1035" t="s">
        <v>1077</v>
      </c>
      <c r="E21" s="1035" t="s">
        <v>3383</v>
      </c>
      <c r="F21" s="1073" t="s">
        <v>3384</v>
      </c>
      <c r="G21" s="1068">
        <f t="shared" si="1"/>
        <v>600</v>
      </c>
      <c r="H21" s="1074"/>
      <c r="I21" s="1070">
        <v>3</v>
      </c>
      <c r="J21" s="1071"/>
      <c r="K21" s="1072">
        <f t="shared" si="2"/>
        <v>1800</v>
      </c>
      <c r="L21" s="1030"/>
      <c r="M21" s="1030" t="s">
        <v>3145</v>
      </c>
      <c r="N21" s="1030"/>
      <c r="O21" s="1030"/>
      <c r="P21" s="1030" t="s">
        <v>3401</v>
      </c>
      <c r="Q21" s="1030"/>
      <c r="R21" s="1030"/>
      <c r="S21" s="1030"/>
      <c r="T21" s="1030"/>
      <c r="U21" s="1030"/>
      <c r="V21" s="1030"/>
      <c r="W21" s="1030"/>
      <c r="X21" s="1030"/>
      <c r="Y21" s="1030"/>
      <c r="Z21" s="1030"/>
    </row>
    <row r="22" spans="1:26" ht="12.75" hidden="1" customHeight="1" outlineLevel="1">
      <c r="A22" s="1061">
        <f t="shared" si="3"/>
        <v>8</v>
      </c>
      <c r="B22" s="1051" t="s">
        <v>3382</v>
      </c>
      <c r="C22" s="1066" t="s">
        <v>3342</v>
      </c>
      <c r="D22" s="1035" t="s">
        <v>976</v>
      </c>
      <c r="E22" s="1035" t="s">
        <v>3388</v>
      </c>
      <c r="F22" s="1073" t="s">
        <v>3384</v>
      </c>
      <c r="G22" s="1068">
        <f t="shared" si="1"/>
        <v>200</v>
      </c>
      <c r="H22" s="1074"/>
      <c r="I22" s="1070">
        <v>3.5</v>
      </c>
      <c r="J22" s="1071"/>
      <c r="K22" s="1072">
        <f t="shared" si="2"/>
        <v>700</v>
      </c>
      <c r="L22" s="1030"/>
      <c r="M22" s="1030" t="s">
        <v>2689</v>
      </c>
      <c r="N22" s="1030"/>
      <c r="O22" s="1030"/>
      <c r="P22" s="1030" t="s">
        <v>3398</v>
      </c>
      <c r="Q22" s="1030"/>
      <c r="R22" s="1030"/>
      <c r="S22" s="1030"/>
      <c r="T22" s="1030"/>
      <c r="U22" s="1030"/>
      <c r="V22" s="1030"/>
      <c r="W22" s="1030"/>
      <c r="X22" s="1030"/>
      <c r="Y22" s="1030"/>
      <c r="Z22" s="1030"/>
    </row>
    <row r="23" spans="1:26" ht="12.75" hidden="1" customHeight="1" outlineLevel="1">
      <c r="A23" s="1061">
        <f t="shared" si="3"/>
        <v>9</v>
      </c>
      <c r="B23" s="1051" t="s">
        <v>3382</v>
      </c>
      <c r="C23" s="1066" t="s">
        <v>3342</v>
      </c>
      <c r="D23" s="1035" t="s">
        <v>3364</v>
      </c>
      <c r="E23" s="1035" t="s">
        <v>3409</v>
      </c>
      <c r="F23" s="1073" t="s">
        <v>3384</v>
      </c>
      <c r="G23" s="1068">
        <f t="shared" si="1"/>
        <v>150</v>
      </c>
      <c r="H23" s="1074"/>
      <c r="I23" s="1070">
        <v>3.5</v>
      </c>
      <c r="J23" s="1071"/>
      <c r="K23" s="1072">
        <f t="shared" si="2"/>
        <v>525</v>
      </c>
      <c r="L23" s="1030"/>
      <c r="M23" s="1030" t="s">
        <v>3402</v>
      </c>
      <c r="N23" s="1030" t="s">
        <v>3398</v>
      </c>
      <c r="O23" s="1030" t="s">
        <v>2802</v>
      </c>
      <c r="P23" s="1030" t="s">
        <v>2689</v>
      </c>
      <c r="Q23" s="1030"/>
      <c r="R23" s="1030"/>
      <c r="S23" s="1030"/>
      <c r="T23" s="1030"/>
      <c r="U23" s="1030"/>
      <c r="V23" s="1030"/>
      <c r="W23" s="1030"/>
      <c r="X23" s="1030"/>
      <c r="Y23" s="1030"/>
      <c r="Z23" s="1030"/>
    </row>
    <row r="24" spans="1:26" ht="12.75" hidden="1" customHeight="1" outlineLevel="1">
      <c r="A24" s="1061">
        <f t="shared" si="3"/>
        <v>10</v>
      </c>
      <c r="B24" s="1051" t="s">
        <v>3382</v>
      </c>
      <c r="C24" s="1066" t="s">
        <v>3342</v>
      </c>
      <c r="D24" s="1035" t="s">
        <v>1388</v>
      </c>
      <c r="E24" s="1035" t="s">
        <v>3388</v>
      </c>
      <c r="F24" s="1073" t="s">
        <v>3384</v>
      </c>
      <c r="G24" s="1068">
        <f t="shared" si="1"/>
        <v>200</v>
      </c>
      <c r="H24" s="1074"/>
      <c r="I24" s="1070">
        <v>3</v>
      </c>
      <c r="J24" s="1071"/>
      <c r="K24" s="1072">
        <f t="shared" si="2"/>
        <v>600</v>
      </c>
      <c r="L24" s="1030"/>
      <c r="M24" s="1030" t="s">
        <v>3396</v>
      </c>
      <c r="N24" s="1030" t="s">
        <v>3400</v>
      </c>
      <c r="O24" s="1030" t="s">
        <v>3403</v>
      </c>
      <c r="P24" s="1030" t="s">
        <v>3404</v>
      </c>
      <c r="Q24" s="1030"/>
      <c r="R24" s="1030"/>
      <c r="S24" s="1030"/>
      <c r="T24" s="1030"/>
      <c r="U24" s="1030"/>
      <c r="V24" s="1030"/>
      <c r="W24" s="1030"/>
      <c r="X24" s="1030"/>
      <c r="Y24" s="1030"/>
      <c r="Z24" s="1030"/>
    </row>
    <row r="25" spans="1:26" ht="12.75" hidden="1" customHeight="1" outlineLevel="1">
      <c r="A25" s="1061">
        <f t="shared" si="3"/>
        <v>11</v>
      </c>
      <c r="B25" s="1051" t="s">
        <v>3382</v>
      </c>
      <c r="C25" s="1066" t="s">
        <v>3342</v>
      </c>
      <c r="D25" s="1035" t="s">
        <v>2642</v>
      </c>
      <c r="E25" s="1035" t="s">
        <v>3388</v>
      </c>
      <c r="F25" s="1073" t="s">
        <v>3384</v>
      </c>
      <c r="G25" s="1068">
        <f t="shared" si="1"/>
        <v>200</v>
      </c>
      <c r="H25" s="1074"/>
      <c r="I25" s="1070">
        <v>3.5</v>
      </c>
      <c r="J25" s="1071"/>
      <c r="K25" s="1072">
        <f t="shared" si="2"/>
        <v>700</v>
      </c>
      <c r="L25" s="1030"/>
      <c r="M25" s="1030" t="s">
        <v>3399</v>
      </c>
      <c r="N25" s="1030" t="s">
        <v>2802</v>
      </c>
      <c r="O25" s="1030"/>
      <c r="P25" s="1030" t="s">
        <v>3145</v>
      </c>
      <c r="Q25" s="1030"/>
      <c r="R25" s="1030"/>
      <c r="S25" s="1030"/>
      <c r="T25" s="1030"/>
      <c r="U25" s="1030"/>
      <c r="V25" s="1030"/>
      <c r="W25" s="1030"/>
      <c r="X25" s="1030"/>
      <c r="Y25" s="1030"/>
      <c r="Z25" s="1030"/>
    </row>
    <row r="26" spans="1:26" ht="12.75" hidden="1" customHeight="1" outlineLevel="1">
      <c r="A26" s="1061">
        <f t="shared" si="3"/>
        <v>12</v>
      </c>
      <c r="B26" s="1051" t="s">
        <v>3382</v>
      </c>
      <c r="C26" s="1066" t="s">
        <v>3342</v>
      </c>
      <c r="D26" s="1035" t="s">
        <v>3366</v>
      </c>
      <c r="E26" s="1035" t="s">
        <v>3388</v>
      </c>
      <c r="F26" s="1073" t="s">
        <v>3384</v>
      </c>
      <c r="G26" s="1068">
        <f t="shared" si="1"/>
        <v>200</v>
      </c>
      <c r="H26" s="1074"/>
      <c r="I26" s="1070">
        <v>3.5</v>
      </c>
      <c r="J26" s="1071"/>
      <c r="K26" s="1072">
        <f t="shared" si="2"/>
        <v>700</v>
      </c>
      <c r="L26" s="1030"/>
      <c r="M26" s="1030" t="s">
        <v>3387</v>
      </c>
      <c r="N26" s="1030" t="s">
        <v>3403</v>
      </c>
      <c r="O26" s="1030"/>
      <c r="P26" s="1030" t="s">
        <v>3395</v>
      </c>
      <c r="Q26" s="1030"/>
      <c r="R26" s="1030"/>
      <c r="S26" s="1030"/>
      <c r="T26" s="1030"/>
      <c r="U26" s="1030"/>
      <c r="V26" s="1030"/>
      <c r="W26" s="1030"/>
      <c r="X26" s="1030"/>
      <c r="Y26" s="1030"/>
      <c r="Z26" s="1030"/>
    </row>
    <row r="27" spans="1:26" ht="12.75" hidden="1" customHeight="1" outlineLevel="1">
      <c r="A27" s="1061">
        <f t="shared" si="3"/>
        <v>13</v>
      </c>
      <c r="B27" s="1051" t="s">
        <v>3382</v>
      </c>
      <c r="C27" s="1066" t="s">
        <v>3342</v>
      </c>
      <c r="D27" s="1035" t="s">
        <v>3370</v>
      </c>
      <c r="E27" s="1035" t="s">
        <v>3388</v>
      </c>
      <c r="F27" s="1073" t="s">
        <v>3384</v>
      </c>
      <c r="G27" s="1068">
        <f t="shared" si="1"/>
        <v>200</v>
      </c>
      <c r="H27" s="1074"/>
      <c r="I27" s="1070">
        <v>0</v>
      </c>
      <c r="J27" s="1071"/>
      <c r="K27" s="1072">
        <f t="shared" si="2"/>
        <v>0</v>
      </c>
      <c r="L27" s="1030"/>
      <c r="M27" s="1030" t="s">
        <v>3404</v>
      </c>
      <c r="N27" s="1030"/>
      <c r="O27" s="1030"/>
      <c r="P27" s="1030" t="s">
        <v>3405</v>
      </c>
      <c r="Q27" s="1030"/>
      <c r="R27" s="1030"/>
      <c r="S27" s="1030"/>
      <c r="T27" s="1030"/>
      <c r="U27" s="1030"/>
      <c r="V27" s="1030"/>
      <c r="W27" s="1030"/>
      <c r="X27" s="1030"/>
      <c r="Y27" s="1030"/>
      <c r="Z27" s="1030"/>
    </row>
    <row r="28" spans="1:26" ht="12.75" hidden="1" customHeight="1" outlineLevel="1">
      <c r="A28" s="1061">
        <f t="shared" si="3"/>
        <v>14</v>
      </c>
      <c r="B28" s="1051" t="s">
        <v>3382</v>
      </c>
      <c r="C28" s="1066" t="s">
        <v>3342</v>
      </c>
      <c r="D28" s="1035" t="s">
        <v>2940</v>
      </c>
      <c r="E28" s="1035" t="s">
        <v>3388</v>
      </c>
      <c r="F28" s="1073" t="s">
        <v>3384</v>
      </c>
      <c r="G28" s="1068">
        <f t="shared" si="1"/>
        <v>200</v>
      </c>
      <c r="H28" s="1074"/>
      <c r="I28" s="1070">
        <v>3</v>
      </c>
      <c r="J28" s="1071"/>
      <c r="K28" s="1072">
        <f t="shared" si="2"/>
        <v>600</v>
      </c>
      <c r="L28" s="1030"/>
      <c r="M28" s="1030" t="s">
        <v>3395</v>
      </c>
      <c r="N28" s="1030"/>
      <c r="O28" s="1030"/>
      <c r="P28" s="1030" t="s">
        <v>3400</v>
      </c>
      <c r="Q28" s="1030"/>
      <c r="R28" s="1030"/>
      <c r="S28" s="1030"/>
      <c r="T28" s="1030"/>
      <c r="U28" s="1030"/>
      <c r="V28" s="1030"/>
      <c r="W28" s="1030"/>
      <c r="X28" s="1030"/>
      <c r="Y28" s="1030"/>
      <c r="Z28" s="1030"/>
    </row>
    <row r="29" spans="1:26" ht="12.75" hidden="1" customHeight="1" outlineLevel="1">
      <c r="A29" s="1061">
        <f t="shared" si="3"/>
        <v>15</v>
      </c>
      <c r="B29" s="1051" t="s">
        <v>3382</v>
      </c>
      <c r="C29" s="1066" t="s">
        <v>3342</v>
      </c>
      <c r="D29" s="1035" t="s">
        <v>2667</v>
      </c>
      <c r="E29" s="1035" t="s">
        <v>3388</v>
      </c>
      <c r="F29" s="1073" t="s">
        <v>3384</v>
      </c>
      <c r="G29" s="1068">
        <f t="shared" si="1"/>
        <v>200</v>
      </c>
      <c r="H29" s="1074"/>
      <c r="I29" s="1070">
        <v>0</v>
      </c>
      <c r="J29" s="1071"/>
      <c r="K29" s="1072">
        <f t="shared" si="2"/>
        <v>0</v>
      </c>
      <c r="L29" s="1030"/>
      <c r="M29" s="1030" t="s">
        <v>3405</v>
      </c>
      <c r="N29" s="1030"/>
      <c r="O29" s="1030"/>
      <c r="P29" s="1030" t="s">
        <v>3407</v>
      </c>
      <c r="Q29" s="1030"/>
      <c r="R29" s="1030"/>
      <c r="S29" s="1030"/>
      <c r="T29" s="1030"/>
      <c r="U29" s="1030"/>
      <c r="V29" s="1030"/>
      <c r="W29" s="1030"/>
      <c r="X29" s="1030"/>
      <c r="Y29" s="1030"/>
      <c r="Z29" s="1030"/>
    </row>
    <row r="30" spans="1:26" ht="12.75" hidden="1" customHeight="1" outlineLevel="1">
      <c r="A30" s="1061">
        <f t="shared" si="3"/>
        <v>16</v>
      </c>
      <c r="B30" s="1051" t="s">
        <v>3382</v>
      </c>
      <c r="C30" s="1066" t="s">
        <v>3342</v>
      </c>
      <c r="D30" s="1035" t="s">
        <v>3396</v>
      </c>
      <c r="E30" s="1035" t="s">
        <v>3409</v>
      </c>
      <c r="F30" s="1073" t="s">
        <v>3384</v>
      </c>
      <c r="G30" s="1068">
        <f t="shared" si="1"/>
        <v>150</v>
      </c>
      <c r="H30" s="1074"/>
      <c r="I30" s="1070">
        <v>0</v>
      </c>
      <c r="J30" s="1071"/>
      <c r="K30" s="1072">
        <f t="shared" si="2"/>
        <v>0</v>
      </c>
      <c r="L30" s="1030"/>
      <c r="M30" s="1030" t="s">
        <v>3401</v>
      </c>
      <c r="N30" s="1030"/>
      <c r="O30" s="1030"/>
      <c r="P30" s="1030" t="s">
        <v>3403</v>
      </c>
      <c r="Q30" s="1030"/>
      <c r="R30" s="1030"/>
      <c r="S30" s="1030"/>
      <c r="T30" s="1030"/>
      <c r="U30" s="1030"/>
      <c r="V30" s="1030"/>
      <c r="W30" s="1030"/>
      <c r="X30" s="1030"/>
      <c r="Y30" s="1030"/>
      <c r="Z30" s="1030"/>
    </row>
    <row r="31" spans="1:26" ht="12.75" hidden="1" customHeight="1" outlineLevel="1">
      <c r="A31" s="1061">
        <f t="shared" si="3"/>
        <v>17</v>
      </c>
      <c r="B31" s="1051" t="s">
        <v>3382</v>
      </c>
      <c r="C31" s="1066" t="s">
        <v>3342</v>
      </c>
      <c r="D31" s="1035" t="s">
        <v>3399</v>
      </c>
      <c r="E31" s="1035" t="s">
        <v>3409</v>
      </c>
      <c r="F31" s="1073" t="s">
        <v>3384</v>
      </c>
      <c r="G31" s="1068">
        <f t="shared" si="1"/>
        <v>150</v>
      </c>
      <c r="H31" s="1074"/>
      <c r="I31" s="1070">
        <v>3.5</v>
      </c>
      <c r="J31" s="1071"/>
      <c r="K31" s="1072">
        <f t="shared" si="2"/>
        <v>525</v>
      </c>
      <c r="L31" s="1030"/>
      <c r="M31" s="1030" t="s">
        <v>3400</v>
      </c>
      <c r="N31" s="1030"/>
      <c r="O31" s="1030"/>
      <c r="P31" s="1030"/>
      <c r="Q31" s="1030"/>
      <c r="R31" s="1030"/>
      <c r="S31" s="1030"/>
      <c r="T31" s="1030"/>
      <c r="U31" s="1030"/>
      <c r="V31" s="1030"/>
      <c r="W31" s="1030"/>
      <c r="X31" s="1030"/>
      <c r="Y31" s="1030"/>
      <c r="Z31" s="1030"/>
    </row>
    <row r="32" spans="1:26" ht="12.75" hidden="1" customHeight="1" outlineLevel="1">
      <c r="A32" s="1061">
        <f t="shared" si="3"/>
        <v>18</v>
      </c>
      <c r="B32" s="1051" t="s">
        <v>3382</v>
      </c>
      <c r="C32" s="1066" t="s">
        <v>3342</v>
      </c>
      <c r="D32" s="1035" t="s">
        <v>3387</v>
      </c>
      <c r="E32" s="1035" t="s">
        <v>3388</v>
      </c>
      <c r="F32" s="1073" t="s">
        <v>3384</v>
      </c>
      <c r="G32" s="1068">
        <f t="shared" si="1"/>
        <v>200</v>
      </c>
      <c r="H32" s="1074"/>
      <c r="I32" s="1070">
        <v>3.5</v>
      </c>
      <c r="J32" s="1071"/>
      <c r="K32" s="1072">
        <f t="shared" si="2"/>
        <v>700</v>
      </c>
      <c r="L32" s="1030"/>
      <c r="M32" s="1030" t="s">
        <v>2802</v>
      </c>
      <c r="N32" s="1030"/>
      <c r="O32" s="1030"/>
      <c r="P32" s="1030"/>
      <c r="Q32" s="1030"/>
      <c r="R32" s="1030"/>
      <c r="S32" s="1030"/>
      <c r="T32" s="1030"/>
      <c r="U32" s="1030"/>
      <c r="V32" s="1030"/>
      <c r="W32" s="1030"/>
      <c r="X32" s="1030"/>
      <c r="Y32" s="1030"/>
      <c r="Z32" s="1030"/>
    </row>
    <row r="33" spans="1:26" ht="12.75" hidden="1" customHeight="1" outlineLevel="1">
      <c r="A33" s="1061">
        <f t="shared" si="3"/>
        <v>19</v>
      </c>
      <c r="B33" s="1051" t="s">
        <v>3382</v>
      </c>
      <c r="C33" s="1066" t="s">
        <v>3342</v>
      </c>
      <c r="D33" s="1035" t="s">
        <v>2689</v>
      </c>
      <c r="E33" s="1035" t="s">
        <v>3388</v>
      </c>
      <c r="F33" s="1073" t="s">
        <v>3384</v>
      </c>
      <c r="G33" s="1068">
        <f t="shared" si="1"/>
        <v>200</v>
      </c>
      <c r="H33" s="1074"/>
      <c r="I33" s="1070">
        <v>3</v>
      </c>
      <c r="J33" s="1071"/>
      <c r="K33" s="1072">
        <f t="shared" si="2"/>
        <v>600</v>
      </c>
      <c r="L33" s="1030"/>
      <c r="M33" s="1030" t="s">
        <v>3407</v>
      </c>
      <c r="N33" s="1030"/>
      <c r="O33" s="1030"/>
      <c r="P33" s="1030"/>
      <c r="Q33" s="1030"/>
      <c r="R33" s="1030"/>
      <c r="S33" s="1030"/>
      <c r="T33" s="1030"/>
      <c r="U33" s="1030"/>
      <c r="V33" s="1030"/>
      <c r="W33" s="1030"/>
      <c r="X33" s="1030"/>
      <c r="Y33" s="1030"/>
      <c r="Z33" s="1030"/>
    </row>
    <row r="34" spans="1:26" ht="12.75" hidden="1" customHeight="1" outlineLevel="1">
      <c r="A34" s="1061">
        <f t="shared" si="3"/>
        <v>20</v>
      </c>
      <c r="B34" s="1051" t="s">
        <v>3382</v>
      </c>
      <c r="C34" s="1066" t="s">
        <v>3342</v>
      </c>
      <c r="D34" s="1035" t="s">
        <v>3404</v>
      </c>
      <c r="E34" s="1035" t="s">
        <v>3388</v>
      </c>
      <c r="F34" s="1073" t="s">
        <v>3384</v>
      </c>
      <c r="G34" s="1068">
        <f t="shared" si="1"/>
        <v>200</v>
      </c>
      <c r="H34" s="1074"/>
      <c r="I34" s="1070">
        <v>3.5</v>
      </c>
      <c r="J34" s="1071"/>
      <c r="K34" s="1072">
        <f t="shared" si="2"/>
        <v>700</v>
      </c>
      <c r="L34" s="1030"/>
      <c r="M34" s="1030" t="s">
        <v>3403</v>
      </c>
      <c r="N34" s="1030"/>
      <c r="O34" s="1030"/>
      <c r="P34" s="1030"/>
      <c r="Q34" s="1030"/>
      <c r="R34" s="1030"/>
      <c r="S34" s="1030"/>
      <c r="T34" s="1030"/>
      <c r="U34" s="1030"/>
      <c r="V34" s="1030"/>
      <c r="W34" s="1030"/>
      <c r="X34" s="1030"/>
      <c r="Y34" s="1030"/>
      <c r="Z34" s="1030"/>
    </row>
    <row r="35" spans="1:26" ht="12.75" hidden="1" customHeight="1" outlineLevel="1">
      <c r="A35" s="1061">
        <f t="shared" si="3"/>
        <v>21</v>
      </c>
      <c r="B35" s="1051" t="s">
        <v>3382</v>
      </c>
      <c r="C35" s="1066" t="s">
        <v>3342</v>
      </c>
      <c r="D35" s="1035" t="s">
        <v>3395</v>
      </c>
      <c r="E35" s="1035" t="s">
        <v>3388</v>
      </c>
      <c r="F35" s="1073" t="s">
        <v>3384</v>
      </c>
      <c r="G35" s="1068">
        <f t="shared" si="1"/>
        <v>200</v>
      </c>
      <c r="H35" s="1074"/>
      <c r="I35" s="1070">
        <v>3.5</v>
      </c>
      <c r="J35" s="1071"/>
      <c r="K35" s="1072">
        <f t="shared" si="2"/>
        <v>700</v>
      </c>
      <c r="L35" s="1030"/>
      <c r="M35" s="1030"/>
      <c r="N35" s="1030"/>
      <c r="O35" s="1030"/>
      <c r="P35" s="1030"/>
      <c r="Q35" s="1030"/>
      <c r="R35" s="1030"/>
      <c r="S35" s="1030"/>
      <c r="T35" s="1030"/>
      <c r="U35" s="1030"/>
      <c r="V35" s="1030"/>
      <c r="W35" s="1030"/>
      <c r="X35" s="1030"/>
      <c r="Y35" s="1030"/>
      <c r="Z35" s="1030"/>
    </row>
    <row r="36" spans="1:26" ht="12.75" hidden="1" customHeight="1" outlineLevel="1">
      <c r="A36" s="1061">
        <f t="shared" si="3"/>
        <v>22</v>
      </c>
      <c r="B36" s="1051" t="s">
        <v>3382</v>
      </c>
      <c r="C36" s="1066" t="s">
        <v>3342</v>
      </c>
      <c r="D36" s="1035" t="s">
        <v>3398</v>
      </c>
      <c r="E36" s="1035" t="s">
        <v>3388</v>
      </c>
      <c r="F36" s="1073" t="s">
        <v>3384</v>
      </c>
      <c r="G36" s="1068">
        <f t="shared" si="1"/>
        <v>200</v>
      </c>
      <c r="H36" s="1074"/>
      <c r="I36" s="1070">
        <v>2</v>
      </c>
      <c r="J36" s="1071"/>
      <c r="K36" s="1072">
        <f t="shared" si="2"/>
        <v>400</v>
      </c>
      <c r="L36" s="1030"/>
      <c r="M36" s="1030"/>
      <c r="N36" s="1030"/>
      <c r="O36" s="1030"/>
      <c r="P36" s="1030"/>
      <c r="Q36" s="1030"/>
      <c r="R36" s="1030"/>
      <c r="S36" s="1030"/>
      <c r="T36" s="1030"/>
      <c r="U36" s="1030"/>
      <c r="V36" s="1030"/>
      <c r="W36" s="1030"/>
      <c r="X36" s="1030"/>
      <c r="Y36" s="1030"/>
      <c r="Z36" s="1030"/>
    </row>
    <row r="37" spans="1:26" ht="12.75" hidden="1" customHeight="1" outlineLevel="1">
      <c r="A37" s="1061">
        <f t="shared" si="3"/>
        <v>23</v>
      </c>
      <c r="B37" s="1051" t="s">
        <v>3382</v>
      </c>
      <c r="C37" s="1066" t="s">
        <v>3342</v>
      </c>
      <c r="D37" s="1035" t="s">
        <v>3405</v>
      </c>
      <c r="E37" s="1035" t="s">
        <v>3388</v>
      </c>
      <c r="F37" s="1073" t="s">
        <v>3384</v>
      </c>
      <c r="G37" s="1068">
        <f t="shared" si="1"/>
        <v>200</v>
      </c>
      <c r="H37" s="1074"/>
      <c r="I37" s="1070">
        <v>3.5</v>
      </c>
      <c r="J37" s="1071"/>
      <c r="K37" s="1072">
        <f t="shared" si="2"/>
        <v>700</v>
      </c>
      <c r="L37" s="1030"/>
      <c r="M37" s="1030"/>
      <c r="N37" s="1030"/>
      <c r="O37" s="1030"/>
      <c r="P37" s="1030"/>
      <c r="Q37" s="1030"/>
      <c r="R37" s="1030"/>
      <c r="S37" s="1030"/>
      <c r="T37" s="1030"/>
      <c r="U37" s="1030"/>
      <c r="V37" s="1030"/>
      <c r="W37" s="1030"/>
      <c r="X37" s="1030"/>
      <c r="Y37" s="1030"/>
      <c r="Z37" s="1030"/>
    </row>
    <row r="38" spans="1:26" ht="12.75" hidden="1" customHeight="1" outlineLevel="1">
      <c r="A38" s="1061">
        <f t="shared" si="3"/>
        <v>24</v>
      </c>
      <c r="B38" s="1051" t="s">
        <v>3382</v>
      </c>
      <c r="C38" s="1066" t="s">
        <v>3342</v>
      </c>
      <c r="D38" s="1035" t="s">
        <v>3408</v>
      </c>
      <c r="E38" s="1035" t="s">
        <v>3393</v>
      </c>
      <c r="F38" s="1073" t="s">
        <v>3384</v>
      </c>
      <c r="G38" s="1068">
        <f t="shared" si="1"/>
        <v>100</v>
      </c>
      <c r="H38" s="1074"/>
      <c r="I38" s="1070">
        <v>0</v>
      </c>
      <c r="J38" s="1071"/>
      <c r="K38" s="1072">
        <f t="shared" si="2"/>
        <v>0</v>
      </c>
      <c r="L38" s="1030"/>
      <c r="M38" s="1030"/>
      <c r="N38" s="1030"/>
      <c r="O38" s="1030"/>
      <c r="P38" s="1030"/>
      <c r="Q38" s="1030"/>
      <c r="R38" s="1030"/>
      <c r="S38" s="1030"/>
      <c r="T38" s="1030"/>
      <c r="U38" s="1030"/>
      <c r="V38" s="1030"/>
      <c r="W38" s="1030"/>
      <c r="X38" s="1030"/>
      <c r="Y38" s="1030"/>
      <c r="Z38" s="1030"/>
    </row>
    <row r="39" spans="1:26" ht="12.75" hidden="1" customHeight="1" outlineLevel="1">
      <c r="A39" s="1061">
        <f t="shared" si="3"/>
        <v>25</v>
      </c>
      <c r="B39" s="1051" t="s">
        <v>3382</v>
      </c>
      <c r="C39" s="1066" t="s">
        <v>3342</v>
      </c>
      <c r="D39" s="1035" t="s">
        <v>3400</v>
      </c>
      <c r="E39" s="1035" t="s">
        <v>3388</v>
      </c>
      <c r="F39" s="1073" t="s">
        <v>3384</v>
      </c>
      <c r="G39" s="1068">
        <f t="shared" si="1"/>
        <v>200</v>
      </c>
      <c r="H39" s="1074"/>
      <c r="I39" s="1070">
        <v>3.5</v>
      </c>
      <c r="J39" s="1071"/>
      <c r="K39" s="1072">
        <f t="shared" si="2"/>
        <v>700</v>
      </c>
      <c r="L39" s="1030"/>
      <c r="M39" s="1030"/>
      <c r="N39" s="1030"/>
      <c r="O39" s="1030"/>
      <c r="P39" s="1030"/>
      <c r="Q39" s="1030"/>
      <c r="R39" s="1030"/>
      <c r="S39" s="1030"/>
      <c r="T39" s="1030"/>
      <c r="U39" s="1030"/>
      <c r="V39" s="1030"/>
      <c r="W39" s="1030"/>
      <c r="X39" s="1030"/>
      <c r="Y39" s="1030"/>
      <c r="Z39" s="1030"/>
    </row>
    <row r="40" spans="1:26" ht="12.75" hidden="1" customHeight="1" outlineLevel="1">
      <c r="A40" s="1061">
        <f t="shared" si="3"/>
        <v>26</v>
      </c>
      <c r="B40" s="1051" t="s">
        <v>3382</v>
      </c>
      <c r="C40" s="1066" t="s">
        <v>3342</v>
      </c>
      <c r="D40" s="1035" t="s">
        <v>2802</v>
      </c>
      <c r="E40" s="1035" t="s">
        <v>3388</v>
      </c>
      <c r="F40" s="1073" t="s">
        <v>3384</v>
      </c>
      <c r="G40" s="1068">
        <f t="shared" si="1"/>
        <v>200</v>
      </c>
      <c r="H40" s="1074"/>
      <c r="I40" s="1070">
        <v>3</v>
      </c>
      <c r="J40" s="1071"/>
      <c r="K40" s="1072">
        <f t="shared" si="2"/>
        <v>600</v>
      </c>
      <c r="L40" s="1030"/>
      <c r="M40" s="1030"/>
      <c r="N40" s="1030"/>
      <c r="O40" s="1030"/>
      <c r="P40" s="1030"/>
      <c r="Q40" s="1030"/>
      <c r="R40" s="1030"/>
      <c r="S40" s="1030"/>
      <c r="T40" s="1030"/>
      <c r="U40" s="1030"/>
      <c r="V40" s="1030"/>
      <c r="W40" s="1030"/>
      <c r="X40" s="1030"/>
      <c r="Y40" s="1030"/>
      <c r="Z40" s="1030"/>
    </row>
    <row r="41" spans="1:26" ht="12.75" hidden="1" customHeight="1" outlineLevel="1">
      <c r="A41" s="1061">
        <f t="shared" si="3"/>
        <v>27</v>
      </c>
      <c r="B41" s="1051" t="s">
        <v>3382</v>
      </c>
      <c r="C41" s="1066" t="s">
        <v>3342</v>
      </c>
      <c r="D41" s="1035" t="s">
        <v>3407</v>
      </c>
      <c r="E41" s="1035" t="s">
        <v>3409</v>
      </c>
      <c r="F41" s="1073" t="s">
        <v>3384</v>
      </c>
      <c r="G41" s="1068">
        <f t="shared" si="1"/>
        <v>150</v>
      </c>
      <c r="H41" s="1074"/>
      <c r="I41" s="1070">
        <v>3.5</v>
      </c>
      <c r="J41" s="1071"/>
      <c r="K41" s="1068">
        <f t="shared" si="2"/>
        <v>525</v>
      </c>
      <c r="L41" s="1030"/>
      <c r="M41" s="1030"/>
      <c r="N41" s="1030"/>
      <c r="O41" s="1039"/>
      <c r="P41" s="1039"/>
      <c r="Q41" s="1039"/>
      <c r="R41" s="1039"/>
      <c r="S41" s="1039"/>
      <c r="T41" s="1039"/>
      <c r="U41" s="1039"/>
      <c r="V41" s="1039"/>
      <c r="W41" s="1039"/>
      <c r="X41" s="1039"/>
      <c r="Y41" s="1039"/>
      <c r="Z41" s="1039"/>
    </row>
    <row r="42" spans="1:26" ht="12.75" customHeight="1" collapsed="1">
      <c r="A42" s="1061">
        <f t="shared" si="3"/>
        <v>28</v>
      </c>
      <c r="B42" s="1051" t="s">
        <v>3382</v>
      </c>
      <c r="C42" s="1066" t="s">
        <v>3342</v>
      </c>
      <c r="D42" s="1035" t="s">
        <v>3145</v>
      </c>
      <c r="E42" s="1035" t="s">
        <v>3383</v>
      </c>
      <c r="F42" s="1073" t="s">
        <v>3410</v>
      </c>
      <c r="G42" s="1068">
        <f t="shared" si="1"/>
        <v>600</v>
      </c>
      <c r="H42" s="1035"/>
      <c r="I42" s="1062">
        <v>3</v>
      </c>
      <c r="J42" s="1071"/>
      <c r="K42" s="1068">
        <f t="shared" si="2"/>
        <v>1800</v>
      </c>
      <c r="L42" s="1030"/>
      <c r="M42" s="1030"/>
      <c r="N42" s="1030"/>
      <c r="O42" s="1030"/>
      <c r="P42" s="1030"/>
      <c r="Q42" s="1030"/>
      <c r="R42" s="1030"/>
      <c r="S42" s="1030"/>
      <c r="T42" s="1030"/>
      <c r="U42" s="1030"/>
      <c r="V42" s="1030"/>
      <c r="W42" s="1030"/>
      <c r="X42" s="1030"/>
      <c r="Y42" s="1030"/>
      <c r="Z42" s="1030"/>
    </row>
    <row r="43" spans="1:26" ht="12.75" customHeight="1">
      <c r="A43" s="1061">
        <f t="shared" si="3"/>
        <v>29</v>
      </c>
      <c r="B43" s="1051" t="s">
        <v>3382</v>
      </c>
      <c r="C43" s="1066" t="s">
        <v>3342</v>
      </c>
      <c r="D43" s="1035" t="s">
        <v>3346</v>
      </c>
      <c r="E43" s="1035" t="s">
        <v>3388</v>
      </c>
      <c r="F43" s="1073" t="s">
        <v>3410</v>
      </c>
      <c r="G43" s="1068">
        <f t="shared" si="1"/>
        <v>200</v>
      </c>
      <c r="H43" s="1035"/>
      <c r="I43" s="1062">
        <v>3.5</v>
      </c>
      <c r="J43" s="1071"/>
      <c r="K43" s="1068">
        <f t="shared" si="2"/>
        <v>700</v>
      </c>
      <c r="L43" s="1030"/>
      <c r="M43" s="1030"/>
      <c r="N43" s="1030"/>
      <c r="O43" s="1030"/>
      <c r="P43" s="1030"/>
      <c r="Q43" s="1030"/>
      <c r="R43" s="1030"/>
      <c r="S43" s="1030"/>
      <c r="T43" s="1030"/>
      <c r="U43" s="1030"/>
      <c r="V43" s="1030"/>
      <c r="W43" s="1030"/>
      <c r="X43" s="1030"/>
      <c r="Y43" s="1030"/>
      <c r="Z43" s="1030"/>
    </row>
    <row r="44" spans="1:26" ht="12.75" customHeight="1">
      <c r="A44" s="1061">
        <f t="shared" si="3"/>
        <v>30</v>
      </c>
      <c r="B44" s="1051" t="s">
        <v>3382</v>
      </c>
      <c r="C44" s="1066" t="s">
        <v>3342</v>
      </c>
      <c r="D44" s="1035" t="s">
        <v>998</v>
      </c>
      <c r="E44" s="1035" t="s">
        <v>3388</v>
      </c>
      <c r="F44" s="1073" t="s">
        <v>3410</v>
      </c>
      <c r="G44" s="1068">
        <f t="shared" si="1"/>
        <v>200</v>
      </c>
      <c r="H44" s="1035"/>
      <c r="I44" s="1062">
        <v>3.5</v>
      </c>
      <c r="J44" s="1071"/>
      <c r="K44" s="1068">
        <f t="shared" si="2"/>
        <v>700</v>
      </c>
      <c r="L44" s="1030"/>
      <c r="M44" s="1040"/>
      <c r="N44" s="1030"/>
      <c r="O44" s="1039"/>
      <c r="P44" s="1039"/>
      <c r="Q44" s="1039"/>
      <c r="R44" s="1039"/>
      <c r="S44" s="1039"/>
      <c r="T44" s="1039"/>
      <c r="U44" s="1039"/>
      <c r="V44" s="1039"/>
      <c r="W44" s="1039"/>
      <c r="X44" s="1039"/>
      <c r="Y44" s="1039"/>
      <c r="Z44" s="1039"/>
    </row>
    <row r="45" spans="1:26" ht="12.75" customHeight="1">
      <c r="A45" s="1061">
        <f t="shared" si="3"/>
        <v>31</v>
      </c>
      <c r="B45" s="1051" t="s">
        <v>3382</v>
      </c>
      <c r="C45" s="1066" t="s">
        <v>3342</v>
      </c>
      <c r="D45" s="1035" t="s">
        <v>3392</v>
      </c>
      <c r="E45" s="1035" t="s">
        <v>3393</v>
      </c>
      <c r="F45" s="1073" t="s">
        <v>3410</v>
      </c>
      <c r="G45" s="1068">
        <f t="shared" si="1"/>
        <v>100</v>
      </c>
      <c r="H45" s="1074"/>
      <c r="I45" s="1062">
        <v>2.5</v>
      </c>
      <c r="J45" s="1071"/>
      <c r="K45" s="1072">
        <f t="shared" si="2"/>
        <v>250</v>
      </c>
      <c r="L45" s="1030"/>
      <c r="M45" s="1030"/>
      <c r="N45" s="1030"/>
      <c r="O45" s="1039"/>
      <c r="P45" s="1039"/>
      <c r="Q45" s="1039"/>
      <c r="R45" s="1039"/>
      <c r="S45" s="1039"/>
      <c r="T45" s="1039"/>
      <c r="U45" s="1039"/>
      <c r="V45" s="1039"/>
      <c r="W45" s="1039"/>
      <c r="X45" s="1039"/>
      <c r="Y45" s="1039"/>
      <c r="Z45" s="1039"/>
    </row>
    <row r="46" spans="1:26" ht="12.75" customHeight="1">
      <c r="A46" s="1061">
        <f t="shared" si="3"/>
        <v>32</v>
      </c>
      <c r="B46" s="1051" t="s">
        <v>3382</v>
      </c>
      <c r="C46" s="1066" t="s">
        <v>3342</v>
      </c>
      <c r="D46" s="1035" t="s">
        <v>3356</v>
      </c>
      <c r="E46" s="1035" t="s">
        <v>3383</v>
      </c>
      <c r="F46" s="1073" t="s">
        <v>3410</v>
      </c>
      <c r="G46" s="1068">
        <f t="shared" si="1"/>
        <v>600</v>
      </c>
      <c r="H46" s="1035"/>
      <c r="I46" s="1062">
        <v>3</v>
      </c>
      <c r="J46" s="1071"/>
      <c r="K46" s="1075">
        <f t="shared" si="2"/>
        <v>1800</v>
      </c>
      <c r="L46" s="1040"/>
      <c r="M46" s="1040"/>
      <c r="N46" s="1040"/>
      <c r="O46" s="1040"/>
      <c r="P46" s="1040"/>
      <c r="Q46" s="1030"/>
      <c r="R46" s="1030"/>
      <c r="S46" s="1030"/>
      <c r="T46" s="1030"/>
      <c r="U46" s="1030"/>
      <c r="V46" s="1030"/>
      <c r="W46" s="1030"/>
      <c r="X46" s="1030"/>
      <c r="Y46" s="1030"/>
      <c r="Z46" s="1030"/>
    </row>
    <row r="47" spans="1:26" ht="12.75" customHeight="1">
      <c r="A47" s="1061">
        <f t="shared" si="3"/>
        <v>33</v>
      </c>
      <c r="B47" s="1051" t="s">
        <v>3382</v>
      </c>
      <c r="C47" s="1066" t="s">
        <v>3342</v>
      </c>
      <c r="D47" s="1035" t="s">
        <v>3357</v>
      </c>
      <c r="E47" s="1035" t="s">
        <v>3388</v>
      </c>
      <c r="F47" s="1073" t="s">
        <v>3410</v>
      </c>
      <c r="G47" s="1068">
        <f t="shared" si="1"/>
        <v>200</v>
      </c>
      <c r="H47" s="1035"/>
      <c r="I47" s="1062">
        <v>3.5</v>
      </c>
      <c r="J47" s="1071"/>
      <c r="K47" s="1068">
        <f t="shared" si="2"/>
        <v>700</v>
      </c>
      <c r="L47" s="1030"/>
      <c r="M47" s="1030"/>
      <c r="N47" s="1030"/>
      <c r="O47" s="1030"/>
      <c r="P47" s="1030"/>
      <c r="Q47" s="1030"/>
      <c r="R47" s="1030"/>
      <c r="S47" s="1030"/>
      <c r="T47" s="1030"/>
      <c r="U47" s="1030"/>
      <c r="V47" s="1030"/>
      <c r="W47" s="1030"/>
      <c r="X47" s="1030"/>
      <c r="Y47" s="1030"/>
      <c r="Z47" s="1030"/>
    </row>
    <row r="48" spans="1:26" ht="12.75" customHeight="1">
      <c r="A48" s="1061">
        <f t="shared" si="3"/>
        <v>34</v>
      </c>
      <c r="B48" s="1051" t="s">
        <v>3382</v>
      </c>
      <c r="C48" s="1066" t="s">
        <v>3342</v>
      </c>
      <c r="D48" s="1035" t="s">
        <v>1077</v>
      </c>
      <c r="E48" s="1035" t="s">
        <v>3383</v>
      </c>
      <c r="F48" s="1073" t="s">
        <v>3410</v>
      </c>
      <c r="G48" s="1068">
        <f t="shared" si="1"/>
        <v>600</v>
      </c>
      <c r="H48" s="1035"/>
      <c r="I48" s="1062">
        <v>3</v>
      </c>
      <c r="J48" s="1071"/>
      <c r="K48" s="1068">
        <f t="shared" si="2"/>
        <v>1800</v>
      </c>
      <c r="L48" s="1030"/>
      <c r="M48" s="1040"/>
      <c r="N48" s="1030"/>
      <c r="O48" s="1039"/>
      <c r="P48" s="1039"/>
      <c r="Q48" s="1039"/>
      <c r="R48" s="1039"/>
      <c r="S48" s="1039"/>
      <c r="T48" s="1039"/>
      <c r="U48" s="1039"/>
      <c r="V48" s="1039"/>
      <c r="W48" s="1039"/>
      <c r="X48" s="1039"/>
      <c r="Y48" s="1039"/>
      <c r="Z48" s="1039"/>
    </row>
    <row r="49" spans="1:26" ht="12.75" customHeight="1">
      <c r="A49" s="1061">
        <f t="shared" si="3"/>
        <v>35</v>
      </c>
      <c r="B49" s="1051" t="s">
        <v>3382</v>
      </c>
      <c r="C49" s="1066" t="s">
        <v>3342</v>
      </c>
      <c r="D49" s="1035" t="s">
        <v>976</v>
      </c>
      <c r="E49" s="1035" t="s">
        <v>3388</v>
      </c>
      <c r="F49" s="1073" t="s">
        <v>3410</v>
      </c>
      <c r="G49" s="1068">
        <f t="shared" si="1"/>
        <v>200</v>
      </c>
      <c r="H49" s="1035"/>
      <c r="I49" s="1062">
        <v>3</v>
      </c>
      <c r="J49" s="1071"/>
      <c r="K49" s="1068">
        <f t="shared" si="2"/>
        <v>600</v>
      </c>
      <c r="L49" s="1030"/>
      <c r="M49" s="1030"/>
      <c r="N49" s="1030"/>
      <c r="O49" s="1030"/>
      <c r="P49" s="1030"/>
      <c r="Q49" s="1030"/>
      <c r="R49" s="1030"/>
      <c r="S49" s="1030"/>
      <c r="T49" s="1030"/>
      <c r="U49" s="1030"/>
      <c r="V49" s="1030"/>
      <c r="W49" s="1030"/>
      <c r="X49" s="1030"/>
      <c r="Y49" s="1030"/>
      <c r="Z49" s="1030"/>
    </row>
    <row r="50" spans="1:26" ht="12.75" customHeight="1">
      <c r="A50" s="1061">
        <f t="shared" si="3"/>
        <v>36</v>
      </c>
      <c r="B50" s="1051" t="s">
        <v>3382</v>
      </c>
      <c r="C50" s="1066" t="s">
        <v>3342</v>
      </c>
      <c r="D50" s="1035" t="s">
        <v>3364</v>
      </c>
      <c r="E50" s="1035" t="s">
        <v>3409</v>
      </c>
      <c r="F50" s="1073" t="s">
        <v>3410</v>
      </c>
      <c r="G50" s="1068">
        <f t="shared" si="1"/>
        <v>150</v>
      </c>
      <c r="H50" s="1035"/>
      <c r="I50" s="1062">
        <v>3.5</v>
      </c>
      <c r="J50" s="1071"/>
      <c r="K50" s="1068">
        <f t="shared" si="2"/>
        <v>525</v>
      </c>
      <c r="L50" s="1030"/>
      <c r="M50" s="1040"/>
      <c r="N50" s="1030"/>
      <c r="O50" s="1039"/>
      <c r="P50" s="1039"/>
      <c r="Q50" s="1039"/>
      <c r="R50" s="1039"/>
      <c r="S50" s="1039"/>
      <c r="T50" s="1039"/>
      <c r="U50" s="1039"/>
      <c r="V50" s="1039"/>
      <c r="W50" s="1039"/>
      <c r="X50" s="1039"/>
      <c r="Y50" s="1039"/>
      <c r="Z50" s="1039"/>
    </row>
    <row r="51" spans="1:26" ht="12.75" customHeight="1">
      <c r="A51" s="1061">
        <f t="shared" si="3"/>
        <v>37</v>
      </c>
      <c r="B51" s="1051" t="s">
        <v>3382</v>
      </c>
      <c r="C51" s="1066" t="s">
        <v>3342</v>
      </c>
      <c r="D51" s="1035" t="s">
        <v>1388</v>
      </c>
      <c r="E51" s="1035" t="s">
        <v>3388</v>
      </c>
      <c r="F51" s="1073" t="s">
        <v>3410</v>
      </c>
      <c r="G51" s="1068">
        <f t="shared" si="1"/>
        <v>200</v>
      </c>
      <c r="H51" s="1035"/>
      <c r="I51" s="1062">
        <v>3</v>
      </c>
      <c r="J51" s="1071"/>
      <c r="K51" s="1068">
        <f t="shared" si="2"/>
        <v>600</v>
      </c>
      <c r="L51" s="1030"/>
      <c r="M51" s="1030"/>
      <c r="N51" s="1030"/>
      <c r="O51" s="1030"/>
      <c r="P51" s="1030"/>
      <c r="Q51" s="1030"/>
      <c r="R51" s="1030"/>
      <c r="S51" s="1030"/>
      <c r="T51" s="1030"/>
      <c r="U51" s="1030"/>
      <c r="V51" s="1030"/>
      <c r="W51" s="1030"/>
      <c r="X51" s="1030"/>
      <c r="Y51" s="1030"/>
      <c r="Z51" s="1030"/>
    </row>
    <row r="52" spans="1:26" ht="12.75" customHeight="1">
      <c r="A52" s="1061">
        <f t="shared" si="3"/>
        <v>38</v>
      </c>
      <c r="B52" s="1051" t="s">
        <v>3382</v>
      </c>
      <c r="C52" s="1066" t="s">
        <v>3342</v>
      </c>
      <c r="D52" s="1035" t="s">
        <v>2642</v>
      </c>
      <c r="E52" s="1035" t="s">
        <v>3388</v>
      </c>
      <c r="F52" s="1073" t="s">
        <v>3410</v>
      </c>
      <c r="G52" s="1068">
        <f t="shared" si="1"/>
        <v>200</v>
      </c>
      <c r="H52" s="1035"/>
      <c r="I52" s="1062">
        <v>3.5</v>
      </c>
      <c r="J52" s="1071"/>
      <c r="K52" s="1068">
        <f t="shared" si="2"/>
        <v>700</v>
      </c>
      <c r="L52" s="1030"/>
      <c r="M52" s="1030"/>
      <c r="N52" s="1030"/>
      <c r="O52" s="1030"/>
      <c r="P52" s="1030"/>
      <c r="Q52" s="1030"/>
      <c r="R52" s="1030"/>
      <c r="S52" s="1030"/>
      <c r="T52" s="1030"/>
      <c r="U52" s="1030"/>
      <c r="V52" s="1030"/>
      <c r="W52" s="1030"/>
      <c r="X52" s="1030"/>
      <c r="Y52" s="1030"/>
      <c r="Z52" s="1030"/>
    </row>
    <row r="53" spans="1:26" ht="12.75" customHeight="1">
      <c r="A53" s="1061">
        <f t="shared" si="3"/>
        <v>39</v>
      </c>
      <c r="B53" s="1051" t="s">
        <v>3382</v>
      </c>
      <c r="C53" s="1066" t="s">
        <v>3342</v>
      </c>
      <c r="D53" s="1035" t="s">
        <v>3366</v>
      </c>
      <c r="E53" s="1035" t="s">
        <v>3388</v>
      </c>
      <c r="F53" s="1073" t="s">
        <v>3410</v>
      </c>
      <c r="G53" s="1068">
        <f t="shared" si="1"/>
        <v>200</v>
      </c>
      <c r="H53" s="1035"/>
      <c r="I53" s="1062">
        <v>3.5</v>
      </c>
      <c r="J53" s="1071"/>
      <c r="K53" s="1068">
        <f t="shared" si="2"/>
        <v>700</v>
      </c>
      <c r="L53" s="1030"/>
      <c r="M53" s="1030"/>
      <c r="N53" s="1030"/>
      <c r="O53" s="1030"/>
      <c r="P53" s="1030"/>
      <c r="Q53" s="1030"/>
      <c r="R53" s="1030"/>
      <c r="S53" s="1030"/>
      <c r="T53" s="1030"/>
      <c r="U53" s="1030"/>
      <c r="V53" s="1030"/>
      <c r="W53" s="1030"/>
      <c r="X53" s="1030"/>
      <c r="Y53" s="1030"/>
      <c r="Z53" s="1030"/>
    </row>
    <row r="54" spans="1:26" ht="12.75" customHeight="1">
      <c r="A54" s="1061">
        <f t="shared" si="3"/>
        <v>40</v>
      </c>
      <c r="B54" s="1051" t="s">
        <v>3382</v>
      </c>
      <c r="C54" s="1066" t="s">
        <v>3342</v>
      </c>
      <c r="D54" s="1035" t="s">
        <v>3370</v>
      </c>
      <c r="E54" s="1035" t="s">
        <v>3388</v>
      </c>
      <c r="F54" s="1073" t="s">
        <v>3410</v>
      </c>
      <c r="G54" s="1068">
        <f t="shared" si="1"/>
        <v>200</v>
      </c>
      <c r="H54" s="1035" t="s">
        <v>3563</v>
      </c>
      <c r="I54" s="1062">
        <v>0</v>
      </c>
      <c r="J54" s="1071"/>
      <c r="K54" s="1068">
        <f t="shared" si="2"/>
        <v>0</v>
      </c>
      <c r="L54" s="1030"/>
      <c r="M54" s="1030"/>
      <c r="N54" s="1030"/>
      <c r="O54" s="1030"/>
      <c r="P54" s="1030"/>
      <c r="Q54" s="1030"/>
      <c r="R54" s="1030"/>
      <c r="S54" s="1030"/>
      <c r="T54" s="1030"/>
      <c r="U54" s="1030"/>
      <c r="V54" s="1030"/>
      <c r="W54" s="1030"/>
      <c r="X54" s="1030"/>
      <c r="Y54" s="1030"/>
      <c r="Z54" s="1030"/>
    </row>
    <row r="55" spans="1:26" ht="12.75" customHeight="1">
      <c r="A55" s="1061">
        <f t="shared" si="3"/>
        <v>41</v>
      </c>
      <c r="B55" s="1051" t="s">
        <v>3382</v>
      </c>
      <c r="C55" s="1066" t="s">
        <v>3342</v>
      </c>
      <c r="D55" s="1035" t="s">
        <v>2940</v>
      </c>
      <c r="E55" s="1035" t="s">
        <v>3388</v>
      </c>
      <c r="F55" s="1073" t="s">
        <v>3410</v>
      </c>
      <c r="G55" s="1068">
        <f t="shared" si="1"/>
        <v>200</v>
      </c>
      <c r="H55" s="1035" t="s">
        <v>3563</v>
      </c>
      <c r="I55" s="1062">
        <v>0</v>
      </c>
      <c r="J55" s="1071"/>
      <c r="K55" s="1068">
        <f t="shared" si="2"/>
        <v>0</v>
      </c>
      <c r="L55" s="1030"/>
      <c r="M55" s="1030"/>
      <c r="N55" s="1030"/>
      <c r="O55" s="1030"/>
      <c r="P55" s="1030"/>
      <c r="Q55" s="1030"/>
      <c r="R55" s="1030"/>
      <c r="S55" s="1030"/>
      <c r="T55" s="1030"/>
      <c r="U55" s="1030"/>
      <c r="V55" s="1030"/>
      <c r="W55" s="1030"/>
      <c r="X55" s="1030"/>
      <c r="Y55" s="1030"/>
      <c r="Z55" s="1030"/>
    </row>
    <row r="56" spans="1:26" ht="12.75" customHeight="1">
      <c r="A56" s="1061">
        <f t="shared" si="3"/>
        <v>42</v>
      </c>
      <c r="B56" s="1051" t="s">
        <v>3382</v>
      </c>
      <c r="C56" s="1066" t="s">
        <v>3342</v>
      </c>
      <c r="D56" s="1035" t="s">
        <v>2667</v>
      </c>
      <c r="E56" s="1035" t="s">
        <v>3388</v>
      </c>
      <c r="F56" s="1073" t="s">
        <v>3410</v>
      </c>
      <c r="G56" s="1068">
        <f t="shared" si="1"/>
        <v>200</v>
      </c>
      <c r="H56" s="1035"/>
      <c r="I56" s="1062">
        <v>3</v>
      </c>
      <c r="J56" s="1071"/>
      <c r="K56" s="1068">
        <f t="shared" si="2"/>
        <v>600</v>
      </c>
      <c r="L56" s="1030"/>
      <c r="M56" s="1040"/>
      <c r="N56" s="1030"/>
      <c r="O56" s="1039"/>
      <c r="P56" s="1039"/>
      <c r="Q56" s="1039"/>
      <c r="R56" s="1039"/>
      <c r="S56" s="1039"/>
      <c r="T56" s="1039"/>
      <c r="U56" s="1039"/>
      <c r="V56" s="1039"/>
      <c r="W56" s="1039"/>
      <c r="X56" s="1039"/>
      <c r="Y56" s="1039"/>
      <c r="Z56" s="1039"/>
    </row>
    <row r="57" spans="1:26" ht="12.75" customHeight="1">
      <c r="A57" s="1061">
        <f t="shared" si="3"/>
        <v>43</v>
      </c>
      <c r="B57" s="1051" t="s">
        <v>3382</v>
      </c>
      <c r="C57" s="1066" t="s">
        <v>3342</v>
      </c>
      <c r="D57" s="1035" t="s">
        <v>3396</v>
      </c>
      <c r="E57" s="1035" t="s">
        <v>3409</v>
      </c>
      <c r="F57" s="1073" t="s">
        <v>3410</v>
      </c>
      <c r="G57" s="1068">
        <f t="shared" si="1"/>
        <v>150</v>
      </c>
      <c r="H57" s="1035"/>
      <c r="I57" s="1062">
        <v>3.5</v>
      </c>
      <c r="J57" s="1071"/>
      <c r="K57" s="1068">
        <f t="shared" si="2"/>
        <v>525</v>
      </c>
      <c r="L57" s="1030"/>
      <c r="M57" s="1030"/>
      <c r="N57" s="1030"/>
      <c r="O57" s="1039"/>
      <c r="P57" s="1039"/>
      <c r="Q57" s="1039"/>
      <c r="R57" s="1039"/>
      <c r="S57" s="1039"/>
      <c r="T57" s="1039"/>
      <c r="U57" s="1039"/>
      <c r="V57" s="1039"/>
      <c r="W57" s="1039"/>
      <c r="X57" s="1039"/>
      <c r="Y57" s="1039"/>
      <c r="Z57" s="1039"/>
    </row>
    <row r="58" spans="1:26" ht="12.75" customHeight="1">
      <c r="A58" s="1061">
        <f t="shared" si="3"/>
        <v>44</v>
      </c>
      <c r="B58" s="1051" t="s">
        <v>3382</v>
      </c>
      <c r="C58" s="1066" t="s">
        <v>3342</v>
      </c>
      <c r="D58" s="1035" t="s">
        <v>3399</v>
      </c>
      <c r="E58" s="1035" t="s">
        <v>3409</v>
      </c>
      <c r="F58" s="1073" t="s">
        <v>3410</v>
      </c>
      <c r="G58" s="1068">
        <f t="shared" si="1"/>
        <v>150</v>
      </c>
      <c r="H58" s="1035"/>
      <c r="I58" s="1062">
        <v>3.5</v>
      </c>
      <c r="J58" s="1076"/>
      <c r="K58" s="1075">
        <f t="shared" si="2"/>
        <v>525</v>
      </c>
      <c r="L58" s="1030"/>
      <c r="M58" s="1030"/>
      <c r="N58" s="1030"/>
      <c r="O58" s="1030"/>
      <c r="P58" s="1030"/>
      <c r="Q58" s="1030"/>
      <c r="R58" s="1030"/>
      <c r="S58" s="1030"/>
      <c r="T58" s="1030"/>
      <c r="U58" s="1030"/>
      <c r="V58" s="1030"/>
      <c r="W58" s="1030"/>
      <c r="X58" s="1030"/>
      <c r="Y58" s="1030"/>
      <c r="Z58" s="1030"/>
    </row>
    <row r="59" spans="1:26" ht="12.75" customHeight="1">
      <c r="A59" s="1061">
        <f t="shared" si="3"/>
        <v>45</v>
      </c>
      <c r="B59" s="1051" t="s">
        <v>3382</v>
      </c>
      <c r="C59" s="1066" t="s">
        <v>3342</v>
      </c>
      <c r="D59" s="1035" t="s">
        <v>3387</v>
      </c>
      <c r="E59" s="1035" t="s">
        <v>3388</v>
      </c>
      <c r="F59" s="1073" t="s">
        <v>3410</v>
      </c>
      <c r="G59" s="1068">
        <f t="shared" si="1"/>
        <v>200</v>
      </c>
      <c r="H59" s="1035"/>
      <c r="I59" s="1062">
        <v>3.5</v>
      </c>
      <c r="J59" s="1071"/>
      <c r="K59" s="1068">
        <f t="shared" si="2"/>
        <v>700</v>
      </c>
      <c r="L59" s="1030"/>
      <c r="M59" s="1040"/>
      <c r="N59" s="1030"/>
      <c r="O59" s="1039"/>
      <c r="P59" s="1039"/>
      <c r="Q59" s="1039"/>
      <c r="R59" s="1039"/>
      <c r="S59" s="1039"/>
      <c r="T59" s="1039"/>
      <c r="U59" s="1039"/>
      <c r="V59" s="1039"/>
      <c r="W59" s="1039"/>
      <c r="X59" s="1039"/>
      <c r="Y59" s="1039"/>
      <c r="Z59" s="1039"/>
    </row>
    <row r="60" spans="1:26" ht="12.75" customHeight="1">
      <c r="A60" s="1061">
        <f t="shared" si="3"/>
        <v>46</v>
      </c>
      <c r="B60" s="1051" t="s">
        <v>3382</v>
      </c>
      <c r="C60" s="1066" t="s">
        <v>3342</v>
      </c>
      <c r="D60" s="1035" t="s">
        <v>2689</v>
      </c>
      <c r="E60" s="1035" t="s">
        <v>3388</v>
      </c>
      <c r="F60" s="1073" t="s">
        <v>3410</v>
      </c>
      <c r="G60" s="1068">
        <f t="shared" si="1"/>
        <v>200</v>
      </c>
      <c r="H60" s="1035"/>
      <c r="I60" s="1062">
        <v>3</v>
      </c>
      <c r="J60" s="1071"/>
      <c r="K60" s="1068">
        <f t="shared" si="2"/>
        <v>600</v>
      </c>
      <c r="L60" s="1030"/>
      <c r="M60" s="1040"/>
      <c r="N60" s="1030"/>
      <c r="O60" s="1039"/>
      <c r="P60" s="1039"/>
      <c r="Q60" s="1039"/>
      <c r="R60" s="1039"/>
      <c r="S60" s="1039"/>
      <c r="T60" s="1039"/>
      <c r="U60" s="1039"/>
      <c r="V60" s="1039"/>
      <c r="W60" s="1039"/>
      <c r="X60" s="1039"/>
      <c r="Y60" s="1039"/>
      <c r="Z60" s="1039"/>
    </row>
    <row r="61" spans="1:26" ht="12.75" customHeight="1">
      <c r="A61" s="1061">
        <f t="shared" si="3"/>
        <v>47</v>
      </c>
      <c r="B61" s="1051" t="s">
        <v>3382</v>
      </c>
      <c r="C61" s="1066" t="s">
        <v>3342</v>
      </c>
      <c r="D61" s="1035" t="s">
        <v>3412</v>
      </c>
      <c r="E61" s="1035" t="s">
        <v>3393</v>
      </c>
      <c r="F61" s="1073" t="s">
        <v>3410</v>
      </c>
      <c r="G61" s="1068">
        <f t="shared" si="1"/>
        <v>100</v>
      </c>
      <c r="H61" s="1074"/>
      <c r="I61" s="1062">
        <v>3.5</v>
      </c>
      <c r="J61" s="1071"/>
      <c r="K61" s="1072">
        <f t="shared" si="2"/>
        <v>350</v>
      </c>
      <c r="L61" s="1030"/>
      <c r="M61" s="1030"/>
      <c r="N61" s="1030"/>
      <c r="O61" s="1039"/>
      <c r="P61" s="1039"/>
      <c r="Q61" s="1039"/>
      <c r="R61" s="1039"/>
      <c r="S61" s="1039"/>
      <c r="T61" s="1039"/>
      <c r="U61" s="1039"/>
      <c r="V61" s="1039"/>
      <c r="W61" s="1039"/>
      <c r="X61" s="1039"/>
      <c r="Y61" s="1039"/>
      <c r="Z61" s="1039"/>
    </row>
    <row r="62" spans="1:26" ht="12.75" customHeight="1">
      <c r="A62" s="1061">
        <f t="shared" si="3"/>
        <v>48</v>
      </c>
      <c r="B62" s="1051" t="s">
        <v>3382</v>
      </c>
      <c r="C62" s="1066" t="s">
        <v>3342</v>
      </c>
      <c r="D62" s="1035" t="s">
        <v>3404</v>
      </c>
      <c r="E62" s="1035" t="s">
        <v>3388</v>
      </c>
      <c r="F62" s="1073" t="s">
        <v>3410</v>
      </c>
      <c r="G62" s="1068">
        <f t="shared" si="1"/>
        <v>200</v>
      </c>
      <c r="H62" s="1035"/>
      <c r="I62" s="1062">
        <v>3</v>
      </c>
      <c r="J62" s="1071"/>
      <c r="K62" s="1068">
        <f t="shared" si="2"/>
        <v>600</v>
      </c>
      <c r="L62" s="1040"/>
      <c r="M62" s="1040"/>
      <c r="N62" s="1040"/>
      <c r="O62" s="1040"/>
      <c r="P62" s="1040"/>
      <c r="Q62" s="1030"/>
      <c r="R62" s="1030"/>
      <c r="S62" s="1030"/>
      <c r="T62" s="1030"/>
      <c r="U62" s="1030"/>
      <c r="V62" s="1030"/>
      <c r="W62" s="1030"/>
      <c r="X62" s="1030"/>
      <c r="Y62" s="1030"/>
      <c r="Z62" s="1030"/>
    </row>
    <row r="63" spans="1:26" ht="12.75" customHeight="1">
      <c r="A63" s="1061">
        <f t="shared" si="3"/>
        <v>49</v>
      </c>
      <c r="B63" s="1051" t="s">
        <v>3382</v>
      </c>
      <c r="C63" s="1066" t="s">
        <v>3342</v>
      </c>
      <c r="D63" s="1035" t="s">
        <v>3395</v>
      </c>
      <c r="E63" s="1035" t="s">
        <v>3388</v>
      </c>
      <c r="F63" s="1073" t="s">
        <v>3410</v>
      </c>
      <c r="G63" s="1068">
        <f t="shared" si="1"/>
        <v>200</v>
      </c>
      <c r="H63" s="1035"/>
      <c r="I63" s="1062">
        <v>3</v>
      </c>
      <c r="J63" s="1071"/>
      <c r="K63" s="1068">
        <f t="shared" si="2"/>
        <v>600</v>
      </c>
      <c r="L63" s="1030"/>
      <c r="M63" s="1030"/>
      <c r="N63" s="1030"/>
      <c r="O63" s="1030"/>
      <c r="P63" s="1030"/>
      <c r="Q63" s="1030"/>
      <c r="R63" s="1030"/>
      <c r="S63" s="1030"/>
      <c r="T63" s="1030"/>
      <c r="U63" s="1030"/>
      <c r="V63" s="1030"/>
      <c r="W63" s="1030"/>
      <c r="X63" s="1030"/>
      <c r="Y63" s="1030"/>
      <c r="Z63" s="1030"/>
    </row>
    <row r="64" spans="1:26" ht="12.75" customHeight="1">
      <c r="A64" s="1061">
        <f t="shared" si="3"/>
        <v>50</v>
      </c>
      <c r="B64" s="1051" t="s">
        <v>3382</v>
      </c>
      <c r="C64" s="1066" t="s">
        <v>3342</v>
      </c>
      <c r="D64" s="1035" t="s">
        <v>3398</v>
      </c>
      <c r="E64" s="1035" t="s">
        <v>3388</v>
      </c>
      <c r="F64" s="1073" t="s">
        <v>3410</v>
      </c>
      <c r="G64" s="1068">
        <f t="shared" si="1"/>
        <v>200</v>
      </c>
      <c r="H64" s="1035"/>
      <c r="I64" s="1062">
        <v>2</v>
      </c>
      <c r="J64" s="1071"/>
      <c r="K64" s="1068">
        <f t="shared" si="2"/>
        <v>400</v>
      </c>
      <c r="L64" s="1030"/>
      <c r="M64" s="1040"/>
      <c r="N64" s="1030"/>
      <c r="O64" s="1039"/>
      <c r="P64" s="1039"/>
      <c r="Q64" s="1039"/>
      <c r="R64" s="1039"/>
      <c r="S64" s="1039"/>
      <c r="T64" s="1039"/>
      <c r="U64" s="1039"/>
      <c r="V64" s="1039"/>
      <c r="W64" s="1039"/>
      <c r="X64" s="1039"/>
      <c r="Y64" s="1039"/>
      <c r="Z64" s="1039"/>
    </row>
    <row r="65" spans="1:26" ht="12.75" customHeight="1">
      <c r="A65" s="1061">
        <f t="shared" si="3"/>
        <v>51</v>
      </c>
      <c r="B65" s="1051" t="s">
        <v>3382</v>
      </c>
      <c r="C65" s="1066" t="s">
        <v>3342</v>
      </c>
      <c r="D65" s="1035" t="s">
        <v>3405</v>
      </c>
      <c r="E65" s="1035" t="s">
        <v>3388</v>
      </c>
      <c r="F65" s="1073" t="s">
        <v>3410</v>
      </c>
      <c r="G65" s="1068">
        <f t="shared" si="1"/>
        <v>200</v>
      </c>
      <c r="H65" s="1035"/>
      <c r="I65" s="1062">
        <v>3.5</v>
      </c>
      <c r="J65" s="1071"/>
      <c r="K65" s="1068">
        <f t="shared" si="2"/>
        <v>700</v>
      </c>
      <c r="L65" s="1030"/>
      <c r="M65" s="1030"/>
      <c r="N65" s="1030"/>
      <c r="O65" s="1030"/>
      <c r="P65" s="1030"/>
      <c r="Q65" s="1030"/>
      <c r="R65" s="1030"/>
      <c r="S65" s="1030"/>
      <c r="T65" s="1030"/>
      <c r="U65" s="1030"/>
      <c r="V65" s="1030"/>
      <c r="W65" s="1030"/>
      <c r="X65" s="1030"/>
      <c r="Y65" s="1030"/>
      <c r="Z65" s="1030"/>
    </row>
    <row r="66" spans="1:26" ht="12.75" customHeight="1">
      <c r="A66" s="1061">
        <f t="shared" si="3"/>
        <v>52</v>
      </c>
      <c r="B66" s="1051" t="s">
        <v>3382</v>
      </c>
      <c r="C66" s="1066" t="s">
        <v>3342</v>
      </c>
      <c r="D66" s="1035" t="s">
        <v>3408</v>
      </c>
      <c r="E66" s="1035" t="s">
        <v>3393</v>
      </c>
      <c r="F66" s="1073" t="s">
        <v>3410</v>
      </c>
      <c r="G66" s="1068">
        <f t="shared" si="1"/>
        <v>100</v>
      </c>
      <c r="H66" s="1074"/>
      <c r="I66" s="1062">
        <v>3.5</v>
      </c>
      <c r="J66" s="1071"/>
      <c r="K66" s="1072">
        <f t="shared" si="2"/>
        <v>350</v>
      </c>
      <c r="L66" s="1030"/>
      <c r="M66" s="1040"/>
      <c r="N66" s="1030"/>
      <c r="O66" s="1039"/>
      <c r="P66" s="1039"/>
      <c r="Q66" s="1039"/>
      <c r="R66" s="1039"/>
      <c r="S66" s="1039"/>
      <c r="T66" s="1039"/>
      <c r="U66" s="1039"/>
      <c r="V66" s="1039"/>
      <c r="W66" s="1039"/>
      <c r="X66" s="1039"/>
      <c r="Y66" s="1039"/>
      <c r="Z66" s="1039"/>
    </row>
    <row r="67" spans="1:26" ht="12.75" customHeight="1">
      <c r="A67" s="1061">
        <f t="shared" si="3"/>
        <v>53</v>
      </c>
      <c r="B67" s="1051" t="s">
        <v>3382</v>
      </c>
      <c r="C67" s="1066" t="s">
        <v>3342</v>
      </c>
      <c r="D67" s="1035" t="s">
        <v>3400</v>
      </c>
      <c r="E67" s="1035" t="s">
        <v>3388</v>
      </c>
      <c r="F67" s="1073" t="s">
        <v>3410</v>
      </c>
      <c r="G67" s="1068">
        <f t="shared" si="1"/>
        <v>200</v>
      </c>
      <c r="H67" s="1035"/>
      <c r="I67" s="1062">
        <v>3.5</v>
      </c>
      <c r="J67" s="1071"/>
      <c r="K67" s="1068">
        <f t="shared" si="2"/>
        <v>700</v>
      </c>
      <c r="L67" s="1030"/>
      <c r="M67" s="1030"/>
      <c r="N67" s="1030"/>
      <c r="O67" s="1030"/>
      <c r="P67" s="1030"/>
      <c r="Q67" s="1030"/>
      <c r="R67" s="1030"/>
      <c r="S67" s="1030"/>
      <c r="T67" s="1030"/>
      <c r="U67" s="1030"/>
      <c r="V67" s="1030"/>
      <c r="W67" s="1030"/>
      <c r="X67" s="1030"/>
      <c r="Y67" s="1030"/>
      <c r="Z67" s="1030"/>
    </row>
    <row r="68" spans="1:26" ht="12.75" customHeight="1">
      <c r="A68" s="1061">
        <f t="shared" si="3"/>
        <v>54</v>
      </c>
      <c r="B68" s="1051" t="s">
        <v>3382</v>
      </c>
      <c r="C68" s="1066" t="s">
        <v>3342</v>
      </c>
      <c r="D68" s="1035" t="s">
        <v>2802</v>
      </c>
      <c r="E68" s="1035" t="s">
        <v>3388</v>
      </c>
      <c r="F68" s="1073" t="s">
        <v>3410</v>
      </c>
      <c r="G68" s="1068">
        <f t="shared" si="1"/>
        <v>200</v>
      </c>
      <c r="H68" s="1035"/>
      <c r="I68" s="1062">
        <v>3.5</v>
      </c>
      <c r="J68" s="1071"/>
      <c r="K68" s="1068">
        <f t="shared" si="2"/>
        <v>700</v>
      </c>
      <c r="L68" s="1030"/>
      <c r="M68" s="1030"/>
      <c r="N68" s="1030"/>
      <c r="O68" s="1030"/>
      <c r="P68" s="1030"/>
      <c r="Q68" s="1030"/>
      <c r="R68" s="1030"/>
      <c r="S68" s="1030"/>
      <c r="T68" s="1030"/>
      <c r="U68" s="1030"/>
      <c r="V68" s="1030"/>
      <c r="W68" s="1030"/>
      <c r="X68" s="1030"/>
      <c r="Y68" s="1030"/>
      <c r="Z68" s="1030"/>
    </row>
    <row r="69" spans="1:26" ht="12.75" customHeight="1">
      <c r="A69" s="1061">
        <f t="shared" si="3"/>
        <v>55</v>
      </c>
      <c r="B69" s="1051" t="s">
        <v>3382</v>
      </c>
      <c r="C69" s="1066" t="s">
        <v>3342</v>
      </c>
      <c r="D69" s="1035" t="s">
        <v>3407</v>
      </c>
      <c r="E69" s="1035" t="s">
        <v>3409</v>
      </c>
      <c r="F69" s="1073" t="s">
        <v>3410</v>
      </c>
      <c r="G69" s="1075">
        <v>150</v>
      </c>
      <c r="H69" s="1035"/>
      <c r="I69" s="1062">
        <v>3</v>
      </c>
      <c r="J69" s="1071"/>
      <c r="K69" s="1068">
        <f t="shared" si="2"/>
        <v>450</v>
      </c>
      <c r="L69" s="1030"/>
      <c r="M69" s="1040"/>
      <c r="N69" s="1030"/>
      <c r="O69" s="1039"/>
      <c r="P69" s="1039"/>
      <c r="Q69" s="1039"/>
      <c r="R69" s="1039"/>
      <c r="S69" s="1039"/>
      <c r="T69" s="1039"/>
      <c r="U69" s="1039"/>
      <c r="V69" s="1039"/>
      <c r="W69" s="1039"/>
      <c r="X69" s="1039"/>
      <c r="Y69" s="1039"/>
      <c r="Z69" s="1039"/>
    </row>
    <row r="70" spans="1:26" ht="12.75" customHeight="1" outlineLevel="1">
      <c r="A70" s="1061">
        <f t="shared" si="3"/>
        <v>56</v>
      </c>
      <c r="B70" s="1051" t="s">
        <v>3382</v>
      </c>
      <c r="C70" s="1066" t="s">
        <v>3342</v>
      </c>
      <c r="D70" s="1035" t="s">
        <v>3145</v>
      </c>
      <c r="E70" s="1035" t="s">
        <v>3383</v>
      </c>
      <c r="F70" s="1073" t="s">
        <v>3414</v>
      </c>
      <c r="G70" s="1068">
        <f t="shared" ref="G70:G76" si="4">IF(E70="MT",800,IF(E70="ET",600,IF(E70="ST",400,IF(E70="T",300,IF(E70="HTS",200,IF(E70="STS",150,IF(E70="TS",100,))))))+IF(E70="MTcod",600,IF(E70="ETcod",450,IF(E70="STcod",350,IF(E70="Tcod",250,)))+IF(E70="MTCoach",800,IF(E70="ETCoach",600,IF(E70="STCoach",400,IF(E70="TCoach",300,))))))</f>
        <v>600</v>
      </c>
      <c r="H70" s="1035"/>
      <c r="I70" s="1070">
        <v>0</v>
      </c>
      <c r="J70" s="1087"/>
      <c r="K70" s="1068">
        <f t="shared" si="2"/>
        <v>0</v>
      </c>
      <c r="L70" s="1030"/>
      <c r="M70" s="1030"/>
      <c r="N70" s="1030"/>
      <c r="O70" s="1030"/>
      <c r="P70" s="1030"/>
      <c r="Q70" s="1030"/>
      <c r="R70" s="1030"/>
      <c r="S70" s="1030"/>
      <c r="T70" s="1030"/>
      <c r="U70" s="1030"/>
      <c r="V70" s="1030"/>
      <c r="W70" s="1030"/>
      <c r="X70" s="1030"/>
      <c r="Y70" s="1030"/>
      <c r="Z70" s="1030"/>
    </row>
    <row r="71" spans="1:26" ht="12.75" customHeight="1" outlineLevel="1">
      <c r="A71" s="1061">
        <f t="shared" si="3"/>
        <v>57</v>
      </c>
      <c r="B71" s="1051" t="s">
        <v>3382</v>
      </c>
      <c r="C71" s="1066" t="s">
        <v>3342</v>
      </c>
      <c r="D71" s="1035" t="s">
        <v>3346</v>
      </c>
      <c r="E71" s="1035" t="s">
        <v>3388</v>
      </c>
      <c r="F71" s="1073" t="s">
        <v>3414</v>
      </c>
      <c r="G71" s="1068">
        <f t="shared" si="4"/>
        <v>200</v>
      </c>
      <c r="H71" s="1035" t="s">
        <v>3563</v>
      </c>
      <c r="I71" s="1062">
        <v>2</v>
      </c>
      <c r="J71" s="1087"/>
      <c r="K71" s="1068">
        <f t="shared" si="2"/>
        <v>400</v>
      </c>
      <c r="L71" s="1030"/>
      <c r="M71" s="1030"/>
      <c r="N71" s="1030"/>
      <c r="O71" s="1030"/>
      <c r="P71" s="1030"/>
      <c r="Q71" s="1030"/>
      <c r="R71" s="1030"/>
      <c r="S71" s="1030"/>
      <c r="T71" s="1030"/>
      <c r="U71" s="1030"/>
      <c r="V71" s="1030"/>
      <c r="W71" s="1030"/>
      <c r="X71" s="1030"/>
      <c r="Y71" s="1030"/>
      <c r="Z71" s="1030"/>
    </row>
    <row r="72" spans="1:26" ht="12.75" customHeight="1" outlineLevel="1">
      <c r="A72" s="1061">
        <f t="shared" si="3"/>
        <v>58</v>
      </c>
      <c r="B72" s="1051" t="s">
        <v>3382</v>
      </c>
      <c r="C72" s="1066" t="s">
        <v>3342</v>
      </c>
      <c r="D72" s="1035" t="s">
        <v>998</v>
      </c>
      <c r="E72" s="1035" t="s">
        <v>3388</v>
      </c>
      <c r="F72" s="1073" t="s">
        <v>3414</v>
      </c>
      <c r="G72" s="1068">
        <f t="shared" si="4"/>
        <v>200</v>
      </c>
      <c r="H72" s="1035"/>
      <c r="I72" s="1062">
        <v>2.5</v>
      </c>
      <c r="J72" s="1087"/>
      <c r="K72" s="1068">
        <f t="shared" si="2"/>
        <v>500</v>
      </c>
      <c r="L72" s="1030"/>
      <c r="M72" s="1030"/>
      <c r="N72" s="1030"/>
      <c r="O72" s="1030"/>
      <c r="P72" s="1030"/>
      <c r="Q72" s="1030"/>
      <c r="R72" s="1030"/>
      <c r="S72" s="1030"/>
      <c r="T72" s="1030"/>
      <c r="U72" s="1030"/>
      <c r="V72" s="1030"/>
      <c r="W72" s="1030"/>
      <c r="X72" s="1030"/>
      <c r="Y72" s="1030"/>
      <c r="Z72" s="1030"/>
    </row>
    <row r="73" spans="1:26" ht="12.75" customHeight="1" outlineLevel="1">
      <c r="A73" s="1061">
        <f t="shared" si="3"/>
        <v>59</v>
      </c>
      <c r="B73" s="1051" t="s">
        <v>3382</v>
      </c>
      <c r="C73" s="1066" t="s">
        <v>3342</v>
      </c>
      <c r="D73" s="1035" t="s">
        <v>3356</v>
      </c>
      <c r="E73" s="1035" t="s">
        <v>3383</v>
      </c>
      <c r="F73" s="1073" t="s">
        <v>3414</v>
      </c>
      <c r="G73" s="1068">
        <f t="shared" si="4"/>
        <v>600</v>
      </c>
      <c r="H73" s="1035"/>
      <c r="I73" s="1062">
        <v>2</v>
      </c>
      <c r="J73" s="1087"/>
      <c r="K73" s="1068">
        <f t="shared" si="2"/>
        <v>1200</v>
      </c>
      <c r="L73" s="1030"/>
      <c r="M73" s="1030"/>
      <c r="N73" s="1030"/>
      <c r="O73" s="1030"/>
      <c r="P73" s="1030"/>
      <c r="Q73" s="1030"/>
      <c r="R73" s="1030"/>
      <c r="S73" s="1030"/>
      <c r="T73" s="1030"/>
      <c r="U73" s="1030"/>
      <c r="V73" s="1030"/>
      <c r="W73" s="1030"/>
      <c r="X73" s="1030"/>
      <c r="Y73" s="1030"/>
      <c r="Z73" s="1030"/>
    </row>
    <row r="74" spans="1:26" ht="12.75" customHeight="1" outlineLevel="1">
      <c r="A74" s="1061">
        <f t="shared" si="3"/>
        <v>60</v>
      </c>
      <c r="B74" s="1051" t="s">
        <v>3382</v>
      </c>
      <c r="C74" s="1066" t="s">
        <v>3342</v>
      </c>
      <c r="D74" s="1035" t="s">
        <v>3357</v>
      </c>
      <c r="E74" s="1035" t="s">
        <v>3388</v>
      </c>
      <c r="F74" s="1073" t="s">
        <v>3414</v>
      </c>
      <c r="G74" s="1068">
        <f t="shared" si="4"/>
        <v>200</v>
      </c>
      <c r="H74" s="1035"/>
      <c r="I74" s="1062">
        <v>2</v>
      </c>
      <c r="J74" s="1087"/>
      <c r="K74" s="1068">
        <f t="shared" si="2"/>
        <v>400</v>
      </c>
      <c r="L74" s="1030"/>
      <c r="M74" s="1030"/>
      <c r="N74" s="1030"/>
      <c r="O74" s="1030"/>
      <c r="P74" s="1030"/>
      <c r="Q74" s="1030"/>
      <c r="R74" s="1030"/>
      <c r="S74" s="1030"/>
      <c r="T74" s="1030"/>
      <c r="U74" s="1030"/>
      <c r="V74" s="1030"/>
      <c r="W74" s="1030"/>
      <c r="X74" s="1030"/>
      <c r="Y74" s="1030"/>
      <c r="Z74" s="1030"/>
    </row>
    <row r="75" spans="1:26" ht="12.75" customHeight="1" outlineLevel="1">
      <c r="A75" s="1061">
        <f t="shared" si="3"/>
        <v>61</v>
      </c>
      <c r="B75" s="1051" t="s">
        <v>3382</v>
      </c>
      <c r="C75" s="1066" t="s">
        <v>3342</v>
      </c>
      <c r="D75" s="1035" t="s">
        <v>1077</v>
      </c>
      <c r="E75" s="1035" t="s">
        <v>3383</v>
      </c>
      <c r="F75" s="1073" t="s">
        <v>3414</v>
      </c>
      <c r="G75" s="1068">
        <f t="shared" si="4"/>
        <v>600</v>
      </c>
      <c r="H75" s="1035"/>
      <c r="I75" s="1062">
        <v>2.5</v>
      </c>
      <c r="J75" s="1087"/>
      <c r="K75" s="1068">
        <f t="shared" si="2"/>
        <v>1500</v>
      </c>
      <c r="L75" s="1030"/>
      <c r="M75" s="1030"/>
      <c r="N75" s="1030"/>
      <c r="O75" s="1030"/>
      <c r="P75" s="1030"/>
      <c r="Q75" s="1030"/>
      <c r="R75" s="1030"/>
      <c r="S75" s="1030"/>
      <c r="T75" s="1030"/>
      <c r="U75" s="1030"/>
      <c r="V75" s="1030"/>
      <c r="W75" s="1030"/>
      <c r="X75" s="1030"/>
      <c r="Y75" s="1030"/>
      <c r="Z75" s="1030"/>
    </row>
    <row r="76" spans="1:26" ht="12.75" customHeight="1" outlineLevel="1">
      <c r="A76" s="1061">
        <f t="shared" si="3"/>
        <v>62</v>
      </c>
      <c r="B76" s="1051" t="s">
        <v>3382</v>
      </c>
      <c r="C76" s="1066" t="s">
        <v>3342</v>
      </c>
      <c r="D76" s="1035" t="s">
        <v>976</v>
      </c>
      <c r="E76" s="1035" t="s">
        <v>3388</v>
      </c>
      <c r="F76" s="1073" t="s">
        <v>3414</v>
      </c>
      <c r="G76" s="1068">
        <f t="shared" si="4"/>
        <v>200</v>
      </c>
      <c r="H76" s="1035"/>
      <c r="I76" s="1062">
        <v>2.5</v>
      </c>
      <c r="J76" s="1087"/>
      <c r="K76" s="1068">
        <f t="shared" si="2"/>
        <v>500</v>
      </c>
      <c r="L76" s="1030"/>
      <c r="M76" s="1030"/>
      <c r="N76" s="1030"/>
      <c r="O76" s="1030"/>
      <c r="P76" s="1030"/>
      <c r="Q76" s="1030"/>
      <c r="R76" s="1030"/>
      <c r="S76" s="1030"/>
      <c r="T76" s="1030"/>
      <c r="U76" s="1030"/>
      <c r="V76" s="1030"/>
      <c r="W76" s="1030"/>
      <c r="X76" s="1030"/>
      <c r="Y76" s="1030"/>
      <c r="Z76" s="1030"/>
    </row>
    <row r="77" spans="1:26" ht="12.75" customHeight="1" outlineLevel="1">
      <c r="A77" s="1061">
        <f t="shared" si="3"/>
        <v>63</v>
      </c>
      <c r="B77" s="1051" t="s">
        <v>3382</v>
      </c>
      <c r="C77" s="1066" t="s">
        <v>3342</v>
      </c>
      <c r="D77" s="1035" t="s">
        <v>3364</v>
      </c>
      <c r="E77" s="1035" t="s">
        <v>3393</v>
      </c>
      <c r="F77" s="1073" t="s">
        <v>3414</v>
      </c>
      <c r="G77" s="1075">
        <v>100</v>
      </c>
      <c r="H77" s="1035"/>
      <c r="I77" s="1070">
        <v>2.5</v>
      </c>
      <c r="J77" s="1087"/>
      <c r="K77" s="1068">
        <f t="shared" si="2"/>
        <v>250</v>
      </c>
      <c r="L77" s="1030"/>
      <c r="M77" s="1030"/>
      <c r="N77" s="1030"/>
      <c r="O77" s="1030"/>
      <c r="P77" s="1030"/>
      <c r="Q77" s="1030"/>
      <c r="R77" s="1030"/>
      <c r="S77" s="1030"/>
      <c r="T77" s="1030"/>
      <c r="U77" s="1030"/>
      <c r="V77" s="1030"/>
      <c r="W77" s="1030"/>
      <c r="X77" s="1030"/>
      <c r="Y77" s="1030"/>
      <c r="Z77" s="1030"/>
    </row>
    <row r="78" spans="1:26" ht="12.75" customHeight="1" outlineLevel="1">
      <c r="A78" s="1061">
        <f t="shared" si="3"/>
        <v>64</v>
      </c>
      <c r="B78" s="1051" t="s">
        <v>3382</v>
      </c>
      <c r="C78" s="1066" t="s">
        <v>3342</v>
      </c>
      <c r="D78" s="1035" t="s">
        <v>1388</v>
      </c>
      <c r="E78" s="1035" t="s">
        <v>3388</v>
      </c>
      <c r="F78" s="1073" t="s">
        <v>3414</v>
      </c>
      <c r="G78" s="1068">
        <f t="shared" ref="G78:G96" si="5">IF(E78="MT",800,IF(E78="ET",600,IF(E78="ST",400,IF(E78="T",300,IF(E78="HTS",200,IF(E78="STS",150,IF(E78="TS",100,))))))+IF(E78="MTcod",600,IF(E78="ETcod",450,IF(E78="STcod",350,IF(E78="Tcod",250,)))+IF(E78="MTCoach",800,IF(E78="ETCoach",600,IF(E78="STCoach",400,IF(E78="TCoach",300,))))))</f>
        <v>200</v>
      </c>
      <c r="H78" s="1035"/>
      <c r="I78" s="1070">
        <v>2.5</v>
      </c>
      <c r="J78" s="1087"/>
      <c r="K78" s="1068">
        <f t="shared" si="2"/>
        <v>500</v>
      </c>
      <c r="L78" s="1030"/>
      <c r="M78" s="1030"/>
      <c r="N78" s="1030"/>
      <c r="O78" s="1030"/>
      <c r="P78" s="1030"/>
      <c r="Q78" s="1030"/>
      <c r="R78" s="1030"/>
      <c r="S78" s="1030"/>
      <c r="T78" s="1030"/>
      <c r="U78" s="1030"/>
      <c r="V78" s="1030"/>
      <c r="W78" s="1030"/>
      <c r="X78" s="1030"/>
      <c r="Y78" s="1030"/>
      <c r="Z78" s="1030"/>
    </row>
    <row r="79" spans="1:26" ht="12.75" customHeight="1" outlineLevel="1">
      <c r="A79" s="1061">
        <f t="shared" si="3"/>
        <v>65</v>
      </c>
      <c r="B79" s="1051" t="s">
        <v>3382</v>
      </c>
      <c r="C79" s="1066" t="s">
        <v>3342</v>
      </c>
      <c r="D79" s="1035" t="s">
        <v>2642</v>
      </c>
      <c r="E79" s="1035" t="s">
        <v>3388</v>
      </c>
      <c r="F79" s="1073" t="s">
        <v>3414</v>
      </c>
      <c r="G79" s="1068">
        <f t="shared" si="5"/>
        <v>200</v>
      </c>
      <c r="H79" s="1035"/>
      <c r="I79" s="1062">
        <v>2.5</v>
      </c>
      <c r="J79" s="1087"/>
      <c r="K79" s="1068">
        <f t="shared" si="2"/>
        <v>500</v>
      </c>
      <c r="L79" s="1030"/>
      <c r="M79" s="1030"/>
      <c r="N79" s="1030"/>
      <c r="O79" s="1030"/>
      <c r="P79" s="1030"/>
      <c r="Q79" s="1030"/>
      <c r="R79" s="1030"/>
      <c r="S79" s="1030"/>
      <c r="T79" s="1030"/>
      <c r="U79" s="1030"/>
      <c r="V79" s="1030"/>
      <c r="W79" s="1030"/>
      <c r="X79" s="1030"/>
      <c r="Y79" s="1030"/>
      <c r="Z79" s="1030"/>
    </row>
    <row r="80" spans="1:26" ht="12.75" customHeight="1" outlineLevel="1">
      <c r="A80" s="1061">
        <f t="shared" si="3"/>
        <v>66</v>
      </c>
      <c r="B80" s="1051" t="s">
        <v>3382</v>
      </c>
      <c r="C80" s="1066" t="s">
        <v>3342</v>
      </c>
      <c r="D80" s="1035" t="s">
        <v>3366</v>
      </c>
      <c r="E80" s="1035" t="s">
        <v>3388</v>
      </c>
      <c r="F80" s="1073" t="s">
        <v>3414</v>
      </c>
      <c r="G80" s="1068">
        <f t="shared" si="5"/>
        <v>200</v>
      </c>
      <c r="H80" s="1035"/>
      <c r="I80" s="1070">
        <v>2.5</v>
      </c>
      <c r="J80" s="1087"/>
      <c r="K80" s="1068">
        <f t="shared" si="2"/>
        <v>500</v>
      </c>
      <c r="L80" s="1030"/>
      <c r="M80" s="1030"/>
      <c r="N80" s="1030"/>
      <c r="O80" s="1030"/>
      <c r="P80" s="1030"/>
      <c r="Q80" s="1030"/>
      <c r="R80" s="1030"/>
      <c r="S80" s="1030"/>
      <c r="T80" s="1030"/>
      <c r="U80" s="1030"/>
      <c r="V80" s="1030"/>
      <c r="W80" s="1030"/>
      <c r="X80" s="1030"/>
      <c r="Y80" s="1030"/>
      <c r="Z80" s="1030"/>
    </row>
    <row r="81" spans="1:26" ht="12.75" customHeight="1" outlineLevel="1">
      <c r="A81" s="1061">
        <f t="shared" si="3"/>
        <v>67</v>
      </c>
      <c r="B81" s="1051" t="s">
        <v>3382</v>
      </c>
      <c r="C81" s="1066" t="s">
        <v>3342</v>
      </c>
      <c r="D81" s="1035" t="s">
        <v>3370</v>
      </c>
      <c r="E81" s="1035" t="s">
        <v>3388</v>
      </c>
      <c r="F81" s="1073" t="s">
        <v>3414</v>
      </c>
      <c r="G81" s="1068">
        <f t="shared" si="5"/>
        <v>200</v>
      </c>
      <c r="H81" s="1035" t="s">
        <v>3563</v>
      </c>
      <c r="I81" s="1062">
        <v>0</v>
      </c>
      <c r="J81" s="1087"/>
      <c r="K81" s="1068">
        <f t="shared" si="2"/>
        <v>0</v>
      </c>
      <c r="L81" s="1030"/>
      <c r="M81" s="1030"/>
      <c r="N81" s="1030"/>
      <c r="O81" s="1030"/>
      <c r="P81" s="1030"/>
      <c r="Q81" s="1030"/>
      <c r="R81" s="1030"/>
      <c r="S81" s="1030"/>
      <c r="T81" s="1030"/>
      <c r="U81" s="1030"/>
      <c r="V81" s="1030"/>
      <c r="W81" s="1030"/>
      <c r="X81" s="1030"/>
      <c r="Y81" s="1030"/>
      <c r="Z81" s="1030"/>
    </row>
    <row r="82" spans="1:26" ht="12.75" customHeight="1" outlineLevel="1">
      <c r="A82" s="1061">
        <f t="shared" si="3"/>
        <v>68</v>
      </c>
      <c r="B82" s="1051" t="s">
        <v>3382</v>
      </c>
      <c r="C82" s="1066" t="s">
        <v>3342</v>
      </c>
      <c r="D82" s="1035" t="s">
        <v>2940</v>
      </c>
      <c r="E82" s="1035" t="s">
        <v>3388</v>
      </c>
      <c r="F82" s="1073" t="s">
        <v>3414</v>
      </c>
      <c r="G82" s="1068">
        <f t="shared" si="5"/>
        <v>200</v>
      </c>
      <c r="H82" s="1035"/>
      <c r="I82" s="1070">
        <v>2</v>
      </c>
      <c r="J82" s="1087"/>
      <c r="K82" s="1068">
        <f t="shared" si="2"/>
        <v>400</v>
      </c>
      <c r="L82" s="1030"/>
      <c r="M82" s="1030"/>
      <c r="N82" s="1030"/>
      <c r="O82" s="1030"/>
      <c r="P82" s="1030"/>
      <c r="Q82" s="1030"/>
      <c r="R82" s="1030"/>
      <c r="S82" s="1030"/>
      <c r="T82" s="1030"/>
      <c r="U82" s="1030"/>
      <c r="V82" s="1030"/>
      <c r="W82" s="1030"/>
      <c r="X82" s="1030"/>
      <c r="Y82" s="1030"/>
      <c r="Z82" s="1030"/>
    </row>
    <row r="83" spans="1:26" ht="12.75" customHeight="1" outlineLevel="1">
      <c r="A83" s="1061">
        <f t="shared" si="3"/>
        <v>69</v>
      </c>
      <c r="B83" s="1051" t="s">
        <v>3382</v>
      </c>
      <c r="C83" s="1066" t="s">
        <v>3342</v>
      </c>
      <c r="D83" s="1035" t="s">
        <v>2667</v>
      </c>
      <c r="E83" s="1035" t="s">
        <v>3388</v>
      </c>
      <c r="F83" s="1073" t="s">
        <v>3414</v>
      </c>
      <c r="G83" s="1068">
        <f t="shared" si="5"/>
        <v>200</v>
      </c>
      <c r="H83" s="1035"/>
      <c r="I83" s="1062">
        <v>2.5</v>
      </c>
      <c r="J83" s="1087"/>
      <c r="K83" s="1068">
        <f t="shared" si="2"/>
        <v>500</v>
      </c>
      <c r="L83" s="1030"/>
      <c r="M83" s="1030"/>
      <c r="N83" s="1030"/>
      <c r="O83" s="1030"/>
      <c r="P83" s="1030"/>
      <c r="Q83" s="1030"/>
      <c r="R83" s="1030"/>
      <c r="S83" s="1030"/>
      <c r="T83" s="1030"/>
      <c r="U83" s="1030"/>
      <c r="V83" s="1030"/>
      <c r="W83" s="1030"/>
      <c r="X83" s="1030"/>
      <c r="Y83" s="1030"/>
      <c r="Z83" s="1030"/>
    </row>
    <row r="84" spans="1:26" ht="12.75" customHeight="1" outlineLevel="1">
      <c r="A84" s="1061">
        <f t="shared" si="3"/>
        <v>70</v>
      </c>
      <c r="B84" s="1051" t="s">
        <v>3382</v>
      </c>
      <c r="C84" s="1066" t="s">
        <v>3342</v>
      </c>
      <c r="D84" s="1035" t="s">
        <v>3396</v>
      </c>
      <c r="E84" s="1035" t="s">
        <v>3409</v>
      </c>
      <c r="F84" s="1073" t="s">
        <v>3414</v>
      </c>
      <c r="G84" s="1068">
        <f t="shared" si="5"/>
        <v>150</v>
      </c>
      <c r="H84" s="1035"/>
      <c r="I84" s="1070">
        <v>2.5</v>
      </c>
      <c r="J84" s="1087"/>
      <c r="K84" s="1068">
        <f t="shared" si="2"/>
        <v>375</v>
      </c>
      <c r="L84" s="1030"/>
      <c r="M84" s="1030"/>
      <c r="N84" s="1030"/>
      <c r="O84" s="1030"/>
      <c r="P84" s="1030"/>
      <c r="Q84" s="1030"/>
      <c r="R84" s="1030"/>
      <c r="S84" s="1030"/>
      <c r="T84" s="1030"/>
      <c r="U84" s="1030"/>
      <c r="V84" s="1030"/>
      <c r="W84" s="1030"/>
      <c r="X84" s="1030"/>
      <c r="Y84" s="1030"/>
      <c r="Z84" s="1030"/>
    </row>
    <row r="85" spans="1:26" ht="12.75" customHeight="1" outlineLevel="1">
      <c r="A85" s="1061">
        <f t="shared" si="3"/>
        <v>71</v>
      </c>
      <c r="B85" s="1051" t="s">
        <v>3382</v>
      </c>
      <c r="C85" s="1066" t="s">
        <v>3342</v>
      </c>
      <c r="D85" s="1035" t="s">
        <v>3399</v>
      </c>
      <c r="E85" s="1035" t="s">
        <v>3409</v>
      </c>
      <c r="F85" s="1073" t="s">
        <v>3414</v>
      </c>
      <c r="G85" s="1068">
        <f t="shared" si="5"/>
        <v>150</v>
      </c>
      <c r="H85" s="1035"/>
      <c r="I85" s="1070">
        <v>2.5</v>
      </c>
      <c r="J85" s="1087"/>
      <c r="K85" s="1068">
        <f t="shared" si="2"/>
        <v>375</v>
      </c>
      <c r="L85" s="1030"/>
      <c r="M85" s="1030"/>
      <c r="N85" s="1030"/>
      <c r="O85" s="1030"/>
      <c r="P85" s="1030"/>
      <c r="Q85" s="1030"/>
      <c r="R85" s="1030"/>
      <c r="S85" s="1030"/>
      <c r="T85" s="1030"/>
      <c r="U85" s="1030"/>
      <c r="V85" s="1030"/>
      <c r="W85" s="1030"/>
      <c r="X85" s="1030"/>
      <c r="Y85" s="1030"/>
      <c r="Z85" s="1030"/>
    </row>
    <row r="86" spans="1:26" ht="12.75" customHeight="1" outlineLevel="1">
      <c r="A86" s="1061">
        <f t="shared" si="3"/>
        <v>72</v>
      </c>
      <c r="B86" s="1051" t="s">
        <v>3382</v>
      </c>
      <c r="C86" s="1066" t="s">
        <v>3342</v>
      </c>
      <c r="D86" s="1035" t="s">
        <v>3387</v>
      </c>
      <c r="E86" s="1035" t="s">
        <v>3388</v>
      </c>
      <c r="F86" s="1073" t="s">
        <v>3414</v>
      </c>
      <c r="G86" s="1068">
        <f t="shared" si="5"/>
        <v>200</v>
      </c>
      <c r="H86" s="1035"/>
      <c r="I86" s="1070">
        <v>2.5</v>
      </c>
      <c r="J86" s="1087"/>
      <c r="K86" s="1068">
        <f t="shared" si="2"/>
        <v>500</v>
      </c>
      <c r="L86" s="1030"/>
      <c r="M86" s="1030"/>
      <c r="N86" s="1030"/>
      <c r="O86" s="1030"/>
      <c r="P86" s="1030"/>
      <c r="Q86" s="1030"/>
      <c r="R86" s="1030"/>
      <c r="S86" s="1030"/>
      <c r="T86" s="1030"/>
      <c r="U86" s="1030"/>
      <c r="V86" s="1030"/>
      <c r="W86" s="1030"/>
      <c r="X86" s="1030"/>
      <c r="Y86" s="1030"/>
      <c r="Z86" s="1030"/>
    </row>
    <row r="87" spans="1:26" ht="12.75" customHeight="1" outlineLevel="1">
      <c r="A87" s="1061">
        <f t="shared" si="3"/>
        <v>73</v>
      </c>
      <c r="B87" s="1051" t="s">
        <v>3382</v>
      </c>
      <c r="C87" s="1066" t="s">
        <v>3342</v>
      </c>
      <c r="D87" s="1035" t="s">
        <v>2689</v>
      </c>
      <c r="E87" s="1035" t="s">
        <v>3388</v>
      </c>
      <c r="F87" s="1073" t="s">
        <v>3414</v>
      </c>
      <c r="G87" s="1068">
        <f t="shared" si="5"/>
        <v>200</v>
      </c>
      <c r="H87" s="1035"/>
      <c r="I87" s="1062">
        <v>2.5</v>
      </c>
      <c r="J87" s="1087"/>
      <c r="K87" s="1068">
        <f t="shared" si="2"/>
        <v>500</v>
      </c>
      <c r="L87" s="1030"/>
      <c r="M87" s="1030"/>
      <c r="N87" s="1030"/>
      <c r="O87" s="1030"/>
      <c r="P87" s="1030"/>
      <c r="Q87" s="1030"/>
      <c r="R87" s="1030"/>
      <c r="S87" s="1030"/>
      <c r="T87" s="1030"/>
      <c r="U87" s="1030"/>
      <c r="V87" s="1030"/>
      <c r="W87" s="1030"/>
      <c r="X87" s="1030"/>
      <c r="Y87" s="1030"/>
      <c r="Z87" s="1030"/>
    </row>
    <row r="88" spans="1:26" ht="12.75" customHeight="1" outlineLevel="1">
      <c r="A88" s="1061">
        <f t="shared" si="3"/>
        <v>74</v>
      </c>
      <c r="B88" s="1051" t="s">
        <v>3382</v>
      </c>
      <c r="C88" s="1066" t="s">
        <v>3342</v>
      </c>
      <c r="D88" s="1035" t="s">
        <v>3412</v>
      </c>
      <c r="E88" s="1035" t="s">
        <v>3393</v>
      </c>
      <c r="F88" s="1073" t="s">
        <v>3414</v>
      </c>
      <c r="G88" s="1068">
        <f t="shared" si="5"/>
        <v>100</v>
      </c>
      <c r="H88" s="1074"/>
      <c r="I88" s="1070">
        <v>2.5</v>
      </c>
      <c r="J88" s="1071"/>
      <c r="K88" s="1072">
        <f t="shared" si="2"/>
        <v>250</v>
      </c>
      <c r="L88" s="1030"/>
      <c r="M88" s="1030"/>
      <c r="N88" s="1030"/>
      <c r="O88" s="1039"/>
      <c r="P88" s="1039"/>
      <c r="Q88" s="1039"/>
      <c r="R88" s="1039"/>
      <c r="S88" s="1039"/>
      <c r="T88" s="1039"/>
      <c r="U88" s="1039"/>
      <c r="V88" s="1039"/>
      <c r="W88" s="1039"/>
      <c r="X88" s="1039"/>
      <c r="Y88" s="1039"/>
      <c r="Z88" s="1039"/>
    </row>
    <row r="89" spans="1:26" ht="12.75" customHeight="1" outlineLevel="1">
      <c r="A89" s="1061">
        <f>A87+1</f>
        <v>74</v>
      </c>
      <c r="B89" s="1051" t="s">
        <v>3382</v>
      </c>
      <c r="C89" s="1066" t="s">
        <v>3342</v>
      </c>
      <c r="D89" s="1035" t="s">
        <v>3404</v>
      </c>
      <c r="E89" s="1035" t="s">
        <v>3409</v>
      </c>
      <c r="F89" s="1073" t="s">
        <v>3414</v>
      </c>
      <c r="G89" s="1068">
        <f t="shared" si="5"/>
        <v>150</v>
      </c>
      <c r="H89" s="1035"/>
      <c r="I89" s="1062">
        <v>2.5</v>
      </c>
      <c r="J89" s="1087"/>
      <c r="K89" s="1068">
        <f t="shared" si="2"/>
        <v>375</v>
      </c>
      <c r="L89" s="1030"/>
      <c r="M89" s="1030"/>
      <c r="N89" s="1030"/>
      <c r="O89" s="1030"/>
      <c r="P89" s="1030"/>
      <c r="Q89" s="1030"/>
      <c r="R89" s="1030"/>
      <c r="S89" s="1030"/>
      <c r="T89" s="1030"/>
      <c r="U89" s="1030"/>
      <c r="V89" s="1030"/>
      <c r="W89" s="1030"/>
      <c r="X89" s="1030"/>
      <c r="Y89" s="1030"/>
      <c r="Z89" s="1030"/>
    </row>
    <row r="90" spans="1:26" ht="12.75" customHeight="1" outlineLevel="1">
      <c r="A90" s="1061">
        <f t="shared" ref="A90:A93" si="6">A89+1</f>
        <v>75</v>
      </c>
      <c r="B90" s="1051" t="s">
        <v>3382</v>
      </c>
      <c r="C90" s="1066" t="s">
        <v>3342</v>
      </c>
      <c r="D90" s="1035" t="s">
        <v>3395</v>
      </c>
      <c r="E90" s="1035" t="s">
        <v>3388</v>
      </c>
      <c r="F90" s="1073" t="s">
        <v>3414</v>
      </c>
      <c r="G90" s="1068">
        <f t="shared" si="5"/>
        <v>200</v>
      </c>
      <c r="H90" s="1035"/>
      <c r="I90" s="1070">
        <v>2.5</v>
      </c>
      <c r="J90" s="1087"/>
      <c r="K90" s="1068">
        <f t="shared" si="2"/>
        <v>500</v>
      </c>
      <c r="L90" s="1030"/>
      <c r="M90" s="1030"/>
      <c r="N90" s="1030"/>
      <c r="O90" s="1030"/>
      <c r="P90" s="1030"/>
      <c r="Q90" s="1030"/>
      <c r="R90" s="1030"/>
      <c r="S90" s="1030"/>
      <c r="T90" s="1030"/>
      <c r="U90" s="1030"/>
      <c r="V90" s="1030"/>
      <c r="W90" s="1030"/>
      <c r="X90" s="1030"/>
      <c r="Y90" s="1030"/>
      <c r="Z90" s="1030"/>
    </row>
    <row r="91" spans="1:26" ht="12.75" customHeight="1" outlineLevel="1">
      <c r="A91" s="1061">
        <f t="shared" si="6"/>
        <v>76</v>
      </c>
      <c r="B91" s="1051" t="s">
        <v>3382</v>
      </c>
      <c r="C91" s="1066" t="s">
        <v>3342</v>
      </c>
      <c r="D91" s="1035" t="s">
        <v>3398</v>
      </c>
      <c r="E91" s="1035" t="s">
        <v>3388</v>
      </c>
      <c r="F91" s="1073" t="s">
        <v>3414</v>
      </c>
      <c r="G91" s="1068">
        <f t="shared" si="5"/>
        <v>200</v>
      </c>
      <c r="H91" s="1035"/>
      <c r="I91" s="1062">
        <v>2</v>
      </c>
      <c r="J91" s="1087"/>
      <c r="K91" s="1068">
        <f t="shared" si="2"/>
        <v>400</v>
      </c>
      <c r="L91" s="1030"/>
      <c r="M91" s="1030"/>
      <c r="N91" s="1030"/>
      <c r="O91" s="1030"/>
      <c r="P91" s="1030"/>
      <c r="Q91" s="1030"/>
      <c r="R91" s="1030"/>
      <c r="S91" s="1030"/>
      <c r="T91" s="1030"/>
      <c r="U91" s="1030"/>
      <c r="V91" s="1030"/>
      <c r="W91" s="1030"/>
      <c r="X91" s="1030"/>
      <c r="Y91" s="1030"/>
      <c r="Z91" s="1030"/>
    </row>
    <row r="92" spans="1:26" ht="12.75" customHeight="1" outlineLevel="1">
      <c r="A92" s="1061">
        <f t="shared" si="6"/>
        <v>77</v>
      </c>
      <c r="B92" s="1051" t="s">
        <v>3382</v>
      </c>
      <c r="C92" s="1066" t="s">
        <v>3342</v>
      </c>
      <c r="D92" s="1035" t="s">
        <v>3405</v>
      </c>
      <c r="E92" s="1035" t="s">
        <v>3388</v>
      </c>
      <c r="F92" s="1073" t="s">
        <v>3414</v>
      </c>
      <c r="G92" s="1068">
        <f t="shared" si="5"/>
        <v>200</v>
      </c>
      <c r="H92" s="1035"/>
      <c r="I92" s="1062">
        <v>2.5</v>
      </c>
      <c r="J92" s="1087"/>
      <c r="K92" s="1068">
        <f t="shared" si="2"/>
        <v>500</v>
      </c>
      <c r="L92" s="1030"/>
      <c r="M92" s="1030"/>
      <c r="N92" s="1030"/>
      <c r="O92" s="1030"/>
      <c r="P92" s="1030"/>
      <c r="Q92" s="1030"/>
      <c r="R92" s="1030"/>
      <c r="S92" s="1030"/>
      <c r="T92" s="1030"/>
      <c r="U92" s="1030"/>
      <c r="V92" s="1030"/>
      <c r="W92" s="1030"/>
      <c r="X92" s="1030"/>
      <c r="Y92" s="1030"/>
      <c r="Z92" s="1030"/>
    </row>
    <row r="93" spans="1:26" ht="12.75" customHeight="1" outlineLevel="1">
      <c r="A93" s="1061">
        <f t="shared" si="6"/>
        <v>78</v>
      </c>
      <c r="B93" s="1051" t="s">
        <v>3382</v>
      </c>
      <c r="C93" s="1066" t="s">
        <v>3342</v>
      </c>
      <c r="D93" s="1035" t="s">
        <v>3408</v>
      </c>
      <c r="E93" s="1035" t="s">
        <v>3393</v>
      </c>
      <c r="F93" s="1073" t="s">
        <v>3414</v>
      </c>
      <c r="G93" s="1068">
        <f t="shared" si="5"/>
        <v>100</v>
      </c>
      <c r="H93" s="1074"/>
      <c r="I93" s="1070">
        <v>2.5</v>
      </c>
      <c r="J93" s="1071"/>
      <c r="K93" s="1072">
        <f t="shared" si="2"/>
        <v>250</v>
      </c>
      <c r="L93" s="1030"/>
      <c r="M93" s="1040"/>
      <c r="N93" s="1030"/>
      <c r="O93" s="1039"/>
      <c r="P93" s="1039"/>
      <c r="Q93" s="1039"/>
      <c r="R93" s="1039"/>
      <c r="S93" s="1039"/>
      <c r="T93" s="1039"/>
      <c r="U93" s="1039"/>
      <c r="V93" s="1039"/>
      <c r="W93" s="1039"/>
      <c r="X93" s="1039"/>
      <c r="Y93" s="1039"/>
      <c r="Z93" s="1039"/>
    </row>
    <row r="94" spans="1:26" ht="12.75" customHeight="1" outlineLevel="1">
      <c r="A94" s="1061">
        <f>A92+1</f>
        <v>78</v>
      </c>
      <c r="B94" s="1051" t="s">
        <v>3382</v>
      </c>
      <c r="C94" s="1066" t="s">
        <v>3342</v>
      </c>
      <c r="D94" s="1035" t="s">
        <v>3400</v>
      </c>
      <c r="E94" s="1035" t="s">
        <v>3388</v>
      </c>
      <c r="F94" s="1073" t="s">
        <v>3414</v>
      </c>
      <c r="G94" s="1068">
        <f t="shared" si="5"/>
        <v>200</v>
      </c>
      <c r="H94" s="1035"/>
      <c r="I94" s="1070">
        <v>2.5</v>
      </c>
      <c r="J94" s="1087"/>
      <c r="K94" s="1068">
        <f t="shared" si="2"/>
        <v>500</v>
      </c>
      <c r="L94" s="1030"/>
      <c r="M94" s="1030"/>
      <c r="N94" s="1030"/>
      <c r="O94" s="1030"/>
      <c r="P94" s="1030"/>
      <c r="Q94" s="1030"/>
      <c r="R94" s="1030"/>
      <c r="S94" s="1030"/>
      <c r="T94" s="1030"/>
      <c r="U94" s="1030"/>
      <c r="V94" s="1030"/>
      <c r="W94" s="1030"/>
      <c r="X94" s="1030"/>
      <c r="Y94" s="1030"/>
      <c r="Z94" s="1030"/>
    </row>
    <row r="95" spans="1:26" ht="12.75" customHeight="1" outlineLevel="1">
      <c r="A95" s="1061">
        <f t="shared" ref="A95:A96" si="7">A94+1</f>
        <v>79</v>
      </c>
      <c r="B95" s="1051" t="s">
        <v>3382</v>
      </c>
      <c r="C95" s="1066" t="s">
        <v>3342</v>
      </c>
      <c r="D95" s="1035" t="s">
        <v>2802</v>
      </c>
      <c r="E95" s="1035" t="s">
        <v>3388</v>
      </c>
      <c r="F95" s="1073" t="s">
        <v>3414</v>
      </c>
      <c r="G95" s="1068">
        <f t="shared" si="5"/>
        <v>200</v>
      </c>
      <c r="H95" s="1035"/>
      <c r="I95" s="1070">
        <v>2.5</v>
      </c>
      <c r="J95" s="1087"/>
      <c r="K95" s="1068">
        <f t="shared" si="2"/>
        <v>500</v>
      </c>
      <c r="L95" s="1039"/>
      <c r="M95" s="1030"/>
      <c r="N95" s="1030"/>
      <c r="O95" s="1030"/>
      <c r="P95" s="1030"/>
      <c r="Q95" s="1030"/>
      <c r="R95" s="1030"/>
      <c r="S95" s="1030"/>
      <c r="T95" s="1030"/>
      <c r="U95" s="1030"/>
      <c r="V95" s="1030"/>
      <c r="W95" s="1030"/>
      <c r="X95" s="1030"/>
      <c r="Y95" s="1030"/>
      <c r="Z95" s="1030"/>
    </row>
    <row r="96" spans="1:26" ht="12.75" customHeight="1" outlineLevel="1">
      <c r="A96" s="1061">
        <f t="shared" si="7"/>
        <v>80</v>
      </c>
      <c r="B96" s="1051" t="s">
        <v>3382</v>
      </c>
      <c r="C96" s="1066" t="s">
        <v>3342</v>
      </c>
      <c r="D96" s="1035" t="s">
        <v>3407</v>
      </c>
      <c r="E96" s="1035" t="s">
        <v>3393</v>
      </c>
      <c r="F96" s="1073" t="s">
        <v>3414</v>
      </c>
      <c r="G96" s="1068">
        <f t="shared" si="5"/>
        <v>100</v>
      </c>
      <c r="H96" s="1035"/>
      <c r="I96" s="1062">
        <v>2.5</v>
      </c>
      <c r="J96" s="1087"/>
      <c r="K96" s="1068">
        <f t="shared" si="2"/>
        <v>250</v>
      </c>
      <c r="L96" s="1039"/>
      <c r="M96" s="1030"/>
      <c r="N96" s="1030"/>
      <c r="O96" s="1030"/>
      <c r="P96" s="1030"/>
      <c r="Q96" s="1030"/>
      <c r="R96" s="1030"/>
      <c r="S96" s="1030"/>
      <c r="T96" s="1030"/>
      <c r="U96" s="1030"/>
      <c r="V96" s="1030"/>
      <c r="W96" s="1030"/>
      <c r="X96" s="1030"/>
      <c r="Y96" s="1030"/>
      <c r="Z96" s="1030"/>
    </row>
    <row r="97" spans="1:26" ht="12.75" customHeight="1">
      <c r="A97" s="1061"/>
      <c r="B97" s="1039"/>
      <c r="C97" s="1039"/>
      <c r="D97" s="1088" t="s">
        <v>3416</v>
      </c>
      <c r="E97" s="1089"/>
      <c r="F97" s="1089"/>
      <c r="G97" s="1089"/>
      <c r="H97" s="1090"/>
      <c r="I97" s="1089"/>
      <c r="J97" s="1089"/>
      <c r="K97" s="1091">
        <f>SUM(K15:K96)</f>
        <v>48075</v>
      </c>
      <c r="L97" s="1030"/>
      <c r="M97" s="1030"/>
      <c r="N97" s="1030"/>
      <c r="O97" s="1030"/>
      <c r="P97" s="1030"/>
      <c r="Q97" s="1030"/>
      <c r="R97" s="1030"/>
      <c r="S97" s="1030"/>
      <c r="T97" s="1030"/>
      <c r="U97" s="1030"/>
      <c r="V97" s="1030"/>
      <c r="W97" s="1030"/>
      <c r="X97" s="1030"/>
      <c r="Y97" s="1030"/>
      <c r="Z97" s="1030"/>
    </row>
    <row r="98" spans="1:26" ht="12.75" customHeight="1">
      <c r="A98" s="1061"/>
      <c r="B98" s="1039"/>
      <c r="C98" s="1039"/>
      <c r="D98" s="1092"/>
      <c r="E98" s="1092"/>
      <c r="F98" s="1092"/>
      <c r="G98" s="1092"/>
      <c r="H98" s="1093"/>
      <c r="I98" s="1092"/>
      <c r="J98" s="1092"/>
      <c r="K98" s="1094"/>
      <c r="L98" s="1030"/>
      <c r="M98" s="1030"/>
      <c r="N98" s="1030"/>
      <c r="O98" s="1030"/>
      <c r="P98" s="1030"/>
      <c r="Q98" s="1030"/>
      <c r="R98" s="1030"/>
      <c r="S98" s="1030"/>
      <c r="T98" s="1030"/>
      <c r="U98" s="1030"/>
      <c r="V98" s="1030"/>
      <c r="W98" s="1030"/>
      <c r="X98" s="1030"/>
      <c r="Y98" s="1030"/>
      <c r="Z98" s="1030"/>
    </row>
    <row r="99" spans="1:26" ht="12.75" customHeight="1">
      <c r="A99" s="1061"/>
      <c r="B99" s="1030"/>
      <c r="C99" s="1030"/>
      <c r="D99" s="1095" t="s">
        <v>3417</v>
      </c>
      <c r="E99" s="1031"/>
      <c r="F99" s="1031"/>
      <c r="G99" s="1031"/>
      <c r="H99" s="1031"/>
      <c r="I99" s="1032"/>
      <c r="J99" s="1031"/>
      <c r="K99" s="1033"/>
      <c r="L99" s="1030"/>
      <c r="M99" s="1030"/>
      <c r="N99" s="1030"/>
      <c r="O99" s="1030"/>
      <c r="P99" s="1030"/>
      <c r="Q99" s="1030"/>
      <c r="R99" s="1030"/>
      <c r="S99" s="1030"/>
      <c r="T99" s="1030"/>
      <c r="U99" s="1030"/>
      <c r="V99" s="1030"/>
      <c r="W99" s="1030"/>
      <c r="X99" s="1030"/>
      <c r="Y99" s="1030"/>
      <c r="Z99" s="1030"/>
    </row>
    <row r="100" spans="1:26" ht="27.75" customHeight="1">
      <c r="A100" s="1061"/>
      <c r="B100" s="1062" t="s">
        <v>3373</v>
      </c>
      <c r="C100" s="1063" t="s">
        <v>3374</v>
      </c>
      <c r="D100" s="1064" t="s">
        <v>3418</v>
      </c>
      <c r="E100" s="1096" t="s">
        <v>3419</v>
      </c>
      <c r="F100" s="1064" t="s">
        <v>3377</v>
      </c>
      <c r="G100" s="1064"/>
      <c r="H100" s="1064"/>
      <c r="I100" s="1064" t="s">
        <v>3420</v>
      </c>
      <c r="J100" s="1064" t="s">
        <v>3420</v>
      </c>
      <c r="K100" s="1097" t="s">
        <v>3421</v>
      </c>
      <c r="L100" s="1030"/>
      <c r="M100" s="1030"/>
      <c r="N100" s="1030"/>
      <c r="O100" s="1030"/>
      <c r="P100" s="1030"/>
      <c r="Q100" s="1030"/>
      <c r="R100" s="1030"/>
      <c r="S100" s="1030"/>
      <c r="T100" s="1030"/>
      <c r="U100" s="1030"/>
      <c r="V100" s="1030"/>
      <c r="W100" s="1030"/>
      <c r="X100" s="1030"/>
      <c r="Y100" s="1030"/>
      <c r="Z100" s="1030"/>
    </row>
    <row r="101" spans="1:26" ht="12.75" customHeight="1">
      <c r="A101" s="1098"/>
      <c r="B101" s="1051" t="s">
        <v>3419</v>
      </c>
      <c r="C101" s="1066" t="s">
        <v>3342</v>
      </c>
      <c r="D101" s="1099" t="s">
        <v>122</v>
      </c>
      <c r="E101" s="1035"/>
      <c r="F101" s="1100"/>
      <c r="G101" s="1100"/>
      <c r="H101" s="1100"/>
      <c r="I101" s="1035"/>
      <c r="J101" s="1035"/>
      <c r="K101" s="1101">
        <f>(2160+2160)</f>
        <v>4320</v>
      </c>
      <c r="L101" s="1102" t="s">
        <v>3422</v>
      </c>
      <c r="M101" s="1103"/>
      <c r="N101" s="1103"/>
      <c r="O101" s="1103"/>
      <c r="P101" s="1103"/>
      <c r="Q101" s="1103"/>
      <c r="R101" s="1103"/>
      <c r="S101" s="1103"/>
      <c r="T101" s="1103"/>
      <c r="U101" s="1103"/>
      <c r="V101" s="1103"/>
      <c r="W101" s="1103"/>
      <c r="X101" s="1103"/>
      <c r="Y101" s="1103"/>
      <c r="Z101" s="1103"/>
    </row>
    <row r="102" spans="1:26" ht="12.75" customHeight="1">
      <c r="A102" s="1098"/>
      <c r="B102" s="1104"/>
      <c r="C102" s="1105"/>
      <c r="D102" s="1106"/>
      <c r="E102" s="1106"/>
      <c r="F102" s="1106"/>
      <c r="G102" s="1106"/>
      <c r="H102" s="1107"/>
      <c r="I102" s="1106"/>
      <c r="J102" s="1106"/>
      <c r="K102" s="1108"/>
      <c r="L102" s="1103"/>
      <c r="M102" s="1103"/>
      <c r="N102" s="1103"/>
      <c r="O102" s="1103"/>
      <c r="P102" s="1103"/>
      <c r="Q102" s="1103"/>
      <c r="R102" s="1103"/>
      <c r="S102" s="1103"/>
      <c r="T102" s="1103"/>
      <c r="U102" s="1103"/>
      <c r="V102" s="1103"/>
      <c r="W102" s="1103"/>
      <c r="X102" s="1103"/>
      <c r="Y102" s="1103"/>
      <c r="Z102" s="1103"/>
    </row>
    <row r="103" spans="1:26" ht="12.75" customHeight="1">
      <c r="A103" s="1098"/>
      <c r="B103" s="1062" t="s">
        <v>3373</v>
      </c>
      <c r="C103" s="1063" t="s">
        <v>3374</v>
      </c>
      <c r="D103" s="1064" t="s">
        <v>3418</v>
      </c>
      <c r="E103" s="1109" t="s">
        <v>3339</v>
      </c>
      <c r="F103" s="1110" t="s">
        <v>3423</v>
      </c>
      <c r="G103" s="1109" t="s">
        <v>3424</v>
      </c>
      <c r="H103" s="1109" t="s">
        <v>24</v>
      </c>
      <c r="I103" s="1109" t="s">
        <v>3425</v>
      </c>
      <c r="J103" s="1111" t="s">
        <v>3426</v>
      </c>
      <c r="K103" s="1045" t="s">
        <v>3381</v>
      </c>
      <c r="L103" s="1103" t="s">
        <v>3427</v>
      </c>
      <c r="M103" s="1103"/>
      <c r="N103" s="1103"/>
      <c r="O103" s="1103"/>
      <c r="P103" s="1103"/>
      <c r="Q103" s="1103"/>
      <c r="R103" s="1103"/>
      <c r="S103" s="1103"/>
      <c r="T103" s="1103"/>
      <c r="U103" s="1103"/>
      <c r="V103" s="1103"/>
      <c r="W103" s="1103"/>
      <c r="X103" s="1103"/>
      <c r="Y103" s="1103"/>
      <c r="Z103" s="1103"/>
    </row>
    <row r="104" spans="1:26" ht="12.75" customHeight="1" outlineLevel="1">
      <c r="A104" s="1098">
        <v>1</v>
      </c>
      <c r="B104" s="1051" t="s">
        <v>3428</v>
      </c>
      <c r="C104" s="1112" t="s">
        <v>3342</v>
      </c>
      <c r="D104" s="1113" t="s">
        <v>122</v>
      </c>
      <c r="E104" s="1114"/>
      <c r="F104" s="1073" t="s">
        <v>3384</v>
      </c>
      <c r="G104" s="1035" t="s">
        <v>3429</v>
      </c>
      <c r="H104" s="1114"/>
      <c r="I104" s="1116">
        <v>120</v>
      </c>
      <c r="J104" s="1117">
        <v>0.3</v>
      </c>
      <c r="K104" s="1118">
        <f t="shared" ref="K104:K129" si="8">I104*J104</f>
        <v>36</v>
      </c>
      <c r="L104" s="1103" t="s">
        <v>3430</v>
      </c>
      <c r="M104" s="1103"/>
      <c r="N104" s="1103"/>
      <c r="O104" s="1103"/>
      <c r="P104" s="1103"/>
      <c r="Q104" s="1103"/>
      <c r="R104" s="1103"/>
      <c r="S104" s="1103"/>
      <c r="T104" s="1103"/>
      <c r="U104" s="1103"/>
      <c r="V104" s="1103"/>
      <c r="W104" s="1103"/>
      <c r="X104" s="1103"/>
      <c r="Y104" s="1103"/>
      <c r="Z104" s="1103"/>
    </row>
    <row r="105" spans="1:26" ht="12.75" customHeight="1" outlineLevel="1">
      <c r="A105" s="1098">
        <f t="shared" ref="A105:A137" si="9">A104+1</f>
        <v>2</v>
      </c>
      <c r="B105" s="1051" t="s">
        <v>3428</v>
      </c>
      <c r="C105" s="1119" t="s">
        <v>3342</v>
      </c>
      <c r="D105" s="1113" t="s">
        <v>122</v>
      </c>
      <c r="E105" s="1120"/>
      <c r="F105" s="1073" t="s">
        <v>3384</v>
      </c>
      <c r="G105" s="1035" t="s">
        <v>3431</v>
      </c>
      <c r="H105" s="1120"/>
      <c r="I105" s="1116">
        <v>206</v>
      </c>
      <c r="J105" s="1122">
        <v>0.3</v>
      </c>
      <c r="K105" s="1118">
        <f t="shared" si="8"/>
        <v>61.8</v>
      </c>
      <c r="L105" s="1103" t="s">
        <v>3432</v>
      </c>
      <c r="M105" s="1103"/>
      <c r="N105" s="1103"/>
      <c r="O105" s="1103"/>
      <c r="P105" s="1103"/>
      <c r="Q105" s="1103"/>
      <c r="R105" s="1103"/>
      <c r="S105" s="1103"/>
      <c r="T105" s="1103"/>
      <c r="U105" s="1103"/>
      <c r="V105" s="1103"/>
      <c r="W105" s="1103"/>
      <c r="X105" s="1103"/>
      <c r="Y105" s="1103"/>
      <c r="Z105" s="1103"/>
    </row>
    <row r="106" spans="1:26" ht="12.75" customHeight="1" outlineLevel="1">
      <c r="A106" s="1098">
        <f t="shared" si="9"/>
        <v>3</v>
      </c>
      <c r="B106" s="1051" t="s">
        <v>3428</v>
      </c>
      <c r="C106" s="1119" t="s">
        <v>3342</v>
      </c>
      <c r="D106" s="1113" t="s">
        <v>122</v>
      </c>
      <c r="E106" s="1120"/>
      <c r="F106" s="1073" t="s">
        <v>3384</v>
      </c>
      <c r="G106" s="1035" t="s">
        <v>3433</v>
      </c>
      <c r="H106" s="1121" t="s">
        <v>3563</v>
      </c>
      <c r="I106" s="1116">
        <v>0</v>
      </c>
      <c r="J106" s="1122">
        <v>0.3</v>
      </c>
      <c r="K106" s="1118">
        <f t="shared" si="8"/>
        <v>0</v>
      </c>
      <c r="L106" s="1103" t="s">
        <v>3434</v>
      </c>
      <c r="M106" s="1103"/>
      <c r="N106" s="1103"/>
      <c r="O106" s="1103"/>
      <c r="P106" s="1103"/>
      <c r="Q106" s="1103"/>
      <c r="R106" s="1103"/>
      <c r="S106" s="1103"/>
      <c r="T106" s="1103"/>
      <c r="U106" s="1103"/>
      <c r="V106" s="1103"/>
      <c r="W106" s="1103"/>
      <c r="X106" s="1103"/>
      <c r="Y106" s="1103"/>
      <c r="Z106" s="1103"/>
    </row>
    <row r="107" spans="1:26" ht="12.75" customHeight="1" outlineLevel="1">
      <c r="A107" s="1098">
        <f t="shared" si="9"/>
        <v>4</v>
      </c>
      <c r="B107" s="1051" t="s">
        <v>3428</v>
      </c>
      <c r="C107" s="1119" t="s">
        <v>3342</v>
      </c>
      <c r="D107" s="1113" t="s">
        <v>122</v>
      </c>
      <c r="E107" s="1120"/>
      <c r="F107" s="1073" t="s">
        <v>3384</v>
      </c>
      <c r="G107" s="1035" t="s">
        <v>3435</v>
      </c>
      <c r="H107" s="1120"/>
      <c r="I107" s="1116">
        <f>25*2</f>
        <v>50</v>
      </c>
      <c r="J107" s="1122">
        <v>0.3</v>
      </c>
      <c r="K107" s="1118">
        <f t="shared" si="8"/>
        <v>15</v>
      </c>
      <c r="L107" s="1103"/>
      <c r="M107" s="1103"/>
      <c r="N107" s="1103"/>
      <c r="O107" s="1103"/>
      <c r="P107" s="1103"/>
      <c r="Q107" s="1103"/>
      <c r="R107" s="1103"/>
      <c r="S107" s="1103"/>
      <c r="T107" s="1103"/>
      <c r="U107" s="1103"/>
      <c r="V107" s="1103"/>
      <c r="W107" s="1103"/>
      <c r="X107" s="1103"/>
      <c r="Y107" s="1103"/>
      <c r="Z107" s="1103"/>
    </row>
    <row r="108" spans="1:26" ht="12.75" customHeight="1" outlineLevel="1">
      <c r="A108" s="1098">
        <f t="shared" si="9"/>
        <v>5</v>
      </c>
      <c r="B108" s="1051" t="s">
        <v>3428</v>
      </c>
      <c r="C108" s="1119" t="s">
        <v>3342</v>
      </c>
      <c r="D108" s="1113" t="s">
        <v>122</v>
      </c>
      <c r="E108" s="1120"/>
      <c r="F108" s="1073" t="s">
        <v>3384</v>
      </c>
      <c r="G108" s="1035" t="s">
        <v>3436</v>
      </c>
      <c r="H108" s="1120"/>
      <c r="I108" s="1116">
        <v>210</v>
      </c>
      <c r="J108" s="1122">
        <v>0.3</v>
      </c>
      <c r="K108" s="1118">
        <f t="shared" si="8"/>
        <v>63</v>
      </c>
      <c r="L108" s="1103"/>
      <c r="M108" s="1103"/>
      <c r="N108" s="1103"/>
      <c r="O108" s="1103"/>
      <c r="P108" s="1103"/>
      <c r="Q108" s="1103"/>
      <c r="R108" s="1103"/>
      <c r="S108" s="1103"/>
      <c r="T108" s="1103"/>
      <c r="U108" s="1103"/>
      <c r="V108" s="1103"/>
      <c r="W108" s="1103"/>
      <c r="X108" s="1103"/>
      <c r="Y108" s="1103"/>
      <c r="Z108" s="1103"/>
    </row>
    <row r="109" spans="1:26" ht="12.75" customHeight="1" outlineLevel="1">
      <c r="A109" s="1098">
        <f t="shared" si="9"/>
        <v>6</v>
      </c>
      <c r="B109" s="1051" t="s">
        <v>3428</v>
      </c>
      <c r="C109" s="1119" t="s">
        <v>3342</v>
      </c>
      <c r="D109" s="1113" t="s">
        <v>122</v>
      </c>
      <c r="E109" s="1120"/>
      <c r="F109" s="1073" t="s">
        <v>3384</v>
      </c>
      <c r="G109" s="1035" t="s">
        <v>3522</v>
      </c>
      <c r="H109" s="1120"/>
      <c r="I109" s="1116">
        <v>0</v>
      </c>
      <c r="J109" s="1122">
        <v>0</v>
      </c>
      <c r="K109" s="1118">
        <f t="shared" si="8"/>
        <v>0</v>
      </c>
      <c r="L109" s="1124"/>
      <c r="M109" s="1124"/>
      <c r="N109" s="1124"/>
      <c r="O109" s="1124"/>
      <c r="P109" s="1124"/>
      <c r="Q109" s="1124"/>
      <c r="R109" s="1124"/>
      <c r="S109" s="1124"/>
      <c r="T109" s="1124"/>
      <c r="U109" s="1124"/>
      <c r="V109" s="1124"/>
      <c r="W109" s="1124"/>
      <c r="X109" s="1124"/>
      <c r="Y109" s="1124"/>
      <c r="Z109" s="1124"/>
    </row>
    <row r="110" spans="1:26" ht="12.75" customHeight="1" outlineLevel="1">
      <c r="A110" s="1098">
        <f t="shared" si="9"/>
        <v>7</v>
      </c>
      <c r="B110" s="1051" t="s">
        <v>3428</v>
      </c>
      <c r="C110" s="1119" t="s">
        <v>3342</v>
      </c>
      <c r="D110" s="1113" t="s">
        <v>122</v>
      </c>
      <c r="E110" s="1120"/>
      <c r="F110" s="1073" t="s">
        <v>3384</v>
      </c>
      <c r="G110" s="1035" t="s">
        <v>3438</v>
      </c>
      <c r="H110" s="1120"/>
      <c r="I110" s="1116">
        <v>290</v>
      </c>
      <c r="J110" s="1122">
        <v>0.3</v>
      </c>
      <c r="K110" s="1118">
        <f t="shared" si="8"/>
        <v>87</v>
      </c>
      <c r="L110" s="1124"/>
      <c r="M110" s="1124"/>
      <c r="N110" s="1124"/>
      <c r="O110" s="1124"/>
      <c r="P110" s="1124"/>
      <c r="Q110" s="1124"/>
      <c r="R110" s="1124"/>
      <c r="S110" s="1124"/>
      <c r="T110" s="1124"/>
      <c r="U110" s="1124"/>
      <c r="V110" s="1124"/>
      <c r="W110" s="1124"/>
      <c r="X110" s="1124"/>
      <c r="Y110" s="1124"/>
      <c r="Z110" s="1124"/>
    </row>
    <row r="111" spans="1:26" ht="12.75" customHeight="1" outlineLevel="1">
      <c r="A111" s="1098">
        <f t="shared" si="9"/>
        <v>8</v>
      </c>
      <c r="B111" s="1051" t="s">
        <v>3428</v>
      </c>
      <c r="C111" s="1119" t="s">
        <v>3342</v>
      </c>
      <c r="D111" s="1113" t="s">
        <v>122</v>
      </c>
      <c r="E111" s="1120"/>
      <c r="F111" s="1073" t="s">
        <v>3384</v>
      </c>
      <c r="G111" s="1035" t="s">
        <v>3439</v>
      </c>
      <c r="H111" s="1120"/>
      <c r="I111" s="1116">
        <v>400</v>
      </c>
      <c r="J111" s="1122">
        <v>0.3</v>
      </c>
      <c r="K111" s="1118">
        <f t="shared" si="8"/>
        <v>120</v>
      </c>
      <c r="L111" s="1124"/>
      <c r="M111" s="1124"/>
      <c r="N111" s="1124"/>
      <c r="O111" s="1124"/>
      <c r="P111" s="1124"/>
      <c r="Q111" s="1124"/>
      <c r="R111" s="1124"/>
      <c r="S111" s="1124"/>
      <c r="T111" s="1124"/>
      <c r="U111" s="1124"/>
      <c r="V111" s="1124"/>
      <c r="W111" s="1124"/>
      <c r="X111" s="1124"/>
      <c r="Y111" s="1124"/>
      <c r="Z111" s="1124"/>
    </row>
    <row r="112" spans="1:26" ht="12.75" customHeight="1" outlineLevel="1">
      <c r="A112" s="1098">
        <f t="shared" si="9"/>
        <v>9</v>
      </c>
      <c r="B112" s="1125" t="s">
        <v>3428</v>
      </c>
      <c r="C112" s="1126" t="s">
        <v>3342</v>
      </c>
      <c r="D112" s="1127" t="s">
        <v>122</v>
      </c>
      <c r="E112" s="1128"/>
      <c r="F112" s="1129" t="s">
        <v>3384</v>
      </c>
      <c r="G112" s="1130" t="s">
        <v>3440</v>
      </c>
      <c r="H112" s="1128"/>
      <c r="I112" s="1116">
        <v>96</v>
      </c>
      <c r="J112" s="1131">
        <v>0.3</v>
      </c>
      <c r="K112" s="1118">
        <f t="shared" si="8"/>
        <v>28.799999999999997</v>
      </c>
      <c r="L112" s="1124"/>
      <c r="M112" s="1124"/>
      <c r="N112" s="1124"/>
      <c r="O112" s="1124"/>
      <c r="P112" s="1124"/>
      <c r="Q112" s="1124"/>
      <c r="R112" s="1124"/>
      <c r="S112" s="1124"/>
      <c r="T112" s="1124"/>
      <c r="U112" s="1124"/>
      <c r="V112" s="1124"/>
      <c r="W112" s="1124"/>
      <c r="X112" s="1124"/>
      <c r="Y112" s="1124"/>
      <c r="Z112" s="1124"/>
    </row>
    <row r="113" spans="1:26" ht="12.75" customHeight="1" outlineLevel="1">
      <c r="A113" s="1098">
        <f t="shared" si="9"/>
        <v>10</v>
      </c>
      <c r="B113" s="1125" t="s">
        <v>3428</v>
      </c>
      <c r="C113" s="1126" t="s">
        <v>3342</v>
      </c>
      <c r="D113" s="1127" t="s">
        <v>122</v>
      </c>
      <c r="E113" s="1128"/>
      <c r="F113" s="1129" t="s">
        <v>3384</v>
      </c>
      <c r="G113" s="1130" t="s">
        <v>3441</v>
      </c>
      <c r="H113" s="1128"/>
      <c r="I113" s="1116">
        <f>170*2</f>
        <v>340</v>
      </c>
      <c r="J113" s="1131">
        <v>0.3</v>
      </c>
      <c r="K113" s="1118">
        <f t="shared" si="8"/>
        <v>102</v>
      </c>
      <c r="L113" s="1124"/>
      <c r="M113" s="1124"/>
      <c r="N113" s="1124"/>
      <c r="O113" s="1124"/>
      <c r="P113" s="1124"/>
      <c r="Q113" s="1124"/>
      <c r="R113" s="1124"/>
      <c r="S113" s="1124"/>
      <c r="T113" s="1124"/>
      <c r="U113" s="1124"/>
      <c r="V113" s="1124"/>
      <c r="W113" s="1124"/>
      <c r="X113" s="1124"/>
      <c r="Y113" s="1124"/>
      <c r="Z113" s="1124"/>
    </row>
    <row r="114" spans="1:26" ht="12.75" customHeight="1" outlineLevel="1">
      <c r="A114" s="1098">
        <f t="shared" si="9"/>
        <v>11</v>
      </c>
      <c r="B114" s="1125" t="s">
        <v>3428</v>
      </c>
      <c r="C114" s="1126" t="s">
        <v>3342</v>
      </c>
      <c r="D114" s="1127" t="s">
        <v>122</v>
      </c>
      <c r="E114" s="1128"/>
      <c r="F114" s="1129" t="s">
        <v>3384</v>
      </c>
      <c r="G114" s="1130" t="s">
        <v>3442</v>
      </c>
      <c r="H114" s="1128"/>
      <c r="I114" s="1116">
        <f>324*2</f>
        <v>648</v>
      </c>
      <c r="J114" s="1131">
        <v>0.3</v>
      </c>
      <c r="K114" s="1118">
        <f t="shared" si="8"/>
        <v>194.4</v>
      </c>
      <c r="L114" s="1124"/>
      <c r="M114" s="1124"/>
      <c r="N114" s="1124"/>
      <c r="O114" s="1124"/>
      <c r="P114" s="1124"/>
      <c r="Q114" s="1124"/>
      <c r="R114" s="1124"/>
      <c r="S114" s="1124"/>
      <c r="T114" s="1124"/>
      <c r="U114" s="1124"/>
      <c r="V114" s="1124"/>
      <c r="W114" s="1124"/>
      <c r="X114" s="1124"/>
      <c r="Y114" s="1124"/>
      <c r="Z114" s="1124"/>
    </row>
    <row r="115" spans="1:26" ht="12.75" customHeight="1" outlineLevel="1">
      <c r="A115" s="1098">
        <f t="shared" si="9"/>
        <v>12</v>
      </c>
      <c r="B115" s="1125" t="s">
        <v>3428</v>
      </c>
      <c r="C115" s="1126" t="s">
        <v>3342</v>
      </c>
      <c r="D115" s="1127" t="s">
        <v>122</v>
      </c>
      <c r="E115" s="1132"/>
      <c r="F115" s="1129" t="s">
        <v>3384</v>
      </c>
      <c r="G115" s="1130" t="s">
        <v>3443</v>
      </c>
      <c r="H115" s="1128"/>
      <c r="I115" s="1116">
        <v>54</v>
      </c>
      <c r="J115" s="1131">
        <v>0.3</v>
      </c>
      <c r="K115" s="1118">
        <f t="shared" si="8"/>
        <v>16.2</v>
      </c>
      <c r="L115" s="1124"/>
      <c r="M115" s="1124"/>
      <c r="N115" s="1124"/>
      <c r="O115" s="1124"/>
      <c r="P115" s="1124"/>
      <c r="Q115" s="1124"/>
      <c r="R115" s="1124"/>
      <c r="S115" s="1124"/>
      <c r="T115" s="1124"/>
      <c r="U115" s="1124"/>
      <c r="V115" s="1124"/>
      <c r="W115" s="1124"/>
      <c r="X115" s="1124"/>
      <c r="Y115" s="1124"/>
      <c r="Z115" s="1124"/>
    </row>
    <row r="116" spans="1:26" ht="12.75" customHeight="1" outlineLevel="1">
      <c r="A116" s="1098">
        <f t="shared" si="9"/>
        <v>13</v>
      </c>
      <c r="B116" s="1125" t="s">
        <v>3428</v>
      </c>
      <c r="C116" s="1126" t="s">
        <v>3342</v>
      </c>
      <c r="D116" s="1127" t="s">
        <v>122</v>
      </c>
      <c r="E116" s="1132"/>
      <c r="F116" s="1129" t="s">
        <v>3384</v>
      </c>
      <c r="G116" s="1130" t="s">
        <v>3565</v>
      </c>
      <c r="H116" s="1121" t="s">
        <v>3563</v>
      </c>
      <c r="I116" s="1116">
        <v>0</v>
      </c>
      <c r="J116" s="1131">
        <v>0</v>
      </c>
      <c r="K116" s="1118">
        <f t="shared" si="8"/>
        <v>0</v>
      </c>
      <c r="L116" s="1124"/>
      <c r="M116" s="1124"/>
      <c r="N116" s="1124"/>
      <c r="O116" s="1124"/>
      <c r="P116" s="1124"/>
      <c r="Q116" s="1124"/>
      <c r="R116" s="1124"/>
      <c r="S116" s="1124"/>
      <c r="T116" s="1124"/>
      <c r="U116" s="1124"/>
      <c r="V116" s="1124"/>
      <c r="W116" s="1124"/>
      <c r="X116" s="1124"/>
      <c r="Y116" s="1124"/>
      <c r="Z116" s="1124"/>
    </row>
    <row r="117" spans="1:26" ht="12.75" customHeight="1" outlineLevel="1">
      <c r="A117" s="1098">
        <f t="shared" si="9"/>
        <v>14</v>
      </c>
      <c r="B117" s="1125" t="s">
        <v>3428</v>
      </c>
      <c r="C117" s="1126" t="s">
        <v>3342</v>
      </c>
      <c r="D117" s="1127" t="s">
        <v>122</v>
      </c>
      <c r="E117" s="1128"/>
      <c r="F117" s="1129" t="s">
        <v>3384</v>
      </c>
      <c r="G117" s="1130" t="s">
        <v>3444</v>
      </c>
      <c r="H117" s="1128"/>
      <c r="I117" s="1116">
        <v>314</v>
      </c>
      <c r="J117" s="1131">
        <v>0.3</v>
      </c>
      <c r="K117" s="1118">
        <f t="shared" si="8"/>
        <v>94.2</v>
      </c>
      <c r="L117" s="1124"/>
      <c r="M117" s="1124"/>
      <c r="N117" s="1124"/>
      <c r="O117" s="1124"/>
      <c r="P117" s="1124"/>
      <c r="Q117" s="1124"/>
      <c r="R117" s="1124"/>
      <c r="S117" s="1124"/>
      <c r="T117" s="1124"/>
      <c r="U117" s="1124"/>
      <c r="V117" s="1124"/>
      <c r="W117" s="1124"/>
      <c r="X117" s="1124"/>
      <c r="Y117" s="1124"/>
      <c r="Z117" s="1124"/>
    </row>
    <row r="118" spans="1:26" ht="12.75" customHeight="1" outlineLevel="1">
      <c r="A118" s="1098">
        <f t="shared" si="9"/>
        <v>15</v>
      </c>
      <c r="B118" s="1125" t="s">
        <v>3428</v>
      </c>
      <c r="C118" s="1126" t="s">
        <v>3342</v>
      </c>
      <c r="D118" s="1127" t="s">
        <v>122</v>
      </c>
      <c r="E118" s="1128"/>
      <c r="F118" s="1129" t="s">
        <v>3384</v>
      </c>
      <c r="G118" s="1130" t="s">
        <v>3446</v>
      </c>
      <c r="H118" s="1121" t="s">
        <v>3563</v>
      </c>
      <c r="I118" s="1116">
        <v>0</v>
      </c>
      <c r="J118" s="1131">
        <v>0</v>
      </c>
      <c r="K118" s="1118">
        <f t="shared" si="8"/>
        <v>0</v>
      </c>
      <c r="L118" s="1124"/>
      <c r="M118" s="1124"/>
      <c r="N118" s="1124"/>
      <c r="O118" s="1124"/>
      <c r="P118" s="1124"/>
      <c r="Q118" s="1124"/>
      <c r="R118" s="1124"/>
      <c r="S118" s="1124"/>
      <c r="T118" s="1124"/>
      <c r="U118" s="1124"/>
      <c r="V118" s="1124"/>
      <c r="W118" s="1124"/>
      <c r="X118" s="1124"/>
      <c r="Y118" s="1124"/>
      <c r="Z118" s="1124"/>
    </row>
    <row r="119" spans="1:26" ht="12.75" customHeight="1" outlineLevel="1">
      <c r="A119" s="1098">
        <f t="shared" si="9"/>
        <v>16</v>
      </c>
      <c r="B119" s="1125" t="s">
        <v>3428</v>
      </c>
      <c r="C119" s="1126" t="s">
        <v>3342</v>
      </c>
      <c r="D119" s="1127" t="s">
        <v>122</v>
      </c>
      <c r="E119" s="1128"/>
      <c r="F119" s="1129" t="s">
        <v>3384</v>
      </c>
      <c r="G119" s="1130" t="s">
        <v>3447</v>
      </c>
      <c r="H119" s="1121" t="s">
        <v>3563</v>
      </c>
      <c r="I119" s="1116">
        <v>0</v>
      </c>
      <c r="J119" s="1131">
        <v>0</v>
      </c>
      <c r="K119" s="1118">
        <f t="shared" si="8"/>
        <v>0</v>
      </c>
      <c r="L119" s="1124"/>
      <c r="M119" s="1124"/>
      <c r="N119" s="1124"/>
      <c r="O119" s="1124"/>
      <c r="P119" s="1124"/>
      <c r="Q119" s="1124"/>
      <c r="R119" s="1124"/>
      <c r="S119" s="1124"/>
      <c r="T119" s="1124"/>
      <c r="U119" s="1124"/>
      <c r="V119" s="1124"/>
      <c r="W119" s="1124"/>
      <c r="X119" s="1124"/>
      <c r="Y119" s="1124"/>
      <c r="Z119" s="1124"/>
    </row>
    <row r="120" spans="1:26" ht="12.75" customHeight="1" outlineLevel="1">
      <c r="A120" s="1098">
        <f t="shared" si="9"/>
        <v>17</v>
      </c>
      <c r="B120" s="1125" t="s">
        <v>3428</v>
      </c>
      <c r="C120" s="1126" t="s">
        <v>3342</v>
      </c>
      <c r="D120" s="1127" t="s">
        <v>122</v>
      </c>
      <c r="E120" s="1128"/>
      <c r="F120" s="1129" t="s">
        <v>3384</v>
      </c>
      <c r="G120" s="1130" t="s">
        <v>3448</v>
      </c>
      <c r="H120" s="1128"/>
      <c r="I120" s="1116">
        <v>494</v>
      </c>
      <c r="J120" s="1131">
        <v>0.3</v>
      </c>
      <c r="K120" s="1118">
        <f t="shared" si="8"/>
        <v>148.19999999999999</v>
      </c>
      <c r="L120" s="1124"/>
      <c r="M120" s="1124"/>
      <c r="N120" s="1124"/>
      <c r="O120" s="1124"/>
      <c r="P120" s="1124"/>
      <c r="Q120" s="1124"/>
      <c r="R120" s="1124"/>
      <c r="S120" s="1124"/>
      <c r="T120" s="1124"/>
      <c r="U120" s="1124"/>
      <c r="V120" s="1124"/>
      <c r="W120" s="1124"/>
      <c r="X120" s="1124"/>
      <c r="Y120" s="1124"/>
      <c r="Z120" s="1124"/>
    </row>
    <row r="121" spans="1:26" ht="12.75" customHeight="1" outlineLevel="1">
      <c r="A121" s="1098">
        <f t="shared" si="9"/>
        <v>18</v>
      </c>
      <c r="B121" s="1125" t="s">
        <v>3428</v>
      </c>
      <c r="C121" s="1126" t="s">
        <v>3342</v>
      </c>
      <c r="D121" s="1127" t="s">
        <v>122</v>
      </c>
      <c r="E121" s="1128"/>
      <c r="F121" s="1129" t="s">
        <v>3384</v>
      </c>
      <c r="G121" s="1130" t="s">
        <v>3449</v>
      </c>
      <c r="H121" s="1128"/>
      <c r="I121" s="1116">
        <f>101*2</f>
        <v>202</v>
      </c>
      <c r="J121" s="1131">
        <v>0.3</v>
      </c>
      <c r="K121" s="1118">
        <f t="shared" si="8"/>
        <v>60.599999999999994</v>
      </c>
      <c r="L121" s="1124"/>
      <c r="M121" s="1124"/>
      <c r="N121" s="1124"/>
      <c r="O121" s="1124"/>
      <c r="P121" s="1124"/>
      <c r="Q121" s="1124"/>
      <c r="R121" s="1124"/>
      <c r="S121" s="1124"/>
      <c r="T121" s="1124"/>
      <c r="U121" s="1124"/>
      <c r="V121" s="1124"/>
      <c r="W121" s="1124"/>
      <c r="X121" s="1124"/>
      <c r="Y121" s="1124"/>
      <c r="Z121" s="1124"/>
    </row>
    <row r="122" spans="1:26" ht="12.75" customHeight="1" outlineLevel="1">
      <c r="A122" s="1098">
        <f t="shared" si="9"/>
        <v>19</v>
      </c>
      <c r="B122" s="1125" t="s">
        <v>3428</v>
      </c>
      <c r="C122" s="1126" t="s">
        <v>3342</v>
      </c>
      <c r="D122" s="1127" t="s">
        <v>122</v>
      </c>
      <c r="E122" s="1128"/>
      <c r="F122" s="1129" t="s">
        <v>3384</v>
      </c>
      <c r="G122" s="1130" t="s">
        <v>3450</v>
      </c>
      <c r="H122" s="1128"/>
      <c r="I122" s="1116">
        <f t="shared" ref="I122:I123" si="10">68*2</f>
        <v>136</v>
      </c>
      <c r="J122" s="1131">
        <v>0.3</v>
      </c>
      <c r="K122" s="1118">
        <f t="shared" si="8"/>
        <v>40.799999999999997</v>
      </c>
      <c r="L122" s="1124"/>
      <c r="M122" s="1124"/>
      <c r="N122" s="1124"/>
      <c r="O122" s="1124"/>
      <c r="P122" s="1124"/>
      <c r="Q122" s="1124"/>
      <c r="R122" s="1124"/>
      <c r="S122" s="1124"/>
      <c r="T122" s="1124"/>
      <c r="U122" s="1124"/>
      <c r="V122" s="1124"/>
      <c r="W122" s="1124"/>
      <c r="X122" s="1124"/>
      <c r="Y122" s="1124"/>
      <c r="Z122" s="1124"/>
    </row>
    <row r="123" spans="1:26" ht="12.75" customHeight="1" outlineLevel="1">
      <c r="A123" s="1098">
        <f t="shared" si="9"/>
        <v>20</v>
      </c>
      <c r="B123" s="1125" t="s">
        <v>3428</v>
      </c>
      <c r="C123" s="1126" t="s">
        <v>3342</v>
      </c>
      <c r="D123" s="1127" t="s">
        <v>122</v>
      </c>
      <c r="E123" s="1128"/>
      <c r="F123" s="1129" t="s">
        <v>3384</v>
      </c>
      <c r="G123" s="1130" t="s">
        <v>3451</v>
      </c>
      <c r="H123" s="1128"/>
      <c r="I123" s="1116">
        <f t="shared" si="10"/>
        <v>136</v>
      </c>
      <c r="J123" s="1131">
        <v>0.3</v>
      </c>
      <c r="K123" s="1118">
        <f t="shared" si="8"/>
        <v>40.799999999999997</v>
      </c>
      <c r="L123" s="1124"/>
      <c r="M123" s="1124"/>
      <c r="N123" s="1124"/>
      <c r="O123" s="1124"/>
      <c r="P123" s="1124"/>
      <c r="Q123" s="1124"/>
      <c r="R123" s="1124"/>
      <c r="S123" s="1124"/>
      <c r="T123" s="1124"/>
      <c r="U123" s="1124"/>
      <c r="V123" s="1124"/>
      <c r="W123" s="1124"/>
      <c r="X123" s="1124"/>
      <c r="Y123" s="1124"/>
      <c r="Z123" s="1124"/>
    </row>
    <row r="124" spans="1:26" ht="12.75" customHeight="1" outlineLevel="1">
      <c r="A124" s="1098">
        <f t="shared" si="9"/>
        <v>21</v>
      </c>
      <c r="B124" s="1125" t="s">
        <v>3428</v>
      </c>
      <c r="C124" s="1126" t="s">
        <v>3342</v>
      </c>
      <c r="D124" s="1127" t="s">
        <v>122</v>
      </c>
      <c r="E124" s="1128"/>
      <c r="F124" s="1129" t="s">
        <v>3384</v>
      </c>
      <c r="G124" s="1130" t="s">
        <v>3452</v>
      </c>
      <c r="H124" s="1128"/>
      <c r="I124" s="1116">
        <v>122</v>
      </c>
      <c r="J124" s="1131">
        <v>0.3</v>
      </c>
      <c r="K124" s="1118">
        <f t="shared" si="8"/>
        <v>36.6</v>
      </c>
      <c r="L124" s="1124"/>
      <c r="M124" s="1124"/>
      <c r="N124" s="1124"/>
      <c r="O124" s="1124"/>
      <c r="P124" s="1124"/>
      <c r="Q124" s="1124"/>
      <c r="R124" s="1124"/>
      <c r="S124" s="1124"/>
      <c r="T124" s="1124"/>
      <c r="U124" s="1124"/>
      <c r="V124" s="1124"/>
      <c r="W124" s="1124"/>
      <c r="X124" s="1124"/>
      <c r="Y124" s="1124"/>
      <c r="Z124" s="1124"/>
    </row>
    <row r="125" spans="1:26" ht="12.75" customHeight="1" outlineLevel="1">
      <c r="A125" s="1098">
        <f t="shared" si="9"/>
        <v>22</v>
      </c>
      <c r="B125" s="1125" t="s">
        <v>3428</v>
      </c>
      <c r="C125" s="1126" t="s">
        <v>3342</v>
      </c>
      <c r="D125" s="1127" t="s">
        <v>122</v>
      </c>
      <c r="E125" s="1128"/>
      <c r="F125" s="1129" t="s">
        <v>3384</v>
      </c>
      <c r="G125" s="1130" t="s">
        <v>3453</v>
      </c>
      <c r="H125" s="1133"/>
      <c r="I125" s="1116">
        <v>286</v>
      </c>
      <c r="J125" s="1131">
        <v>0.3</v>
      </c>
      <c r="K125" s="1118">
        <f t="shared" si="8"/>
        <v>85.8</v>
      </c>
      <c r="L125" s="1124"/>
      <c r="M125" s="1124"/>
      <c r="N125" s="1124"/>
      <c r="O125" s="1124"/>
      <c r="P125" s="1124"/>
      <c r="Q125" s="1124"/>
      <c r="R125" s="1124"/>
      <c r="S125" s="1124"/>
      <c r="T125" s="1124"/>
      <c r="U125" s="1124"/>
      <c r="V125" s="1124"/>
      <c r="W125" s="1124"/>
      <c r="X125" s="1124"/>
      <c r="Y125" s="1124"/>
      <c r="Z125" s="1124"/>
    </row>
    <row r="126" spans="1:26" ht="12.75" customHeight="1" outlineLevel="1">
      <c r="A126" s="1098">
        <f t="shared" si="9"/>
        <v>23</v>
      </c>
      <c r="B126" s="1125" t="s">
        <v>3428</v>
      </c>
      <c r="C126" s="1126" t="s">
        <v>3342</v>
      </c>
      <c r="D126" s="1127" t="s">
        <v>122</v>
      </c>
      <c r="E126" s="1128"/>
      <c r="F126" s="1129" t="s">
        <v>3384</v>
      </c>
      <c r="G126" s="1130" t="s">
        <v>3454</v>
      </c>
      <c r="H126" s="1128"/>
      <c r="I126" s="1116">
        <v>0</v>
      </c>
      <c r="J126" s="1131">
        <v>0</v>
      </c>
      <c r="K126" s="1118">
        <f t="shared" si="8"/>
        <v>0</v>
      </c>
      <c r="L126" s="1124"/>
      <c r="M126" s="1124"/>
      <c r="N126" s="1124"/>
      <c r="O126" s="1124"/>
      <c r="P126" s="1124"/>
      <c r="Q126" s="1124"/>
      <c r="R126" s="1124"/>
      <c r="S126" s="1124"/>
      <c r="T126" s="1124"/>
      <c r="U126" s="1124"/>
      <c r="V126" s="1124"/>
      <c r="W126" s="1124"/>
      <c r="X126" s="1124"/>
      <c r="Y126" s="1124"/>
      <c r="Z126" s="1124"/>
    </row>
    <row r="127" spans="1:26" ht="12.75" customHeight="1" outlineLevel="1">
      <c r="A127" s="1098">
        <f t="shared" si="9"/>
        <v>24</v>
      </c>
      <c r="B127" s="1125" t="s">
        <v>3428</v>
      </c>
      <c r="C127" s="1126" t="s">
        <v>3342</v>
      </c>
      <c r="D127" s="1127" t="s">
        <v>122</v>
      </c>
      <c r="E127" s="1128"/>
      <c r="F127" s="1129" t="s">
        <v>3384</v>
      </c>
      <c r="G127" s="1130" t="s">
        <v>3455</v>
      </c>
      <c r="H127" s="1128"/>
      <c r="I127" s="1116">
        <f>161+220</f>
        <v>381</v>
      </c>
      <c r="J127" s="1131">
        <v>0.3</v>
      </c>
      <c r="K127" s="1118">
        <f t="shared" si="8"/>
        <v>114.3</v>
      </c>
      <c r="L127" s="1124"/>
      <c r="M127" s="1124"/>
      <c r="N127" s="1124"/>
      <c r="O127" s="1124"/>
      <c r="P127" s="1124"/>
      <c r="Q127" s="1124"/>
      <c r="R127" s="1124"/>
      <c r="S127" s="1124"/>
      <c r="T127" s="1124"/>
      <c r="U127" s="1124"/>
      <c r="V127" s="1124"/>
      <c r="W127" s="1124"/>
      <c r="X127" s="1124"/>
      <c r="Y127" s="1124"/>
      <c r="Z127" s="1124"/>
    </row>
    <row r="128" spans="1:26" ht="16.5" customHeight="1" outlineLevel="1">
      <c r="A128" s="1098">
        <f t="shared" si="9"/>
        <v>25</v>
      </c>
      <c r="B128" s="1125" t="s">
        <v>3428</v>
      </c>
      <c r="C128" s="1126" t="s">
        <v>3342</v>
      </c>
      <c r="D128" s="1127" t="s">
        <v>122</v>
      </c>
      <c r="E128" s="1128"/>
      <c r="F128" s="1129" t="s">
        <v>3384</v>
      </c>
      <c r="G128" s="1130" t="s">
        <v>3456</v>
      </c>
      <c r="H128" s="1128"/>
      <c r="I128" s="1116">
        <v>340</v>
      </c>
      <c r="J128" s="1131">
        <v>0.3</v>
      </c>
      <c r="K128" s="1118">
        <f t="shared" si="8"/>
        <v>102</v>
      </c>
      <c r="L128" s="1134"/>
      <c r="M128" s="1030"/>
      <c r="N128" s="1030"/>
      <c r="O128" s="1030"/>
      <c r="P128" s="1030"/>
      <c r="Q128" s="1030"/>
      <c r="R128" s="1030"/>
      <c r="S128" s="1030"/>
      <c r="T128" s="1030"/>
      <c r="U128" s="1030"/>
      <c r="V128" s="1030"/>
      <c r="W128" s="1030"/>
      <c r="X128" s="1030"/>
      <c r="Y128" s="1030"/>
      <c r="Z128" s="1030"/>
    </row>
    <row r="129" spans="1:26" ht="16.5" customHeight="1" outlineLevel="1">
      <c r="A129" s="1098">
        <f t="shared" si="9"/>
        <v>26</v>
      </c>
      <c r="B129" s="1125" t="s">
        <v>3428</v>
      </c>
      <c r="C129" s="1126" t="s">
        <v>3342</v>
      </c>
      <c r="D129" s="1127" t="s">
        <v>122</v>
      </c>
      <c r="E129" s="1128"/>
      <c r="F129" s="1129" t="s">
        <v>3384</v>
      </c>
      <c r="G129" s="1130" t="s">
        <v>3457</v>
      </c>
      <c r="H129" s="1128"/>
      <c r="I129" s="1116">
        <v>578</v>
      </c>
      <c r="J129" s="1131">
        <v>0.3</v>
      </c>
      <c r="K129" s="1118">
        <f t="shared" si="8"/>
        <v>173.4</v>
      </c>
      <c r="L129" s="1134"/>
      <c r="M129" s="1030"/>
      <c r="N129" s="1030"/>
      <c r="O129" s="1030"/>
      <c r="P129" s="1030"/>
      <c r="Q129" s="1030"/>
      <c r="R129" s="1030"/>
      <c r="S129" s="1030"/>
      <c r="T129" s="1030"/>
      <c r="U129" s="1030"/>
      <c r="V129" s="1030"/>
      <c r="W129" s="1030"/>
      <c r="X129" s="1030"/>
      <c r="Y129" s="1030"/>
      <c r="Z129" s="1030"/>
    </row>
    <row r="130" spans="1:26" ht="60" customHeight="1" outlineLevel="1">
      <c r="A130" s="1098">
        <f t="shared" si="9"/>
        <v>27</v>
      </c>
      <c r="B130" s="1125" t="s">
        <v>3428</v>
      </c>
      <c r="C130" s="1126" t="s">
        <v>3342</v>
      </c>
      <c r="D130" s="1127" t="s">
        <v>122</v>
      </c>
      <c r="E130" s="1128"/>
      <c r="F130" s="1129" t="s">
        <v>3384</v>
      </c>
      <c r="G130" s="1130" t="s">
        <v>3458</v>
      </c>
      <c r="H130" s="1133" t="s">
        <v>3459</v>
      </c>
      <c r="I130" s="1133"/>
      <c r="J130" s="1135"/>
      <c r="K130" s="1118">
        <v>102.38</v>
      </c>
      <c r="L130" s="1030"/>
      <c r="M130" s="1030"/>
      <c r="N130" s="1030"/>
      <c r="O130" s="1030"/>
      <c r="P130" s="1030"/>
      <c r="Q130" s="1030"/>
      <c r="R130" s="1030"/>
      <c r="S130" s="1030"/>
      <c r="T130" s="1030"/>
      <c r="U130" s="1030"/>
      <c r="V130" s="1030"/>
      <c r="W130" s="1030"/>
      <c r="X130" s="1030"/>
      <c r="Y130" s="1030"/>
      <c r="Z130" s="1030"/>
    </row>
    <row r="131" spans="1:26" ht="16.5" customHeight="1" outlineLevel="1">
      <c r="A131" s="1098">
        <f t="shared" si="9"/>
        <v>28</v>
      </c>
      <c r="B131" s="1051" t="s">
        <v>3428</v>
      </c>
      <c r="C131" s="1066" t="s">
        <v>3342</v>
      </c>
      <c r="D131" s="1113" t="s">
        <v>122</v>
      </c>
      <c r="E131" s="1136"/>
      <c r="F131" s="1073" t="s">
        <v>3384</v>
      </c>
      <c r="G131" s="1035" t="s">
        <v>3460</v>
      </c>
      <c r="H131" s="1137" t="s">
        <v>3461</v>
      </c>
      <c r="I131" s="1138"/>
      <c r="J131" s="1139"/>
      <c r="K131" s="1118">
        <v>159.80000000000001</v>
      </c>
      <c r="L131" s="1134"/>
      <c r="M131" s="1030"/>
      <c r="N131" s="1030"/>
      <c r="O131" s="1030"/>
      <c r="P131" s="1030"/>
      <c r="Q131" s="1030"/>
      <c r="R131" s="1030"/>
      <c r="S131" s="1030"/>
      <c r="T131" s="1030"/>
      <c r="U131" s="1030"/>
      <c r="V131" s="1030"/>
      <c r="W131" s="1030"/>
      <c r="X131" s="1030"/>
      <c r="Y131" s="1030"/>
      <c r="Z131" s="1030"/>
    </row>
    <row r="132" spans="1:26" ht="25.5" outlineLevel="1">
      <c r="A132" s="1098">
        <f t="shared" si="9"/>
        <v>29</v>
      </c>
      <c r="B132" s="1051" t="s">
        <v>3462</v>
      </c>
      <c r="C132" s="1066" t="s">
        <v>3342</v>
      </c>
      <c r="D132" s="1113" t="s">
        <v>122</v>
      </c>
      <c r="E132" s="1136"/>
      <c r="F132" s="1073" t="s">
        <v>3384</v>
      </c>
      <c r="G132" s="1035" t="s">
        <v>3463</v>
      </c>
      <c r="H132" s="1137" t="s">
        <v>3566</v>
      </c>
      <c r="I132" s="1137" t="s">
        <v>3567</v>
      </c>
      <c r="J132" s="1139"/>
      <c r="K132" s="1118">
        <f>383/300*133</f>
        <v>169.79666666666665</v>
      </c>
      <c r="L132" s="1134"/>
      <c r="M132" s="1030"/>
      <c r="N132" s="1030"/>
      <c r="O132" s="1030"/>
      <c r="P132" s="1030"/>
      <c r="Q132" s="1030"/>
      <c r="R132" s="1030"/>
      <c r="S132" s="1030"/>
      <c r="T132" s="1030"/>
      <c r="U132" s="1030"/>
      <c r="V132" s="1030"/>
      <c r="W132" s="1030"/>
      <c r="X132" s="1030"/>
      <c r="Y132" s="1030"/>
      <c r="Z132" s="1030"/>
    </row>
    <row r="133" spans="1:26" ht="51" outlineLevel="1">
      <c r="A133" s="1098">
        <f t="shared" si="9"/>
        <v>30</v>
      </c>
      <c r="B133" s="1051" t="s">
        <v>3466</v>
      </c>
      <c r="C133" s="1066" t="s">
        <v>3342</v>
      </c>
      <c r="D133" s="1113" t="s">
        <v>122</v>
      </c>
      <c r="E133" s="1136"/>
      <c r="F133" s="1142" t="s">
        <v>3384</v>
      </c>
      <c r="G133" s="1035" t="s">
        <v>3467</v>
      </c>
      <c r="H133" s="1137" t="s">
        <v>3568</v>
      </c>
      <c r="I133" s="1143" t="s">
        <v>3569</v>
      </c>
      <c r="J133" s="1139"/>
      <c r="K133" s="1118">
        <f>8926+3240.91+2371.82+118.18+93</f>
        <v>14749.91</v>
      </c>
      <c r="L133" s="1103"/>
      <c r="M133" s="1030"/>
      <c r="N133" s="1030"/>
      <c r="O133" s="1030"/>
      <c r="P133" s="1030"/>
      <c r="Q133" s="1030"/>
      <c r="R133" s="1030"/>
      <c r="S133" s="1030"/>
      <c r="T133" s="1030"/>
      <c r="U133" s="1030"/>
      <c r="V133" s="1030"/>
      <c r="W133" s="1030"/>
      <c r="X133" s="1030"/>
      <c r="Y133" s="1030"/>
      <c r="Z133" s="1030"/>
    </row>
    <row r="134" spans="1:26" ht="25.5" customHeight="1" outlineLevel="1">
      <c r="A134" s="1098">
        <f t="shared" si="9"/>
        <v>31</v>
      </c>
      <c r="B134" s="1051" t="s">
        <v>3470</v>
      </c>
      <c r="C134" s="1066" t="s">
        <v>3342</v>
      </c>
      <c r="D134" s="1113" t="s">
        <v>122</v>
      </c>
      <c r="E134" s="1136"/>
      <c r="F134" s="1073" t="s">
        <v>3384</v>
      </c>
      <c r="G134" s="1035" t="s">
        <v>3471</v>
      </c>
      <c r="H134" s="1137" t="s">
        <v>3570</v>
      </c>
      <c r="I134" s="1143"/>
      <c r="J134" s="1139"/>
      <c r="K134" s="1118">
        <v>1850</v>
      </c>
      <c r="L134" s="1134"/>
      <c r="M134" s="1030"/>
      <c r="N134" s="1030"/>
      <c r="O134" s="1030"/>
      <c r="P134" s="1030"/>
      <c r="Q134" s="1030"/>
      <c r="R134" s="1030"/>
      <c r="S134" s="1030"/>
      <c r="T134" s="1030"/>
      <c r="U134" s="1030"/>
      <c r="V134" s="1030"/>
      <c r="W134" s="1030"/>
      <c r="X134" s="1030"/>
      <c r="Y134" s="1030"/>
      <c r="Z134" s="1030"/>
    </row>
    <row r="135" spans="1:26" ht="29.25" customHeight="1" outlineLevel="1">
      <c r="A135" s="1098">
        <f t="shared" si="9"/>
        <v>32</v>
      </c>
      <c r="B135" s="1144" t="s">
        <v>3473</v>
      </c>
      <c r="C135" s="1112" t="s">
        <v>3342</v>
      </c>
      <c r="D135" s="1113" t="s">
        <v>122</v>
      </c>
      <c r="E135" s="1114"/>
      <c r="F135" s="1145" t="s">
        <v>3384</v>
      </c>
      <c r="G135" s="1136" t="s">
        <v>3474</v>
      </c>
      <c r="H135" s="1137" t="s">
        <v>3571</v>
      </c>
      <c r="I135" s="1146"/>
      <c r="J135" s="1147"/>
      <c r="K135" s="1118">
        <v>2106</v>
      </c>
      <c r="L135" s="1134"/>
      <c r="M135" s="1030"/>
      <c r="N135" s="1030"/>
      <c r="O135" s="1030"/>
      <c r="P135" s="1030"/>
      <c r="Q135" s="1030"/>
      <c r="R135" s="1030"/>
      <c r="S135" s="1030"/>
      <c r="T135" s="1030"/>
      <c r="U135" s="1030"/>
      <c r="V135" s="1030"/>
      <c r="W135" s="1030"/>
      <c r="X135" s="1030"/>
      <c r="Y135" s="1030"/>
      <c r="Z135" s="1030"/>
    </row>
    <row r="136" spans="1:26" ht="38.25" outlineLevel="1">
      <c r="A136" s="1098">
        <f t="shared" si="9"/>
        <v>33</v>
      </c>
      <c r="B136" s="1051" t="s">
        <v>3473</v>
      </c>
      <c r="C136" s="1066" t="s">
        <v>3342</v>
      </c>
      <c r="D136" s="1113" t="s">
        <v>122</v>
      </c>
      <c r="E136" s="1136"/>
      <c r="F136" s="1073" t="s">
        <v>3384</v>
      </c>
      <c r="G136" s="1035" t="s">
        <v>3476</v>
      </c>
      <c r="H136" s="1137" t="s">
        <v>3477</v>
      </c>
      <c r="I136" s="1137" t="s">
        <v>3572</v>
      </c>
      <c r="J136" s="1139"/>
      <c r="K136" s="1118">
        <f>(1480.99/2000*500)+(500*0.52)</f>
        <v>630.24749999999995</v>
      </c>
      <c r="L136" s="1134"/>
      <c r="M136" s="1030"/>
      <c r="N136" s="1030"/>
      <c r="O136" s="1030"/>
      <c r="P136" s="1030"/>
      <c r="Q136" s="1030"/>
      <c r="R136" s="1030"/>
      <c r="S136" s="1030"/>
      <c r="T136" s="1030"/>
      <c r="U136" s="1030"/>
      <c r="V136" s="1030"/>
      <c r="W136" s="1030"/>
      <c r="X136" s="1030"/>
      <c r="Y136" s="1030"/>
      <c r="Z136" s="1030"/>
    </row>
    <row r="137" spans="1:26" ht="25.5" outlineLevel="1">
      <c r="A137" s="1098">
        <f t="shared" si="9"/>
        <v>34</v>
      </c>
      <c r="B137" s="1051" t="s">
        <v>3473</v>
      </c>
      <c r="C137" s="1112" t="s">
        <v>3342</v>
      </c>
      <c r="D137" s="1113" t="s">
        <v>122</v>
      </c>
      <c r="E137" s="1114"/>
      <c r="F137" s="1073" t="s">
        <v>3384</v>
      </c>
      <c r="G137" s="1136" t="s">
        <v>3479</v>
      </c>
      <c r="H137" s="1035" t="s">
        <v>3573</v>
      </c>
      <c r="I137" s="1035"/>
      <c r="J137" s="1147"/>
      <c r="K137" s="1118">
        <v>997.28</v>
      </c>
      <c r="L137" s="1134"/>
      <c r="M137" s="1030"/>
      <c r="N137" s="1030"/>
      <c r="O137" s="1030"/>
      <c r="P137" s="1030"/>
      <c r="Q137" s="1030"/>
      <c r="R137" s="1030"/>
      <c r="S137" s="1030"/>
      <c r="T137" s="1030"/>
      <c r="U137" s="1030"/>
      <c r="V137" s="1030"/>
      <c r="W137" s="1030"/>
      <c r="X137" s="1030"/>
      <c r="Y137" s="1030"/>
      <c r="Z137" s="1030"/>
    </row>
    <row r="138" spans="1:26" ht="25.5" outlineLevel="1">
      <c r="A138" s="1098">
        <f>A136+1</f>
        <v>34</v>
      </c>
      <c r="B138" s="1051" t="s">
        <v>3462</v>
      </c>
      <c r="C138" s="1066" t="s">
        <v>3342</v>
      </c>
      <c r="D138" s="1113" t="s">
        <v>122</v>
      </c>
      <c r="E138" s="1136"/>
      <c r="F138" s="1073" t="s">
        <v>3384</v>
      </c>
      <c r="G138" s="1035" t="s">
        <v>3535</v>
      </c>
      <c r="H138" s="1137" t="s">
        <v>3574</v>
      </c>
      <c r="I138" s="1137" t="s">
        <v>3575</v>
      </c>
      <c r="J138" s="1139"/>
      <c r="K138" s="1118">
        <f>(7854/3)/200*165</f>
        <v>2159.85</v>
      </c>
      <c r="L138" s="1134"/>
      <c r="M138" s="1030"/>
      <c r="N138" s="1030"/>
      <c r="O138" s="1030"/>
      <c r="P138" s="1030"/>
      <c r="Q138" s="1030"/>
      <c r="R138" s="1030"/>
      <c r="S138" s="1030"/>
      <c r="T138" s="1030"/>
      <c r="U138" s="1030"/>
      <c r="V138" s="1030"/>
      <c r="W138" s="1030"/>
      <c r="X138" s="1030"/>
      <c r="Y138" s="1030"/>
      <c r="Z138" s="1030"/>
    </row>
    <row r="139" spans="1:26" ht="25.5" outlineLevel="1">
      <c r="A139" s="1098">
        <f t="shared" ref="A139:A231" si="11">A138+1</f>
        <v>35</v>
      </c>
      <c r="B139" s="1051" t="s">
        <v>3485</v>
      </c>
      <c r="C139" s="1066" t="s">
        <v>3342</v>
      </c>
      <c r="D139" s="1113" t="s">
        <v>122</v>
      </c>
      <c r="E139" s="1136"/>
      <c r="F139" s="1148" t="s">
        <v>3384</v>
      </c>
      <c r="G139" s="1149" t="s">
        <v>3486</v>
      </c>
      <c r="H139" s="1137" t="s">
        <v>3487</v>
      </c>
      <c r="I139" s="1151"/>
      <c r="J139" s="1139"/>
      <c r="K139" s="1118">
        <v>80</v>
      </c>
      <c r="L139" s="1134"/>
      <c r="M139" s="1030"/>
      <c r="N139" s="1030"/>
      <c r="O139" s="1030"/>
      <c r="P139" s="1030"/>
      <c r="Q139" s="1030"/>
      <c r="R139" s="1030"/>
      <c r="S139" s="1030"/>
      <c r="T139" s="1030"/>
      <c r="U139" s="1030"/>
      <c r="V139" s="1030"/>
      <c r="W139" s="1030"/>
      <c r="X139" s="1030"/>
      <c r="Y139" s="1030"/>
      <c r="Z139" s="1030"/>
    </row>
    <row r="140" spans="1:26" ht="25.5" outlineLevel="1">
      <c r="A140" s="1098">
        <f t="shared" si="11"/>
        <v>36</v>
      </c>
      <c r="B140" s="1051" t="s">
        <v>3462</v>
      </c>
      <c r="C140" s="1066" t="s">
        <v>3342</v>
      </c>
      <c r="D140" s="1113" t="s">
        <v>122</v>
      </c>
      <c r="E140" s="1136"/>
      <c r="F140" s="1073" t="s">
        <v>3384</v>
      </c>
      <c r="G140" s="1035" t="s">
        <v>3488</v>
      </c>
      <c r="H140" s="1137" t="s">
        <v>3576</v>
      </c>
      <c r="I140" s="1137" t="s">
        <v>3577</v>
      </c>
      <c r="J140" s="1139"/>
      <c r="K140" s="1118">
        <f>(500*3)+45</f>
        <v>1545</v>
      </c>
      <c r="L140" s="1134"/>
      <c r="M140" s="1030"/>
      <c r="N140" s="1030"/>
      <c r="O140" s="1030"/>
      <c r="P140" s="1030"/>
      <c r="Q140" s="1030"/>
      <c r="R140" s="1030"/>
      <c r="S140" s="1030"/>
      <c r="T140" s="1030"/>
      <c r="U140" s="1030"/>
      <c r="V140" s="1030"/>
      <c r="W140" s="1030"/>
      <c r="X140" s="1030"/>
      <c r="Y140" s="1030"/>
      <c r="Z140" s="1030"/>
    </row>
    <row r="141" spans="1:26" ht="24" customHeight="1" outlineLevel="1">
      <c r="A141" s="1098">
        <f t="shared" si="11"/>
        <v>37</v>
      </c>
      <c r="B141" s="1051" t="s">
        <v>3485</v>
      </c>
      <c r="C141" s="1066" t="s">
        <v>3342</v>
      </c>
      <c r="D141" s="1113" t="s">
        <v>122</v>
      </c>
      <c r="E141" s="1136"/>
      <c r="F141" s="1142" t="s">
        <v>3384</v>
      </c>
      <c r="G141" s="1035" t="s">
        <v>3491</v>
      </c>
      <c r="H141" s="1137" t="s">
        <v>3578</v>
      </c>
      <c r="I141" s="1137"/>
      <c r="J141" s="1139"/>
      <c r="K141" s="1118">
        <v>336.52</v>
      </c>
      <c r="L141" s="1134"/>
      <c r="M141" s="1030"/>
      <c r="N141" s="1030"/>
      <c r="O141" s="1030"/>
      <c r="P141" s="1030"/>
      <c r="Q141" s="1030"/>
      <c r="R141" s="1030"/>
      <c r="S141" s="1030"/>
      <c r="T141" s="1030"/>
      <c r="U141" s="1030"/>
      <c r="V141" s="1030"/>
      <c r="W141" s="1030"/>
      <c r="X141" s="1030"/>
      <c r="Y141" s="1030"/>
      <c r="Z141" s="1030"/>
    </row>
    <row r="142" spans="1:26" ht="12.75" customHeight="1" outlineLevel="1">
      <c r="A142" s="1098">
        <f t="shared" si="11"/>
        <v>38</v>
      </c>
      <c r="B142" s="1051" t="s">
        <v>3428</v>
      </c>
      <c r="C142" s="1066" t="s">
        <v>3342</v>
      </c>
      <c r="D142" s="1113" t="s">
        <v>122</v>
      </c>
      <c r="E142" s="1136"/>
      <c r="F142" s="1142" t="s">
        <v>3384</v>
      </c>
      <c r="G142" s="1035" t="s">
        <v>3493</v>
      </c>
      <c r="H142" s="1137" t="s">
        <v>3494</v>
      </c>
      <c r="I142" s="1137" t="s">
        <v>3579</v>
      </c>
      <c r="J142" s="1139"/>
      <c r="K142" s="1118">
        <v>21.96</v>
      </c>
      <c r="L142" s="1030"/>
      <c r="M142" s="1030"/>
      <c r="N142" s="1030"/>
      <c r="O142" s="1030"/>
      <c r="P142" s="1030"/>
      <c r="Q142" s="1030"/>
      <c r="R142" s="1030"/>
      <c r="S142" s="1030"/>
      <c r="T142" s="1030"/>
      <c r="U142" s="1030"/>
      <c r="V142" s="1030"/>
      <c r="W142" s="1030"/>
      <c r="X142" s="1030"/>
      <c r="Y142" s="1030"/>
      <c r="Z142" s="1030"/>
    </row>
    <row r="143" spans="1:26" ht="45" customHeight="1" outlineLevel="1">
      <c r="A143" s="1098">
        <f t="shared" si="11"/>
        <v>39</v>
      </c>
      <c r="B143" s="1051" t="s">
        <v>3485</v>
      </c>
      <c r="C143" s="1066" t="s">
        <v>3342</v>
      </c>
      <c r="D143" s="1113" t="s">
        <v>122</v>
      </c>
      <c r="E143" s="1136"/>
      <c r="F143" s="1142" t="s">
        <v>3384</v>
      </c>
      <c r="G143" s="1149" t="s">
        <v>3495</v>
      </c>
      <c r="H143" s="1137" t="s">
        <v>3494</v>
      </c>
      <c r="I143" s="1137" t="s">
        <v>3580</v>
      </c>
      <c r="J143" s="1139"/>
      <c r="K143" s="1118">
        <f>3.3+3.7+20.09</f>
        <v>27.09</v>
      </c>
      <c r="L143" s="1030"/>
      <c r="M143" s="1030"/>
      <c r="N143" s="1030"/>
      <c r="O143" s="1030"/>
      <c r="P143" s="1030"/>
      <c r="Q143" s="1030"/>
      <c r="R143" s="1030"/>
      <c r="S143" s="1030"/>
      <c r="T143" s="1030"/>
      <c r="U143" s="1030"/>
      <c r="V143" s="1030"/>
      <c r="W143" s="1030"/>
      <c r="X143" s="1030"/>
      <c r="Y143" s="1030"/>
      <c r="Z143" s="1030"/>
    </row>
    <row r="144" spans="1:26" ht="12.75" customHeight="1" outlineLevel="1">
      <c r="A144" s="1098">
        <f t="shared" si="11"/>
        <v>40</v>
      </c>
      <c r="B144" s="1051" t="s">
        <v>3473</v>
      </c>
      <c r="C144" s="1066" t="s">
        <v>3342</v>
      </c>
      <c r="D144" s="1113" t="s">
        <v>122</v>
      </c>
      <c r="E144" s="1136"/>
      <c r="F144" s="1073" t="s">
        <v>3384</v>
      </c>
      <c r="G144" s="1035" t="s">
        <v>3499</v>
      </c>
      <c r="H144" s="1137" t="s">
        <v>3581</v>
      </c>
      <c r="I144" s="1137" t="s">
        <v>3501</v>
      </c>
      <c r="J144" s="1139"/>
      <c r="K144" s="1118">
        <f>8.7*100</f>
        <v>869.99999999999989</v>
      </c>
      <c r="L144" s="1030"/>
      <c r="M144" s="1030"/>
      <c r="N144" s="1030"/>
      <c r="O144" s="1030"/>
      <c r="P144" s="1030"/>
      <c r="Q144" s="1030"/>
      <c r="R144" s="1030"/>
      <c r="S144" s="1030"/>
      <c r="T144" s="1030"/>
      <c r="U144" s="1030"/>
      <c r="V144" s="1030"/>
      <c r="W144" s="1030"/>
      <c r="X144" s="1030"/>
      <c r="Y144" s="1030"/>
      <c r="Z144" s="1030"/>
    </row>
    <row r="145" spans="1:26" ht="12.75" customHeight="1">
      <c r="A145" s="1098">
        <f t="shared" si="11"/>
        <v>41</v>
      </c>
      <c r="B145" s="1051" t="s">
        <v>3428</v>
      </c>
      <c r="C145" s="1066" t="s">
        <v>3342</v>
      </c>
      <c r="D145" s="1113" t="s">
        <v>122</v>
      </c>
      <c r="E145" s="1152"/>
      <c r="F145" s="1073" t="s">
        <v>3410</v>
      </c>
      <c r="G145" s="1035" t="s">
        <v>3429</v>
      </c>
      <c r="H145" s="1114"/>
      <c r="I145" s="1114">
        <v>120</v>
      </c>
      <c r="J145" s="1117">
        <v>0.3</v>
      </c>
      <c r="K145" s="1118">
        <f t="shared" ref="K145:K172" si="12">I145*J145</f>
        <v>36</v>
      </c>
      <c r="L145" s="1030"/>
      <c r="M145" s="1030"/>
      <c r="N145" s="1030"/>
      <c r="O145" s="1030"/>
      <c r="P145" s="1030"/>
      <c r="Q145" s="1030"/>
      <c r="R145" s="1030"/>
      <c r="S145" s="1030"/>
      <c r="T145" s="1030"/>
      <c r="U145" s="1030"/>
      <c r="V145" s="1030"/>
      <c r="W145" s="1030"/>
      <c r="X145" s="1030"/>
      <c r="Y145" s="1030"/>
      <c r="Z145" s="1030"/>
    </row>
    <row r="146" spans="1:26" ht="12.75" customHeight="1">
      <c r="A146" s="1098">
        <f t="shared" si="11"/>
        <v>42</v>
      </c>
      <c r="B146" s="1051" t="s">
        <v>3428</v>
      </c>
      <c r="C146" s="1066" t="s">
        <v>3342</v>
      </c>
      <c r="D146" s="1113" t="s">
        <v>122</v>
      </c>
      <c r="E146" s="1152"/>
      <c r="F146" s="1073" t="s">
        <v>3410</v>
      </c>
      <c r="G146" s="1035" t="s">
        <v>3431</v>
      </c>
      <c r="H146" s="1114"/>
      <c r="I146" s="1114">
        <v>206</v>
      </c>
      <c r="J146" s="1122">
        <v>0.3</v>
      </c>
      <c r="K146" s="1118">
        <f t="shared" si="12"/>
        <v>61.8</v>
      </c>
      <c r="L146" s="1030"/>
      <c r="M146" s="1030"/>
      <c r="N146" s="1030"/>
      <c r="O146" s="1030"/>
      <c r="P146" s="1030"/>
      <c r="Q146" s="1030"/>
      <c r="R146" s="1030"/>
      <c r="S146" s="1030"/>
      <c r="T146" s="1030"/>
      <c r="U146" s="1030"/>
      <c r="V146" s="1030"/>
      <c r="W146" s="1030"/>
      <c r="X146" s="1030"/>
      <c r="Y146" s="1030"/>
      <c r="Z146" s="1030"/>
    </row>
    <row r="147" spans="1:26" ht="12.75" customHeight="1">
      <c r="A147" s="1098">
        <f t="shared" si="11"/>
        <v>43</v>
      </c>
      <c r="B147" s="1051" t="s">
        <v>3428</v>
      </c>
      <c r="C147" s="1066" t="s">
        <v>3342</v>
      </c>
      <c r="D147" s="1113" t="s">
        <v>122</v>
      </c>
      <c r="E147" s="1152"/>
      <c r="F147" s="1073" t="s">
        <v>3410</v>
      </c>
      <c r="G147" s="1035" t="s">
        <v>3433</v>
      </c>
      <c r="H147" s="1114"/>
      <c r="I147" s="1114">
        <v>358</v>
      </c>
      <c r="J147" s="1122">
        <v>0.3</v>
      </c>
      <c r="K147" s="1118">
        <f t="shared" si="12"/>
        <v>107.39999999999999</v>
      </c>
      <c r="L147" s="1030"/>
      <c r="M147" s="1030"/>
      <c r="N147" s="1030"/>
      <c r="O147" s="1030"/>
      <c r="P147" s="1030"/>
      <c r="Q147" s="1030"/>
      <c r="R147" s="1030"/>
      <c r="S147" s="1030"/>
      <c r="T147" s="1030"/>
      <c r="U147" s="1030"/>
      <c r="V147" s="1030"/>
      <c r="W147" s="1030"/>
      <c r="X147" s="1030"/>
      <c r="Y147" s="1030"/>
      <c r="Z147" s="1030"/>
    </row>
    <row r="148" spans="1:26" ht="12.75" customHeight="1">
      <c r="A148" s="1098">
        <f t="shared" si="11"/>
        <v>44</v>
      </c>
      <c r="B148" s="1051" t="s">
        <v>3428</v>
      </c>
      <c r="C148" s="1066" t="s">
        <v>3342</v>
      </c>
      <c r="D148" s="1113" t="s">
        <v>122</v>
      </c>
      <c r="E148" s="1153"/>
      <c r="F148" s="1073" t="s">
        <v>3410</v>
      </c>
      <c r="G148" s="1035" t="s">
        <v>3435</v>
      </c>
      <c r="H148" s="1114"/>
      <c r="I148" s="1114">
        <v>150</v>
      </c>
      <c r="J148" s="1131">
        <v>0.3</v>
      </c>
      <c r="K148" s="1154">
        <f t="shared" si="12"/>
        <v>45</v>
      </c>
      <c r="L148" s="1030"/>
      <c r="M148" s="1030"/>
      <c r="N148" s="1030"/>
      <c r="O148" s="1030"/>
      <c r="P148" s="1030"/>
      <c r="Q148" s="1030"/>
      <c r="R148" s="1030"/>
      <c r="S148" s="1030"/>
      <c r="T148" s="1030"/>
      <c r="U148" s="1030"/>
      <c r="V148" s="1030"/>
      <c r="W148" s="1030"/>
      <c r="X148" s="1030"/>
      <c r="Y148" s="1030"/>
      <c r="Z148" s="1030"/>
    </row>
    <row r="149" spans="1:26" ht="12.75" customHeight="1">
      <c r="A149" s="1098">
        <f t="shared" si="11"/>
        <v>45</v>
      </c>
      <c r="B149" s="1051" t="s">
        <v>3428</v>
      </c>
      <c r="C149" s="1066" t="s">
        <v>3342</v>
      </c>
      <c r="D149" s="1113" t="s">
        <v>122</v>
      </c>
      <c r="E149" s="1153"/>
      <c r="F149" s="1073" t="s">
        <v>3410</v>
      </c>
      <c r="G149" s="1035" t="s">
        <v>3436</v>
      </c>
      <c r="H149" s="1114"/>
      <c r="I149" s="1114">
        <v>210</v>
      </c>
      <c r="J149" s="1131">
        <v>0.3</v>
      </c>
      <c r="K149" s="1154">
        <f t="shared" si="12"/>
        <v>63</v>
      </c>
      <c r="L149" s="1030"/>
      <c r="M149" s="1030"/>
      <c r="N149" s="1030"/>
      <c r="O149" s="1030"/>
      <c r="P149" s="1030"/>
      <c r="Q149" s="1030"/>
      <c r="R149" s="1030"/>
      <c r="S149" s="1030"/>
      <c r="T149" s="1030"/>
      <c r="U149" s="1030"/>
      <c r="V149" s="1030"/>
      <c r="W149" s="1030"/>
      <c r="X149" s="1030"/>
      <c r="Y149" s="1030"/>
      <c r="Z149" s="1030"/>
    </row>
    <row r="150" spans="1:26" ht="12.75" customHeight="1">
      <c r="A150" s="1098">
        <f t="shared" si="11"/>
        <v>46</v>
      </c>
      <c r="B150" s="1051" t="s">
        <v>3428</v>
      </c>
      <c r="C150" s="1066" t="s">
        <v>3342</v>
      </c>
      <c r="D150" s="1113" t="s">
        <v>122</v>
      </c>
      <c r="E150" s="1153"/>
      <c r="F150" s="1073" t="s">
        <v>3410</v>
      </c>
      <c r="G150" s="1035" t="s">
        <v>3522</v>
      </c>
      <c r="H150" s="1114"/>
      <c r="I150" s="1114">
        <v>0</v>
      </c>
      <c r="J150" s="1122">
        <v>0</v>
      </c>
      <c r="K150" s="1118">
        <f t="shared" si="12"/>
        <v>0</v>
      </c>
      <c r="L150" s="1030"/>
      <c r="M150" s="1030"/>
      <c r="N150" s="1030"/>
      <c r="O150" s="1030"/>
      <c r="P150" s="1030"/>
      <c r="Q150" s="1030"/>
      <c r="R150" s="1030"/>
      <c r="S150" s="1030"/>
      <c r="T150" s="1030"/>
      <c r="U150" s="1030"/>
      <c r="V150" s="1030"/>
      <c r="W150" s="1030"/>
      <c r="X150" s="1030"/>
      <c r="Y150" s="1030"/>
      <c r="Z150" s="1030"/>
    </row>
    <row r="151" spans="1:26" ht="12.75" customHeight="1">
      <c r="A151" s="1098">
        <f t="shared" si="11"/>
        <v>47</v>
      </c>
      <c r="B151" s="1051" t="s">
        <v>3428</v>
      </c>
      <c r="C151" s="1066" t="s">
        <v>3342</v>
      </c>
      <c r="D151" s="1113" t="s">
        <v>122</v>
      </c>
      <c r="E151" s="1152"/>
      <c r="F151" s="1073" t="s">
        <v>3410</v>
      </c>
      <c r="G151" s="1035" t="s">
        <v>3523</v>
      </c>
      <c r="H151" s="1114"/>
      <c r="I151" s="1114">
        <v>290</v>
      </c>
      <c r="J151" s="1122">
        <v>0.3</v>
      </c>
      <c r="K151" s="1118">
        <f t="shared" si="12"/>
        <v>87</v>
      </c>
      <c r="L151" s="1030"/>
      <c r="M151" s="1030"/>
      <c r="N151" s="1030"/>
      <c r="O151" s="1030"/>
      <c r="P151" s="1030"/>
      <c r="Q151" s="1030"/>
      <c r="R151" s="1030"/>
      <c r="S151" s="1030"/>
      <c r="T151" s="1030"/>
      <c r="U151" s="1030"/>
      <c r="V151" s="1030"/>
      <c r="W151" s="1030"/>
      <c r="X151" s="1030"/>
      <c r="Y151" s="1030"/>
      <c r="Z151" s="1030"/>
    </row>
    <row r="152" spans="1:26" ht="12.75" customHeight="1">
      <c r="A152" s="1098">
        <f t="shared" si="11"/>
        <v>48</v>
      </c>
      <c r="B152" s="1051" t="s">
        <v>3428</v>
      </c>
      <c r="C152" s="1066" t="s">
        <v>3342</v>
      </c>
      <c r="D152" s="1113" t="s">
        <v>122</v>
      </c>
      <c r="E152" s="1152"/>
      <c r="F152" s="1073" t="s">
        <v>3410</v>
      </c>
      <c r="G152" s="1035" t="s">
        <v>3439</v>
      </c>
      <c r="H152" s="1114"/>
      <c r="I152" s="1114">
        <v>400</v>
      </c>
      <c r="J152" s="1122">
        <v>0.3</v>
      </c>
      <c r="K152" s="1118">
        <f t="shared" si="12"/>
        <v>120</v>
      </c>
      <c r="L152" s="1030"/>
      <c r="M152" s="1030"/>
      <c r="N152" s="1030"/>
      <c r="O152" s="1030"/>
      <c r="P152" s="1030"/>
      <c r="Q152" s="1030"/>
      <c r="R152" s="1030"/>
      <c r="S152" s="1030"/>
      <c r="T152" s="1030"/>
      <c r="U152" s="1030"/>
      <c r="V152" s="1030"/>
      <c r="W152" s="1030"/>
      <c r="X152" s="1030"/>
      <c r="Y152" s="1030"/>
      <c r="Z152" s="1030"/>
    </row>
    <row r="153" spans="1:26" ht="12.75" customHeight="1">
      <c r="A153" s="1098">
        <f t="shared" si="11"/>
        <v>49</v>
      </c>
      <c r="B153" s="1051" t="s">
        <v>3428</v>
      </c>
      <c r="C153" s="1066" t="s">
        <v>3342</v>
      </c>
      <c r="D153" s="1113" t="s">
        <v>122</v>
      </c>
      <c r="E153" s="1152"/>
      <c r="F153" s="1073" t="s">
        <v>3410</v>
      </c>
      <c r="G153" s="1035" t="s">
        <v>3440</v>
      </c>
      <c r="H153" s="1114"/>
      <c r="I153" s="1114">
        <v>96</v>
      </c>
      <c r="J153" s="1122">
        <v>0.3</v>
      </c>
      <c r="K153" s="1118">
        <f t="shared" si="12"/>
        <v>28.799999999999997</v>
      </c>
      <c r="L153" s="1030"/>
      <c r="M153" s="1030"/>
      <c r="N153" s="1030"/>
      <c r="O153" s="1030"/>
      <c r="P153" s="1030"/>
      <c r="Q153" s="1030"/>
      <c r="R153" s="1030"/>
      <c r="S153" s="1030"/>
      <c r="T153" s="1030"/>
      <c r="U153" s="1030"/>
      <c r="V153" s="1030"/>
      <c r="W153" s="1030"/>
      <c r="X153" s="1030"/>
      <c r="Y153" s="1030"/>
      <c r="Z153" s="1030"/>
    </row>
    <row r="154" spans="1:26" ht="12.75" customHeight="1">
      <c r="A154" s="1098">
        <f t="shared" si="11"/>
        <v>50</v>
      </c>
      <c r="B154" s="1051" t="s">
        <v>3428</v>
      </c>
      <c r="C154" s="1066" t="s">
        <v>3342</v>
      </c>
      <c r="D154" s="1113" t="s">
        <v>122</v>
      </c>
      <c r="E154" s="1152"/>
      <c r="F154" s="1073" t="s">
        <v>3410</v>
      </c>
      <c r="G154" s="1035" t="s">
        <v>3441</v>
      </c>
      <c r="H154" s="1114"/>
      <c r="I154" s="1114">
        <v>340</v>
      </c>
      <c r="J154" s="1122">
        <v>0.3</v>
      </c>
      <c r="K154" s="1118">
        <f t="shared" si="12"/>
        <v>102</v>
      </c>
      <c r="L154" s="1030"/>
      <c r="M154" s="1030"/>
      <c r="N154" s="1030"/>
      <c r="O154" s="1030"/>
      <c r="P154" s="1030"/>
      <c r="Q154" s="1030"/>
      <c r="R154" s="1030"/>
      <c r="S154" s="1030"/>
      <c r="T154" s="1030"/>
      <c r="U154" s="1030"/>
      <c r="V154" s="1030"/>
      <c r="W154" s="1030"/>
      <c r="X154" s="1030"/>
      <c r="Y154" s="1030"/>
      <c r="Z154" s="1030"/>
    </row>
    <row r="155" spans="1:26" ht="12.75" customHeight="1">
      <c r="A155" s="1098">
        <f t="shared" si="11"/>
        <v>51</v>
      </c>
      <c r="B155" s="1051" t="s">
        <v>3428</v>
      </c>
      <c r="C155" s="1066" t="s">
        <v>3342</v>
      </c>
      <c r="D155" s="1113" t="s">
        <v>122</v>
      </c>
      <c r="E155" s="1152"/>
      <c r="F155" s="1073" t="s">
        <v>3410</v>
      </c>
      <c r="G155" s="1035" t="s">
        <v>3442</v>
      </c>
      <c r="H155" s="1114"/>
      <c r="I155" s="1114">
        <v>648</v>
      </c>
      <c r="J155" s="1122">
        <v>0.3</v>
      </c>
      <c r="K155" s="1118">
        <f t="shared" si="12"/>
        <v>194.4</v>
      </c>
      <c r="L155" s="1030"/>
      <c r="M155" s="1030"/>
      <c r="N155" s="1030"/>
      <c r="O155" s="1030"/>
      <c r="P155" s="1030"/>
      <c r="Q155" s="1030"/>
      <c r="R155" s="1030"/>
      <c r="S155" s="1030"/>
      <c r="T155" s="1030"/>
      <c r="U155" s="1030"/>
      <c r="V155" s="1030"/>
      <c r="W155" s="1030"/>
      <c r="X155" s="1030"/>
      <c r="Y155" s="1030"/>
      <c r="Z155" s="1030"/>
    </row>
    <row r="156" spans="1:26" ht="12.75" customHeight="1">
      <c r="A156" s="1098">
        <f t="shared" si="11"/>
        <v>52</v>
      </c>
      <c r="B156" s="1051" t="s">
        <v>3428</v>
      </c>
      <c r="C156" s="1066" t="s">
        <v>3342</v>
      </c>
      <c r="D156" s="1113" t="s">
        <v>122</v>
      </c>
      <c r="E156" s="1136"/>
      <c r="F156" s="1073" t="s">
        <v>3410</v>
      </c>
      <c r="G156" s="1035" t="s">
        <v>3443</v>
      </c>
      <c r="H156" s="1114"/>
      <c r="I156" s="1114">
        <v>480</v>
      </c>
      <c r="J156" s="1122">
        <v>0.3</v>
      </c>
      <c r="K156" s="1118">
        <f t="shared" si="12"/>
        <v>144</v>
      </c>
      <c r="L156" s="1030"/>
      <c r="M156" s="1030"/>
      <c r="N156" s="1030"/>
      <c r="O156" s="1030"/>
      <c r="P156" s="1030"/>
      <c r="Q156" s="1030"/>
      <c r="R156" s="1030"/>
      <c r="S156" s="1030"/>
      <c r="T156" s="1030"/>
      <c r="U156" s="1030"/>
      <c r="V156" s="1030"/>
      <c r="W156" s="1030"/>
      <c r="X156" s="1030"/>
      <c r="Y156" s="1030"/>
      <c r="Z156" s="1030"/>
    </row>
    <row r="157" spans="1:26" ht="12.75" customHeight="1">
      <c r="A157" s="1098">
        <f t="shared" si="11"/>
        <v>53</v>
      </c>
      <c r="B157" s="1051" t="s">
        <v>3428</v>
      </c>
      <c r="C157" s="1066" t="s">
        <v>3342</v>
      </c>
      <c r="D157" s="1113" t="s">
        <v>122</v>
      </c>
      <c r="E157" s="1136"/>
      <c r="F157" s="1073" t="s">
        <v>3410</v>
      </c>
      <c r="G157" s="1035" t="s">
        <v>3565</v>
      </c>
      <c r="H157" s="1114" t="s">
        <v>3563</v>
      </c>
      <c r="I157" s="1114">
        <v>0</v>
      </c>
      <c r="J157" s="1122">
        <v>0.3</v>
      </c>
      <c r="K157" s="1118">
        <f t="shared" si="12"/>
        <v>0</v>
      </c>
      <c r="L157" s="1030"/>
      <c r="M157" s="1030"/>
      <c r="N157" s="1030"/>
      <c r="O157" s="1030"/>
      <c r="P157" s="1030"/>
      <c r="Q157" s="1030"/>
      <c r="R157" s="1030"/>
      <c r="S157" s="1030"/>
      <c r="T157" s="1030"/>
      <c r="U157" s="1030"/>
      <c r="V157" s="1030"/>
      <c r="W157" s="1030"/>
      <c r="X157" s="1030"/>
      <c r="Y157" s="1030"/>
      <c r="Z157" s="1030"/>
    </row>
    <row r="158" spans="1:26" ht="12.75" customHeight="1">
      <c r="A158" s="1098">
        <f t="shared" si="11"/>
        <v>54</v>
      </c>
      <c r="B158" s="1051" t="s">
        <v>3428</v>
      </c>
      <c r="C158" s="1066" t="s">
        <v>3342</v>
      </c>
      <c r="D158" s="1113" t="s">
        <v>122</v>
      </c>
      <c r="E158" s="1136"/>
      <c r="F158" s="1073" t="s">
        <v>3410</v>
      </c>
      <c r="G158" s="1035" t="s">
        <v>3444</v>
      </c>
      <c r="H158" s="1114" t="s">
        <v>3563</v>
      </c>
      <c r="I158" s="1114">
        <v>0</v>
      </c>
      <c r="J158" s="1122">
        <v>0.3</v>
      </c>
      <c r="K158" s="1118">
        <f t="shared" si="12"/>
        <v>0</v>
      </c>
      <c r="L158" s="1030"/>
      <c r="M158" s="1030"/>
      <c r="N158" s="1030"/>
      <c r="O158" s="1030"/>
      <c r="P158" s="1030"/>
      <c r="Q158" s="1030"/>
      <c r="R158" s="1030"/>
      <c r="S158" s="1030"/>
      <c r="T158" s="1030"/>
      <c r="U158" s="1030"/>
      <c r="V158" s="1030"/>
      <c r="W158" s="1030"/>
      <c r="X158" s="1030"/>
      <c r="Y158" s="1030"/>
      <c r="Z158" s="1030"/>
    </row>
    <row r="159" spans="1:26" ht="12.75" customHeight="1">
      <c r="A159" s="1098">
        <f t="shared" si="11"/>
        <v>55</v>
      </c>
      <c r="B159" s="1051" t="s">
        <v>3428</v>
      </c>
      <c r="C159" s="1066" t="s">
        <v>3342</v>
      </c>
      <c r="D159" s="1113" t="s">
        <v>122</v>
      </c>
      <c r="E159" s="1136"/>
      <c r="F159" s="1073" t="s">
        <v>3410</v>
      </c>
      <c r="G159" s="1035" t="s">
        <v>3446</v>
      </c>
      <c r="H159" s="1114"/>
      <c r="I159" s="1114">
        <v>39</v>
      </c>
      <c r="J159" s="1122">
        <v>0.3</v>
      </c>
      <c r="K159" s="1118">
        <f t="shared" si="12"/>
        <v>11.7</v>
      </c>
      <c r="L159" s="1030"/>
      <c r="M159" s="1030"/>
      <c r="N159" s="1030"/>
      <c r="O159" s="1030"/>
      <c r="P159" s="1030"/>
      <c r="Q159" s="1030"/>
      <c r="R159" s="1030"/>
      <c r="S159" s="1030"/>
      <c r="T159" s="1030"/>
      <c r="U159" s="1030"/>
      <c r="V159" s="1030"/>
      <c r="W159" s="1030"/>
      <c r="X159" s="1030"/>
      <c r="Y159" s="1030"/>
      <c r="Z159" s="1030"/>
    </row>
    <row r="160" spans="1:26" ht="12.75" customHeight="1">
      <c r="A160" s="1098">
        <f t="shared" si="11"/>
        <v>56</v>
      </c>
      <c r="B160" s="1051" t="s">
        <v>3428</v>
      </c>
      <c r="C160" s="1066" t="s">
        <v>3342</v>
      </c>
      <c r="D160" s="1113" t="s">
        <v>122</v>
      </c>
      <c r="E160" s="1136"/>
      <c r="F160" s="1073" t="s">
        <v>3410</v>
      </c>
      <c r="G160" s="1035" t="s">
        <v>3447</v>
      </c>
      <c r="H160" s="1114"/>
      <c r="I160" s="1114">
        <v>0</v>
      </c>
      <c r="J160" s="1122">
        <v>0.3</v>
      </c>
      <c r="K160" s="1118">
        <f t="shared" si="12"/>
        <v>0</v>
      </c>
      <c r="L160" s="1030"/>
      <c r="M160" s="1030"/>
      <c r="N160" s="1030"/>
      <c r="O160" s="1030"/>
      <c r="P160" s="1030"/>
      <c r="Q160" s="1030"/>
      <c r="R160" s="1030"/>
      <c r="S160" s="1030"/>
      <c r="T160" s="1030"/>
      <c r="U160" s="1030"/>
      <c r="V160" s="1030"/>
      <c r="W160" s="1030"/>
      <c r="X160" s="1030"/>
      <c r="Y160" s="1030"/>
      <c r="Z160" s="1030"/>
    </row>
    <row r="161" spans="1:26" ht="12.75" customHeight="1">
      <c r="A161" s="1098">
        <f t="shared" si="11"/>
        <v>57</v>
      </c>
      <c r="B161" s="1051" t="s">
        <v>3428</v>
      </c>
      <c r="C161" s="1066" t="s">
        <v>3342</v>
      </c>
      <c r="D161" s="1113" t="s">
        <v>122</v>
      </c>
      <c r="E161" s="1136"/>
      <c r="F161" s="1073" t="s">
        <v>3410</v>
      </c>
      <c r="G161" s="1035" t="s">
        <v>3448</v>
      </c>
      <c r="H161" s="1114"/>
      <c r="I161" s="1114">
        <v>494</v>
      </c>
      <c r="J161" s="1131">
        <v>0.3</v>
      </c>
      <c r="K161" s="1154">
        <f t="shared" si="12"/>
        <v>148.19999999999999</v>
      </c>
      <c r="L161" s="1030"/>
      <c r="M161" s="1030"/>
      <c r="N161" s="1030"/>
      <c r="O161" s="1030"/>
      <c r="P161" s="1030"/>
      <c r="Q161" s="1030"/>
      <c r="R161" s="1030"/>
      <c r="S161" s="1030"/>
      <c r="T161" s="1030"/>
      <c r="U161" s="1030"/>
      <c r="V161" s="1030"/>
      <c r="W161" s="1030"/>
      <c r="X161" s="1030"/>
      <c r="Y161" s="1030"/>
      <c r="Z161" s="1030"/>
    </row>
    <row r="162" spans="1:26" ht="12.75" customHeight="1">
      <c r="A162" s="1098">
        <f t="shared" si="11"/>
        <v>58</v>
      </c>
      <c r="B162" s="1051" t="s">
        <v>3428</v>
      </c>
      <c r="C162" s="1066" t="s">
        <v>3342</v>
      </c>
      <c r="D162" s="1113" t="s">
        <v>122</v>
      </c>
      <c r="E162" s="1136"/>
      <c r="F162" s="1073" t="s">
        <v>3410</v>
      </c>
      <c r="G162" s="1035" t="s">
        <v>3449</v>
      </c>
      <c r="H162" s="1114"/>
      <c r="I162" s="1114">
        <v>202</v>
      </c>
      <c r="J162" s="1122">
        <v>0.3</v>
      </c>
      <c r="K162" s="1118">
        <f t="shared" si="12"/>
        <v>60.599999999999994</v>
      </c>
      <c r="L162" s="1030"/>
      <c r="M162" s="1030"/>
      <c r="N162" s="1030"/>
      <c r="O162" s="1030"/>
      <c r="P162" s="1030"/>
      <c r="Q162" s="1030"/>
      <c r="R162" s="1030"/>
      <c r="S162" s="1030"/>
      <c r="T162" s="1030"/>
      <c r="U162" s="1030"/>
      <c r="V162" s="1030"/>
      <c r="W162" s="1030"/>
      <c r="X162" s="1030"/>
      <c r="Y162" s="1030"/>
      <c r="Z162" s="1030"/>
    </row>
    <row r="163" spans="1:26" ht="12.75" customHeight="1">
      <c r="A163" s="1098">
        <f t="shared" si="11"/>
        <v>59</v>
      </c>
      <c r="B163" s="1051" t="s">
        <v>3428</v>
      </c>
      <c r="C163" s="1066" t="s">
        <v>3342</v>
      </c>
      <c r="D163" s="1113" t="s">
        <v>122</v>
      </c>
      <c r="E163" s="1136"/>
      <c r="F163" s="1073" t="s">
        <v>3410</v>
      </c>
      <c r="G163" s="1035" t="s">
        <v>3450</v>
      </c>
      <c r="H163" s="1114"/>
      <c r="I163" s="1114">
        <v>136</v>
      </c>
      <c r="J163" s="1122">
        <v>0.3</v>
      </c>
      <c r="K163" s="1118">
        <f t="shared" si="12"/>
        <v>40.799999999999997</v>
      </c>
      <c r="L163" s="1030"/>
      <c r="M163" s="1030"/>
      <c r="N163" s="1030"/>
      <c r="O163" s="1030"/>
      <c r="P163" s="1030"/>
      <c r="Q163" s="1030"/>
      <c r="R163" s="1030"/>
      <c r="S163" s="1030"/>
      <c r="T163" s="1030"/>
      <c r="U163" s="1030"/>
      <c r="V163" s="1030"/>
      <c r="W163" s="1030"/>
      <c r="X163" s="1030"/>
      <c r="Y163" s="1030"/>
      <c r="Z163" s="1030"/>
    </row>
    <row r="164" spans="1:26" ht="12.75" customHeight="1">
      <c r="A164" s="1098">
        <f t="shared" si="11"/>
        <v>60</v>
      </c>
      <c r="B164" s="1051" t="s">
        <v>3428</v>
      </c>
      <c r="C164" s="1066" t="s">
        <v>3342</v>
      </c>
      <c r="D164" s="1113" t="s">
        <v>122</v>
      </c>
      <c r="E164" s="1136"/>
      <c r="F164" s="1073" t="s">
        <v>3410</v>
      </c>
      <c r="G164" s="1035" t="s">
        <v>3524</v>
      </c>
      <c r="H164" s="1114"/>
      <c r="I164" s="1114">
        <v>0</v>
      </c>
      <c r="J164" s="1122">
        <v>0.3</v>
      </c>
      <c r="K164" s="1118">
        <f t="shared" si="12"/>
        <v>0</v>
      </c>
      <c r="L164" s="1030"/>
      <c r="M164" s="1030"/>
      <c r="N164" s="1030"/>
      <c r="O164" s="1030"/>
      <c r="P164" s="1030"/>
      <c r="Q164" s="1030"/>
      <c r="R164" s="1030"/>
      <c r="S164" s="1030"/>
      <c r="T164" s="1030"/>
      <c r="U164" s="1030"/>
      <c r="V164" s="1030"/>
      <c r="W164" s="1030"/>
      <c r="X164" s="1030"/>
      <c r="Y164" s="1030"/>
      <c r="Z164" s="1030"/>
    </row>
    <row r="165" spans="1:26" ht="12.75" customHeight="1">
      <c r="A165" s="1098">
        <f t="shared" si="11"/>
        <v>61</v>
      </c>
      <c r="B165" s="1051" t="s">
        <v>3428</v>
      </c>
      <c r="C165" s="1066" t="s">
        <v>3342</v>
      </c>
      <c r="D165" s="1113" t="s">
        <v>122</v>
      </c>
      <c r="E165" s="1136"/>
      <c r="F165" s="1073" t="s">
        <v>3410</v>
      </c>
      <c r="G165" s="1035" t="s">
        <v>3451</v>
      </c>
      <c r="H165" s="1114"/>
      <c r="I165" s="1114">
        <f>68*2</f>
        <v>136</v>
      </c>
      <c r="J165" s="1122">
        <v>0.3</v>
      </c>
      <c r="K165" s="1118">
        <f t="shared" si="12"/>
        <v>40.799999999999997</v>
      </c>
      <c r="L165" s="1030"/>
      <c r="M165" s="1030"/>
      <c r="N165" s="1030"/>
      <c r="O165" s="1030"/>
      <c r="P165" s="1030"/>
      <c r="Q165" s="1030"/>
      <c r="R165" s="1030"/>
      <c r="S165" s="1030"/>
      <c r="T165" s="1030"/>
      <c r="U165" s="1030"/>
      <c r="V165" s="1030"/>
      <c r="W165" s="1030"/>
      <c r="X165" s="1030"/>
      <c r="Y165" s="1030"/>
      <c r="Z165" s="1030"/>
    </row>
    <row r="166" spans="1:26" ht="12.75" customHeight="1">
      <c r="A166" s="1098">
        <f t="shared" si="11"/>
        <v>62</v>
      </c>
      <c r="B166" s="1051" t="s">
        <v>3428</v>
      </c>
      <c r="C166" s="1066" t="s">
        <v>3342</v>
      </c>
      <c r="D166" s="1113" t="s">
        <v>122</v>
      </c>
      <c r="E166" s="1136"/>
      <c r="F166" s="1073" t="s">
        <v>3410</v>
      </c>
      <c r="G166" s="1035" t="s">
        <v>3452</v>
      </c>
      <c r="H166" s="1114"/>
      <c r="I166" s="1114">
        <v>244</v>
      </c>
      <c r="J166" s="1122">
        <v>0.3</v>
      </c>
      <c r="K166" s="1118">
        <f t="shared" si="12"/>
        <v>73.2</v>
      </c>
      <c r="L166" s="1030"/>
      <c r="M166" s="1030"/>
      <c r="N166" s="1030"/>
      <c r="O166" s="1030"/>
      <c r="P166" s="1030"/>
      <c r="Q166" s="1030"/>
      <c r="R166" s="1030"/>
      <c r="S166" s="1030"/>
      <c r="T166" s="1030"/>
      <c r="U166" s="1030"/>
      <c r="V166" s="1030"/>
      <c r="W166" s="1030"/>
      <c r="X166" s="1030"/>
      <c r="Y166" s="1030"/>
      <c r="Z166" s="1030"/>
    </row>
    <row r="167" spans="1:26" ht="12.75" customHeight="1">
      <c r="A167" s="1098">
        <f t="shared" si="11"/>
        <v>63</v>
      </c>
      <c r="B167" s="1051" t="s">
        <v>3428</v>
      </c>
      <c r="C167" s="1066" t="s">
        <v>3342</v>
      </c>
      <c r="D167" s="1113" t="s">
        <v>122</v>
      </c>
      <c r="E167" s="1136"/>
      <c r="F167" s="1073" t="s">
        <v>3410</v>
      </c>
      <c r="G167" s="1035" t="s">
        <v>3453</v>
      </c>
      <c r="H167" s="1114"/>
      <c r="I167" s="1114">
        <v>286</v>
      </c>
      <c r="J167" s="1122">
        <v>0.3</v>
      </c>
      <c r="K167" s="1118">
        <f t="shared" si="12"/>
        <v>85.8</v>
      </c>
      <c r="L167" s="1030"/>
      <c r="M167" s="1030"/>
      <c r="N167" s="1030"/>
      <c r="O167" s="1030"/>
      <c r="P167" s="1030"/>
      <c r="Q167" s="1030"/>
      <c r="R167" s="1030"/>
      <c r="S167" s="1030"/>
      <c r="T167" s="1030"/>
      <c r="U167" s="1030"/>
      <c r="V167" s="1030"/>
      <c r="W167" s="1030"/>
      <c r="X167" s="1030"/>
      <c r="Y167" s="1030"/>
      <c r="Z167" s="1030"/>
    </row>
    <row r="168" spans="1:26" ht="12.75" customHeight="1">
      <c r="A168" s="1098">
        <f t="shared" si="11"/>
        <v>64</v>
      </c>
      <c r="B168" s="1051" t="s">
        <v>3428</v>
      </c>
      <c r="C168" s="1066" t="s">
        <v>3342</v>
      </c>
      <c r="D168" s="1113" t="s">
        <v>122</v>
      </c>
      <c r="E168" s="1136"/>
      <c r="F168" s="1073" t="s">
        <v>3410</v>
      </c>
      <c r="G168" s="1035" t="s">
        <v>3454</v>
      </c>
      <c r="H168" s="1114"/>
      <c r="I168" s="1114">
        <v>140</v>
      </c>
      <c r="J168" s="1122">
        <v>0.3</v>
      </c>
      <c r="K168" s="1118">
        <f t="shared" si="12"/>
        <v>42</v>
      </c>
      <c r="L168" s="1030"/>
      <c r="M168" s="1030"/>
      <c r="N168" s="1030"/>
      <c r="O168" s="1030"/>
      <c r="P168" s="1030"/>
      <c r="Q168" s="1030"/>
      <c r="R168" s="1030"/>
      <c r="S168" s="1030"/>
      <c r="T168" s="1030"/>
      <c r="U168" s="1030"/>
      <c r="V168" s="1030"/>
      <c r="W168" s="1030"/>
      <c r="X168" s="1030"/>
      <c r="Y168" s="1030"/>
      <c r="Z168" s="1030"/>
    </row>
    <row r="169" spans="1:26" ht="12.75" customHeight="1">
      <c r="A169" s="1098">
        <f t="shared" si="11"/>
        <v>65</v>
      </c>
      <c r="B169" s="1051" t="s">
        <v>3428</v>
      </c>
      <c r="C169" s="1066" t="s">
        <v>3342</v>
      </c>
      <c r="D169" s="1113" t="s">
        <v>122</v>
      </c>
      <c r="E169" s="1136"/>
      <c r="F169" s="1073" t="s">
        <v>3410</v>
      </c>
      <c r="G169" s="1035" t="s">
        <v>3525</v>
      </c>
      <c r="H169" s="1114"/>
      <c r="I169" s="1114">
        <v>470</v>
      </c>
      <c r="J169" s="1122">
        <v>0.3</v>
      </c>
      <c r="K169" s="1118">
        <f t="shared" si="12"/>
        <v>141</v>
      </c>
      <c r="L169" s="1030"/>
      <c r="M169" s="1030"/>
      <c r="N169" s="1030"/>
      <c r="O169" s="1030"/>
      <c r="P169" s="1030"/>
      <c r="Q169" s="1030"/>
      <c r="R169" s="1030"/>
      <c r="S169" s="1030"/>
      <c r="T169" s="1030"/>
      <c r="U169" s="1030"/>
      <c r="V169" s="1030"/>
      <c r="W169" s="1030"/>
      <c r="X169" s="1030"/>
      <c r="Y169" s="1030"/>
      <c r="Z169" s="1030"/>
    </row>
    <row r="170" spans="1:26" ht="12.75" customHeight="1">
      <c r="A170" s="1098">
        <f t="shared" si="11"/>
        <v>66</v>
      </c>
      <c r="B170" s="1051" t="s">
        <v>3428</v>
      </c>
      <c r="C170" s="1066" t="s">
        <v>3342</v>
      </c>
      <c r="D170" s="1113" t="s">
        <v>122</v>
      </c>
      <c r="E170" s="1136"/>
      <c r="F170" s="1073" t="s">
        <v>3410</v>
      </c>
      <c r="G170" s="1035" t="s">
        <v>3456</v>
      </c>
      <c r="H170" s="1114"/>
      <c r="I170" s="1114">
        <v>340</v>
      </c>
      <c r="J170" s="1122">
        <v>0.3</v>
      </c>
      <c r="K170" s="1118">
        <f t="shared" si="12"/>
        <v>102</v>
      </c>
      <c r="L170" s="1030"/>
      <c r="M170" s="1030"/>
      <c r="N170" s="1030"/>
      <c r="O170" s="1030"/>
      <c r="P170" s="1030"/>
      <c r="Q170" s="1030"/>
      <c r="R170" s="1030"/>
      <c r="S170" s="1030"/>
      <c r="T170" s="1030"/>
      <c r="U170" s="1030"/>
      <c r="V170" s="1030"/>
      <c r="W170" s="1030"/>
      <c r="X170" s="1030"/>
      <c r="Y170" s="1030"/>
      <c r="Z170" s="1030"/>
    </row>
    <row r="171" spans="1:26" ht="12.75" customHeight="1">
      <c r="A171" s="1098">
        <f t="shared" si="11"/>
        <v>67</v>
      </c>
      <c r="B171" s="1051" t="s">
        <v>3428</v>
      </c>
      <c r="C171" s="1066" t="s">
        <v>3342</v>
      </c>
      <c r="D171" s="1113" t="s">
        <v>122</v>
      </c>
      <c r="E171" s="1136"/>
      <c r="F171" s="1073" t="s">
        <v>3410</v>
      </c>
      <c r="G171" s="1035" t="s">
        <v>3455</v>
      </c>
      <c r="H171" s="1114"/>
      <c r="I171" s="1114">
        <v>448</v>
      </c>
      <c r="J171" s="1122">
        <v>0.3</v>
      </c>
      <c r="K171" s="1118">
        <f t="shared" si="12"/>
        <v>134.4</v>
      </c>
      <c r="L171" s="1030"/>
      <c r="M171" s="1030"/>
      <c r="N171" s="1030"/>
      <c r="O171" s="1030"/>
      <c r="P171" s="1030"/>
      <c r="Q171" s="1030"/>
      <c r="R171" s="1030"/>
      <c r="S171" s="1030"/>
      <c r="T171" s="1030"/>
      <c r="U171" s="1030"/>
      <c r="V171" s="1030"/>
      <c r="W171" s="1030"/>
      <c r="X171" s="1030"/>
      <c r="Y171" s="1030"/>
      <c r="Z171" s="1030"/>
    </row>
    <row r="172" spans="1:26" ht="12.75" customHeight="1">
      <c r="A172" s="1098">
        <f t="shared" si="11"/>
        <v>68</v>
      </c>
      <c r="B172" s="1051" t="s">
        <v>3428</v>
      </c>
      <c r="C172" s="1066" t="s">
        <v>3342</v>
      </c>
      <c r="D172" s="1113" t="s">
        <v>122</v>
      </c>
      <c r="E172" s="1136"/>
      <c r="F172" s="1073" t="s">
        <v>3410</v>
      </c>
      <c r="G172" s="1035" t="s">
        <v>3457</v>
      </c>
      <c r="H172" s="1114"/>
      <c r="I172" s="1114">
        <v>578</v>
      </c>
      <c r="J172" s="1122">
        <v>0.3</v>
      </c>
      <c r="K172" s="1118">
        <f t="shared" si="12"/>
        <v>173.4</v>
      </c>
      <c r="L172" s="1030"/>
      <c r="M172" s="1030"/>
      <c r="N172" s="1030"/>
      <c r="O172" s="1030"/>
      <c r="P172" s="1030"/>
      <c r="Q172" s="1030"/>
      <c r="R172" s="1030"/>
      <c r="S172" s="1030"/>
      <c r="T172" s="1030"/>
      <c r="U172" s="1030"/>
      <c r="V172" s="1030"/>
      <c r="W172" s="1030"/>
      <c r="X172" s="1030"/>
      <c r="Y172" s="1030"/>
      <c r="Z172" s="1030"/>
    </row>
    <row r="173" spans="1:26" ht="12.75" customHeight="1">
      <c r="A173" s="1098">
        <f t="shared" si="11"/>
        <v>69</v>
      </c>
      <c r="B173" s="1051" t="s">
        <v>3428</v>
      </c>
      <c r="C173" s="1066" t="s">
        <v>3342</v>
      </c>
      <c r="D173" s="1113" t="s">
        <v>122</v>
      </c>
      <c r="E173" s="1136"/>
      <c r="F173" s="1073" t="s">
        <v>3410</v>
      </c>
      <c r="G173" s="1035" t="s">
        <v>3458</v>
      </c>
      <c r="H173" s="1114" t="s">
        <v>3459</v>
      </c>
      <c r="I173" s="1114"/>
      <c r="J173" s="1114"/>
      <c r="K173" s="1118">
        <v>60.72</v>
      </c>
      <c r="L173" s="1030"/>
      <c r="M173" s="1030"/>
      <c r="N173" s="1030"/>
      <c r="O173" s="1030"/>
      <c r="P173" s="1030"/>
      <c r="Q173" s="1030"/>
      <c r="R173" s="1030"/>
      <c r="S173" s="1030"/>
      <c r="T173" s="1030"/>
      <c r="U173" s="1030"/>
      <c r="V173" s="1030"/>
      <c r="W173" s="1030"/>
      <c r="X173" s="1030"/>
      <c r="Y173" s="1030"/>
      <c r="Z173" s="1030"/>
    </row>
    <row r="174" spans="1:26" ht="12.75" customHeight="1">
      <c r="A174" s="1098">
        <f t="shared" si="11"/>
        <v>70</v>
      </c>
      <c r="B174" s="1051" t="s">
        <v>3473</v>
      </c>
      <c r="C174" s="1066" t="s">
        <v>3342</v>
      </c>
      <c r="D174" s="1113" t="s">
        <v>122</v>
      </c>
      <c r="E174" s="1136"/>
      <c r="F174" s="1073" t="s">
        <v>3410</v>
      </c>
      <c r="G174" s="1035" t="s">
        <v>3582</v>
      </c>
      <c r="H174" s="1114" t="s">
        <v>3583</v>
      </c>
      <c r="I174" s="1114"/>
      <c r="J174" s="1114"/>
      <c r="K174" s="1118">
        <f>8.4+25.5</f>
        <v>33.9</v>
      </c>
      <c r="L174" s="1030"/>
      <c r="M174" s="1030"/>
      <c r="N174" s="1030"/>
      <c r="O174" s="1030"/>
      <c r="P174" s="1030"/>
      <c r="Q174" s="1030"/>
      <c r="R174" s="1030"/>
      <c r="S174" s="1030"/>
      <c r="T174" s="1030"/>
      <c r="U174" s="1030"/>
      <c r="V174" s="1030"/>
      <c r="W174" s="1030"/>
      <c r="X174" s="1030"/>
      <c r="Y174" s="1030"/>
      <c r="Z174" s="1030"/>
    </row>
    <row r="175" spans="1:26" ht="12.75" customHeight="1">
      <c r="A175" s="1098">
        <f t="shared" si="11"/>
        <v>71</v>
      </c>
      <c r="B175" s="1051" t="s">
        <v>3473</v>
      </c>
      <c r="C175" s="1066" t="s">
        <v>3342</v>
      </c>
      <c r="D175" s="1113" t="s">
        <v>122</v>
      </c>
      <c r="E175" s="1136"/>
      <c r="F175" s="1073" t="s">
        <v>3410</v>
      </c>
      <c r="G175" s="1035" t="s">
        <v>3505</v>
      </c>
      <c r="H175" s="1114" t="s">
        <v>3506</v>
      </c>
      <c r="I175" s="1114"/>
      <c r="J175" s="1114"/>
      <c r="K175" s="1118">
        <v>43.92</v>
      </c>
      <c r="L175" s="1030"/>
      <c r="M175" s="1030"/>
      <c r="N175" s="1030"/>
      <c r="O175" s="1030"/>
      <c r="P175" s="1030"/>
      <c r="Q175" s="1030"/>
      <c r="R175" s="1030"/>
      <c r="S175" s="1030"/>
      <c r="T175" s="1030"/>
      <c r="U175" s="1030"/>
      <c r="V175" s="1030"/>
      <c r="W175" s="1030"/>
      <c r="X175" s="1030"/>
      <c r="Y175" s="1030"/>
      <c r="Z175" s="1030"/>
    </row>
    <row r="176" spans="1:26" ht="12.75" customHeight="1">
      <c r="A176" s="1098">
        <f t="shared" si="11"/>
        <v>72</v>
      </c>
      <c r="B176" s="1051" t="s">
        <v>3428</v>
      </c>
      <c r="C176" s="1066" t="s">
        <v>3342</v>
      </c>
      <c r="D176" s="1113" t="s">
        <v>122</v>
      </c>
      <c r="E176" s="1136"/>
      <c r="F176" s="1073" t="s">
        <v>3410</v>
      </c>
      <c r="G176" s="1035" t="s">
        <v>3460</v>
      </c>
      <c r="H176" s="1114" t="s">
        <v>3461</v>
      </c>
      <c r="I176" s="1114"/>
      <c r="J176" s="1114"/>
      <c r="K176" s="1118">
        <v>251.9</v>
      </c>
      <c r="L176" s="1030"/>
      <c r="M176" s="1030"/>
      <c r="N176" s="1030"/>
      <c r="O176" s="1030"/>
      <c r="P176" s="1030"/>
      <c r="Q176" s="1030"/>
      <c r="R176" s="1030"/>
      <c r="S176" s="1030"/>
      <c r="T176" s="1030"/>
      <c r="U176" s="1030"/>
      <c r="V176" s="1030"/>
      <c r="W176" s="1030"/>
      <c r="X176" s="1030"/>
      <c r="Y176" s="1030"/>
      <c r="Z176" s="1030"/>
    </row>
    <row r="177" spans="1:26" ht="12.75" customHeight="1">
      <c r="A177" s="1098">
        <f t="shared" si="11"/>
        <v>73</v>
      </c>
      <c r="B177" s="1051" t="s">
        <v>3428</v>
      </c>
      <c r="C177" s="1066" t="s">
        <v>3342</v>
      </c>
      <c r="D177" s="1113" t="s">
        <v>122</v>
      </c>
      <c r="E177" s="1136"/>
      <c r="F177" s="1073" t="s">
        <v>3410</v>
      </c>
      <c r="G177" s="1035" t="s">
        <v>3507</v>
      </c>
      <c r="H177" s="1114"/>
      <c r="I177" s="1114"/>
      <c r="J177" s="1114"/>
      <c r="K177" s="1118">
        <v>0</v>
      </c>
      <c r="L177" s="1159"/>
      <c r="M177" s="1030"/>
      <c r="N177" s="1030"/>
      <c r="O177" s="1030"/>
      <c r="P177" s="1030"/>
      <c r="Q177" s="1030"/>
      <c r="R177" s="1030"/>
      <c r="S177" s="1030"/>
      <c r="T177" s="1030"/>
      <c r="U177" s="1030"/>
      <c r="V177" s="1030"/>
      <c r="W177" s="1030"/>
      <c r="X177" s="1030"/>
      <c r="Y177" s="1030"/>
      <c r="Z177" s="1030"/>
    </row>
    <row r="178" spans="1:26" ht="52.5" customHeight="1">
      <c r="A178" s="1098">
        <f t="shared" si="11"/>
        <v>74</v>
      </c>
      <c r="B178" s="1051" t="s">
        <v>3466</v>
      </c>
      <c r="C178" s="1066" t="s">
        <v>3342</v>
      </c>
      <c r="D178" s="1113" t="s">
        <v>122</v>
      </c>
      <c r="E178" s="1136"/>
      <c r="F178" s="1073" t="s">
        <v>3410</v>
      </c>
      <c r="G178" s="1035" t="s">
        <v>3584</v>
      </c>
      <c r="H178" s="1114" t="s">
        <v>3585</v>
      </c>
      <c r="I178" s="1163" t="s">
        <v>3586</v>
      </c>
      <c r="J178" s="1114"/>
      <c r="K178" s="1118">
        <f>3504.55+103.5+2784.55+8926+81.81</f>
        <v>15400.41</v>
      </c>
      <c r="L178" s="1162"/>
      <c r="M178" s="1030"/>
      <c r="N178" s="1030"/>
      <c r="O178" s="1030"/>
      <c r="P178" s="1030"/>
      <c r="Q178" s="1030"/>
      <c r="R178" s="1030"/>
      <c r="S178" s="1030"/>
      <c r="T178" s="1030"/>
      <c r="U178" s="1030"/>
      <c r="V178" s="1030"/>
      <c r="W178" s="1030"/>
      <c r="X178" s="1030"/>
      <c r="Y178" s="1030"/>
      <c r="Z178" s="1030"/>
    </row>
    <row r="179" spans="1:26" ht="25.5">
      <c r="A179" s="1098">
        <f t="shared" si="11"/>
        <v>75</v>
      </c>
      <c r="B179" s="1051" t="s">
        <v>3470</v>
      </c>
      <c r="C179" s="1066" t="s">
        <v>3342</v>
      </c>
      <c r="D179" s="1113" t="s">
        <v>122</v>
      </c>
      <c r="E179" s="1136"/>
      <c r="F179" s="1073" t="s">
        <v>3410</v>
      </c>
      <c r="G179" s="1035" t="s">
        <v>3531</v>
      </c>
      <c r="H179" s="1114" t="s">
        <v>3587</v>
      </c>
      <c r="I179" s="1114"/>
      <c r="J179" s="1114"/>
      <c r="K179" s="1118">
        <v>1850</v>
      </c>
      <c r="L179" s="1160"/>
      <c r="M179" s="1103"/>
      <c r="N179" s="1103"/>
      <c r="O179" s="1103"/>
      <c r="P179" s="1103"/>
      <c r="Q179" s="1103"/>
      <c r="R179" s="1103"/>
      <c r="S179" s="1103"/>
      <c r="T179" s="1103"/>
      <c r="U179" s="1103"/>
      <c r="V179" s="1103"/>
      <c r="W179" s="1103"/>
      <c r="X179" s="1103"/>
      <c r="Y179" s="1103"/>
      <c r="Z179" s="1103"/>
    </row>
    <row r="180" spans="1:26" ht="25.5">
      <c r="A180" s="1098">
        <f t="shared" si="11"/>
        <v>76</v>
      </c>
      <c r="B180" s="1051" t="s">
        <v>3485</v>
      </c>
      <c r="C180" s="1066" t="s">
        <v>3342</v>
      </c>
      <c r="D180" s="1113" t="s">
        <v>122</v>
      </c>
      <c r="E180" s="1136"/>
      <c r="F180" s="1073" t="s">
        <v>3410</v>
      </c>
      <c r="G180" s="1035" t="s">
        <v>3510</v>
      </c>
      <c r="H180" s="1114" t="s">
        <v>3511</v>
      </c>
      <c r="I180" s="1114" t="s">
        <v>3512</v>
      </c>
      <c r="J180" s="1114"/>
      <c r="K180" s="1118">
        <v>80</v>
      </c>
      <c r="L180" s="1160"/>
      <c r="M180" s="1103"/>
      <c r="N180" s="1103"/>
      <c r="O180" s="1103"/>
      <c r="P180" s="1103"/>
      <c r="Q180" s="1103"/>
      <c r="R180" s="1103"/>
      <c r="S180" s="1103"/>
      <c r="T180" s="1103"/>
      <c r="U180" s="1103"/>
      <c r="V180" s="1103"/>
      <c r="W180" s="1103"/>
      <c r="X180" s="1103"/>
      <c r="Y180" s="1103"/>
      <c r="Z180" s="1103"/>
    </row>
    <row r="181" spans="1:26" ht="30.75" customHeight="1">
      <c r="A181" s="1098">
        <f t="shared" si="11"/>
        <v>77</v>
      </c>
      <c r="B181" s="1051" t="s">
        <v>3473</v>
      </c>
      <c r="C181" s="1066" t="s">
        <v>3342</v>
      </c>
      <c r="D181" s="1113" t="s">
        <v>122</v>
      </c>
      <c r="E181" s="1136"/>
      <c r="F181" s="1073" t="s">
        <v>3410</v>
      </c>
      <c r="G181" s="1035" t="s">
        <v>3588</v>
      </c>
      <c r="H181" s="1114" t="s">
        <v>3589</v>
      </c>
      <c r="I181" s="1114"/>
      <c r="J181" s="1114"/>
      <c r="K181" s="1118"/>
      <c r="L181" s="1162"/>
      <c r="M181" s="1030"/>
      <c r="N181" s="1030"/>
      <c r="O181" s="1030"/>
      <c r="P181" s="1030"/>
      <c r="Q181" s="1030"/>
      <c r="R181" s="1030"/>
      <c r="S181" s="1030"/>
      <c r="T181" s="1030"/>
      <c r="U181" s="1030"/>
      <c r="V181" s="1030"/>
      <c r="W181" s="1030"/>
      <c r="X181" s="1030"/>
      <c r="Y181" s="1030"/>
      <c r="Z181" s="1030"/>
    </row>
    <row r="182" spans="1:26" ht="26.25" customHeight="1">
      <c r="A182" s="1098">
        <f t="shared" si="11"/>
        <v>78</v>
      </c>
      <c r="B182" s="1051" t="s">
        <v>3473</v>
      </c>
      <c r="C182" s="1112" t="s">
        <v>3342</v>
      </c>
      <c r="D182" s="1113" t="s">
        <v>122</v>
      </c>
      <c r="E182" s="1114"/>
      <c r="F182" s="1073" t="s">
        <v>3410</v>
      </c>
      <c r="G182" s="1035" t="s">
        <v>3474</v>
      </c>
      <c r="H182" s="1114" t="s">
        <v>3590</v>
      </c>
      <c r="I182" s="1114"/>
      <c r="J182" s="1114"/>
      <c r="K182" s="1161">
        <v>1750.98</v>
      </c>
      <c r="L182" s="1162"/>
      <c r="M182" s="1030"/>
      <c r="N182" s="1030"/>
      <c r="O182" s="1030"/>
      <c r="P182" s="1030"/>
      <c r="Q182" s="1030"/>
      <c r="R182" s="1030"/>
      <c r="S182" s="1030"/>
      <c r="T182" s="1030"/>
      <c r="U182" s="1030"/>
      <c r="V182" s="1030"/>
      <c r="W182" s="1030"/>
      <c r="X182" s="1030"/>
      <c r="Y182" s="1030"/>
      <c r="Z182" s="1030"/>
    </row>
    <row r="183" spans="1:26" ht="25.5">
      <c r="A183" s="1098">
        <f t="shared" si="11"/>
        <v>79</v>
      </c>
      <c r="B183" s="1051" t="s">
        <v>3473</v>
      </c>
      <c r="C183" s="1112" t="s">
        <v>3342</v>
      </c>
      <c r="D183" s="1113" t="s">
        <v>122</v>
      </c>
      <c r="E183" s="1114"/>
      <c r="F183" s="1073" t="s">
        <v>3410</v>
      </c>
      <c r="G183" s="1035" t="s">
        <v>3474</v>
      </c>
      <c r="H183" s="1114" t="s">
        <v>3591</v>
      </c>
      <c r="I183" s="1114" t="s">
        <v>3592</v>
      </c>
      <c r="J183" s="1114"/>
      <c r="K183" s="1118">
        <f>17.02+17.02</f>
        <v>34.04</v>
      </c>
      <c r="L183" s="1162"/>
      <c r="M183" s="1030"/>
      <c r="N183" s="1030"/>
      <c r="O183" s="1030"/>
      <c r="P183" s="1030"/>
      <c r="Q183" s="1030"/>
      <c r="R183" s="1030"/>
      <c r="S183" s="1030"/>
      <c r="T183" s="1030"/>
      <c r="U183" s="1030"/>
      <c r="V183" s="1030"/>
      <c r="W183" s="1030"/>
      <c r="X183" s="1030"/>
      <c r="Y183" s="1030"/>
      <c r="Z183" s="1030"/>
    </row>
    <row r="184" spans="1:26" ht="25.5">
      <c r="A184" s="1098">
        <f t="shared" si="11"/>
        <v>80</v>
      </c>
      <c r="B184" s="1051" t="s">
        <v>3473</v>
      </c>
      <c r="C184" s="1112" t="s">
        <v>3342</v>
      </c>
      <c r="D184" s="1113" t="s">
        <v>122</v>
      </c>
      <c r="E184" s="1114"/>
      <c r="F184" s="1073" t="s">
        <v>3410</v>
      </c>
      <c r="G184" s="1035" t="s">
        <v>3479</v>
      </c>
      <c r="H184" s="1114" t="s">
        <v>3593</v>
      </c>
      <c r="I184" s="1114"/>
      <c r="J184" s="1114"/>
      <c r="K184" s="1118">
        <f>1712.44/2</f>
        <v>856.22</v>
      </c>
      <c r="L184" s="1162"/>
      <c r="M184" s="1030"/>
      <c r="N184" s="1030"/>
      <c r="O184" s="1030"/>
      <c r="P184" s="1030"/>
      <c r="Q184" s="1030"/>
      <c r="R184" s="1030"/>
      <c r="S184" s="1030"/>
      <c r="T184" s="1030"/>
      <c r="U184" s="1030"/>
      <c r="V184" s="1030"/>
      <c r="W184" s="1030"/>
      <c r="X184" s="1030"/>
      <c r="Y184" s="1030"/>
      <c r="Z184" s="1030"/>
    </row>
    <row r="185" spans="1:26" ht="12.75" customHeight="1">
      <c r="A185" s="1098">
        <f t="shared" si="11"/>
        <v>81</v>
      </c>
      <c r="B185" s="1051" t="s">
        <v>3462</v>
      </c>
      <c r="C185" s="1066" t="s">
        <v>3342</v>
      </c>
      <c r="D185" s="1113" t="s">
        <v>122</v>
      </c>
      <c r="E185" s="1136"/>
      <c r="F185" s="1073" t="s">
        <v>3410</v>
      </c>
      <c r="G185" s="1035" t="s">
        <v>3535</v>
      </c>
      <c r="H185" s="1114" t="s">
        <v>3594</v>
      </c>
      <c r="I185" s="1114" t="s">
        <v>3595</v>
      </c>
      <c r="J185" s="1114"/>
      <c r="K185" s="1118">
        <f>((7700+154)/3)/200*150</f>
        <v>1963.5</v>
      </c>
      <c r="L185" s="1159"/>
      <c r="M185" s="1030"/>
      <c r="N185" s="1030"/>
      <c r="O185" s="1030"/>
      <c r="P185" s="1030"/>
      <c r="Q185" s="1030"/>
      <c r="R185" s="1030"/>
      <c r="S185" s="1030"/>
      <c r="T185" s="1030"/>
      <c r="U185" s="1030"/>
      <c r="V185" s="1030"/>
      <c r="W185" s="1030"/>
      <c r="X185" s="1030"/>
      <c r="Y185" s="1030"/>
      <c r="Z185" s="1030"/>
    </row>
    <row r="186" spans="1:26" ht="12.75" customHeight="1">
      <c r="A186" s="1098">
        <f t="shared" si="11"/>
        <v>82</v>
      </c>
      <c r="B186" s="1051" t="s">
        <v>3485</v>
      </c>
      <c r="C186" s="1066" t="s">
        <v>3342</v>
      </c>
      <c r="D186" s="1113" t="s">
        <v>122</v>
      </c>
      <c r="E186" s="1136"/>
      <c r="F186" s="1073" t="s">
        <v>3410</v>
      </c>
      <c r="G186" s="1035" t="s">
        <v>3596</v>
      </c>
      <c r="H186" s="1114" t="s">
        <v>3597</v>
      </c>
      <c r="I186" s="1114"/>
      <c r="J186" s="1114"/>
      <c r="K186" s="1118">
        <v>296.61</v>
      </c>
      <c r="L186" s="1159"/>
      <c r="M186" s="1030"/>
      <c r="N186" s="1030"/>
      <c r="O186" s="1030"/>
      <c r="P186" s="1030"/>
      <c r="Q186" s="1030"/>
      <c r="R186" s="1030"/>
      <c r="S186" s="1030"/>
      <c r="T186" s="1030"/>
      <c r="U186" s="1030"/>
      <c r="V186" s="1030"/>
      <c r="W186" s="1030"/>
      <c r="X186" s="1030"/>
      <c r="Y186" s="1030"/>
      <c r="Z186" s="1030"/>
    </row>
    <row r="187" spans="1:26" ht="12.75" customHeight="1">
      <c r="A187" s="1098">
        <f t="shared" si="11"/>
        <v>83</v>
      </c>
      <c r="B187" s="1051" t="s">
        <v>3485</v>
      </c>
      <c r="C187" s="1066" t="s">
        <v>3342</v>
      </c>
      <c r="D187" s="1113" t="s">
        <v>122</v>
      </c>
      <c r="E187" s="1136"/>
      <c r="F187" s="1073" t="s">
        <v>3410</v>
      </c>
      <c r="G187" s="1035" t="s">
        <v>3495</v>
      </c>
      <c r="H187" s="1114" t="s">
        <v>3598</v>
      </c>
      <c r="I187" s="1163" t="s">
        <v>3599</v>
      </c>
      <c r="J187" s="1114"/>
      <c r="K187" s="1118">
        <f>3.7*2+19.01</f>
        <v>26.410000000000004</v>
      </c>
      <c r="L187" s="1159"/>
      <c r="M187" s="1030"/>
      <c r="N187" s="1030"/>
      <c r="O187" s="1030"/>
      <c r="P187" s="1030"/>
      <c r="Q187" s="1030"/>
      <c r="R187" s="1030"/>
      <c r="S187" s="1030"/>
      <c r="T187" s="1030"/>
      <c r="U187" s="1030"/>
      <c r="V187" s="1030"/>
      <c r="W187" s="1030"/>
      <c r="X187" s="1030"/>
      <c r="Y187" s="1030"/>
      <c r="Z187" s="1030"/>
    </row>
    <row r="188" spans="1:26" ht="12.75" customHeight="1">
      <c r="A188" s="1098">
        <f t="shared" si="11"/>
        <v>84</v>
      </c>
      <c r="B188" s="1051" t="s">
        <v>3428</v>
      </c>
      <c r="C188" s="1066" t="s">
        <v>3342</v>
      </c>
      <c r="D188" s="1113" t="s">
        <v>122</v>
      </c>
      <c r="E188" s="1152"/>
      <c r="F188" s="1073" t="s">
        <v>3414</v>
      </c>
      <c r="G188" s="1035" t="s">
        <v>3429</v>
      </c>
      <c r="H188" s="1114"/>
      <c r="I188" s="1114">
        <v>120</v>
      </c>
      <c r="J188" s="1117">
        <v>0.3</v>
      </c>
      <c r="K188" s="1118">
        <f t="shared" ref="K188:K215" si="13">I188*J188</f>
        <v>36</v>
      </c>
      <c r="L188" s="1030"/>
      <c r="M188" s="1030"/>
      <c r="N188" s="1030"/>
      <c r="O188" s="1030"/>
      <c r="P188" s="1030"/>
      <c r="Q188" s="1030"/>
      <c r="R188" s="1030"/>
      <c r="S188" s="1030"/>
      <c r="T188" s="1030"/>
      <c r="U188" s="1030"/>
      <c r="V188" s="1030"/>
      <c r="W188" s="1030"/>
      <c r="X188" s="1030"/>
      <c r="Y188" s="1030"/>
      <c r="Z188" s="1030"/>
    </row>
    <row r="189" spans="1:26" ht="12.75" customHeight="1">
      <c r="A189" s="1098">
        <f t="shared" si="11"/>
        <v>85</v>
      </c>
      <c r="B189" s="1051" t="s">
        <v>3428</v>
      </c>
      <c r="C189" s="1066" t="s">
        <v>3342</v>
      </c>
      <c r="D189" s="1113" t="s">
        <v>122</v>
      </c>
      <c r="E189" s="1152"/>
      <c r="F189" s="1073" t="s">
        <v>3414</v>
      </c>
      <c r="G189" s="1035" t="s">
        <v>3431</v>
      </c>
      <c r="H189" s="1114" t="s">
        <v>3563</v>
      </c>
      <c r="I189" s="1114">
        <v>0</v>
      </c>
      <c r="J189" s="1122">
        <v>0.3</v>
      </c>
      <c r="K189" s="1118">
        <f t="shared" si="13"/>
        <v>0</v>
      </c>
      <c r="L189" s="1030"/>
      <c r="M189" s="1030"/>
      <c r="N189" s="1030"/>
      <c r="O189" s="1030"/>
      <c r="P189" s="1030"/>
      <c r="Q189" s="1030"/>
      <c r="R189" s="1030"/>
      <c r="S189" s="1030"/>
      <c r="T189" s="1030"/>
      <c r="U189" s="1030"/>
      <c r="V189" s="1030"/>
      <c r="W189" s="1030"/>
      <c r="X189" s="1030"/>
      <c r="Y189" s="1030"/>
      <c r="Z189" s="1030"/>
    </row>
    <row r="190" spans="1:26" ht="12.75" customHeight="1">
      <c r="A190" s="1098">
        <f t="shared" si="11"/>
        <v>86</v>
      </c>
      <c r="B190" s="1051" t="s">
        <v>3428</v>
      </c>
      <c r="C190" s="1066" t="s">
        <v>3342</v>
      </c>
      <c r="D190" s="1113" t="s">
        <v>122</v>
      </c>
      <c r="E190" s="1152"/>
      <c r="F190" s="1073" t="s">
        <v>3414</v>
      </c>
      <c r="G190" s="1035" t="s">
        <v>3433</v>
      </c>
      <c r="H190" s="1114"/>
      <c r="I190" s="1114">
        <v>358</v>
      </c>
      <c r="J190" s="1122">
        <v>0.3</v>
      </c>
      <c r="K190" s="1118">
        <f t="shared" si="13"/>
        <v>107.39999999999999</v>
      </c>
      <c r="L190" s="1030"/>
      <c r="M190" s="1030"/>
      <c r="N190" s="1030"/>
      <c r="O190" s="1030"/>
      <c r="P190" s="1030"/>
      <c r="Q190" s="1030"/>
      <c r="R190" s="1030"/>
      <c r="S190" s="1030"/>
      <c r="T190" s="1030"/>
      <c r="U190" s="1030"/>
      <c r="V190" s="1030"/>
      <c r="W190" s="1030"/>
      <c r="X190" s="1030"/>
      <c r="Y190" s="1030"/>
      <c r="Z190" s="1030"/>
    </row>
    <row r="191" spans="1:26" ht="12.75" customHeight="1">
      <c r="A191" s="1098">
        <f t="shared" si="11"/>
        <v>87</v>
      </c>
      <c r="B191" s="1051" t="s">
        <v>3428</v>
      </c>
      <c r="C191" s="1066" t="s">
        <v>3342</v>
      </c>
      <c r="D191" s="1113" t="s">
        <v>122</v>
      </c>
      <c r="E191" s="1153"/>
      <c r="F191" s="1073" t="s">
        <v>3414</v>
      </c>
      <c r="G191" s="1035" t="s">
        <v>3435</v>
      </c>
      <c r="H191" s="1114" t="s">
        <v>3563</v>
      </c>
      <c r="I191" s="1114">
        <v>0</v>
      </c>
      <c r="J191" s="1131">
        <v>0.3</v>
      </c>
      <c r="K191" s="1154">
        <f t="shared" si="13"/>
        <v>0</v>
      </c>
      <c r="L191" s="1030"/>
      <c r="M191" s="1030"/>
      <c r="N191" s="1030"/>
      <c r="O191" s="1030"/>
      <c r="P191" s="1030"/>
      <c r="Q191" s="1030"/>
      <c r="R191" s="1030"/>
      <c r="S191" s="1030"/>
      <c r="T191" s="1030"/>
      <c r="U191" s="1030"/>
      <c r="V191" s="1030"/>
      <c r="W191" s="1030"/>
      <c r="X191" s="1030"/>
      <c r="Y191" s="1030"/>
      <c r="Z191" s="1030"/>
    </row>
    <row r="192" spans="1:26" ht="12.75" customHeight="1">
      <c r="A192" s="1098">
        <f t="shared" si="11"/>
        <v>88</v>
      </c>
      <c r="B192" s="1051" t="s">
        <v>3428</v>
      </c>
      <c r="C192" s="1066" t="s">
        <v>3342</v>
      </c>
      <c r="D192" s="1113" t="s">
        <v>122</v>
      </c>
      <c r="E192" s="1153"/>
      <c r="F192" s="1073" t="s">
        <v>3414</v>
      </c>
      <c r="G192" s="1035" t="s">
        <v>3436</v>
      </c>
      <c r="H192" s="1114"/>
      <c r="I192" s="1114">
        <v>210</v>
      </c>
      <c r="J192" s="1131">
        <v>0.3</v>
      </c>
      <c r="K192" s="1154">
        <f t="shared" si="13"/>
        <v>63</v>
      </c>
      <c r="L192" s="1030"/>
      <c r="M192" s="1030"/>
      <c r="N192" s="1030"/>
      <c r="O192" s="1030"/>
      <c r="P192" s="1030"/>
      <c r="Q192" s="1030"/>
      <c r="R192" s="1030"/>
      <c r="S192" s="1030"/>
      <c r="T192" s="1030"/>
      <c r="U192" s="1030"/>
      <c r="V192" s="1030"/>
      <c r="W192" s="1030"/>
      <c r="X192" s="1030"/>
      <c r="Y192" s="1030"/>
      <c r="Z192" s="1030"/>
    </row>
    <row r="193" spans="1:26" ht="12.75" customHeight="1">
      <c r="A193" s="1098">
        <f t="shared" si="11"/>
        <v>89</v>
      </c>
      <c r="B193" s="1051" t="s">
        <v>3428</v>
      </c>
      <c r="C193" s="1066" t="s">
        <v>3342</v>
      </c>
      <c r="D193" s="1113" t="s">
        <v>122</v>
      </c>
      <c r="E193" s="1153"/>
      <c r="F193" s="1073" t="s">
        <v>3414</v>
      </c>
      <c r="G193" s="1035" t="s">
        <v>3522</v>
      </c>
      <c r="H193" s="1114"/>
      <c r="I193" s="1114">
        <v>0</v>
      </c>
      <c r="J193" s="1122">
        <v>0</v>
      </c>
      <c r="K193" s="1118">
        <f t="shared" si="13"/>
        <v>0</v>
      </c>
      <c r="L193" s="1030"/>
      <c r="M193" s="1030"/>
      <c r="N193" s="1030"/>
      <c r="O193" s="1030"/>
      <c r="P193" s="1030"/>
      <c r="Q193" s="1030"/>
      <c r="R193" s="1030"/>
      <c r="S193" s="1030"/>
      <c r="T193" s="1030"/>
      <c r="U193" s="1030"/>
      <c r="V193" s="1030"/>
      <c r="W193" s="1030"/>
      <c r="X193" s="1030"/>
      <c r="Y193" s="1030"/>
      <c r="Z193" s="1030"/>
    </row>
    <row r="194" spans="1:26" ht="12.75" customHeight="1">
      <c r="A194" s="1098">
        <f t="shared" si="11"/>
        <v>90</v>
      </c>
      <c r="B194" s="1051" t="s">
        <v>3428</v>
      </c>
      <c r="C194" s="1066" t="s">
        <v>3342</v>
      </c>
      <c r="D194" s="1113" t="s">
        <v>122</v>
      </c>
      <c r="E194" s="1152"/>
      <c r="F194" s="1073" t="s">
        <v>3414</v>
      </c>
      <c r="G194" s="1035" t="s">
        <v>3523</v>
      </c>
      <c r="H194" s="1114"/>
      <c r="I194" s="1114">
        <v>290</v>
      </c>
      <c r="J194" s="1122">
        <v>0.3</v>
      </c>
      <c r="K194" s="1118">
        <f t="shared" si="13"/>
        <v>87</v>
      </c>
      <c r="L194" s="1030"/>
      <c r="M194" s="1030"/>
      <c r="N194" s="1030"/>
      <c r="O194" s="1030"/>
      <c r="P194" s="1030"/>
      <c r="Q194" s="1030"/>
      <c r="R194" s="1030"/>
      <c r="S194" s="1030"/>
      <c r="T194" s="1030"/>
      <c r="U194" s="1030"/>
      <c r="V194" s="1030"/>
      <c r="W194" s="1030"/>
      <c r="X194" s="1030"/>
      <c r="Y194" s="1030"/>
      <c r="Z194" s="1030"/>
    </row>
    <row r="195" spans="1:26" ht="12.75" customHeight="1">
      <c r="A195" s="1098">
        <f t="shared" si="11"/>
        <v>91</v>
      </c>
      <c r="B195" s="1051" t="s">
        <v>3428</v>
      </c>
      <c r="C195" s="1066" t="s">
        <v>3342</v>
      </c>
      <c r="D195" s="1113" t="s">
        <v>122</v>
      </c>
      <c r="E195" s="1152"/>
      <c r="F195" s="1073" t="s">
        <v>3414</v>
      </c>
      <c r="G195" s="1035" t="s">
        <v>3439</v>
      </c>
      <c r="H195" s="1114"/>
      <c r="I195" s="1114">
        <v>400</v>
      </c>
      <c r="J195" s="1122">
        <v>0.3</v>
      </c>
      <c r="K195" s="1118">
        <f t="shared" si="13"/>
        <v>120</v>
      </c>
      <c r="L195" s="1030"/>
      <c r="M195" s="1030"/>
      <c r="N195" s="1030"/>
      <c r="O195" s="1030"/>
      <c r="P195" s="1030"/>
      <c r="Q195" s="1030"/>
      <c r="R195" s="1030"/>
      <c r="S195" s="1030"/>
      <c r="T195" s="1030"/>
      <c r="U195" s="1030"/>
      <c r="V195" s="1030"/>
      <c r="W195" s="1030"/>
      <c r="X195" s="1030"/>
      <c r="Y195" s="1030"/>
      <c r="Z195" s="1030"/>
    </row>
    <row r="196" spans="1:26" ht="12.75" customHeight="1">
      <c r="A196" s="1098">
        <f t="shared" si="11"/>
        <v>92</v>
      </c>
      <c r="B196" s="1051" t="s">
        <v>3428</v>
      </c>
      <c r="C196" s="1066" t="s">
        <v>3342</v>
      </c>
      <c r="D196" s="1113" t="s">
        <v>122</v>
      </c>
      <c r="E196" s="1152"/>
      <c r="F196" s="1073" t="s">
        <v>3414</v>
      </c>
      <c r="G196" s="1035" t="s">
        <v>3440</v>
      </c>
      <c r="H196" s="1114"/>
      <c r="I196" s="1114">
        <v>96</v>
      </c>
      <c r="J196" s="1122">
        <v>0.3</v>
      </c>
      <c r="K196" s="1118">
        <f t="shared" si="13"/>
        <v>28.799999999999997</v>
      </c>
      <c r="L196" s="1030"/>
      <c r="M196" s="1030"/>
      <c r="N196" s="1030"/>
      <c r="O196" s="1030"/>
      <c r="P196" s="1030"/>
      <c r="Q196" s="1030"/>
      <c r="R196" s="1030"/>
      <c r="S196" s="1030"/>
      <c r="T196" s="1030"/>
      <c r="U196" s="1030"/>
      <c r="V196" s="1030"/>
      <c r="W196" s="1030"/>
      <c r="X196" s="1030"/>
      <c r="Y196" s="1030"/>
      <c r="Z196" s="1030"/>
    </row>
    <row r="197" spans="1:26" ht="12.75" customHeight="1">
      <c r="A197" s="1098">
        <f t="shared" si="11"/>
        <v>93</v>
      </c>
      <c r="B197" s="1051" t="s">
        <v>3428</v>
      </c>
      <c r="C197" s="1066" t="s">
        <v>3342</v>
      </c>
      <c r="D197" s="1113" t="s">
        <v>122</v>
      </c>
      <c r="E197" s="1152"/>
      <c r="F197" s="1073" t="s">
        <v>3414</v>
      </c>
      <c r="G197" s="1035" t="s">
        <v>3441</v>
      </c>
      <c r="H197" s="1114"/>
      <c r="I197" s="1114">
        <v>340</v>
      </c>
      <c r="J197" s="1122">
        <v>0.3</v>
      </c>
      <c r="K197" s="1118">
        <f t="shared" si="13"/>
        <v>102</v>
      </c>
      <c r="L197" s="1030"/>
      <c r="M197" s="1030"/>
      <c r="N197" s="1030"/>
      <c r="O197" s="1030"/>
      <c r="P197" s="1030"/>
      <c r="Q197" s="1030"/>
      <c r="R197" s="1030"/>
      <c r="S197" s="1030"/>
      <c r="T197" s="1030"/>
      <c r="U197" s="1030"/>
      <c r="V197" s="1030"/>
      <c r="W197" s="1030"/>
      <c r="X197" s="1030"/>
      <c r="Y197" s="1030"/>
      <c r="Z197" s="1030"/>
    </row>
    <row r="198" spans="1:26" ht="12.75" customHeight="1">
      <c r="A198" s="1098">
        <f t="shared" si="11"/>
        <v>94</v>
      </c>
      <c r="B198" s="1051" t="s">
        <v>3428</v>
      </c>
      <c r="C198" s="1066" t="s">
        <v>3342</v>
      </c>
      <c r="D198" s="1113" t="s">
        <v>122</v>
      </c>
      <c r="E198" s="1152"/>
      <c r="F198" s="1073" t="s">
        <v>3414</v>
      </c>
      <c r="G198" s="1035" t="s">
        <v>3442</v>
      </c>
      <c r="H198" s="1114"/>
      <c r="I198" s="1114">
        <v>648</v>
      </c>
      <c r="J198" s="1122">
        <v>0.3</v>
      </c>
      <c r="K198" s="1118">
        <f t="shared" si="13"/>
        <v>194.4</v>
      </c>
      <c r="L198" s="1030"/>
      <c r="M198" s="1030"/>
      <c r="N198" s="1030"/>
      <c r="O198" s="1030"/>
      <c r="P198" s="1030"/>
      <c r="Q198" s="1030"/>
      <c r="R198" s="1030"/>
      <c r="S198" s="1030"/>
      <c r="T198" s="1030"/>
      <c r="U198" s="1030"/>
      <c r="V198" s="1030"/>
      <c r="W198" s="1030"/>
      <c r="X198" s="1030"/>
      <c r="Y198" s="1030"/>
      <c r="Z198" s="1030"/>
    </row>
    <row r="199" spans="1:26" ht="12.75" customHeight="1">
      <c r="A199" s="1098">
        <f t="shared" si="11"/>
        <v>95</v>
      </c>
      <c r="B199" s="1051" t="s">
        <v>3428</v>
      </c>
      <c r="C199" s="1066" t="s">
        <v>3342</v>
      </c>
      <c r="D199" s="1113" t="s">
        <v>122</v>
      </c>
      <c r="E199" s="1136"/>
      <c r="F199" s="1073" t="s">
        <v>3414</v>
      </c>
      <c r="G199" s="1035" t="s">
        <v>3443</v>
      </c>
      <c r="H199" s="1114"/>
      <c r="I199" s="1114">
        <v>480</v>
      </c>
      <c r="J199" s="1122">
        <v>0.3</v>
      </c>
      <c r="K199" s="1118">
        <f t="shared" si="13"/>
        <v>144</v>
      </c>
      <c r="L199" s="1030"/>
      <c r="M199" s="1030"/>
      <c r="N199" s="1030"/>
      <c r="O199" s="1030"/>
      <c r="P199" s="1030"/>
      <c r="Q199" s="1030"/>
      <c r="R199" s="1030"/>
      <c r="S199" s="1030"/>
      <c r="T199" s="1030"/>
      <c r="U199" s="1030"/>
      <c r="V199" s="1030"/>
      <c r="W199" s="1030"/>
      <c r="X199" s="1030"/>
      <c r="Y199" s="1030"/>
      <c r="Z199" s="1030"/>
    </row>
    <row r="200" spans="1:26" ht="12.75" customHeight="1">
      <c r="A200" s="1098">
        <f t="shared" si="11"/>
        <v>96</v>
      </c>
      <c r="B200" s="1051" t="s">
        <v>3428</v>
      </c>
      <c r="C200" s="1066" t="s">
        <v>3342</v>
      </c>
      <c r="D200" s="1113" t="s">
        <v>122</v>
      </c>
      <c r="E200" s="1136"/>
      <c r="F200" s="1073" t="s">
        <v>3414</v>
      </c>
      <c r="G200" s="1035" t="s">
        <v>3565</v>
      </c>
      <c r="H200" s="1114" t="s">
        <v>3563</v>
      </c>
      <c r="I200" s="1114">
        <v>0</v>
      </c>
      <c r="J200" s="1122">
        <v>0.3</v>
      </c>
      <c r="K200" s="1118">
        <f t="shared" si="13"/>
        <v>0</v>
      </c>
      <c r="L200" s="1030"/>
      <c r="M200" s="1030"/>
      <c r="N200" s="1030"/>
      <c r="O200" s="1030"/>
      <c r="P200" s="1030"/>
      <c r="Q200" s="1030"/>
      <c r="R200" s="1030"/>
      <c r="S200" s="1030"/>
      <c r="T200" s="1030"/>
      <c r="U200" s="1030"/>
      <c r="V200" s="1030"/>
      <c r="W200" s="1030"/>
      <c r="X200" s="1030"/>
      <c r="Y200" s="1030"/>
      <c r="Z200" s="1030"/>
    </row>
    <row r="201" spans="1:26" ht="12.75" customHeight="1">
      <c r="A201" s="1098">
        <f t="shared" si="11"/>
        <v>97</v>
      </c>
      <c r="B201" s="1051" t="s">
        <v>3428</v>
      </c>
      <c r="C201" s="1066" t="s">
        <v>3342</v>
      </c>
      <c r="D201" s="1113" t="s">
        <v>122</v>
      </c>
      <c r="E201" s="1136"/>
      <c r="F201" s="1073" t="s">
        <v>3414</v>
      </c>
      <c r="G201" s="1035" t="s">
        <v>3444</v>
      </c>
      <c r="H201" s="1114"/>
      <c r="I201" s="1114">
        <v>0</v>
      </c>
      <c r="J201" s="1122">
        <v>0.3</v>
      </c>
      <c r="K201" s="1118">
        <f t="shared" si="13"/>
        <v>0</v>
      </c>
      <c r="L201" s="1030"/>
      <c r="M201" s="1030"/>
      <c r="N201" s="1030"/>
      <c r="O201" s="1030"/>
      <c r="P201" s="1030"/>
      <c r="Q201" s="1030"/>
      <c r="R201" s="1030"/>
      <c r="S201" s="1030"/>
      <c r="T201" s="1030"/>
      <c r="U201" s="1030"/>
      <c r="V201" s="1030"/>
      <c r="W201" s="1030"/>
      <c r="X201" s="1030"/>
      <c r="Y201" s="1030"/>
      <c r="Z201" s="1030"/>
    </row>
    <row r="202" spans="1:26" ht="12.75" customHeight="1">
      <c r="A202" s="1098">
        <f t="shared" si="11"/>
        <v>98</v>
      </c>
      <c r="B202" s="1051" t="s">
        <v>3428</v>
      </c>
      <c r="C202" s="1066" t="s">
        <v>3342</v>
      </c>
      <c r="D202" s="1113" t="s">
        <v>122</v>
      </c>
      <c r="E202" s="1136"/>
      <c r="F202" s="1073" t="s">
        <v>3414</v>
      </c>
      <c r="G202" s="1035" t="s">
        <v>3446</v>
      </c>
      <c r="H202" s="1114"/>
      <c r="I202" s="1114">
        <v>39</v>
      </c>
      <c r="J202" s="1122">
        <v>0.3</v>
      </c>
      <c r="K202" s="1118">
        <f t="shared" si="13"/>
        <v>11.7</v>
      </c>
      <c r="L202" s="1030"/>
      <c r="M202" s="1030"/>
      <c r="N202" s="1030"/>
      <c r="O202" s="1030"/>
      <c r="P202" s="1030"/>
      <c r="Q202" s="1030"/>
      <c r="R202" s="1030"/>
      <c r="S202" s="1030"/>
      <c r="T202" s="1030"/>
      <c r="U202" s="1030"/>
      <c r="V202" s="1030"/>
      <c r="W202" s="1030"/>
      <c r="X202" s="1030"/>
      <c r="Y202" s="1030"/>
      <c r="Z202" s="1030"/>
    </row>
    <row r="203" spans="1:26" ht="12.75" customHeight="1">
      <c r="A203" s="1098">
        <f t="shared" si="11"/>
        <v>99</v>
      </c>
      <c r="B203" s="1051" t="s">
        <v>3428</v>
      </c>
      <c r="C203" s="1066" t="s">
        <v>3342</v>
      </c>
      <c r="D203" s="1113" t="s">
        <v>122</v>
      </c>
      <c r="E203" s="1136"/>
      <c r="F203" s="1073" t="s">
        <v>3414</v>
      </c>
      <c r="G203" s="1035" t="s">
        <v>3447</v>
      </c>
      <c r="H203" s="1114"/>
      <c r="I203" s="1114">
        <v>0</v>
      </c>
      <c r="J203" s="1122">
        <v>0.3</v>
      </c>
      <c r="K203" s="1118">
        <f t="shared" si="13"/>
        <v>0</v>
      </c>
      <c r="L203" s="1030"/>
      <c r="M203" s="1030"/>
      <c r="N203" s="1030"/>
      <c r="O203" s="1030"/>
      <c r="P203" s="1030"/>
      <c r="Q203" s="1030"/>
      <c r="R203" s="1030"/>
      <c r="S203" s="1030"/>
      <c r="T203" s="1030"/>
      <c r="U203" s="1030"/>
      <c r="V203" s="1030"/>
      <c r="W203" s="1030"/>
      <c r="X203" s="1030"/>
      <c r="Y203" s="1030"/>
      <c r="Z203" s="1030"/>
    </row>
    <row r="204" spans="1:26" ht="12.75" customHeight="1">
      <c r="A204" s="1098">
        <f t="shared" si="11"/>
        <v>100</v>
      </c>
      <c r="B204" s="1051" t="s">
        <v>3428</v>
      </c>
      <c r="C204" s="1066" t="s">
        <v>3342</v>
      </c>
      <c r="D204" s="1113" t="s">
        <v>122</v>
      </c>
      <c r="E204" s="1136"/>
      <c r="F204" s="1073" t="s">
        <v>3414</v>
      </c>
      <c r="G204" s="1035" t="s">
        <v>3448</v>
      </c>
      <c r="H204" s="1114"/>
      <c r="I204" s="1114">
        <v>494</v>
      </c>
      <c r="J204" s="1131">
        <v>0.3</v>
      </c>
      <c r="K204" s="1154">
        <f t="shared" si="13"/>
        <v>148.19999999999999</v>
      </c>
      <c r="L204" s="1030"/>
      <c r="M204" s="1030"/>
      <c r="N204" s="1030"/>
      <c r="O204" s="1030"/>
      <c r="P204" s="1030"/>
      <c r="Q204" s="1030"/>
      <c r="R204" s="1030"/>
      <c r="S204" s="1030"/>
      <c r="T204" s="1030"/>
      <c r="U204" s="1030"/>
      <c r="V204" s="1030"/>
      <c r="W204" s="1030"/>
      <c r="X204" s="1030"/>
      <c r="Y204" s="1030"/>
      <c r="Z204" s="1030"/>
    </row>
    <row r="205" spans="1:26" ht="12.75" customHeight="1">
      <c r="A205" s="1098">
        <f t="shared" si="11"/>
        <v>101</v>
      </c>
      <c r="B205" s="1051" t="s">
        <v>3428</v>
      </c>
      <c r="C205" s="1066" t="s">
        <v>3342</v>
      </c>
      <c r="D205" s="1113" t="s">
        <v>122</v>
      </c>
      <c r="E205" s="1136"/>
      <c r="F205" s="1073" t="s">
        <v>3414</v>
      </c>
      <c r="G205" s="1035" t="s">
        <v>3449</v>
      </c>
      <c r="H205" s="1114"/>
      <c r="I205" s="1114">
        <v>202</v>
      </c>
      <c r="J205" s="1122">
        <v>0.3</v>
      </c>
      <c r="K205" s="1118">
        <f t="shared" si="13"/>
        <v>60.599999999999994</v>
      </c>
      <c r="L205" s="1030"/>
      <c r="M205" s="1030"/>
      <c r="N205" s="1030"/>
      <c r="O205" s="1030"/>
      <c r="P205" s="1030"/>
      <c r="Q205" s="1030"/>
      <c r="R205" s="1030"/>
      <c r="S205" s="1030"/>
      <c r="T205" s="1030"/>
      <c r="U205" s="1030"/>
      <c r="V205" s="1030"/>
      <c r="W205" s="1030"/>
      <c r="X205" s="1030"/>
      <c r="Y205" s="1030"/>
      <c r="Z205" s="1030"/>
    </row>
    <row r="206" spans="1:26" ht="12.75" customHeight="1">
      <c r="A206" s="1098">
        <f t="shared" si="11"/>
        <v>102</v>
      </c>
      <c r="B206" s="1051" t="s">
        <v>3428</v>
      </c>
      <c r="C206" s="1066" t="s">
        <v>3342</v>
      </c>
      <c r="D206" s="1113" t="s">
        <v>122</v>
      </c>
      <c r="E206" s="1136"/>
      <c r="F206" s="1073" t="s">
        <v>3414</v>
      </c>
      <c r="G206" s="1035" t="s">
        <v>3450</v>
      </c>
      <c r="H206" s="1114"/>
      <c r="I206" s="1114">
        <v>136</v>
      </c>
      <c r="J206" s="1122">
        <v>0.3</v>
      </c>
      <c r="K206" s="1118">
        <f t="shared" si="13"/>
        <v>40.799999999999997</v>
      </c>
      <c r="L206" s="1030"/>
      <c r="M206" s="1030"/>
      <c r="N206" s="1030"/>
      <c r="O206" s="1030"/>
      <c r="P206" s="1030"/>
      <c r="Q206" s="1030"/>
      <c r="R206" s="1030"/>
      <c r="S206" s="1030"/>
      <c r="T206" s="1030"/>
      <c r="U206" s="1030"/>
      <c r="V206" s="1030"/>
      <c r="W206" s="1030"/>
      <c r="X206" s="1030"/>
      <c r="Y206" s="1030"/>
      <c r="Z206" s="1030"/>
    </row>
    <row r="207" spans="1:26" ht="12.75" customHeight="1">
      <c r="A207" s="1098">
        <f t="shared" si="11"/>
        <v>103</v>
      </c>
      <c r="B207" s="1051" t="s">
        <v>3428</v>
      </c>
      <c r="C207" s="1066" t="s">
        <v>3342</v>
      </c>
      <c r="D207" s="1113" t="s">
        <v>122</v>
      </c>
      <c r="E207" s="1136"/>
      <c r="F207" s="1073" t="s">
        <v>3414</v>
      </c>
      <c r="G207" s="1035" t="s">
        <v>3524</v>
      </c>
      <c r="H207" s="1114"/>
      <c r="I207" s="1114">
        <v>0</v>
      </c>
      <c r="J207" s="1122">
        <v>0.3</v>
      </c>
      <c r="K207" s="1118">
        <f t="shared" si="13"/>
        <v>0</v>
      </c>
      <c r="L207" s="1030"/>
      <c r="M207" s="1030"/>
      <c r="N207" s="1030"/>
      <c r="O207" s="1030"/>
      <c r="P207" s="1030"/>
      <c r="Q207" s="1030"/>
      <c r="R207" s="1030"/>
      <c r="S207" s="1030"/>
      <c r="T207" s="1030"/>
      <c r="U207" s="1030"/>
      <c r="V207" s="1030"/>
      <c r="W207" s="1030"/>
      <c r="X207" s="1030"/>
      <c r="Y207" s="1030"/>
      <c r="Z207" s="1030"/>
    </row>
    <row r="208" spans="1:26" ht="12.75" customHeight="1">
      <c r="A208" s="1098">
        <f t="shared" si="11"/>
        <v>104</v>
      </c>
      <c r="B208" s="1051" t="s">
        <v>3428</v>
      </c>
      <c r="C208" s="1066" t="s">
        <v>3342</v>
      </c>
      <c r="D208" s="1113" t="s">
        <v>122</v>
      </c>
      <c r="E208" s="1136"/>
      <c r="F208" s="1073" t="s">
        <v>3414</v>
      </c>
      <c r="G208" s="1035" t="s">
        <v>3451</v>
      </c>
      <c r="H208" s="1114"/>
      <c r="I208" s="1114">
        <f>68*2</f>
        <v>136</v>
      </c>
      <c r="J208" s="1122">
        <v>0.3</v>
      </c>
      <c r="K208" s="1118">
        <f t="shared" si="13"/>
        <v>40.799999999999997</v>
      </c>
      <c r="L208" s="1030"/>
      <c r="M208" s="1030"/>
      <c r="N208" s="1030"/>
      <c r="O208" s="1030"/>
      <c r="P208" s="1030"/>
      <c r="Q208" s="1030"/>
      <c r="R208" s="1030"/>
      <c r="S208" s="1030"/>
      <c r="T208" s="1030"/>
      <c r="U208" s="1030"/>
      <c r="V208" s="1030"/>
      <c r="W208" s="1030"/>
      <c r="X208" s="1030"/>
      <c r="Y208" s="1030"/>
      <c r="Z208" s="1030"/>
    </row>
    <row r="209" spans="1:26" ht="12.75" customHeight="1">
      <c r="A209" s="1098">
        <f t="shared" si="11"/>
        <v>105</v>
      </c>
      <c r="B209" s="1051" t="s">
        <v>3428</v>
      </c>
      <c r="C209" s="1066" t="s">
        <v>3342</v>
      </c>
      <c r="D209" s="1113" t="s">
        <v>122</v>
      </c>
      <c r="E209" s="1136"/>
      <c r="F209" s="1073" t="s">
        <v>3414</v>
      </c>
      <c r="G209" s="1035" t="s">
        <v>3452</v>
      </c>
      <c r="H209" s="1114"/>
      <c r="I209" s="1114">
        <v>244</v>
      </c>
      <c r="J209" s="1122">
        <v>0.3</v>
      </c>
      <c r="K209" s="1118">
        <f t="shared" si="13"/>
        <v>73.2</v>
      </c>
      <c r="L209" s="1030"/>
      <c r="M209" s="1030"/>
      <c r="N209" s="1030"/>
      <c r="O209" s="1030"/>
      <c r="P209" s="1030"/>
      <c r="Q209" s="1030"/>
      <c r="R209" s="1030"/>
      <c r="S209" s="1030"/>
      <c r="T209" s="1030"/>
      <c r="U209" s="1030"/>
      <c r="V209" s="1030"/>
      <c r="W209" s="1030"/>
      <c r="X209" s="1030"/>
      <c r="Y209" s="1030"/>
      <c r="Z209" s="1030"/>
    </row>
    <row r="210" spans="1:26" ht="12.75" customHeight="1">
      <c r="A210" s="1098">
        <f t="shared" si="11"/>
        <v>106</v>
      </c>
      <c r="B210" s="1051" t="s">
        <v>3428</v>
      </c>
      <c r="C210" s="1066" t="s">
        <v>3342</v>
      </c>
      <c r="D210" s="1113" t="s">
        <v>122</v>
      </c>
      <c r="E210" s="1136"/>
      <c r="F210" s="1073" t="s">
        <v>3414</v>
      </c>
      <c r="G210" s="1035" t="s">
        <v>3453</v>
      </c>
      <c r="H210" s="1114"/>
      <c r="I210" s="1114">
        <v>286</v>
      </c>
      <c r="J210" s="1122">
        <v>0.3</v>
      </c>
      <c r="K210" s="1118">
        <f t="shared" si="13"/>
        <v>85.8</v>
      </c>
      <c r="L210" s="1030"/>
      <c r="M210" s="1030"/>
      <c r="N210" s="1030"/>
      <c r="O210" s="1030"/>
      <c r="P210" s="1030"/>
      <c r="Q210" s="1030"/>
      <c r="R210" s="1030"/>
      <c r="S210" s="1030"/>
      <c r="T210" s="1030"/>
      <c r="U210" s="1030"/>
      <c r="V210" s="1030"/>
      <c r="W210" s="1030"/>
      <c r="X210" s="1030"/>
      <c r="Y210" s="1030"/>
      <c r="Z210" s="1030"/>
    </row>
    <row r="211" spans="1:26" ht="12.75" customHeight="1">
      <c r="A211" s="1098">
        <f t="shared" si="11"/>
        <v>107</v>
      </c>
      <c r="B211" s="1051" t="s">
        <v>3428</v>
      </c>
      <c r="C211" s="1066" t="s">
        <v>3342</v>
      </c>
      <c r="D211" s="1113" t="s">
        <v>122</v>
      </c>
      <c r="E211" s="1136"/>
      <c r="F211" s="1073" t="s">
        <v>3414</v>
      </c>
      <c r="G211" s="1035" t="s">
        <v>3454</v>
      </c>
      <c r="H211" s="1114"/>
      <c r="I211" s="1114">
        <v>140</v>
      </c>
      <c r="J211" s="1122">
        <v>0.3</v>
      </c>
      <c r="K211" s="1118">
        <f t="shared" si="13"/>
        <v>42</v>
      </c>
      <c r="L211" s="1030"/>
      <c r="M211" s="1030"/>
      <c r="N211" s="1030"/>
      <c r="O211" s="1030"/>
      <c r="P211" s="1030"/>
      <c r="Q211" s="1030"/>
      <c r="R211" s="1030"/>
      <c r="S211" s="1030"/>
      <c r="T211" s="1030"/>
      <c r="U211" s="1030"/>
      <c r="V211" s="1030"/>
      <c r="W211" s="1030"/>
      <c r="X211" s="1030"/>
      <c r="Y211" s="1030"/>
      <c r="Z211" s="1030"/>
    </row>
    <row r="212" spans="1:26" ht="12.75" customHeight="1">
      <c r="A212" s="1098">
        <f t="shared" si="11"/>
        <v>108</v>
      </c>
      <c r="B212" s="1051" t="s">
        <v>3428</v>
      </c>
      <c r="C212" s="1066" t="s">
        <v>3342</v>
      </c>
      <c r="D212" s="1113" t="s">
        <v>122</v>
      </c>
      <c r="E212" s="1136"/>
      <c r="F212" s="1073" t="s">
        <v>3414</v>
      </c>
      <c r="G212" s="1035" t="s">
        <v>3525</v>
      </c>
      <c r="H212" s="1114"/>
      <c r="I212" s="1114">
        <v>470</v>
      </c>
      <c r="J212" s="1122">
        <v>0.3</v>
      </c>
      <c r="K212" s="1118">
        <f t="shared" si="13"/>
        <v>141</v>
      </c>
      <c r="L212" s="1030"/>
      <c r="M212" s="1030"/>
      <c r="N212" s="1030"/>
      <c r="O212" s="1030"/>
      <c r="P212" s="1030"/>
      <c r="Q212" s="1030"/>
      <c r="R212" s="1030"/>
      <c r="S212" s="1030"/>
      <c r="T212" s="1030"/>
      <c r="U212" s="1030"/>
      <c r="V212" s="1030"/>
      <c r="W212" s="1030"/>
      <c r="X212" s="1030"/>
      <c r="Y212" s="1030"/>
      <c r="Z212" s="1030"/>
    </row>
    <row r="213" spans="1:26" ht="12.75" customHeight="1">
      <c r="A213" s="1098">
        <f t="shared" si="11"/>
        <v>109</v>
      </c>
      <c r="B213" s="1051" t="s">
        <v>3428</v>
      </c>
      <c r="C213" s="1066" t="s">
        <v>3342</v>
      </c>
      <c r="D213" s="1113" t="s">
        <v>122</v>
      </c>
      <c r="E213" s="1136"/>
      <c r="F213" s="1073" t="s">
        <v>3414</v>
      </c>
      <c r="G213" s="1035" t="s">
        <v>3456</v>
      </c>
      <c r="H213" s="1114"/>
      <c r="I213" s="1114">
        <v>340</v>
      </c>
      <c r="J213" s="1122">
        <v>0.3</v>
      </c>
      <c r="K213" s="1118">
        <f t="shared" si="13"/>
        <v>102</v>
      </c>
      <c r="L213" s="1030"/>
      <c r="M213" s="1030"/>
      <c r="N213" s="1030"/>
      <c r="O213" s="1030"/>
      <c r="P213" s="1030"/>
      <c r="Q213" s="1030"/>
      <c r="R213" s="1030"/>
      <c r="S213" s="1030"/>
      <c r="T213" s="1030"/>
      <c r="U213" s="1030"/>
      <c r="V213" s="1030"/>
      <c r="W213" s="1030"/>
      <c r="X213" s="1030"/>
      <c r="Y213" s="1030"/>
      <c r="Z213" s="1030"/>
    </row>
    <row r="214" spans="1:26" ht="12.75" customHeight="1">
      <c r="A214" s="1098">
        <f t="shared" si="11"/>
        <v>110</v>
      </c>
      <c r="B214" s="1051" t="s">
        <v>3428</v>
      </c>
      <c r="C214" s="1066" t="s">
        <v>3342</v>
      </c>
      <c r="D214" s="1113" t="s">
        <v>122</v>
      </c>
      <c r="E214" s="1136"/>
      <c r="F214" s="1073" t="s">
        <v>3414</v>
      </c>
      <c r="G214" s="1035" t="s">
        <v>3455</v>
      </c>
      <c r="H214" s="1114"/>
      <c r="I214" s="1114">
        <v>448</v>
      </c>
      <c r="J214" s="1122">
        <v>0.3</v>
      </c>
      <c r="K214" s="1118">
        <f t="shared" si="13"/>
        <v>134.4</v>
      </c>
      <c r="L214" s="1030"/>
      <c r="M214" s="1030"/>
      <c r="N214" s="1030"/>
      <c r="O214" s="1030"/>
      <c r="P214" s="1030"/>
      <c r="Q214" s="1030"/>
      <c r="R214" s="1030"/>
      <c r="S214" s="1030"/>
      <c r="T214" s="1030"/>
      <c r="U214" s="1030"/>
      <c r="V214" s="1030"/>
      <c r="W214" s="1030"/>
      <c r="X214" s="1030"/>
      <c r="Y214" s="1030"/>
      <c r="Z214" s="1030"/>
    </row>
    <row r="215" spans="1:26" ht="12.75" customHeight="1">
      <c r="A215" s="1098">
        <f t="shared" si="11"/>
        <v>111</v>
      </c>
      <c r="B215" s="1051" t="s">
        <v>3428</v>
      </c>
      <c r="C215" s="1066" t="s">
        <v>3342</v>
      </c>
      <c r="D215" s="1113" t="s">
        <v>122</v>
      </c>
      <c r="E215" s="1136"/>
      <c r="F215" s="1073" t="s">
        <v>3414</v>
      </c>
      <c r="G215" s="1035" t="s">
        <v>3457</v>
      </c>
      <c r="H215" s="1114"/>
      <c r="I215" s="1114">
        <v>578</v>
      </c>
      <c r="J215" s="1122">
        <v>0.3</v>
      </c>
      <c r="K215" s="1118">
        <f t="shared" si="13"/>
        <v>173.4</v>
      </c>
      <c r="L215" s="1030"/>
      <c r="M215" s="1030"/>
      <c r="N215" s="1030"/>
      <c r="O215" s="1030"/>
      <c r="P215" s="1030"/>
      <c r="Q215" s="1030"/>
      <c r="R215" s="1030"/>
      <c r="S215" s="1030"/>
      <c r="T215" s="1030"/>
      <c r="U215" s="1030"/>
      <c r="V215" s="1030"/>
      <c r="W215" s="1030"/>
      <c r="X215" s="1030"/>
      <c r="Y215" s="1030"/>
      <c r="Z215" s="1030"/>
    </row>
    <row r="216" spans="1:26" ht="12.75" customHeight="1">
      <c r="A216" s="1098">
        <f t="shared" si="11"/>
        <v>112</v>
      </c>
      <c r="B216" s="1051" t="s">
        <v>3428</v>
      </c>
      <c r="C216" s="1066" t="s">
        <v>3342</v>
      </c>
      <c r="D216" s="1113" t="s">
        <v>122</v>
      </c>
      <c r="E216" s="1136"/>
      <c r="F216" s="1073" t="s">
        <v>3414</v>
      </c>
      <c r="G216" s="1035" t="s">
        <v>3458</v>
      </c>
      <c r="H216" s="1114" t="s">
        <v>3459</v>
      </c>
      <c r="I216" s="1114" t="s">
        <v>3635</v>
      </c>
      <c r="J216" s="1114"/>
      <c r="K216" s="1118">
        <v>60.72</v>
      </c>
      <c r="L216" s="1030"/>
      <c r="M216" s="1030"/>
      <c r="N216" s="1030"/>
      <c r="O216" s="1030"/>
      <c r="P216" s="1030"/>
      <c r="Q216" s="1030"/>
      <c r="R216" s="1030"/>
      <c r="S216" s="1030"/>
      <c r="T216" s="1030"/>
      <c r="U216" s="1030"/>
      <c r="V216" s="1030"/>
      <c r="W216" s="1030"/>
      <c r="X216" s="1030"/>
      <c r="Y216" s="1030"/>
      <c r="Z216" s="1030"/>
    </row>
    <row r="217" spans="1:26" ht="12.75" customHeight="1">
      <c r="A217" s="1098">
        <f t="shared" si="11"/>
        <v>113</v>
      </c>
      <c r="B217" s="1051" t="s">
        <v>3473</v>
      </c>
      <c r="C217" s="1066" t="s">
        <v>3342</v>
      </c>
      <c r="D217" s="1113" t="s">
        <v>122</v>
      </c>
      <c r="E217" s="1136"/>
      <c r="F217" s="1073" t="s">
        <v>3414</v>
      </c>
      <c r="G217" s="1035" t="s">
        <v>3601</v>
      </c>
      <c r="H217" s="1114" t="s">
        <v>3636</v>
      </c>
      <c r="I217" s="1114" t="s">
        <v>3635</v>
      </c>
      <c r="J217" s="1114"/>
      <c r="K217" s="1118">
        <f>8.4+25.5</f>
        <v>33.9</v>
      </c>
      <c r="L217" s="1030"/>
      <c r="M217" s="1030"/>
      <c r="N217" s="1030"/>
      <c r="O217" s="1030"/>
      <c r="P217" s="1030"/>
      <c r="Q217" s="1030"/>
      <c r="R217" s="1030"/>
      <c r="S217" s="1030"/>
      <c r="T217" s="1030"/>
      <c r="U217" s="1030"/>
      <c r="V217" s="1030"/>
      <c r="W217" s="1030"/>
      <c r="X217" s="1030"/>
      <c r="Y217" s="1030"/>
      <c r="Z217" s="1030"/>
    </row>
    <row r="218" spans="1:26" ht="12.75" customHeight="1">
      <c r="A218" s="1098">
        <f t="shared" si="11"/>
        <v>114</v>
      </c>
      <c r="B218" s="1051" t="s">
        <v>3473</v>
      </c>
      <c r="C218" s="1066" t="s">
        <v>3342</v>
      </c>
      <c r="D218" s="1113" t="s">
        <v>122</v>
      </c>
      <c r="E218" s="1136"/>
      <c r="F218" s="1073" t="s">
        <v>3414</v>
      </c>
      <c r="G218" s="1035" t="s">
        <v>3505</v>
      </c>
      <c r="H218" s="1114"/>
      <c r="I218" s="1114"/>
      <c r="J218" s="1114"/>
      <c r="K218" s="1118"/>
      <c r="L218" s="1030"/>
      <c r="M218" s="1030"/>
      <c r="N218" s="1030"/>
      <c r="O218" s="1030"/>
      <c r="P218" s="1030"/>
      <c r="Q218" s="1030"/>
      <c r="R218" s="1030"/>
      <c r="S218" s="1030"/>
      <c r="T218" s="1030"/>
      <c r="U218" s="1030"/>
      <c r="V218" s="1030"/>
      <c r="W218" s="1030"/>
      <c r="X218" s="1030"/>
      <c r="Y218" s="1030"/>
      <c r="Z218" s="1030"/>
    </row>
    <row r="219" spans="1:26" ht="12.75" customHeight="1">
      <c r="A219" s="1098">
        <f t="shared" si="11"/>
        <v>115</v>
      </c>
      <c r="B219" s="1051" t="s">
        <v>3428</v>
      </c>
      <c r="C219" s="1066" t="s">
        <v>3342</v>
      </c>
      <c r="D219" s="1113" t="s">
        <v>122</v>
      </c>
      <c r="E219" s="1136"/>
      <c r="F219" s="1073" t="s">
        <v>3414</v>
      </c>
      <c r="G219" s="1035" t="s">
        <v>3460</v>
      </c>
      <c r="H219" s="1114" t="s">
        <v>3461</v>
      </c>
      <c r="I219" s="1114" t="s">
        <v>3637</v>
      </c>
      <c r="J219" s="1114"/>
      <c r="K219" s="1118">
        <v>240</v>
      </c>
      <c r="L219" s="1030"/>
      <c r="M219" s="1030"/>
      <c r="N219" s="1030"/>
      <c r="O219" s="1030"/>
      <c r="P219" s="1030"/>
      <c r="Q219" s="1030"/>
      <c r="R219" s="1030"/>
      <c r="S219" s="1030"/>
      <c r="T219" s="1030"/>
      <c r="U219" s="1030"/>
      <c r="V219" s="1030"/>
      <c r="W219" s="1030"/>
      <c r="X219" s="1030"/>
      <c r="Y219" s="1030"/>
      <c r="Z219" s="1030"/>
    </row>
    <row r="220" spans="1:26" ht="12.75" customHeight="1">
      <c r="A220" s="1098">
        <f t="shared" si="11"/>
        <v>116</v>
      </c>
      <c r="B220" s="1051" t="s">
        <v>3428</v>
      </c>
      <c r="C220" s="1066" t="s">
        <v>3342</v>
      </c>
      <c r="D220" s="1113" t="s">
        <v>122</v>
      </c>
      <c r="E220" s="1136"/>
      <c r="F220" s="1073" t="s">
        <v>3414</v>
      </c>
      <c r="G220" s="1035" t="s">
        <v>3507</v>
      </c>
      <c r="H220" s="1114"/>
      <c r="I220" s="1114"/>
      <c r="J220" s="1114"/>
      <c r="K220" s="1118">
        <v>0</v>
      </c>
      <c r="L220" s="1159"/>
      <c r="M220" s="1030"/>
      <c r="N220" s="1030"/>
      <c r="O220" s="1030"/>
      <c r="P220" s="1030"/>
      <c r="Q220" s="1030"/>
      <c r="R220" s="1030"/>
      <c r="S220" s="1030"/>
      <c r="T220" s="1030"/>
      <c r="U220" s="1030"/>
      <c r="V220" s="1030"/>
      <c r="W220" s="1030"/>
      <c r="X220" s="1030"/>
      <c r="Y220" s="1030"/>
      <c r="Z220" s="1030"/>
    </row>
    <row r="221" spans="1:26" ht="12.75" customHeight="1">
      <c r="A221" s="1098">
        <f t="shared" si="11"/>
        <v>117</v>
      </c>
      <c r="B221" s="1051" t="s">
        <v>3473</v>
      </c>
      <c r="C221" s="1066" t="s">
        <v>3342</v>
      </c>
      <c r="D221" s="1113" t="s">
        <v>122</v>
      </c>
      <c r="E221" s="1136"/>
      <c r="F221" s="1073" t="s">
        <v>3414</v>
      </c>
      <c r="G221" s="1035" t="s">
        <v>3507</v>
      </c>
      <c r="H221" s="1114"/>
      <c r="I221" s="1035"/>
      <c r="J221" s="1122"/>
      <c r="K221" s="1118">
        <v>0</v>
      </c>
      <c r="L221" s="1134"/>
      <c r="M221" s="1030"/>
      <c r="N221" s="1030"/>
      <c r="O221" s="1030"/>
      <c r="P221" s="1030"/>
      <c r="Q221" s="1030"/>
      <c r="R221" s="1030"/>
      <c r="S221" s="1030"/>
      <c r="T221" s="1030"/>
      <c r="U221" s="1030"/>
      <c r="V221" s="1030"/>
      <c r="W221" s="1030"/>
      <c r="X221" s="1030"/>
      <c r="Y221" s="1030"/>
      <c r="Z221" s="1030"/>
    </row>
    <row r="222" spans="1:26" ht="51" customHeight="1">
      <c r="A222" s="1098">
        <f t="shared" si="11"/>
        <v>118</v>
      </c>
      <c r="B222" s="1051" t="s">
        <v>3466</v>
      </c>
      <c r="C222" s="1066" t="s">
        <v>3342</v>
      </c>
      <c r="D222" s="1113" t="s">
        <v>122</v>
      </c>
      <c r="E222" s="1136"/>
      <c r="F222" s="1073" t="s">
        <v>3414</v>
      </c>
      <c r="G222" s="1035" t="s">
        <v>3584</v>
      </c>
      <c r="H222" s="1114" t="s">
        <v>3638</v>
      </c>
      <c r="I222" s="1163" t="s">
        <v>3639</v>
      </c>
      <c r="J222" s="1114"/>
      <c r="K222" s="1118">
        <f>2527.27+73.5+2269.09+6656+27.27+2.7+572.73</f>
        <v>12128.560000000001</v>
      </c>
      <c r="L222" s="1159"/>
      <c r="M222" s="1030"/>
      <c r="N222" s="1030"/>
      <c r="O222" s="1030"/>
      <c r="P222" s="1030"/>
      <c r="Q222" s="1030"/>
      <c r="R222" s="1030"/>
      <c r="S222" s="1030"/>
      <c r="T222" s="1030"/>
      <c r="U222" s="1030"/>
      <c r="V222" s="1030"/>
      <c r="W222" s="1030"/>
      <c r="X222" s="1030"/>
      <c r="Y222" s="1030"/>
      <c r="Z222" s="1030"/>
    </row>
    <row r="223" spans="1:26" ht="12.75" customHeight="1">
      <c r="A223" s="1098">
        <f t="shared" si="11"/>
        <v>119</v>
      </c>
      <c r="B223" s="1051" t="s">
        <v>3428</v>
      </c>
      <c r="C223" s="1066" t="s">
        <v>3342</v>
      </c>
      <c r="D223" s="1113" t="s">
        <v>122</v>
      </c>
      <c r="E223" s="1136"/>
      <c r="F223" s="1073" t="s">
        <v>3414</v>
      </c>
      <c r="G223" s="1035" t="s">
        <v>3640</v>
      </c>
      <c r="H223" s="1114" t="s">
        <v>3641</v>
      </c>
      <c r="I223" s="1163"/>
      <c r="J223" s="1114"/>
      <c r="K223" s="1118"/>
      <c r="L223" s="1159"/>
      <c r="M223" s="1030"/>
      <c r="N223" s="1030"/>
      <c r="O223" s="1030"/>
      <c r="P223" s="1030"/>
      <c r="Q223" s="1030"/>
      <c r="R223" s="1030"/>
      <c r="S223" s="1030"/>
      <c r="T223" s="1030"/>
      <c r="U223" s="1030"/>
      <c r="V223" s="1030"/>
      <c r="W223" s="1030"/>
      <c r="X223" s="1030"/>
      <c r="Y223" s="1030"/>
      <c r="Z223" s="1030"/>
    </row>
    <row r="224" spans="1:26" ht="12.75" customHeight="1">
      <c r="A224" s="1098">
        <f t="shared" si="11"/>
        <v>120</v>
      </c>
      <c r="B224" s="1051" t="s">
        <v>3470</v>
      </c>
      <c r="C224" s="1066" t="s">
        <v>3342</v>
      </c>
      <c r="D224" s="1113" t="s">
        <v>122</v>
      </c>
      <c r="E224" s="1136"/>
      <c r="F224" s="1073" t="s">
        <v>3414</v>
      </c>
      <c r="G224" s="1035" t="s">
        <v>3531</v>
      </c>
      <c r="H224" s="1114" t="s">
        <v>3642</v>
      </c>
      <c r="I224" s="1163" t="s">
        <v>3643</v>
      </c>
      <c r="J224" s="1114"/>
      <c r="K224" s="1118">
        <v>1650</v>
      </c>
      <c r="L224" s="1159"/>
      <c r="M224" s="1030"/>
      <c r="N224" s="1030"/>
      <c r="O224" s="1030"/>
      <c r="P224" s="1030"/>
      <c r="Q224" s="1030"/>
      <c r="R224" s="1030"/>
      <c r="S224" s="1030"/>
      <c r="T224" s="1030"/>
      <c r="U224" s="1030"/>
      <c r="V224" s="1030"/>
      <c r="W224" s="1030"/>
      <c r="X224" s="1030"/>
      <c r="Y224" s="1030"/>
      <c r="Z224" s="1030"/>
    </row>
    <row r="225" spans="1:26" ht="12.75" customHeight="1">
      <c r="A225" s="1098">
        <f t="shared" si="11"/>
        <v>121</v>
      </c>
      <c r="B225" s="1051" t="s">
        <v>3485</v>
      </c>
      <c r="C225" s="1066" t="s">
        <v>3342</v>
      </c>
      <c r="D225" s="1113" t="s">
        <v>122</v>
      </c>
      <c r="E225" s="1136"/>
      <c r="F225" s="1073" t="s">
        <v>3414</v>
      </c>
      <c r="G225" s="1035" t="s">
        <v>3510</v>
      </c>
      <c r="H225" s="1114" t="s">
        <v>3644</v>
      </c>
      <c r="I225" s="1163"/>
      <c r="J225" s="1114" t="s">
        <v>3645</v>
      </c>
      <c r="K225" s="1118">
        <v>45</v>
      </c>
      <c r="L225" s="1159"/>
      <c r="M225" s="1030"/>
      <c r="N225" s="1030"/>
      <c r="O225" s="1030"/>
      <c r="P225" s="1030"/>
      <c r="Q225" s="1030"/>
      <c r="R225" s="1030"/>
      <c r="S225" s="1030"/>
      <c r="T225" s="1030"/>
      <c r="U225" s="1030"/>
      <c r="V225" s="1030"/>
      <c r="W225" s="1030"/>
      <c r="X225" s="1030"/>
      <c r="Y225" s="1030"/>
      <c r="Z225" s="1030"/>
    </row>
    <row r="226" spans="1:26" ht="12.75" customHeight="1">
      <c r="A226" s="1098">
        <f t="shared" si="11"/>
        <v>122</v>
      </c>
      <c r="B226" s="1051" t="s">
        <v>3473</v>
      </c>
      <c r="C226" s="1066" t="s">
        <v>3342</v>
      </c>
      <c r="D226" s="1113" t="s">
        <v>122</v>
      </c>
      <c r="E226" s="1136"/>
      <c r="F226" s="1073" t="s">
        <v>3414</v>
      </c>
      <c r="G226" s="1035" t="s">
        <v>3588</v>
      </c>
      <c r="H226" s="1114" t="s">
        <v>3589</v>
      </c>
      <c r="I226" s="1163"/>
      <c r="J226" s="1114"/>
      <c r="K226" s="1118"/>
      <c r="L226" s="1159"/>
      <c r="M226" s="1030"/>
      <c r="N226" s="1030"/>
      <c r="O226" s="1030"/>
      <c r="P226" s="1030"/>
      <c r="Q226" s="1030"/>
      <c r="R226" s="1030"/>
      <c r="S226" s="1030"/>
      <c r="T226" s="1030"/>
      <c r="U226" s="1030"/>
      <c r="V226" s="1030"/>
      <c r="W226" s="1030"/>
      <c r="X226" s="1030"/>
      <c r="Y226" s="1030"/>
      <c r="Z226" s="1030"/>
    </row>
    <row r="227" spans="1:26" ht="12.75" customHeight="1">
      <c r="A227" s="1098">
        <f t="shared" si="11"/>
        <v>123</v>
      </c>
      <c r="B227" s="1051" t="s">
        <v>3473</v>
      </c>
      <c r="C227" s="1066" t="s">
        <v>3342</v>
      </c>
      <c r="D227" s="1113" t="s">
        <v>122</v>
      </c>
      <c r="E227" s="1136"/>
      <c r="F227" s="1073" t="s">
        <v>3414</v>
      </c>
      <c r="G227" s="1035" t="s">
        <v>3474</v>
      </c>
      <c r="H227" s="1114" t="s">
        <v>3646</v>
      </c>
      <c r="I227" s="1163"/>
      <c r="J227" s="1114"/>
      <c r="K227" s="1118">
        <v>1974.55</v>
      </c>
      <c r="L227" s="1159"/>
      <c r="M227" s="1030"/>
      <c r="N227" s="1030"/>
      <c r="O227" s="1030"/>
      <c r="P227" s="1030"/>
      <c r="Q227" s="1030"/>
      <c r="R227" s="1030"/>
      <c r="S227" s="1030"/>
      <c r="T227" s="1030"/>
      <c r="U227" s="1030"/>
      <c r="V227" s="1030"/>
      <c r="W227" s="1030"/>
      <c r="X227" s="1030"/>
      <c r="Y227" s="1030"/>
      <c r="Z227" s="1030"/>
    </row>
    <row r="228" spans="1:26" ht="12.75" customHeight="1">
      <c r="A228" s="1098">
        <f t="shared" si="11"/>
        <v>124</v>
      </c>
      <c r="B228" s="1051" t="s">
        <v>3473</v>
      </c>
      <c r="C228" s="1066" t="s">
        <v>3342</v>
      </c>
      <c r="D228" s="1113" t="s">
        <v>122</v>
      </c>
      <c r="E228" s="1136"/>
      <c r="F228" s="1073" t="s">
        <v>3414</v>
      </c>
      <c r="G228" s="1035" t="s">
        <v>3479</v>
      </c>
      <c r="H228" s="1114" t="s">
        <v>3593</v>
      </c>
      <c r="I228" s="1163"/>
      <c r="J228" s="1114"/>
      <c r="K228" s="1118">
        <f>1712.44/2</f>
        <v>856.22</v>
      </c>
      <c r="L228" s="1159"/>
      <c r="M228" s="1030"/>
      <c r="N228" s="1030"/>
      <c r="O228" s="1030"/>
      <c r="P228" s="1030"/>
      <c r="Q228" s="1030"/>
      <c r="R228" s="1030"/>
      <c r="S228" s="1030"/>
      <c r="T228" s="1030"/>
      <c r="U228" s="1030"/>
      <c r="V228" s="1030"/>
      <c r="W228" s="1030"/>
      <c r="X228" s="1030"/>
      <c r="Y228" s="1030"/>
      <c r="Z228" s="1030"/>
    </row>
    <row r="229" spans="1:26" ht="12.75" customHeight="1">
      <c r="A229" s="1098">
        <f t="shared" si="11"/>
        <v>125</v>
      </c>
      <c r="B229" s="1051" t="s">
        <v>3462</v>
      </c>
      <c r="C229" s="1066" t="s">
        <v>3342</v>
      </c>
      <c r="D229" s="1113" t="s">
        <v>122</v>
      </c>
      <c r="E229" s="1136"/>
      <c r="F229" s="1073" t="s">
        <v>3414</v>
      </c>
      <c r="G229" s="1035" t="s">
        <v>3535</v>
      </c>
      <c r="H229" s="1114" t="s">
        <v>3594</v>
      </c>
      <c r="I229" s="1114" t="s">
        <v>3647</v>
      </c>
      <c r="J229" s="1114"/>
      <c r="K229" s="1118">
        <f>((7700+154)/3)/200*135</f>
        <v>1767.15</v>
      </c>
      <c r="L229" s="1159"/>
      <c r="M229" s="1030"/>
      <c r="N229" s="1030"/>
      <c r="O229" s="1030"/>
      <c r="P229" s="1030"/>
      <c r="Q229" s="1030"/>
      <c r="R229" s="1030"/>
      <c r="S229" s="1030"/>
      <c r="T229" s="1030"/>
      <c r="U229" s="1030"/>
      <c r="V229" s="1030"/>
      <c r="W229" s="1030"/>
      <c r="X229" s="1030"/>
      <c r="Y229" s="1030"/>
      <c r="Z229" s="1030"/>
    </row>
    <row r="230" spans="1:26" ht="25.5" customHeight="1">
      <c r="A230" s="1098">
        <f t="shared" si="11"/>
        <v>126</v>
      </c>
      <c r="B230" s="1051" t="s">
        <v>3485</v>
      </c>
      <c r="C230" s="1066" t="s">
        <v>3342</v>
      </c>
      <c r="D230" s="1113" t="s">
        <v>122</v>
      </c>
      <c r="E230" s="1136"/>
      <c r="F230" s="1073" t="s">
        <v>3414</v>
      </c>
      <c r="G230" s="1035" t="s">
        <v>3495</v>
      </c>
      <c r="H230" s="1114" t="s">
        <v>3494</v>
      </c>
      <c r="I230" s="1163" t="s">
        <v>3648</v>
      </c>
      <c r="J230" s="1114" t="s">
        <v>3645</v>
      </c>
      <c r="K230" s="1118">
        <f>3.7*2+20</f>
        <v>27.4</v>
      </c>
      <c r="L230" s="1159"/>
      <c r="M230" s="1030"/>
      <c r="N230" s="1030"/>
      <c r="O230" s="1030"/>
      <c r="P230" s="1030"/>
      <c r="Q230" s="1030"/>
      <c r="R230" s="1030"/>
      <c r="S230" s="1030"/>
      <c r="T230" s="1030"/>
      <c r="U230" s="1030"/>
      <c r="V230" s="1030"/>
      <c r="W230" s="1030"/>
      <c r="X230" s="1030"/>
      <c r="Y230" s="1030"/>
      <c r="Z230" s="1030"/>
    </row>
    <row r="231" spans="1:26" ht="12.75" customHeight="1">
      <c r="A231" s="1098">
        <f t="shared" si="11"/>
        <v>127</v>
      </c>
      <c r="B231" s="1051" t="s">
        <v>3485</v>
      </c>
      <c r="C231" s="1066" t="s">
        <v>3342</v>
      </c>
      <c r="D231" s="1113" t="s">
        <v>122</v>
      </c>
      <c r="E231" s="1136"/>
      <c r="F231" s="1073" t="s">
        <v>3414</v>
      </c>
      <c r="G231" s="1035" t="s">
        <v>3609</v>
      </c>
      <c r="H231" s="1114" t="s">
        <v>3649</v>
      </c>
      <c r="I231" s="1035"/>
      <c r="J231" s="1114" t="s">
        <v>3645</v>
      </c>
      <c r="K231" s="1118">
        <v>300</v>
      </c>
      <c r="L231" s="1039"/>
      <c r="M231" s="1039"/>
      <c r="N231" s="1039"/>
      <c r="O231" s="1039"/>
      <c r="P231" s="1039"/>
      <c r="Q231" s="1039"/>
      <c r="R231" s="1039"/>
      <c r="S231" s="1039"/>
      <c r="T231" s="1039"/>
      <c r="U231" s="1039"/>
      <c r="V231" s="1039"/>
      <c r="W231" s="1039"/>
      <c r="X231" s="1039"/>
      <c r="Y231" s="1039"/>
      <c r="Z231" s="1039"/>
    </row>
    <row r="232" spans="1:26" ht="12.75" customHeight="1">
      <c r="A232" s="1061"/>
      <c r="B232" s="1039"/>
      <c r="C232" s="1039"/>
      <c r="D232" s="1088" t="s">
        <v>3537</v>
      </c>
      <c r="E232" s="1089"/>
      <c r="F232" s="1089"/>
      <c r="G232" s="1089"/>
      <c r="H232" s="1090"/>
      <c r="I232" s="1089"/>
      <c r="J232" s="1164"/>
      <c r="K232" s="1091">
        <f>SUM(K104:K231)</f>
        <v>73138.64416666668</v>
      </c>
      <c r="L232" s="1030"/>
      <c r="M232" s="1030"/>
      <c r="N232" s="1030"/>
      <c r="O232" s="1030"/>
      <c r="P232" s="1030"/>
      <c r="Q232" s="1030"/>
      <c r="R232" s="1030"/>
      <c r="S232" s="1030"/>
      <c r="T232" s="1030"/>
      <c r="U232" s="1030"/>
      <c r="V232" s="1030"/>
      <c r="W232" s="1030"/>
      <c r="X232" s="1030"/>
      <c r="Y232" s="1030"/>
      <c r="Z232" s="1030"/>
    </row>
    <row r="233" spans="1:26" ht="12.75" customHeight="1">
      <c r="A233" s="1061"/>
      <c r="B233" s="1039"/>
      <c r="C233" s="1039"/>
      <c r="D233" s="1092"/>
      <c r="E233" s="1092"/>
      <c r="F233" s="1092"/>
      <c r="G233" s="1092"/>
      <c r="H233" s="1093"/>
      <c r="I233" s="1092"/>
      <c r="J233" s="1092"/>
      <c r="K233" s="1094"/>
      <c r="L233" s="1060"/>
      <c r="M233" s="1030"/>
      <c r="N233" s="1030"/>
      <c r="O233" s="1030"/>
      <c r="P233" s="1030"/>
      <c r="Q233" s="1030"/>
      <c r="R233" s="1030"/>
      <c r="S233" s="1030"/>
      <c r="T233" s="1030"/>
      <c r="U233" s="1030"/>
      <c r="V233" s="1030"/>
      <c r="W233" s="1030"/>
      <c r="X233" s="1030"/>
      <c r="Y233" s="1030"/>
      <c r="Z233" s="1030"/>
    </row>
    <row r="234" spans="1:26" ht="12.75" hidden="1" customHeight="1" outlineLevel="1">
      <c r="A234" s="1039"/>
      <c r="B234" s="1030"/>
      <c r="C234" s="1030"/>
      <c r="D234" s="1031" t="s">
        <v>3538</v>
      </c>
      <c r="E234" s="1031"/>
      <c r="F234" s="1031"/>
      <c r="G234" s="1031"/>
      <c r="H234" s="1031"/>
      <c r="I234" s="1032"/>
      <c r="J234" s="1031"/>
      <c r="K234" s="1033"/>
      <c r="L234" s="1039"/>
      <c r="M234" s="1039"/>
      <c r="N234" s="1039"/>
      <c r="O234" s="1039"/>
      <c r="P234" s="1039"/>
      <c r="Q234" s="1039"/>
      <c r="R234" s="1039"/>
      <c r="S234" s="1039"/>
      <c r="T234" s="1039"/>
      <c r="U234" s="1039"/>
      <c r="V234" s="1039"/>
      <c r="W234" s="1039"/>
      <c r="X234" s="1039"/>
      <c r="Y234" s="1039"/>
      <c r="Z234" s="1039"/>
    </row>
    <row r="235" spans="1:26" ht="12.75" hidden="1" customHeight="1" outlineLevel="1">
      <c r="A235" s="1039"/>
      <c r="B235" s="1062" t="s">
        <v>3373</v>
      </c>
      <c r="C235" s="1063" t="s">
        <v>3374</v>
      </c>
      <c r="D235" s="1064" t="s">
        <v>3539</v>
      </c>
      <c r="E235" s="1064" t="s">
        <v>3376</v>
      </c>
      <c r="F235" s="1064" t="s">
        <v>3539</v>
      </c>
      <c r="G235" s="1064" t="s">
        <v>3377</v>
      </c>
      <c r="H235" s="1064" t="s">
        <v>3540</v>
      </c>
      <c r="I235" s="1064" t="s">
        <v>3379</v>
      </c>
      <c r="J235" s="1064" t="s">
        <v>3380</v>
      </c>
      <c r="K235" s="1065" t="s">
        <v>3381</v>
      </c>
      <c r="L235" s="1039"/>
      <c r="M235" s="1039"/>
      <c r="N235" s="1039"/>
      <c r="O235" s="1039"/>
      <c r="P235" s="1039"/>
      <c r="Q235" s="1039"/>
      <c r="R235" s="1039"/>
      <c r="S235" s="1039"/>
      <c r="T235" s="1039"/>
      <c r="U235" s="1039"/>
      <c r="V235" s="1039"/>
      <c r="W235" s="1039"/>
      <c r="X235" s="1039"/>
      <c r="Y235" s="1039"/>
      <c r="Z235" s="1039"/>
    </row>
    <row r="236" spans="1:26" ht="12.75" hidden="1" customHeight="1" outlineLevel="1">
      <c r="A236" s="1039"/>
      <c r="B236" s="1051" t="s">
        <v>3541</v>
      </c>
      <c r="C236" s="1066" t="s">
        <v>3342</v>
      </c>
      <c r="D236" s="1062">
        <f>E8</f>
        <v>0</v>
      </c>
      <c r="E236" s="1035"/>
      <c r="F236" s="1138" t="s">
        <v>122</v>
      </c>
      <c r="G236" s="1087"/>
      <c r="H236" s="1068">
        <f>IF(F236="x",IF(AND($F$259&gt;=4000,OR(E236="MT",E236="MTcod",E236="ET",E236="ETcod")),IF((10*($F$259-4000)/100)&lt;=300,10*($F$259-4000)/100,300),0))+IF(F236="x",IF(AND($F$259&gt;=2500,OR(E236="ST",E236="STcod")),IF((10*($F$259-2500)/100)&lt;=200,10*($F$259-2500)/100,200),0))+IF(F236="x",IF(AND($F$259&gt;=1500,OR(E236="T",E236="Tcod")),IF((10*($F$259-1500)/100)&lt;=100,10*($F$259-1500)/100,100),0))+IF(F236="x",IF(AND($F$259&gt;=1500,OR(E236="HTS",E236="STS",E236="TS")),IF((10*($F$259-1500)/100)&lt;=100,10*($F$259-1500)/100,100),0))+IF(F236="x",IF(AND($F$259&gt;=2000,OR(E236="MTCoach",E236="ETCoach")),IF((10*($F$259-2000)/100*2)&lt;=300,10*($F$259-2000)/100*2,300),0))+IF(F236="x",IF(AND($F$259&gt;=1500,E236="STCoach"),IF((10*($F$259-1500)/100*2)&lt;=200,10*($F$259-1500)/100*2,200),0))+IF(F236="x",IF(AND($F$259&gt;=1000,E236="TCoach"),IF((10*($F$259-1000)/100*2)&lt;=100,10*($F$259-1000)/100*2,100),0))</f>
        <v>0</v>
      </c>
      <c r="I236" s="1062">
        <f>$E$3</f>
        <v>8</v>
      </c>
      <c r="J236" s="1035"/>
      <c r="K236" s="1068">
        <f>I236*(H236)+J236</f>
        <v>0</v>
      </c>
      <c r="L236" s="1039"/>
      <c r="M236" s="1039"/>
      <c r="N236" s="1039"/>
      <c r="O236" s="1039"/>
      <c r="P236" s="1039"/>
      <c r="Q236" s="1039"/>
      <c r="R236" s="1039"/>
      <c r="S236" s="1039"/>
      <c r="T236" s="1039"/>
      <c r="U236" s="1039"/>
      <c r="V236" s="1039"/>
      <c r="W236" s="1039"/>
      <c r="X236" s="1039"/>
      <c r="Y236" s="1039"/>
      <c r="Z236" s="1039"/>
    </row>
    <row r="237" spans="1:26" ht="12.75" hidden="1" customHeight="1" outlineLevel="1">
      <c r="A237" s="1039"/>
      <c r="B237" s="1030"/>
      <c r="C237" s="1030"/>
      <c r="D237" s="1060"/>
      <c r="E237" s="1060"/>
      <c r="F237" s="1060"/>
      <c r="G237" s="1060"/>
      <c r="H237" s="1060"/>
      <c r="I237" s="1165"/>
      <c r="J237" s="1060"/>
      <c r="K237" s="1166"/>
      <c r="L237" s="1039"/>
      <c r="M237" s="1039"/>
      <c r="N237" s="1039"/>
      <c r="O237" s="1039"/>
      <c r="P237" s="1039"/>
      <c r="Q237" s="1039"/>
      <c r="R237" s="1039"/>
      <c r="S237" s="1039"/>
      <c r="T237" s="1039"/>
      <c r="U237" s="1039"/>
      <c r="V237" s="1039"/>
      <c r="W237" s="1039"/>
      <c r="X237" s="1039"/>
      <c r="Y237" s="1039"/>
      <c r="Z237" s="1039"/>
    </row>
    <row r="238" spans="1:26" ht="12.75" hidden="1" customHeight="1" outlineLevel="1">
      <c r="A238" s="1039"/>
      <c r="B238" s="1062" t="s">
        <v>3373</v>
      </c>
      <c r="C238" s="1063" t="s">
        <v>3374</v>
      </c>
      <c r="D238" s="1064" t="s">
        <v>3359</v>
      </c>
      <c r="E238" s="1064" t="s">
        <v>3542</v>
      </c>
      <c r="F238" s="1064"/>
      <c r="G238" s="1064"/>
      <c r="H238" s="1064" t="s">
        <v>3377</v>
      </c>
      <c r="I238" s="1064"/>
      <c r="J238" s="1064"/>
      <c r="K238" s="1065" t="s">
        <v>3381</v>
      </c>
      <c r="L238" s="1039"/>
      <c r="M238" s="1039"/>
      <c r="N238" s="1039"/>
      <c r="O238" s="1039"/>
      <c r="P238" s="1039"/>
      <c r="Q238" s="1039"/>
      <c r="R238" s="1039"/>
      <c r="S238" s="1039"/>
      <c r="T238" s="1039"/>
      <c r="U238" s="1039"/>
      <c r="V238" s="1039"/>
      <c r="W238" s="1039"/>
      <c r="X238" s="1039"/>
      <c r="Y238" s="1039"/>
      <c r="Z238" s="1039"/>
    </row>
    <row r="239" spans="1:26" ht="12.75" hidden="1" customHeight="1" outlineLevel="1">
      <c r="A239" s="1039"/>
      <c r="B239" s="1051" t="s">
        <v>3541</v>
      </c>
      <c r="C239" s="1066" t="s">
        <v>117</v>
      </c>
      <c r="D239" s="1050" t="str">
        <f t="shared" ref="D239:D243" si="14">K7</f>
        <v>-</v>
      </c>
      <c r="E239" s="1167" t="s">
        <v>3543</v>
      </c>
      <c r="F239" s="1168"/>
      <c r="G239" s="1169"/>
      <c r="H239" s="1170"/>
      <c r="I239" s="1168"/>
      <c r="J239" s="1169"/>
      <c r="K239" s="1068">
        <v>0</v>
      </c>
      <c r="L239" s="1039"/>
      <c r="M239" s="1039"/>
      <c r="N239" s="1039"/>
      <c r="O239" s="1039"/>
      <c r="P239" s="1039"/>
      <c r="Q239" s="1039"/>
      <c r="R239" s="1039"/>
      <c r="S239" s="1039"/>
      <c r="T239" s="1039"/>
      <c r="U239" s="1039"/>
      <c r="V239" s="1039"/>
      <c r="W239" s="1039"/>
      <c r="X239" s="1039"/>
      <c r="Y239" s="1039"/>
      <c r="Z239" s="1039"/>
    </row>
    <row r="240" spans="1:26" ht="12.75" hidden="1" customHeight="1" outlineLevel="1">
      <c r="A240" s="1039"/>
      <c r="B240" s="1051" t="s">
        <v>3541</v>
      </c>
      <c r="C240" s="1066" t="s">
        <v>117</v>
      </c>
      <c r="D240" s="1050" t="str">
        <f t="shared" si="14"/>
        <v>-</v>
      </c>
      <c r="E240" s="1167" t="s">
        <v>3544</v>
      </c>
      <c r="F240" s="1168"/>
      <c r="G240" s="1169"/>
      <c r="H240" s="1170"/>
      <c r="I240" s="1168"/>
      <c r="J240" s="1169"/>
      <c r="K240" s="1068">
        <v>0</v>
      </c>
      <c r="L240" s="1039"/>
      <c r="M240" s="1039"/>
      <c r="N240" s="1039"/>
      <c r="O240" s="1039"/>
      <c r="P240" s="1039"/>
      <c r="Q240" s="1039"/>
      <c r="R240" s="1039"/>
      <c r="S240" s="1039"/>
      <c r="T240" s="1039"/>
      <c r="U240" s="1039"/>
      <c r="V240" s="1039"/>
      <c r="W240" s="1039"/>
      <c r="X240" s="1039"/>
      <c r="Y240" s="1039"/>
      <c r="Z240" s="1039"/>
    </row>
    <row r="241" spans="1:26" ht="12.75" hidden="1" customHeight="1" outlineLevel="1">
      <c r="A241" s="1039"/>
      <c r="B241" s="1051" t="s">
        <v>3541</v>
      </c>
      <c r="C241" s="1066" t="s">
        <v>117</v>
      </c>
      <c r="D241" s="1050" t="str">
        <f t="shared" si="14"/>
        <v>-</v>
      </c>
      <c r="E241" s="1167" t="s">
        <v>3545</v>
      </c>
      <c r="F241" s="1168"/>
      <c r="G241" s="1169"/>
      <c r="H241" s="1170"/>
      <c r="I241" s="1168"/>
      <c r="J241" s="1169"/>
      <c r="K241" s="1068">
        <v>0</v>
      </c>
      <c r="L241" s="1039"/>
      <c r="M241" s="1039"/>
      <c r="N241" s="1039"/>
      <c r="O241" s="1039"/>
      <c r="P241" s="1039"/>
      <c r="Q241" s="1039"/>
      <c r="R241" s="1039"/>
      <c r="S241" s="1039"/>
      <c r="T241" s="1039"/>
      <c r="U241" s="1039"/>
      <c r="V241" s="1039"/>
      <c r="W241" s="1039"/>
      <c r="X241" s="1039"/>
      <c r="Y241" s="1039"/>
      <c r="Z241" s="1039"/>
    </row>
    <row r="242" spans="1:26" ht="12.75" hidden="1" customHeight="1" outlineLevel="1">
      <c r="A242" s="1039"/>
      <c r="B242" s="1051" t="s">
        <v>3541</v>
      </c>
      <c r="C242" s="1066" t="s">
        <v>117</v>
      </c>
      <c r="D242" s="1050">
        <f t="shared" si="14"/>
        <v>0</v>
      </c>
      <c r="E242" s="1167" t="s">
        <v>3546</v>
      </c>
      <c r="F242" s="1168"/>
      <c r="G242" s="1169"/>
      <c r="H242" s="1168"/>
      <c r="I242" s="1168"/>
      <c r="J242" s="1169"/>
      <c r="K242" s="1068">
        <f t="shared" ref="K242:K243" si="15">F266</f>
        <v>0</v>
      </c>
      <c r="L242" s="1039"/>
      <c r="M242" s="1039"/>
      <c r="N242" s="1039"/>
      <c r="O242" s="1039"/>
      <c r="P242" s="1039"/>
      <c r="Q242" s="1039"/>
      <c r="R242" s="1039"/>
      <c r="S242" s="1039"/>
      <c r="T242" s="1039"/>
      <c r="U242" s="1039"/>
      <c r="V242" s="1039"/>
      <c r="W242" s="1039"/>
      <c r="X242" s="1039"/>
      <c r="Y242" s="1039"/>
      <c r="Z242" s="1039"/>
    </row>
    <row r="243" spans="1:26" ht="12.75" hidden="1" customHeight="1" outlineLevel="1">
      <c r="A243" s="1039"/>
      <c r="B243" s="1051" t="s">
        <v>3541</v>
      </c>
      <c r="C243" s="1066" t="s">
        <v>117</v>
      </c>
      <c r="D243" s="1050" t="str">
        <f t="shared" si="14"/>
        <v>-</v>
      </c>
      <c r="E243" s="1167" t="s">
        <v>3547</v>
      </c>
      <c r="F243" s="1168"/>
      <c r="G243" s="1169"/>
      <c r="H243" s="1168"/>
      <c r="I243" s="1168"/>
      <c r="J243" s="1169"/>
      <c r="K243" s="1068">
        <f t="shared" si="15"/>
        <v>0</v>
      </c>
      <c r="L243" s="1039"/>
      <c r="M243" s="1030"/>
      <c r="N243" s="1030"/>
      <c r="O243" s="1030"/>
      <c r="P243" s="1030"/>
      <c r="Q243" s="1030"/>
      <c r="R243" s="1030"/>
      <c r="S243" s="1030"/>
      <c r="T243" s="1030"/>
      <c r="U243" s="1030"/>
      <c r="V243" s="1030"/>
      <c r="W243" s="1030"/>
      <c r="X243" s="1030"/>
      <c r="Y243" s="1030"/>
      <c r="Z243" s="1030"/>
    </row>
    <row r="244" spans="1:26" ht="12.75" hidden="1" customHeight="1" outlineLevel="1">
      <c r="A244" s="1039"/>
      <c r="B244" s="1051"/>
      <c r="C244" s="1066" t="s">
        <v>117</v>
      </c>
      <c r="D244" s="1201"/>
      <c r="E244" s="1167"/>
      <c r="F244" s="1168"/>
      <c r="G244" s="1169"/>
      <c r="H244" s="1168"/>
      <c r="I244" s="1168"/>
      <c r="J244" s="1169"/>
      <c r="K244" s="1087"/>
      <c r="L244" s="1039"/>
      <c r="M244" s="1030"/>
      <c r="N244" s="1030"/>
      <c r="O244" s="1030"/>
      <c r="P244" s="1030"/>
      <c r="Q244" s="1030"/>
      <c r="R244" s="1030"/>
      <c r="S244" s="1030"/>
      <c r="T244" s="1030"/>
      <c r="U244" s="1030"/>
      <c r="V244" s="1030"/>
      <c r="W244" s="1030"/>
      <c r="X244" s="1030"/>
      <c r="Y244" s="1030"/>
      <c r="Z244" s="1030"/>
    </row>
    <row r="245" spans="1:26" ht="12.75" hidden="1" customHeight="1" outlineLevel="1">
      <c r="A245" s="1039"/>
      <c r="B245" s="1051"/>
      <c r="C245" s="1066" t="s">
        <v>117</v>
      </c>
      <c r="D245" s="1201"/>
      <c r="E245" s="1167"/>
      <c r="F245" s="1168"/>
      <c r="G245" s="1169"/>
      <c r="H245" s="1168"/>
      <c r="I245" s="1168"/>
      <c r="J245" s="1169"/>
      <c r="K245" s="1087"/>
      <c r="L245" s="1039"/>
      <c r="M245" s="1030"/>
      <c r="N245" s="1030"/>
      <c r="O245" s="1030"/>
      <c r="P245" s="1030"/>
      <c r="Q245" s="1030"/>
      <c r="R245" s="1030"/>
      <c r="S245" s="1030"/>
      <c r="T245" s="1030"/>
      <c r="U245" s="1030"/>
      <c r="V245" s="1030"/>
      <c r="W245" s="1030"/>
      <c r="X245" s="1030"/>
      <c r="Y245" s="1030"/>
      <c r="Z245" s="1030"/>
    </row>
    <row r="246" spans="1:26" ht="12.75" hidden="1" customHeight="1" outlineLevel="1">
      <c r="A246" s="1039"/>
      <c r="B246" s="1051"/>
      <c r="C246" s="1066" t="s">
        <v>117</v>
      </c>
      <c r="D246" s="1201"/>
      <c r="E246" s="1167"/>
      <c r="F246" s="1168"/>
      <c r="G246" s="1169"/>
      <c r="H246" s="1168"/>
      <c r="I246" s="1168"/>
      <c r="J246" s="1169"/>
      <c r="K246" s="1087"/>
      <c r="L246" s="1039"/>
      <c r="M246" s="1030"/>
      <c r="N246" s="1030"/>
      <c r="O246" s="1030"/>
      <c r="P246" s="1030"/>
      <c r="Q246" s="1030"/>
      <c r="R246" s="1030"/>
      <c r="S246" s="1030"/>
      <c r="T246" s="1030"/>
      <c r="U246" s="1030"/>
      <c r="V246" s="1030"/>
      <c r="W246" s="1030"/>
      <c r="X246" s="1030"/>
      <c r="Y246" s="1030"/>
      <c r="Z246" s="1030"/>
    </row>
    <row r="247" spans="1:26" ht="15.75" hidden="1" customHeight="1" outlineLevel="1">
      <c r="A247" s="1039"/>
      <c r="B247" s="1051"/>
      <c r="C247" s="1066" t="s">
        <v>117</v>
      </c>
      <c r="D247" s="1201"/>
      <c r="E247" s="1167"/>
      <c r="F247" s="1168"/>
      <c r="G247" s="1169"/>
      <c r="H247" s="1168"/>
      <c r="I247" s="1168"/>
      <c r="J247" s="1169"/>
      <c r="K247" s="1087"/>
      <c r="L247" s="1039"/>
      <c r="M247" s="1171"/>
      <c r="N247" s="1171"/>
      <c r="O247" s="1171"/>
      <c r="P247" s="1171"/>
      <c r="Q247" s="1171"/>
      <c r="R247" s="1171"/>
      <c r="S247" s="1171"/>
      <c r="T247" s="1171"/>
      <c r="U247" s="1171"/>
      <c r="V247" s="1171"/>
      <c r="W247" s="1171"/>
      <c r="X247" s="1171"/>
      <c r="Y247" s="1171"/>
      <c r="Z247" s="1171"/>
    </row>
    <row r="248" spans="1:26" ht="15.75" hidden="1" customHeight="1" outlineLevel="1">
      <c r="A248" s="1039"/>
      <c r="B248" s="1051"/>
      <c r="C248" s="1066" t="s">
        <v>117</v>
      </c>
      <c r="D248" s="1201"/>
      <c r="E248" s="1167"/>
      <c r="F248" s="1168"/>
      <c r="G248" s="1169"/>
      <c r="H248" s="1168"/>
      <c r="I248" s="1168"/>
      <c r="J248" s="1169"/>
      <c r="K248" s="1087"/>
      <c r="L248" s="1039"/>
      <c r="M248" s="1171"/>
      <c r="N248" s="1171"/>
      <c r="O248" s="1171"/>
      <c r="P248" s="1171"/>
      <c r="Q248" s="1171"/>
      <c r="R248" s="1171"/>
      <c r="S248" s="1171"/>
      <c r="T248" s="1171"/>
      <c r="U248" s="1171"/>
      <c r="V248" s="1171"/>
      <c r="W248" s="1171"/>
      <c r="X248" s="1171"/>
      <c r="Y248" s="1171"/>
      <c r="Z248" s="1171"/>
    </row>
    <row r="249" spans="1:26" ht="15.75" hidden="1" customHeight="1" outlineLevel="1">
      <c r="A249" s="1039"/>
      <c r="B249" s="1030"/>
      <c r="C249" s="1030"/>
      <c r="D249" s="1088" t="s">
        <v>3548</v>
      </c>
      <c r="E249" s="1089"/>
      <c r="F249" s="1089"/>
      <c r="G249" s="1089"/>
      <c r="H249" s="1090"/>
      <c r="I249" s="1089"/>
      <c r="J249" s="1089"/>
      <c r="K249" s="1091">
        <f>K236+SUM(K239:K248)</f>
        <v>0</v>
      </c>
      <c r="L249" s="1039"/>
      <c r="M249" s="1171"/>
      <c r="N249" s="1171"/>
      <c r="O249" s="1171"/>
      <c r="P249" s="1171"/>
      <c r="Q249" s="1171"/>
      <c r="R249" s="1171"/>
      <c r="S249" s="1171"/>
      <c r="T249" s="1171"/>
      <c r="U249" s="1171"/>
      <c r="V249" s="1171"/>
      <c r="W249" s="1171"/>
      <c r="X249" s="1171"/>
      <c r="Y249" s="1171"/>
      <c r="Z249" s="1171"/>
    </row>
    <row r="250" spans="1:26" ht="12.75" hidden="1" customHeight="1" outlineLevel="1">
      <c r="A250" s="1030"/>
      <c r="B250" s="1030"/>
      <c r="C250" s="1030"/>
      <c r="D250" s="1030"/>
      <c r="E250" s="1172"/>
      <c r="F250" s="1172"/>
      <c r="G250" s="1172"/>
      <c r="H250" s="1172"/>
      <c r="I250" s="1172"/>
      <c r="J250" s="1172"/>
      <c r="K250" s="1172"/>
      <c r="L250" s="1030"/>
      <c r="M250" s="1030"/>
      <c r="N250" s="1030"/>
      <c r="O250" s="1030"/>
      <c r="P250" s="1030"/>
      <c r="Q250" s="1030"/>
      <c r="R250" s="1030"/>
      <c r="S250" s="1030"/>
      <c r="T250" s="1030"/>
      <c r="U250" s="1030"/>
      <c r="V250" s="1030"/>
      <c r="W250" s="1030"/>
      <c r="X250" s="1030"/>
      <c r="Y250" s="1030"/>
      <c r="Z250" s="1030"/>
    </row>
    <row r="251" spans="1:26" ht="12.75" hidden="1" customHeight="1" outlineLevel="1">
      <c r="A251" s="1030"/>
      <c r="B251" s="1030"/>
      <c r="C251" s="1030"/>
      <c r="D251" s="1173" t="s">
        <v>3549</v>
      </c>
      <c r="E251" s="1174"/>
      <c r="F251" s="1174"/>
      <c r="G251" s="1174"/>
      <c r="H251" s="1174"/>
      <c r="I251" s="1175"/>
      <c r="J251" s="1174"/>
      <c r="K251" s="1176"/>
      <c r="L251" s="1030"/>
      <c r="M251" s="1030"/>
      <c r="N251" s="1030"/>
      <c r="O251" s="1030"/>
      <c r="P251" s="1030"/>
      <c r="Q251" s="1030"/>
      <c r="R251" s="1030"/>
      <c r="S251" s="1030"/>
      <c r="T251" s="1030"/>
      <c r="U251" s="1030"/>
      <c r="V251" s="1030"/>
      <c r="W251" s="1030"/>
      <c r="X251" s="1030"/>
      <c r="Y251" s="1030"/>
      <c r="Z251" s="1030"/>
    </row>
    <row r="252" spans="1:26" ht="12.75" hidden="1" customHeight="1" outlineLevel="1">
      <c r="A252" s="1030"/>
      <c r="B252" s="1062" t="s">
        <v>3550</v>
      </c>
      <c r="C252" s="1063" t="s">
        <v>3374</v>
      </c>
      <c r="D252" s="1177" t="s">
        <v>3551</v>
      </c>
      <c r="E252" s="1064"/>
      <c r="F252" s="1064"/>
      <c r="G252" s="1064"/>
      <c r="H252" s="1064"/>
      <c r="I252" s="1097" t="s">
        <v>3377</v>
      </c>
      <c r="J252" s="1064"/>
      <c r="K252" s="1064" t="s">
        <v>3381</v>
      </c>
      <c r="L252" s="1030"/>
      <c r="M252" s="1030"/>
      <c r="N252" s="1030"/>
      <c r="O252" s="1030"/>
      <c r="P252" s="1030"/>
      <c r="Q252" s="1030"/>
      <c r="R252" s="1030"/>
      <c r="S252" s="1030"/>
      <c r="T252" s="1030"/>
      <c r="U252" s="1030"/>
      <c r="V252" s="1030"/>
      <c r="W252" s="1030"/>
      <c r="X252" s="1030"/>
      <c r="Y252" s="1030"/>
      <c r="Z252" s="1030"/>
    </row>
    <row r="253" spans="1:26" ht="15.75" hidden="1" customHeight="1" outlineLevel="1">
      <c r="A253" s="1030"/>
      <c r="B253" s="1051" t="s">
        <v>3552</v>
      </c>
      <c r="C253" s="1066" t="s">
        <v>117</v>
      </c>
      <c r="D253" s="1178" t="str">
        <f>I2</f>
        <v>Master in Vendita</v>
      </c>
      <c r="E253" s="1179"/>
      <c r="F253" s="1180"/>
      <c r="G253" s="1181" t="str">
        <f>G2</f>
        <v>19-20-21 maggio, 9-10-11 giugno e 1-2 luglio</v>
      </c>
      <c r="H253" s="1180" t="str">
        <f>G3</f>
        <v>Bussolengo (VR)</v>
      </c>
      <c r="I253" s="1167"/>
      <c r="J253" s="1116"/>
      <c r="K253" s="1182">
        <f>F258</f>
        <v>158923.85</v>
      </c>
      <c r="L253" s="1030"/>
      <c r="M253" s="1171"/>
      <c r="N253" s="1171"/>
      <c r="O253" s="1171"/>
      <c r="P253" s="1171"/>
      <c r="Q253" s="1171"/>
      <c r="R253" s="1171"/>
      <c r="S253" s="1171"/>
      <c r="T253" s="1171"/>
      <c r="U253" s="1171"/>
      <c r="V253" s="1171"/>
      <c r="W253" s="1171"/>
      <c r="X253" s="1171"/>
      <c r="Y253" s="1171"/>
      <c r="Z253" s="1171"/>
    </row>
    <row r="254" spans="1:26" ht="15.75" hidden="1" customHeight="1" outlineLevel="1">
      <c r="A254" s="1030"/>
      <c r="B254" s="1051" t="s">
        <v>3553</v>
      </c>
      <c r="C254" s="1066" t="s">
        <v>117</v>
      </c>
      <c r="D254" s="1183" t="s">
        <v>3352</v>
      </c>
      <c r="E254" s="1184"/>
      <c r="F254" s="1179"/>
      <c r="G254" s="1179"/>
      <c r="H254" s="1185"/>
      <c r="I254" s="1167"/>
      <c r="J254" s="1116"/>
      <c r="K254" s="1068">
        <f>K232-SUMIF(D104:D231,"x",K104:K231)</f>
        <v>0</v>
      </c>
      <c r="L254" s="1030"/>
      <c r="M254" s="1030"/>
      <c r="N254" s="1030"/>
      <c r="O254" s="1030"/>
      <c r="P254" s="1030"/>
      <c r="Q254" s="1030"/>
      <c r="R254" s="1030"/>
      <c r="S254" s="1030"/>
      <c r="T254" s="1030"/>
      <c r="U254" s="1030"/>
      <c r="V254" s="1030"/>
      <c r="W254" s="1030"/>
      <c r="X254" s="1030"/>
      <c r="Y254" s="1030"/>
      <c r="Z254" s="1030"/>
    </row>
    <row r="255" spans="1:26" ht="15.75" customHeight="1" collapsed="1">
      <c r="A255" s="1171"/>
      <c r="B255" s="1030"/>
      <c r="C255" s="1030"/>
      <c r="D255" s="1030"/>
      <c r="E255" s="1030"/>
      <c r="F255" s="1030"/>
      <c r="G255" s="1030"/>
      <c r="H255" s="1186"/>
      <c r="I255" s="1030"/>
      <c r="J255" s="1030"/>
      <c r="K255" s="1030"/>
      <c r="L255" s="1171"/>
      <c r="M255" s="1030"/>
      <c r="N255" s="1030"/>
      <c r="O255" s="1030"/>
      <c r="P255" s="1030"/>
      <c r="Q255" s="1030"/>
      <c r="R255" s="1030"/>
      <c r="S255" s="1030"/>
      <c r="T255" s="1030"/>
      <c r="U255" s="1030"/>
      <c r="V255" s="1030"/>
      <c r="W255" s="1030"/>
      <c r="X255" s="1030"/>
      <c r="Y255" s="1030"/>
      <c r="Z255" s="1030"/>
    </row>
    <row r="256" spans="1:26" ht="15.75" customHeight="1">
      <c r="A256" s="1171"/>
      <c r="B256" s="1030"/>
      <c r="C256" s="1030"/>
      <c r="D256" s="1088" t="s">
        <v>3554</v>
      </c>
      <c r="E256" s="1089"/>
      <c r="F256" s="1187"/>
      <c r="G256" s="1030"/>
      <c r="H256" s="1030"/>
      <c r="I256" s="1030"/>
      <c r="J256" s="1030" t="s">
        <v>3555</v>
      </c>
      <c r="K256" s="1186"/>
      <c r="L256" s="1171"/>
      <c r="M256" s="1030"/>
      <c r="N256" s="1030"/>
      <c r="O256" s="1030"/>
      <c r="P256" s="1030"/>
      <c r="Q256" s="1030"/>
      <c r="R256" s="1030"/>
      <c r="S256" s="1030"/>
      <c r="T256" s="1030"/>
      <c r="U256" s="1030"/>
      <c r="V256" s="1030"/>
      <c r="W256" s="1030"/>
      <c r="X256" s="1030"/>
      <c r="Y256" s="1030"/>
      <c r="Z256" s="1030"/>
    </row>
    <row r="257" spans="1:26" ht="15.75" customHeight="1">
      <c r="A257" s="1030"/>
      <c r="B257" s="1030"/>
      <c r="C257" s="1030"/>
      <c r="D257" s="1034" t="s">
        <v>3556</v>
      </c>
      <c r="E257" s="1034"/>
      <c r="F257" s="1072">
        <f>K97+SUMIF(D101,"x",K101)+SUMIF(D104:D231,"x",K104:K231)</f>
        <v>125533.64416666668</v>
      </c>
      <c r="G257" s="1030"/>
      <c r="H257" s="1134"/>
      <c r="I257" s="1030"/>
      <c r="J257" s="1060"/>
      <c r="K257" s="1060"/>
      <c r="L257" s="1030"/>
      <c r="M257" s="1030"/>
      <c r="N257" s="1030"/>
      <c r="O257" s="1030"/>
      <c r="P257" s="1030"/>
      <c r="Q257" s="1030"/>
      <c r="R257" s="1030"/>
      <c r="S257" s="1030"/>
      <c r="T257" s="1030"/>
      <c r="U257" s="1030"/>
      <c r="V257" s="1030"/>
      <c r="W257" s="1030"/>
      <c r="X257" s="1030"/>
      <c r="Y257" s="1030"/>
      <c r="Z257" s="1030"/>
    </row>
    <row r="258" spans="1:26" ht="15.75" customHeight="1">
      <c r="A258" s="1030"/>
      <c r="B258" s="1030"/>
      <c r="C258" s="1030"/>
      <c r="D258" s="1034" t="s">
        <v>3343</v>
      </c>
      <c r="E258" s="1188"/>
      <c r="F258" s="1072">
        <f>K2</f>
        <v>158923.85</v>
      </c>
      <c r="G258" s="1171"/>
      <c r="H258" s="1134"/>
      <c r="I258" s="1171"/>
      <c r="J258" s="1060"/>
      <c r="K258" s="1060"/>
      <c r="L258" s="1030"/>
      <c r="M258" s="1030"/>
      <c r="N258" s="1030"/>
      <c r="O258" s="1030"/>
      <c r="P258" s="1030"/>
      <c r="Q258" s="1030"/>
      <c r="R258" s="1030"/>
      <c r="S258" s="1030"/>
      <c r="T258" s="1030"/>
      <c r="U258" s="1030"/>
      <c r="V258" s="1030"/>
      <c r="W258" s="1030"/>
      <c r="X258" s="1030"/>
      <c r="Y258" s="1030"/>
      <c r="Z258" s="1030"/>
    </row>
    <row r="259" spans="1:26" ht="15.75" customHeight="1">
      <c r="A259" s="1030"/>
      <c r="B259" s="1030"/>
      <c r="C259" s="1030"/>
      <c r="D259" s="1034" t="s">
        <v>3557</v>
      </c>
      <c r="E259" s="1188"/>
      <c r="F259" s="1072">
        <f>IF(E3=0,0,F258/E3)</f>
        <v>19865.481250000001</v>
      </c>
      <c r="G259" s="1189"/>
      <c r="H259" s="1134"/>
      <c r="I259" s="1171"/>
      <c r="J259" s="1030"/>
      <c r="K259" s="1030"/>
      <c r="L259" s="1030"/>
      <c r="M259" s="1030"/>
      <c r="N259" s="1030"/>
      <c r="O259" s="1030"/>
      <c r="P259" s="1030"/>
      <c r="Q259" s="1030"/>
      <c r="R259" s="1030"/>
      <c r="S259" s="1030"/>
      <c r="T259" s="1030"/>
      <c r="U259" s="1030"/>
      <c r="V259" s="1030"/>
      <c r="W259" s="1030"/>
      <c r="X259" s="1030"/>
      <c r="Y259" s="1030"/>
      <c r="Z259" s="1030"/>
    </row>
    <row r="260" spans="1:26" ht="15" customHeight="1">
      <c r="A260" s="1030"/>
      <c r="B260" s="1030"/>
      <c r="C260" s="1030"/>
      <c r="D260" s="1034" t="s">
        <v>3352</v>
      </c>
      <c r="E260" s="1188"/>
      <c r="F260" s="1190" t="str">
        <f>K3</f>
        <v>Incluse</v>
      </c>
      <c r="G260" s="1189"/>
      <c r="H260" s="1134"/>
      <c r="I260" s="1171"/>
      <c r="J260" s="1039"/>
      <c r="K260" s="1039"/>
      <c r="L260" s="1030"/>
      <c r="M260" s="1030"/>
      <c r="N260" s="1030"/>
      <c r="O260" s="1030"/>
      <c r="P260" s="1030"/>
      <c r="Q260" s="1030"/>
      <c r="R260" s="1030"/>
      <c r="S260" s="1030"/>
      <c r="T260" s="1030"/>
      <c r="U260" s="1030"/>
      <c r="V260" s="1030"/>
      <c r="W260" s="1030"/>
      <c r="X260" s="1030"/>
      <c r="Y260" s="1030"/>
      <c r="Z260" s="1030"/>
    </row>
    <row r="261" spans="1:26" ht="15.75" customHeight="1">
      <c r="A261" s="1030"/>
      <c r="B261" s="1030"/>
      <c r="C261" s="1030"/>
      <c r="D261" s="1034" t="s">
        <v>3350</v>
      </c>
      <c r="E261" s="1188"/>
      <c r="F261" s="1190" t="str">
        <f>I3</f>
        <v>Autofinanziato</v>
      </c>
      <c r="G261" s="1189"/>
      <c r="H261" s="1134"/>
      <c r="I261" s="1030"/>
      <c r="J261" s="1060"/>
      <c r="K261" s="1172"/>
      <c r="L261" s="1030"/>
      <c r="M261" s="1030"/>
      <c r="N261" s="1030"/>
      <c r="O261" s="1030"/>
      <c r="P261" s="1030"/>
      <c r="Q261" s="1030"/>
      <c r="R261" s="1030"/>
      <c r="S261" s="1030"/>
      <c r="T261" s="1030"/>
      <c r="U261" s="1030"/>
      <c r="V261" s="1030"/>
      <c r="W261" s="1030"/>
      <c r="X261" s="1030"/>
      <c r="Y261" s="1030"/>
      <c r="Z261" s="1030"/>
    </row>
    <row r="262" spans="1:26" ht="15.75" customHeight="1">
      <c r="A262" s="1030"/>
      <c r="B262" s="1030"/>
      <c r="C262" s="1030"/>
      <c r="D262" s="1034" t="s">
        <v>3558</v>
      </c>
      <c r="E262" s="1188"/>
      <c r="F262" s="1072">
        <f>K236</f>
        <v>0</v>
      </c>
      <c r="G262" s="1189"/>
      <c r="H262" s="1134"/>
      <c r="I262" s="1030"/>
      <c r="J262" s="1060"/>
      <c r="K262" s="1172"/>
      <c r="L262" s="1030"/>
      <c r="M262" s="1030"/>
      <c r="N262" s="1030"/>
      <c r="O262" s="1030"/>
      <c r="P262" s="1030"/>
      <c r="Q262" s="1030"/>
      <c r="R262" s="1030"/>
      <c r="S262" s="1030"/>
      <c r="T262" s="1030"/>
      <c r="U262" s="1030"/>
      <c r="V262" s="1030"/>
      <c r="W262" s="1030"/>
      <c r="X262" s="1030"/>
      <c r="Y262" s="1030"/>
      <c r="Z262" s="1030"/>
    </row>
    <row r="263" spans="1:26" ht="15.75" customHeight="1">
      <c r="A263" s="1030"/>
      <c r="B263" s="1030"/>
      <c r="C263" s="1030"/>
      <c r="D263" s="1034" t="s">
        <v>3361</v>
      </c>
      <c r="E263" s="1191">
        <f t="shared" ref="E263:E267" si="16">J7</f>
        <v>0</v>
      </c>
      <c r="F263" s="1072">
        <f>'Lista Corso'!BT490</f>
        <v>14370.937499999995</v>
      </c>
      <c r="G263" s="1189"/>
      <c r="H263" s="1134"/>
      <c r="I263" s="1171"/>
      <c r="J263" s="1060"/>
      <c r="K263" s="1172"/>
      <c r="L263" s="1030"/>
      <c r="M263" s="1030"/>
      <c r="N263" s="1030"/>
      <c r="O263" s="1030"/>
      <c r="P263" s="1030"/>
      <c r="Q263" s="1030"/>
      <c r="R263" s="1030"/>
      <c r="S263" s="1030"/>
      <c r="T263" s="1030"/>
      <c r="U263" s="1030"/>
      <c r="V263" s="1030"/>
      <c r="W263" s="1030"/>
      <c r="X263" s="1030"/>
      <c r="Y263" s="1030"/>
      <c r="Z263" s="1030"/>
    </row>
    <row r="264" spans="1:26" ht="15.75" customHeight="1">
      <c r="A264" s="1030"/>
      <c r="B264" s="1030"/>
      <c r="C264" s="1030"/>
      <c r="D264" s="1034" t="s">
        <v>3559</v>
      </c>
      <c r="E264" s="1191">
        <f t="shared" si="16"/>
        <v>0</v>
      </c>
      <c r="F264" s="1072">
        <f>'Lista Corso'!CB490</f>
        <v>7467.6625000000058</v>
      </c>
      <c r="G264" s="1189"/>
      <c r="H264" s="1134"/>
      <c r="I264" s="1030"/>
      <c r="J264" s="1060"/>
      <c r="K264" s="1172"/>
      <c r="L264" s="1030"/>
      <c r="M264" s="1030"/>
      <c r="N264" s="1030"/>
      <c r="O264" s="1030"/>
      <c r="P264" s="1030"/>
      <c r="Q264" s="1030"/>
      <c r="R264" s="1030"/>
      <c r="S264" s="1030"/>
      <c r="T264" s="1030"/>
      <c r="U264" s="1030"/>
      <c r="V264" s="1030"/>
      <c r="W264" s="1030"/>
      <c r="X264" s="1030"/>
      <c r="Y264" s="1030"/>
      <c r="Z264" s="1030"/>
    </row>
    <row r="265" spans="1:26" ht="12.75" customHeight="1">
      <c r="A265" s="1030"/>
      <c r="B265" s="1030"/>
      <c r="C265" s="1030"/>
      <c r="D265" s="1034" t="s">
        <v>3365</v>
      </c>
      <c r="E265" s="1191">
        <f t="shared" si="16"/>
        <v>0</v>
      </c>
      <c r="F265" s="1072">
        <f>K241</f>
        <v>0</v>
      </c>
      <c r="G265" s="1189"/>
      <c r="H265" s="1134"/>
      <c r="I265" s="1030"/>
      <c r="J265" s="1060"/>
      <c r="K265" s="1172"/>
      <c r="L265" s="1030"/>
      <c r="M265" s="1030"/>
      <c r="N265" s="1030"/>
      <c r="O265" s="1030"/>
      <c r="P265" s="1030"/>
      <c r="Q265" s="1030"/>
      <c r="R265" s="1030"/>
      <c r="S265" s="1030"/>
      <c r="T265" s="1030"/>
      <c r="U265" s="1030"/>
      <c r="V265" s="1030"/>
      <c r="W265" s="1030"/>
      <c r="X265" s="1030"/>
      <c r="Y265" s="1030"/>
      <c r="Z265" s="1030"/>
    </row>
    <row r="266" spans="1:26" ht="12.75" customHeight="1">
      <c r="A266" s="1030"/>
      <c r="B266" s="1030"/>
      <c r="C266" s="1030"/>
      <c r="D266" s="1034" t="s">
        <v>3367</v>
      </c>
      <c r="E266" s="1191">
        <f t="shared" si="16"/>
        <v>0</v>
      </c>
      <c r="F266" s="1072">
        <f>E266*(F258-SUMIF(D101,"x",K101)-SUMIF(D112:D231,"x",K112:K231))</f>
        <v>0</v>
      </c>
      <c r="G266" s="1192"/>
      <c r="H266" s="1134"/>
      <c r="I266" s="1030"/>
      <c r="J266" s="1193"/>
      <c r="K266" s="1172"/>
      <c r="L266" s="1030"/>
      <c r="M266" s="1030"/>
      <c r="N266" s="1030"/>
      <c r="O266" s="1030"/>
      <c r="P266" s="1030"/>
      <c r="Q266" s="1030"/>
      <c r="R266" s="1030"/>
      <c r="S266" s="1030"/>
      <c r="T266" s="1030"/>
      <c r="U266" s="1030"/>
      <c r="V266" s="1030"/>
      <c r="W266" s="1030"/>
      <c r="X266" s="1030"/>
      <c r="Y266" s="1030"/>
      <c r="Z266" s="1030"/>
    </row>
    <row r="267" spans="1:26" ht="12.75" customHeight="1">
      <c r="A267" s="1030"/>
      <c r="B267" s="1030"/>
      <c r="C267" s="1030"/>
      <c r="D267" s="1034" t="s">
        <v>3369</v>
      </c>
      <c r="E267" s="1191">
        <f t="shared" si="16"/>
        <v>0</v>
      </c>
      <c r="F267" s="1072">
        <f>E267*(F258-SUMIF(D101,"x",K101)-SUMIF(D112:D231,"x",K112:K231))</f>
        <v>0</v>
      </c>
      <c r="G267" s="1189"/>
      <c r="H267" s="1186"/>
      <c r="I267" s="1030"/>
      <c r="J267" s="1030"/>
      <c r="K267" s="1030"/>
      <c r="L267" s="1030"/>
      <c r="M267" s="1030"/>
      <c r="N267" s="1030"/>
      <c r="O267" s="1030"/>
      <c r="P267" s="1030"/>
      <c r="Q267" s="1030"/>
      <c r="R267" s="1030"/>
      <c r="S267" s="1030"/>
      <c r="T267" s="1030"/>
      <c r="U267" s="1030"/>
      <c r="V267" s="1030"/>
      <c r="W267" s="1030"/>
      <c r="X267" s="1030"/>
      <c r="Y267" s="1030"/>
      <c r="Z267" s="1030"/>
    </row>
    <row r="268" spans="1:26" ht="12.75" customHeight="1">
      <c r="A268" s="1030"/>
      <c r="B268" s="1030"/>
      <c r="C268" s="1030"/>
      <c r="D268" s="1034" t="s">
        <v>3560</v>
      </c>
      <c r="E268" s="1034"/>
      <c r="F268" s="1072">
        <f>F258-F257-F262-F263-F264-F265-F266-F267</f>
        <v>11551.605833333328</v>
      </c>
      <c r="G268" s="1030"/>
      <c r="H268" s="1186"/>
      <c r="I268" s="1030"/>
      <c r="J268" s="1030"/>
      <c r="K268" s="1030"/>
      <c r="L268" s="1030"/>
      <c r="M268" s="1030"/>
      <c r="N268" s="1030"/>
      <c r="O268" s="1030"/>
      <c r="P268" s="1030"/>
      <c r="Q268" s="1030"/>
      <c r="R268" s="1030"/>
      <c r="S268" s="1030"/>
      <c r="T268" s="1030"/>
      <c r="U268" s="1030"/>
      <c r="V268" s="1030"/>
      <c r="W268" s="1030"/>
      <c r="X268" s="1030"/>
      <c r="Y268" s="1030"/>
      <c r="Z268" s="1030"/>
    </row>
    <row r="269" spans="1:26" ht="12.75" customHeight="1">
      <c r="A269" s="1030"/>
      <c r="B269" s="1030"/>
      <c r="C269" s="1030"/>
      <c r="D269" s="1034" t="s">
        <v>3561</v>
      </c>
      <c r="E269" s="1034"/>
      <c r="F269" s="1194">
        <f>IF(F258=0,0,F268/F258)</f>
        <v>7.2686420781609098E-2</v>
      </c>
      <c r="G269" s="1186"/>
      <c r="H269" s="1030"/>
      <c r="I269" s="1030"/>
      <c r="J269" s="1030"/>
      <c r="K269" s="1030"/>
      <c r="L269" s="1030"/>
      <c r="M269" s="1030"/>
      <c r="N269" s="1030"/>
      <c r="O269" s="1030"/>
      <c r="P269" s="1030"/>
      <c r="Q269" s="1030"/>
      <c r="R269" s="1030"/>
      <c r="S269" s="1030"/>
      <c r="T269" s="1030"/>
      <c r="U269" s="1030"/>
      <c r="V269" s="1030"/>
      <c r="W269" s="1030"/>
      <c r="X269" s="1030"/>
      <c r="Y269" s="1030"/>
      <c r="Z269" s="1030"/>
    </row>
    <row r="270" spans="1:26" ht="12.75" customHeight="1">
      <c r="A270" s="1030"/>
      <c r="B270" s="1030"/>
      <c r="C270" s="1030"/>
      <c r="D270" s="1030"/>
      <c r="E270" s="1030"/>
      <c r="F270" s="1030"/>
      <c r="G270" s="1186"/>
      <c r="H270" s="1030"/>
      <c r="I270" s="1030"/>
      <c r="J270" s="1030"/>
      <c r="K270" s="1030"/>
      <c r="L270" s="1030"/>
      <c r="M270" s="1030"/>
      <c r="N270" s="1030"/>
      <c r="O270" s="1030"/>
      <c r="P270" s="1030"/>
      <c r="Q270" s="1030"/>
      <c r="R270" s="1030"/>
      <c r="S270" s="1030"/>
      <c r="T270" s="1030"/>
      <c r="U270" s="1030"/>
      <c r="V270" s="1030"/>
      <c r="W270" s="1030"/>
      <c r="X270" s="1030"/>
      <c r="Y270" s="1030"/>
      <c r="Z270" s="1030"/>
    </row>
    <row r="271" spans="1:26" ht="12.75" customHeight="1">
      <c r="A271" s="1030"/>
      <c r="B271" s="1030"/>
      <c r="C271" s="1030"/>
      <c r="D271" s="1030"/>
      <c r="E271" s="1030"/>
      <c r="F271" s="1030"/>
      <c r="G271" s="1030"/>
      <c r="H271" s="1186"/>
      <c r="I271" s="1030"/>
      <c r="J271" s="1030"/>
      <c r="K271" s="1030"/>
      <c r="L271" s="1030"/>
      <c r="M271" s="1030"/>
      <c r="N271" s="1030"/>
      <c r="O271" s="1030"/>
      <c r="P271" s="1030"/>
      <c r="Q271" s="1030"/>
      <c r="R271" s="1030"/>
      <c r="S271" s="1030"/>
      <c r="T271" s="1030"/>
      <c r="U271" s="1030"/>
      <c r="V271" s="1030"/>
      <c r="W271" s="1030"/>
      <c r="X271" s="1030"/>
      <c r="Y271" s="1030"/>
      <c r="Z271" s="1030"/>
    </row>
    <row r="272" spans="1:26" ht="12.75" customHeight="1">
      <c r="A272" s="1030"/>
      <c r="B272" s="1030"/>
      <c r="C272" s="1030"/>
      <c r="D272" s="1030"/>
      <c r="E272" s="1030"/>
      <c r="F272" s="1030"/>
      <c r="G272" s="1030"/>
      <c r="H272" s="1186"/>
      <c r="I272" s="1030"/>
      <c r="J272" s="1030"/>
      <c r="K272" s="1030"/>
      <c r="L272" s="1030"/>
      <c r="M272" s="1030"/>
      <c r="N272" s="1030"/>
      <c r="O272" s="1030"/>
      <c r="P272" s="1030"/>
      <c r="Q272" s="1030"/>
      <c r="R272" s="1030"/>
      <c r="S272" s="1030"/>
      <c r="T272" s="1030"/>
      <c r="U272" s="1030"/>
      <c r="V272" s="1030"/>
      <c r="W272" s="1030"/>
      <c r="X272" s="1030"/>
      <c r="Y272" s="1030"/>
      <c r="Z272" s="1030"/>
    </row>
    <row r="273" spans="1:26" ht="12.75" customHeight="1">
      <c r="A273" s="1030"/>
      <c r="B273" s="1030"/>
      <c r="C273" s="1030"/>
      <c r="D273" s="1030"/>
      <c r="E273" s="1030"/>
      <c r="F273" s="1030"/>
      <c r="G273" s="1030"/>
      <c r="H273" s="1186"/>
      <c r="I273" s="1030"/>
      <c r="J273" s="1030"/>
      <c r="K273" s="1030"/>
      <c r="L273" s="1030"/>
      <c r="M273" s="1030"/>
      <c r="N273" s="1030"/>
      <c r="O273" s="1030"/>
      <c r="P273" s="1030"/>
      <c r="Q273" s="1030"/>
      <c r="R273" s="1030"/>
      <c r="S273" s="1030"/>
      <c r="T273" s="1030"/>
      <c r="U273" s="1030"/>
      <c r="V273" s="1030"/>
      <c r="W273" s="1030"/>
      <c r="X273" s="1030"/>
      <c r="Y273" s="1030"/>
      <c r="Z273" s="1030"/>
    </row>
    <row r="274" spans="1:26" ht="12.75" customHeight="1">
      <c r="A274" s="1030"/>
      <c r="B274" s="1030"/>
      <c r="C274" s="1030"/>
      <c r="D274" s="1030"/>
      <c r="E274" s="1030"/>
      <c r="F274" s="1030"/>
      <c r="G274" s="1030"/>
      <c r="H274" s="1186"/>
      <c r="I274" s="1030"/>
      <c r="J274" s="1030"/>
      <c r="K274" s="1030"/>
      <c r="L274" s="1030"/>
      <c r="M274" s="1030"/>
      <c r="N274" s="1030"/>
      <c r="O274" s="1030"/>
      <c r="P274" s="1030"/>
      <c r="Q274" s="1030"/>
      <c r="R274" s="1030"/>
      <c r="S274" s="1030"/>
      <c r="T274" s="1030"/>
      <c r="U274" s="1030"/>
      <c r="V274" s="1030"/>
      <c r="W274" s="1030"/>
      <c r="X274" s="1030"/>
      <c r="Y274" s="1030"/>
      <c r="Z274" s="1030"/>
    </row>
    <row r="275" spans="1:26" ht="12.75" customHeight="1">
      <c r="A275" s="1030"/>
      <c r="B275" s="1030"/>
      <c r="C275" s="1030"/>
      <c r="D275" s="1030"/>
      <c r="E275" s="1030"/>
      <c r="F275" s="1030"/>
      <c r="G275" s="1030"/>
      <c r="H275" s="1186"/>
      <c r="I275" s="1030"/>
      <c r="J275" s="1030"/>
      <c r="K275" s="1030"/>
      <c r="L275" s="1030"/>
      <c r="M275" s="1030"/>
      <c r="N275" s="1030"/>
      <c r="O275" s="1030"/>
      <c r="P275" s="1030"/>
      <c r="Q275" s="1030"/>
      <c r="R275" s="1030"/>
      <c r="S275" s="1030"/>
      <c r="T275" s="1030"/>
      <c r="U275" s="1030"/>
      <c r="V275" s="1030"/>
      <c r="W275" s="1030"/>
      <c r="X275" s="1030"/>
      <c r="Y275" s="1030"/>
      <c r="Z275" s="1030"/>
    </row>
    <row r="276" spans="1:26" ht="12.75" customHeight="1">
      <c r="A276" s="1030"/>
      <c r="B276" s="1030"/>
      <c r="C276" s="1030"/>
      <c r="D276" s="1030"/>
      <c r="E276" s="1030"/>
      <c r="F276" s="1030"/>
      <c r="G276" s="1030"/>
      <c r="H276" s="1186"/>
      <c r="I276" s="1030"/>
      <c r="J276" s="1030"/>
      <c r="K276" s="1030"/>
      <c r="L276" s="1030"/>
      <c r="M276" s="1030"/>
      <c r="N276" s="1030"/>
      <c r="O276" s="1030"/>
      <c r="P276" s="1030"/>
      <c r="Q276" s="1030"/>
      <c r="R276" s="1030"/>
      <c r="S276" s="1030"/>
      <c r="T276" s="1030"/>
      <c r="U276" s="1030"/>
      <c r="V276" s="1030"/>
      <c r="W276" s="1030"/>
      <c r="X276" s="1030"/>
      <c r="Y276" s="1030"/>
      <c r="Z276" s="1030"/>
    </row>
    <row r="277" spans="1:26" ht="12.75" customHeight="1">
      <c r="A277" s="1030"/>
      <c r="B277" s="1030"/>
      <c r="C277" s="1030"/>
      <c r="D277" s="1030"/>
      <c r="E277" s="1030"/>
      <c r="F277" s="1030"/>
      <c r="G277" s="1030"/>
      <c r="H277" s="1186"/>
      <c r="I277" s="1030"/>
      <c r="J277" s="1030"/>
      <c r="K277" s="1030"/>
      <c r="L277" s="1030"/>
      <c r="M277" s="1030"/>
      <c r="N277" s="1030"/>
      <c r="O277" s="1030"/>
      <c r="P277" s="1030"/>
      <c r="Q277" s="1030"/>
      <c r="R277" s="1030"/>
      <c r="S277" s="1030"/>
      <c r="T277" s="1030"/>
      <c r="U277" s="1030"/>
      <c r="V277" s="1030"/>
      <c r="W277" s="1030"/>
      <c r="X277" s="1030"/>
      <c r="Y277" s="1030"/>
      <c r="Z277" s="1030"/>
    </row>
    <row r="278" spans="1:26" ht="12.75" customHeight="1">
      <c r="A278" s="1030"/>
      <c r="B278" s="1030"/>
      <c r="C278" s="1030"/>
      <c r="D278" s="1030"/>
      <c r="E278" s="1030"/>
      <c r="F278" s="1030"/>
      <c r="G278" s="1030"/>
      <c r="H278" s="1186"/>
      <c r="I278" s="1030"/>
      <c r="J278" s="1030"/>
      <c r="K278" s="1030"/>
      <c r="L278" s="1030"/>
      <c r="M278" s="1030"/>
      <c r="N278" s="1030"/>
      <c r="O278" s="1030"/>
      <c r="P278" s="1030"/>
      <c r="Q278" s="1030"/>
      <c r="R278" s="1030"/>
      <c r="S278" s="1030"/>
      <c r="T278" s="1030"/>
      <c r="U278" s="1030"/>
      <c r="V278" s="1030"/>
      <c r="W278" s="1030"/>
      <c r="X278" s="1030"/>
      <c r="Y278" s="1030"/>
      <c r="Z278" s="1030"/>
    </row>
    <row r="279" spans="1:26" ht="12.75" customHeight="1">
      <c r="A279" s="1030"/>
      <c r="B279" s="1030"/>
      <c r="C279" s="1030"/>
      <c r="D279" s="1030"/>
      <c r="E279" s="1030"/>
      <c r="F279" s="1030"/>
      <c r="G279" s="1030"/>
      <c r="H279" s="1186"/>
      <c r="I279" s="1030"/>
      <c r="J279" s="1030"/>
      <c r="K279" s="1030"/>
      <c r="L279" s="1030"/>
      <c r="M279" s="1030"/>
      <c r="N279" s="1030"/>
      <c r="O279" s="1030"/>
      <c r="P279" s="1030"/>
      <c r="Q279" s="1030"/>
      <c r="R279" s="1030"/>
      <c r="S279" s="1030"/>
      <c r="T279" s="1030"/>
      <c r="U279" s="1030"/>
      <c r="V279" s="1030"/>
      <c r="W279" s="1030"/>
      <c r="X279" s="1030"/>
      <c r="Y279" s="1030"/>
      <c r="Z279" s="1030"/>
    </row>
    <row r="280" spans="1:26" ht="12.75" customHeight="1">
      <c r="A280" s="1030"/>
      <c r="B280" s="1030"/>
      <c r="C280" s="1030"/>
      <c r="D280" s="1030"/>
      <c r="E280" s="1030"/>
      <c r="F280" s="1030"/>
      <c r="G280" s="1030"/>
      <c r="H280" s="1186"/>
      <c r="I280" s="1030"/>
      <c r="J280" s="1030"/>
      <c r="K280" s="1030"/>
      <c r="L280" s="1030"/>
      <c r="M280" s="1030"/>
      <c r="N280" s="1030"/>
      <c r="O280" s="1030"/>
      <c r="P280" s="1030"/>
      <c r="Q280" s="1030"/>
      <c r="R280" s="1030"/>
      <c r="S280" s="1030"/>
      <c r="T280" s="1030"/>
      <c r="U280" s="1030"/>
      <c r="V280" s="1030"/>
      <c r="W280" s="1030"/>
      <c r="X280" s="1030"/>
      <c r="Y280" s="1030"/>
      <c r="Z280" s="1030"/>
    </row>
    <row r="281" spans="1:26" ht="12.75" customHeight="1">
      <c r="A281" s="1030"/>
      <c r="B281" s="1030"/>
      <c r="C281" s="1030"/>
      <c r="D281" s="1030"/>
      <c r="E281" s="1030"/>
      <c r="F281" s="1030"/>
      <c r="G281" s="1030"/>
      <c r="H281" s="1186"/>
      <c r="I281" s="1030"/>
      <c r="J281" s="1030"/>
      <c r="K281" s="1030"/>
      <c r="L281" s="1030"/>
      <c r="M281" s="1030"/>
      <c r="N281" s="1030"/>
      <c r="O281" s="1030"/>
      <c r="P281" s="1030"/>
      <c r="Q281" s="1030"/>
      <c r="R281" s="1030"/>
      <c r="S281" s="1030"/>
      <c r="T281" s="1030"/>
      <c r="U281" s="1030"/>
      <c r="V281" s="1030"/>
      <c r="W281" s="1030"/>
      <c r="X281" s="1030"/>
      <c r="Y281" s="1030"/>
      <c r="Z281" s="1030"/>
    </row>
    <row r="282" spans="1:26" ht="12.75" customHeight="1">
      <c r="A282" s="1030"/>
      <c r="B282" s="1030"/>
      <c r="C282" s="1030"/>
      <c r="D282" s="1030"/>
      <c r="E282" s="1030"/>
      <c r="F282" s="1030"/>
      <c r="G282" s="1030"/>
      <c r="H282" s="1186"/>
      <c r="I282" s="1030"/>
      <c r="J282" s="1030"/>
      <c r="K282" s="1030"/>
      <c r="L282" s="1030"/>
      <c r="M282" s="1030"/>
      <c r="N282" s="1030"/>
      <c r="O282" s="1030"/>
      <c r="P282" s="1030"/>
      <c r="Q282" s="1030"/>
      <c r="R282" s="1030"/>
      <c r="S282" s="1030"/>
      <c r="T282" s="1030"/>
      <c r="U282" s="1030"/>
      <c r="V282" s="1030"/>
      <c r="W282" s="1030"/>
      <c r="X282" s="1030"/>
      <c r="Y282" s="1030"/>
      <c r="Z282" s="1030"/>
    </row>
    <row r="283" spans="1:26" ht="12.75" customHeight="1">
      <c r="A283" s="1030"/>
      <c r="B283" s="1030"/>
      <c r="C283" s="1030"/>
      <c r="D283" s="1030"/>
      <c r="E283" s="1030"/>
      <c r="F283" s="1030"/>
      <c r="G283" s="1030"/>
      <c r="H283" s="1186"/>
      <c r="I283" s="1030"/>
      <c r="J283" s="1030"/>
      <c r="K283" s="1030"/>
      <c r="L283" s="1030"/>
      <c r="M283" s="1030"/>
      <c r="N283" s="1030"/>
      <c r="O283" s="1030"/>
      <c r="P283" s="1030"/>
      <c r="Q283" s="1030"/>
      <c r="R283" s="1030"/>
      <c r="S283" s="1030"/>
      <c r="T283" s="1030"/>
      <c r="U283" s="1030"/>
      <c r="V283" s="1030"/>
      <c r="W283" s="1030"/>
      <c r="X283" s="1030"/>
      <c r="Y283" s="1030"/>
      <c r="Z283" s="1030"/>
    </row>
    <row r="284" spans="1:26" ht="12.75" customHeight="1">
      <c r="A284" s="1030"/>
      <c r="B284" s="1030"/>
      <c r="C284" s="1030"/>
      <c r="D284" s="1030"/>
      <c r="E284" s="1030"/>
      <c r="F284" s="1030"/>
      <c r="G284" s="1030"/>
      <c r="H284" s="1186"/>
      <c r="I284" s="1030"/>
      <c r="J284" s="1030"/>
      <c r="K284" s="1030"/>
      <c r="L284" s="1030"/>
      <c r="M284" s="1030"/>
      <c r="N284" s="1030"/>
      <c r="O284" s="1030"/>
      <c r="P284" s="1030"/>
      <c r="Q284" s="1030"/>
      <c r="R284" s="1030"/>
      <c r="S284" s="1030"/>
      <c r="T284" s="1030"/>
      <c r="U284" s="1030"/>
      <c r="V284" s="1030"/>
      <c r="W284" s="1030"/>
      <c r="X284" s="1030"/>
      <c r="Y284" s="1030"/>
      <c r="Z284" s="1030"/>
    </row>
    <row r="285" spans="1:26" ht="12.75" customHeight="1">
      <c r="A285" s="1030"/>
      <c r="B285" s="1030"/>
      <c r="C285" s="1030"/>
      <c r="D285" s="1030"/>
      <c r="E285" s="1030"/>
      <c r="F285" s="1030"/>
      <c r="G285" s="1030"/>
      <c r="H285" s="1186"/>
      <c r="I285" s="1030"/>
      <c r="J285" s="1030"/>
      <c r="K285" s="1030"/>
      <c r="L285" s="1030"/>
      <c r="M285" s="1030"/>
      <c r="N285" s="1030"/>
      <c r="O285" s="1030"/>
      <c r="P285" s="1030"/>
      <c r="Q285" s="1030"/>
      <c r="R285" s="1030"/>
      <c r="S285" s="1030"/>
      <c r="T285" s="1030"/>
      <c r="U285" s="1030"/>
      <c r="V285" s="1030"/>
      <c r="W285" s="1030"/>
      <c r="X285" s="1030"/>
      <c r="Y285" s="1030"/>
      <c r="Z285" s="1030"/>
    </row>
    <row r="286" spans="1:26" ht="12.75" customHeight="1">
      <c r="A286" s="1030"/>
      <c r="B286" s="1030"/>
      <c r="C286" s="1030"/>
      <c r="D286" s="1030"/>
      <c r="E286" s="1030"/>
      <c r="F286" s="1030"/>
      <c r="G286" s="1030"/>
      <c r="H286" s="1186"/>
      <c r="I286" s="1030"/>
      <c r="J286" s="1030"/>
      <c r="K286" s="1030"/>
      <c r="L286" s="1030"/>
      <c r="M286" s="1030"/>
      <c r="N286" s="1030"/>
      <c r="O286" s="1030"/>
      <c r="P286" s="1030"/>
      <c r="Q286" s="1030"/>
      <c r="R286" s="1030"/>
      <c r="S286" s="1030"/>
      <c r="T286" s="1030"/>
      <c r="U286" s="1030"/>
      <c r="V286" s="1030"/>
      <c r="W286" s="1030"/>
      <c r="X286" s="1030"/>
      <c r="Y286" s="1030"/>
      <c r="Z286" s="1030"/>
    </row>
    <row r="287" spans="1:26" ht="12.75" customHeight="1">
      <c r="A287" s="1030"/>
      <c r="B287" s="1030"/>
      <c r="C287" s="1030"/>
      <c r="D287" s="1030"/>
      <c r="E287" s="1030"/>
      <c r="F287" s="1030"/>
      <c r="G287" s="1030"/>
      <c r="H287" s="1186"/>
      <c r="I287" s="1030"/>
      <c r="J287" s="1030"/>
      <c r="K287" s="1030"/>
      <c r="L287" s="1030"/>
      <c r="M287" s="1030"/>
      <c r="N287" s="1030"/>
      <c r="O287" s="1030"/>
      <c r="P287" s="1030"/>
      <c r="Q287" s="1030"/>
      <c r="R287" s="1030"/>
      <c r="S287" s="1030"/>
      <c r="T287" s="1030"/>
      <c r="U287" s="1030"/>
      <c r="V287" s="1030"/>
      <c r="W287" s="1030"/>
      <c r="X287" s="1030"/>
      <c r="Y287" s="1030"/>
      <c r="Z287" s="1030"/>
    </row>
    <row r="288" spans="1:26" ht="12.75" customHeight="1">
      <c r="A288" s="1030"/>
      <c r="B288" s="1030"/>
      <c r="C288" s="1030"/>
      <c r="D288" s="1030"/>
      <c r="E288" s="1030"/>
      <c r="F288" s="1030"/>
      <c r="G288" s="1030"/>
      <c r="H288" s="1186"/>
      <c r="I288" s="1030"/>
      <c r="J288" s="1030"/>
      <c r="K288" s="1030"/>
      <c r="L288" s="1030"/>
      <c r="M288" s="1030"/>
      <c r="N288" s="1030"/>
      <c r="O288" s="1030"/>
      <c r="P288" s="1030"/>
      <c r="Q288" s="1030"/>
      <c r="R288" s="1030"/>
      <c r="S288" s="1030"/>
      <c r="T288" s="1030"/>
      <c r="U288" s="1030"/>
      <c r="V288" s="1030"/>
      <c r="W288" s="1030"/>
      <c r="X288" s="1030"/>
      <c r="Y288" s="1030"/>
      <c r="Z288" s="1030"/>
    </row>
    <row r="289" spans="1:26" ht="12.75" customHeight="1">
      <c r="A289" s="1030"/>
      <c r="B289" s="1030"/>
      <c r="C289" s="1030"/>
      <c r="D289" s="1030"/>
      <c r="E289" s="1030"/>
      <c r="F289" s="1030"/>
      <c r="G289" s="1030"/>
      <c r="H289" s="1186"/>
      <c r="I289" s="1030"/>
      <c r="J289" s="1030"/>
      <c r="K289" s="1030"/>
      <c r="L289" s="1030"/>
      <c r="M289" s="1030"/>
      <c r="N289" s="1030"/>
      <c r="O289" s="1030"/>
      <c r="P289" s="1030"/>
      <c r="Q289" s="1030"/>
      <c r="R289" s="1030"/>
      <c r="S289" s="1030"/>
      <c r="T289" s="1030"/>
      <c r="U289" s="1030"/>
      <c r="V289" s="1030"/>
      <c r="W289" s="1030"/>
      <c r="X289" s="1030"/>
      <c r="Y289" s="1030"/>
      <c r="Z289" s="1030"/>
    </row>
    <row r="290" spans="1:26" ht="12.75" customHeight="1">
      <c r="A290" s="1030"/>
      <c r="B290" s="1030"/>
      <c r="C290" s="1030"/>
      <c r="D290" s="1030"/>
      <c r="E290" s="1030"/>
      <c r="F290" s="1030"/>
      <c r="G290" s="1030"/>
      <c r="H290" s="1186"/>
      <c r="I290" s="1030"/>
      <c r="J290" s="1030"/>
      <c r="K290" s="1030"/>
      <c r="L290" s="1030"/>
      <c r="M290" s="1030"/>
      <c r="N290" s="1030"/>
      <c r="O290" s="1030"/>
      <c r="P290" s="1030"/>
      <c r="Q290" s="1030"/>
      <c r="R290" s="1030"/>
      <c r="S290" s="1030"/>
      <c r="T290" s="1030"/>
      <c r="U290" s="1030"/>
      <c r="V290" s="1030"/>
      <c r="W290" s="1030"/>
      <c r="X290" s="1030"/>
      <c r="Y290" s="1030"/>
      <c r="Z290" s="1030"/>
    </row>
    <row r="291" spans="1:26" ht="12.75" customHeight="1">
      <c r="A291" s="1030"/>
      <c r="B291" s="1030"/>
      <c r="C291" s="1030"/>
      <c r="D291" s="1030"/>
      <c r="E291" s="1030"/>
      <c r="F291" s="1030"/>
      <c r="G291" s="1030"/>
      <c r="H291" s="1186"/>
      <c r="I291" s="1030"/>
      <c r="J291" s="1030"/>
      <c r="K291" s="1030"/>
      <c r="L291" s="1030"/>
      <c r="M291" s="1030"/>
      <c r="N291" s="1030"/>
      <c r="O291" s="1030"/>
      <c r="P291" s="1030"/>
      <c r="Q291" s="1030"/>
      <c r="R291" s="1030"/>
      <c r="S291" s="1030"/>
      <c r="T291" s="1030"/>
      <c r="U291" s="1030"/>
      <c r="V291" s="1030"/>
      <c r="W291" s="1030"/>
      <c r="X291" s="1030"/>
      <c r="Y291" s="1030"/>
      <c r="Z291" s="1030"/>
    </row>
    <row r="292" spans="1:26" ht="12.75" customHeight="1">
      <c r="A292" s="1030"/>
      <c r="B292" s="1030"/>
      <c r="C292" s="1030"/>
      <c r="D292" s="1030"/>
      <c r="E292" s="1030"/>
      <c r="F292" s="1030"/>
      <c r="G292" s="1030"/>
      <c r="H292" s="1186"/>
      <c r="I292" s="1030"/>
      <c r="J292" s="1030"/>
      <c r="K292" s="1030"/>
      <c r="L292" s="1030"/>
      <c r="M292" s="1030"/>
      <c r="N292" s="1030"/>
      <c r="O292" s="1030"/>
      <c r="P292" s="1030"/>
      <c r="Q292" s="1030"/>
      <c r="R292" s="1030"/>
      <c r="S292" s="1030"/>
      <c r="T292" s="1030"/>
      <c r="U292" s="1030"/>
      <c r="V292" s="1030"/>
      <c r="W292" s="1030"/>
      <c r="X292" s="1030"/>
      <c r="Y292" s="1030"/>
      <c r="Z292" s="1030"/>
    </row>
    <row r="293" spans="1:26" ht="12.75" customHeight="1">
      <c r="A293" s="1030"/>
      <c r="B293" s="1030"/>
      <c r="C293" s="1030"/>
      <c r="D293" s="1030"/>
      <c r="E293" s="1030"/>
      <c r="F293" s="1030"/>
      <c r="G293" s="1030"/>
      <c r="H293" s="1186"/>
      <c r="I293" s="1030"/>
      <c r="J293" s="1030"/>
      <c r="K293" s="1030"/>
      <c r="L293" s="1030"/>
      <c r="M293" s="1030"/>
      <c r="N293" s="1030"/>
      <c r="O293" s="1030"/>
      <c r="P293" s="1030"/>
      <c r="Q293" s="1030"/>
      <c r="R293" s="1030"/>
      <c r="S293" s="1030"/>
      <c r="T293" s="1030"/>
      <c r="U293" s="1030"/>
      <c r="V293" s="1030"/>
      <c r="W293" s="1030"/>
      <c r="X293" s="1030"/>
      <c r="Y293" s="1030"/>
      <c r="Z293" s="1030"/>
    </row>
    <row r="294" spans="1:26" ht="12.75" customHeight="1">
      <c r="A294" s="1030"/>
      <c r="B294" s="1030"/>
      <c r="C294" s="1030"/>
      <c r="D294" s="1030"/>
      <c r="E294" s="1030"/>
      <c r="F294" s="1030"/>
      <c r="G294" s="1030"/>
      <c r="H294" s="1186"/>
      <c r="I294" s="1030"/>
      <c r="J294" s="1030"/>
      <c r="K294" s="1030"/>
      <c r="L294" s="1030"/>
      <c r="M294" s="1030"/>
      <c r="N294" s="1030"/>
      <c r="O294" s="1030"/>
      <c r="P294" s="1030"/>
      <c r="Q294" s="1030"/>
      <c r="R294" s="1030"/>
      <c r="S294" s="1030"/>
      <c r="T294" s="1030"/>
      <c r="U294" s="1030"/>
      <c r="V294" s="1030"/>
      <c r="W294" s="1030"/>
      <c r="X294" s="1030"/>
      <c r="Y294" s="1030"/>
      <c r="Z294" s="1030"/>
    </row>
    <row r="295" spans="1:26" ht="12.75" customHeight="1">
      <c r="A295" s="1030"/>
      <c r="B295" s="1030"/>
      <c r="C295" s="1030"/>
      <c r="D295" s="1030"/>
      <c r="E295" s="1030"/>
      <c r="F295" s="1030"/>
      <c r="G295" s="1030"/>
      <c r="H295" s="1186"/>
      <c r="I295" s="1030"/>
      <c r="J295" s="1030"/>
      <c r="K295" s="1030"/>
      <c r="L295" s="1030"/>
      <c r="M295" s="1030"/>
      <c r="N295" s="1030"/>
      <c r="O295" s="1030"/>
      <c r="P295" s="1030"/>
      <c r="Q295" s="1030"/>
      <c r="R295" s="1030"/>
      <c r="S295" s="1030"/>
      <c r="T295" s="1030"/>
      <c r="U295" s="1030"/>
      <c r="V295" s="1030"/>
      <c r="W295" s="1030"/>
      <c r="X295" s="1030"/>
      <c r="Y295" s="1030"/>
      <c r="Z295" s="1030"/>
    </row>
    <row r="296" spans="1:26" ht="12.75" customHeight="1">
      <c r="A296" s="1030"/>
      <c r="B296" s="1030"/>
      <c r="C296" s="1030"/>
      <c r="D296" s="1030"/>
      <c r="E296" s="1030"/>
      <c r="F296" s="1030"/>
      <c r="G296" s="1030"/>
      <c r="H296" s="1186"/>
      <c r="I296" s="1030"/>
      <c r="J296" s="1030"/>
      <c r="K296" s="1030"/>
      <c r="L296" s="1030"/>
      <c r="M296" s="1030"/>
      <c r="N296" s="1030"/>
      <c r="O296" s="1030"/>
      <c r="P296" s="1030"/>
      <c r="Q296" s="1030"/>
      <c r="R296" s="1030"/>
      <c r="S296" s="1030"/>
      <c r="T296" s="1030"/>
      <c r="U296" s="1030"/>
      <c r="V296" s="1030"/>
      <c r="W296" s="1030"/>
      <c r="X296" s="1030"/>
      <c r="Y296" s="1030"/>
      <c r="Z296" s="1030"/>
    </row>
    <row r="297" spans="1:26" ht="12.75" customHeight="1">
      <c r="A297" s="1030"/>
      <c r="B297" s="1030"/>
      <c r="C297" s="1030"/>
      <c r="D297" s="1030"/>
      <c r="E297" s="1030"/>
      <c r="F297" s="1030"/>
      <c r="G297" s="1030"/>
      <c r="H297" s="1186"/>
      <c r="I297" s="1030"/>
      <c r="J297" s="1030"/>
      <c r="K297" s="1030"/>
      <c r="L297" s="1030"/>
      <c r="M297" s="1030"/>
      <c r="N297" s="1030"/>
      <c r="O297" s="1030"/>
      <c r="P297" s="1030"/>
      <c r="Q297" s="1030"/>
      <c r="R297" s="1030"/>
      <c r="S297" s="1030"/>
      <c r="T297" s="1030"/>
      <c r="U297" s="1030"/>
      <c r="V297" s="1030"/>
      <c r="W297" s="1030"/>
      <c r="X297" s="1030"/>
      <c r="Y297" s="1030"/>
      <c r="Z297" s="1030"/>
    </row>
    <row r="298" spans="1:26" ht="12.75" customHeight="1">
      <c r="A298" s="1030"/>
      <c r="B298" s="1030"/>
      <c r="C298" s="1030"/>
      <c r="D298" s="1030"/>
      <c r="E298" s="1030"/>
      <c r="F298" s="1030"/>
      <c r="G298" s="1030"/>
      <c r="H298" s="1186"/>
      <c r="I298" s="1030"/>
      <c r="J298" s="1030"/>
      <c r="K298" s="1030"/>
      <c r="L298" s="1030"/>
      <c r="M298" s="1030"/>
      <c r="N298" s="1030"/>
      <c r="O298" s="1030"/>
      <c r="P298" s="1030"/>
      <c r="Q298" s="1030"/>
      <c r="R298" s="1030"/>
      <c r="S298" s="1030"/>
      <c r="T298" s="1030"/>
      <c r="U298" s="1030"/>
      <c r="V298" s="1030"/>
      <c r="W298" s="1030"/>
      <c r="X298" s="1030"/>
      <c r="Y298" s="1030"/>
      <c r="Z298" s="1030"/>
    </row>
    <row r="299" spans="1:26" ht="12.75" customHeight="1">
      <c r="A299" s="1030"/>
      <c r="B299" s="1030"/>
      <c r="C299" s="1030"/>
      <c r="D299" s="1030"/>
      <c r="E299" s="1030"/>
      <c r="F299" s="1030"/>
      <c r="G299" s="1030"/>
      <c r="H299" s="1186"/>
      <c r="I299" s="1030"/>
      <c r="J299" s="1030"/>
      <c r="K299" s="1030"/>
      <c r="L299" s="1030"/>
      <c r="M299" s="1030"/>
      <c r="N299" s="1030"/>
      <c r="O299" s="1030"/>
      <c r="P299" s="1030"/>
      <c r="Q299" s="1030"/>
      <c r="R299" s="1030"/>
      <c r="S299" s="1030"/>
      <c r="T299" s="1030"/>
      <c r="U299" s="1030"/>
      <c r="V299" s="1030"/>
      <c r="W299" s="1030"/>
      <c r="X299" s="1030"/>
      <c r="Y299" s="1030"/>
      <c r="Z299" s="1030"/>
    </row>
    <row r="300" spans="1:26" ht="12.75" customHeight="1">
      <c r="A300" s="1030"/>
      <c r="B300" s="1030"/>
      <c r="C300" s="1030"/>
      <c r="D300" s="1030"/>
      <c r="E300" s="1030"/>
      <c r="F300" s="1030"/>
      <c r="G300" s="1030"/>
      <c r="H300" s="1186"/>
      <c r="I300" s="1030"/>
      <c r="J300" s="1030"/>
      <c r="K300" s="1030"/>
      <c r="L300" s="1030"/>
      <c r="M300" s="1030"/>
      <c r="N300" s="1030"/>
      <c r="O300" s="1030"/>
      <c r="P300" s="1030"/>
      <c r="Q300" s="1030"/>
      <c r="R300" s="1030"/>
      <c r="S300" s="1030"/>
      <c r="T300" s="1030"/>
      <c r="U300" s="1030"/>
      <c r="V300" s="1030"/>
      <c r="W300" s="1030"/>
      <c r="X300" s="1030"/>
      <c r="Y300" s="1030"/>
      <c r="Z300" s="1030"/>
    </row>
    <row r="301" spans="1:26" ht="12.75" customHeight="1">
      <c r="A301" s="1030"/>
      <c r="B301" s="1030"/>
      <c r="C301" s="1030"/>
      <c r="D301" s="1030"/>
      <c r="E301" s="1030"/>
      <c r="F301" s="1030"/>
      <c r="G301" s="1030"/>
      <c r="H301" s="1186"/>
      <c r="I301" s="1030"/>
      <c r="J301" s="1030"/>
      <c r="K301" s="1030"/>
      <c r="L301" s="1030"/>
      <c r="M301" s="1030"/>
      <c r="N301" s="1030"/>
      <c r="O301" s="1030"/>
      <c r="P301" s="1030"/>
      <c r="Q301" s="1030"/>
      <c r="R301" s="1030"/>
      <c r="S301" s="1030"/>
      <c r="T301" s="1030"/>
      <c r="U301" s="1030"/>
      <c r="V301" s="1030"/>
      <c r="W301" s="1030"/>
      <c r="X301" s="1030"/>
      <c r="Y301" s="1030"/>
      <c r="Z301" s="1030"/>
    </row>
    <row r="302" spans="1:26" ht="12.75" customHeight="1">
      <c r="A302" s="1030"/>
      <c r="B302" s="1030"/>
      <c r="C302" s="1030"/>
      <c r="D302" s="1030"/>
      <c r="E302" s="1030"/>
      <c r="F302" s="1030"/>
      <c r="G302" s="1030"/>
      <c r="H302" s="1186"/>
      <c r="I302" s="1030"/>
      <c r="J302" s="1030"/>
      <c r="K302" s="1030"/>
      <c r="L302" s="1030"/>
      <c r="M302" s="1030"/>
      <c r="N302" s="1030"/>
      <c r="O302" s="1030"/>
      <c r="P302" s="1030"/>
      <c r="Q302" s="1030"/>
      <c r="R302" s="1030"/>
      <c r="S302" s="1030"/>
      <c r="T302" s="1030"/>
      <c r="U302" s="1030"/>
      <c r="V302" s="1030"/>
      <c r="W302" s="1030"/>
      <c r="X302" s="1030"/>
      <c r="Y302" s="1030"/>
      <c r="Z302" s="1030"/>
    </row>
    <row r="303" spans="1:26" ht="12.75" customHeight="1">
      <c r="A303" s="1030"/>
      <c r="B303" s="1030"/>
      <c r="C303" s="1030"/>
      <c r="D303" s="1030"/>
      <c r="E303" s="1030"/>
      <c r="F303" s="1030"/>
      <c r="G303" s="1030"/>
      <c r="H303" s="1186"/>
      <c r="I303" s="1030"/>
      <c r="J303" s="1030"/>
      <c r="K303" s="1030"/>
      <c r="L303" s="1030"/>
      <c r="M303" s="1030"/>
      <c r="N303" s="1030"/>
      <c r="O303" s="1030"/>
      <c r="P303" s="1030"/>
      <c r="Q303" s="1030"/>
      <c r="R303" s="1030"/>
      <c r="S303" s="1030"/>
      <c r="T303" s="1030"/>
      <c r="U303" s="1030"/>
      <c r="V303" s="1030"/>
      <c r="W303" s="1030"/>
      <c r="X303" s="1030"/>
      <c r="Y303" s="1030"/>
      <c r="Z303" s="1030"/>
    </row>
    <row r="304" spans="1:26" ht="12.75" customHeight="1">
      <c r="A304" s="1030"/>
      <c r="B304" s="1030"/>
      <c r="C304" s="1030"/>
      <c r="D304" s="1030"/>
      <c r="E304" s="1030"/>
      <c r="F304" s="1030"/>
      <c r="G304" s="1030"/>
      <c r="H304" s="1186"/>
      <c r="I304" s="1030"/>
      <c r="J304" s="1030"/>
      <c r="K304" s="1030"/>
      <c r="L304" s="1030"/>
      <c r="M304" s="1030"/>
      <c r="N304" s="1030"/>
      <c r="O304" s="1030"/>
      <c r="P304" s="1030"/>
      <c r="Q304" s="1030"/>
      <c r="R304" s="1030"/>
      <c r="S304" s="1030"/>
      <c r="T304" s="1030"/>
      <c r="U304" s="1030"/>
      <c r="V304" s="1030"/>
      <c r="W304" s="1030"/>
      <c r="X304" s="1030"/>
      <c r="Y304" s="1030"/>
      <c r="Z304" s="1030"/>
    </row>
    <row r="305" spans="1:26" ht="12.75" customHeight="1">
      <c r="A305" s="1030"/>
      <c r="B305" s="1030"/>
      <c r="C305" s="1030"/>
      <c r="D305" s="1030"/>
      <c r="E305" s="1030"/>
      <c r="F305" s="1030"/>
      <c r="G305" s="1030"/>
      <c r="H305" s="1186"/>
      <c r="I305" s="1030"/>
      <c r="J305" s="1030"/>
      <c r="K305" s="1030"/>
      <c r="L305" s="1030"/>
      <c r="M305" s="1030"/>
      <c r="N305" s="1030"/>
      <c r="O305" s="1030"/>
      <c r="P305" s="1030"/>
      <c r="Q305" s="1030"/>
      <c r="R305" s="1030"/>
      <c r="S305" s="1030"/>
      <c r="T305" s="1030"/>
      <c r="U305" s="1030"/>
      <c r="V305" s="1030"/>
      <c r="W305" s="1030"/>
      <c r="X305" s="1030"/>
      <c r="Y305" s="1030"/>
      <c r="Z305" s="1030"/>
    </row>
    <row r="306" spans="1:26" ht="12.75" customHeight="1">
      <c r="A306" s="1030"/>
      <c r="B306" s="1030"/>
      <c r="C306" s="1030"/>
      <c r="D306" s="1030"/>
      <c r="E306" s="1030"/>
      <c r="F306" s="1030"/>
      <c r="G306" s="1030"/>
      <c r="H306" s="1186"/>
      <c r="I306" s="1030"/>
      <c r="J306" s="1030"/>
      <c r="K306" s="1030"/>
      <c r="L306" s="1030"/>
      <c r="M306" s="1030"/>
      <c r="N306" s="1030"/>
      <c r="O306" s="1030"/>
      <c r="P306" s="1030"/>
      <c r="Q306" s="1030"/>
      <c r="R306" s="1030"/>
      <c r="S306" s="1030"/>
      <c r="T306" s="1030"/>
      <c r="U306" s="1030"/>
      <c r="V306" s="1030"/>
      <c r="W306" s="1030"/>
      <c r="X306" s="1030"/>
      <c r="Y306" s="1030"/>
      <c r="Z306" s="1030"/>
    </row>
    <row r="307" spans="1:26" ht="12.75" customHeight="1">
      <c r="A307" s="1030"/>
      <c r="B307" s="1030"/>
      <c r="C307" s="1030"/>
      <c r="D307" s="1030"/>
      <c r="E307" s="1030"/>
      <c r="F307" s="1030"/>
      <c r="G307" s="1030"/>
      <c r="H307" s="1186"/>
      <c r="I307" s="1030"/>
      <c r="J307" s="1030"/>
      <c r="K307" s="1030"/>
      <c r="L307" s="1030"/>
      <c r="M307" s="1030"/>
      <c r="N307" s="1030"/>
      <c r="O307" s="1030"/>
      <c r="P307" s="1030"/>
      <c r="Q307" s="1030"/>
      <c r="R307" s="1030"/>
      <c r="S307" s="1030"/>
      <c r="T307" s="1030"/>
      <c r="U307" s="1030"/>
      <c r="V307" s="1030"/>
      <c r="W307" s="1030"/>
      <c r="X307" s="1030"/>
      <c r="Y307" s="1030"/>
      <c r="Z307" s="1030"/>
    </row>
    <row r="308" spans="1:26" ht="12.75" customHeight="1">
      <c r="A308" s="1030"/>
      <c r="B308" s="1030"/>
      <c r="C308" s="1030"/>
      <c r="D308" s="1030"/>
      <c r="E308" s="1030"/>
      <c r="F308" s="1030"/>
      <c r="G308" s="1030"/>
      <c r="H308" s="1186"/>
      <c r="I308" s="1030"/>
      <c r="J308" s="1030"/>
      <c r="K308" s="1030"/>
      <c r="L308" s="1030"/>
      <c r="M308" s="1030"/>
      <c r="N308" s="1030"/>
      <c r="O308" s="1030"/>
      <c r="P308" s="1030"/>
      <c r="Q308" s="1030"/>
      <c r="R308" s="1030"/>
      <c r="S308" s="1030"/>
      <c r="T308" s="1030"/>
      <c r="U308" s="1030"/>
      <c r="V308" s="1030"/>
      <c r="W308" s="1030"/>
      <c r="X308" s="1030"/>
      <c r="Y308" s="1030"/>
      <c r="Z308" s="1030"/>
    </row>
    <row r="309" spans="1:26" ht="12.75" customHeight="1">
      <c r="A309" s="1030"/>
      <c r="B309" s="1030"/>
      <c r="C309" s="1030"/>
      <c r="D309" s="1030"/>
      <c r="E309" s="1030"/>
      <c r="F309" s="1030"/>
      <c r="G309" s="1030"/>
      <c r="H309" s="1186"/>
      <c r="I309" s="1030"/>
      <c r="J309" s="1030"/>
      <c r="K309" s="1030"/>
      <c r="L309" s="1030"/>
      <c r="M309" s="1030"/>
      <c r="N309" s="1030"/>
      <c r="O309" s="1030"/>
      <c r="P309" s="1030"/>
      <c r="Q309" s="1030"/>
      <c r="R309" s="1030"/>
      <c r="S309" s="1030"/>
      <c r="T309" s="1030"/>
      <c r="U309" s="1030"/>
      <c r="V309" s="1030"/>
      <c r="W309" s="1030"/>
      <c r="X309" s="1030"/>
      <c r="Y309" s="1030"/>
      <c r="Z309" s="1030"/>
    </row>
    <row r="310" spans="1:26" ht="12.75" customHeight="1">
      <c r="A310" s="1030"/>
      <c r="B310" s="1030"/>
      <c r="C310" s="1030"/>
      <c r="D310" s="1030"/>
      <c r="E310" s="1030"/>
      <c r="F310" s="1030"/>
      <c r="G310" s="1030"/>
      <c r="H310" s="1186"/>
      <c r="I310" s="1030"/>
      <c r="J310" s="1030"/>
      <c r="K310" s="1030"/>
      <c r="L310" s="1030"/>
      <c r="M310" s="1030"/>
      <c r="N310" s="1030"/>
      <c r="O310" s="1030"/>
      <c r="P310" s="1030"/>
      <c r="Q310" s="1030"/>
      <c r="R310" s="1030"/>
      <c r="S310" s="1030"/>
      <c r="T310" s="1030"/>
      <c r="U310" s="1030"/>
      <c r="V310" s="1030"/>
      <c r="W310" s="1030"/>
      <c r="X310" s="1030"/>
      <c r="Y310" s="1030"/>
      <c r="Z310" s="1030"/>
    </row>
    <row r="311" spans="1:26" ht="12.75" customHeight="1">
      <c r="A311" s="1030"/>
      <c r="B311" s="1030"/>
      <c r="C311" s="1030"/>
      <c r="D311" s="1030"/>
      <c r="E311" s="1030"/>
      <c r="F311" s="1030"/>
      <c r="G311" s="1030"/>
      <c r="H311" s="1186"/>
      <c r="I311" s="1030"/>
      <c r="J311" s="1030"/>
      <c r="K311" s="1030"/>
      <c r="L311" s="1030"/>
      <c r="M311" s="1030"/>
      <c r="N311" s="1030"/>
      <c r="O311" s="1030"/>
      <c r="P311" s="1030"/>
      <c r="Q311" s="1030"/>
      <c r="R311" s="1030"/>
      <c r="S311" s="1030"/>
      <c r="T311" s="1030"/>
      <c r="U311" s="1030"/>
      <c r="V311" s="1030"/>
      <c r="W311" s="1030"/>
      <c r="X311" s="1030"/>
      <c r="Y311" s="1030"/>
      <c r="Z311" s="1030"/>
    </row>
    <row r="312" spans="1:26" ht="12.75" customHeight="1">
      <c r="A312" s="1030"/>
      <c r="B312" s="1030"/>
      <c r="C312" s="1030"/>
      <c r="D312" s="1030"/>
      <c r="E312" s="1030"/>
      <c r="F312" s="1030"/>
      <c r="G312" s="1030"/>
      <c r="H312" s="1186"/>
      <c r="I312" s="1030"/>
      <c r="J312" s="1030"/>
      <c r="K312" s="1030"/>
      <c r="L312" s="1030"/>
      <c r="M312" s="1030"/>
      <c r="N312" s="1030"/>
      <c r="O312" s="1030"/>
      <c r="P312" s="1030"/>
      <c r="Q312" s="1030"/>
      <c r="R312" s="1030"/>
      <c r="S312" s="1030"/>
      <c r="T312" s="1030"/>
      <c r="U312" s="1030"/>
      <c r="V312" s="1030"/>
      <c r="W312" s="1030"/>
      <c r="X312" s="1030"/>
      <c r="Y312" s="1030"/>
      <c r="Z312" s="1030"/>
    </row>
    <row r="313" spans="1:26" ht="12.75" customHeight="1">
      <c r="A313" s="1030"/>
      <c r="B313" s="1030"/>
      <c r="C313" s="1030"/>
      <c r="D313" s="1030"/>
      <c r="E313" s="1030"/>
      <c r="F313" s="1030"/>
      <c r="G313" s="1030"/>
      <c r="H313" s="1186"/>
      <c r="I313" s="1030"/>
      <c r="J313" s="1030"/>
      <c r="K313" s="1030"/>
      <c r="L313" s="1030"/>
      <c r="M313" s="1030"/>
      <c r="N313" s="1030"/>
      <c r="O313" s="1030"/>
      <c r="P313" s="1030"/>
      <c r="Q313" s="1030"/>
      <c r="R313" s="1030"/>
      <c r="S313" s="1030"/>
      <c r="T313" s="1030"/>
      <c r="U313" s="1030"/>
      <c r="V313" s="1030"/>
      <c r="W313" s="1030"/>
      <c r="X313" s="1030"/>
      <c r="Y313" s="1030"/>
      <c r="Z313" s="1030"/>
    </row>
    <row r="314" spans="1:26" ht="12.75" customHeight="1">
      <c r="A314" s="1030"/>
      <c r="B314" s="1030"/>
      <c r="C314" s="1030"/>
      <c r="D314" s="1030"/>
      <c r="E314" s="1030"/>
      <c r="F314" s="1030"/>
      <c r="G314" s="1030"/>
      <c r="H314" s="1186"/>
      <c r="I314" s="1030"/>
      <c r="J314" s="1030"/>
      <c r="K314" s="1030"/>
      <c r="L314" s="1030"/>
      <c r="M314" s="1030"/>
      <c r="N314" s="1030"/>
      <c r="O314" s="1030"/>
      <c r="P314" s="1030"/>
      <c r="Q314" s="1030"/>
      <c r="R314" s="1030"/>
      <c r="S314" s="1030"/>
      <c r="T314" s="1030"/>
      <c r="U314" s="1030"/>
      <c r="V314" s="1030"/>
      <c r="W314" s="1030"/>
      <c r="X314" s="1030"/>
      <c r="Y314" s="1030"/>
      <c r="Z314" s="1030"/>
    </row>
    <row r="315" spans="1:26" ht="12.75" customHeight="1">
      <c r="A315" s="1030"/>
      <c r="B315" s="1030"/>
      <c r="C315" s="1030"/>
      <c r="D315" s="1030"/>
      <c r="E315" s="1030"/>
      <c r="F315" s="1030"/>
      <c r="G315" s="1030"/>
      <c r="H315" s="1186"/>
      <c r="I315" s="1030"/>
      <c r="J315" s="1030"/>
      <c r="K315" s="1030"/>
      <c r="L315" s="1030"/>
      <c r="M315" s="1030"/>
      <c r="N315" s="1030"/>
      <c r="O315" s="1030"/>
      <c r="P315" s="1030"/>
      <c r="Q315" s="1030"/>
      <c r="R315" s="1030"/>
      <c r="S315" s="1030"/>
      <c r="T315" s="1030"/>
      <c r="U315" s="1030"/>
      <c r="V315" s="1030"/>
      <c r="W315" s="1030"/>
      <c r="X315" s="1030"/>
      <c r="Y315" s="1030"/>
      <c r="Z315" s="1030"/>
    </row>
    <row r="316" spans="1:26" ht="12.75" customHeight="1">
      <c r="A316" s="1030"/>
      <c r="B316" s="1030"/>
      <c r="C316" s="1030"/>
      <c r="D316" s="1030"/>
      <c r="E316" s="1030"/>
      <c r="F316" s="1030"/>
      <c r="G316" s="1030"/>
      <c r="H316" s="1186"/>
      <c r="I316" s="1030"/>
      <c r="J316" s="1030"/>
      <c r="K316" s="1030"/>
      <c r="L316" s="1030"/>
      <c r="M316" s="1030"/>
      <c r="N316" s="1030"/>
      <c r="O316" s="1030"/>
      <c r="P316" s="1030"/>
      <c r="Q316" s="1030"/>
      <c r="R316" s="1030"/>
      <c r="S316" s="1030"/>
      <c r="T316" s="1030"/>
      <c r="U316" s="1030"/>
      <c r="V316" s="1030"/>
      <c r="W316" s="1030"/>
      <c r="X316" s="1030"/>
      <c r="Y316" s="1030"/>
      <c r="Z316" s="1030"/>
    </row>
    <row r="317" spans="1:26" ht="12.75" customHeight="1">
      <c r="A317" s="1030"/>
      <c r="B317" s="1030"/>
      <c r="C317" s="1030"/>
      <c r="D317" s="1030"/>
      <c r="E317" s="1030"/>
      <c r="F317" s="1030"/>
      <c r="G317" s="1030"/>
      <c r="H317" s="1186"/>
      <c r="I317" s="1030"/>
      <c r="J317" s="1030"/>
      <c r="K317" s="1030"/>
      <c r="L317" s="1030"/>
      <c r="M317" s="1030"/>
      <c r="N317" s="1030"/>
      <c r="O317" s="1030"/>
      <c r="P317" s="1030"/>
      <c r="Q317" s="1030"/>
      <c r="R317" s="1030"/>
      <c r="S317" s="1030"/>
      <c r="T317" s="1030"/>
      <c r="U317" s="1030"/>
      <c r="V317" s="1030"/>
      <c r="W317" s="1030"/>
      <c r="X317" s="1030"/>
      <c r="Y317" s="1030"/>
      <c r="Z317" s="1030"/>
    </row>
    <row r="318" spans="1:26" ht="12.75" customHeight="1">
      <c r="A318" s="1030"/>
      <c r="B318" s="1030"/>
      <c r="C318" s="1030"/>
      <c r="D318" s="1030"/>
      <c r="E318" s="1030"/>
      <c r="F318" s="1030"/>
      <c r="G318" s="1030"/>
      <c r="H318" s="1186"/>
      <c r="I318" s="1030"/>
      <c r="J318" s="1030"/>
      <c r="K318" s="1030"/>
      <c r="L318" s="1030"/>
      <c r="M318" s="1030"/>
      <c r="N318" s="1030"/>
      <c r="O318" s="1030"/>
      <c r="P318" s="1030"/>
      <c r="Q318" s="1030"/>
      <c r="R318" s="1030"/>
      <c r="S318" s="1030"/>
      <c r="T318" s="1030"/>
      <c r="U318" s="1030"/>
      <c r="V318" s="1030"/>
      <c r="W318" s="1030"/>
      <c r="X318" s="1030"/>
      <c r="Y318" s="1030"/>
      <c r="Z318" s="1030"/>
    </row>
    <row r="319" spans="1:26" ht="12.75" customHeight="1">
      <c r="A319" s="1030"/>
      <c r="B319" s="1030"/>
      <c r="C319" s="1030"/>
      <c r="D319" s="1030"/>
      <c r="E319" s="1030"/>
      <c r="F319" s="1030"/>
      <c r="G319" s="1030"/>
      <c r="H319" s="1186"/>
      <c r="I319" s="1030"/>
      <c r="J319" s="1030"/>
      <c r="K319" s="1030"/>
      <c r="L319" s="1030"/>
      <c r="M319" s="1030"/>
      <c r="N319" s="1030"/>
      <c r="O319" s="1030"/>
      <c r="P319" s="1030"/>
      <c r="Q319" s="1030"/>
      <c r="R319" s="1030"/>
      <c r="S319" s="1030"/>
      <c r="T319" s="1030"/>
      <c r="U319" s="1030"/>
      <c r="V319" s="1030"/>
      <c r="W319" s="1030"/>
      <c r="X319" s="1030"/>
      <c r="Y319" s="1030"/>
      <c r="Z319" s="1030"/>
    </row>
    <row r="320" spans="1:26" ht="12.75" customHeight="1">
      <c r="A320" s="1030"/>
      <c r="B320" s="1030"/>
      <c r="C320" s="1030"/>
      <c r="D320" s="1030"/>
      <c r="E320" s="1030"/>
      <c r="F320" s="1030"/>
      <c r="G320" s="1030"/>
      <c r="H320" s="1186"/>
      <c r="I320" s="1030"/>
      <c r="J320" s="1030"/>
      <c r="K320" s="1030"/>
      <c r="L320" s="1030"/>
      <c r="M320" s="1030"/>
      <c r="N320" s="1030"/>
      <c r="O320" s="1030"/>
      <c r="P320" s="1030"/>
      <c r="Q320" s="1030"/>
      <c r="R320" s="1030"/>
      <c r="S320" s="1030"/>
      <c r="T320" s="1030"/>
      <c r="U320" s="1030"/>
      <c r="V320" s="1030"/>
      <c r="W320" s="1030"/>
      <c r="X320" s="1030"/>
      <c r="Y320" s="1030"/>
      <c r="Z320" s="1030"/>
    </row>
    <row r="321" spans="1:26" ht="12.75" customHeight="1">
      <c r="A321" s="1030"/>
      <c r="B321" s="1030"/>
      <c r="C321" s="1030"/>
      <c r="D321" s="1030"/>
      <c r="E321" s="1030"/>
      <c r="F321" s="1030"/>
      <c r="G321" s="1030"/>
      <c r="H321" s="1186"/>
      <c r="I321" s="1030"/>
      <c r="J321" s="1030"/>
      <c r="K321" s="1030"/>
      <c r="L321" s="1030"/>
      <c r="M321" s="1030"/>
      <c r="N321" s="1030"/>
      <c r="O321" s="1030"/>
      <c r="P321" s="1030"/>
      <c r="Q321" s="1030"/>
      <c r="R321" s="1030"/>
      <c r="S321" s="1030"/>
      <c r="T321" s="1030"/>
      <c r="U321" s="1030"/>
      <c r="V321" s="1030"/>
      <c r="W321" s="1030"/>
      <c r="X321" s="1030"/>
      <c r="Y321" s="1030"/>
      <c r="Z321" s="1030"/>
    </row>
    <row r="322" spans="1:26" ht="12.75" customHeight="1">
      <c r="A322" s="1030"/>
      <c r="B322" s="1030"/>
      <c r="C322" s="1030"/>
      <c r="D322" s="1030"/>
      <c r="E322" s="1030"/>
      <c r="F322" s="1030"/>
      <c r="G322" s="1030"/>
      <c r="H322" s="1186"/>
      <c r="I322" s="1030"/>
      <c r="J322" s="1030"/>
      <c r="K322" s="1030"/>
      <c r="L322" s="1030"/>
      <c r="M322" s="1030"/>
      <c r="N322" s="1030"/>
      <c r="O322" s="1030"/>
      <c r="P322" s="1030"/>
      <c r="Q322" s="1030"/>
      <c r="R322" s="1030"/>
      <c r="S322" s="1030"/>
      <c r="T322" s="1030"/>
      <c r="U322" s="1030"/>
      <c r="V322" s="1030"/>
      <c r="W322" s="1030"/>
      <c r="X322" s="1030"/>
      <c r="Y322" s="1030"/>
      <c r="Z322" s="1030"/>
    </row>
    <row r="323" spans="1:26" ht="12.75" customHeight="1">
      <c r="A323" s="1030"/>
      <c r="B323" s="1030"/>
      <c r="C323" s="1030"/>
      <c r="D323" s="1030"/>
      <c r="E323" s="1030"/>
      <c r="F323" s="1030"/>
      <c r="G323" s="1030"/>
      <c r="H323" s="1186"/>
      <c r="I323" s="1030"/>
      <c r="J323" s="1030"/>
      <c r="K323" s="1030"/>
      <c r="L323" s="1030"/>
      <c r="M323" s="1030"/>
      <c r="N323" s="1030"/>
      <c r="O323" s="1030"/>
      <c r="P323" s="1030"/>
      <c r="Q323" s="1030"/>
      <c r="R323" s="1030"/>
      <c r="S323" s="1030"/>
      <c r="T323" s="1030"/>
      <c r="U323" s="1030"/>
      <c r="V323" s="1030"/>
      <c r="W323" s="1030"/>
      <c r="X323" s="1030"/>
      <c r="Y323" s="1030"/>
      <c r="Z323" s="1030"/>
    </row>
    <row r="324" spans="1:26" ht="12.75" customHeight="1">
      <c r="A324" s="1030"/>
      <c r="B324" s="1030"/>
      <c r="C324" s="1030"/>
      <c r="D324" s="1030"/>
      <c r="E324" s="1030"/>
      <c r="F324" s="1030"/>
      <c r="G324" s="1030"/>
      <c r="H324" s="1186"/>
      <c r="I324" s="1030"/>
      <c r="J324" s="1030"/>
      <c r="K324" s="1030"/>
      <c r="L324" s="1030"/>
      <c r="M324" s="1030"/>
      <c r="N324" s="1030"/>
      <c r="O324" s="1030"/>
      <c r="P324" s="1030"/>
      <c r="Q324" s="1030"/>
      <c r="R324" s="1030"/>
      <c r="S324" s="1030"/>
      <c r="T324" s="1030"/>
      <c r="U324" s="1030"/>
      <c r="V324" s="1030"/>
      <c r="W324" s="1030"/>
      <c r="X324" s="1030"/>
      <c r="Y324" s="1030"/>
      <c r="Z324" s="1030"/>
    </row>
    <row r="325" spans="1:26" ht="12.75" customHeight="1">
      <c r="A325" s="1030"/>
      <c r="B325" s="1030"/>
      <c r="C325" s="1030"/>
      <c r="D325" s="1030"/>
      <c r="E325" s="1030"/>
      <c r="F325" s="1030"/>
      <c r="G325" s="1030"/>
      <c r="H325" s="1186"/>
      <c r="I325" s="1030"/>
      <c r="J325" s="1030"/>
      <c r="K325" s="1030"/>
      <c r="L325" s="1030"/>
      <c r="M325" s="1030"/>
      <c r="N325" s="1030"/>
      <c r="O325" s="1030"/>
      <c r="P325" s="1030"/>
      <c r="Q325" s="1030"/>
      <c r="R325" s="1030"/>
      <c r="S325" s="1030"/>
      <c r="T325" s="1030"/>
      <c r="U325" s="1030"/>
      <c r="V325" s="1030"/>
      <c r="W325" s="1030"/>
      <c r="X325" s="1030"/>
      <c r="Y325" s="1030"/>
      <c r="Z325" s="1030"/>
    </row>
    <row r="326" spans="1:26" ht="12.75" customHeight="1">
      <c r="A326" s="1030"/>
      <c r="B326" s="1030"/>
      <c r="C326" s="1030"/>
      <c r="D326" s="1030"/>
      <c r="E326" s="1030"/>
      <c r="F326" s="1030"/>
      <c r="G326" s="1030"/>
      <c r="H326" s="1186"/>
      <c r="I326" s="1030"/>
      <c r="J326" s="1030"/>
      <c r="K326" s="1030"/>
      <c r="L326" s="1030"/>
      <c r="M326" s="1030"/>
      <c r="N326" s="1030"/>
      <c r="O326" s="1030"/>
      <c r="P326" s="1030"/>
      <c r="Q326" s="1030"/>
      <c r="R326" s="1030"/>
      <c r="S326" s="1030"/>
      <c r="T326" s="1030"/>
      <c r="U326" s="1030"/>
      <c r="V326" s="1030"/>
      <c r="W326" s="1030"/>
      <c r="X326" s="1030"/>
      <c r="Y326" s="1030"/>
      <c r="Z326" s="1030"/>
    </row>
    <row r="327" spans="1:26" ht="12.75" customHeight="1">
      <c r="A327" s="1030"/>
      <c r="B327" s="1030"/>
      <c r="C327" s="1030"/>
      <c r="D327" s="1030"/>
      <c r="E327" s="1030"/>
      <c r="F327" s="1030"/>
      <c r="G327" s="1030"/>
      <c r="H327" s="1186"/>
      <c r="I327" s="1030"/>
      <c r="J327" s="1030"/>
      <c r="K327" s="1030"/>
      <c r="L327" s="1030"/>
      <c r="M327" s="1030"/>
      <c r="N327" s="1030"/>
      <c r="O327" s="1030"/>
      <c r="P327" s="1030"/>
      <c r="Q327" s="1030"/>
      <c r="R327" s="1030"/>
      <c r="S327" s="1030"/>
      <c r="T327" s="1030"/>
      <c r="U327" s="1030"/>
      <c r="V327" s="1030"/>
      <c r="W327" s="1030"/>
      <c r="X327" s="1030"/>
      <c r="Y327" s="1030"/>
      <c r="Z327" s="1030"/>
    </row>
    <row r="328" spans="1:26" ht="12.75" customHeight="1">
      <c r="A328" s="1030"/>
      <c r="B328" s="1030"/>
      <c r="C328" s="1030"/>
      <c r="D328" s="1030"/>
      <c r="E328" s="1030"/>
      <c r="F328" s="1030"/>
      <c r="G328" s="1030"/>
      <c r="H328" s="1186"/>
      <c r="I328" s="1030"/>
      <c r="J328" s="1030"/>
      <c r="K328" s="1030"/>
      <c r="L328" s="1030"/>
      <c r="M328" s="1030"/>
      <c r="N328" s="1030"/>
      <c r="O328" s="1030"/>
      <c r="P328" s="1030"/>
      <c r="Q328" s="1030"/>
      <c r="R328" s="1030"/>
      <c r="S328" s="1030"/>
      <c r="T328" s="1030"/>
      <c r="U328" s="1030"/>
      <c r="V328" s="1030"/>
      <c r="W328" s="1030"/>
      <c r="X328" s="1030"/>
      <c r="Y328" s="1030"/>
      <c r="Z328" s="1030"/>
    </row>
    <row r="329" spans="1:26" ht="12.75" customHeight="1">
      <c r="A329" s="1030"/>
      <c r="B329" s="1030"/>
      <c r="C329" s="1030"/>
      <c r="D329" s="1030"/>
      <c r="E329" s="1030"/>
      <c r="F329" s="1030"/>
      <c r="G329" s="1030"/>
      <c r="H329" s="1186"/>
      <c r="I329" s="1030"/>
      <c r="J329" s="1030"/>
      <c r="K329" s="1030"/>
      <c r="L329" s="1030"/>
      <c r="M329" s="1030"/>
      <c r="N329" s="1030"/>
      <c r="O329" s="1030"/>
      <c r="P329" s="1030"/>
      <c r="Q329" s="1030"/>
      <c r="R329" s="1030"/>
      <c r="S329" s="1030"/>
      <c r="T329" s="1030"/>
      <c r="U329" s="1030"/>
      <c r="V329" s="1030"/>
      <c r="W329" s="1030"/>
      <c r="X329" s="1030"/>
      <c r="Y329" s="1030"/>
      <c r="Z329" s="1030"/>
    </row>
    <row r="330" spans="1:26" ht="12.75" customHeight="1">
      <c r="A330" s="1030"/>
      <c r="B330" s="1030"/>
      <c r="C330" s="1030"/>
      <c r="D330" s="1030"/>
      <c r="E330" s="1030"/>
      <c r="F330" s="1030"/>
      <c r="G330" s="1030"/>
      <c r="H330" s="1186"/>
      <c r="I330" s="1030"/>
      <c r="J330" s="1030"/>
      <c r="K330" s="1030"/>
      <c r="L330" s="1030"/>
      <c r="M330" s="1030"/>
      <c r="N330" s="1030"/>
      <c r="O330" s="1030"/>
      <c r="P330" s="1030"/>
      <c r="Q330" s="1030"/>
      <c r="R330" s="1030"/>
      <c r="S330" s="1030"/>
      <c r="T330" s="1030"/>
      <c r="U330" s="1030"/>
      <c r="V330" s="1030"/>
      <c r="W330" s="1030"/>
      <c r="X330" s="1030"/>
      <c r="Y330" s="1030"/>
      <c r="Z330" s="1030"/>
    </row>
    <row r="331" spans="1:26" ht="12.75" customHeight="1">
      <c r="A331" s="1030"/>
      <c r="B331" s="1030"/>
      <c r="C331" s="1030"/>
      <c r="D331" s="1030"/>
      <c r="E331" s="1030"/>
      <c r="F331" s="1030"/>
      <c r="G331" s="1030"/>
      <c r="H331" s="1186"/>
      <c r="I331" s="1030"/>
      <c r="J331" s="1030"/>
      <c r="K331" s="1030"/>
      <c r="L331" s="1030"/>
      <c r="M331" s="1030"/>
      <c r="N331" s="1030"/>
      <c r="O331" s="1030"/>
      <c r="P331" s="1030"/>
      <c r="Q331" s="1030"/>
      <c r="R331" s="1030"/>
      <c r="S331" s="1030"/>
      <c r="T331" s="1030"/>
      <c r="U331" s="1030"/>
      <c r="V331" s="1030"/>
      <c r="W331" s="1030"/>
      <c r="X331" s="1030"/>
      <c r="Y331" s="1030"/>
      <c r="Z331" s="1030"/>
    </row>
    <row r="332" spans="1:26" ht="12.75" customHeight="1">
      <c r="A332" s="1030"/>
      <c r="B332" s="1030"/>
      <c r="C332" s="1030"/>
      <c r="D332" s="1030"/>
      <c r="E332" s="1030"/>
      <c r="F332" s="1030"/>
      <c r="G332" s="1030"/>
      <c r="H332" s="1186"/>
      <c r="I332" s="1030"/>
      <c r="J332" s="1030"/>
      <c r="K332" s="1030"/>
      <c r="L332" s="1030"/>
      <c r="M332" s="1030"/>
      <c r="N332" s="1030"/>
      <c r="O332" s="1030"/>
      <c r="P332" s="1030"/>
      <c r="Q332" s="1030"/>
      <c r="R332" s="1030"/>
      <c r="S332" s="1030"/>
      <c r="T332" s="1030"/>
      <c r="U332" s="1030"/>
      <c r="V332" s="1030"/>
      <c r="W332" s="1030"/>
      <c r="X332" s="1030"/>
      <c r="Y332" s="1030"/>
      <c r="Z332" s="1030"/>
    </row>
    <row r="333" spans="1:26" ht="12.75" customHeight="1">
      <c r="A333" s="1030"/>
      <c r="B333" s="1030"/>
      <c r="C333" s="1030"/>
      <c r="D333" s="1030"/>
      <c r="E333" s="1030"/>
      <c r="F333" s="1030"/>
      <c r="G333" s="1030"/>
      <c r="H333" s="1186"/>
      <c r="I333" s="1030"/>
      <c r="J333" s="1030"/>
      <c r="K333" s="1030"/>
      <c r="L333" s="1030"/>
      <c r="M333" s="1030"/>
      <c r="N333" s="1030"/>
      <c r="O333" s="1030"/>
      <c r="P333" s="1030"/>
      <c r="Q333" s="1030"/>
      <c r="R333" s="1030"/>
      <c r="S333" s="1030"/>
      <c r="T333" s="1030"/>
      <c r="U333" s="1030"/>
      <c r="V333" s="1030"/>
      <c r="W333" s="1030"/>
      <c r="X333" s="1030"/>
      <c r="Y333" s="1030"/>
      <c r="Z333" s="1030"/>
    </row>
    <row r="334" spans="1:26" ht="12.75" customHeight="1">
      <c r="A334" s="1030"/>
      <c r="B334" s="1030"/>
      <c r="C334" s="1030"/>
      <c r="D334" s="1030"/>
      <c r="E334" s="1030"/>
      <c r="F334" s="1030"/>
      <c r="G334" s="1030"/>
      <c r="H334" s="1186"/>
      <c r="I334" s="1030"/>
      <c r="J334" s="1030"/>
      <c r="K334" s="1030"/>
      <c r="L334" s="1030"/>
      <c r="M334" s="1030"/>
      <c r="N334" s="1030"/>
      <c r="O334" s="1030"/>
      <c r="P334" s="1030"/>
      <c r="Q334" s="1030"/>
      <c r="R334" s="1030"/>
      <c r="S334" s="1030"/>
      <c r="T334" s="1030"/>
      <c r="U334" s="1030"/>
      <c r="V334" s="1030"/>
      <c r="W334" s="1030"/>
      <c r="X334" s="1030"/>
      <c r="Y334" s="1030"/>
      <c r="Z334" s="1030"/>
    </row>
    <row r="335" spans="1:26" ht="12.75" customHeight="1">
      <c r="A335" s="1030"/>
      <c r="B335" s="1030"/>
      <c r="C335" s="1030"/>
      <c r="D335" s="1030"/>
      <c r="E335" s="1030"/>
      <c r="F335" s="1030"/>
      <c r="G335" s="1030"/>
      <c r="H335" s="1186"/>
      <c r="I335" s="1030"/>
      <c r="J335" s="1030"/>
      <c r="K335" s="1030"/>
      <c r="L335" s="1030"/>
      <c r="M335" s="1030"/>
      <c r="N335" s="1030"/>
      <c r="O335" s="1030"/>
      <c r="P335" s="1030"/>
      <c r="Q335" s="1030"/>
      <c r="R335" s="1030"/>
      <c r="S335" s="1030"/>
      <c r="T335" s="1030"/>
      <c r="U335" s="1030"/>
      <c r="V335" s="1030"/>
      <c r="W335" s="1030"/>
      <c r="X335" s="1030"/>
      <c r="Y335" s="1030"/>
      <c r="Z335" s="1030"/>
    </row>
    <row r="336" spans="1:26" ht="12.75" customHeight="1">
      <c r="A336" s="1030"/>
      <c r="B336" s="1030"/>
      <c r="C336" s="1030"/>
      <c r="D336" s="1030"/>
      <c r="E336" s="1030"/>
      <c r="F336" s="1030"/>
      <c r="G336" s="1030"/>
      <c r="H336" s="1186"/>
      <c r="I336" s="1030"/>
      <c r="J336" s="1030"/>
      <c r="K336" s="1030"/>
      <c r="L336" s="1030"/>
      <c r="M336" s="1030"/>
      <c r="N336" s="1030"/>
      <c r="O336" s="1030"/>
      <c r="P336" s="1030"/>
      <c r="Q336" s="1030"/>
      <c r="R336" s="1030"/>
      <c r="S336" s="1030"/>
      <c r="T336" s="1030"/>
      <c r="U336" s="1030"/>
      <c r="V336" s="1030"/>
      <c r="W336" s="1030"/>
      <c r="X336" s="1030"/>
      <c r="Y336" s="1030"/>
      <c r="Z336" s="1030"/>
    </row>
    <row r="337" spans="1:26" ht="12.75" customHeight="1">
      <c r="A337" s="1030"/>
      <c r="B337" s="1030"/>
      <c r="C337" s="1030"/>
      <c r="D337" s="1030"/>
      <c r="E337" s="1030"/>
      <c r="F337" s="1030"/>
      <c r="G337" s="1030"/>
      <c r="H337" s="1186"/>
      <c r="I337" s="1030"/>
      <c r="J337" s="1030"/>
      <c r="K337" s="1030"/>
      <c r="L337" s="1030"/>
      <c r="M337" s="1030"/>
      <c r="N337" s="1030"/>
      <c r="O337" s="1030"/>
      <c r="P337" s="1030"/>
      <c r="Q337" s="1030"/>
      <c r="R337" s="1030"/>
      <c r="S337" s="1030"/>
      <c r="T337" s="1030"/>
      <c r="U337" s="1030"/>
      <c r="V337" s="1030"/>
      <c r="W337" s="1030"/>
      <c r="X337" s="1030"/>
      <c r="Y337" s="1030"/>
      <c r="Z337" s="1030"/>
    </row>
    <row r="338" spans="1:26" ht="12.75" customHeight="1">
      <c r="A338" s="1030"/>
      <c r="B338" s="1030"/>
      <c r="C338" s="1030"/>
      <c r="D338" s="1030"/>
      <c r="E338" s="1030"/>
      <c r="F338" s="1030"/>
      <c r="G338" s="1030"/>
      <c r="H338" s="1186"/>
      <c r="I338" s="1030"/>
      <c r="J338" s="1030"/>
      <c r="K338" s="1030"/>
      <c r="L338" s="1030"/>
      <c r="M338" s="1030"/>
      <c r="N338" s="1030"/>
      <c r="O338" s="1030"/>
      <c r="P338" s="1030"/>
      <c r="Q338" s="1030"/>
      <c r="R338" s="1030"/>
      <c r="S338" s="1030"/>
      <c r="T338" s="1030"/>
      <c r="U338" s="1030"/>
      <c r="V338" s="1030"/>
      <c r="W338" s="1030"/>
      <c r="X338" s="1030"/>
      <c r="Y338" s="1030"/>
      <c r="Z338" s="1030"/>
    </row>
    <row r="339" spans="1:26" ht="12.75" customHeight="1">
      <c r="A339" s="1030"/>
      <c r="B339" s="1030"/>
      <c r="C339" s="1030"/>
      <c r="D339" s="1030"/>
      <c r="E339" s="1030"/>
      <c r="F339" s="1030"/>
      <c r="G339" s="1030"/>
      <c r="H339" s="1186"/>
      <c r="I339" s="1030"/>
      <c r="J339" s="1030"/>
      <c r="K339" s="1030"/>
      <c r="L339" s="1030"/>
      <c r="M339" s="1030"/>
      <c r="N339" s="1030"/>
      <c r="O339" s="1030"/>
      <c r="P339" s="1030"/>
      <c r="Q339" s="1030"/>
      <c r="R339" s="1030"/>
      <c r="S339" s="1030"/>
      <c r="T339" s="1030"/>
      <c r="U339" s="1030"/>
      <c r="V339" s="1030"/>
      <c r="W339" s="1030"/>
      <c r="X339" s="1030"/>
      <c r="Y339" s="1030"/>
      <c r="Z339" s="1030"/>
    </row>
    <row r="340" spans="1:26" ht="12.75" customHeight="1">
      <c r="A340" s="1030"/>
      <c r="B340" s="1030"/>
      <c r="C340" s="1030"/>
      <c r="D340" s="1030"/>
      <c r="E340" s="1030"/>
      <c r="F340" s="1030"/>
      <c r="G340" s="1030"/>
      <c r="H340" s="1186"/>
      <c r="I340" s="1030"/>
      <c r="J340" s="1030"/>
      <c r="K340" s="1030"/>
      <c r="L340" s="1030"/>
      <c r="M340" s="1030"/>
      <c r="N340" s="1030"/>
      <c r="O340" s="1030"/>
      <c r="P340" s="1030"/>
      <c r="Q340" s="1030"/>
      <c r="R340" s="1030"/>
      <c r="S340" s="1030"/>
      <c r="T340" s="1030"/>
      <c r="U340" s="1030"/>
      <c r="V340" s="1030"/>
      <c r="W340" s="1030"/>
      <c r="X340" s="1030"/>
      <c r="Y340" s="1030"/>
      <c r="Z340" s="1030"/>
    </row>
    <row r="341" spans="1:26" ht="12.75" customHeight="1">
      <c r="A341" s="1030"/>
      <c r="B341" s="1030"/>
      <c r="C341" s="1030"/>
      <c r="D341" s="1030"/>
      <c r="E341" s="1030"/>
      <c r="F341" s="1030"/>
      <c r="G341" s="1030"/>
      <c r="H341" s="1186"/>
      <c r="I341" s="1030"/>
      <c r="J341" s="1030"/>
      <c r="K341" s="1030"/>
      <c r="L341" s="1030"/>
      <c r="M341" s="1030"/>
      <c r="N341" s="1030"/>
      <c r="O341" s="1030"/>
      <c r="P341" s="1030"/>
      <c r="Q341" s="1030"/>
      <c r="R341" s="1030"/>
      <c r="S341" s="1030"/>
      <c r="T341" s="1030"/>
      <c r="U341" s="1030"/>
      <c r="V341" s="1030"/>
      <c r="W341" s="1030"/>
      <c r="X341" s="1030"/>
      <c r="Y341" s="1030"/>
      <c r="Z341" s="1030"/>
    </row>
    <row r="342" spans="1:26" ht="12.75" customHeight="1">
      <c r="A342" s="1030"/>
      <c r="B342" s="1030"/>
      <c r="C342" s="1030"/>
      <c r="D342" s="1030"/>
      <c r="E342" s="1030"/>
      <c r="F342" s="1030"/>
      <c r="G342" s="1030"/>
      <c r="H342" s="1186"/>
      <c r="I342" s="1030"/>
      <c r="J342" s="1030"/>
      <c r="K342" s="1030"/>
      <c r="L342" s="1030"/>
      <c r="M342" s="1030"/>
      <c r="N342" s="1030"/>
      <c r="O342" s="1030"/>
      <c r="P342" s="1030"/>
      <c r="Q342" s="1030"/>
      <c r="R342" s="1030"/>
      <c r="S342" s="1030"/>
      <c r="T342" s="1030"/>
      <c r="U342" s="1030"/>
      <c r="V342" s="1030"/>
      <c r="W342" s="1030"/>
      <c r="X342" s="1030"/>
      <c r="Y342" s="1030"/>
      <c r="Z342" s="1030"/>
    </row>
    <row r="343" spans="1:26" ht="12.75" customHeight="1">
      <c r="A343" s="1030"/>
      <c r="B343" s="1030"/>
      <c r="C343" s="1030"/>
      <c r="D343" s="1030"/>
      <c r="E343" s="1030"/>
      <c r="F343" s="1030"/>
      <c r="G343" s="1030"/>
      <c r="H343" s="1186"/>
      <c r="I343" s="1030"/>
      <c r="J343" s="1030"/>
      <c r="K343" s="1030"/>
      <c r="L343" s="1030"/>
      <c r="M343" s="1030"/>
      <c r="N343" s="1030"/>
      <c r="O343" s="1030"/>
      <c r="P343" s="1030"/>
      <c r="Q343" s="1030"/>
      <c r="R343" s="1030"/>
      <c r="S343" s="1030"/>
      <c r="T343" s="1030"/>
      <c r="U343" s="1030"/>
      <c r="V343" s="1030"/>
      <c r="W343" s="1030"/>
      <c r="X343" s="1030"/>
      <c r="Y343" s="1030"/>
      <c r="Z343" s="1030"/>
    </row>
    <row r="344" spans="1:26" ht="12.75" customHeight="1">
      <c r="A344" s="1030"/>
      <c r="B344" s="1030"/>
      <c r="C344" s="1030"/>
      <c r="D344" s="1030"/>
      <c r="E344" s="1030"/>
      <c r="F344" s="1030"/>
      <c r="G344" s="1030"/>
      <c r="H344" s="1186"/>
      <c r="I344" s="1030"/>
      <c r="J344" s="1030"/>
      <c r="K344" s="1030"/>
      <c r="L344" s="1030"/>
      <c r="M344" s="1030"/>
      <c r="N344" s="1030"/>
      <c r="O344" s="1030"/>
      <c r="P344" s="1030"/>
      <c r="Q344" s="1030"/>
      <c r="R344" s="1030"/>
      <c r="S344" s="1030"/>
      <c r="T344" s="1030"/>
      <c r="U344" s="1030"/>
      <c r="V344" s="1030"/>
      <c r="W344" s="1030"/>
      <c r="X344" s="1030"/>
      <c r="Y344" s="1030"/>
      <c r="Z344" s="1030"/>
    </row>
    <row r="345" spans="1:26" ht="12.75" customHeight="1">
      <c r="A345" s="1030"/>
      <c r="B345" s="1030"/>
      <c r="C345" s="1030"/>
      <c r="D345" s="1030"/>
      <c r="E345" s="1030"/>
      <c r="F345" s="1030"/>
      <c r="G345" s="1030"/>
      <c r="H345" s="1186"/>
      <c r="I345" s="1030"/>
      <c r="J345" s="1030"/>
      <c r="K345" s="1030"/>
      <c r="L345" s="1030"/>
      <c r="M345" s="1030"/>
      <c r="N345" s="1030"/>
      <c r="O345" s="1030"/>
      <c r="P345" s="1030"/>
      <c r="Q345" s="1030"/>
      <c r="R345" s="1030"/>
      <c r="S345" s="1030"/>
      <c r="T345" s="1030"/>
      <c r="U345" s="1030"/>
      <c r="V345" s="1030"/>
      <c r="W345" s="1030"/>
      <c r="X345" s="1030"/>
      <c r="Y345" s="1030"/>
      <c r="Z345" s="1030"/>
    </row>
    <row r="346" spans="1:26" ht="12.75" customHeight="1">
      <c r="A346" s="1030"/>
      <c r="B346" s="1030"/>
      <c r="C346" s="1030"/>
      <c r="D346" s="1030"/>
      <c r="E346" s="1030"/>
      <c r="F346" s="1030"/>
      <c r="G346" s="1030"/>
      <c r="H346" s="1186"/>
      <c r="I346" s="1030"/>
      <c r="J346" s="1030"/>
      <c r="K346" s="1030"/>
      <c r="L346" s="1030"/>
      <c r="M346" s="1030"/>
      <c r="N346" s="1030"/>
      <c r="O346" s="1030"/>
      <c r="P346" s="1030"/>
      <c r="Q346" s="1030"/>
      <c r="R346" s="1030"/>
      <c r="S346" s="1030"/>
      <c r="T346" s="1030"/>
      <c r="U346" s="1030"/>
      <c r="V346" s="1030"/>
      <c r="W346" s="1030"/>
      <c r="X346" s="1030"/>
      <c r="Y346" s="1030"/>
      <c r="Z346" s="1030"/>
    </row>
    <row r="347" spans="1:26" ht="12.75" customHeight="1">
      <c r="A347" s="1030"/>
      <c r="B347" s="1030"/>
      <c r="C347" s="1030"/>
      <c r="D347" s="1030"/>
      <c r="E347" s="1030"/>
      <c r="F347" s="1030"/>
      <c r="G347" s="1030"/>
      <c r="H347" s="1186"/>
      <c r="I347" s="1030"/>
      <c r="J347" s="1030"/>
      <c r="K347" s="1030"/>
      <c r="L347" s="1030"/>
      <c r="M347" s="1030"/>
      <c r="N347" s="1030"/>
      <c r="O347" s="1030"/>
      <c r="P347" s="1030"/>
      <c r="Q347" s="1030"/>
      <c r="R347" s="1030"/>
      <c r="S347" s="1030"/>
      <c r="T347" s="1030"/>
      <c r="U347" s="1030"/>
      <c r="V347" s="1030"/>
      <c r="W347" s="1030"/>
      <c r="X347" s="1030"/>
      <c r="Y347" s="1030"/>
      <c r="Z347" s="1030"/>
    </row>
    <row r="348" spans="1:26" ht="12.75" customHeight="1">
      <c r="A348" s="1030"/>
      <c r="B348" s="1030"/>
      <c r="C348" s="1030"/>
      <c r="D348" s="1030"/>
      <c r="E348" s="1030"/>
      <c r="F348" s="1030"/>
      <c r="G348" s="1030"/>
      <c r="H348" s="1186"/>
      <c r="I348" s="1030"/>
      <c r="J348" s="1030"/>
      <c r="K348" s="1030"/>
      <c r="L348" s="1030"/>
      <c r="M348" s="1030"/>
      <c r="N348" s="1030"/>
      <c r="O348" s="1030"/>
      <c r="P348" s="1030"/>
      <c r="Q348" s="1030"/>
      <c r="R348" s="1030"/>
      <c r="S348" s="1030"/>
      <c r="T348" s="1030"/>
      <c r="U348" s="1030"/>
      <c r="V348" s="1030"/>
      <c r="W348" s="1030"/>
      <c r="X348" s="1030"/>
      <c r="Y348" s="1030"/>
      <c r="Z348" s="1030"/>
    </row>
    <row r="349" spans="1:26" ht="12.75" customHeight="1">
      <c r="A349" s="1030"/>
      <c r="B349" s="1030"/>
      <c r="C349" s="1030"/>
      <c r="D349" s="1030"/>
      <c r="E349" s="1030"/>
      <c r="F349" s="1030"/>
      <c r="G349" s="1030"/>
      <c r="H349" s="1186"/>
      <c r="I349" s="1030"/>
      <c r="J349" s="1030"/>
      <c r="K349" s="1030"/>
      <c r="L349" s="1030"/>
      <c r="M349" s="1030"/>
      <c r="N349" s="1030"/>
      <c r="O349" s="1030"/>
      <c r="P349" s="1030"/>
      <c r="Q349" s="1030"/>
      <c r="R349" s="1030"/>
      <c r="S349" s="1030"/>
      <c r="T349" s="1030"/>
      <c r="U349" s="1030"/>
      <c r="V349" s="1030"/>
      <c r="W349" s="1030"/>
      <c r="X349" s="1030"/>
      <c r="Y349" s="1030"/>
      <c r="Z349" s="1030"/>
    </row>
    <row r="350" spans="1:26" ht="12.75" customHeight="1">
      <c r="A350" s="1030"/>
      <c r="B350" s="1030"/>
      <c r="C350" s="1030"/>
      <c r="D350" s="1030"/>
      <c r="E350" s="1030"/>
      <c r="F350" s="1030"/>
      <c r="G350" s="1030"/>
      <c r="H350" s="1186"/>
      <c r="I350" s="1030"/>
      <c r="J350" s="1030"/>
      <c r="K350" s="1030"/>
      <c r="L350" s="1030"/>
      <c r="M350" s="1030"/>
      <c r="N350" s="1030"/>
      <c r="O350" s="1030"/>
      <c r="P350" s="1030"/>
      <c r="Q350" s="1030"/>
      <c r="R350" s="1030"/>
      <c r="S350" s="1030"/>
      <c r="T350" s="1030"/>
      <c r="U350" s="1030"/>
      <c r="V350" s="1030"/>
      <c r="W350" s="1030"/>
      <c r="X350" s="1030"/>
      <c r="Y350" s="1030"/>
      <c r="Z350" s="1030"/>
    </row>
    <row r="351" spans="1:26" ht="12.75" customHeight="1">
      <c r="A351" s="1030"/>
      <c r="B351" s="1030"/>
      <c r="C351" s="1030"/>
      <c r="D351" s="1030"/>
      <c r="E351" s="1030"/>
      <c r="F351" s="1030"/>
      <c r="G351" s="1030"/>
      <c r="H351" s="1186"/>
      <c r="I351" s="1030"/>
      <c r="J351" s="1030"/>
      <c r="K351" s="1030"/>
      <c r="L351" s="1030"/>
      <c r="M351" s="1030"/>
      <c r="N351" s="1030"/>
      <c r="O351" s="1030"/>
      <c r="P351" s="1030"/>
      <c r="Q351" s="1030"/>
      <c r="R351" s="1030"/>
      <c r="S351" s="1030"/>
      <c r="T351" s="1030"/>
      <c r="U351" s="1030"/>
      <c r="V351" s="1030"/>
      <c r="W351" s="1030"/>
      <c r="X351" s="1030"/>
      <c r="Y351" s="1030"/>
      <c r="Z351" s="1030"/>
    </row>
    <row r="352" spans="1:26" ht="12.75" customHeight="1">
      <c r="A352" s="1030"/>
      <c r="B352" s="1030"/>
      <c r="C352" s="1030"/>
      <c r="D352" s="1030"/>
      <c r="E352" s="1030"/>
      <c r="F352" s="1030"/>
      <c r="G352" s="1030"/>
      <c r="H352" s="1186"/>
      <c r="I352" s="1030"/>
      <c r="J352" s="1030"/>
      <c r="K352" s="1030"/>
      <c r="L352" s="1030"/>
      <c r="M352" s="1030"/>
      <c r="N352" s="1030"/>
      <c r="O352" s="1030"/>
      <c r="P352" s="1030"/>
      <c r="Q352" s="1030"/>
      <c r="R352" s="1030"/>
      <c r="S352" s="1030"/>
      <c r="T352" s="1030"/>
      <c r="U352" s="1030"/>
      <c r="V352" s="1030"/>
      <c r="W352" s="1030"/>
      <c r="X352" s="1030"/>
      <c r="Y352" s="1030"/>
      <c r="Z352" s="1030"/>
    </row>
    <row r="353" spans="1:26" ht="12.75" customHeight="1">
      <c r="A353" s="1030"/>
      <c r="B353" s="1030"/>
      <c r="C353" s="1030"/>
      <c r="D353" s="1030"/>
      <c r="E353" s="1030"/>
      <c r="F353" s="1030"/>
      <c r="G353" s="1030"/>
      <c r="H353" s="1186"/>
      <c r="I353" s="1030"/>
      <c r="J353" s="1030"/>
      <c r="K353" s="1030"/>
      <c r="L353" s="1030"/>
      <c r="M353" s="1030"/>
      <c r="N353" s="1030"/>
      <c r="O353" s="1030"/>
      <c r="P353" s="1030"/>
      <c r="Q353" s="1030"/>
      <c r="R353" s="1030"/>
      <c r="S353" s="1030"/>
      <c r="T353" s="1030"/>
      <c r="U353" s="1030"/>
      <c r="V353" s="1030"/>
      <c r="W353" s="1030"/>
      <c r="X353" s="1030"/>
      <c r="Y353" s="1030"/>
      <c r="Z353" s="1030"/>
    </row>
    <row r="354" spans="1:26" ht="12.75" customHeight="1">
      <c r="A354" s="1030"/>
      <c r="B354" s="1030"/>
      <c r="C354" s="1030"/>
      <c r="D354" s="1030"/>
      <c r="E354" s="1030"/>
      <c r="F354" s="1030"/>
      <c r="G354" s="1030"/>
      <c r="H354" s="1186"/>
      <c r="I354" s="1030"/>
      <c r="J354" s="1030"/>
      <c r="K354" s="1030"/>
      <c r="L354" s="1030"/>
      <c r="M354" s="1030"/>
      <c r="N354" s="1030"/>
      <c r="O354" s="1030"/>
      <c r="P354" s="1030"/>
      <c r="Q354" s="1030"/>
      <c r="R354" s="1030"/>
      <c r="S354" s="1030"/>
      <c r="T354" s="1030"/>
      <c r="U354" s="1030"/>
      <c r="V354" s="1030"/>
      <c r="W354" s="1030"/>
      <c r="X354" s="1030"/>
      <c r="Y354" s="1030"/>
      <c r="Z354" s="1030"/>
    </row>
    <row r="355" spans="1:26" ht="12.75" customHeight="1">
      <c r="A355" s="1030"/>
      <c r="B355" s="1030"/>
      <c r="C355" s="1030"/>
      <c r="D355" s="1030"/>
      <c r="E355" s="1030"/>
      <c r="F355" s="1030"/>
      <c r="G355" s="1030"/>
      <c r="H355" s="1186"/>
      <c r="I355" s="1030"/>
      <c r="J355" s="1030"/>
      <c r="K355" s="1030"/>
      <c r="L355" s="1030"/>
      <c r="M355" s="1030"/>
      <c r="N355" s="1030"/>
      <c r="O355" s="1030"/>
      <c r="P355" s="1030"/>
      <c r="Q355" s="1030"/>
      <c r="R355" s="1030"/>
      <c r="S355" s="1030"/>
      <c r="T355" s="1030"/>
      <c r="U355" s="1030"/>
      <c r="V355" s="1030"/>
      <c r="W355" s="1030"/>
      <c r="X355" s="1030"/>
      <c r="Y355" s="1030"/>
      <c r="Z355" s="1030"/>
    </row>
    <row r="356" spans="1:26" ht="12.75" customHeight="1">
      <c r="A356" s="1030"/>
      <c r="B356" s="1030"/>
      <c r="C356" s="1030"/>
      <c r="D356" s="1030"/>
      <c r="E356" s="1030"/>
      <c r="F356" s="1030"/>
      <c r="G356" s="1030"/>
      <c r="H356" s="1186"/>
      <c r="I356" s="1030"/>
      <c r="J356" s="1030"/>
      <c r="K356" s="1030"/>
      <c r="L356" s="1030"/>
      <c r="M356" s="1030"/>
      <c r="N356" s="1030"/>
      <c r="O356" s="1030"/>
      <c r="P356" s="1030"/>
      <c r="Q356" s="1030"/>
      <c r="R356" s="1030"/>
      <c r="S356" s="1030"/>
      <c r="T356" s="1030"/>
      <c r="U356" s="1030"/>
      <c r="V356" s="1030"/>
      <c r="W356" s="1030"/>
      <c r="X356" s="1030"/>
      <c r="Y356" s="1030"/>
      <c r="Z356" s="1030"/>
    </row>
    <row r="357" spans="1:26" ht="12.75" customHeight="1">
      <c r="A357" s="1030"/>
      <c r="B357" s="1030"/>
      <c r="C357" s="1030"/>
      <c r="D357" s="1030"/>
      <c r="E357" s="1030"/>
      <c r="F357" s="1030"/>
      <c r="G357" s="1030"/>
      <c r="H357" s="1186"/>
      <c r="I357" s="1030"/>
      <c r="J357" s="1030"/>
      <c r="K357" s="1030"/>
      <c r="L357" s="1030"/>
      <c r="M357" s="1030"/>
      <c r="N357" s="1030"/>
      <c r="O357" s="1030"/>
      <c r="P357" s="1030"/>
      <c r="Q357" s="1030"/>
      <c r="R357" s="1030"/>
      <c r="S357" s="1030"/>
      <c r="T357" s="1030"/>
      <c r="U357" s="1030"/>
      <c r="V357" s="1030"/>
      <c r="W357" s="1030"/>
      <c r="X357" s="1030"/>
      <c r="Y357" s="1030"/>
      <c r="Z357" s="1030"/>
    </row>
    <row r="358" spans="1:26" ht="12.75" customHeight="1">
      <c r="A358" s="1030"/>
      <c r="B358" s="1030"/>
      <c r="C358" s="1030"/>
      <c r="D358" s="1030"/>
      <c r="E358" s="1030"/>
      <c r="F358" s="1030"/>
      <c r="G358" s="1030"/>
      <c r="H358" s="1186"/>
      <c r="I358" s="1030"/>
      <c r="J358" s="1030"/>
      <c r="K358" s="1030"/>
      <c r="L358" s="1030"/>
      <c r="M358" s="1030"/>
      <c r="N358" s="1030"/>
      <c r="O358" s="1030"/>
      <c r="P358" s="1030"/>
      <c r="Q358" s="1030"/>
      <c r="R358" s="1030"/>
      <c r="S358" s="1030"/>
      <c r="T358" s="1030"/>
      <c r="U358" s="1030"/>
      <c r="V358" s="1030"/>
      <c r="W358" s="1030"/>
      <c r="X358" s="1030"/>
      <c r="Y358" s="1030"/>
      <c r="Z358" s="1030"/>
    </row>
    <row r="359" spans="1:26" ht="12.75" customHeight="1">
      <c r="A359" s="1030"/>
      <c r="B359" s="1030"/>
      <c r="C359" s="1030"/>
      <c r="D359" s="1030"/>
      <c r="E359" s="1030"/>
      <c r="F359" s="1030"/>
      <c r="G359" s="1030"/>
      <c r="H359" s="1186"/>
      <c r="I359" s="1030"/>
      <c r="J359" s="1030"/>
      <c r="K359" s="1030"/>
      <c r="L359" s="1030"/>
      <c r="M359" s="1030"/>
      <c r="N359" s="1030"/>
      <c r="O359" s="1030"/>
      <c r="P359" s="1030"/>
      <c r="Q359" s="1030"/>
      <c r="R359" s="1030"/>
      <c r="S359" s="1030"/>
      <c r="T359" s="1030"/>
      <c r="U359" s="1030"/>
      <c r="V359" s="1030"/>
      <c r="W359" s="1030"/>
      <c r="X359" s="1030"/>
      <c r="Y359" s="1030"/>
      <c r="Z359" s="1030"/>
    </row>
    <row r="360" spans="1:26" ht="12.75" customHeight="1">
      <c r="A360" s="1030"/>
      <c r="B360" s="1030"/>
      <c r="C360" s="1030"/>
      <c r="D360" s="1030"/>
      <c r="E360" s="1030"/>
      <c r="F360" s="1030"/>
      <c r="G360" s="1030"/>
      <c r="H360" s="1186"/>
      <c r="I360" s="1030"/>
      <c r="J360" s="1030"/>
      <c r="K360" s="1030"/>
      <c r="L360" s="1030"/>
      <c r="M360" s="1030"/>
      <c r="N360" s="1030"/>
      <c r="O360" s="1030"/>
      <c r="P360" s="1030"/>
      <c r="Q360" s="1030"/>
      <c r="R360" s="1030"/>
      <c r="S360" s="1030"/>
      <c r="T360" s="1030"/>
      <c r="U360" s="1030"/>
      <c r="V360" s="1030"/>
      <c r="W360" s="1030"/>
      <c r="X360" s="1030"/>
      <c r="Y360" s="1030"/>
      <c r="Z360" s="1030"/>
    </row>
    <row r="361" spans="1:26" ht="12.75" customHeight="1">
      <c r="A361" s="1030"/>
      <c r="B361" s="1030"/>
      <c r="C361" s="1030"/>
      <c r="D361" s="1030"/>
      <c r="E361" s="1030"/>
      <c r="F361" s="1030"/>
      <c r="G361" s="1030"/>
      <c r="H361" s="1186"/>
      <c r="I361" s="1030"/>
      <c r="J361" s="1030"/>
      <c r="K361" s="1030"/>
      <c r="L361" s="1030"/>
      <c r="M361" s="1030"/>
      <c r="N361" s="1030"/>
      <c r="O361" s="1030"/>
      <c r="P361" s="1030"/>
      <c r="Q361" s="1030"/>
      <c r="R361" s="1030"/>
      <c r="S361" s="1030"/>
      <c r="T361" s="1030"/>
      <c r="U361" s="1030"/>
      <c r="V361" s="1030"/>
      <c r="W361" s="1030"/>
      <c r="X361" s="1030"/>
      <c r="Y361" s="1030"/>
      <c r="Z361" s="1030"/>
    </row>
    <row r="362" spans="1:26" ht="12.75" customHeight="1">
      <c r="A362" s="1030"/>
      <c r="B362" s="1030"/>
      <c r="C362" s="1030"/>
      <c r="D362" s="1030"/>
      <c r="E362" s="1030"/>
      <c r="F362" s="1030"/>
      <c r="G362" s="1030"/>
      <c r="H362" s="1186"/>
      <c r="I362" s="1030"/>
      <c r="J362" s="1030"/>
      <c r="K362" s="1030"/>
      <c r="L362" s="1030"/>
      <c r="M362" s="1030"/>
      <c r="N362" s="1030"/>
      <c r="O362" s="1030"/>
      <c r="P362" s="1030"/>
      <c r="Q362" s="1030"/>
      <c r="R362" s="1030"/>
      <c r="S362" s="1030"/>
      <c r="T362" s="1030"/>
      <c r="U362" s="1030"/>
      <c r="V362" s="1030"/>
      <c r="W362" s="1030"/>
      <c r="X362" s="1030"/>
      <c r="Y362" s="1030"/>
      <c r="Z362" s="1030"/>
    </row>
    <row r="363" spans="1:26" ht="12.75" customHeight="1">
      <c r="A363" s="1030"/>
      <c r="B363" s="1030"/>
      <c r="C363" s="1030"/>
      <c r="D363" s="1030"/>
      <c r="E363" s="1030"/>
      <c r="F363" s="1030"/>
      <c r="G363" s="1030"/>
      <c r="H363" s="1186"/>
      <c r="I363" s="1030"/>
      <c r="J363" s="1030"/>
      <c r="K363" s="1030"/>
      <c r="L363" s="1030"/>
      <c r="M363" s="1030"/>
      <c r="N363" s="1030"/>
      <c r="O363" s="1030"/>
      <c r="P363" s="1030"/>
      <c r="Q363" s="1030"/>
      <c r="R363" s="1030"/>
      <c r="S363" s="1030"/>
      <c r="T363" s="1030"/>
      <c r="U363" s="1030"/>
      <c r="V363" s="1030"/>
      <c r="W363" s="1030"/>
      <c r="X363" s="1030"/>
      <c r="Y363" s="1030"/>
      <c r="Z363" s="1030"/>
    </row>
    <row r="364" spans="1:26" ht="12.75" customHeight="1">
      <c r="A364" s="1030"/>
      <c r="B364" s="1030"/>
      <c r="C364" s="1030"/>
      <c r="D364" s="1030"/>
      <c r="E364" s="1030"/>
      <c r="F364" s="1030"/>
      <c r="G364" s="1030"/>
      <c r="H364" s="1186"/>
      <c r="I364" s="1030"/>
      <c r="J364" s="1030"/>
      <c r="K364" s="1030"/>
      <c r="L364" s="1030"/>
      <c r="M364" s="1030"/>
      <c r="N364" s="1030"/>
      <c r="O364" s="1030"/>
      <c r="P364" s="1030"/>
      <c r="Q364" s="1030"/>
      <c r="R364" s="1030"/>
      <c r="S364" s="1030"/>
      <c r="T364" s="1030"/>
      <c r="U364" s="1030"/>
      <c r="V364" s="1030"/>
      <c r="W364" s="1030"/>
      <c r="X364" s="1030"/>
      <c r="Y364" s="1030"/>
      <c r="Z364" s="1030"/>
    </row>
    <row r="365" spans="1:26" ht="12.75" customHeight="1">
      <c r="A365" s="1030"/>
      <c r="B365" s="1030"/>
      <c r="C365" s="1030"/>
      <c r="D365" s="1030"/>
      <c r="E365" s="1030"/>
      <c r="F365" s="1030"/>
      <c r="G365" s="1030"/>
      <c r="H365" s="1186"/>
      <c r="I365" s="1030"/>
      <c r="J365" s="1030"/>
      <c r="K365" s="1030"/>
      <c r="L365" s="1030"/>
      <c r="M365" s="1030"/>
      <c r="N365" s="1030"/>
      <c r="O365" s="1030"/>
      <c r="P365" s="1030"/>
      <c r="Q365" s="1030"/>
      <c r="R365" s="1030"/>
      <c r="S365" s="1030"/>
      <c r="T365" s="1030"/>
      <c r="U365" s="1030"/>
      <c r="V365" s="1030"/>
      <c r="W365" s="1030"/>
      <c r="X365" s="1030"/>
      <c r="Y365" s="1030"/>
      <c r="Z365" s="1030"/>
    </row>
    <row r="366" spans="1:26" ht="12.75" customHeight="1">
      <c r="A366" s="1030"/>
      <c r="B366" s="1030"/>
      <c r="C366" s="1030"/>
      <c r="D366" s="1030"/>
      <c r="E366" s="1030"/>
      <c r="F366" s="1030"/>
      <c r="G366" s="1030"/>
      <c r="H366" s="1186"/>
      <c r="I366" s="1030"/>
      <c r="J366" s="1030"/>
      <c r="K366" s="1030"/>
      <c r="L366" s="1030"/>
      <c r="M366" s="1030"/>
      <c r="N366" s="1030"/>
      <c r="O366" s="1030"/>
      <c r="P366" s="1030"/>
      <c r="Q366" s="1030"/>
      <c r="R366" s="1030"/>
      <c r="S366" s="1030"/>
      <c r="T366" s="1030"/>
      <c r="U366" s="1030"/>
      <c r="V366" s="1030"/>
      <c r="W366" s="1030"/>
      <c r="X366" s="1030"/>
      <c r="Y366" s="1030"/>
      <c r="Z366" s="1030"/>
    </row>
    <row r="367" spans="1:26" ht="12.75" customHeight="1">
      <c r="A367" s="1030"/>
      <c r="B367" s="1030"/>
      <c r="C367" s="1030"/>
      <c r="D367" s="1030"/>
      <c r="E367" s="1030"/>
      <c r="F367" s="1030"/>
      <c r="G367" s="1030"/>
      <c r="H367" s="1186"/>
      <c r="I367" s="1030"/>
      <c r="J367" s="1030"/>
      <c r="K367" s="1030"/>
      <c r="L367" s="1030"/>
      <c r="M367" s="1030"/>
      <c r="N367" s="1030"/>
      <c r="O367" s="1030"/>
      <c r="P367" s="1030"/>
      <c r="Q367" s="1030"/>
      <c r="R367" s="1030"/>
      <c r="S367" s="1030"/>
      <c r="T367" s="1030"/>
      <c r="U367" s="1030"/>
      <c r="V367" s="1030"/>
      <c r="W367" s="1030"/>
      <c r="X367" s="1030"/>
      <c r="Y367" s="1030"/>
      <c r="Z367" s="1030"/>
    </row>
    <row r="368" spans="1:26" ht="12.75" customHeight="1">
      <c r="A368" s="1030"/>
      <c r="B368" s="1030"/>
      <c r="C368" s="1030"/>
      <c r="D368" s="1030"/>
      <c r="E368" s="1030"/>
      <c r="F368" s="1030"/>
      <c r="G368" s="1030"/>
      <c r="H368" s="1186"/>
      <c r="I368" s="1030"/>
      <c r="J368" s="1030"/>
      <c r="K368" s="1030"/>
      <c r="L368" s="1030"/>
      <c r="M368" s="1030"/>
      <c r="N368" s="1030"/>
      <c r="O368" s="1030"/>
      <c r="P368" s="1030"/>
      <c r="Q368" s="1030"/>
      <c r="R368" s="1030"/>
      <c r="S368" s="1030"/>
      <c r="T368" s="1030"/>
      <c r="U368" s="1030"/>
      <c r="V368" s="1030"/>
      <c r="W368" s="1030"/>
      <c r="X368" s="1030"/>
      <c r="Y368" s="1030"/>
      <c r="Z368" s="1030"/>
    </row>
    <row r="369" spans="1:26" ht="12.75" customHeight="1">
      <c r="A369" s="1030"/>
      <c r="B369" s="1030"/>
      <c r="C369" s="1030"/>
      <c r="D369" s="1030"/>
      <c r="E369" s="1030"/>
      <c r="F369" s="1030"/>
      <c r="G369" s="1030"/>
      <c r="H369" s="1186"/>
      <c r="I369" s="1030"/>
      <c r="J369" s="1030"/>
      <c r="K369" s="1030"/>
      <c r="L369" s="1030"/>
      <c r="M369" s="1030"/>
      <c r="N369" s="1030"/>
      <c r="O369" s="1030"/>
      <c r="P369" s="1030"/>
      <c r="Q369" s="1030"/>
      <c r="R369" s="1030"/>
      <c r="S369" s="1030"/>
      <c r="T369" s="1030"/>
      <c r="U369" s="1030"/>
      <c r="V369" s="1030"/>
      <c r="W369" s="1030"/>
      <c r="X369" s="1030"/>
      <c r="Y369" s="1030"/>
      <c r="Z369" s="1030"/>
    </row>
    <row r="370" spans="1:26" ht="12.75" customHeight="1">
      <c r="A370" s="1030"/>
      <c r="B370" s="1030"/>
      <c r="C370" s="1030"/>
      <c r="D370" s="1030"/>
      <c r="E370" s="1030"/>
      <c r="F370" s="1030"/>
      <c r="G370" s="1030"/>
      <c r="H370" s="1186"/>
      <c r="I370" s="1030"/>
      <c r="J370" s="1030"/>
      <c r="K370" s="1030"/>
      <c r="L370" s="1030"/>
      <c r="M370" s="1030"/>
      <c r="N370" s="1030"/>
      <c r="O370" s="1030"/>
      <c r="P370" s="1030"/>
      <c r="Q370" s="1030"/>
      <c r="R370" s="1030"/>
      <c r="S370" s="1030"/>
      <c r="T370" s="1030"/>
      <c r="U370" s="1030"/>
      <c r="V370" s="1030"/>
      <c r="W370" s="1030"/>
      <c r="X370" s="1030"/>
      <c r="Y370" s="1030"/>
      <c r="Z370" s="1030"/>
    </row>
    <row r="371" spans="1:26" ht="12.75" customHeight="1">
      <c r="A371" s="1030"/>
      <c r="B371" s="1030"/>
      <c r="C371" s="1030"/>
      <c r="D371" s="1030"/>
      <c r="E371" s="1030"/>
      <c r="F371" s="1030"/>
      <c r="G371" s="1030"/>
      <c r="H371" s="1186"/>
      <c r="I371" s="1030"/>
      <c r="J371" s="1030"/>
      <c r="K371" s="1030"/>
      <c r="L371" s="1030"/>
      <c r="M371" s="1030"/>
      <c r="N371" s="1030"/>
      <c r="O371" s="1030"/>
      <c r="P371" s="1030"/>
      <c r="Q371" s="1030"/>
      <c r="R371" s="1030"/>
      <c r="S371" s="1030"/>
      <c r="T371" s="1030"/>
      <c r="U371" s="1030"/>
      <c r="V371" s="1030"/>
      <c r="W371" s="1030"/>
      <c r="X371" s="1030"/>
      <c r="Y371" s="1030"/>
      <c r="Z371" s="1030"/>
    </row>
    <row r="372" spans="1:26" ht="12.75" customHeight="1">
      <c r="A372" s="1030"/>
      <c r="B372" s="1030"/>
      <c r="C372" s="1030"/>
      <c r="D372" s="1030"/>
      <c r="E372" s="1030"/>
      <c r="F372" s="1030"/>
      <c r="G372" s="1030"/>
      <c r="H372" s="1186"/>
      <c r="I372" s="1030"/>
      <c r="J372" s="1030"/>
      <c r="K372" s="1030"/>
      <c r="L372" s="1030"/>
      <c r="M372" s="1030"/>
      <c r="N372" s="1030"/>
      <c r="O372" s="1030"/>
      <c r="P372" s="1030"/>
      <c r="Q372" s="1030"/>
      <c r="R372" s="1030"/>
      <c r="S372" s="1030"/>
      <c r="T372" s="1030"/>
      <c r="U372" s="1030"/>
      <c r="V372" s="1030"/>
      <c r="W372" s="1030"/>
      <c r="X372" s="1030"/>
      <c r="Y372" s="1030"/>
      <c r="Z372" s="1030"/>
    </row>
    <row r="373" spans="1:26" ht="12.75" customHeight="1">
      <c r="A373" s="1030"/>
      <c r="B373" s="1030"/>
      <c r="C373" s="1030"/>
      <c r="D373" s="1030"/>
      <c r="E373" s="1030"/>
      <c r="F373" s="1030"/>
      <c r="G373" s="1030"/>
      <c r="H373" s="1186"/>
      <c r="I373" s="1030"/>
      <c r="J373" s="1030"/>
      <c r="K373" s="1030"/>
      <c r="L373" s="1030"/>
      <c r="M373" s="1030"/>
      <c r="N373" s="1030"/>
      <c r="O373" s="1030"/>
      <c r="P373" s="1030"/>
      <c r="Q373" s="1030"/>
      <c r="R373" s="1030"/>
      <c r="S373" s="1030"/>
      <c r="T373" s="1030"/>
      <c r="U373" s="1030"/>
      <c r="V373" s="1030"/>
      <c r="W373" s="1030"/>
      <c r="X373" s="1030"/>
      <c r="Y373" s="1030"/>
      <c r="Z373" s="1030"/>
    </row>
    <row r="374" spans="1:26" ht="12.75" customHeight="1">
      <c r="A374" s="1030"/>
      <c r="B374" s="1030"/>
      <c r="C374" s="1030"/>
      <c r="D374" s="1030"/>
      <c r="E374" s="1030"/>
      <c r="F374" s="1030"/>
      <c r="G374" s="1030"/>
      <c r="H374" s="1186"/>
      <c r="I374" s="1030"/>
      <c r="J374" s="1030"/>
      <c r="K374" s="1030"/>
      <c r="L374" s="1030"/>
      <c r="M374" s="1030"/>
      <c r="N374" s="1030"/>
      <c r="O374" s="1030"/>
      <c r="P374" s="1030"/>
      <c r="Q374" s="1030"/>
      <c r="R374" s="1030"/>
      <c r="S374" s="1030"/>
      <c r="T374" s="1030"/>
      <c r="U374" s="1030"/>
      <c r="V374" s="1030"/>
      <c r="W374" s="1030"/>
      <c r="X374" s="1030"/>
      <c r="Y374" s="1030"/>
      <c r="Z374" s="1030"/>
    </row>
    <row r="375" spans="1:26" ht="12.75" customHeight="1">
      <c r="A375" s="1030"/>
      <c r="B375" s="1030"/>
      <c r="C375" s="1030"/>
      <c r="D375" s="1030"/>
      <c r="E375" s="1030"/>
      <c r="F375" s="1030"/>
      <c r="G375" s="1030"/>
      <c r="H375" s="1186"/>
      <c r="I375" s="1030"/>
      <c r="J375" s="1030"/>
      <c r="K375" s="1030"/>
      <c r="L375" s="1030"/>
      <c r="M375" s="1030"/>
      <c r="N375" s="1030"/>
      <c r="O375" s="1030"/>
      <c r="P375" s="1030"/>
      <c r="Q375" s="1030"/>
      <c r="R375" s="1030"/>
      <c r="S375" s="1030"/>
      <c r="T375" s="1030"/>
      <c r="U375" s="1030"/>
      <c r="V375" s="1030"/>
      <c r="W375" s="1030"/>
      <c r="X375" s="1030"/>
      <c r="Y375" s="1030"/>
      <c r="Z375" s="1030"/>
    </row>
    <row r="376" spans="1:26" ht="12.75" customHeight="1">
      <c r="A376" s="1030"/>
      <c r="B376" s="1030"/>
      <c r="C376" s="1030"/>
      <c r="D376" s="1030"/>
      <c r="E376" s="1030"/>
      <c r="F376" s="1030"/>
      <c r="G376" s="1030"/>
      <c r="H376" s="1186"/>
      <c r="I376" s="1030"/>
      <c r="J376" s="1030"/>
      <c r="K376" s="1030"/>
      <c r="L376" s="1030"/>
      <c r="M376" s="1030"/>
      <c r="N376" s="1030"/>
      <c r="O376" s="1030"/>
      <c r="P376" s="1030"/>
      <c r="Q376" s="1030"/>
      <c r="R376" s="1030"/>
      <c r="S376" s="1030"/>
      <c r="T376" s="1030"/>
      <c r="U376" s="1030"/>
      <c r="V376" s="1030"/>
      <c r="W376" s="1030"/>
      <c r="X376" s="1030"/>
      <c r="Y376" s="1030"/>
      <c r="Z376" s="1030"/>
    </row>
    <row r="377" spans="1:26" ht="12.75" customHeight="1">
      <c r="A377" s="1030"/>
      <c r="B377" s="1030"/>
      <c r="C377" s="1030"/>
      <c r="D377" s="1030"/>
      <c r="E377" s="1030"/>
      <c r="F377" s="1030"/>
      <c r="G377" s="1030"/>
      <c r="H377" s="1186"/>
      <c r="I377" s="1030"/>
      <c r="J377" s="1030"/>
      <c r="K377" s="1030"/>
      <c r="L377" s="1030"/>
      <c r="M377" s="1030"/>
      <c r="N377" s="1030"/>
      <c r="O377" s="1030"/>
      <c r="P377" s="1030"/>
      <c r="Q377" s="1030"/>
      <c r="R377" s="1030"/>
      <c r="S377" s="1030"/>
      <c r="T377" s="1030"/>
      <c r="U377" s="1030"/>
      <c r="V377" s="1030"/>
      <c r="W377" s="1030"/>
      <c r="X377" s="1030"/>
      <c r="Y377" s="1030"/>
      <c r="Z377" s="1030"/>
    </row>
    <row r="378" spans="1:26" ht="12.75" customHeight="1">
      <c r="A378" s="1030"/>
      <c r="B378" s="1030"/>
      <c r="C378" s="1030"/>
      <c r="D378" s="1030"/>
      <c r="E378" s="1030"/>
      <c r="F378" s="1030"/>
      <c r="G378" s="1030"/>
      <c r="H378" s="1186"/>
      <c r="I378" s="1030"/>
      <c r="J378" s="1030"/>
      <c r="K378" s="1030"/>
      <c r="L378" s="1030"/>
      <c r="M378" s="1030"/>
      <c r="N378" s="1030"/>
      <c r="O378" s="1030"/>
      <c r="P378" s="1030"/>
      <c r="Q378" s="1030"/>
      <c r="R378" s="1030"/>
      <c r="S378" s="1030"/>
      <c r="T378" s="1030"/>
      <c r="U378" s="1030"/>
      <c r="V378" s="1030"/>
      <c r="W378" s="1030"/>
      <c r="X378" s="1030"/>
      <c r="Y378" s="1030"/>
      <c r="Z378" s="1030"/>
    </row>
    <row r="379" spans="1:26" ht="12.75" customHeight="1">
      <c r="A379" s="1030"/>
      <c r="B379" s="1030"/>
      <c r="C379" s="1030"/>
      <c r="D379" s="1030"/>
      <c r="E379" s="1030"/>
      <c r="F379" s="1030"/>
      <c r="G379" s="1030"/>
      <c r="H379" s="1186"/>
      <c r="I379" s="1030"/>
      <c r="J379" s="1030"/>
      <c r="K379" s="1030"/>
      <c r="L379" s="1030"/>
      <c r="M379" s="1030"/>
      <c r="N379" s="1030"/>
      <c r="O379" s="1030"/>
      <c r="P379" s="1030"/>
      <c r="Q379" s="1030"/>
      <c r="R379" s="1030"/>
      <c r="S379" s="1030"/>
      <c r="T379" s="1030"/>
      <c r="U379" s="1030"/>
      <c r="V379" s="1030"/>
      <c r="W379" s="1030"/>
      <c r="X379" s="1030"/>
      <c r="Y379" s="1030"/>
      <c r="Z379" s="1030"/>
    </row>
    <row r="380" spans="1:26" ht="12.75" customHeight="1">
      <c r="A380" s="1030"/>
      <c r="B380" s="1030"/>
      <c r="C380" s="1030"/>
      <c r="D380" s="1030"/>
      <c r="E380" s="1030"/>
      <c r="F380" s="1030"/>
      <c r="G380" s="1030"/>
      <c r="H380" s="1186"/>
      <c r="I380" s="1030"/>
      <c r="J380" s="1030"/>
      <c r="K380" s="1030"/>
      <c r="L380" s="1030"/>
      <c r="M380" s="1030"/>
      <c r="N380" s="1030"/>
      <c r="O380" s="1030"/>
      <c r="P380" s="1030"/>
      <c r="Q380" s="1030"/>
      <c r="R380" s="1030"/>
      <c r="S380" s="1030"/>
      <c r="T380" s="1030"/>
      <c r="U380" s="1030"/>
      <c r="V380" s="1030"/>
      <c r="W380" s="1030"/>
      <c r="X380" s="1030"/>
      <c r="Y380" s="1030"/>
      <c r="Z380" s="1030"/>
    </row>
    <row r="381" spans="1:26" ht="12.75" customHeight="1">
      <c r="A381" s="1030"/>
      <c r="B381" s="1030"/>
      <c r="C381" s="1030"/>
      <c r="D381" s="1030"/>
      <c r="E381" s="1030"/>
      <c r="F381" s="1030"/>
      <c r="G381" s="1030"/>
      <c r="H381" s="1186"/>
      <c r="I381" s="1030"/>
      <c r="J381" s="1030"/>
      <c r="K381" s="1030"/>
      <c r="L381" s="1030"/>
      <c r="M381" s="1030"/>
      <c r="N381" s="1030"/>
      <c r="O381" s="1030"/>
      <c r="P381" s="1030"/>
      <c r="Q381" s="1030"/>
      <c r="R381" s="1030"/>
      <c r="S381" s="1030"/>
      <c r="T381" s="1030"/>
      <c r="U381" s="1030"/>
      <c r="V381" s="1030"/>
      <c r="W381" s="1030"/>
      <c r="X381" s="1030"/>
      <c r="Y381" s="1030"/>
      <c r="Z381" s="1030"/>
    </row>
    <row r="382" spans="1:26" ht="12.75" customHeight="1">
      <c r="A382" s="1030"/>
      <c r="B382" s="1030"/>
      <c r="C382" s="1030"/>
      <c r="D382" s="1030"/>
      <c r="E382" s="1030"/>
      <c r="F382" s="1030"/>
      <c r="G382" s="1030"/>
      <c r="H382" s="1186"/>
      <c r="I382" s="1030"/>
      <c r="J382" s="1030"/>
      <c r="K382" s="1030"/>
      <c r="L382" s="1030"/>
      <c r="M382" s="1030"/>
      <c r="N382" s="1030"/>
      <c r="O382" s="1030"/>
      <c r="P382" s="1030"/>
      <c r="Q382" s="1030"/>
      <c r="R382" s="1030"/>
      <c r="S382" s="1030"/>
      <c r="T382" s="1030"/>
      <c r="U382" s="1030"/>
      <c r="V382" s="1030"/>
      <c r="W382" s="1030"/>
      <c r="X382" s="1030"/>
      <c r="Y382" s="1030"/>
      <c r="Z382" s="1030"/>
    </row>
    <row r="383" spans="1:26" ht="12.75" customHeight="1">
      <c r="A383" s="1030"/>
      <c r="B383" s="1030"/>
      <c r="C383" s="1030"/>
      <c r="D383" s="1030"/>
      <c r="E383" s="1030"/>
      <c r="F383" s="1030"/>
      <c r="G383" s="1030"/>
      <c r="H383" s="1186"/>
      <c r="I383" s="1030"/>
      <c r="J383" s="1030"/>
      <c r="K383" s="1030"/>
      <c r="L383" s="1030"/>
      <c r="M383" s="1030"/>
      <c r="N383" s="1030"/>
      <c r="O383" s="1030"/>
      <c r="P383" s="1030"/>
      <c r="Q383" s="1030"/>
      <c r="R383" s="1030"/>
      <c r="S383" s="1030"/>
      <c r="T383" s="1030"/>
      <c r="U383" s="1030"/>
      <c r="V383" s="1030"/>
      <c r="W383" s="1030"/>
      <c r="X383" s="1030"/>
      <c r="Y383" s="1030"/>
      <c r="Z383" s="1030"/>
    </row>
    <row r="384" spans="1:26" ht="12.75" customHeight="1">
      <c r="A384" s="1030"/>
      <c r="B384" s="1030"/>
      <c r="C384" s="1030"/>
      <c r="D384" s="1030"/>
      <c r="E384" s="1030"/>
      <c r="F384" s="1030"/>
      <c r="G384" s="1030"/>
      <c r="H384" s="1186"/>
      <c r="I384" s="1030"/>
      <c r="J384" s="1030"/>
      <c r="K384" s="1030"/>
      <c r="L384" s="1030"/>
      <c r="M384" s="1030"/>
      <c r="N384" s="1030"/>
      <c r="O384" s="1030"/>
      <c r="P384" s="1030"/>
      <c r="Q384" s="1030"/>
      <c r="R384" s="1030"/>
      <c r="S384" s="1030"/>
      <c r="T384" s="1030"/>
      <c r="U384" s="1030"/>
      <c r="V384" s="1030"/>
      <c r="W384" s="1030"/>
      <c r="X384" s="1030"/>
      <c r="Y384" s="1030"/>
      <c r="Z384" s="1030"/>
    </row>
    <row r="385" spans="1:26" ht="12.75" customHeight="1">
      <c r="A385" s="1030"/>
      <c r="B385" s="1030"/>
      <c r="C385" s="1030"/>
      <c r="D385" s="1030"/>
      <c r="E385" s="1030"/>
      <c r="F385" s="1030"/>
      <c r="G385" s="1030"/>
      <c r="H385" s="1186"/>
      <c r="I385" s="1030"/>
      <c r="J385" s="1030"/>
      <c r="K385" s="1030"/>
      <c r="L385" s="1030"/>
      <c r="M385" s="1030"/>
      <c r="N385" s="1030"/>
      <c r="O385" s="1030"/>
      <c r="P385" s="1030"/>
      <c r="Q385" s="1030"/>
      <c r="R385" s="1030"/>
      <c r="S385" s="1030"/>
      <c r="T385" s="1030"/>
      <c r="U385" s="1030"/>
      <c r="V385" s="1030"/>
      <c r="W385" s="1030"/>
      <c r="X385" s="1030"/>
      <c r="Y385" s="1030"/>
      <c r="Z385" s="1030"/>
    </row>
    <row r="386" spans="1:26" ht="12.75" customHeight="1">
      <c r="A386" s="1030"/>
      <c r="B386" s="1030"/>
      <c r="C386" s="1030"/>
      <c r="D386" s="1030"/>
      <c r="E386" s="1030"/>
      <c r="F386" s="1030"/>
      <c r="G386" s="1030"/>
      <c r="H386" s="1186"/>
      <c r="I386" s="1030"/>
      <c r="J386" s="1030"/>
      <c r="K386" s="1030"/>
      <c r="L386" s="1030"/>
      <c r="M386" s="1030"/>
      <c r="N386" s="1030"/>
      <c r="O386" s="1030"/>
      <c r="P386" s="1030"/>
      <c r="Q386" s="1030"/>
      <c r="R386" s="1030"/>
      <c r="S386" s="1030"/>
      <c r="T386" s="1030"/>
      <c r="U386" s="1030"/>
      <c r="V386" s="1030"/>
      <c r="W386" s="1030"/>
      <c r="X386" s="1030"/>
      <c r="Y386" s="1030"/>
      <c r="Z386" s="1030"/>
    </row>
    <row r="387" spans="1:26" ht="12.75" customHeight="1">
      <c r="A387" s="1030"/>
      <c r="B387" s="1030"/>
      <c r="C387" s="1030"/>
      <c r="D387" s="1030"/>
      <c r="E387" s="1030"/>
      <c r="F387" s="1030"/>
      <c r="G387" s="1030"/>
      <c r="H387" s="1186"/>
      <c r="I387" s="1030"/>
      <c r="J387" s="1030"/>
      <c r="K387" s="1030"/>
      <c r="L387" s="1030"/>
      <c r="M387" s="1030"/>
      <c r="N387" s="1030"/>
      <c r="O387" s="1030"/>
      <c r="P387" s="1030"/>
      <c r="Q387" s="1030"/>
      <c r="R387" s="1030"/>
      <c r="S387" s="1030"/>
      <c r="T387" s="1030"/>
      <c r="U387" s="1030"/>
      <c r="V387" s="1030"/>
      <c r="W387" s="1030"/>
      <c r="X387" s="1030"/>
      <c r="Y387" s="1030"/>
      <c r="Z387" s="1030"/>
    </row>
    <row r="388" spans="1:26" ht="12.75" customHeight="1">
      <c r="A388" s="1030"/>
      <c r="B388" s="1030"/>
      <c r="C388" s="1030"/>
      <c r="D388" s="1030"/>
      <c r="E388" s="1030"/>
      <c r="F388" s="1030"/>
      <c r="G388" s="1030"/>
      <c r="H388" s="1186"/>
      <c r="I388" s="1030"/>
      <c r="J388" s="1030"/>
      <c r="K388" s="1030"/>
      <c r="L388" s="1030"/>
      <c r="M388" s="1030"/>
      <c r="N388" s="1030"/>
      <c r="O388" s="1030"/>
      <c r="P388" s="1030"/>
      <c r="Q388" s="1030"/>
      <c r="R388" s="1030"/>
      <c r="S388" s="1030"/>
      <c r="T388" s="1030"/>
      <c r="U388" s="1030"/>
      <c r="V388" s="1030"/>
      <c r="W388" s="1030"/>
      <c r="X388" s="1030"/>
      <c r="Y388" s="1030"/>
      <c r="Z388" s="1030"/>
    </row>
    <row r="389" spans="1:26" ht="12.75" customHeight="1">
      <c r="A389" s="1030"/>
      <c r="B389" s="1030"/>
      <c r="C389" s="1030"/>
      <c r="D389" s="1030"/>
      <c r="E389" s="1030"/>
      <c r="F389" s="1030"/>
      <c r="G389" s="1030"/>
      <c r="H389" s="1186"/>
      <c r="I389" s="1030"/>
      <c r="J389" s="1030"/>
      <c r="K389" s="1030"/>
      <c r="L389" s="1030"/>
      <c r="M389" s="1030"/>
      <c r="N389" s="1030"/>
      <c r="O389" s="1030"/>
      <c r="P389" s="1030"/>
      <c r="Q389" s="1030"/>
      <c r="R389" s="1030"/>
      <c r="S389" s="1030"/>
      <c r="T389" s="1030"/>
      <c r="U389" s="1030"/>
      <c r="V389" s="1030"/>
      <c r="W389" s="1030"/>
      <c r="X389" s="1030"/>
      <c r="Y389" s="1030"/>
      <c r="Z389" s="1030"/>
    </row>
    <row r="390" spans="1:26" ht="12.75" customHeight="1">
      <c r="A390" s="1030"/>
      <c r="B390" s="1030"/>
      <c r="C390" s="1030"/>
      <c r="D390" s="1030"/>
      <c r="E390" s="1030"/>
      <c r="F390" s="1030"/>
      <c r="G390" s="1030"/>
      <c r="H390" s="1186"/>
      <c r="I390" s="1030"/>
      <c r="J390" s="1030"/>
      <c r="K390" s="1030"/>
      <c r="L390" s="1030"/>
      <c r="M390" s="1030"/>
      <c r="N390" s="1030"/>
      <c r="O390" s="1030"/>
      <c r="P390" s="1030"/>
      <c r="Q390" s="1030"/>
      <c r="R390" s="1030"/>
      <c r="S390" s="1030"/>
      <c r="T390" s="1030"/>
      <c r="U390" s="1030"/>
      <c r="V390" s="1030"/>
      <c r="W390" s="1030"/>
      <c r="X390" s="1030"/>
      <c r="Y390" s="1030"/>
      <c r="Z390" s="1030"/>
    </row>
    <row r="391" spans="1:26" ht="12.75" customHeight="1">
      <c r="A391" s="1030"/>
      <c r="B391" s="1030"/>
      <c r="C391" s="1030"/>
      <c r="D391" s="1030"/>
      <c r="E391" s="1030"/>
      <c r="F391" s="1030"/>
      <c r="G391" s="1030"/>
      <c r="H391" s="1186"/>
      <c r="I391" s="1030"/>
      <c r="J391" s="1030"/>
      <c r="K391" s="1030"/>
      <c r="L391" s="1030"/>
      <c r="M391" s="1030"/>
      <c r="N391" s="1030"/>
      <c r="O391" s="1030"/>
      <c r="P391" s="1030"/>
      <c r="Q391" s="1030"/>
      <c r="R391" s="1030"/>
      <c r="S391" s="1030"/>
      <c r="T391" s="1030"/>
      <c r="U391" s="1030"/>
      <c r="V391" s="1030"/>
      <c r="W391" s="1030"/>
      <c r="X391" s="1030"/>
      <c r="Y391" s="1030"/>
      <c r="Z391" s="1030"/>
    </row>
    <row r="392" spans="1:26" ht="12.75" customHeight="1">
      <c r="A392" s="1030"/>
      <c r="B392" s="1030"/>
      <c r="C392" s="1030"/>
      <c r="D392" s="1030"/>
      <c r="E392" s="1030"/>
      <c r="F392" s="1030"/>
      <c r="G392" s="1030"/>
      <c r="H392" s="1186"/>
      <c r="I392" s="1030"/>
      <c r="J392" s="1030"/>
      <c r="K392" s="1030"/>
      <c r="L392" s="1030"/>
      <c r="M392" s="1030"/>
      <c r="N392" s="1030"/>
      <c r="O392" s="1030"/>
      <c r="P392" s="1030"/>
      <c r="Q392" s="1030"/>
      <c r="R392" s="1030"/>
      <c r="S392" s="1030"/>
      <c r="T392" s="1030"/>
      <c r="U392" s="1030"/>
      <c r="V392" s="1030"/>
      <c r="W392" s="1030"/>
      <c r="X392" s="1030"/>
      <c r="Y392" s="1030"/>
      <c r="Z392" s="1030"/>
    </row>
    <row r="393" spans="1:26" ht="12.75" customHeight="1">
      <c r="A393" s="1030"/>
      <c r="B393" s="1030"/>
      <c r="C393" s="1030"/>
      <c r="D393" s="1030"/>
      <c r="E393" s="1030"/>
      <c r="F393" s="1030"/>
      <c r="G393" s="1030"/>
      <c r="H393" s="1186"/>
      <c r="I393" s="1030"/>
      <c r="J393" s="1030"/>
      <c r="K393" s="1030"/>
      <c r="L393" s="1030"/>
      <c r="M393" s="1030"/>
      <c r="N393" s="1030"/>
      <c r="O393" s="1030"/>
      <c r="P393" s="1030"/>
      <c r="Q393" s="1030"/>
      <c r="R393" s="1030"/>
      <c r="S393" s="1030"/>
      <c r="T393" s="1030"/>
      <c r="U393" s="1030"/>
      <c r="V393" s="1030"/>
      <c r="W393" s="1030"/>
      <c r="X393" s="1030"/>
      <c r="Y393" s="1030"/>
      <c r="Z393" s="1030"/>
    </row>
    <row r="394" spans="1:26" ht="12.75" customHeight="1">
      <c r="A394" s="1030"/>
      <c r="B394" s="1030"/>
      <c r="C394" s="1030"/>
      <c r="D394" s="1030"/>
      <c r="E394" s="1030"/>
      <c r="F394" s="1030"/>
      <c r="G394" s="1030"/>
      <c r="H394" s="1186"/>
      <c r="I394" s="1030"/>
      <c r="J394" s="1030"/>
      <c r="K394" s="1030"/>
      <c r="L394" s="1030"/>
      <c r="M394" s="1030"/>
      <c r="N394" s="1030"/>
      <c r="O394" s="1030"/>
      <c r="P394" s="1030"/>
      <c r="Q394" s="1030"/>
      <c r="R394" s="1030"/>
      <c r="S394" s="1030"/>
      <c r="T394" s="1030"/>
      <c r="U394" s="1030"/>
      <c r="V394" s="1030"/>
      <c r="W394" s="1030"/>
      <c r="X394" s="1030"/>
      <c r="Y394" s="1030"/>
      <c r="Z394" s="1030"/>
    </row>
    <row r="395" spans="1:26" ht="12.75" customHeight="1">
      <c r="A395" s="1030"/>
      <c r="B395" s="1030"/>
      <c r="C395" s="1030"/>
      <c r="D395" s="1030"/>
      <c r="E395" s="1030"/>
      <c r="F395" s="1030"/>
      <c r="G395" s="1030"/>
      <c r="H395" s="1186"/>
      <c r="I395" s="1030"/>
      <c r="J395" s="1030"/>
      <c r="K395" s="1030"/>
      <c r="L395" s="1030"/>
      <c r="M395" s="1030"/>
      <c r="N395" s="1030"/>
      <c r="O395" s="1030"/>
      <c r="P395" s="1030"/>
      <c r="Q395" s="1030"/>
      <c r="R395" s="1030"/>
      <c r="S395" s="1030"/>
      <c r="T395" s="1030"/>
      <c r="U395" s="1030"/>
      <c r="V395" s="1030"/>
      <c r="W395" s="1030"/>
      <c r="X395" s="1030"/>
      <c r="Y395" s="1030"/>
      <c r="Z395" s="1030"/>
    </row>
    <row r="396" spans="1:26" ht="12.75" customHeight="1">
      <c r="A396" s="1030"/>
      <c r="B396" s="1030"/>
      <c r="C396" s="1030"/>
      <c r="D396" s="1030"/>
      <c r="E396" s="1030"/>
      <c r="F396" s="1030"/>
      <c r="G396" s="1030"/>
      <c r="H396" s="1186"/>
      <c r="I396" s="1030"/>
      <c r="J396" s="1030"/>
      <c r="K396" s="1030"/>
      <c r="L396" s="1030"/>
      <c r="M396" s="1030"/>
      <c r="N396" s="1030"/>
      <c r="O396" s="1030"/>
      <c r="P396" s="1030"/>
      <c r="Q396" s="1030"/>
      <c r="R396" s="1030"/>
      <c r="S396" s="1030"/>
      <c r="T396" s="1030"/>
      <c r="U396" s="1030"/>
      <c r="V396" s="1030"/>
      <c r="W396" s="1030"/>
      <c r="X396" s="1030"/>
      <c r="Y396" s="1030"/>
      <c r="Z396" s="1030"/>
    </row>
    <row r="397" spans="1:26" ht="12.75" customHeight="1">
      <c r="A397" s="1030"/>
      <c r="B397" s="1030"/>
      <c r="C397" s="1030"/>
      <c r="D397" s="1030"/>
      <c r="E397" s="1030"/>
      <c r="F397" s="1030"/>
      <c r="G397" s="1030"/>
      <c r="H397" s="1186"/>
      <c r="I397" s="1030"/>
      <c r="J397" s="1030"/>
      <c r="K397" s="1030"/>
      <c r="L397" s="1030"/>
      <c r="M397" s="1030"/>
      <c r="N397" s="1030"/>
      <c r="O397" s="1030"/>
      <c r="P397" s="1030"/>
      <c r="Q397" s="1030"/>
      <c r="R397" s="1030"/>
      <c r="S397" s="1030"/>
      <c r="T397" s="1030"/>
      <c r="U397" s="1030"/>
      <c r="V397" s="1030"/>
      <c r="W397" s="1030"/>
      <c r="X397" s="1030"/>
      <c r="Y397" s="1030"/>
      <c r="Z397" s="1030"/>
    </row>
    <row r="398" spans="1:26" ht="12.75" customHeight="1">
      <c r="A398" s="1030"/>
      <c r="B398" s="1030"/>
      <c r="C398" s="1030"/>
      <c r="D398" s="1030"/>
      <c r="E398" s="1030"/>
      <c r="F398" s="1030"/>
      <c r="G398" s="1030"/>
      <c r="H398" s="1186"/>
      <c r="I398" s="1030"/>
      <c r="J398" s="1030"/>
      <c r="K398" s="1030"/>
      <c r="L398" s="1030"/>
      <c r="M398" s="1030"/>
      <c r="N398" s="1030"/>
      <c r="O398" s="1030"/>
      <c r="P398" s="1030"/>
      <c r="Q398" s="1030"/>
      <c r="R398" s="1030"/>
      <c r="S398" s="1030"/>
      <c r="T398" s="1030"/>
      <c r="U398" s="1030"/>
      <c r="V398" s="1030"/>
      <c r="W398" s="1030"/>
      <c r="X398" s="1030"/>
      <c r="Y398" s="1030"/>
      <c r="Z398" s="1030"/>
    </row>
    <row r="399" spans="1:26" ht="12.75" customHeight="1">
      <c r="A399" s="1030"/>
      <c r="B399" s="1030"/>
      <c r="C399" s="1030"/>
      <c r="D399" s="1030"/>
      <c r="E399" s="1030"/>
      <c r="F399" s="1030"/>
      <c r="G399" s="1030"/>
      <c r="H399" s="1186"/>
      <c r="I399" s="1030"/>
      <c r="J399" s="1030"/>
      <c r="K399" s="1030"/>
      <c r="L399" s="1030"/>
      <c r="M399" s="1030"/>
      <c r="N399" s="1030"/>
      <c r="O399" s="1030"/>
      <c r="P399" s="1030"/>
      <c r="Q399" s="1030"/>
      <c r="R399" s="1030"/>
      <c r="S399" s="1030"/>
      <c r="T399" s="1030"/>
      <c r="U399" s="1030"/>
      <c r="V399" s="1030"/>
      <c r="W399" s="1030"/>
      <c r="X399" s="1030"/>
      <c r="Y399" s="1030"/>
      <c r="Z399" s="1030"/>
    </row>
    <row r="400" spans="1:26" ht="12.75" customHeight="1">
      <c r="A400" s="1030"/>
      <c r="B400" s="1030"/>
      <c r="C400" s="1030"/>
      <c r="D400" s="1030"/>
      <c r="E400" s="1030"/>
      <c r="F400" s="1030"/>
      <c r="G400" s="1030"/>
      <c r="H400" s="1186"/>
      <c r="I400" s="1030"/>
      <c r="J400" s="1030"/>
      <c r="K400" s="1030"/>
      <c r="L400" s="1030"/>
      <c r="M400" s="1030"/>
      <c r="N400" s="1030"/>
      <c r="O400" s="1030"/>
      <c r="P400" s="1030"/>
      <c r="Q400" s="1030"/>
      <c r="R400" s="1030"/>
      <c r="S400" s="1030"/>
      <c r="T400" s="1030"/>
      <c r="U400" s="1030"/>
      <c r="V400" s="1030"/>
      <c r="W400" s="1030"/>
      <c r="X400" s="1030"/>
      <c r="Y400" s="1030"/>
      <c r="Z400" s="1030"/>
    </row>
    <row r="401" spans="1:26" ht="12.75" customHeight="1">
      <c r="A401" s="1030"/>
      <c r="B401" s="1030"/>
      <c r="C401" s="1030"/>
      <c r="D401" s="1030"/>
      <c r="E401" s="1030"/>
      <c r="F401" s="1030"/>
      <c r="G401" s="1030"/>
      <c r="H401" s="1186"/>
      <c r="I401" s="1030"/>
      <c r="J401" s="1030"/>
      <c r="K401" s="1030"/>
      <c r="L401" s="1030"/>
      <c r="M401" s="1030"/>
      <c r="N401" s="1030"/>
      <c r="O401" s="1030"/>
      <c r="P401" s="1030"/>
      <c r="Q401" s="1030"/>
      <c r="R401" s="1030"/>
      <c r="S401" s="1030"/>
      <c r="T401" s="1030"/>
      <c r="U401" s="1030"/>
      <c r="V401" s="1030"/>
      <c r="W401" s="1030"/>
      <c r="X401" s="1030"/>
      <c r="Y401" s="1030"/>
      <c r="Z401" s="1030"/>
    </row>
    <row r="402" spans="1:26" ht="12.75" customHeight="1">
      <c r="A402" s="1030"/>
      <c r="B402" s="1030"/>
      <c r="C402" s="1030"/>
      <c r="D402" s="1030"/>
      <c r="E402" s="1030"/>
      <c r="F402" s="1030"/>
      <c r="G402" s="1030"/>
      <c r="H402" s="1186"/>
      <c r="I402" s="1030"/>
      <c r="J402" s="1030"/>
      <c r="K402" s="1030"/>
      <c r="L402" s="1030"/>
      <c r="M402" s="1030"/>
      <c r="N402" s="1030"/>
      <c r="O402" s="1030"/>
      <c r="P402" s="1030"/>
      <c r="Q402" s="1030"/>
      <c r="R402" s="1030"/>
      <c r="S402" s="1030"/>
      <c r="T402" s="1030"/>
      <c r="U402" s="1030"/>
      <c r="V402" s="1030"/>
      <c r="W402" s="1030"/>
      <c r="X402" s="1030"/>
      <c r="Y402" s="1030"/>
      <c r="Z402" s="1030"/>
    </row>
    <row r="403" spans="1:26" ht="12.75" customHeight="1">
      <c r="A403" s="1030"/>
      <c r="B403" s="1030"/>
      <c r="C403" s="1030"/>
      <c r="D403" s="1030"/>
      <c r="E403" s="1030"/>
      <c r="F403" s="1030"/>
      <c r="G403" s="1030"/>
      <c r="H403" s="1186"/>
      <c r="I403" s="1030"/>
      <c r="J403" s="1030"/>
      <c r="K403" s="1030"/>
      <c r="L403" s="1030"/>
      <c r="M403" s="1030"/>
      <c r="N403" s="1030"/>
      <c r="O403" s="1030"/>
      <c r="P403" s="1030"/>
      <c r="Q403" s="1030"/>
      <c r="R403" s="1030"/>
      <c r="S403" s="1030"/>
      <c r="T403" s="1030"/>
      <c r="U403" s="1030"/>
      <c r="V403" s="1030"/>
      <c r="W403" s="1030"/>
      <c r="X403" s="1030"/>
      <c r="Y403" s="1030"/>
      <c r="Z403" s="1030"/>
    </row>
    <row r="404" spans="1:26" ht="12.75" customHeight="1">
      <c r="A404" s="1030"/>
      <c r="B404" s="1030"/>
      <c r="C404" s="1030"/>
      <c r="D404" s="1030"/>
      <c r="E404" s="1030"/>
      <c r="F404" s="1030"/>
      <c r="G404" s="1030"/>
      <c r="H404" s="1186"/>
      <c r="I404" s="1030"/>
      <c r="J404" s="1030"/>
      <c r="K404" s="1030"/>
      <c r="L404" s="1030"/>
      <c r="M404" s="1030"/>
      <c r="N404" s="1030"/>
      <c r="O404" s="1030"/>
      <c r="P404" s="1030"/>
      <c r="Q404" s="1030"/>
      <c r="R404" s="1030"/>
      <c r="S404" s="1030"/>
      <c r="T404" s="1030"/>
      <c r="U404" s="1030"/>
      <c r="V404" s="1030"/>
      <c r="W404" s="1030"/>
      <c r="X404" s="1030"/>
      <c r="Y404" s="1030"/>
      <c r="Z404" s="1030"/>
    </row>
    <row r="405" spans="1:26" ht="12.75" customHeight="1">
      <c r="A405" s="1030"/>
      <c r="B405" s="1030"/>
      <c r="C405" s="1030"/>
      <c r="D405" s="1030"/>
      <c r="E405" s="1030"/>
      <c r="F405" s="1030"/>
      <c r="G405" s="1030"/>
      <c r="H405" s="1186"/>
      <c r="I405" s="1030"/>
      <c r="J405" s="1030"/>
      <c r="K405" s="1030"/>
      <c r="L405" s="1030"/>
      <c r="M405" s="1030"/>
      <c r="N405" s="1030"/>
      <c r="O405" s="1030"/>
      <c r="P405" s="1030"/>
      <c r="Q405" s="1030"/>
      <c r="R405" s="1030"/>
      <c r="S405" s="1030"/>
      <c r="T405" s="1030"/>
      <c r="U405" s="1030"/>
      <c r="V405" s="1030"/>
      <c r="W405" s="1030"/>
      <c r="X405" s="1030"/>
      <c r="Y405" s="1030"/>
      <c r="Z405" s="1030"/>
    </row>
    <row r="406" spans="1:26" ht="12.75" customHeight="1">
      <c r="A406" s="1030"/>
      <c r="B406" s="1030"/>
      <c r="C406" s="1030"/>
      <c r="D406" s="1030"/>
      <c r="E406" s="1030"/>
      <c r="F406" s="1030"/>
      <c r="G406" s="1030"/>
      <c r="H406" s="1186"/>
      <c r="I406" s="1030"/>
      <c r="J406" s="1030"/>
      <c r="K406" s="1030"/>
      <c r="L406" s="1030"/>
      <c r="M406" s="1030"/>
      <c r="N406" s="1030"/>
      <c r="O406" s="1030"/>
      <c r="P406" s="1030"/>
      <c r="Q406" s="1030"/>
      <c r="R406" s="1030"/>
      <c r="S406" s="1030"/>
      <c r="T406" s="1030"/>
      <c r="U406" s="1030"/>
      <c r="V406" s="1030"/>
      <c r="W406" s="1030"/>
      <c r="X406" s="1030"/>
      <c r="Y406" s="1030"/>
      <c r="Z406" s="1030"/>
    </row>
    <row r="407" spans="1:26" ht="12.75" customHeight="1">
      <c r="A407" s="1030"/>
      <c r="B407" s="1030"/>
      <c r="C407" s="1030"/>
      <c r="D407" s="1030"/>
      <c r="E407" s="1030"/>
      <c r="F407" s="1030"/>
      <c r="G407" s="1030"/>
      <c r="H407" s="1186"/>
      <c r="I407" s="1030"/>
      <c r="J407" s="1030"/>
      <c r="K407" s="1030"/>
      <c r="L407" s="1030"/>
      <c r="M407" s="1030"/>
      <c r="N407" s="1030"/>
      <c r="O407" s="1030"/>
      <c r="P407" s="1030"/>
      <c r="Q407" s="1030"/>
      <c r="R407" s="1030"/>
      <c r="S407" s="1030"/>
      <c r="T407" s="1030"/>
      <c r="U407" s="1030"/>
      <c r="V407" s="1030"/>
      <c r="W407" s="1030"/>
      <c r="X407" s="1030"/>
      <c r="Y407" s="1030"/>
      <c r="Z407" s="1030"/>
    </row>
    <row r="408" spans="1:26" ht="12.75" customHeight="1">
      <c r="A408" s="1030"/>
      <c r="B408" s="1030"/>
      <c r="C408" s="1030"/>
      <c r="D408" s="1030"/>
      <c r="E408" s="1030"/>
      <c r="F408" s="1030"/>
      <c r="G408" s="1030"/>
      <c r="H408" s="1186"/>
      <c r="I408" s="1030"/>
      <c r="J408" s="1030"/>
      <c r="K408" s="1030"/>
      <c r="L408" s="1030"/>
      <c r="M408" s="1030"/>
      <c r="N408" s="1030"/>
      <c r="O408" s="1030"/>
      <c r="P408" s="1030"/>
      <c r="Q408" s="1030"/>
      <c r="R408" s="1030"/>
      <c r="S408" s="1030"/>
      <c r="T408" s="1030"/>
      <c r="U408" s="1030"/>
      <c r="V408" s="1030"/>
      <c r="W408" s="1030"/>
      <c r="X408" s="1030"/>
      <c r="Y408" s="1030"/>
      <c r="Z408" s="1030"/>
    </row>
    <row r="409" spans="1:26" ht="12.75" customHeight="1">
      <c r="A409" s="1030"/>
      <c r="B409" s="1030"/>
      <c r="C409" s="1030"/>
      <c r="D409" s="1030"/>
      <c r="E409" s="1030"/>
      <c r="F409" s="1030"/>
      <c r="G409" s="1030"/>
      <c r="H409" s="1186"/>
      <c r="I409" s="1030"/>
      <c r="J409" s="1030"/>
      <c r="K409" s="1030"/>
      <c r="L409" s="1030"/>
      <c r="M409" s="1030"/>
      <c r="N409" s="1030"/>
      <c r="O409" s="1030"/>
      <c r="P409" s="1030"/>
      <c r="Q409" s="1030"/>
      <c r="R409" s="1030"/>
      <c r="S409" s="1030"/>
      <c r="T409" s="1030"/>
      <c r="U409" s="1030"/>
      <c r="V409" s="1030"/>
      <c r="W409" s="1030"/>
      <c r="X409" s="1030"/>
      <c r="Y409" s="1030"/>
      <c r="Z409" s="1030"/>
    </row>
    <row r="410" spans="1:26" ht="12.75" customHeight="1">
      <c r="A410" s="1030"/>
      <c r="B410" s="1030"/>
      <c r="C410" s="1030"/>
      <c r="D410" s="1030"/>
      <c r="E410" s="1030"/>
      <c r="F410" s="1030"/>
      <c r="G410" s="1030"/>
      <c r="H410" s="1186"/>
      <c r="I410" s="1030"/>
      <c r="J410" s="1030"/>
      <c r="K410" s="1030"/>
      <c r="L410" s="1030"/>
      <c r="M410" s="1030"/>
      <c r="N410" s="1030"/>
      <c r="O410" s="1030"/>
      <c r="P410" s="1030"/>
      <c r="Q410" s="1030"/>
      <c r="R410" s="1030"/>
      <c r="S410" s="1030"/>
      <c r="T410" s="1030"/>
      <c r="U410" s="1030"/>
      <c r="V410" s="1030"/>
      <c r="W410" s="1030"/>
      <c r="X410" s="1030"/>
      <c r="Y410" s="1030"/>
      <c r="Z410" s="1030"/>
    </row>
    <row r="411" spans="1:26" ht="12.75" customHeight="1">
      <c r="A411" s="1030"/>
      <c r="B411" s="1030"/>
      <c r="C411" s="1030"/>
      <c r="D411" s="1030"/>
      <c r="E411" s="1030"/>
      <c r="F411" s="1030"/>
      <c r="G411" s="1030"/>
      <c r="H411" s="1186"/>
      <c r="I411" s="1030"/>
      <c r="J411" s="1030"/>
      <c r="K411" s="1030"/>
      <c r="L411" s="1030"/>
      <c r="M411" s="1030"/>
      <c r="N411" s="1030"/>
      <c r="O411" s="1030"/>
      <c r="P411" s="1030"/>
      <c r="Q411" s="1030"/>
      <c r="R411" s="1030"/>
      <c r="S411" s="1030"/>
      <c r="T411" s="1030"/>
      <c r="U411" s="1030"/>
      <c r="V411" s="1030"/>
      <c r="W411" s="1030"/>
      <c r="X411" s="1030"/>
      <c r="Y411" s="1030"/>
      <c r="Z411" s="1030"/>
    </row>
    <row r="412" spans="1:26" ht="12.75" customHeight="1">
      <c r="A412" s="1030"/>
      <c r="B412" s="1030"/>
      <c r="C412" s="1030"/>
      <c r="D412" s="1030"/>
      <c r="E412" s="1030"/>
      <c r="F412" s="1030"/>
      <c r="G412" s="1030"/>
      <c r="H412" s="1186"/>
      <c r="I412" s="1030"/>
      <c r="J412" s="1030"/>
      <c r="K412" s="1030"/>
      <c r="L412" s="1030"/>
      <c r="M412" s="1030"/>
      <c r="N412" s="1030"/>
      <c r="O412" s="1030"/>
      <c r="P412" s="1030"/>
      <c r="Q412" s="1030"/>
      <c r="R412" s="1030"/>
      <c r="S412" s="1030"/>
      <c r="T412" s="1030"/>
      <c r="U412" s="1030"/>
      <c r="V412" s="1030"/>
      <c r="W412" s="1030"/>
      <c r="X412" s="1030"/>
      <c r="Y412" s="1030"/>
      <c r="Z412" s="1030"/>
    </row>
    <row r="413" spans="1:26" ht="12.75" customHeight="1">
      <c r="A413" s="1030"/>
      <c r="B413" s="1030"/>
      <c r="C413" s="1030"/>
      <c r="D413" s="1030"/>
      <c r="E413" s="1030"/>
      <c r="F413" s="1030"/>
      <c r="G413" s="1030"/>
      <c r="H413" s="1186"/>
      <c r="I413" s="1030"/>
      <c r="J413" s="1030"/>
      <c r="K413" s="1030"/>
      <c r="L413" s="1030"/>
      <c r="M413" s="1030"/>
      <c r="N413" s="1030"/>
      <c r="O413" s="1030"/>
      <c r="P413" s="1030"/>
      <c r="Q413" s="1030"/>
      <c r="R413" s="1030"/>
      <c r="S413" s="1030"/>
      <c r="T413" s="1030"/>
      <c r="U413" s="1030"/>
      <c r="V413" s="1030"/>
      <c r="W413" s="1030"/>
      <c r="X413" s="1030"/>
      <c r="Y413" s="1030"/>
      <c r="Z413" s="1030"/>
    </row>
    <row r="414" spans="1:26" ht="12.75" customHeight="1">
      <c r="A414" s="1030"/>
      <c r="B414" s="1030"/>
      <c r="C414" s="1030"/>
      <c r="D414" s="1030"/>
      <c r="E414" s="1030"/>
      <c r="F414" s="1030"/>
      <c r="G414" s="1030"/>
      <c r="H414" s="1186"/>
      <c r="I414" s="1030"/>
      <c r="J414" s="1030"/>
      <c r="K414" s="1030"/>
      <c r="L414" s="1030"/>
      <c r="M414" s="1030"/>
      <c r="N414" s="1030"/>
      <c r="O414" s="1030"/>
      <c r="P414" s="1030"/>
      <c r="Q414" s="1030"/>
      <c r="R414" s="1030"/>
      <c r="S414" s="1030"/>
      <c r="T414" s="1030"/>
      <c r="U414" s="1030"/>
      <c r="V414" s="1030"/>
      <c r="W414" s="1030"/>
      <c r="X414" s="1030"/>
      <c r="Y414" s="1030"/>
      <c r="Z414" s="1030"/>
    </row>
    <row r="415" spans="1:26" ht="12.75" customHeight="1">
      <c r="A415" s="1030"/>
      <c r="B415" s="1030"/>
      <c r="C415" s="1030"/>
      <c r="D415" s="1030"/>
      <c r="E415" s="1030"/>
      <c r="F415" s="1030"/>
      <c r="G415" s="1030"/>
      <c r="H415" s="1186"/>
      <c r="I415" s="1030"/>
      <c r="J415" s="1030"/>
      <c r="K415" s="1030"/>
      <c r="L415" s="1030"/>
      <c r="M415" s="1030"/>
      <c r="N415" s="1030"/>
      <c r="O415" s="1030"/>
      <c r="P415" s="1030"/>
      <c r="Q415" s="1030"/>
      <c r="R415" s="1030"/>
      <c r="S415" s="1030"/>
      <c r="T415" s="1030"/>
      <c r="U415" s="1030"/>
      <c r="V415" s="1030"/>
      <c r="W415" s="1030"/>
      <c r="X415" s="1030"/>
      <c r="Y415" s="1030"/>
      <c r="Z415" s="1030"/>
    </row>
    <row r="416" spans="1:26" ht="12.75" customHeight="1">
      <c r="A416" s="1030"/>
      <c r="B416" s="1030"/>
      <c r="C416" s="1030"/>
      <c r="D416" s="1030"/>
      <c r="E416" s="1030"/>
      <c r="F416" s="1030"/>
      <c r="G416" s="1030"/>
      <c r="H416" s="1186"/>
      <c r="I416" s="1030"/>
      <c r="J416" s="1030"/>
      <c r="K416" s="1030"/>
      <c r="L416" s="1030"/>
      <c r="M416" s="1030"/>
      <c r="N416" s="1030"/>
      <c r="O416" s="1030"/>
      <c r="P416" s="1030"/>
      <c r="Q416" s="1030"/>
      <c r="R416" s="1030"/>
      <c r="S416" s="1030"/>
      <c r="T416" s="1030"/>
      <c r="U416" s="1030"/>
      <c r="V416" s="1030"/>
      <c r="W416" s="1030"/>
      <c r="X416" s="1030"/>
      <c r="Y416" s="1030"/>
      <c r="Z416" s="1030"/>
    </row>
    <row r="417" spans="1:26" ht="12.75" customHeight="1">
      <c r="A417" s="1030"/>
      <c r="B417" s="1030"/>
      <c r="C417" s="1030"/>
      <c r="D417" s="1030"/>
      <c r="E417" s="1030"/>
      <c r="F417" s="1030"/>
      <c r="G417" s="1030"/>
      <c r="H417" s="1186"/>
      <c r="I417" s="1030"/>
      <c r="J417" s="1030"/>
      <c r="K417" s="1030"/>
      <c r="L417" s="1030"/>
      <c r="M417" s="1030"/>
      <c r="N417" s="1030"/>
      <c r="O417" s="1030"/>
      <c r="P417" s="1030"/>
      <c r="Q417" s="1030"/>
      <c r="R417" s="1030"/>
      <c r="S417" s="1030"/>
      <c r="T417" s="1030"/>
      <c r="U417" s="1030"/>
      <c r="V417" s="1030"/>
      <c r="W417" s="1030"/>
      <c r="X417" s="1030"/>
      <c r="Y417" s="1030"/>
      <c r="Z417" s="1030"/>
    </row>
    <row r="418" spans="1:26" ht="12.75" customHeight="1">
      <c r="A418" s="1030"/>
      <c r="B418" s="1030"/>
      <c r="C418" s="1030"/>
      <c r="D418" s="1030"/>
      <c r="E418" s="1030"/>
      <c r="F418" s="1030"/>
      <c r="G418" s="1030"/>
      <c r="H418" s="1186"/>
      <c r="I418" s="1030"/>
      <c r="J418" s="1030"/>
      <c r="K418" s="1030"/>
      <c r="L418" s="1030"/>
      <c r="M418" s="1030"/>
      <c r="N418" s="1030"/>
      <c r="O418" s="1030"/>
      <c r="P418" s="1030"/>
      <c r="Q418" s="1030"/>
      <c r="R418" s="1030"/>
      <c r="S418" s="1030"/>
      <c r="T418" s="1030"/>
      <c r="U418" s="1030"/>
      <c r="V418" s="1030"/>
      <c r="W418" s="1030"/>
      <c r="X418" s="1030"/>
      <c r="Y418" s="1030"/>
      <c r="Z418" s="1030"/>
    </row>
    <row r="419" spans="1:26" ht="12.75" customHeight="1">
      <c r="A419" s="1030"/>
      <c r="B419" s="1030"/>
      <c r="C419" s="1030"/>
      <c r="D419" s="1030"/>
      <c r="E419" s="1030"/>
      <c r="F419" s="1030"/>
      <c r="G419" s="1030"/>
      <c r="H419" s="1186"/>
      <c r="I419" s="1030"/>
      <c r="J419" s="1030"/>
      <c r="K419" s="1030"/>
      <c r="L419" s="1030"/>
      <c r="M419" s="1030"/>
      <c r="N419" s="1030"/>
      <c r="O419" s="1030"/>
      <c r="P419" s="1030"/>
      <c r="Q419" s="1030"/>
      <c r="R419" s="1030"/>
      <c r="S419" s="1030"/>
      <c r="T419" s="1030"/>
      <c r="U419" s="1030"/>
      <c r="V419" s="1030"/>
      <c r="W419" s="1030"/>
      <c r="X419" s="1030"/>
      <c r="Y419" s="1030"/>
      <c r="Z419" s="1030"/>
    </row>
    <row r="420" spans="1:26" ht="12.75" customHeight="1">
      <c r="A420" s="1030"/>
      <c r="B420" s="1030"/>
      <c r="C420" s="1030"/>
      <c r="D420" s="1030"/>
      <c r="E420" s="1030"/>
      <c r="F420" s="1030"/>
      <c r="G420" s="1030"/>
      <c r="H420" s="1186"/>
      <c r="I420" s="1030"/>
      <c r="J420" s="1030"/>
      <c r="K420" s="1030"/>
      <c r="L420" s="1030"/>
      <c r="M420" s="1030"/>
      <c r="N420" s="1030"/>
      <c r="O420" s="1030"/>
      <c r="P420" s="1030"/>
      <c r="Q420" s="1030"/>
      <c r="R420" s="1030"/>
      <c r="S420" s="1030"/>
      <c r="T420" s="1030"/>
      <c r="U420" s="1030"/>
      <c r="V420" s="1030"/>
      <c r="W420" s="1030"/>
      <c r="X420" s="1030"/>
      <c r="Y420" s="1030"/>
      <c r="Z420" s="1030"/>
    </row>
    <row r="421" spans="1:26" ht="12.75" customHeight="1">
      <c r="A421" s="1030"/>
      <c r="B421" s="1030"/>
      <c r="C421" s="1030"/>
      <c r="D421" s="1030"/>
      <c r="E421" s="1030"/>
      <c r="F421" s="1030"/>
      <c r="G421" s="1030"/>
      <c r="H421" s="1186"/>
      <c r="I421" s="1030"/>
      <c r="J421" s="1030"/>
      <c r="K421" s="1030"/>
      <c r="L421" s="1030"/>
      <c r="M421" s="1030"/>
      <c r="N421" s="1030"/>
      <c r="O421" s="1030"/>
      <c r="P421" s="1030"/>
      <c r="Q421" s="1030"/>
      <c r="R421" s="1030"/>
      <c r="S421" s="1030"/>
      <c r="T421" s="1030"/>
      <c r="U421" s="1030"/>
      <c r="V421" s="1030"/>
      <c r="W421" s="1030"/>
      <c r="X421" s="1030"/>
      <c r="Y421" s="1030"/>
      <c r="Z421" s="1030"/>
    </row>
    <row r="422" spans="1:26" ht="12.75" customHeight="1">
      <c r="A422" s="1030"/>
      <c r="B422" s="1030"/>
      <c r="C422" s="1030"/>
      <c r="D422" s="1030"/>
      <c r="E422" s="1030"/>
      <c r="F422" s="1030"/>
      <c r="G422" s="1030"/>
      <c r="H422" s="1186"/>
      <c r="I422" s="1030"/>
      <c r="J422" s="1030"/>
      <c r="K422" s="1030"/>
      <c r="L422" s="1030"/>
      <c r="M422" s="1030"/>
      <c r="N422" s="1030"/>
      <c r="O422" s="1030"/>
      <c r="P422" s="1030"/>
      <c r="Q422" s="1030"/>
      <c r="R422" s="1030"/>
      <c r="S422" s="1030"/>
      <c r="T422" s="1030"/>
      <c r="U422" s="1030"/>
      <c r="V422" s="1030"/>
      <c r="W422" s="1030"/>
      <c r="X422" s="1030"/>
      <c r="Y422" s="1030"/>
      <c r="Z422" s="1030"/>
    </row>
    <row r="423" spans="1:26" ht="12.75" customHeight="1">
      <c r="A423" s="1030"/>
      <c r="B423" s="1030"/>
      <c r="C423" s="1030"/>
      <c r="D423" s="1030"/>
      <c r="E423" s="1030"/>
      <c r="F423" s="1030"/>
      <c r="G423" s="1030"/>
      <c r="H423" s="1186"/>
      <c r="I423" s="1030"/>
      <c r="J423" s="1030"/>
      <c r="K423" s="1030"/>
      <c r="L423" s="1030"/>
      <c r="M423" s="1030"/>
      <c r="N423" s="1030"/>
      <c r="O423" s="1030"/>
      <c r="P423" s="1030"/>
      <c r="Q423" s="1030"/>
      <c r="R423" s="1030"/>
      <c r="S423" s="1030"/>
      <c r="T423" s="1030"/>
      <c r="U423" s="1030"/>
      <c r="V423" s="1030"/>
      <c r="W423" s="1030"/>
      <c r="X423" s="1030"/>
      <c r="Y423" s="1030"/>
      <c r="Z423" s="1030"/>
    </row>
    <row r="424" spans="1:26" ht="12.75" customHeight="1">
      <c r="A424" s="1030"/>
      <c r="B424" s="1030"/>
      <c r="C424" s="1030"/>
      <c r="D424" s="1030"/>
      <c r="E424" s="1030"/>
      <c r="F424" s="1030"/>
      <c r="G424" s="1030"/>
      <c r="H424" s="1186"/>
      <c r="I424" s="1030"/>
      <c r="J424" s="1030"/>
      <c r="K424" s="1030"/>
      <c r="L424" s="1030"/>
      <c r="M424" s="1030"/>
      <c r="N424" s="1030"/>
      <c r="O424" s="1030"/>
      <c r="P424" s="1030"/>
      <c r="Q424" s="1030"/>
      <c r="R424" s="1030"/>
      <c r="S424" s="1030"/>
      <c r="T424" s="1030"/>
      <c r="U424" s="1030"/>
      <c r="V424" s="1030"/>
      <c r="W424" s="1030"/>
      <c r="X424" s="1030"/>
      <c r="Y424" s="1030"/>
      <c r="Z424" s="1030"/>
    </row>
    <row r="425" spans="1:26" ht="12.75" customHeight="1">
      <c r="A425" s="1030"/>
      <c r="B425" s="1030"/>
      <c r="C425" s="1030"/>
      <c r="D425" s="1030"/>
      <c r="E425" s="1030"/>
      <c r="F425" s="1030"/>
      <c r="G425" s="1030"/>
      <c r="H425" s="1186"/>
      <c r="I425" s="1030"/>
      <c r="J425" s="1030"/>
      <c r="K425" s="1030"/>
      <c r="L425" s="1030"/>
      <c r="M425" s="1030"/>
      <c r="N425" s="1030"/>
      <c r="O425" s="1030"/>
      <c r="P425" s="1030"/>
      <c r="Q425" s="1030"/>
      <c r="R425" s="1030"/>
      <c r="S425" s="1030"/>
      <c r="T425" s="1030"/>
      <c r="U425" s="1030"/>
      <c r="V425" s="1030"/>
      <c r="W425" s="1030"/>
      <c r="X425" s="1030"/>
      <c r="Y425" s="1030"/>
      <c r="Z425" s="1030"/>
    </row>
    <row r="426" spans="1:26" ht="12.75" customHeight="1">
      <c r="A426" s="1030"/>
      <c r="B426" s="1030"/>
      <c r="C426" s="1030"/>
      <c r="D426" s="1030"/>
      <c r="E426" s="1030"/>
      <c r="F426" s="1030"/>
      <c r="G426" s="1030"/>
      <c r="H426" s="1186"/>
      <c r="I426" s="1030"/>
      <c r="J426" s="1030"/>
      <c r="K426" s="1030"/>
      <c r="L426" s="1030"/>
      <c r="M426" s="1030"/>
      <c r="N426" s="1030"/>
      <c r="O426" s="1030"/>
      <c r="P426" s="1030"/>
      <c r="Q426" s="1030"/>
      <c r="R426" s="1030"/>
      <c r="S426" s="1030"/>
      <c r="T426" s="1030"/>
      <c r="U426" s="1030"/>
      <c r="V426" s="1030"/>
      <c r="W426" s="1030"/>
      <c r="X426" s="1030"/>
      <c r="Y426" s="1030"/>
      <c r="Z426" s="1030"/>
    </row>
    <row r="427" spans="1:26" ht="12.75" customHeight="1">
      <c r="A427" s="1030"/>
      <c r="B427" s="1030"/>
      <c r="C427" s="1030"/>
      <c r="D427" s="1030"/>
      <c r="E427" s="1030"/>
      <c r="F427" s="1030"/>
      <c r="G427" s="1030"/>
      <c r="H427" s="1186"/>
      <c r="I427" s="1030"/>
      <c r="J427" s="1030"/>
      <c r="K427" s="1030"/>
      <c r="L427" s="1030"/>
      <c r="M427" s="1030"/>
      <c r="N427" s="1030"/>
      <c r="O427" s="1030"/>
      <c r="P427" s="1030"/>
      <c r="Q427" s="1030"/>
      <c r="R427" s="1030"/>
      <c r="S427" s="1030"/>
      <c r="T427" s="1030"/>
      <c r="U427" s="1030"/>
      <c r="V427" s="1030"/>
      <c r="W427" s="1030"/>
      <c r="X427" s="1030"/>
      <c r="Y427" s="1030"/>
      <c r="Z427" s="1030"/>
    </row>
    <row r="428" spans="1:26" ht="12.75" customHeight="1">
      <c r="A428" s="1030"/>
      <c r="B428" s="1030"/>
      <c r="C428" s="1030"/>
      <c r="D428" s="1030"/>
      <c r="E428" s="1030"/>
      <c r="F428" s="1030"/>
      <c r="G428" s="1030"/>
      <c r="H428" s="1186"/>
      <c r="I428" s="1030"/>
      <c r="J428" s="1030"/>
      <c r="K428" s="1030"/>
      <c r="L428" s="1030"/>
      <c r="M428" s="1030"/>
      <c r="N428" s="1030"/>
      <c r="O428" s="1030"/>
      <c r="P428" s="1030"/>
      <c r="Q428" s="1030"/>
      <c r="R428" s="1030"/>
      <c r="S428" s="1030"/>
      <c r="T428" s="1030"/>
      <c r="U428" s="1030"/>
      <c r="V428" s="1030"/>
      <c r="W428" s="1030"/>
      <c r="X428" s="1030"/>
      <c r="Y428" s="1030"/>
      <c r="Z428" s="1030"/>
    </row>
    <row r="429" spans="1:26" ht="12.75" customHeight="1">
      <c r="A429" s="1030"/>
      <c r="B429" s="1030"/>
      <c r="C429" s="1030"/>
      <c r="D429" s="1030"/>
      <c r="E429" s="1030"/>
      <c r="F429" s="1030"/>
      <c r="G429" s="1030"/>
      <c r="H429" s="1186"/>
      <c r="I429" s="1030"/>
      <c r="J429" s="1030"/>
      <c r="K429" s="1030"/>
      <c r="L429" s="1030"/>
      <c r="M429" s="1030"/>
      <c r="N429" s="1030"/>
      <c r="O429" s="1030"/>
      <c r="P429" s="1030"/>
      <c r="Q429" s="1030"/>
      <c r="R429" s="1030"/>
      <c r="S429" s="1030"/>
      <c r="T429" s="1030"/>
      <c r="U429" s="1030"/>
      <c r="V429" s="1030"/>
      <c r="W429" s="1030"/>
      <c r="X429" s="1030"/>
      <c r="Y429" s="1030"/>
      <c r="Z429" s="1030"/>
    </row>
    <row r="430" spans="1:26" ht="12.75" customHeight="1">
      <c r="A430" s="1030"/>
      <c r="B430" s="1030"/>
      <c r="C430" s="1030"/>
      <c r="D430" s="1030"/>
      <c r="E430" s="1030"/>
      <c r="F430" s="1030"/>
      <c r="G430" s="1030"/>
      <c r="H430" s="1186"/>
      <c r="I430" s="1030"/>
      <c r="J430" s="1030"/>
      <c r="K430" s="1030"/>
      <c r="L430" s="1030"/>
      <c r="M430" s="1030"/>
      <c r="N430" s="1030"/>
      <c r="O430" s="1030"/>
      <c r="P430" s="1030"/>
      <c r="Q430" s="1030"/>
      <c r="R430" s="1030"/>
      <c r="S430" s="1030"/>
      <c r="T430" s="1030"/>
      <c r="U430" s="1030"/>
      <c r="V430" s="1030"/>
      <c r="W430" s="1030"/>
      <c r="X430" s="1030"/>
      <c r="Y430" s="1030"/>
      <c r="Z430" s="1030"/>
    </row>
    <row r="431" spans="1:26" ht="12.75" customHeight="1">
      <c r="A431" s="1030"/>
      <c r="B431" s="1030"/>
      <c r="C431" s="1030"/>
      <c r="D431" s="1030"/>
      <c r="E431" s="1030"/>
      <c r="F431" s="1030"/>
      <c r="G431" s="1030"/>
      <c r="H431" s="1186"/>
      <c r="I431" s="1030"/>
      <c r="J431" s="1030"/>
      <c r="K431" s="1030"/>
      <c r="L431" s="1030"/>
      <c r="M431" s="1030"/>
      <c r="N431" s="1030"/>
      <c r="O431" s="1030"/>
      <c r="P431" s="1030"/>
      <c r="Q431" s="1030"/>
      <c r="R431" s="1030"/>
      <c r="S431" s="1030"/>
      <c r="T431" s="1030"/>
      <c r="U431" s="1030"/>
      <c r="V431" s="1030"/>
      <c r="W431" s="1030"/>
      <c r="X431" s="1030"/>
      <c r="Y431" s="1030"/>
      <c r="Z431" s="1030"/>
    </row>
    <row r="432" spans="1:26" ht="12.75" customHeight="1">
      <c r="A432" s="1030"/>
      <c r="B432" s="1030"/>
      <c r="C432" s="1030"/>
      <c r="D432" s="1030"/>
      <c r="E432" s="1030"/>
      <c r="F432" s="1030"/>
      <c r="G432" s="1030"/>
      <c r="H432" s="1186"/>
      <c r="I432" s="1030"/>
      <c r="J432" s="1030"/>
      <c r="K432" s="1030"/>
      <c r="L432" s="1030"/>
      <c r="M432" s="1030"/>
      <c r="N432" s="1030"/>
      <c r="O432" s="1030"/>
      <c r="P432" s="1030"/>
      <c r="Q432" s="1030"/>
      <c r="R432" s="1030"/>
      <c r="S432" s="1030"/>
      <c r="T432" s="1030"/>
      <c r="U432" s="1030"/>
      <c r="V432" s="1030"/>
      <c r="W432" s="1030"/>
      <c r="X432" s="1030"/>
      <c r="Y432" s="1030"/>
      <c r="Z432" s="1030"/>
    </row>
    <row r="433" spans="1:26" ht="12.75" customHeight="1">
      <c r="A433" s="1030"/>
      <c r="B433" s="1030"/>
      <c r="C433" s="1030"/>
      <c r="D433" s="1030"/>
      <c r="E433" s="1030"/>
      <c r="F433" s="1030"/>
      <c r="G433" s="1030"/>
      <c r="H433" s="1186"/>
      <c r="I433" s="1030"/>
      <c r="J433" s="1030"/>
      <c r="K433" s="1030"/>
      <c r="L433" s="1030"/>
      <c r="M433" s="1030"/>
      <c r="N433" s="1030"/>
      <c r="O433" s="1030"/>
      <c r="P433" s="1030"/>
      <c r="Q433" s="1030"/>
      <c r="R433" s="1030"/>
      <c r="S433" s="1030"/>
      <c r="T433" s="1030"/>
      <c r="U433" s="1030"/>
      <c r="V433" s="1030"/>
      <c r="W433" s="1030"/>
      <c r="X433" s="1030"/>
      <c r="Y433" s="1030"/>
      <c r="Z433" s="1030"/>
    </row>
    <row r="434" spans="1:26" ht="12.75" customHeight="1">
      <c r="A434" s="1030"/>
      <c r="B434" s="1030"/>
      <c r="C434" s="1030"/>
      <c r="D434" s="1030"/>
      <c r="E434" s="1030"/>
      <c r="F434" s="1030"/>
      <c r="G434" s="1030"/>
      <c r="H434" s="1186"/>
      <c r="I434" s="1030"/>
      <c r="J434" s="1030"/>
      <c r="K434" s="1030"/>
      <c r="L434" s="1030"/>
      <c r="M434" s="1030"/>
      <c r="N434" s="1030"/>
      <c r="O434" s="1030"/>
      <c r="P434" s="1030"/>
      <c r="Q434" s="1030"/>
      <c r="R434" s="1030"/>
      <c r="S434" s="1030"/>
      <c r="T434" s="1030"/>
      <c r="U434" s="1030"/>
      <c r="V434" s="1030"/>
      <c r="W434" s="1030"/>
      <c r="X434" s="1030"/>
      <c r="Y434" s="1030"/>
      <c r="Z434" s="1030"/>
    </row>
    <row r="435" spans="1:26" ht="12.75" customHeight="1">
      <c r="A435" s="1030"/>
      <c r="B435" s="1030"/>
      <c r="C435" s="1030"/>
      <c r="D435" s="1030"/>
      <c r="E435" s="1030"/>
      <c r="F435" s="1030"/>
      <c r="G435" s="1030"/>
      <c r="H435" s="1186"/>
      <c r="I435" s="1030"/>
      <c r="J435" s="1030"/>
      <c r="K435" s="1030"/>
      <c r="L435" s="1030"/>
      <c r="M435" s="1030"/>
      <c r="N435" s="1030"/>
      <c r="O435" s="1030"/>
      <c r="P435" s="1030"/>
      <c r="Q435" s="1030"/>
      <c r="R435" s="1030"/>
      <c r="S435" s="1030"/>
      <c r="T435" s="1030"/>
      <c r="U435" s="1030"/>
      <c r="V435" s="1030"/>
      <c r="W435" s="1030"/>
      <c r="X435" s="1030"/>
      <c r="Y435" s="1030"/>
      <c r="Z435" s="1030"/>
    </row>
    <row r="436" spans="1:26" ht="12.75" customHeight="1">
      <c r="A436" s="1030"/>
      <c r="B436" s="1030"/>
      <c r="C436" s="1030"/>
      <c r="D436" s="1030"/>
      <c r="E436" s="1030"/>
      <c r="F436" s="1030"/>
      <c r="G436" s="1030"/>
      <c r="H436" s="1186"/>
      <c r="I436" s="1030"/>
      <c r="J436" s="1030"/>
      <c r="K436" s="1030"/>
      <c r="L436" s="1030"/>
      <c r="M436" s="1030"/>
      <c r="N436" s="1030"/>
      <c r="O436" s="1030"/>
      <c r="P436" s="1030"/>
      <c r="Q436" s="1030"/>
      <c r="R436" s="1030"/>
      <c r="S436" s="1030"/>
      <c r="T436" s="1030"/>
      <c r="U436" s="1030"/>
      <c r="V436" s="1030"/>
      <c r="W436" s="1030"/>
      <c r="X436" s="1030"/>
      <c r="Y436" s="1030"/>
      <c r="Z436" s="1030"/>
    </row>
    <row r="437" spans="1:26" ht="12.75" customHeight="1">
      <c r="A437" s="1030"/>
      <c r="B437" s="1030"/>
      <c r="C437" s="1030"/>
      <c r="D437" s="1030"/>
      <c r="E437" s="1030"/>
      <c r="F437" s="1030"/>
      <c r="G437" s="1030"/>
      <c r="H437" s="1186"/>
      <c r="I437" s="1030"/>
      <c r="J437" s="1030"/>
      <c r="K437" s="1030"/>
      <c r="L437" s="1030"/>
      <c r="M437" s="1030"/>
      <c r="N437" s="1030"/>
      <c r="O437" s="1030"/>
      <c r="P437" s="1030"/>
      <c r="Q437" s="1030"/>
      <c r="R437" s="1030"/>
      <c r="S437" s="1030"/>
      <c r="T437" s="1030"/>
      <c r="U437" s="1030"/>
      <c r="V437" s="1030"/>
      <c r="W437" s="1030"/>
      <c r="X437" s="1030"/>
      <c r="Y437" s="1030"/>
      <c r="Z437" s="1030"/>
    </row>
    <row r="438" spans="1:26" ht="12.75" customHeight="1">
      <c r="A438" s="1030"/>
      <c r="B438" s="1030"/>
      <c r="C438" s="1030"/>
      <c r="D438" s="1030"/>
      <c r="E438" s="1030"/>
      <c r="F438" s="1030"/>
      <c r="G438" s="1030"/>
      <c r="H438" s="1186"/>
      <c r="I438" s="1030"/>
      <c r="J438" s="1030"/>
      <c r="K438" s="1030"/>
      <c r="L438" s="1030"/>
      <c r="M438" s="1030"/>
      <c r="N438" s="1030"/>
      <c r="O438" s="1030"/>
      <c r="P438" s="1030"/>
      <c r="Q438" s="1030"/>
      <c r="R438" s="1030"/>
      <c r="S438" s="1030"/>
      <c r="T438" s="1030"/>
      <c r="U438" s="1030"/>
      <c r="V438" s="1030"/>
      <c r="W438" s="1030"/>
      <c r="X438" s="1030"/>
      <c r="Y438" s="1030"/>
      <c r="Z438" s="1030"/>
    </row>
    <row r="439" spans="1:26" ht="12.75" customHeight="1">
      <c r="A439" s="1030"/>
      <c r="B439" s="1030"/>
      <c r="C439" s="1030"/>
      <c r="D439" s="1030"/>
      <c r="E439" s="1030"/>
      <c r="F439" s="1030"/>
      <c r="G439" s="1030"/>
      <c r="H439" s="1186"/>
      <c r="I439" s="1030"/>
      <c r="J439" s="1030"/>
      <c r="K439" s="1030"/>
      <c r="L439" s="1030"/>
      <c r="M439" s="1030"/>
      <c r="N439" s="1030"/>
      <c r="O439" s="1030"/>
      <c r="P439" s="1030"/>
      <c r="Q439" s="1030"/>
      <c r="R439" s="1030"/>
      <c r="S439" s="1030"/>
      <c r="T439" s="1030"/>
      <c r="U439" s="1030"/>
      <c r="V439" s="1030"/>
      <c r="W439" s="1030"/>
      <c r="X439" s="1030"/>
      <c r="Y439" s="1030"/>
      <c r="Z439" s="1030"/>
    </row>
    <row r="440" spans="1:26" ht="12.75" customHeight="1">
      <c r="A440" s="1030"/>
      <c r="B440" s="1030"/>
      <c r="C440" s="1030"/>
      <c r="D440" s="1030"/>
      <c r="E440" s="1030"/>
      <c r="F440" s="1030"/>
      <c r="G440" s="1030"/>
      <c r="H440" s="1186"/>
      <c r="I440" s="1030"/>
      <c r="J440" s="1030"/>
      <c r="K440" s="1030"/>
      <c r="L440" s="1030"/>
      <c r="M440" s="1030"/>
      <c r="N440" s="1030"/>
      <c r="O440" s="1030"/>
      <c r="P440" s="1030"/>
      <c r="Q440" s="1030"/>
      <c r="R440" s="1030"/>
      <c r="S440" s="1030"/>
      <c r="T440" s="1030"/>
      <c r="U440" s="1030"/>
      <c r="V440" s="1030"/>
      <c r="W440" s="1030"/>
      <c r="X440" s="1030"/>
      <c r="Y440" s="1030"/>
      <c r="Z440" s="1030"/>
    </row>
    <row r="441" spans="1:26" ht="12.75" customHeight="1">
      <c r="A441" s="1030"/>
      <c r="B441" s="1030"/>
      <c r="C441" s="1030"/>
      <c r="D441" s="1030"/>
      <c r="E441" s="1030"/>
      <c r="F441" s="1030"/>
      <c r="G441" s="1030"/>
      <c r="H441" s="1186"/>
      <c r="I441" s="1030"/>
      <c r="J441" s="1030"/>
      <c r="K441" s="1030"/>
      <c r="L441" s="1030"/>
      <c r="M441" s="1030"/>
      <c r="N441" s="1030"/>
      <c r="O441" s="1030"/>
      <c r="P441" s="1030"/>
      <c r="Q441" s="1030"/>
      <c r="R441" s="1030"/>
      <c r="S441" s="1030"/>
      <c r="T441" s="1030"/>
      <c r="U441" s="1030"/>
      <c r="V441" s="1030"/>
      <c r="W441" s="1030"/>
      <c r="X441" s="1030"/>
      <c r="Y441" s="1030"/>
      <c r="Z441" s="1030"/>
    </row>
    <row r="442" spans="1:26" ht="12.75" customHeight="1">
      <c r="A442" s="1030"/>
      <c r="B442" s="1030"/>
      <c r="C442" s="1030"/>
      <c r="D442" s="1030"/>
      <c r="E442" s="1030"/>
      <c r="F442" s="1030"/>
      <c r="G442" s="1030"/>
      <c r="H442" s="1186"/>
      <c r="I442" s="1030"/>
      <c r="J442" s="1030"/>
      <c r="K442" s="1030"/>
      <c r="L442" s="1030"/>
      <c r="M442" s="1030"/>
      <c r="N442" s="1030"/>
      <c r="O442" s="1030"/>
      <c r="P442" s="1030"/>
      <c r="Q442" s="1030"/>
      <c r="R442" s="1030"/>
      <c r="S442" s="1030"/>
      <c r="T442" s="1030"/>
      <c r="U442" s="1030"/>
      <c r="V442" s="1030"/>
      <c r="W442" s="1030"/>
      <c r="X442" s="1030"/>
      <c r="Y442" s="1030"/>
      <c r="Z442" s="1030"/>
    </row>
    <row r="443" spans="1:26" ht="12.75" customHeight="1">
      <c r="A443" s="1030"/>
      <c r="B443" s="1030"/>
      <c r="C443" s="1030"/>
      <c r="D443" s="1030"/>
      <c r="E443" s="1030"/>
      <c r="F443" s="1030"/>
      <c r="G443" s="1030"/>
      <c r="H443" s="1186"/>
      <c r="I443" s="1030"/>
      <c r="J443" s="1030"/>
      <c r="K443" s="1030"/>
      <c r="L443" s="1030"/>
      <c r="M443" s="1030"/>
      <c r="N443" s="1030"/>
      <c r="O443" s="1030"/>
      <c r="P443" s="1030"/>
      <c r="Q443" s="1030"/>
      <c r="R443" s="1030"/>
      <c r="S443" s="1030"/>
      <c r="T443" s="1030"/>
      <c r="U443" s="1030"/>
      <c r="V443" s="1030"/>
      <c r="W443" s="1030"/>
      <c r="X443" s="1030"/>
      <c r="Y443" s="1030"/>
      <c r="Z443" s="1030"/>
    </row>
    <row r="444" spans="1:26" ht="12.75" customHeight="1">
      <c r="A444" s="1030"/>
      <c r="B444" s="1030"/>
      <c r="C444" s="1030"/>
      <c r="D444" s="1030"/>
      <c r="E444" s="1030"/>
      <c r="F444" s="1030"/>
      <c r="G444" s="1030"/>
      <c r="H444" s="1186"/>
      <c r="I444" s="1030"/>
      <c r="J444" s="1030"/>
      <c r="K444" s="1030"/>
      <c r="L444" s="1030"/>
      <c r="M444" s="1030"/>
      <c r="N444" s="1030"/>
      <c r="O444" s="1030"/>
      <c r="P444" s="1030"/>
      <c r="Q444" s="1030"/>
      <c r="R444" s="1030"/>
      <c r="S444" s="1030"/>
      <c r="T444" s="1030"/>
      <c r="U444" s="1030"/>
      <c r="V444" s="1030"/>
      <c r="W444" s="1030"/>
      <c r="X444" s="1030"/>
      <c r="Y444" s="1030"/>
      <c r="Z444" s="1030"/>
    </row>
    <row r="445" spans="1:26" ht="12.75" customHeight="1">
      <c r="A445" s="1030"/>
      <c r="B445" s="1030"/>
      <c r="C445" s="1030"/>
      <c r="D445" s="1030"/>
      <c r="E445" s="1030"/>
      <c r="F445" s="1030"/>
      <c r="G445" s="1030"/>
      <c r="H445" s="1186"/>
      <c r="I445" s="1030"/>
      <c r="J445" s="1030"/>
      <c r="K445" s="1030"/>
      <c r="L445" s="1030"/>
      <c r="M445" s="1030"/>
      <c r="N445" s="1030"/>
      <c r="O445" s="1030"/>
      <c r="P445" s="1030"/>
      <c r="Q445" s="1030"/>
      <c r="R445" s="1030"/>
      <c r="S445" s="1030"/>
      <c r="T445" s="1030"/>
      <c r="U445" s="1030"/>
      <c r="V445" s="1030"/>
      <c r="W445" s="1030"/>
      <c r="X445" s="1030"/>
      <c r="Y445" s="1030"/>
      <c r="Z445" s="1030"/>
    </row>
    <row r="446" spans="1:26" ht="12.75" customHeight="1">
      <c r="A446" s="1030"/>
      <c r="B446" s="1030"/>
      <c r="C446" s="1030"/>
      <c r="D446" s="1030"/>
      <c r="E446" s="1030"/>
      <c r="F446" s="1030"/>
      <c r="G446" s="1030"/>
      <c r="H446" s="1186"/>
      <c r="I446" s="1030"/>
      <c r="J446" s="1030"/>
      <c r="K446" s="1030"/>
      <c r="L446" s="1030"/>
      <c r="M446" s="1030"/>
      <c r="N446" s="1030"/>
      <c r="O446" s="1030"/>
      <c r="P446" s="1030"/>
      <c r="Q446" s="1030"/>
      <c r="R446" s="1030"/>
      <c r="S446" s="1030"/>
      <c r="T446" s="1030"/>
      <c r="U446" s="1030"/>
      <c r="V446" s="1030"/>
      <c r="W446" s="1030"/>
      <c r="X446" s="1030"/>
      <c r="Y446" s="1030"/>
      <c r="Z446" s="1030"/>
    </row>
    <row r="447" spans="1:26" ht="12.75" customHeight="1">
      <c r="A447" s="1030"/>
      <c r="B447" s="1030"/>
      <c r="C447" s="1030"/>
      <c r="D447" s="1030"/>
      <c r="E447" s="1030"/>
      <c r="F447" s="1030"/>
      <c r="G447" s="1030"/>
      <c r="H447" s="1186"/>
      <c r="I447" s="1030"/>
      <c r="J447" s="1030"/>
      <c r="K447" s="1030"/>
      <c r="L447" s="1030"/>
      <c r="M447" s="1030"/>
      <c r="N447" s="1030"/>
      <c r="O447" s="1030"/>
      <c r="P447" s="1030"/>
      <c r="Q447" s="1030"/>
      <c r="R447" s="1030"/>
      <c r="S447" s="1030"/>
      <c r="T447" s="1030"/>
      <c r="U447" s="1030"/>
      <c r="V447" s="1030"/>
      <c r="W447" s="1030"/>
      <c r="X447" s="1030"/>
      <c r="Y447" s="1030"/>
      <c r="Z447" s="1030"/>
    </row>
    <row r="448" spans="1:26" ht="12.75" customHeight="1">
      <c r="A448" s="1030"/>
      <c r="B448" s="1030"/>
      <c r="C448" s="1030"/>
      <c r="D448" s="1030"/>
      <c r="E448" s="1030"/>
      <c r="F448" s="1030"/>
      <c r="G448" s="1030"/>
      <c r="H448" s="1186"/>
      <c r="I448" s="1030"/>
      <c r="J448" s="1030"/>
      <c r="K448" s="1030"/>
      <c r="L448" s="1030"/>
      <c r="M448" s="1030"/>
      <c r="N448" s="1030"/>
      <c r="O448" s="1030"/>
      <c r="P448" s="1030"/>
      <c r="Q448" s="1030"/>
      <c r="R448" s="1030"/>
      <c r="S448" s="1030"/>
      <c r="T448" s="1030"/>
      <c r="U448" s="1030"/>
      <c r="V448" s="1030"/>
      <c r="W448" s="1030"/>
      <c r="X448" s="1030"/>
      <c r="Y448" s="1030"/>
      <c r="Z448" s="1030"/>
    </row>
    <row r="449" spans="1:26" ht="12.75" customHeight="1">
      <c r="A449" s="1030"/>
      <c r="B449" s="1030"/>
      <c r="C449" s="1030"/>
      <c r="D449" s="1030"/>
      <c r="E449" s="1030"/>
      <c r="F449" s="1030"/>
      <c r="G449" s="1030"/>
      <c r="H449" s="1186"/>
      <c r="I449" s="1030"/>
      <c r="J449" s="1030"/>
      <c r="K449" s="1030"/>
      <c r="L449" s="1030"/>
      <c r="M449" s="1030"/>
      <c r="N449" s="1030"/>
      <c r="O449" s="1030"/>
      <c r="P449" s="1030"/>
      <c r="Q449" s="1030"/>
      <c r="R449" s="1030"/>
      <c r="S449" s="1030"/>
      <c r="T449" s="1030"/>
      <c r="U449" s="1030"/>
      <c r="V449" s="1030"/>
      <c r="W449" s="1030"/>
      <c r="X449" s="1030"/>
      <c r="Y449" s="1030"/>
      <c r="Z449" s="1030"/>
    </row>
    <row r="450" spans="1:26" ht="12.75" customHeight="1">
      <c r="A450" s="1030"/>
      <c r="B450" s="1030"/>
      <c r="C450" s="1030"/>
      <c r="D450" s="1030"/>
      <c r="E450" s="1030"/>
      <c r="F450" s="1030"/>
      <c r="G450" s="1030"/>
      <c r="H450" s="1186"/>
      <c r="I450" s="1030"/>
      <c r="J450" s="1030"/>
      <c r="K450" s="1030"/>
      <c r="L450" s="1030"/>
      <c r="M450" s="1030"/>
      <c r="N450" s="1030"/>
      <c r="O450" s="1030"/>
      <c r="P450" s="1030"/>
      <c r="Q450" s="1030"/>
      <c r="R450" s="1030"/>
      <c r="S450" s="1030"/>
      <c r="T450" s="1030"/>
      <c r="U450" s="1030"/>
      <c r="V450" s="1030"/>
      <c r="W450" s="1030"/>
      <c r="X450" s="1030"/>
      <c r="Y450" s="1030"/>
      <c r="Z450" s="1030"/>
    </row>
    <row r="451" spans="1:26" ht="12.75" customHeight="1">
      <c r="A451" s="1030"/>
      <c r="B451" s="1030"/>
      <c r="C451" s="1030"/>
      <c r="D451" s="1030"/>
      <c r="E451" s="1030"/>
      <c r="F451" s="1030"/>
      <c r="G451" s="1030"/>
      <c r="H451" s="1186"/>
      <c r="I451" s="1030"/>
      <c r="J451" s="1030"/>
      <c r="K451" s="1030"/>
      <c r="L451" s="1030"/>
      <c r="M451" s="1030"/>
      <c r="N451" s="1030"/>
      <c r="O451" s="1030"/>
      <c r="P451" s="1030"/>
      <c r="Q451" s="1030"/>
      <c r="R451" s="1030"/>
      <c r="S451" s="1030"/>
      <c r="T451" s="1030"/>
      <c r="U451" s="1030"/>
      <c r="V451" s="1030"/>
      <c r="W451" s="1030"/>
      <c r="X451" s="1030"/>
      <c r="Y451" s="1030"/>
      <c r="Z451" s="1030"/>
    </row>
    <row r="452" spans="1:26" ht="12.75" customHeight="1">
      <c r="A452" s="1030"/>
      <c r="B452" s="1030"/>
      <c r="C452" s="1030"/>
      <c r="D452" s="1030"/>
      <c r="E452" s="1030"/>
      <c r="F452" s="1030"/>
      <c r="G452" s="1030"/>
      <c r="H452" s="1186"/>
      <c r="I452" s="1030"/>
      <c r="J452" s="1030"/>
      <c r="K452" s="1030"/>
      <c r="L452" s="1030"/>
      <c r="M452" s="1030"/>
      <c r="N452" s="1030"/>
      <c r="O452" s="1030"/>
      <c r="P452" s="1030"/>
      <c r="Q452" s="1030"/>
      <c r="R452" s="1030"/>
      <c r="S452" s="1030"/>
      <c r="T452" s="1030"/>
      <c r="U452" s="1030"/>
      <c r="V452" s="1030"/>
      <c r="W452" s="1030"/>
      <c r="X452" s="1030"/>
      <c r="Y452" s="1030"/>
      <c r="Z452" s="1030"/>
    </row>
    <row r="453" spans="1:26" ht="12.75" customHeight="1">
      <c r="A453" s="1030"/>
      <c r="B453" s="1030"/>
      <c r="C453" s="1030"/>
      <c r="D453" s="1030"/>
      <c r="E453" s="1030"/>
      <c r="F453" s="1030"/>
      <c r="G453" s="1030"/>
      <c r="H453" s="1186"/>
      <c r="I453" s="1030"/>
      <c r="J453" s="1030"/>
      <c r="K453" s="1030"/>
      <c r="L453" s="1030"/>
      <c r="M453" s="1030"/>
      <c r="N453" s="1030"/>
      <c r="O453" s="1030"/>
      <c r="P453" s="1030"/>
      <c r="Q453" s="1030"/>
      <c r="R453" s="1030"/>
      <c r="S453" s="1030"/>
      <c r="T453" s="1030"/>
      <c r="U453" s="1030"/>
      <c r="V453" s="1030"/>
      <c r="W453" s="1030"/>
      <c r="X453" s="1030"/>
      <c r="Y453" s="1030"/>
      <c r="Z453" s="1030"/>
    </row>
    <row r="454" spans="1:26" ht="12.75" customHeight="1">
      <c r="A454" s="1030"/>
      <c r="B454" s="1030"/>
      <c r="C454" s="1030"/>
      <c r="D454" s="1030"/>
      <c r="E454" s="1030"/>
      <c r="F454" s="1030"/>
      <c r="G454" s="1030"/>
      <c r="H454" s="1186"/>
      <c r="I454" s="1030"/>
      <c r="J454" s="1030"/>
      <c r="K454" s="1030"/>
      <c r="L454" s="1030"/>
      <c r="M454" s="1030"/>
      <c r="N454" s="1030"/>
      <c r="O454" s="1030"/>
      <c r="P454" s="1030"/>
      <c r="Q454" s="1030"/>
      <c r="R454" s="1030"/>
      <c r="S454" s="1030"/>
      <c r="T454" s="1030"/>
      <c r="U454" s="1030"/>
      <c r="V454" s="1030"/>
      <c r="W454" s="1030"/>
      <c r="X454" s="1030"/>
      <c r="Y454" s="1030"/>
      <c r="Z454" s="1030"/>
    </row>
    <row r="455" spans="1:26" ht="12.75" customHeight="1">
      <c r="A455" s="1030"/>
      <c r="B455" s="1030"/>
      <c r="C455" s="1030"/>
      <c r="D455" s="1030"/>
      <c r="E455" s="1030"/>
      <c r="F455" s="1030"/>
      <c r="G455" s="1030"/>
      <c r="H455" s="1186"/>
      <c r="I455" s="1030"/>
      <c r="J455" s="1030"/>
      <c r="K455" s="1030"/>
      <c r="L455" s="1030"/>
      <c r="M455" s="1030"/>
      <c r="N455" s="1030"/>
      <c r="O455" s="1030"/>
      <c r="P455" s="1030"/>
      <c r="Q455" s="1030"/>
      <c r="R455" s="1030"/>
      <c r="S455" s="1030"/>
      <c r="T455" s="1030"/>
      <c r="U455" s="1030"/>
      <c r="V455" s="1030"/>
      <c r="W455" s="1030"/>
      <c r="X455" s="1030"/>
      <c r="Y455" s="1030"/>
      <c r="Z455" s="1030"/>
    </row>
    <row r="456" spans="1:26" ht="12.75" customHeight="1">
      <c r="A456" s="1030"/>
      <c r="B456" s="1030"/>
      <c r="C456" s="1030"/>
      <c r="D456" s="1030"/>
      <c r="E456" s="1030"/>
      <c r="F456" s="1030"/>
      <c r="G456" s="1030"/>
      <c r="H456" s="1186"/>
      <c r="I456" s="1030"/>
      <c r="J456" s="1030"/>
      <c r="K456" s="1030"/>
      <c r="L456" s="1030"/>
      <c r="M456" s="1030"/>
      <c r="N456" s="1030"/>
      <c r="O456" s="1030"/>
      <c r="P456" s="1030"/>
      <c r="Q456" s="1030"/>
      <c r="R456" s="1030"/>
      <c r="S456" s="1030"/>
      <c r="T456" s="1030"/>
      <c r="U456" s="1030"/>
      <c r="V456" s="1030"/>
      <c r="W456" s="1030"/>
      <c r="X456" s="1030"/>
      <c r="Y456" s="1030"/>
      <c r="Z456" s="1030"/>
    </row>
    <row r="457" spans="1:26" ht="12.75" customHeight="1">
      <c r="A457" s="1030"/>
      <c r="B457" s="1030"/>
      <c r="C457" s="1030"/>
      <c r="D457" s="1030"/>
      <c r="E457" s="1030"/>
      <c r="F457" s="1030"/>
      <c r="G457" s="1030"/>
      <c r="H457" s="1186"/>
      <c r="I457" s="1030"/>
      <c r="J457" s="1030"/>
      <c r="K457" s="1030"/>
      <c r="L457" s="1030"/>
      <c r="M457" s="1030"/>
      <c r="N457" s="1030"/>
      <c r="O457" s="1030"/>
      <c r="P457" s="1030"/>
      <c r="Q457" s="1030"/>
      <c r="R457" s="1030"/>
      <c r="S457" s="1030"/>
      <c r="T457" s="1030"/>
      <c r="U457" s="1030"/>
      <c r="V457" s="1030"/>
      <c r="W457" s="1030"/>
      <c r="X457" s="1030"/>
      <c r="Y457" s="1030"/>
      <c r="Z457" s="1030"/>
    </row>
    <row r="458" spans="1:26" ht="12.75" customHeight="1">
      <c r="A458" s="1030"/>
      <c r="B458" s="1030"/>
      <c r="C458" s="1030"/>
      <c r="D458" s="1030"/>
      <c r="E458" s="1030"/>
      <c r="F458" s="1030"/>
      <c r="G458" s="1030"/>
      <c r="H458" s="1186"/>
      <c r="I458" s="1030"/>
      <c r="J458" s="1030"/>
      <c r="K458" s="1030"/>
      <c r="L458" s="1030"/>
      <c r="M458" s="1030"/>
      <c r="N458" s="1030"/>
      <c r="O458" s="1030"/>
      <c r="P458" s="1030"/>
      <c r="Q458" s="1030"/>
      <c r="R458" s="1030"/>
      <c r="S458" s="1030"/>
      <c r="T458" s="1030"/>
      <c r="U458" s="1030"/>
      <c r="V458" s="1030"/>
      <c r="W458" s="1030"/>
      <c r="X458" s="1030"/>
      <c r="Y458" s="1030"/>
      <c r="Z458" s="1030"/>
    </row>
    <row r="459" spans="1:26" ht="12.75" customHeight="1">
      <c r="A459" s="1030"/>
      <c r="B459" s="1030"/>
      <c r="C459" s="1030"/>
      <c r="D459" s="1030"/>
      <c r="E459" s="1030"/>
      <c r="F459" s="1030"/>
      <c r="G459" s="1030"/>
      <c r="H459" s="1186"/>
      <c r="I459" s="1030"/>
      <c r="J459" s="1030"/>
      <c r="K459" s="1030"/>
      <c r="L459" s="1030"/>
      <c r="M459" s="1030"/>
      <c r="N459" s="1030"/>
      <c r="O459" s="1030"/>
      <c r="P459" s="1030"/>
      <c r="Q459" s="1030"/>
      <c r="R459" s="1030"/>
      <c r="S459" s="1030"/>
      <c r="T459" s="1030"/>
      <c r="U459" s="1030"/>
      <c r="V459" s="1030"/>
      <c r="W459" s="1030"/>
      <c r="X459" s="1030"/>
      <c r="Y459" s="1030"/>
      <c r="Z459" s="1030"/>
    </row>
    <row r="460" spans="1:26" ht="12.75" customHeight="1">
      <c r="A460" s="1030"/>
      <c r="B460" s="1030"/>
      <c r="C460" s="1030"/>
      <c r="D460" s="1030"/>
      <c r="E460" s="1030"/>
      <c r="F460" s="1030"/>
      <c r="G460" s="1030"/>
      <c r="H460" s="1186"/>
      <c r="I460" s="1030"/>
      <c r="J460" s="1030"/>
      <c r="K460" s="1030"/>
      <c r="L460" s="1030"/>
      <c r="M460" s="1030"/>
      <c r="N460" s="1030"/>
      <c r="O460" s="1030"/>
      <c r="P460" s="1030"/>
      <c r="Q460" s="1030"/>
      <c r="R460" s="1030"/>
      <c r="S460" s="1030"/>
      <c r="T460" s="1030"/>
      <c r="U460" s="1030"/>
      <c r="V460" s="1030"/>
      <c r="W460" s="1030"/>
      <c r="X460" s="1030"/>
      <c r="Y460" s="1030"/>
      <c r="Z460" s="1030"/>
    </row>
    <row r="461" spans="1:26" ht="12.75" customHeight="1">
      <c r="A461" s="1030"/>
      <c r="B461" s="1030"/>
      <c r="C461" s="1030"/>
      <c r="D461" s="1030"/>
      <c r="E461" s="1030"/>
      <c r="F461" s="1030"/>
      <c r="G461" s="1030"/>
      <c r="H461" s="1186"/>
      <c r="I461" s="1030"/>
      <c r="J461" s="1030"/>
      <c r="K461" s="1030"/>
      <c r="L461" s="1030"/>
      <c r="M461" s="1030"/>
      <c r="N461" s="1030"/>
      <c r="O461" s="1030"/>
      <c r="P461" s="1030"/>
      <c r="Q461" s="1030"/>
      <c r="R461" s="1030"/>
      <c r="S461" s="1030"/>
      <c r="T461" s="1030"/>
      <c r="U461" s="1030"/>
      <c r="V461" s="1030"/>
      <c r="W461" s="1030"/>
      <c r="X461" s="1030"/>
      <c r="Y461" s="1030"/>
      <c r="Z461" s="1030"/>
    </row>
    <row r="462" spans="1:26" ht="12.75" customHeight="1">
      <c r="A462" s="1030"/>
      <c r="B462" s="1030"/>
      <c r="C462" s="1030"/>
      <c r="D462" s="1030"/>
      <c r="E462" s="1030"/>
      <c r="F462" s="1030"/>
      <c r="G462" s="1030"/>
      <c r="H462" s="1186"/>
      <c r="I462" s="1030"/>
      <c r="J462" s="1030"/>
      <c r="K462" s="1030"/>
      <c r="L462" s="1030"/>
      <c r="M462" s="1030"/>
      <c r="N462" s="1030"/>
      <c r="O462" s="1030"/>
      <c r="P462" s="1030"/>
      <c r="Q462" s="1030"/>
      <c r="R462" s="1030"/>
      <c r="S462" s="1030"/>
      <c r="T462" s="1030"/>
      <c r="U462" s="1030"/>
      <c r="V462" s="1030"/>
      <c r="W462" s="1030"/>
      <c r="X462" s="1030"/>
      <c r="Y462" s="1030"/>
      <c r="Z462" s="1030"/>
    </row>
    <row r="463" spans="1:26" ht="12.75" customHeight="1">
      <c r="A463" s="1030"/>
      <c r="B463" s="1030"/>
      <c r="C463" s="1030"/>
      <c r="D463" s="1030"/>
      <c r="E463" s="1030"/>
      <c r="F463" s="1030"/>
      <c r="G463" s="1030"/>
      <c r="H463" s="1186"/>
      <c r="I463" s="1030"/>
      <c r="J463" s="1030"/>
      <c r="K463" s="1030"/>
      <c r="L463" s="1030"/>
      <c r="M463" s="1030"/>
      <c r="N463" s="1030"/>
      <c r="O463" s="1030"/>
      <c r="P463" s="1030"/>
      <c r="Q463" s="1030"/>
      <c r="R463" s="1030"/>
      <c r="S463" s="1030"/>
      <c r="T463" s="1030"/>
      <c r="U463" s="1030"/>
      <c r="V463" s="1030"/>
      <c r="W463" s="1030"/>
      <c r="X463" s="1030"/>
      <c r="Y463" s="1030"/>
      <c r="Z463" s="1030"/>
    </row>
    <row r="464" spans="1:26" ht="12.75" customHeight="1">
      <c r="A464" s="1030"/>
      <c r="B464" s="1030"/>
      <c r="C464" s="1030"/>
      <c r="D464" s="1030"/>
      <c r="E464" s="1030"/>
      <c r="F464" s="1030"/>
      <c r="G464" s="1030"/>
      <c r="H464" s="1186"/>
      <c r="I464" s="1030"/>
      <c r="J464" s="1030"/>
      <c r="K464" s="1030"/>
      <c r="L464" s="1030"/>
      <c r="M464" s="1030"/>
      <c r="N464" s="1030"/>
      <c r="O464" s="1030"/>
      <c r="P464" s="1030"/>
      <c r="Q464" s="1030"/>
      <c r="R464" s="1030"/>
      <c r="S464" s="1030"/>
      <c r="T464" s="1030"/>
      <c r="U464" s="1030"/>
      <c r="V464" s="1030"/>
      <c r="W464" s="1030"/>
      <c r="X464" s="1030"/>
      <c r="Y464" s="1030"/>
      <c r="Z464" s="1030"/>
    </row>
    <row r="465" spans="1:26" ht="12.75" customHeight="1">
      <c r="A465" s="1030"/>
      <c r="B465" s="1030"/>
      <c r="C465" s="1030"/>
      <c r="D465" s="1030"/>
      <c r="E465" s="1030"/>
      <c r="F465" s="1030"/>
      <c r="G465" s="1030"/>
      <c r="H465" s="1186"/>
      <c r="I465" s="1030"/>
      <c r="J465" s="1030"/>
      <c r="K465" s="1030"/>
      <c r="L465" s="1030"/>
      <c r="M465" s="1030"/>
      <c r="N465" s="1030"/>
      <c r="O465" s="1030"/>
      <c r="P465" s="1030"/>
      <c r="Q465" s="1030"/>
      <c r="R465" s="1030"/>
      <c r="S465" s="1030"/>
      <c r="T465" s="1030"/>
      <c r="U465" s="1030"/>
      <c r="V465" s="1030"/>
      <c r="W465" s="1030"/>
      <c r="X465" s="1030"/>
      <c r="Y465" s="1030"/>
      <c r="Z465" s="1030"/>
    </row>
    <row r="466" spans="1:26" ht="12.75" customHeight="1">
      <c r="A466" s="1030"/>
      <c r="B466" s="1030"/>
      <c r="C466" s="1030"/>
      <c r="D466" s="1030"/>
      <c r="E466" s="1030"/>
      <c r="F466" s="1030"/>
      <c r="G466" s="1030"/>
      <c r="H466" s="1186"/>
      <c r="I466" s="1030"/>
      <c r="J466" s="1030"/>
      <c r="K466" s="1030"/>
      <c r="L466" s="1030"/>
      <c r="M466" s="1030"/>
      <c r="N466" s="1030"/>
      <c r="O466" s="1030"/>
      <c r="P466" s="1030"/>
      <c r="Q466" s="1030"/>
      <c r="R466" s="1030"/>
      <c r="S466" s="1030"/>
      <c r="T466" s="1030"/>
      <c r="U466" s="1030"/>
      <c r="V466" s="1030"/>
      <c r="W466" s="1030"/>
      <c r="X466" s="1030"/>
      <c r="Y466" s="1030"/>
      <c r="Z466" s="1030"/>
    </row>
    <row r="467" spans="1:26" ht="15.75" customHeight="1">
      <c r="A467" s="937"/>
      <c r="B467" s="1030"/>
      <c r="C467" s="1030"/>
      <c r="D467" s="1030"/>
      <c r="E467" s="1030"/>
      <c r="F467" s="1030"/>
      <c r="G467" s="1030"/>
      <c r="H467" s="1186"/>
      <c r="I467" s="1030"/>
      <c r="J467" s="1030"/>
      <c r="K467" s="1030"/>
      <c r="L467" s="937"/>
      <c r="M467" s="937"/>
      <c r="N467" s="937"/>
      <c r="O467" s="937"/>
      <c r="P467" s="937"/>
      <c r="Q467" s="937"/>
      <c r="R467" s="937"/>
      <c r="S467" s="937"/>
      <c r="T467" s="937"/>
      <c r="U467" s="937"/>
      <c r="V467" s="937"/>
      <c r="W467" s="937"/>
      <c r="X467" s="937"/>
      <c r="Y467" s="937"/>
      <c r="Z467" s="937"/>
    </row>
    <row r="468" spans="1:26" ht="15.75" customHeight="1">
      <c r="A468" s="937"/>
      <c r="B468" s="1030"/>
      <c r="C468" s="1030"/>
      <c r="D468" s="1030"/>
      <c r="E468" s="1030"/>
      <c r="F468" s="1030"/>
      <c r="G468" s="1030"/>
      <c r="H468" s="1186"/>
      <c r="I468" s="1030"/>
      <c r="J468" s="1030"/>
      <c r="K468" s="1030"/>
      <c r="L468" s="937"/>
      <c r="M468" s="937"/>
      <c r="N468" s="937"/>
      <c r="O468" s="937"/>
      <c r="P468" s="937"/>
      <c r="Q468" s="937"/>
      <c r="R468" s="937"/>
      <c r="S468" s="937"/>
      <c r="T468" s="937"/>
      <c r="U468" s="937"/>
      <c r="V468" s="937"/>
      <c r="W468" s="937"/>
      <c r="X468" s="937"/>
      <c r="Y468" s="937"/>
      <c r="Z468" s="937"/>
    </row>
    <row r="469" spans="1:26" ht="15.75" customHeight="1">
      <c r="A469" s="937"/>
      <c r="B469" s="1030"/>
      <c r="C469" s="1030"/>
      <c r="D469" s="1030"/>
      <c r="E469" s="1030"/>
      <c r="F469" s="1030"/>
      <c r="G469" s="1030"/>
      <c r="H469" s="1186"/>
      <c r="I469" s="1030"/>
      <c r="J469" s="1030"/>
      <c r="K469" s="1030"/>
      <c r="L469" s="937"/>
      <c r="M469" s="937"/>
      <c r="N469" s="937"/>
      <c r="O469" s="937"/>
      <c r="P469" s="937"/>
      <c r="Q469" s="937"/>
      <c r="R469" s="937"/>
      <c r="S469" s="937"/>
      <c r="T469" s="937"/>
      <c r="U469" s="937"/>
      <c r="V469" s="937"/>
      <c r="W469" s="937"/>
      <c r="X469" s="937"/>
      <c r="Y469" s="937"/>
      <c r="Z469" s="937"/>
    </row>
    <row r="470" spans="1:26" ht="15.75" customHeight="1">
      <c r="A470" s="937"/>
      <c r="B470" s="937"/>
      <c r="C470" s="937"/>
      <c r="D470" s="937"/>
      <c r="E470" s="937"/>
      <c r="F470" s="937"/>
      <c r="G470" s="937"/>
      <c r="H470" s="937"/>
      <c r="I470" s="937"/>
      <c r="J470" s="937"/>
      <c r="K470" s="937"/>
      <c r="L470" s="937"/>
      <c r="M470" s="937"/>
      <c r="N470" s="937"/>
      <c r="O470" s="937"/>
      <c r="P470" s="937"/>
      <c r="Q470" s="937"/>
      <c r="R470" s="937"/>
      <c r="S470" s="937"/>
      <c r="T470" s="937"/>
      <c r="U470" s="937"/>
      <c r="V470" s="937"/>
      <c r="W470" s="937"/>
      <c r="X470" s="937"/>
      <c r="Y470" s="937"/>
      <c r="Z470" s="937"/>
    </row>
    <row r="471" spans="1:26" ht="15.75" customHeight="1">
      <c r="A471" s="937"/>
      <c r="B471" s="937"/>
      <c r="C471" s="937"/>
      <c r="D471" s="937"/>
      <c r="E471" s="937"/>
      <c r="F471" s="937"/>
      <c r="G471" s="937"/>
      <c r="H471" s="937"/>
      <c r="I471" s="937"/>
      <c r="J471" s="937"/>
      <c r="K471" s="937"/>
      <c r="L471" s="937"/>
      <c r="M471" s="937"/>
      <c r="N471" s="937"/>
      <c r="O471" s="937"/>
      <c r="P471" s="937"/>
      <c r="Q471" s="937"/>
      <c r="R471" s="937"/>
      <c r="S471" s="937"/>
      <c r="T471" s="937"/>
      <c r="U471" s="937"/>
      <c r="V471" s="937"/>
      <c r="W471" s="937"/>
      <c r="X471" s="937"/>
      <c r="Y471" s="937"/>
      <c r="Z471" s="937"/>
    </row>
    <row r="472" spans="1:26" ht="15.75" customHeight="1">
      <c r="A472" s="937"/>
      <c r="B472" s="937"/>
      <c r="C472" s="937"/>
      <c r="D472" s="937"/>
      <c r="E472" s="937"/>
      <c r="F472" s="937"/>
      <c r="G472" s="937"/>
      <c r="H472" s="937"/>
      <c r="I472" s="937"/>
      <c r="J472" s="937"/>
      <c r="K472" s="937"/>
      <c r="L472" s="937"/>
      <c r="M472" s="937"/>
      <c r="N472" s="937"/>
      <c r="O472" s="937"/>
      <c r="P472" s="937"/>
      <c r="Q472" s="937"/>
      <c r="R472" s="937"/>
      <c r="S472" s="937"/>
      <c r="T472" s="937"/>
      <c r="U472" s="937"/>
      <c r="V472" s="937"/>
      <c r="W472" s="937"/>
      <c r="X472" s="937"/>
      <c r="Y472" s="937"/>
      <c r="Z472" s="937"/>
    </row>
    <row r="473" spans="1:26" ht="15.75" customHeight="1">
      <c r="A473" s="937"/>
      <c r="B473" s="937"/>
      <c r="C473" s="937"/>
      <c r="D473" s="937"/>
      <c r="E473" s="937"/>
      <c r="F473" s="937"/>
      <c r="G473" s="937"/>
      <c r="H473" s="937"/>
      <c r="I473" s="937"/>
      <c r="J473" s="937"/>
      <c r="K473" s="937"/>
      <c r="L473" s="937"/>
      <c r="M473" s="937"/>
      <c r="N473" s="937"/>
      <c r="O473" s="937"/>
      <c r="P473" s="937"/>
      <c r="Q473" s="937"/>
      <c r="R473" s="937"/>
      <c r="S473" s="937"/>
      <c r="T473" s="937"/>
      <c r="U473" s="937"/>
      <c r="V473" s="937"/>
      <c r="W473" s="937"/>
      <c r="X473" s="937"/>
      <c r="Y473" s="937"/>
      <c r="Z473" s="937"/>
    </row>
    <row r="474" spans="1:26" ht="15.75" customHeight="1">
      <c r="A474" s="937"/>
      <c r="B474" s="937"/>
      <c r="C474" s="937"/>
      <c r="D474" s="937"/>
      <c r="E474" s="937"/>
      <c r="F474" s="937"/>
      <c r="G474" s="937"/>
      <c r="H474" s="937"/>
      <c r="I474" s="937"/>
      <c r="J474" s="937"/>
      <c r="K474" s="937"/>
      <c r="L474" s="937"/>
      <c r="M474" s="937"/>
      <c r="N474" s="937"/>
      <c r="O474" s="937"/>
      <c r="P474" s="937"/>
      <c r="Q474" s="937"/>
      <c r="R474" s="937"/>
      <c r="S474" s="937"/>
      <c r="T474" s="937"/>
      <c r="U474" s="937"/>
      <c r="V474" s="937"/>
      <c r="W474" s="937"/>
      <c r="X474" s="937"/>
      <c r="Y474" s="937"/>
      <c r="Z474" s="937"/>
    </row>
    <row r="475" spans="1:26" ht="15.75" customHeight="1">
      <c r="A475" s="937"/>
      <c r="B475" s="937"/>
      <c r="C475" s="937"/>
      <c r="D475" s="937"/>
      <c r="E475" s="937"/>
      <c r="F475" s="937"/>
      <c r="G475" s="937"/>
      <c r="H475" s="937"/>
      <c r="I475" s="937"/>
      <c r="J475" s="937"/>
      <c r="K475" s="937"/>
      <c r="L475" s="937"/>
      <c r="M475" s="937"/>
      <c r="N475" s="937"/>
      <c r="O475" s="937"/>
      <c r="P475" s="937"/>
      <c r="Q475" s="937"/>
      <c r="R475" s="937"/>
      <c r="S475" s="937"/>
      <c r="T475" s="937"/>
      <c r="U475" s="937"/>
      <c r="V475" s="937"/>
      <c r="W475" s="937"/>
      <c r="X475" s="937"/>
      <c r="Y475" s="937"/>
      <c r="Z475" s="937"/>
    </row>
    <row r="476" spans="1:26" ht="15.75" customHeight="1">
      <c r="A476" s="937"/>
      <c r="B476" s="937"/>
      <c r="C476" s="937"/>
      <c r="D476" s="937"/>
      <c r="E476" s="937"/>
      <c r="F476" s="937"/>
      <c r="G476" s="937"/>
      <c r="H476" s="937"/>
      <c r="I476" s="937"/>
      <c r="J476" s="937"/>
      <c r="K476" s="937"/>
      <c r="L476" s="937"/>
      <c r="M476" s="937"/>
      <c r="N476" s="937"/>
      <c r="O476" s="937"/>
      <c r="P476" s="937"/>
      <c r="Q476" s="937"/>
      <c r="R476" s="937"/>
      <c r="S476" s="937"/>
      <c r="T476" s="937"/>
      <c r="U476" s="937"/>
      <c r="V476" s="937"/>
      <c r="W476" s="937"/>
      <c r="X476" s="937"/>
      <c r="Y476" s="937"/>
      <c r="Z476" s="937"/>
    </row>
    <row r="477" spans="1:26" ht="15.75" customHeight="1">
      <c r="A477" s="937"/>
      <c r="B477" s="937"/>
      <c r="C477" s="937"/>
      <c r="D477" s="937"/>
      <c r="E477" s="937"/>
      <c r="F477" s="937"/>
      <c r="G477" s="937"/>
      <c r="H477" s="937"/>
      <c r="I477" s="937"/>
      <c r="J477" s="937"/>
      <c r="K477" s="937"/>
      <c r="L477" s="937"/>
      <c r="M477" s="937"/>
      <c r="N477" s="937"/>
      <c r="O477" s="937"/>
      <c r="P477" s="937"/>
      <c r="Q477" s="937"/>
      <c r="R477" s="937"/>
      <c r="S477" s="937"/>
      <c r="T477" s="937"/>
      <c r="U477" s="937"/>
      <c r="V477" s="937"/>
      <c r="W477" s="937"/>
      <c r="X477" s="937"/>
      <c r="Y477" s="937"/>
      <c r="Z477" s="937"/>
    </row>
    <row r="478" spans="1:26" ht="15.75" customHeight="1">
      <c r="A478" s="937"/>
      <c r="B478" s="937"/>
      <c r="C478" s="937"/>
      <c r="D478" s="937"/>
      <c r="E478" s="937"/>
      <c r="F478" s="937"/>
      <c r="G478" s="937"/>
      <c r="H478" s="937"/>
      <c r="I478" s="937"/>
      <c r="J478" s="937"/>
      <c r="K478" s="937"/>
      <c r="L478" s="937"/>
      <c r="M478" s="937"/>
      <c r="N478" s="937"/>
      <c r="O478" s="937"/>
      <c r="P478" s="937"/>
      <c r="Q478" s="937"/>
      <c r="R478" s="937"/>
      <c r="S478" s="937"/>
      <c r="T478" s="937"/>
      <c r="U478" s="937"/>
      <c r="V478" s="937"/>
      <c r="W478" s="937"/>
      <c r="X478" s="937"/>
      <c r="Y478" s="937"/>
      <c r="Z478" s="937"/>
    </row>
    <row r="479" spans="1:26" ht="15.75" customHeight="1">
      <c r="A479" s="937"/>
      <c r="B479" s="937"/>
      <c r="C479" s="937"/>
      <c r="D479" s="937"/>
      <c r="E479" s="937"/>
      <c r="F479" s="937"/>
      <c r="G479" s="937"/>
      <c r="H479" s="937"/>
      <c r="I479" s="937"/>
      <c r="J479" s="937"/>
      <c r="K479" s="937"/>
      <c r="L479" s="937"/>
      <c r="M479" s="937"/>
      <c r="N479" s="937"/>
      <c r="O479" s="937"/>
      <c r="P479" s="937"/>
      <c r="Q479" s="937"/>
      <c r="R479" s="937"/>
      <c r="S479" s="937"/>
      <c r="T479" s="937"/>
      <c r="U479" s="937"/>
      <c r="V479" s="937"/>
      <c r="W479" s="937"/>
      <c r="X479" s="937"/>
      <c r="Y479" s="937"/>
      <c r="Z479" s="937"/>
    </row>
    <row r="480" spans="1:26" ht="15.75" customHeight="1">
      <c r="A480" s="937"/>
      <c r="B480" s="937"/>
      <c r="C480" s="937"/>
      <c r="D480" s="937"/>
      <c r="E480" s="937"/>
      <c r="F480" s="937"/>
      <c r="G480" s="937"/>
      <c r="H480" s="937"/>
      <c r="I480" s="937"/>
      <c r="J480" s="937"/>
      <c r="K480" s="937"/>
      <c r="L480" s="937"/>
      <c r="M480" s="937"/>
      <c r="N480" s="937"/>
      <c r="O480" s="937"/>
      <c r="P480" s="937"/>
      <c r="Q480" s="937"/>
      <c r="R480" s="937"/>
      <c r="S480" s="937"/>
      <c r="T480" s="937"/>
      <c r="U480" s="937"/>
      <c r="V480" s="937"/>
      <c r="W480" s="937"/>
      <c r="X480" s="937"/>
      <c r="Y480" s="937"/>
      <c r="Z480" s="937"/>
    </row>
    <row r="481" spans="1:26" ht="15.75" customHeight="1">
      <c r="A481" s="937"/>
      <c r="B481" s="937"/>
      <c r="C481" s="937"/>
      <c r="D481" s="937"/>
      <c r="E481" s="937"/>
      <c r="F481" s="937"/>
      <c r="G481" s="937"/>
      <c r="H481" s="937"/>
      <c r="I481" s="937"/>
      <c r="J481" s="937"/>
      <c r="K481" s="937"/>
      <c r="L481" s="937"/>
      <c r="M481" s="937"/>
      <c r="N481" s="937"/>
      <c r="O481" s="937"/>
      <c r="P481" s="937"/>
      <c r="Q481" s="937"/>
      <c r="R481" s="937"/>
      <c r="S481" s="937"/>
      <c r="T481" s="937"/>
      <c r="U481" s="937"/>
      <c r="V481" s="937"/>
      <c r="W481" s="937"/>
      <c r="X481" s="937"/>
      <c r="Y481" s="937"/>
      <c r="Z481" s="937"/>
    </row>
    <row r="482" spans="1:26" ht="15.75" customHeight="1">
      <c r="A482" s="937"/>
      <c r="B482" s="937"/>
      <c r="C482" s="937"/>
      <c r="D482" s="937"/>
      <c r="E482" s="937"/>
      <c r="F482" s="937"/>
      <c r="G482" s="937"/>
      <c r="H482" s="937"/>
      <c r="I482" s="937"/>
      <c r="J482" s="937"/>
      <c r="K482" s="937"/>
      <c r="L482" s="937"/>
      <c r="M482" s="937"/>
      <c r="N482" s="937"/>
      <c r="O482" s="937"/>
      <c r="P482" s="937"/>
      <c r="Q482" s="937"/>
      <c r="R482" s="937"/>
      <c r="S482" s="937"/>
      <c r="T482" s="937"/>
      <c r="U482" s="937"/>
      <c r="V482" s="937"/>
      <c r="W482" s="937"/>
      <c r="X482" s="937"/>
      <c r="Y482" s="937"/>
      <c r="Z482" s="937"/>
    </row>
    <row r="483" spans="1:26" ht="15.75" customHeight="1">
      <c r="A483" s="937"/>
      <c r="B483" s="937"/>
      <c r="C483" s="937"/>
      <c r="D483" s="937"/>
      <c r="E483" s="937"/>
      <c r="F483" s="937"/>
      <c r="G483" s="937"/>
      <c r="H483" s="937"/>
      <c r="I483" s="937"/>
      <c r="J483" s="937"/>
      <c r="K483" s="937"/>
      <c r="L483" s="937"/>
      <c r="M483" s="937"/>
      <c r="N483" s="937"/>
      <c r="O483" s="937"/>
      <c r="P483" s="937"/>
      <c r="Q483" s="937"/>
      <c r="R483" s="937"/>
      <c r="S483" s="937"/>
      <c r="T483" s="937"/>
      <c r="U483" s="937"/>
      <c r="V483" s="937"/>
      <c r="W483" s="937"/>
      <c r="X483" s="937"/>
      <c r="Y483" s="937"/>
      <c r="Z483" s="937"/>
    </row>
    <row r="484" spans="1:26" ht="15.75" customHeight="1">
      <c r="A484" s="937"/>
      <c r="B484" s="937"/>
      <c r="C484" s="937"/>
      <c r="D484" s="937"/>
      <c r="E484" s="937"/>
      <c r="F484" s="937"/>
      <c r="G484" s="937"/>
      <c r="H484" s="937"/>
      <c r="I484" s="937"/>
      <c r="J484" s="937"/>
      <c r="K484" s="937"/>
      <c r="L484" s="937"/>
      <c r="M484" s="937"/>
      <c r="N484" s="937"/>
      <c r="O484" s="937"/>
      <c r="P484" s="937"/>
      <c r="Q484" s="937"/>
      <c r="R484" s="937"/>
      <c r="S484" s="937"/>
      <c r="T484" s="937"/>
      <c r="U484" s="937"/>
      <c r="V484" s="937"/>
      <c r="W484" s="937"/>
      <c r="X484" s="937"/>
      <c r="Y484" s="937"/>
      <c r="Z484" s="937"/>
    </row>
    <row r="485" spans="1:26" ht="15.75" customHeight="1">
      <c r="A485" s="937"/>
      <c r="B485" s="937"/>
      <c r="C485" s="937"/>
      <c r="D485" s="937"/>
      <c r="E485" s="937"/>
      <c r="F485" s="937"/>
      <c r="G485" s="937"/>
      <c r="H485" s="937"/>
      <c r="I485" s="937"/>
      <c r="J485" s="937"/>
      <c r="K485" s="937"/>
      <c r="L485" s="937"/>
      <c r="M485" s="937"/>
      <c r="N485" s="937"/>
      <c r="O485" s="937"/>
      <c r="P485" s="937"/>
      <c r="Q485" s="937"/>
      <c r="R485" s="937"/>
      <c r="S485" s="937"/>
      <c r="T485" s="937"/>
      <c r="U485" s="937"/>
      <c r="V485" s="937"/>
      <c r="W485" s="937"/>
      <c r="X485" s="937"/>
      <c r="Y485" s="937"/>
      <c r="Z485" s="937"/>
    </row>
    <row r="486" spans="1:26" ht="15.75" customHeight="1">
      <c r="A486" s="937"/>
      <c r="B486" s="937"/>
      <c r="C486" s="937"/>
      <c r="D486" s="937"/>
      <c r="E486" s="937"/>
      <c r="F486" s="937"/>
      <c r="G486" s="937"/>
      <c r="H486" s="937"/>
      <c r="I486" s="937"/>
      <c r="J486" s="937"/>
      <c r="K486" s="937"/>
      <c r="L486" s="937"/>
      <c r="M486" s="937"/>
      <c r="N486" s="937"/>
      <c r="O486" s="937"/>
      <c r="P486" s="937"/>
      <c r="Q486" s="937"/>
      <c r="R486" s="937"/>
      <c r="S486" s="937"/>
      <c r="T486" s="937"/>
      <c r="U486" s="937"/>
      <c r="V486" s="937"/>
      <c r="W486" s="937"/>
      <c r="X486" s="937"/>
      <c r="Y486" s="937"/>
      <c r="Z486" s="937"/>
    </row>
    <row r="487" spans="1:26" ht="15.75" customHeight="1">
      <c r="A487" s="937"/>
      <c r="B487" s="937"/>
      <c r="C487" s="937"/>
      <c r="D487" s="937"/>
      <c r="E487" s="937"/>
      <c r="F487" s="937"/>
      <c r="G487" s="937"/>
      <c r="H487" s="937"/>
      <c r="I487" s="937"/>
      <c r="J487" s="937"/>
      <c r="K487" s="937"/>
      <c r="L487" s="937"/>
      <c r="M487" s="937"/>
      <c r="N487" s="937"/>
      <c r="O487" s="937"/>
      <c r="P487" s="937"/>
      <c r="Q487" s="937"/>
      <c r="R487" s="937"/>
      <c r="S487" s="937"/>
      <c r="T487" s="937"/>
      <c r="U487" s="937"/>
      <c r="V487" s="937"/>
      <c r="W487" s="937"/>
      <c r="X487" s="937"/>
      <c r="Y487" s="937"/>
      <c r="Z487" s="937"/>
    </row>
    <row r="488" spans="1:26" ht="15.75" customHeight="1">
      <c r="A488" s="937"/>
      <c r="B488" s="937"/>
      <c r="C488" s="937"/>
      <c r="D488" s="937"/>
      <c r="E488" s="937"/>
      <c r="F488" s="937"/>
      <c r="G488" s="937"/>
      <c r="H488" s="937"/>
      <c r="I488" s="937"/>
      <c r="J488" s="937"/>
      <c r="K488" s="937"/>
      <c r="L488" s="937"/>
      <c r="M488" s="937"/>
      <c r="N488" s="937"/>
      <c r="O488" s="937"/>
      <c r="P488" s="937"/>
      <c r="Q488" s="937"/>
      <c r="R488" s="937"/>
      <c r="S488" s="937"/>
      <c r="T488" s="937"/>
      <c r="U488" s="937"/>
      <c r="V488" s="937"/>
      <c r="W488" s="937"/>
      <c r="X488" s="937"/>
      <c r="Y488" s="937"/>
      <c r="Z488" s="937"/>
    </row>
    <row r="489" spans="1:26" ht="15.75" customHeight="1">
      <c r="A489" s="937"/>
      <c r="B489" s="937"/>
      <c r="C489" s="937"/>
      <c r="D489" s="937"/>
      <c r="E489" s="937"/>
      <c r="F489" s="937"/>
      <c r="G489" s="937"/>
      <c r="H489" s="937"/>
      <c r="I489" s="937"/>
      <c r="J489" s="937"/>
      <c r="K489" s="937"/>
      <c r="L489" s="937"/>
      <c r="M489" s="937"/>
      <c r="N489" s="937"/>
      <c r="O489" s="937"/>
      <c r="P489" s="937"/>
      <c r="Q489" s="937"/>
      <c r="R489" s="937"/>
      <c r="S489" s="937"/>
      <c r="T489" s="937"/>
      <c r="U489" s="937"/>
      <c r="V489" s="937"/>
      <c r="W489" s="937"/>
      <c r="X489" s="937"/>
      <c r="Y489" s="937"/>
      <c r="Z489" s="937"/>
    </row>
    <row r="490" spans="1:26" ht="15.75" customHeight="1">
      <c r="A490" s="937"/>
      <c r="B490" s="937"/>
      <c r="C490" s="937"/>
      <c r="D490" s="937"/>
      <c r="E490" s="937"/>
      <c r="F490" s="937"/>
      <c r="G490" s="937"/>
      <c r="H490" s="937"/>
      <c r="I490" s="937"/>
      <c r="J490" s="937"/>
      <c r="K490" s="937"/>
      <c r="L490" s="937"/>
      <c r="M490" s="937"/>
      <c r="N490" s="937"/>
      <c r="O490" s="937"/>
      <c r="P490" s="937"/>
      <c r="Q490" s="937"/>
      <c r="R490" s="937"/>
      <c r="S490" s="937"/>
      <c r="T490" s="937"/>
      <c r="U490" s="937"/>
      <c r="V490" s="937"/>
      <c r="W490" s="937"/>
      <c r="X490" s="937"/>
      <c r="Y490" s="937"/>
      <c r="Z490" s="937"/>
    </row>
    <row r="491" spans="1:26" ht="15.75" customHeight="1">
      <c r="A491" s="937"/>
      <c r="B491" s="937"/>
      <c r="C491" s="937"/>
      <c r="D491" s="937"/>
      <c r="E491" s="937"/>
      <c r="F491" s="937"/>
      <c r="G491" s="937"/>
      <c r="H491" s="937"/>
      <c r="I491" s="937"/>
      <c r="J491" s="937"/>
      <c r="K491" s="937"/>
      <c r="L491" s="937"/>
      <c r="M491" s="937"/>
      <c r="N491" s="937"/>
      <c r="O491" s="937"/>
      <c r="P491" s="937"/>
      <c r="Q491" s="937"/>
      <c r="R491" s="937"/>
      <c r="S491" s="937"/>
      <c r="T491" s="937"/>
      <c r="U491" s="937"/>
      <c r="V491" s="937"/>
      <c r="W491" s="937"/>
      <c r="X491" s="937"/>
      <c r="Y491" s="937"/>
      <c r="Z491" s="937"/>
    </row>
    <row r="492" spans="1:26" ht="15.75" customHeight="1">
      <c r="A492" s="937"/>
      <c r="B492" s="937"/>
      <c r="C492" s="937"/>
      <c r="D492" s="937"/>
      <c r="E492" s="937"/>
      <c r="F492" s="937"/>
      <c r="G492" s="937"/>
      <c r="H492" s="937"/>
      <c r="I492" s="937"/>
      <c r="J492" s="937"/>
      <c r="K492" s="937"/>
      <c r="L492" s="937"/>
      <c r="M492" s="937"/>
      <c r="N492" s="937"/>
      <c r="O492" s="937"/>
      <c r="P492" s="937"/>
      <c r="Q492" s="937"/>
      <c r="R492" s="937"/>
      <c r="S492" s="937"/>
      <c r="T492" s="937"/>
      <c r="U492" s="937"/>
      <c r="V492" s="937"/>
      <c r="W492" s="937"/>
      <c r="X492" s="937"/>
      <c r="Y492" s="937"/>
      <c r="Z492" s="937"/>
    </row>
    <row r="493" spans="1:26" ht="15.75" customHeight="1">
      <c r="A493" s="937"/>
      <c r="B493" s="937"/>
      <c r="C493" s="937"/>
      <c r="D493" s="937"/>
      <c r="E493" s="937"/>
      <c r="F493" s="937"/>
      <c r="G493" s="937"/>
      <c r="H493" s="937"/>
      <c r="I493" s="937"/>
      <c r="J493" s="937"/>
      <c r="K493" s="937"/>
      <c r="L493" s="937"/>
      <c r="M493" s="937"/>
      <c r="N493" s="937"/>
      <c r="O493" s="937"/>
      <c r="P493" s="937"/>
      <c r="Q493" s="937"/>
      <c r="R493" s="937"/>
      <c r="S493" s="937"/>
      <c r="T493" s="937"/>
      <c r="U493" s="937"/>
      <c r="V493" s="937"/>
      <c r="W493" s="937"/>
      <c r="X493" s="937"/>
      <c r="Y493" s="937"/>
      <c r="Z493" s="937"/>
    </row>
    <row r="494" spans="1:26" ht="15.75" customHeight="1">
      <c r="A494" s="937"/>
      <c r="B494" s="937"/>
      <c r="C494" s="937"/>
      <c r="D494" s="937"/>
      <c r="E494" s="937"/>
      <c r="F494" s="937"/>
      <c r="G494" s="937"/>
      <c r="H494" s="937"/>
      <c r="I494" s="937"/>
      <c r="J494" s="937"/>
      <c r="K494" s="937"/>
      <c r="L494" s="937"/>
      <c r="M494" s="937"/>
      <c r="N494" s="937"/>
      <c r="O494" s="937"/>
      <c r="P494" s="937"/>
      <c r="Q494" s="937"/>
      <c r="R494" s="937"/>
      <c r="S494" s="937"/>
      <c r="T494" s="937"/>
      <c r="U494" s="937"/>
      <c r="V494" s="937"/>
      <c r="W494" s="937"/>
      <c r="X494" s="937"/>
      <c r="Y494" s="937"/>
      <c r="Z494" s="937"/>
    </row>
    <row r="495" spans="1:26" ht="15.75" customHeight="1">
      <c r="A495" s="937"/>
      <c r="B495" s="937"/>
      <c r="C495" s="937"/>
      <c r="D495" s="937"/>
      <c r="E495" s="937"/>
      <c r="F495" s="937"/>
      <c r="G495" s="937"/>
      <c r="H495" s="937"/>
      <c r="I495" s="937"/>
      <c r="J495" s="937"/>
      <c r="K495" s="937"/>
      <c r="L495" s="937"/>
      <c r="M495" s="937"/>
      <c r="N495" s="937"/>
      <c r="O495" s="937"/>
      <c r="P495" s="937"/>
      <c r="Q495" s="937"/>
      <c r="R495" s="937"/>
      <c r="S495" s="937"/>
      <c r="T495" s="937"/>
      <c r="U495" s="937"/>
      <c r="V495" s="937"/>
      <c r="W495" s="937"/>
      <c r="X495" s="937"/>
      <c r="Y495" s="937"/>
      <c r="Z495" s="937"/>
    </row>
    <row r="496" spans="1:26" ht="15.75" customHeight="1">
      <c r="A496" s="937"/>
      <c r="B496" s="937"/>
      <c r="C496" s="937"/>
      <c r="D496" s="937"/>
      <c r="E496" s="937"/>
      <c r="F496" s="937"/>
      <c r="G496" s="937"/>
      <c r="H496" s="937"/>
      <c r="I496" s="937"/>
      <c r="J496" s="937"/>
      <c r="K496" s="937"/>
      <c r="L496" s="937"/>
      <c r="M496" s="937"/>
      <c r="N496" s="937"/>
      <c r="O496" s="937"/>
      <c r="P496" s="937"/>
      <c r="Q496" s="937"/>
      <c r="R496" s="937"/>
      <c r="S496" s="937"/>
      <c r="T496" s="937"/>
      <c r="U496" s="937"/>
      <c r="V496" s="937"/>
      <c r="W496" s="937"/>
      <c r="X496" s="937"/>
      <c r="Y496" s="937"/>
      <c r="Z496" s="937"/>
    </row>
    <row r="497" spans="1:26" ht="15.75" customHeight="1">
      <c r="A497" s="937"/>
      <c r="B497" s="937"/>
      <c r="C497" s="937"/>
      <c r="D497" s="937"/>
      <c r="E497" s="937"/>
      <c r="F497" s="937"/>
      <c r="G497" s="937"/>
      <c r="H497" s="937"/>
      <c r="I497" s="937"/>
      <c r="J497" s="937"/>
      <c r="K497" s="937"/>
      <c r="L497" s="937"/>
      <c r="M497" s="937"/>
      <c r="N497" s="937"/>
      <c r="O497" s="937"/>
      <c r="P497" s="937"/>
      <c r="Q497" s="937"/>
      <c r="R497" s="937"/>
      <c r="S497" s="937"/>
      <c r="T497" s="937"/>
      <c r="U497" s="937"/>
      <c r="V497" s="937"/>
      <c r="W497" s="937"/>
      <c r="X497" s="937"/>
      <c r="Y497" s="937"/>
      <c r="Z497" s="937"/>
    </row>
    <row r="498" spans="1:26" ht="15.75" customHeight="1">
      <c r="A498" s="937"/>
      <c r="B498" s="937"/>
      <c r="C498" s="937"/>
      <c r="D498" s="937"/>
      <c r="E498" s="937"/>
      <c r="F498" s="937"/>
      <c r="G498" s="937"/>
      <c r="H498" s="937"/>
      <c r="I498" s="937"/>
      <c r="J498" s="937"/>
      <c r="K498" s="937"/>
      <c r="L498" s="937"/>
      <c r="M498" s="937"/>
      <c r="N498" s="937"/>
      <c r="O498" s="937"/>
      <c r="P498" s="937"/>
      <c r="Q498" s="937"/>
      <c r="R498" s="937"/>
      <c r="S498" s="937"/>
      <c r="T498" s="937"/>
      <c r="U498" s="937"/>
      <c r="V498" s="937"/>
      <c r="W498" s="937"/>
      <c r="X498" s="937"/>
      <c r="Y498" s="937"/>
      <c r="Z498" s="937"/>
    </row>
    <row r="499" spans="1:26" ht="15.75" customHeight="1">
      <c r="A499" s="937"/>
      <c r="B499" s="937"/>
      <c r="C499" s="937"/>
      <c r="D499" s="937"/>
      <c r="E499" s="937"/>
      <c r="F499" s="937"/>
      <c r="G499" s="937"/>
      <c r="H499" s="937"/>
      <c r="I499" s="937"/>
      <c r="J499" s="937"/>
      <c r="K499" s="937"/>
      <c r="L499" s="937"/>
      <c r="M499" s="937"/>
      <c r="N499" s="937"/>
      <c r="O499" s="937"/>
      <c r="P499" s="937"/>
      <c r="Q499" s="937"/>
      <c r="R499" s="937"/>
      <c r="S499" s="937"/>
      <c r="T499" s="937"/>
      <c r="U499" s="937"/>
      <c r="V499" s="937"/>
      <c r="W499" s="937"/>
      <c r="X499" s="937"/>
      <c r="Y499" s="937"/>
      <c r="Z499" s="937"/>
    </row>
    <row r="500" spans="1:26" ht="15.75" customHeight="1">
      <c r="A500" s="937"/>
      <c r="B500" s="937"/>
      <c r="C500" s="937"/>
      <c r="D500" s="937"/>
      <c r="E500" s="937"/>
      <c r="F500" s="937"/>
      <c r="G500" s="937"/>
      <c r="H500" s="937"/>
      <c r="I500" s="937"/>
      <c r="J500" s="937"/>
      <c r="K500" s="937"/>
      <c r="L500" s="937"/>
      <c r="M500" s="937"/>
      <c r="N500" s="937"/>
      <c r="O500" s="937"/>
      <c r="P500" s="937"/>
      <c r="Q500" s="937"/>
      <c r="R500" s="937"/>
      <c r="S500" s="937"/>
      <c r="T500" s="937"/>
      <c r="U500" s="937"/>
      <c r="V500" s="937"/>
      <c r="W500" s="937"/>
      <c r="X500" s="937"/>
      <c r="Y500" s="937"/>
      <c r="Z500" s="937"/>
    </row>
    <row r="501" spans="1:26" ht="15.75" customHeight="1">
      <c r="A501" s="937"/>
      <c r="B501" s="937"/>
      <c r="C501" s="937"/>
      <c r="D501" s="937"/>
      <c r="E501" s="937"/>
      <c r="F501" s="937"/>
      <c r="G501" s="937"/>
      <c r="H501" s="937"/>
      <c r="I501" s="937"/>
      <c r="J501" s="937"/>
      <c r="K501" s="937"/>
      <c r="L501" s="937"/>
      <c r="M501" s="937"/>
      <c r="N501" s="937"/>
      <c r="O501" s="937"/>
      <c r="P501" s="937"/>
      <c r="Q501" s="937"/>
      <c r="R501" s="937"/>
      <c r="S501" s="937"/>
      <c r="T501" s="937"/>
      <c r="U501" s="937"/>
      <c r="V501" s="937"/>
      <c r="W501" s="937"/>
      <c r="X501" s="937"/>
      <c r="Y501" s="937"/>
      <c r="Z501" s="937"/>
    </row>
    <row r="502" spans="1:26" ht="15.75" customHeight="1">
      <c r="A502" s="937"/>
      <c r="B502" s="937"/>
      <c r="C502" s="937"/>
      <c r="D502" s="937"/>
      <c r="E502" s="937"/>
      <c r="F502" s="937"/>
      <c r="G502" s="937"/>
      <c r="H502" s="937"/>
      <c r="I502" s="937"/>
      <c r="J502" s="937"/>
      <c r="K502" s="937"/>
      <c r="L502" s="937"/>
      <c r="M502" s="937"/>
      <c r="N502" s="937"/>
      <c r="O502" s="937"/>
      <c r="P502" s="937"/>
      <c r="Q502" s="937"/>
      <c r="R502" s="937"/>
      <c r="S502" s="937"/>
      <c r="T502" s="937"/>
      <c r="U502" s="937"/>
      <c r="V502" s="937"/>
      <c r="W502" s="937"/>
      <c r="X502" s="937"/>
      <c r="Y502" s="937"/>
      <c r="Z502" s="937"/>
    </row>
    <row r="503" spans="1:26" ht="15.75" customHeight="1">
      <c r="A503" s="937"/>
      <c r="B503" s="937"/>
      <c r="C503" s="937"/>
      <c r="D503" s="937"/>
      <c r="E503" s="937"/>
      <c r="F503" s="937"/>
      <c r="G503" s="937"/>
      <c r="H503" s="937"/>
      <c r="I503" s="937"/>
      <c r="J503" s="937"/>
      <c r="K503" s="937"/>
      <c r="L503" s="937"/>
      <c r="M503" s="937"/>
      <c r="N503" s="937"/>
      <c r="O503" s="937"/>
      <c r="P503" s="937"/>
      <c r="Q503" s="937"/>
      <c r="R503" s="937"/>
      <c r="S503" s="937"/>
      <c r="T503" s="937"/>
      <c r="U503" s="937"/>
      <c r="V503" s="937"/>
      <c r="W503" s="937"/>
      <c r="X503" s="937"/>
      <c r="Y503" s="937"/>
      <c r="Z503" s="937"/>
    </row>
    <row r="504" spans="1:26" ht="15.75" customHeight="1">
      <c r="A504" s="937"/>
      <c r="B504" s="937"/>
      <c r="C504" s="937"/>
      <c r="D504" s="937"/>
      <c r="E504" s="937"/>
      <c r="F504" s="937"/>
      <c r="G504" s="937"/>
      <c r="H504" s="937"/>
      <c r="I504" s="937"/>
      <c r="J504" s="937"/>
      <c r="K504" s="937"/>
      <c r="L504" s="937"/>
      <c r="M504" s="937"/>
      <c r="N504" s="937"/>
      <c r="O504" s="937"/>
      <c r="P504" s="937"/>
      <c r="Q504" s="937"/>
      <c r="R504" s="937"/>
      <c r="S504" s="937"/>
      <c r="T504" s="937"/>
      <c r="U504" s="937"/>
      <c r="V504" s="937"/>
      <c r="W504" s="937"/>
      <c r="X504" s="937"/>
      <c r="Y504" s="937"/>
      <c r="Z504" s="937"/>
    </row>
    <row r="505" spans="1:26" ht="15.75" customHeight="1">
      <c r="A505" s="937"/>
      <c r="B505" s="937"/>
      <c r="C505" s="937"/>
      <c r="D505" s="937"/>
      <c r="E505" s="937"/>
      <c r="F505" s="937"/>
      <c r="G505" s="937"/>
      <c r="H505" s="937"/>
      <c r="I505" s="937"/>
      <c r="J505" s="937"/>
      <c r="K505" s="937"/>
      <c r="L505" s="937"/>
      <c r="M505" s="937"/>
      <c r="N505" s="937"/>
      <c r="O505" s="937"/>
      <c r="P505" s="937"/>
      <c r="Q505" s="937"/>
      <c r="R505" s="937"/>
      <c r="S505" s="937"/>
      <c r="T505" s="937"/>
      <c r="U505" s="937"/>
      <c r="V505" s="937"/>
      <c r="W505" s="937"/>
      <c r="X505" s="937"/>
      <c r="Y505" s="937"/>
      <c r="Z505" s="937"/>
    </row>
    <row r="506" spans="1:26" ht="15.75" customHeight="1">
      <c r="A506" s="937"/>
      <c r="B506" s="937"/>
      <c r="C506" s="937"/>
      <c r="D506" s="937"/>
      <c r="E506" s="937"/>
      <c r="F506" s="937"/>
      <c r="G506" s="937"/>
      <c r="H506" s="937"/>
      <c r="I506" s="937"/>
      <c r="J506" s="937"/>
      <c r="K506" s="937"/>
      <c r="L506" s="937"/>
      <c r="M506" s="937"/>
      <c r="N506" s="937"/>
      <c r="O506" s="937"/>
      <c r="P506" s="937"/>
      <c r="Q506" s="937"/>
      <c r="R506" s="937"/>
      <c r="S506" s="937"/>
      <c r="T506" s="937"/>
      <c r="U506" s="937"/>
      <c r="V506" s="937"/>
      <c r="W506" s="937"/>
      <c r="X506" s="937"/>
      <c r="Y506" s="937"/>
      <c r="Z506" s="937"/>
    </row>
    <row r="507" spans="1:26" ht="15.75" customHeight="1">
      <c r="A507" s="937"/>
      <c r="B507" s="937"/>
      <c r="C507" s="937"/>
      <c r="D507" s="937"/>
      <c r="E507" s="937"/>
      <c r="F507" s="937"/>
      <c r="G507" s="937"/>
      <c r="H507" s="937"/>
      <c r="I507" s="937"/>
      <c r="J507" s="937"/>
      <c r="K507" s="937"/>
      <c r="L507" s="937"/>
      <c r="M507" s="937"/>
      <c r="N507" s="937"/>
      <c r="O507" s="937"/>
      <c r="P507" s="937"/>
      <c r="Q507" s="937"/>
      <c r="R507" s="937"/>
      <c r="S507" s="937"/>
      <c r="T507" s="937"/>
      <c r="U507" s="937"/>
      <c r="V507" s="937"/>
      <c r="W507" s="937"/>
      <c r="X507" s="937"/>
      <c r="Y507" s="937"/>
      <c r="Z507" s="937"/>
    </row>
    <row r="508" spans="1:26" ht="15.75" customHeight="1">
      <c r="A508" s="937"/>
      <c r="B508" s="937"/>
      <c r="C508" s="937"/>
      <c r="D508" s="937"/>
      <c r="E508" s="937"/>
      <c r="F508" s="937"/>
      <c r="G508" s="937"/>
      <c r="H508" s="937"/>
      <c r="I508" s="937"/>
      <c r="J508" s="937"/>
      <c r="K508" s="937"/>
      <c r="L508" s="937"/>
      <c r="M508" s="937"/>
      <c r="N508" s="937"/>
      <c r="O508" s="937"/>
      <c r="P508" s="937"/>
      <c r="Q508" s="937"/>
      <c r="R508" s="937"/>
      <c r="S508" s="937"/>
      <c r="T508" s="937"/>
      <c r="U508" s="937"/>
      <c r="V508" s="937"/>
      <c r="W508" s="937"/>
      <c r="X508" s="937"/>
      <c r="Y508" s="937"/>
      <c r="Z508" s="937"/>
    </row>
    <row r="509" spans="1:26" ht="15.75" customHeight="1">
      <c r="A509" s="937"/>
      <c r="B509" s="937"/>
      <c r="C509" s="937"/>
      <c r="D509" s="937"/>
      <c r="E509" s="937"/>
      <c r="F509" s="937"/>
      <c r="G509" s="937"/>
      <c r="H509" s="937"/>
      <c r="I509" s="937"/>
      <c r="J509" s="937"/>
      <c r="K509" s="937"/>
      <c r="L509" s="937"/>
      <c r="M509" s="937"/>
      <c r="N509" s="937"/>
      <c r="O509" s="937"/>
      <c r="P509" s="937"/>
      <c r="Q509" s="937"/>
      <c r="R509" s="937"/>
      <c r="S509" s="937"/>
      <c r="T509" s="937"/>
      <c r="U509" s="937"/>
      <c r="V509" s="937"/>
      <c r="W509" s="937"/>
      <c r="X509" s="937"/>
      <c r="Y509" s="937"/>
      <c r="Z509" s="937"/>
    </row>
    <row r="510" spans="1:26" ht="15.75" customHeight="1">
      <c r="A510" s="937"/>
      <c r="B510" s="937"/>
      <c r="C510" s="937"/>
      <c r="D510" s="937"/>
      <c r="E510" s="937"/>
      <c r="F510" s="937"/>
      <c r="G510" s="937"/>
      <c r="H510" s="937"/>
      <c r="I510" s="937"/>
      <c r="J510" s="937"/>
      <c r="K510" s="937"/>
      <c r="L510" s="937"/>
      <c r="M510" s="937"/>
      <c r="N510" s="937"/>
      <c r="O510" s="937"/>
      <c r="P510" s="937"/>
      <c r="Q510" s="937"/>
      <c r="R510" s="937"/>
      <c r="S510" s="937"/>
      <c r="T510" s="937"/>
      <c r="U510" s="937"/>
      <c r="V510" s="937"/>
      <c r="W510" s="937"/>
      <c r="X510" s="937"/>
      <c r="Y510" s="937"/>
      <c r="Z510" s="937"/>
    </row>
    <row r="511" spans="1:26" ht="15.75" customHeight="1">
      <c r="A511" s="937"/>
      <c r="B511" s="937"/>
      <c r="C511" s="937"/>
      <c r="D511" s="937"/>
      <c r="E511" s="937"/>
      <c r="F511" s="937"/>
      <c r="G511" s="937"/>
      <c r="H511" s="937"/>
      <c r="I511" s="937"/>
      <c r="J511" s="937"/>
      <c r="K511" s="937"/>
      <c r="L511" s="937"/>
      <c r="M511" s="937"/>
      <c r="N511" s="937"/>
      <c r="O511" s="937"/>
      <c r="P511" s="937"/>
      <c r="Q511" s="937"/>
      <c r="R511" s="937"/>
      <c r="S511" s="937"/>
      <c r="T511" s="937"/>
      <c r="U511" s="937"/>
      <c r="V511" s="937"/>
      <c r="W511" s="937"/>
      <c r="X511" s="937"/>
      <c r="Y511" s="937"/>
      <c r="Z511" s="937"/>
    </row>
    <row r="512" spans="1:26" ht="15.75" customHeight="1">
      <c r="A512" s="937"/>
      <c r="B512" s="937"/>
      <c r="C512" s="937"/>
      <c r="D512" s="937"/>
      <c r="E512" s="937"/>
      <c r="F512" s="937"/>
      <c r="G512" s="937"/>
      <c r="H512" s="937"/>
      <c r="I512" s="937"/>
      <c r="J512" s="937"/>
      <c r="K512" s="937"/>
      <c r="L512" s="937"/>
      <c r="M512" s="937"/>
      <c r="N512" s="937"/>
      <c r="O512" s="937"/>
      <c r="P512" s="937"/>
      <c r="Q512" s="937"/>
      <c r="R512" s="937"/>
      <c r="S512" s="937"/>
      <c r="T512" s="937"/>
      <c r="U512" s="937"/>
      <c r="V512" s="937"/>
      <c r="W512" s="937"/>
      <c r="X512" s="937"/>
      <c r="Y512" s="937"/>
      <c r="Z512" s="937"/>
    </row>
    <row r="513" spans="1:26" ht="15.75" customHeight="1">
      <c r="A513" s="937"/>
      <c r="B513" s="937"/>
      <c r="C513" s="937"/>
      <c r="D513" s="937"/>
      <c r="E513" s="937"/>
      <c r="F513" s="937"/>
      <c r="G513" s="937"/>
      <c r="H513" s="937"/>
      <c r="I513" s="937"/>
      <c r="J513" s="937"/>
      <c r="K513" s="937"/>
      <c r="L513" s="937"/>
      <c r="M513" s="937"/>
      <c r="N513" s="937"/>
      <c r="O513" s="937"/>
      <c r="P513" s="937"/>
      <c r="Q513" s="937"/>
      <c r="R513" s="937"/>
      <c r="S513" s="937"/>
      <c r="T513" s="937"/>
      <c r="U513" s="937"/>
      <c r="V513" s="937"/>
      <c r="W513" s="937"/>
      <c r="X513" s="937"/>
      <c r="Y513" s="937"/>
      <c r="Z513" s="937"/>
    </row>
    <row r="514" spans="1:26" ht="15.75" customHeight="1">
      <c r="A514" s="937"/>
      <c r="B514" s="937"/>
      <c r="C514" s="937"/>
      <c r="D514" s="937"/>
      <c r="E514" s="937"/>
      <c r="F514" s="937"/>
      <c r="G514" s="937"/>
      <c r="H514" s="937"/>
      <c r="I514" s="937"/>
      <c r="J514" s="937"/>
      <c r="K514" s="937"/>
      <c r="L514" s="937"/>
      <c r="M514" s="937"/>
      <c r="N514" s="937"/>
      <c r="O514" s="937"/>
      <c r="P514" s="937"/>
      <c r="Q514" s="937"/>
      <c r="R514" s="937"/>
      <c r="S514" s="937"/>
      <c r="T514" s="937"/>
      <c r="U514" s="937"/>
      <c r="V514" s="937"/>
      <c r="W514" s="937"/>
      <c r="X514" s="937"/>
      <c r="Y514" s="937"/>
      <c r="Z514" s="937"/>
    </row>
    <row r="515" spans="1:26" ht="15.75" customHeight="1">
      <c r="A515" s="937"/>
      <c r="B515" s="937"/>
      <c r="C515" s="937"/>
      <c r="D515" s="937"/>
      <c r="E515" s="937"/>
      <c r="F515" s="937"/>
      <c r="G515" s="937"/>
      <c r="H515" s="937"/>
      <c r="I515" s="937"/>
      <c r="J515" s="937"/>
      <c r="K515" s="937"/>
      <c r="L515" s="937"/>
      <c r="M515" s="937"/>
      <c r="N515" s="937"/>
      <c r="O515" s="937"/>
      <c r="P515" s="937"/>
      <c r="Q515" s="937"/>
      <c r="R515" s="937"/>
      <c r="S515" s="937"/>
      <c r="T515" s="937"/>
      <c r="U515" s="937"/>
      <c r="V515" s="937"/>
      <c r="W515" s="937"/>
      <c r="X515" s="937"/>
      <c r="Y515" s="937"/>
      <c r="Z515" s="937"/>
    </row>
    <row r="516" spans="1:26" ht="15.75" customHeight="1">
      <c r="A516" s="937"/>
      <c r="B516" s="937"/>
      <c r="C516" s="937"/>
      <c r="D516" s="937"/>
      <c r="E516" s="937"/>
      <c r="F516" s="937"/>
      <c r="G516" s="937"/>
      <c r="H516" s="937"/>
      <c r="I516" s="937"/>
      <c r="J516" s="937"/>
      <c r="K516" s="937"/>
      <c r="L516" s="937"/>
      <c r="M516" s="937"/>
      <c r="N516" s="937"/>
      <c r="O516" s="937"/>
      <c r="P516" s="937"/>
      <c r="Q516" s="937"/>
      <c r="R516" s="937"/>
      <c r="S516" s="937"/>
      <c r="T516" s="937"/>
      <c r="U516" s="937"/>
      <c r="V516" s="937"/>
      <c r="W516" s="937"/>
      <c r="X516" s="937"/>
      <c r="Y516" s="937"/>
      <c r="Z516" s="937"/>
    </row>
    <row r="517" spans="1:26" ht="15.75" customHeight="1">
      <c r="A517" s="937"/>
      <c r="B517" s="937"/>
      <c r="C517" s="937"/>
      <c r="D517" s="937"/>
      <c r="E517" s="937"/>
      <c r="F517" s="937"/>
      <c r="G517" s="937"/>
      <c r="H517" s="937"/>
      <c r="I517" s="937"/>
      <c r="J517" s="937"/>
      <c r="K517" s="937"/>
      <c r="L517" s="937"/>
      <c r="M517" s="937"/>
      <c r="N517" s="937"/>
      <c r="O517" s="937"/>
      <c r="P517" s="937"/>
      <c r="Q517" s="937"/>
      <c r="R517" s="937"/>
      <c r="S517" s="937"/>
      <c r="T517" s="937"/>
      <c r="U517" s="937"/>
      <c r="V517" s="937"/>
      <c r="W517" s="937"/>
      <c r="X517" s="937"/>
      <c r="Y517" s="937"/>
      <c r="Z517" s="937"/>
    </row>
    <row r="518" spans="1:26" ht="15.75" customHeight="1">
      <c r="A518" s="937"/>
      <c r="B518" s="937"/>
      <c r="C518" s="937"/>
      <c r="D518" s="937"/>
      <c r="E518" s="937"/>
      <c r="F518" s="937"/>
      <c r="G518" s="937"/>
      <c r="H518" s="937"/>
      <c r="I518" s="937"/>
      <c r="J518" s="937"/>
      <c r="K518" s="937"/>
      <c r="L518" s="937"/>
      <c r="M518" s="937"/>
      <c r="N518" s="937"/>
      <c r="O518" s="937"/>
      <c r="P518" s="937"/>
      <c r="Q518" s="937"/>
      <c r="R518" s="937"/>
      <c r="S518" s="937"/>
      <c r="T518" s="937"/>
      <c r="U518" s="937"/>
      <c r="V518" s="937"/>
      <c r="W518" s="937"/>
      <c r="X518" s="937"/>
      <c r="Y518" s="937"/>
      <c r="Z518" s="937"/>
    </row>
    <row r="519" spans="1:26" ht="15.75" customHeight="1">
      <c r="A519" s="937"/>
      <c r="B519" s="937"/>
      <c r="C519" s="937"/>
      <c r="D519" s="937"/>
      <c r="E519" s="937"/>
      <c r="F519" s="937"/>
      <c r="G519" s="937"/>
      <c r="H519" s="937"/>
      <c r="I519" s="937"/>
      <c r="J519" s="937"/>
      <c r="K519" s="937"/>
      <c r="L519" s="937"/>
      <c r="M519" s="937"/>
      <c r="N519" s="937"/>
      <c r="O519" s="937"/>
      <c r="P519" s="937"/>
      <c r="Q519" s="937"/>
      <c r="R519" s="937"/>
      <c r="S519" s="937"/>
      <c r="T519" s="937"/>
      <c r="U519" s="937"/>
      <c r="V519" s="937"/>
      <c r="W519" s="937"/>
      <c r="X519" s="937"/>
      <c r="Y519" s="937"/>
      <c r="Z519" s="937"/>
    </row>
    <row r="520" spans="1:26" ht="15.75" customHeight="1">
      <c r="A520" s="937"/>
      <c r="B520" s="937"/>
      <c r="C520" s="937"/>
      <c r="D520" s="937"/>
      <c r="E520" s="937"/>
      <c r="F520" s="937"/>
      <c r="G520" s="937"/>
      <c r="H520" s="937"/>
      <c r="I520" s="937"/>
      <c r="J520" s="937"/>
      <c r="K520" s="937"/>
      <c r="L520" s="937"/>
      <c r="M520" s="937"/>
      <c r="N520" s="937"/>
      <c r="O520" s="937"/>
      <c r="P520" s="937"/>
      <c r="Q520" s="937"/>
      <c r="R520" s="937"/>
      <c r="S520" s="937"/>
      <c r="T520" s="937"/>
      <c r="U520" s="937"/>
      <c r="V520" s="937"/>
      <c r="W520" s="937"/>
      <c r="X520" s="937"/>
      <c r="Y520" s="937"/>
      <c r="Z520" s="937"/>
    </row>
    <row r="521" spans="1:26" ht="15.75" customHeight="1">
      <c r="A521" s="937"/>
      <c r="B521" s="937"/>
      <c r="C521" s="937"/>
      <c r="D521" s="937"/>
      <c r="E521" s="937"/>
      <c r="F521" s="937"/>
      <c r="G521" s="937"/>
      <c r="H521" s="937"/>
      <c r="I521" s="937"/>
      <c r="J521" s="937"/>
      <c r="K521" s="937"/>
      <c r="L521" s="937"/>
      <c r="M521" s="937"/>
      <c r="N521" s="937"/>
      <c r="O521" s="937"/>
      <c r="P521" s="937"/>
      <c r="Q521" s="937"/>
      <c r="R521" s="937"/>
      <c r="S521" s="937"/>
      <c r="T521" s="937"/>
      <c r="U521" s="937"/>
      <c r="V521" s="937"/>
      <c r="W521" s="937"/>
      <c r="X521" s="937"/>
      <c r="Y521" s="937"/>
      <c r="Z521" s="937"/>
    </row>
    <row r="522" spans="1:26" ht="15.75" customHeight="1">
      <c r="A522" s="937"/>
      <c r="B522" s="937"/>
      <c r="C522" s="937"/>
      <c r="D522" s="937"/>
      <c r="E522" s="937"/>
      <c r="F522" s="937"/>
      <c r="G522" s="937"/>
      <c r="H522" s="937"/>
      <c r="I522" s="937"/>
      <c r="J522" s="937"/>
      <c r="K522" s="937"/>
      <c r="L522" s="937"/>
      <c r="M522" s="937"/>
      <c r="N522" s="937"/>
      <c r="O522" s="937"/>
      <c r="P522" s="937"/>
      <c r="Q522" s="937"/>
      <c r="R522" s="937"/>
      <c r="S522" s="937"/>
      <c r="T522" s="937"/>
      <c r="U522" s="937"/>
      <c r="V522" s="937"/>
      <c r="W522" s="937"/>
      <c r="X522" s="937"/>
      <c r="Y522" s="937"/>
      <c r="Z522" s="937"/>
    </row>
    <row r="523" spans="1:26" ht="15.75" customHeight="1">
      <c r="A523" s="937"/>
      <c r="B523" s="937"/>
      <c r="C523" s="937"/>
      <c r="D523" s="937"/>
      <c r="E523" s="937"/>
      <c r="F523" s="937"/>
      <c r="G523" s="937"/>
      <c r="H523" s="937"/>
      <c r="I523" s="937"/>
      <c r="J523" s="937"/>
      <c r="K523" s="937"/>
      <c r="L523" s="937"/>
      <c r="M523" s="937"/>
      <c r="N523" s="937"/>
      <c r="O523" s="937"/>
      <c r="P523" s="937"/>
      <c r="Q523" s="937"/>
      <c r="R523" s="937"/>
      <c r="S523" s="937"/>
      <c r="T523" s="937"/>
      <c r="U523" s="937"/>
      <c r="V523" s="937"/>
      <c r="W523" s="937"/>
      <c r="X523" s="937"/>
      <c r="Y523" s="937"/>
      <c r="Z523" s="937"/>
    </row>
    <row r="524" spans="1:26" ht="15.75" customHeight="1">
      <c r="A524" s="937"/>
      <c r="B524" s="937"/>
      <c r="C524" s="937"/>
      <c r="D524" s="937"/>
      <c r="E524" s="937"/>
      <c r="F524" s="937"/>
      <c r="G524" s="937"/>
      <c r="H524" s="937"/>
      <c r="I524" s="937"/>
      <c r="J524" s="937"/>
      <c r="K524" s="937"/>
      <c r="L524" s="937"/>
      <c r="M524" s="937"/>
      <c r="N524" s="937"/>
      <c r="O524" s="937"/>
      <c r="P524" s="937"/>
      <c r="Q524" s="937"/>
      <c r="R524" s="937"/>
      <c r="S524" s="937"/>
      <c r="T524" s="937"/>
      <c r="U524" s="937"/>
      <c r="V524" s="937"/>
      <c r="W524" s="937"/>
      <c r="X524" s="937"/>
      <c r="Y524" s="937"/>
      <c r="Z524" s="937"/>
    </row>
    <row r="525" spans="1:26" ht="15.75" customHeight="1">
      <c r="A525" s="937"/>
      <c r="B525" s="937"/>
      <c r="C525" s="937"/>
      <c r="D525" s="937"/>
      <c r="E525" s="937"/>
      <c r="F525" s="937"/>
      <c r="G525" s="937"/>
      <c r="H525" s="937"/>
      <c r="I525" s="937"/>
      <c r="J525" s="937"/>
      <c r="K525" s="937"/>
      <c r="L525" s="937"/>
      <c r="M525" s="937"/>
      <c r="N525" s="937"/>
      <c r="O525" s="937"/>
      <c r="P525" s="937"/>
      <c r="Q525" s="937"/>
      <c r="R525" s="937"/>
      <c r="S525" s="937"/>
      <c r="T525" s="937"/>
      <c r="U525" s="937"/>
      <c r="V525" s="937"/>
      <c r="W525" s="937"/>
      <c r="X525" s="937"/>
      <c r="Y525" s="937"/>
      <c r="Z525" s="937"/>
    </row>
    <row r="526" spans="1:26" ht="15.75" customHeight="1">
      <c r="A526" s="937"/>
      <c r="B526" s="937"/>
      <c r="C526" s="937"/>
      <c r="D526" s="937"/>
      <c r="E526" s="937"/>
      <c r="F526" s="937"/>
      <c r="G526" s="937"/>
      <c r="H526" s="937"/>
      <c r="I526" s="937"/>
      <c r="J526" s="937"/>
      <c r="K526" s="937"/>
      <c r="L526" s="937"/>
      <c r="M526" s="937"/>
      <c r="N526" s="937"/>
      <c r="O526" s="937"/>
      <c r="P526" s="937"/>
      <c r="Q526" s="937"/>
      <c r="R526" s="937"/>
      <c r="S526" s="937"/>
      <c r="T526" s="937"/>
      <c r="U526" s="937"/>
      <c r="V526" s="937"/>
      <c r="W526" s="937"/>
      <c r="X526" s="937"/>
      <c r="Y526" s="937"/>
      <c r="Z526" s="937"/>
    </row>
    <row r="527" spans="1:26" ht="15.75" customHeight="1">
      <c r="A527" s="937"/>
      <c r="B527" s="937"/>
      <c r="C527" s="937"/>
      <c r="D527" s="937"/>
      <c r="E527" s="937"/>
      <c r="F527" s="937"/>
      <c r="G527" s="937"/>
      <c r="H527" s="937"/>
      <c r="I527" s="937"/>
      <c r="J527" s="937"/>
      <c r="K527" s="937"/>
      <c r="L527" s="937"/>
      <c r="M527" s="937"/>
      <c r="N527" s="937"/>
      <c r="O527" s="937"/>
      <c r="P527" s="937"/>
      <c r="Q527" s="937"/>
      <c r="R527" s="937"/>
      <c r="S527" s="937"/>
      <c r="T527" s="937"/>
      <c r="U527" s="937"/>
      <c r="V527" s="937"/>
      <c r="W527" s="937"/>
      <c r="X527" s="937"/>
      <c r="Y527" s="937"/>
      <c r="Z527" s="937"/>
    </row>
    <row r="528" spans="1:26" ht="15.75" customHeight="1">
      <c r="A528" s="937"/>
      <c r="B528" s="937"/>
      <c r="C528" s="937"/>
      <c r="D528" s="937"/>
      <c r="E528" s="937"/>
      <c r="F528" s="937"/>
      <c r="G528" s="937"/>
      <c r="H528" s="937"/>
      <c r="I528" s="937"/>
      <c r="J528" s="937"/>
      <c r="K528" s="937"/>
      <c r="L528" s="937"/>
      <c r="M528" s="937"/>
      <c r="N528" s="937"/>
      <c r="O528" s="937"/>
      <c r="P528" s="937"/>
      <c r="Q528" s="937"/>
      <c r="R528" s="937"/>
      <c r="S528" s="937"/>
      <c r="T528" s="937"/>
      <c r="U528" s="937"/>
      <c r="V528" s="937"/>
      <c r="W528" s="937"/>
      <c r="X528" s="937"/>
      <c r="Y528" s="937"/>
      <c r="Z528" s="937"/>
    </row>
    <row r="529" spans="1:26" ht="15.75" customHeight="1">
      <c r="A529" s="937"/>
      <c r="B529" s="937"/>
      <c r="C529" s="937"/>
      <c r="D529" s="937"/>
      <c r="E529" s="937"/>
      <c r="F529" s="937"/>
      <c r="G529" s="937"/>
      <c r="H529" s="937"/>
      <c r="I529" s="937"/>
      <c r="J529" s="937"/>
      <c r="K529" s="937"/>
      <c r="L529" s="937"/>
      <c r="M529" s="937"/>
      <c r="N529" s="937"/>
      <c r="O529" s="937"/>
      <c r="P529" s="937"/>
      <c r="Q529" s="937"/>
      <c r="R529" s="937"/>
      <c r="S529" s="937"/>
      <c r="T529" s="937"/>
      <c r="U529" s="937"/>
      <c r="V529" s="937"/>
      <c r="W529" s="937"/>
      <c r="X529" s="937"/>
      <c r="Y529" s="937"/>
      <c r="Z529" s="937"/>
    </row>
    <row r="530" spans="1:26" ht="15.75" customHeight="1">
      <c r="A530" s="937"/>
      <c r="B530" s="937"/>
      <c r="C530" s="937"/>
      <c r="D530" s="937"/>
      <c r="E530" s="937"/>
      <c r="F530" s="937"/>
      <c r="G530" s="937"/>
      <c r="H530" s="937"/>
      <c r="I530" s="937"/>
      <c r="J530" s="937"/>
      <c r="K530" s="937"/>
      <c r="L530" s="937"/>
      <c r="M530" s="937"/>
      <c r="N530" s="937"/>
      <c r="O530" s="937"/>
      <c r="P530" s="937"/>
      <c r="Q530" s="937"/>
      <c r="R530" s="937"/>
      <c r="S530" s="937"/>
      <c r="T530" s="937"/>
      <c r="U530" s="937"/>
      <c r="V530" s="937"/>
      <c r="W530" s="937"/>
      <c r="X530" s="937"/>
      <c r="Y530" s="937"/>
      <c r="Z530" s="937"/>
    </row>
    <row r="531" spans="1:26" ht="15.75" customHeight="1">
      <c r="A531" s="937"/>
      <c r="B531" s="937"/>
      <c r="C531" s="937"/>
      <c r="D531" s="937"/>
      <c r="E531" s="937"/>
      <c r="F531" s="937"/>
      <c r="G531" s="937"/>
      <c r="H531" s="937"/>
      <c r="I531" s="937"/>
      <c r="J531" s="937"/>
      <c r="K531" s="937"/>
      <c r="L531" s="937"/>
      <c r="M531" s="937"/>
      <c r="N531" s="937"/>
      <c r="O531" s="937"/>
      <c r="P531" s="937"/>
      <c r="Q531" s="937"/>
      <c r="R531" s="937"/>
      <c r="S531" s="937"/>
      <c r="T531" s="937"/>
      <c r="U531" s="937"/>
      <c r="V531" s="937"/>
      <c r="W531" s="937"/>
      <c r="X531" s="937"/>
      <c r="Y531" s="937"/>
      <c r="Z531" s="937"/>
    </row>
    <row r="532" spans="1:26" ht="15.75" customHeight="1">
      <c r="A532" s="937"/>
      <c r="B532" s="937"/>
      <c r="C532" s="937"/>
      <c r="D532" s="937"/>
      <c r="E532" s="937"/>
      <c r="F532" s="937"/>
      <c r="G532" s="937"/>
      <c r="H532" s="937"/>
      <c r="I532" s="937"/>
      <c r="J532" s="937"/>
      <c r="K532" s="937"/>
      <c r="L532" s="937"/>
      <c r="M532" s="937"/>
      <c r="N532" s="937"/>
      <c r="O532" s="937"/>
      <c r="P532" s="937"/>
      <c r="Q532" s="937"/>
      <c r="R532" s="937"/>
      <c r="S532" s="937"/>
      <c r="T532" s="937"/>
      <c r="U532" s="937"/>
      <c r="V532" s="937"/>
      <c r="W532" s="937"/>
      <c r="X532" s="937"/>
      <c r="Y532" s="937"/>
      <c r="Z532" s="937"/>
    </row>
    <row r="533" spans="1:26" ht="15.75" customHeight="1">
      <c r="A533" s="937"/>
      <c r="B533" s="937"/>
      <c r="C533" s="937"/>
      <c r="D533" s="937"/>
      <c r="E533" s="937"/>
      <c r="F533" s="937"/>
      <c r="G533" s="937"/>
      <c r="H533" s="937"/>
      <c r="I533" s="937"/>
      <c r="J533" s="937"/>
      <c r="K533" s="937"/>
      <c r="L533" s="937"/>
      <c r="M533" s="937"/>
      <c r="N533" s="937"/>
      <c r="O533" s="937"/>
      <c r="P533" s="937"/>
      <c r="Q533" s="937"/>
      <c r="R533" s="937"/>
      <c r="S533" s="937"/>
      <c r="T533" s="937"/>
      <c r="U533" s="937"/>
      <c r="V533" s="937"/>
      <c r="W533" s="937"/>
      <c r="X533" s="937"/>
      <c r="Y533" s="937"/>
      <c r="Z533" s="937"/>
    </row>
    <row r="534" spans="1:26" ht="15.75" customHeight="1">
      <c r="A534" s="937"/>
      <c r="B534" s="937"/>
      <c r="C534" s="937"/>
      <c r="D534" s="937"/>
      <c r="E534" s="937"/>
      <c r="F534" s="937"/>
      <c r="G534" s="937"/>
      <c r="H534" s="937"/>
      <c r="I534" s="937"/>
      <c r="J534" s="937"/>
      <c r="K534" s="937"/>
      <c r="L534" s="937"/>
      <c r="M534" s="937"/>
      <c r="N534" s="937"/>
      <c r="O534" s="937"/>
      <c r="P534" s="937"/>
      <c r="Q534" s="937"/>
      <c r="R534" s="937"/>
      <c r="S534" s="937"/>
      <c r="T534" s="937"/>
      <c r="U534" s="937"/>
      <c r="V534" s="937"/>
      <c r="W534" s="937"/>
      <c r="X534" s="937"/>
      <c r="Y534" s="937"/>
      <c r="Z534" s="937"/>
    </row>
    <row r="535" spans="1:26" ht="15.75" customHeight="1">
      <c r="A535" s="937"/>
      <c r="B535" s="937"/>
      <c r="C535" s="937"/>
      <c r="D535" s="937"/>
      <c r="E535" s="937"/>
      <c r="F535" s="937"/>
      <c r="G535" s="937"/>
      <c r="H535" s="937"/>
      <c r="I535" s="937"/>
      <c r="J535" s="937"/>
      <c r="K535" s="937"/>
      <c r="L535" s="937"/>
      <c r="M535" s="937"/>
      <c r="N535" s="937"/>
      <c r="O535" s="937"/>
      <c r="P535" s="937"/>
      <c r="Q535" s="937"/>
      <c r="R535" s="937"/>
      <c r="S535" s="937"/>
      <c r="T535" s="937"/>
      <c r="U535" s="937"/>
      <c r="V535" s="937"/>
      <c r="W535" s="937"/>
      <c r="X535" s="937"/>
      <c r="Y535" s="937"/>
      <c r="Z535" s="937"/>
    </row>
    <row r="536" spans="1:26" ht="15.75" customHeight="1">
      <c r="A536" s="937"/>
      <c r="B536" s="937"/>
      <c r="C536" s="937"/>
      <c r="D536" s="937"/>
      <c r="E536" s="937"/>
      <c r="F536" s="937"/>
      <c r="G536" s="937"/>
      <c r="H536" s="937"/>
      <c r="I536" s="937"/>
      <c r="J536" s="937"/>
      <c r="K536" s="937"/>
      <c r="L536" s="937"/>
      <c r="M536" s="937"/>
      <c r="N536" s="937"/>
      <c r="O536" s="937"/>
      <c r="P536" s="937"/>
      <c r="Q536" s="937"/>
      <c r="R536" s="937"/>
      <c r="S536" s="937"/>
      <c r="T536" s="937"/>
      <c r="U536" s="937"/>
      <c r="V536" s="937"/>
      <c r="W536" s="937"/>
      <c r="X536" s="937"/>
      <c r="Y536" s="937"/>
      <c r="Z536" s="937"/>
    </row>
    <row r="537" spans="1:26" ht="15.75" customHeight="1">
      <c r="A537" s="937"/>
      <c r="B537" s="937"/>
      <c r="C537" s="937"/>
      <c r="D537" s="937"/>
      <c r="E537" s="937"/>
      <c r="F537" s="937"/>
      <c r="G537" s="937"/>
      <c r="H537" s="937"/>
      <c r="I537" s="937"/>
      <c r="J537" s="937"/>
      <c r="K537" s="937"/>
      <c r="L537" s="937"/>
      <c r="M537" s="937"/>
      <c r="N537" s="937"/>
      <c r="O537" s="937"/>
      <c r="P537" s="937"/>
      <c r="Q537" s="937"/>
      <c r="R537" s="937"/>
      <c r="S537" s="937"/>
      <c r="T537" s="937"/>
      <c r="U537" s="937"/>
      <c r="V537" s="937"/>
      <c r="W537" s="937"/>
      <c r="X537" s="937"/>
      <c r="Y537" s="937"/>
      <c r="Z537" s="937"/>
    </row>
    <row r="538" spans="1:26" ht="15.75" customHeight="1">
      <c r="A538" s="937"/>
      <c r="B538" s="937"/>
      <c r="C538" s="937"/>
      <c r="D538" s="937"/>
      <c r="E538" s="937"/>
      <c r="F538" s="937"/>
      <c r="G538" s="937"/>
      <c r="H538" s="937"/>
      <c r="I538" s="937"/>
      <c r="J538" s="937"/>
      <c r="K538" s="937"/>
      <c r="L538" s="937"/>
      <c r="M538" s="937"/>
      <c r="N538" s="937"/>
      <c r="O538" s="937"/>
      <c r="P538" s="937"/>
      <c r="Q538" s="937"/>
      <c r="R538" s="937"/>
      <c r="S538" s="937"/>
      <c r="T538" s="937"/>
      <c r="U538" s="937"/>
      <c r="V538" s="937"/>
      <c r="W538" s="937"/>
      <c r="X538" s="937"/>
      <c r="Y538" s="937"/>
      <c r="Z538" s="937"/>
    </row>
    <row r="539" spans="1:26" ht="15.75" customHeight="1">
      <c r="A539" s="937"/>
      <c r="B539" s="937"/>
      <c r="C539" s="937"/>
      <c r="D539" s="937"/>
      <c r="E539" s="937"/>
      <c r="F539" s="937"/>
      <c r="G539" s="937"/>
      <c r="H539" s="937"/>
      <c r="I539" s="937"/>
      <c r="J539" s="937"/>
      <c r="K539" s="937"/>
      <c r="L539" s="937"/>
      <c r="M539" s="937"/>
      <c r="N539" s="937"/>
      <c r="O539" s="937"/>
      <c r="P539" s="937"/>
      <c r="Q539" s="937"/>
      <c r="R539" s="937"/>
      <c r="S539" s="937"/>
      <c r="T539" s="937"/>
      <c r="U539" s="937"/>
      <c r="V539" s="937"/>
      <c r="W539" s="937"/>
      <c r="X539" s="937"/>
      <c r="Y539" s="937"/>
      <c r="Z539" s="937"/>
    </row>
    <row r="540" spans="1:26" ht="15.75" customHeight="1">
      <c r="A540" s="937"/>
      <c r="B540" s="937"/>
      <c r="C540" s="937"/>
      <c r="D540" s="937"/>
      <c r="E540" s="937"/>
      <c r="F540" s="937"/>
      <c r="G540" s="937"/>
      <c r="H540" s="937"/>
      <c r="I540" s="937"/>
      <c r="J540" s="937"/>
      <c r="K540" s="937"/>
      <c r="L540" s="937"/>
      <c r="M540" s="937"/>
      <c r="N540" s="937"/>
      <c r="O540" s="937"/>
      <c r="P540" s="937"/>
      <c r="Q540" s="937"/>
      <c r="R540" s="937"/>
      <c r="S540" s="937"/>
      <c r="T540" s="937"/>
      <c r="U540" s="937"/>
      <c r="V540" s="937"/>
      <c r="W540" s="937"/>
      <c r="X540" s="937"/>
      <c r="Y540" s="937"/>
      <c r="Z540" s="937"/>
    </row>
    <row r="541" spans="1:26" ht="15.75" customHeight="1">
      <c r="A541" s="937"/>
      <c r="B541" s="937"/>
      <c r="C541" s="937"/>
      <c r="D541" s="937"/>
      <c r="E541" s="937"/>
      <c r="F541" s="937"/>
      <c r="G541" s="937"/>
      <c r="H541" s="937"/>
      <c r="I541" s="937"/>
      <c r="J541" s="937"/>
      <c r="K541" s="937"/>
      <c r="L541" s="937"/>
      <c r="M541" s="937"/>
      <c r="N541" s="937"/>
      <c r="O541" s="937"/>
      <c r="P541" s="937"/>
      <c r="Q541" s="937"/>
      <c r="R541" s="937"/>
      <c r="S541" s="937"/>
      <c r="T541" s="937"/>
      <c r="U541" s="937"/>
      <c r="V541" s="937"/>
      <c r="W541" s="937"/>
      <c r="X541" s="937"/>
      <c r="Y541" s="937"/>
      <c r="Z541" s="937"/>
    </row>
    <row r="542" spans="1:26" ht="15.75" customHeight="1">
      <c r="A542" s="937"/>
      <c r="B542" s="937"/>
      <c r="C542" s="937"/>
      <c r="D542" s="937"/>
      <c r="E542" s="937"/>
      <c r="F542" s="937"/>
      <c r="G542" s="937"/>
      <c r="H542" s="937"/>
      <c r="I542" s="937"/>
      <c r="J542" s="937"/>
      <c r="K542" s="937"/>
      <c r="L542" s="937"/>
      <c r="M542" s="937"/>
      <c r="N542" s="937"/>
      <c r="O542" s="937"/>
      <c r="P542" s="937"/>
      <c r="Q542" s="937"/>
      <c r="R542" s="937"/>
      <c r="S542" s="937"/>
      <c r="T542" s="937"/>
      <c r="U542" s="937"/>
      <c r="V542" s="937"/>
      <c r="W542" s="937"/>
      <c r="X542" s="937"/>
      <c r="Y542" s="937"/>
      <c r="Z542" s="937"/>
    </row>
    <row r="543" spans="1:26" ht="15.75" customHeight="1">
      <c r="A543" s="937"/>
      <c r="B543" s="937"/>
      <c r="C543" s="937"/>
      <c r="D543" s="937"/>
      <c r="E543" s="937"/>
      <c r="F543" s="937"/>
      <c r="G543" s="937"/>
      <c r="H543" s="937"/>
      <c r="I543" s="937"/>
      <c r="J543" s="937"/>
      <c r="K543" s="937"/>
      <c r="L543" s="937"/>
      <c r="M543" s="937"/>
      <c r="N543" s="937"/>
      <c r="O543" s="937"/>
      <c r="P543" s="937"/>
      <c r="Q543" s="937"/>
      <c r="R543" s="937"/>
      <c r="S543" s="937"/>
      <c r="T543" s="937"/>
      <c r="U543" s="937"/>
      <c r="V543" s="937"/>
      <c r="W543" s="937"/>
      <c r="X543" s="937"/>
      <c r="Y543" s="937"/>
      <c r="Z543" s="937"/>
    </row>
    <row r="544" spans="1:26" ht="15.75" customHeight="1">
      <c r="A544" s="937"/>
      <c r="B544" s="937"/>
      <c r="C544" s="937"/>
      <c r="D544" s="937"/>
      <c r="E544" s="937"/>
      <c r="F544" s="937"/>
      <c r="G544" s="937"/>
      <c r="H544" s="937"/>
      <c r="I544" s="937"/>
      <c r="J544" s="937"/>
      <c r="K544" s="937"/>
      <c r="L544" s="937"/>
      <c r="M544" s="937"/>
      <c r="N544" s="937"/>
      <c r="O544" s="937"/>
      <c r="P544" s="937"/>
      <c r="Q544" s="937"/>
      <c r="R544" s="937"/>
      <c r="S544" s="937"/>
      <c r="T544" s="937"/>
      <c r="U544" s="937"/>
      <c r="V544" s="937"/>
      <c r="W544" s="937"/>
      <c r="X544" s="937"/>
      <c r="Y544" s="937"/>
      <c r="Z544" s="937"/>
    </row>
    <row r="545" spans="1:26" ht="15.75" customHeight="1">
      <c r="A545" s="937"/>
      <c r="B545" s="937"/>
      <c r="C545" s="937"/>
      <c r="D545" s="937"/>
      <c r="E545" s="937"/>
      <c r="F545" s="937"/>
      <c r="G545" s="937"/>
      <c r="H545" s="937"/>
      <c r="I545" s="937"/>
      <c r="J545" s="937"/>
      <c r="K545" s="937"/>
      <c r="L545" s="937"/>
      <c r="M545" s="937"/>
      <c r="N545" s="937"/>
      <c r="O545" s="937"/>
      <c r="P545" s="937"/>
      <c r="Q545" s="937"/>
      <c r="R545" s="937"/>
      <c r="S545" s="937"/>
      <c r="T545" s="937"/>
      <c r="U545" s="937"/>
      <c r="V545" s="937"/>
      <c r="W545" s="937"/>
      <c r="X545" s="937"/>
      <c r="Y545" s="937"/>
      <c r="Z545" s="937"/>
    </row>
    <row r="546" spans="1:26" ht="15.75" customHeight="1">
      <c r="A546" s="937"/>
      <c r="B546" s="937"/>
      <c r="C546" s="937"/>
      <c r="D546" s="937"/>
      <c r="E546" s="937"/>
      <c r="F546" s="937"/>
      <c r="G546" s="937"/>
      <c r="H546" s="937"/>
      <c r="I546" s="937"/>
      <c r="J546" s="937"/>
      <c r="K546" s="937"/>
      <c r="L546" s="937"/>
      <c r="M546" s="937"/>
      <c r="N546" s="937"/>
      <c r="O546" s="937"/>
      <c r="P546" s="937"/>
      <c r="Q546" s="937"/>
      <c r="R546" s="937"/>
      <c r="S546" s="937"/>
      <c r="T546" s="937"/>
      <c r="U546" s="937"/>
      <c r="V546" s="937"/>
      <c r="W546" s="937"/>
      <c r="X546" s="937"/>
      <c r="Y546" s="937"/>
      <c r="Z546" s="937"/>
    </row>
    <row r="547" spans="1:26" ht="15.75" customHeight="1">
      <c r="A547" s="937"/>
      <c r="B547" s="937"/>
      <c r="C547" s="937"/>
      <c r="D547" s="937"/>
      <c r="E547" s="937"/>
      <c r="F547" s="937"/>
      <c r="G547" s="937"/>
      <c r="H547" s="937"/>
      <c r="I547" s="937"/>
      <c r="J547" s="937"/>
      <c r="K547" s="937"/>
      <c r="L547" s="937"/>
      <c r="M547" s="937"/>
      <c r="N547" s="937"/>
      <c r="O547" s="937"/>
      <c r="P547" s="937"/>
      <c r="Q547" s="937"/>
      <c r="R547" s="937"/>
      <c r="S547" s="937"/>
      <c r="T547" s="937"/>
      <c r="U547" s="937"/>
      <c r="V547" s="937"/>
      <c r="W547" s="937"/>
      <c r="X547" s="937"/>
      <c r="Y547" s="937"/>
      <c r="Z547" s="937"/>
    </row>
    <row r="548" spans="1:26" ht="15.75" customHeight="1">
      <c r="A548" s="937"/>
      <c r="B548" s="937"/>
      <c r="C548" s="937"/>
      <c r="D548" s="937"/>
      <c r="E548" s="937"/>
      <c r="F548" s="937"/>
      <c r="G548" s="937"/>
      <c r="H548" s="937"/>
      <c r="I548" s="937"/>
      <c r="J548" s="937"/>
      <c r="K548" s="937"/>
      <c r="L548" s="937"/>
      <c r="M548" s="937"/>
      <c r="N548" s="937"/>
      <c r="O548" s="937"/>
      <c r="P548" s="937"/>
      <c r="Q548" s="937"/>
      <c r="R548" s="937"/>
      <c r="S548" s="937"/>
      <c r="T548" s="937"/>
      <c r="U548" s="937"/>
      <c r="V548" s="937"/>
      <c r="W548" s="937"/>
      <c r="X548" s="937"/>
      <c r="Y548" s="937"/>
      <c r="Z548" s="937"/>
    </row>
    <row r="549" spans="1:26" ht="15.75" customHeight="1">
      <c r="A549" s="937"/>
      <c r="B549" s="937"/>
      <c r="C549" s="937"/>
      <c r="D549" s="937"/>
      <c r="E549" s="937"/>
      <c r="F549" s="937"/>
      <c r="G549" s="937"/>
      <c r="H549" s="937"/>
      <c r="I549" s="937"/>
      <c r="J549" s="937"/>
      <c r="K549" s="937"/>
      <c r="L549" s="937"/>
      <c r="M549" s="937"/>
      <c r="N549" s="937"/>
      <c r="O549" s="937"/>
      <c r="P549" s="937"/>
      <c r="Q549" s="937"/>
      <c r="R549" s="937"/>
      <c r="S549" s="937"/>
      <c r="T549" s="937"/>
      <c r="U549" s="937"/>
      <c r="V549" s="937"/>
      <c r="W549" s="937"/>
      <c r="X549" s="937"/>
      <c r="Y549" s="937"/>
      <c r="Z549" s="937"/>
    </row>
    <row r="550" spans="1:26" ht="15.75" customHeight="1">
      <c r="A550" s="937"/>
      <c r="B550" s="937"/>
      <c r="C550" s="937"/>
      <c r="D550" s="937"/>
      <c r="E550" s="937"/>
      <c r="F550" s="937"/>
      <c r="G550" s="937"/>
      <c r="H550" s="937"/>
      <c r="I550" s="937"/>
      <c r="J550" s="937"/>
      <c r="K550" s="937"/>
      <c r="L550" s="937"/>
      <c r="M550" s="937"/>
      <c r="N550" s="937"/>
      <c r="O550" s="937"/>
      <c r="P550" s="937"/>
      <c r="Q550" s="937"/>
      <c r="R550" s="937"/>
      <c r="S550" s="937"/>
      <c r="T550" s="937"/>
      <c r="U550" s="937"/>
      <c r="V550" s="937"/>
      <c r="W550" s="937"/>
      <c r="X550" s="937"/>
      <c r="Y550" s="937"/>
      <c r="Z550" s="937"/>
    </row>
    <row r="551" spans="1:26" ht="15.75" customHeight="1">
      <c r="A551" s="937"/>
      <c r="B551" s="937"/>
      <c r="C551" s="937"/>
      <c r="D551" s="937"/>
      <c r="E551" s="937"/>
      <c r="F551" s="937"/>
      <c r="G551" s="937"/>
      <c r="H551" s="937"/>
      <c r="I551" s="937"/>
      <c r="J551" s="937"/>
      <c r="K551" s="937"/>
      <c r="L551" s="937"/>
      <c r="M551" s="937"/>
      <c r="N551" s="937"/>
      <c r="O551" s="937"/>
      <c r="P551" s="937"/>
      <c r="Q551" s="937"/>
      <c r="R551" s="937"/>
      <c r="S551" s="937"/>
      <c r="T551" s="937"/>
      <c r="U551" s="937"/>
      <c r="V551" s="937"/>
      <c r="W551" s="937"/>
      <c r="X551" s="937"/>
      <c r="Y551" s="937"/>
      <c r="Z551" s="937"/>
    </row>
    <row r="552" spans="1:26" ht="15.75" customHeight="1">
      <c r="A552" s="937"/>
      <c r="B552" s="937"/>
      <c r="C552" s="937"/>
      <c r="D552" s="937"/>
      <c r="E552" s="937"/>
      <c r="F552" s="937"/>
      <c r="G552" s="937"/>
      <c r="H552" s="937"/>
      <c r="I552" s="937"/>
      <c r="J552" s="937"/>
      <c r="K552" s="937"/>
      <c r="L552" s="937"/>
      <c r="M552" s="937"/>
      <c r="N552" s="937"/>
      <c r="O552" s="937"/>
      <c r="P552" s="937"/>
      <c r="Q552" s="937"/>
      <c r="R552" s="937"/>
      <c r="S552" s="937"/>
      <c r="T552" s="937"/>
      <c r="U552" s="937"/>
      <c r="V552" s="937"/>
      <c r="W552" s="937"/>
      <c r="X552" s="937"/>
      <c r="Y552" s="937"/>
      <c r="Z552" s="937"/>
    </row>
    <row r="553" spans="1:26" ht="15.75" customHeight="1">
      <c r="A553" s="937"/>
      <c r="B553" s="937"/>
      <c r="C553" s="937"/>
      <c r="D553" s="937"/>
      <c r="E553" s="937"/>
      <c r="F553" s="937"/>
      <c r="G553" s="937"/>
      <c r="H553" s="937"/>
      <c r="I553" s="937"/>
      <c r="J553" s="937"/>
      <c r="K553" s="937"/>
      <c r="L553" s="937"/>
      <c r="M553" s="937"/>
      <c r="N553" s="937"/>
      <c r="O553" s="937"/>
      <c r="P553" s="937"/>
      <c r="Q553" s="937"/>
      <c r="R553" s="937"/>
      <c r="S553" s="937"/>
      <c r="T553" s="937"/>
      <c r="U553" s="937"/>
      <c r="V553" s="937"/>
      <c r="W553" s="937"/>
      <c r="X553" s="937"/>
      <c r="Y553" s="937"/>
      <c r="Z553" s="937"/>
    </row>
    <row r="554" spans="1:26" ht="15.75" customHeight="1">
      <c r="A554" s="937"/>
      <c r="B554" s="937"/>
      <c r="C554" s="937"/>
      <c r="D554" s="937"/>
      <c r="E554" s="937"/>
      <c r="F554" s="937"/>
      <c r="G554" s="937"/>
      <c r="H554" s="937"/>
      <c r="I554" s="937"/>
      <c r="J554" s="937"/>
      <c r="K554" s="937"/>
      <c r="L554" s="937"/>
      <c r="M554" s="937"/>
      <c r="N554" s="937"/>
      <c r="O554" s="937"/>
      <c r="P554" s="937"/>
      <c r="Q554" s="937"/>
      <c r="R554" s="937"/>
      <c r="S554" s="937"/>
      <c r="T554" s="937"/>
      <c r="U554" s="937"/>
      <c r="V554" s="937"/>
      <c r="W554" s="937"/>
      <c r="X554" s="937"/>
      <c r="Y554" s="937"/>
      <c r="Z554" s="937"/>
    </row>
    <row r="555" spans="1:26" ht="15.75" customHeight="1">
      <c r="A555" s="937"/>
      <c r="B555" s="937"/>
      <c r="C555" s="937"/>
      <c r="D555" s="937"/>
      <c r="E555" s="937"/>
      <c r="F555" s="937"/>
      <c r="G555" s="937"/>
      <c r="H555" s="937"/>
      <c r="I555" s="937"/>
      <c r="J555" s="937"/>
      <c r="K555" s="937"/>
      <c r="L555" s="937"/>
      <c r="M555" s="937"/>
      <c r="N555" s="937"/>
      <c r="O555" s="937"/>
      <c r="P555" s="937"/>
      <c r="Q555" s="937"/>
      <c r="R555" s="937"/>
      <c r="S555" s="937"/>
      <c r="T555" s="937"/>
      <c r="U555" s="937"/>
      <c r="V555" s="937"/>
      <c r="W555" s="937"/>
      <c r="X555" s="937"/>
      <c r="Y555" s="937"/>
      <c r="Z555" s="937"/>
    </row>
    <row r="556" spans="1:26" ht="15.75" customHeight="1">
      <c r="A556" s="937"/>
      <c r="B556" s="937"/>
      <c r="C556" s="937"/>
      <c r="D556" s="937"/>
      <c r="E556" s="937"/>
      <c r="F556" s="937"/>
      <c r="G556" s="937"/>
      <c r="H556" s="937"/>
      <c r="I556" s="937"/>
      <c r="J556" s="937"/>
      <c r="K556" s="937"/>
      <c r="L556" s="937"/>
      <c r="M556" s="937"/>
      <c r="N556" s="937"/>
      <c r="O556" s="937"/>
      <c r="P556" s="937"/>
      <c r="Q556" s="937"/>
      <c r="R556" s="937"/>
      <c r="S556" s="937"/>
      <c r="T556" s="937"/>
      <c r="U556" s="937"/>
      <c r="V556" s="937"/>
      <c r="W556" s="937"/>
      <c r="X556" s="937"/>
      <c r="Y556" s="937"/>
      <c r="Z556" s="937"/>
    </row>
    <row r="557" spans="1:26" ht="15.75" customHeight="1">
      <c r="A557" s="937"/>
      <c r="B557" s="937"/>
      <c r="C557" s="937"/>
      <c r="D557" s="937"/>
      <c r="E557" s="937"/>
      <c r="F557" s="937"/>
      <c r="G557" s="937"/>
      <c r="H557" s="937"/>
      <c r="I557" s="937"/>
      <c r="J557" s="937"/>
      <c r="K557" s="937"/>
      <c r="L557" s="937"/>
      <c r="M557" s="937"/>
      <c r="N557" s="937"/>
      <c r="O557" s="937"/>
      <c r="P557" s="937"/>
      <c r="Q557" s="937"/>
      <c r="R557" s="937"/>
      <c r="S557" s="937"/>
      <c r="T557" s="937"/>
      <c r="U557" s="937"/>
      <c r="V557" s="937"/>
      <c r="W557" s="937"/>
      <c r="X557" s="937"/>
      <c r="Y557" s="937"/>
      <c r="Z557" s="937"/>
    </row>
    <row r="558" spans="1:26" ht="15.75" customHeight="1">
      <c r="A558" s="937"/>
      <c r="B558" s="937"/>
      <c r="C558" s="937"/>
      <c r="D558" s="937"/>
      <c r="E558" s="937"/>
      <c r="F558" s="937"/>
      <c r="G558" s="937"/>
      <c r="H558" s="937"/>
      <c r="I558" s="937"/>
      <c r="J558" s="937"/>
      <c r="K558" s="937"/>
      <c r="L558" s="937"/>
      <c r="M558" s="937"/>
      <c r="N558" s="937"/>
      <c r="O558" s="937"/>
      <c r="P558" s="937"/>
      <c r="Q558" s="937"/>
      <c r="R558" s="937"/>
      <c r="S558" s="937"/>
      <c r="T558" s="937"/>
      <c r="U558" s="937"/>
      <c r="V558" s="937"/>
      <c r="W558" s="937"/>
      <c r="X558" s="937"/>
      <c r="Y558" s="937"/>
      <c r="Z558" s="937"/>
    </row>
    <row r="559" spans="1:26" ht="15.75" customHeight="1">
      <c r="A559" s="937"/>
      <c r="B559" s="937"/>
      <c r="C559" s="937"/>
      <c r="D559" s="937"/>
      <c r="E559" s="937"/>
      <c r="F559" s="937"/>
      <c r="G559" s="937"/>
      <c r="H559" s="937"/>
      <c r="I559" s="937"/>
      <c r="J559" s="937"/>
      <c r="K559" s="937"/>
      <c r="L559" s="937"/>
      <c r="M559" s="937"/>
      <c r="N559" s="937"/>
      <c r="O559" s="937"/>
      <c r="P559" s="937"/>
      <c r="Q559" s="937"/>
      <c r="R559" s="937"/>
      <c r="S559" s="937"/>
      <c r="T559" s="937"/>
      <c r="U559" s="937"/>
      <c r="V559" s="937"/>
      <c r="W559" s="937"/>
      <c r="X559" s="937"/>
      <c r="Y559" s="937"/>
      <c r="Z559" s="937"/>
    </row>
    <row r="560" spans="1:26" ht="15.75" customHeight="1">
      <c r="A560" s="937"/>
      <c r="B560" s="937"/>
      <c r="C560" s="937"/>
      <c r="D560" s="937"/>
      <c r="E560" s="937"/>
      <c r="F560" s="937"/>
      <c r="G560" s="937"/>
      <c r="H560" s="937"/>
      <c r="I560" s="937"/>
      <c r="J560" s="937"/>
      <c r="K560" s="937"/>
      <c r="L560" s="937"/>
      <c r="M560" s="937"/>
      <c r="N560" s="937"/>
      <c r="O560" s="937"/>
      <c r="P560" s="937"/>
      <c r="Q560" s="937"/>
      <c r="R560" s="937"/>
      <c r="S560" s="937"/>
      <c r="T560" s="937"/>
      <c r="U560" s="937"/>
      <c r="V560" s="937"/>
      <c r="W560" s="937"/>
      <c r="X560" s="937"/>
      <c r="Y560" s="937"/>
      <c r="Z560" s="937"/>
    </row>
    <row r="561" spans="1:26" ht="15.75" customHeight="1">
      <c r="A561" s="937"/>
      <c r="B561" s="937"/>
      <c r="C561" s="937"/>
      <c r="D561" s="937"/>
      <c r="E561" s="937"/>
      <c r="F561" s="937"/>
      <c r="G561" s="937"/>
      <c r="H561" s="937"/>
      <c r="I561" s="937"/>
      <c r="J561" s="937"/>
      <c r="K561" s="937"/>
      <c r="L561" s="937"/>
      <c r="M561" s="937"/>
      <c r="N561" s="937"/>
      <c r="O561" s="937"/>
      <c r="P561" s="937"/>
      <c r="Q561" s="937"/>
      <c r="R561" s="937"/>
      <c r="S561" s="937"/>
      <c r="T561" s="937"/>
      <c r="U561" s="937"/>
      <c r="V561" s="937"/>
      <c r="W561" s="937"/>
      <c r="X561" s="937"/>
      <c r="Y561" s="937"/>
      <c r="Z561" s="937"/>
    </row>
    <row r="562" spans="1:26" ht="15.75" customHeight="1">
      <c r="A562" s="937"/>
      <c r="B562" s="937"/>
      <c r="C562" s="937"/>
      <c r="D562" s="937"/>
      <c r="E562" s="937"/>
      <c r="F562" s="937"/>
      <c r="G562" s="937"/>
      <c r="H562" s="937"/>
      <c r="I562" s="937"/>
      <c r="J562" s="937"/>
      <c r="K562" s="937"/>
      <c r="L562" s="937"/>
      <c r="M562" s="937"/>
      <c r="N562" s="937"/>
      <c r="O562" s="937"/>
      <c r="P562" s="937"/>
      <c r="Q562" s="937"/>
      <c r="R562" s="937"/>
      <c r="S562" s="937"/>
      <c r="T562" s="937"/>
      <c r="U562" s="937"/>
      <c r="V562" s="937"/>
      <c r="W562" s="937"/>
      <c r="X562" s="937"/>
      <c r="Y562" s="937"/>
      <c r="Z562" s="937"/>
    </row>
    <row r="563" spans="1:26" ht="15.75" customHeight="1">
      <c r="A563" s="937"/>
      <c r="B563" s="937"/>
      <c r="C563" s="937"/>
      <c r="D563" s="937"/>
      <c r="E563" s="937"/>
      <c r="F563" s="937"/>
      <c r="G563" s="937"/>
      <c r="H563" s="937"/>
      <c r="I563" s="937"/>
      <c r="J563" s="937"/>
      <c r="K563" s="937"/>
      <c r="L563" s="937"/>
      <c r="M563" s="937"/>
      <c r="N563" s="937"/>
      <c r="O563" s="937"/>
      <c r="P563" s="937"/>
      <c r="Q563" s="937"/>
      <c r="R563" s="937"/>
      <c r="S563" s="937"/>
      <c r="T563" s="937"/>
      <c r="U563" s="937"/>
      <c r="V563" s="937"/>
      <c r="W563" s="937"/>
      <c r="X563" s="937"/>
      <c r="Y563" s="937"/>
      <c r="Z563" s="937"/>
    </row>
    <row r="564" spans="1:26" ht="15.75" customHeight="1">
      <c r="A564" s="937"/>
      <c r="B564" s="937"/>
      <c r="C564" s="937"/>
      <c r="D564" s="937"/>
      <c r="E564" s="937"/>
      <c r="F564" s="937"/>
      <c r="G564" s="937"/>
      <c r="H564" s="937"/>
      <c r="I564" s="937"/>
      <c r="J564" s="937"/>
      <c r="K564" s="937"/>
      <c r="L564" s="937"/>
      <c r="M564" s="937"/>
      <c r="N564" s="937"/>
      <c r="O564" s="937"/>
      <c r="P564" s="937"/>
      <c r="Q564" s="937"/>
      <c r="R564" s="937"/>
      <c r="S564" s="937"/>
      <c r="T564" s="937"/>
      <c r="U564" s="937"/>
      <c r="V564" s="937"/>
      <c r="W564" s="937"/>
      <c r="X564" s="937"/>
      <c r="Y564" s="937"/>
      <c r="Z564" s="937"/>
    </row>
    <row r="565" spans="1:26" ht="15.75" customHeight="1">
      <c r="A565" s="937"/>
      <c r="B565" s="937"/>
      <c r="C565" s="937"/>
      <c r="D565" s="937"/>
      <c r="E565" s="937"/>
      <c r="F565" s="937"/>
      <c r="G565" s="937"/>
      <c r="H565" s="937"/>
      <c r="I565" s="937"/>
      <c r="J565" s="937"/>
      <c r="K565" s="937"/>
      <c r="L565" s="937"/>
      <c r="M565" s="937"/>
      <c r="N565" s="937"/>
      <c r="O565" s="937"/>
      <c r="P565" s="937"/>
      <c r="Q565" s="937"/>
      <c r="R565" s="937"/>
      <c r="S565" s="937"/>
      <c r="T565" s="937"/>
      <c r="U565" s="937"/>
      <c r="V565" s="937"/>
      <c r="W565" s="937"/>
      <c r="X565" s="937"/>
      <c r="Y565" s="937"/>
      <c r="Z565" s="937"/>
    </row>
    <row r="566" spans="1:26" ht="15.75" customHeight="1">
      <c r="A566" s="937"/>
      <c r="B566" s="937"/>
      <c r="C566" s="937"/>
      <c r="D566" s="937"/>
      <c r="E566" s="937"/>
      <c r="F566" s="937"/>
      <c r="G566" s="937"/>
      <c r="H566" s="937"/>
      <c r="I566" s="937"/>
      <c r="J566" s="937"/>
      <c r="K566" s="937"/>
      <c r="L566" s="937"/>
      <c r="M566" s="937"/>
      <c r="N566" s="937"/>
      <c r="O566" s="937"/>
      <c r="P566" s="937"/>
      <c r="Q566" s="937"/>
      <c r="R566" s="937"/>
      <c r="S566" s="937"/>
      <c r="T566" s="937"/>
      <c r="U566" s="937"/>
      <c r="V566" s="937"/>
      <c r="W566" s="937"/>
      <c r="X566" s="937"/>
      <c r="Y566" s="937"/>
      <c r="Z566" s="937"/>
    </row>
    <row r="567" spans="1:26" ht="15.75" customHeight="1">
      <c r="A567" s="937"/>
      <c r="B567" s="937"/>
      <c r="C567" s="937"/>
      <c r="D567" s="937"/>
      <c r="E567" s="937"/>
      <c r="F567" s="937"/>
      <c r="G567" s="937"/>
      <c r="H567" s="937"/>
      <c r="I567" s="937"/>
      <c r="J567" s="937"/>
      <c r="K567" s="937"/>
      <c r="L567" s="937"/>
      <c r="M567" s="937"/>
      <c r="N567" s="937"/>
      <c r="O567" s="937"/>
      <c r="P567" s="937"/>
      <c r="Q567" s="937"/>
      <c r="R567" s="937"/>
      <c r="S567" s="937"/>
      <c r="T567" s="937"/>
      <c r="U567" s="937"/>
      <c r="V567" s="937"/>
      <c r="W567" s="937"/>
      <c r="X567" s="937"/>
      <c r="Y567" s="937"/>
      <c r="Z567" s="937"/>
    </row>
    <row r="568" spans="1:26" ht="15.75" customHeight="1">
      <c r="A568" s="937"/>
      <c r="B568" s="937"/>
      <c r="C568" s="937"/>
      <c r="D568" s="937"/>
      <c r="E568" s="937"/>
      <c r="F568" s="937"/>
      <c r="G568" s="937"/>
      <c r="H568" s="937"/>
      <c r="I568" s="937"/>
      <c r="J568" s="937"/>
      <c r="K568" s="937"/>
      <c r="L568" s="937"/>
      <c r="M568" s="937"/>
      <c r="N568" s="937"/>
      <c r="O568" s="937"/>
      <c r="P568" s="937"/>
      <c r="Q568" s="937"/>
      <c r="R568" s="937"/>
      <c r="S568" s="937"/>
      <c r="T568" s="937"/>
      <c r="U568" s="937"/>
      <c r="V568" s="937"/>
      <c r="W568" s="937"/>
      <c r="X568" s="937"/>
      <c r="Y568" s="937"/>
      <c r="Z568" s="937"/>
    </row>
    <row r="569" spans="1:26" ht="15.75" customHeight="1">
      <c r="A569" s="937"/>
      <c r="B569" s="937"/>
      <c r="C569" s="937"/>
      <c r="D569" s="937"/>
      <c r="E569" s="937"/>
      <c r="F569" s="937"/>
      <c r="G569" s="937"/>
      <c r="H569" s="937"/>
      <c r="I569" s="937"/>
      <c r="J569" s="937"/>
      <c r="K569" s="937"/>
      <c r="L569" s="937"/>
      <c r="M569" s="937"/>
      <c r="N569" s="937"/>
      <c r="O569" s="937"/>
      <c r="P569" s="937"/>
      <c r="Q569" s="937"/>
      <c r="R569" s="937"/>
      <c r="S569" s="937"/>
      <c r="T569" s="937"/>
      <c r="U569" s="937"/>
      <c r="V569" s="937"/>
      <c r="W569" s="937"/>
      <c r="X569" s="937"/>
      <c r="Y569" s="937"/>
      <c r="Z569" s="937"/>
    </row>
    <row r="570" spans="1:26" ht="15.75" customHeight="1">
      <c r="A570" s="937"/>
      <c r="B570" s="937"/>
      <c r="C570" s="937"/>
      <c r="D570" s="937"/>
      <c r="E570" s="937"/>
      <c r="F570" s="937"/>
      <c r="G570" s="937"/>
      <c r="H570" s="937"/>
      <c r="I570" s="937"/>
      <c r="J570" s="937"/>
      <c r="K570" s="937"/>
      <c r="L570" s="937"/>
      <c r="M570" s="937"/>
      <c r="N570" s="937"/>
      <c r="O570" s="937"/>
      <c r="P570" s="937"/>
      <c r="Q570" s="937"/>
      <c r="R570" s="937"/>
      <c r="S570" s="937"/>
      <c r="T570" s="937"/>
      <c r="U570" s="937"/>
      <c r="V570" s="937"/>
      <c r="W570" s="937"/>
      <c r="X570" s="937"/>
      <c r="Y570" s="937"/>
      <c r="Z570" s="937"/>
    </row>
    <row r="571" spans="1:26" ht="15.75" customHeight="1">
      <c r="A571" s="937"/>
      <c r="B571" s="937"/>
      <c r="C571" s="937"/>
      <c r="D571" s="937"/>
      <c r="E571" s="937"/>
      <c r="F571" s="937"/>
      <c r="G571" s="937"/>
      <c r="H571" s="937"/>
      <c r="I571" s="937"/>
      <c r="J571" s="937"/>
      <c r="K571" s="937"/>
      <c r="L571" s="937"/>
      <c r="M571" s="937"/>
      <c r="N571" s="937"/>
      <c r="O571" s="937"/>
      <c r="P571" s="937"/>
      <c r="Q571" s="937"/>
      <c r="R571" s="937"/>
      <c r="S571" s="937"/>
      <c r="T571" s="937"/>
      <c r="U571" s="937"/>
      <c r="V571" s="937"/>
      <c r="W571" s="937"/>
      <c r="X571" s="937"/>
      <c r="Y571" s="937"/>
      <c r="Z571" s="937"/>
    </row>
    <row r="572" spans="1:26" ht="15.75" customHeight="1">
      <c r="A572" s="937"/>
      <c r="B572" s="937"/>
      <c r="C572" s="937"/>
      <c r="D572" s="937"/>
      <c r="E572" s="937"/>
      <c r="F572" s="937"/>
      <c r="G572" s="937"/>
      <c r="H572" s="937"/>
      <c r="I572" s="937"/>
      <c r="J572" s="937"/>
      <c r="K572" s="937"/>
      <c r="L572" s="937"/>
      <c r="M572" s="937"/>
      <c r="N572" s="937"/>
      <c r="O572" s="937"/>
      <c r="P572" s="937"/>
      <c r="Q572" s="937"/>
      <c r="R572" s="937"/>
      <c r="S572" s="937"/>
      <c r="T572" s="937"/>
      <c r="U572" s="937"/>
      <c r="V572" s="937"/>
      <c r="W572" s="937"/>
      <c r="X572" s="937"/>
      <c r="Y572" s="937"/>
      <c r="Z572" s="937"/>
    </row>
    <row r="573" spans="1:26" ht="15.75" customHeight="1">
      <c r="A573" s="937"/>
      <c r="B573" s="937"/>
      <c r="C573" s="937"/>
      <c r="D573" s="937"/>
      <c r="E573" s="937"/>
      <c r="F573" s="937"/>
      <c r="G573" s="937"/>
      <c r="H573" s="937"/>
      <c r="I573" s="937"/>
      <c r="J573" s="937"/>
      <c r="K573" s="937"/>
      <c r="L573" s="937"/>
      <c r="M573" s="937"/>
      <c r="N573" s="937"/>
      <c r="O573" s="937"/>
      <c r="P573" s="937"/>
      <c r="Q573" s="937"/>
      <c r="R573" s="937"/>
      <c r="S573" s="937"/>
      <c r="T573" s="937"/>
      <c r="U573" s="937"/>
      <c r="V573" s="937"/>
      <c r="W573" s="937"/>
      <c r="X573" s="937"/>
      <c r="Y573" s="937"/>
      <c r="Z573" s="937"/>
    </row>
    <row r="574" spans="1:26" ht="15.75" customHeight="1">
      <c r="A574" s="937"/>
      <c r="B574" s="937"/>
      <c r="C574" s="937"/>
      <c r="D574" s="937"/>
      <c r="E574" s="937"/>
      <c r="F574" s="937"/>
      <c r="G574" s="937"/>
      <c r="H574" s="937"/>
      <c r="I574" s="937"/>
      <c r="J574" s="937"/>
      <c r="K574" s="937"/>
      <c r="L574" s="937"/>
      <c r="M574" s="937"/>
      <c r="N574" s="937"/>
      <c r="O574" s="937"/>
      <c r="P574" s="937"/>
      <c r="Q574" s="937"/>
      <c r="R574" s="937"/>
      <c r="S574" s="937"/>
      <c r="T574" s="937"/>
      <c r="U574" s="937"/>
      <c r="V574" s="937"/>
      <c r="W574" s="937"/>
      <c r="X574" s="937"/>
      <c r="Y574" s="937"/>
      <c r="Z574" s="937"/>
    </row>
    <row r="575" spans="1:26" ht="15.75" customHeight="1">
      <c r="A575" s="937"/>
      <c r="B575" s="937"/>
      <c r="C575" s="937"/>
      <c r="D575" s="937"/>
      <c r="E575" s="937"/>
      <c r="F575" s="937"/>
      <c r="G575" s="937"/>
      <c r="H575" s="937"/>
      <c r="I575" s="937"/>
      <c r="J575" s="937"/>
      <c r="K575" s="937"/>
      <c r="L575" s="937"/>
      <c r="M575" s="937"/>
      <c r="N575" s="937"/>
      <c r="O575" s="937"/>
      <c r="P575" s="937"/>
      <c r="Q575" s="937"/>
      <c r="R575" s="937"/>
      <c r="S575" s="937"/>
      <c r="T575" s="937"/>
      <c r="U575" s="937"/>
      <c r="V575" s="937"/>
      <c r="W575" s="937"/>
      <c r="X575" s="937"/>
      <c r="Y575" s="937"/>
      <c r="Z575" s="937"/>
    </row>
    <row r="576" spans="1:26" ht="15.75" customHeight="1">
      <c r="A576" s="937"/>
      <c r="B576" s="937"/>
      <c r="C576" s="937"/>
      <c r="D576" s="937"/>
      <c r="E576" s="937"/>
      <c r="F576" s="937"/>
      <c r="G576" s="937"/>
      <c r="H576" s="937"/>
      <c r="I576" s="937"/>
      <c r="J576" s="937"/>
      <c r="K576" s="937"/>
      <c r="L576" s="937"/>
      <c r="M576" s="937"/>
      <c r="N576" s="937"/>
      <c r="O576" s="937"/>
      <c r="P576" s="937"/>
      <c r="Q576" s="937"/>
      <c r="R576" s="937"/>
      <c r="S576" s="937"/>
      <c r="T576" s="937"/>
      <c r="U576" s="937"/>
      <c r="V576" s="937"/>
      <c r="W576" s="937"/>
      <c r="X576" s="937"/>
      <c r="Y576" s="937"/>
      <c r="Z576" s="937"/>
    </row>
    <row r="577" spans="1:26" ht="15.75" customHeight="1">
      <c r="A577" s="937"/>
      <c r="B577" s="937"/>
      <c r="C577" s="937"/>
      <c r="D577" s="937"/>
      <c r="E577" s="937"/>
      <c r="F577" s="937"/>
      <c r="G577" s="937"/>
      <c r="H577" s="937"/>
      <c r="I577" s="937"/>
      <c r="J577" s="937"/>
      <c r="K577" s="937"/>
      <c r="L577" s="937"/>
      <c r="M577" s="937"/>
      <c r="N577" s="937"/>
      <c r="O577" s="937"/>
      <c r="P577" s="937"/>
      <c r="Q577" s="937"/>
      <c r="R577" s="937"/>
      <c r="S577" s="937"/>
      <c r="T577" s="937"/>
      <c r="U577" s="937"/>
      <c r="V577" s="937"/>
      <c r="W577" s="937"/>
      <c r="X577" s="937"/>
      <c r="Y577" s="937"/>
      <c r="Z577" s="937"/>
    </row>
    <row r="578" spans="1:26" ht="15.75" customHeight="1">
      <c r="A578" s="937"/>
      <c r="B578" s="937"/>
      <c r="C578" s="937"/>
      <c r="D578" s="937"/>
      <c r="E578" s="937"/>
      <c r="F578" s="937"/>
      <c r="G578" s="937"/>
      <c r="H578" s="937"/>
      <c r="I578" s="937"/>
      <c r="J578" s="937"/>
      <c r="K578" s="937"/>
      <c r="L578" s="937"/>
      <c r="M578" s="937"/>
      <c r="N578" s="937"/>
      <c r="O578" s="937"/>
      <c r="P578" s="937"/>
      <c r="Q578" s="937"/>
      <c r="R578" s="937"/>
      <c r="S578" s="937"/>
      <c r="T578" s="937"/>
      <c r="U578" s="937"/>
      <c r="V578" s="937"/>
      <c r="W578" s="937"/>
      <c r="X578" s="937"/>
      <c r="Y578" s="937"/>
      <c r="Z578" s="937"/>
    </row>
    <row r="579" spans="1:26" ht="15.75" customHeight="1">
      <c r="A579" s="937"/>
      <c r="B579" s="937"/>
      <c r="C579" s="937"/>
      <c r="D579" s="937"/>
      <c r="E579" s="937"/>
      <c r="F579" s="937"/>
      <c r="G579" s="937"/>
      <c r="H579" s="937"/>
      <c r="I579" s="937"/>
      <c r="J579" s="937"/>
      <c r="K579" s="937"/>
      <c r="L579" s="937"/>
      <c r="M579" s="937"/>
      <c r="N579" s="937"/>
      <c r="O579" s="937"/>
      <c r="P579" s="937"/>
      <c r="Q579" s="937"/>
      <c r="R579" s="937"/>
      <c r="S579" s="937"/>
      <c r="T579" s="937"/>
      <c r="U579" s="937"/>
      <c r="V579" s="937"/>
      <c r="W579" s="937"/>
      <c r="X579" s="937"/>
      <c r="Y579" s="937"/>
      <c r="Z579" s="937"/>
    </row>
    <row r="580" spans="1:26" ht="15.75" customHeight="1">
      <c r="A580" s="937"/>
      <c r="B580" s="937"/>
      <c r="C580" s="937"/>
      <c r="D580" s="937"/>
      <c r="E580" s="937"/>
      <c r="F580" s="937"/>
      <c r="G580" s="937"/>
      <c r="H580" s="937"/>
      <c r="I580" s="937"/>
      <c r="J580" s="937"/>
      <c r="K580" s="937"/>
      <c r="L580" s="937"/>
      <c r="M580" s="937"/>
      <c r="N580" s="937"/>
      <c r="O580" s="937"/>
      <c r="P580" s="937"/>
      <c r="Q580" s="937"/>
      <c r="R580" s="937"/>
      <c r="S580" s="937"/>
      <c r="T580" s="937"/>
      <c r="U580" s="937"/>
      <c r="V580" s="937"/>
      <c r="W580" s="937"/>
      <c r="X580" s="937"/>
      <c r="Y580" s="937"/>
      <c r="Z580" s="937"/>
    </row>
    <row r="581" spans="1:26" ht="15.75" customHeight="1">
      <c r="A581" s="937"/>
      <c r="B581" s="937"/>
      <c r="C581" s="937"/>
      <c r="D581" s="937"/>
      <c r="E581" s="937"/>
      <c r="F581" s="937"/>
      <c r="G581" s="937"/>
      <c r="H581" s="937"/>
      <c r="I581" s="937"/>
      <c r="J581" s="937"/>
      <c r="K581" s="937"/>
      <c r="L581" s="937"/>
      <c r="M581" s="937"/>
      <c r="N581" s="937"/>
      <c r="O581" s="937"/>
      <c r="P581" s="937"/>
      <c r="Q581" s="937"/>
      <c r="R581" s="937"/>
      <c r="S581" s="937"/>
      <c r="T581" s="937"/>
      <c r="U581" s="937"/>
      <c r="V581" s="937"/>
      <c r="W581" s="937"/>
      <c r="X581" s="937"/>
      <c r="Y581" s="937"/>
      <c r="Z581" s="937"/>
    </row>
    <row r="582" spans="1:26" ht="15.75" customHeight="1">
      <c r="A582" s="937"/>
      <c r="B582" s="937"/>
      <c r="C582" s="937"/>
      <c r="D582" s="937"/>
      <c r="E582" s="937"/>
      <c r="F582" s="937"/>
      <c r="G582" s="937"/>
      <c r="H582" s="937"/>
      <c r="I582" s="937"/>
      <c r="J582" s="937"/>
      <c r="K582" s="937"/>
      <c r="L582" s="937"/>
      <c r="M582" s="937"/>
      <c r="N582" s="937"/>
      <c r="O582" s="937"/>
      <c r="P582" s="937"/>
      <c r="Q582" s="937"/>
      <c r="R582" s="937"/>
      <c r="S582" s="937"/>
      <c r="T582" s="937"/>
      <c r="U582" s="937"/>
      <c r="V582" s="937"/>
      <c r="W582" s="937"/>
      <c r="X582" s="937"/>
      <c r="Y582" s="937"/>
      <c r="Z582" s="937"/>
    </row>
    <row r="583" spans="1:26" ht="15.75" customHeight="1">
      <c r="A583" s="937"/>
      <c r="B583" s="937"/>
      <c r="C583" s="937"/>
      <c r="D583" s="937"/>
      <c r="E583" s="937"/>
      <c r="F583" s="937"/>
      <c r="G583" s="937"/>
      <c r="H583" s="937"/>
      <c r="I583" s="937"/>
      <c r="J583" s="937"/>
      <c r="K583" s="937"/>
      <c r="L583" s="937"/>
      <c r="M583" s="937"/>
      <c r="N583" s="937"/>
      <c r="O583" s="937"/>
      <c r="P583" s="937"/>
      <c r="Q583" s="937"/>
      <c r="R583" s="937"/>
      <c r="S583" s="937"/>
      <c r="T583" s="937"/>
      <c r="U583" s="937"/>
      <c r="V583" s="937"/>
      <c r="W583" s="937"/>
      <c r="X583" s="937"/>
      <c r="Y583" s="937"/>
      <c r="Z583" s="937"/>
    </row>
    <row r="584" spans="1:26" ht="15.75" customHeight="1">
      <c r="A584" s="937"/>
      <c r="B584" s="937"/>
      <c r="C584" s="937"/>
      <c r="D584" s="937"/>
      <c r="E584" s="937"/>
      <c r="F584" s="937"/>
      <c r="G584" s="937"/>
      <c r="H584" s="937"/>
      <c r="I584" s="937"/>
      <c r="J584" s="937"/>
      <c r="K584" s="937"/>
      <c r="L584" s="937"/>
      <c r="M584" s="937"/>
      <c r="N584" s="937"/>
      <c r="O584" s="937"/>
      <c r="P584" s="937"/>
      <c r="Q584" s="937"/>
      <c r="R584" s="937"/>
      <c r="S584" s="937"/>
      <c r="T584" s="937"/>
      <c r="U584" s="937"/>
      <c r="V584" s="937"/>
      <c r="W584" s="937"/>
      <c r="X584" s="937"/>
      <c r="Y584" s="937"/>
      <c r="Z584" s="937"/>
    </row>
    <row r="585" spans="1:26" ht="15.75" customHeight="1">
      <c r="A585" s="937"/>
      <c r="B585" s="937"/>
      <c r="C585" s="937"/>
      <c r="D585" s="937"/>
      <c r="E585" s="937"/>
      <c r="F585" s="937"/>
      <c r="G585" s="937"/>
      <c r="H585" s="937"/>
      <c r="I585" s="937"/>
      <c r="J585" s="937"/>
      <c r="K585" s="937"/>
      <c r="L585" s="937"/>
      <c r="M585" s="937"/>
      <c r="N585" s="937"/>
      <c r="O585" s="937"/>
      <c r="P585" s="937"/>
      <c r="Q585" s="937"/>
      <c r="R585" s="937"/>
      <c r="S585" s="937"/>
      <c r="T585" s="937"/>
      <c r="U585" s="937"/>
      <c r="V585" s="937"/>
      <c r="W585" s="937"/>
      <c r="X585" s="937"/>
      <c r="Y585" s="937"/>
      <c r="Z585" s="937"/>
    </row>
    <row r="586" spans="1:26" ht="15.75" customHeight="1">
      <c r="A586" s="937"/>
      <c r="B586" s="937"/>
      <c r="C586" s="937"/>
      <c r="D586" s="937"/>
      <c r="E586" s="937"/>
      <c r="F586" s="937"/>
      <c r="G586" s="937"/>
      <c r="H586" s="937"/>
      <c r="I586" s="937"/>
      <c r="J586" s="937"/>
      <c r="K586" s="937"/>
      <c r="L586" s="937"/>
      <c r="M586" s="937"/>
      <c r="N586" s="937"/>
      <c r="O586" s="937"/>
      <c r="P586" s="937"/>
      <c r="Q586" s="937"/>
      <c r="R586" s="937"/>
      <c r="S586" s="937"/>
      <c r="T586" s="937"/>
      <c r="U586" s="937"/>
      <c r="V586" s="937"/>
      <c r="W586" s="937"/>
      <c r="X586" s="937"/>
      <c r="Y586" s="937"/>
      <c r="Z586" s="937"/>
    </row>
    <row r="587" spans="1:26" ht="15.75" customHeight="1">
      <c r="A587" s="937"/>
      <c r="B587" s="937"/>
      <c r="C587" s="937"/>
      <c r="D587" s="937"/>
      <c r="E587" s="937"/>
      <c r="F587" s="937"/>
      <c r="G587" s="937"/>
      <c r="H587" s="937"/>
      <c r="I587" s="937"/>
      <c r="J587" s="937"/>
      <c r="K587" s="937"/>
      <c r="L587" s="937"/>
      <c r="M587" s="937"/>
      <c r="N587" s="937"/>
      <c r="O587" s="937"/>
      <c r="P587" s="937"/>
      <c r="Q587" s="937"/>
      <c r="R587" s="937"/>
      <c r="S587" s="937"/>
      <c r="T587" s="937"/>
      <c r="U587" s="937"/>
      <c r="V587" s="937"/>
      <c r="W587" s="937"/>
      <c r="X587" s="937"/>
      <c r="Y587" s="937"/>
      <c r="Z587" s="937"/>
    </row>
    <row r="588" spans="1:26" ht="15.75" customHeight="1">
      <c r="A588" s="937"/>
      <c r="B588" s="937"/>
      <c r="C588" s="937"/>
      <c r="D588" s="937"/>
      <c r="E588" s="937"/>
      <c r="F588" s="937"/>
      <c r="G588" s="937"/>
      <c r="H588" s="937"/>
      <c r="I588" s="937"/>
      <c r="J588" s="937"/>
      <c r="K588" s="937"/>
      <c r="L588" s="937"/>
      <c r="M588" s="937"/>
      <c r="N588" s="937"/>
      <c r="O588" s="937"/>
      <c r="P588" s="937"/>
      <c r="Q588" s="937"/>
      <c r="R588" s="937"/>
      <c r="S588" s="937"/>
      <c r="T588" s="937"/>
      <c r="U588" s="937"/>
      <c r="V588" s="937"/>
      <c r="W588" s="937"/>
      <c r="X588" s="937"/>
      <c r="Y588" s="937"/>
      <c r="Z588" s="937"/>
    </row>
    <row r="589" spans="1:26" ht="15.75" customHeight="1">
      <c r="A589" s="937"/>
      <c r="B589" s="937"/>
      <c r="C589" s="937"/>
      <c r="D589" s="937"/>
      <c r="E589" s="937"/>
      <c r="F589" s="937"/>
      <c r="G589" s="937"/>
      <c r="H589" s="937"/>
      <c r="I589" s="937"/>
      <c r="J589" s="937"/>
      <c r="K589" s="937"/>
      <c r="L589" s="937"/>
      <c r="M589" s="937"/>
      <c r="N589" s="937"/>
      <c r="O589" s="937"/>
      <c r="P589" s="937"/>
      <c r="Q589" s="937"/>
      <c r="R589" s="937"/>
      <c r="S589" s="937"/>
      <c r="T589" s="937"/>
      <c r="U589" s="937"/>
      <c r="V589" s="937"/>
      <c r="W589" s="937"/>
      <c r="X589" s="937"/>
      <c r="Y589" s="937"/>
      <c r="Z589" s="937"/>
    </row>
    <row r="590" spans="1:26" ht="15.75" customHeight="1">
      <c r="A590" s="937"/>
      <c r="B590" s="937"/>
      <c r="C590" s="937"/>
      <c r="D590" s="937"/>
      <c r="E590" s="937"/>
      <c r="F590" s="937"/>
      <c r="G590" s="937"/>
      <c r="H590" s="937"/>
      <c r="I590" s="937"/>
      <c r="J590" s="937"/>
      <c r="K590" s="937"/>
      <c r="L590" s="937"/>
      <c r="M590" s="937"/>
      <c r="N590" s="937"/>
      <c r="O590" s="937"/>
      <c r="P590" s="937"/>
      <c r="Q590" s="937"/>
      <c r="R590" s="937"/>
      <c r="S590" s="937"/>
      <c r="T590" s="937"/>
      <c r="U590" s="937"/>
      <c r="V590" s="937"/>
      <c r="W590" s="937"/>
      <c r="X590" s="937"/>
      <c r="Y590" s="937"/>
      <c r="Z590" s="937"/>
    </row>
    <row r="591" spans="1:26" ht="15.75" customHeight="1">
      <c r="A591" s="937"/>
      <c r="B591" s="937"/>
      <c r="C591" s="937"/>
      <c r="D591" s="937"/>
      <c r="E591" s="937"/>
      <c r="F591" s="937"/>
      <c r="G591" s="937"/>
      <c r="H591" s="937"/>
      <c r="I591" s="937"/>
      <c r="J591" s="937"/>
      <c r="K591" s="937"/>
      <c r="L591" s="937"/>
      <c r="M591" s="937"/>
      <c r="N591" s="937"/>
      <c r="O591" s="937"/>
      <c r="P591" s="937"/>
      <c r="Q591" s="937"/>
      <c r="R591" s="937"/>
      <c r="S591" s="937"/>
      <c r="T591" s="937"/>
      <c r="U591" s="937"/>
      <c r="V591" s="937"/>
      <c r="W591" s="937"/>
      <c r="X591" s="937"/>
      <c r="Y591" s="937"/>
      <c r="Z591" s="937"/>
    </row>
    <row r="592" spans="1:26" ht="15.75" customHeight="1">
      <c r="A592" s="937"/>
      <c r="B592" s="937"/>
      <c r="C592" s="937"/>
      <c r="D592" s="937"/>
      <c r="E592" s="937"/>
      <c r="F592" s="937"/>
      <c r="G592" s="937"/>
      <c r="H592" s="937"/>
      <c r="I592" s="937"/>
      <c r="J592" s="937"/>
      <c r="K592" s="937"/>
      <c r="L592" s="937"/>
      <c r="M592" s="937"/>
      <c r="N592" s="937"/>
      <c r="O592" s="937"/>
      <c r="P592" s="937"/>
      <c r="Q592" s="937"/>
      <c r="R592" s="937"/>
      <c r="S592" s="937"/>
      <c r="T592" s="937"/>
      <c r="U592" s="937"/>
      <c r="V592" s="937"/>
      <c r="W592" s="937"/>
      <c r="X592" s="937"/>
      <c r="Y592" s="937"/>
      <c r="Z592" s="937"/>
    </row>
    <row r="593" spans="1:26" ht="15.75" customHeight="1">
      <c r="A593" s="937"/>
      <c r="B593" s="937"/>
      <c r="C593" s="937"/>
      <c r="D593" s="937"/>
      <c r="E593" s="937"/>
      <c r="F593" s="937"/>
      <c r="G593" s="937"/>
      <c r="H593" s="937"/>
      <c r="I593" s="937"/>
      <c r="J593" s="937"/>
      <c r="K593" s="937"/>
      <c r="L593" s="937"/>
      <c r="M593" s="937"/>
      <c r="N593" s="937"/>
      <c r="O593" s="937"/>
      <c r="P593" s="937"/>
      <c r="Q593" s="937"/>
      <c r="R593" s="937"/>
      <c r="S593" s="937"/>
      <c r="T593" s="937"/>
      <c r="U593" s="937"/>
      <c r="V593" s="937"/>
      <c r="W593" s="937"/>
      <c r="X593" s="937"/>
      <c r="Y593" s="937"/>
      <c r="Z593" s="937"/>
    </row>
    <row r="594" spans="1:26" ht="15.75" customHeight="1">
      <c r="A594" s="937"/>
      <c r="B594" s="937"/>
      <c r="C594" s="937"/>
      <c r="D594" s="937"/>
      <c r="E594" s="937"/>
      <c r="F594" s="937"/>
      <c r="G594" s="937"/>
      <c r="H594" s="937"/>
      <c r="I594" s="937"/>
      <c r="J594" s="937"/>
      <c r="K594" s="937"/>
      <c r="L594" s="937"/>
      <c r="M594" s="937"/>
      <c r="N594" s="937"/>
      <c r="O594" s="937"/>
      <c r="P594" s="937"/>
      <c r="Q594" s="937"/>
      <c r="R594" s="937"/>
      <c r="S594" s="937"/>
      <c r="T594" s="937"/>
      <c r="U594" s="937"/>
      <c r="V594" s="937"/>
      <c r="W594" s="937"/>
      <c r="X594" s="937"/>
      <c r="Y594" s="937"/>
      <c r="Z594" s="937"/>
    </row>
    <row r="595" spans="1:26" ht="15.75" customHeight="1">
      <c r="A595" s="937"/>
      <c r="B595" s="937"/>
      <c r="C595" s="937"/>
      <c r="D595" s="937"/>
      <c r="E595" s="937"/>
      <c r="F595" s="937"/>
      <c r="G595" s="937"/>
      <c r="H595" s="937"/>
      <c r="I595" s="937"/>
      <c r="J595" s="937"/>
      <c r="K595" s="937"/>
      <c r="L595" s="937"/>
      <c r="M595" s="937"/>
      <c r="N595" s="937"/>
      <c r="O595" s="937"/>
      <c r="P595" s="937"/>
      <c r="Q595" s="937"/>
      <c r="R595" s="937"/>
      <c r="S595" s="937"/>
      <c r="T595" s="937"/>
      <c r="U595" s="937"/>
      <c r="V595" s="937"/>
      <c r="W595" s="937"/>
      <c r="X595" s="937"/>
      <c r="Y595" s="937"/>
      <c r="Z595" s="937"/>
    </row>
    <row r="596" spans="1:26" ht="15.75" customHeight="1">
      <c r="A596" s="937"/>
      <c r="B596" s="937"/>
      <c r="C596" s="937"/>
      <c r="D596" s="937"/>
      <c r="E596" s="937"/>
      <c r="F596" s="937"/>
      <c r="G596" s="937"/>
      <c r="H596" s="937"/>
      <c r="I596" s="937"/>
      <c r="J596" s="937"/>
      <c r="K596" s="937"/>
      <c r="L596" s="937"/>
      <c r="M596" s="937"/>
      <c r="N596" s="937"/>
      <c r="O596" s="937"/>
      <c r="P596" s="937"/>
      <c r="Q596" s="937"/>
      <c r="R596" s="937"/>
      <c r="S596" s="937"/>
      <c r="T596" s="937"/>
      <c r="U596" s="937"/>
      <c r="V596" s="937"/>
      <c r="W596" s="937"/>
      <c r="X596" s="937"/>
      <c r="Y596" s="937"/>
      <c r="Z596" s="937"/>
    </row>
    <row r="597" spans="1:26" ht="15.75" customHeight="1">
      <c r="A597" s="937"/>
      <c r="B597" s="937"/>
      <c r="C597" s="937"/>
      <c r="D597" s="937"/>
      <c r="E597" s="937"/>
      <c r="F597" s="937"/>
      <c r="G597" s="937"/>
      <c r="H597" s="937"/>
      <c r="I597" s="937"/>
      <c r="J597" s="937"/>
      <c r="K597" s="937"/>
      <c r="L597" s="937"/>
      <c r="M597" s="937"/>
      <c r="N597" s="937"/>
      <c r="O597" s="937"/>
      <c r="P597" s="937"/>
      <c r="Q597" s="937"/>
      <c r="R597" s="937"/>
      <c r="S597" s="937"/>
      <c r="T597" s="937"/>
      <c r="U597" s="937"/>
      <c r="V597" s="937"/>
      <c r="W597" s="937"/>
      <c r="X597" s="937"/>
      <c r="Y597" s="937"/>
      <c r="Z597" s="937"/>
    </row>
    <row r="598" spans="1:26" ht="15.75" customHeight="1">
      <c r="A598" s="937"/>
      <c r="B598" s="937"/>
      <c r="C598" s="937"/>
      <c r="D598" s="937"/>
      <c r="E598" s="937"/>
      <c r="F598" s="937"/>
      <c r="G598" s="937"/>
      <c r="H598" s="937"/>
      <c r="I598" s="937"/>
      <c r="J598" s="937"/>
      <c r="K598" s="937"/>
      <c r="L598" s="937"/>
      <c r="M598" s="937"/>
      <c r="N598" s="937"/>
      <c r="O598" s="937"/>
      <c r="P598" s="937"/>
      <c r="Q598" s="937"/>
      <c r="R598" s="937"/>
      <c r="S598" s="937"/>
      <c r="T598" s="937"/>
      <c r="U598" s="937"/>
      <c r="V598" s="937"/>
      <c r="W598" s="937"/>
      <c r="X598" s="937"/>
      <c r="Y598" s="937"/>
      <c r="Z598" s="937"/>
    </row>
    <row r="599" spans="1:26" ht="15.75" customHeight="1">
      <c r="A599" s="937"/>
      <c r="B599" s="937"/>
      <c r="C599" s="937"/>
      <c r="D599" s="937"/>
      <c r="E599" s="937"/>
      <c r="F599" s="937"/>
      <c r="G599" s="937"/>
      <c r="H599" s="937"/>
      <c r="I599" s="937"/>
      <c r="J599" s="937"/>
      <c r="K599" s="937"/>
      <c r="L599" s="937"/>
      <c r="M599" s="937"/>
      <c r="N599" s="937"/>
      <c r="O599" s="937"/>
      <c r="P599" s="937"/>
      <c r="Q599" s="937"/>
      <c r="R599" s="937"/>
      <c r="S599" s="937"/>
      <c r="T599" s="937"/>
      <c r="U599" s="937"/>
      <c r="V599" s="937"/>
      <c r="W599" s="937"/>
      <c r="X599" s="937"/>
      <c r="Y599" s="937"/>
      <c r="Z599" s="937"/>
    </row>
    <row r="600" spans="1:26" ht="15.75" customHeight="1">
      <c r="A600" s="937"/>
      <c r="B600" s="937"/>
      <c r="C600" s="937"/>
      <c r="D600" s="937"/>
      <c r="E600" s="937"/>
      <c r="F600" s="937"/>
      <c r="G600" s="937"/>
      <c r="H600" s="937"/>
      <c r="I600" s="937"/>
      <c r="J600" s="937"/>
      <c r="K600" s="937"/>
      <c r="L600" s="937"/>
      <c r="M600" s="937"/>
      <c r="N600" s="937"/>
      <c r="O600" s="937"/>
      <c r="P600" s="937"/>
      <c r="Q600" s="937"/>
      <c r="R600" s="937"/>
      <c r="S600" s="937"/>
      <c r="T600" s="937"/>
      <c r="U600" s="937"/>
      <c r="V600" s="937"/>
      <c r="W600" s="937"/>
      <c r="X600" s="937"/>
      <c r="Y600" s="937"/>
      <c r="Z600" s="937"/>
    </row>
    <row r="601" spans="1:26" ht="15.75" customHeight="1">
      <c r="A601" s="937"/>
      <c r="B601" s="937"/>
      <c r="C601" s="937"/>
      <c r="D601" s="937"/>
      <c r="E601" s="937"/>
      <c r="F601" s="937"/>
      <c r="G601" s="937"/>
      <c r="H601" s="937"/>
      <c r="I601" s="937"/>
      <c r="J601" s="937"/>
      <c r="K601" s="937"/>
      <c r="L601" s="937"/>
      <c r="M601" s="937"/>
      <c r="N601" s="937"/>
      <c r="O601" s="937"/>
      <c r="P601" s="937"/>
      <c r="Q601" s="937"/>
      <c r="R601" s="937"/>
      <c r="S601" s="937"/>
      <c r="T601" s="937"/>
      <c r="U601" s="937"/>
      <c r="V601" s="937"/>
      <c r="W601" s="937"/>
      <c r="X601" s="937"/>
      <c r="Y601" s="937"/>
      <c r="Z601" s="937"/>
    </row>
    <row r="602" spans="1:26" ht="15.75" customHeight="1">
      <c r="A602" s="937"/>
      <c r="B602" s="937"/>
      <c r="C602" s="937"/>
      <c r="D602" s="937"/>
      <c r="E602" s="937"/>
      <c r="F602" s="937"/>
      <c r="G602" s="937"/>
      <c r="H602" s="937"/>
      <c r="I602" s="937"/>
      <c r="J602" s="937"/>
      <c r="K602" s="937"/>
      <c r="L602" s="937"/>
      <c r="M602" s="937"/>
      <c r="N602" s="937"/>
      <c r="O602" s="937"/>
      <c r="P602" s="937"/>
      <c r="Q602" s="937"/>
      <c r="R602" s="937"/>
      <c r="S602" s="937"/>
      <c r="T602" s="937"/>
      <c r="U602" s="937"/>
      <c r="V602" s="937"/>
      <c r="W602" s="937"/>
      <c r="X602" s="937"/>
      <c r="Y602" s="937"/>
      <c r="Z602" s="937"/>
    </row>
    <row r="603" spans="1:26" ht="15.75" customHeight="1">
      <c r="A603" s="937"/>
      <c r="B603" s="937"/>
      <c r="C603" s="937"/>
      <c r="D603" s="937"/>
      <c r="E603" s="937"/>
      <c r="F603" s="937"/>
      <c r="G603" s="937"/>
      <c r="H603" s="937"/>
      <c r="I603" s="937"/>
      <c r="J603" s="937"/>
      <c r="K603" s="937"/>
      <c r="L603" s="937"/>
      <c r="M603" s="937"/>
      <c r="N603" s="937"/>
      <c r="O603" s="937"/>
      <c r="P603" s="937"/>
      <c r="Q603" s="937"/>
      <c r="R603" s="937"/>
      <c r="S603" s="937"/>
      <c r="T603" s="937"/>
      <c r="U603" s="937"/>
      <c r="V603" s="937"/>
      <c r="W603" s="937"/>
      <c r="X603" s="937"/>
      <c r="Y603" s="937"/>
      <c r="Z603" s="937"/>
    </row>
    <row r="604" spans="1:26" ht="15.75" customHeight="1">
      <c r="A604" s="937"/>
      <c r="B604" s="937"/>
      <c r="C604" s="937"/>
      <c r="D604" s="937"/>
      <c r="E604" s="937"/>
      <c r="F604" s="937"/>
      <c r="G604" s="937"/>
      <c r="H604" s="937"/>
      <c r="I604" s="937"/>
      <c r="J604" s="937"/>
      <c r="K604" s="937"/>
      <c r="L604" s="937"/>
      <c r="M604" s="937"/>
      <c r="N604" s="937"/>
      <c r="O604" s="937"/>
      <c r="P604" s="937"/>
      <c r="Q604" s="937"/>
      <c r="R604" s="937"/>
      <c r="S604" s="937"/>
      <c r="T604" s="937"/>
      <c r="U604" s="937"/>
      <c r="V604" s="937"/>
      <c r="W604" s="937"/>
      <c r="X604" s="937"/>
      <c r="Y604" s="937"/>
      <c r="Z604" s="937"/>
    </row>
    <row r="605" spans="1:26" ht="15.75" customHeight="1">
      <c r="A605" s="937"/>
      <c r="B605" s="937"/>
      <c r="C605" s="937"/>
      <c r="D605" s="937"/>
      <c r="E605" s="937"/>
      <c r="F605" s="937"/>
      <c r="G605" s="937"/>
      <c r="H605" s="937"/>
      <c r="I605" s="937"/>
      <c r="J605" s="937"/>
      <c r="K605" s="937"/>
      <c r="L605" s="937"/>
      <c r="M605" s="937"/>
      <c r="N605" s="937"/>
      <c r="O605" s="937"/>
      <c r="P605" s="937"/>
      <c r="Q605" s="937"/>
      <c r="R605" s="937"/>
      <c r="S605" s="937"/>
      <c r="T605" s="937"/>
      <c r="U605" s="937"/>
      <c r="V605" s="937"/>
      <c r="W605" s="937"/>
      <c r="X605" s="937"/>
      <c r="Y605" s="937"/>
      <c r="Z605" s="937"/>
    </row>
    <row r="606" spans="1:26" ht="15.75" customHeight="1">
      <c r="A606" s="937"/>
      <c r="B606" s="937"/>
      <c r="C606" s="937"/>
      <c r="D606" s="937"/>
      <c r="E606" s="937"/>
      <c r="F606" s="937"/>
      <c r="G606" s="937"/>
      <c r="H606" s="937"/>
      <c r="I606" s="937"/>
      <c r="J606" s="937"/>
      <c r="K606" s="937"/>
      <c r="L606" s="937"/>
      <c r="M606" s="937"/>
      <c r="N606" s="937"/>
      <c r="O606" s="937"/>
      <c r="P606" s="937"/>
      <c r="Q606" s="937"/>
      <c r="R606" s="937"/>
      <c r="S606" s="937"/>
      <c r="T606" s="937"/>
      <c r="U606" s="937"/>
      <c r="V606" s="937"/>
      <c r="W606" s="937"/>
      <c r="X606" s="937"/>
      <c r="Y606" s="937"/>
      <c r="Z606" s="937"/>
    </row>
    <row r="607" spans="1:26" ht="15.75" customHeight="1">
      <c r="A607" s="937"/>
      <c r="B607" s="937"/>
      <c r="C607" s="937"/>
      <c r="D607" s="937"/>
      <c r="E607" s="937"/>
      <c r="F607" s="937"/>
      <c r="G607" s="937"/>
      <c r="H607" s="937"/>
      <c r="I607" s="937"/>
      <c r="J607" s="937"/>
      <c r="K607" s="937"/>
      <c r="L607" s="937"/>
      <c r="M607" s="937"/>
      <c r="N607" s="937"/>
      <c r="O607" s="937"/>
      <c r="P607" s="937"/>
      <c r="Q607" s="937"/>
      <c r="R607" s="937"/>
      <c r="S607" s="937"/>
      <c r="T607" s="937"/>
      <c r="U607" s="937"/>
      <c r="V607" s="937"/>
      <c r="W607" s="937"/>
      <c r="X607" s="937"/>
      <c r="Y607" s="937"/>
      <c r="Z607" s="937"/>
    </row>
    <row r="608" spans="1:26" ht="15.75" customHeight="1">
      <c r="A608" s="937"/>
      <c r="B608" s="937"/>
      <c r="C608" s="937"/>
      <c r="D608" s="937"/>
      <c r="E608" s="937"/>
      <c r="F608" s="937"/>
      <c r="G608" s="937"/>
      <c r="H608" s="937"/>
      <c r="I608" s="937"/>
      <c r="J608" s="937"/>
      <c r="K608" s="937"/>
      <c r="L608" s="937"/>
      <c r="M608" s="937"/>
      <c r="N608" s="937"/>
      <c r="O608" s="937"/>
      <c r="P608" s="937"/>
      <c r="Q608" s="937"/>
      <c r="R608" s="937"/>
      <c r="S608" s="937"/>
      <c r="T608" s="937"/>
      <c r="U608" s="937"/>
      <c r="V608" s="937"/>
      <c r="W608" s="937"/>
      <c r="X608" s="937"/>
      <c r="Y608" s="937"/>
      <c r="Z608" s="937"/>
    </row>
    <row r="609" spans="1:26" ht="15.75" customHeight="1">
      <c r="A609" s="937"/>
      <c r="B609" s="937"/>
      <c r="C609" s="937"/>
      <c r="D609" s="937"/>
      <c r="E609" s="937"/>
      <c r="F609" s="937"/>
      <c r="G609" s="937"/>
      <c r="H609" s="937"/>
      <c r="I609" s="937"/>
      <c r="J609" s="937"/>
      <c r="K609" s="937"/>
      <c r="L609" s="937"/>
      <c r="M609" s="937"/>
      <c r="N609" s="937"/>
      <c r="O609" s="937"/>
      <c r="P609" s="937"/>
      <c r="Q609" s="937"/>
      <c r="R609" s="937"/>
      <c r="S609" s="937"/>
      <c r="T609" s="937"/>
      <c r="U609" s="937"/>
      <c r="V609" s="937"/>
      <c r="W609" s="937"/>
      <c r="X609" s="937"/>
      <c r="Y609" s="937"/>
      <c r="Z609" s="937"/>
    </row>
    <row r="610" spans="1:26" ht="15.75" customHeight="1">
      <c r="A610" s="937"/>
      <c r="B610" s="937"/>
      <c r="C610" s="937"/>
      <c r="D610" s="937"/>
      <c r="E610" s="937"/>
      <c r="F610" s="937"/>
      <c r="G610" s="937"/>
      <c r="H610" s="937"/>
      <c r="I610" s="937"/>
      <c r="J610" s="937"/>
      <c r="K610" s="937"/>
      <c r="L610" s="937"/>
      <c r="M610" s="937"/>
      <c r="N610" s="937"/>
      <c r="O610" s="937"/>
      <c r="P610" s="937"/>
      <c r="Q610" s="937"/>
      <c r="R610" s="937"/>
      <c r="S610" s="937"/>
      <c r="T610" s="937"/>
      <c r="U610" s="937"/>
      <c r="V610" s="937"/>
      <c r="W610" s="937"/>
      <c r="X610" s="937"/>
      <c r="Y610" s="937"/>
      <c r="Z610" s="937"/>
    </row>
    <row r="611" spans="1:26" ht="15.75" customHeight="1">
      <c r="A611" s="937"/>
      <c r="B611" s="937"/>
      <c r="C611" s="937"/>
      <c r="D611" s="937"/>
      <c r="E611" s="937"/>
      <c r="F611" s="937"/>
      <c r="G611" s="937"/>
      <c r="H611" s="937"/>
      <c r="I611" s="937"/>
      <c r="J611" s="937"/>
      <c r="K611" s="937"/>
      <c r="L611" s="937"/>
      <c r="M611" s="937"/>
      <c r="N611" s="937"/>
      <c r="O611" s="937"/>
      <c r="P611" s="937"/>
      <c r="Q611" s="937"/>
      <c r="R611" s="937"/>
      <c r="S611" s="937"/>
      <c r="T611" s="937"/>
      <c r="U611" s="937"/>
      <c r="V611" s="937"/>
      <c r="W611" s="937"/>
      <c r="X611" s="937"/>
      <c r="Y611" s="937"/>
      <c r="Z611" s="937"/>
    </row>
    <row r="612" spans="1:26" ht="15.75" customHeight="1">
      <c r="A612" s="937"/>
      <c r="B612" s="937"/>
      <c r="C612" s="937"/>
      <c r="D612" s="937"/>
      <c r="E612" s="937"/>
      <c r="F612" s="937"/>
      <c r="G612" s="937"/>
      <c r="H612" s="937"/>
      <c r="I612" s="937"/>
      <c r="J612" s="937"/>
      <c r="K612" s="937"/>
      <c r="L612" s="937"/>
      <c r="M612" s="937"/>
      <c r="N612" s="937"/>
      <c r="O612" s="937"/>
      <c r="P612" s="937"/>
      <c r="Q612" s="937"/>
      <c r="R612" s="937"/>
      <c r="S612" s="937"/>
      <c r="T612" s="937"/>
      <c r="U612" s="937"/>
      <c r="V612" s="937"/>
      <c r="W612" s="937"/>
      <c r="X612" s="937"/>
      <c r="Y612" s="937"/>
      <c r="Z612" s="937"/>
    </row>
    <row r="613" spans="1:26" ht="15.75" customHeight="1">
      <c r="A613" s="937"/>
      <c r="B613" s="937"/>
      <c r="C613" s="937"/>
      <c r="D613" s="937"/>
      <c r="E613" s="937"/>
      <c r="F613" s="937"/>
      <c r="G613" s="937"/>
      <c r="H613" s="937"/>
      <c r="I613" s="937"/>
      <c r="J613" s="937"/>
      <c r="K613" s="937"/>
      <c r="L613" s="937"/>
      <c r="M613" s="937"/>
      <c r="N613" s="937"/>
      <c r="O613" s="937"/>
      <c r="P613" s="937"/>
      <c r="Q613" s="937"/>
      <c r="R613" s="937"/>
      <c r="S613" s="937"/>
      <c r="T613" s="937"/>
      <c r="U613" s="937"/>
      <c r="V613" s="937"/>
      <c r="W613" s="937"/>
      <c r="X613" s="937"/>
      <c r="Y613" s="937"/>
      <c r="Z613" s="937"/>
    </row>
    <row r="614" spans="1:26" ht="15.75" customHeight="1">
      <c r="A614" s="937"/>
      <c r="B614" s="937"/>
      <c r="C614" s="937"/>
      <c r="D614" s="937"/>
      <c r="E614" s="937"/>
      <c r="F614" s="937"/>
      <c r="G614" s="937"/>
      <c r="H614" s="937"/>
      <c r="I614" s="937"/>
      <c r="J614" s="937"/>
      <c r="K614" s="937"/>
      <c r="L614" s="937"/>
      <c r="M614" s="937"/>
      <c r="N614" s="937"/>
      <c r="O614" s="937"/>
      <c r="P614" s="937"/>
      <c r="Q614" s="937"/>
      <c r="R614" s="937"/>
      <c r="S614" s="937"/>
      <c r="T614" s="937"/>
      <c r="U614" s="937"/>
      <c r="V614" s="937"/>
      <c r="W614" s="937"/>
      <c r="X614" s="937"/>
      <c r="Y614" s="937"/>
      <c r="Z614" s="937"/>
    </row>
    <row r="615" spans="1:26" ht="15.75" customHeight="1">
      <c r="A615" s="937"/>
      <c r="B615" s="937"/>
      <c r="C615" s="937"/>
      <c r="D615" s="937"/>
      <c r="E615" s="937"/>
      <c r="F615" s="937"/>
      <c r="G615" s="937"/>
      <c r="H615" s="937"/>
      <c r="I615" s="937"/>
      <c r="J615" s="937"/>
      <c r="K615" s="937"/>
      <c r="L615" s="937"/>
      <c r="M615" s="937"/>
      <c r="N615" s="937"/>
      <c r="O615" s="937"/>
      <c r="P615" s="937"/>
      <c r="Q615" s="937"/>
      <c r="R615" s="937"/>
      <c r="S615" s="937"/>
      <c r="T615" s="937"/>
      <c r="U615" s="937"/>
      <c r="V615" s="937"/>
      <c r="W615" s="937"/>
      <c r="X615" s="937"/>
      <c r="Y615" s="937"/>
      <c r="Z615" s="937"/>
    </row>
    <row r="616" spans="1:26" ht="15.75" customHeight="1">
      <c r="A616" s="937"/>
      <c r="B616" s="937"/>
      <c r="C616" s="937"/>
      <c r="D616" s="937"/>
      <c r="E616" s="937"/>
      <c r="F616" s="937"/>
      <c r="G616" s="937"/>
      <c r="H616" s="937"/>
      <c r="I616" s="937"/>
      <c r="J616" s="937"/>
      <c r="K616" s="937"/>
      <c r="L616" s="937"/>
      <c r="M616" s="937"/>
      <c r="N616" s="937"/>
      <c r="O616" s="937"/>
      <c r="P616" s="937"/>
      <c r="Q616" s="937"/>
      <c r="R616" s="937"/>
      <c r="S616" s="937"/>
      <c r="T616" s="937"/>
      <c r="U616" s="937"/>
      <c r="V616" s="937"/>
      <c r="W616" s="937"/>
      <c r="X616" s="937"/>
      <c r="Y616" s="937"/>
      <c r="Z616" s="937"/>
    </row>
    <row r="617" spans="1:26" ht="15.75" customHeight="1">
      <c r="A617" s="937"/>
      <c r="B617" s="937"/>
      <c r="C617" s="937"/>
      <c r="D617" s="937"/>
      <c r="E617" s="937"/>
      <c r="F617" s="937"/>
      <c r="G617" s="937"/>
      <c r="H617" s="937"/>
      <c r="I617" s="937"/>
      <c r="J617" s="937"/>
      <c r="K617" s="937"/>
      <c r="L617" s="937"/>
      <c r="M617" s="937"/>
      <c r="N617" s="937"/>
      <c r="O617" s="937"/>
      <c r="P617" s="937"/>
      <c r="Q617" s="937"/>
      <c r="R617" s="937"/>
      <c r="S617" s="937"/>
      <c r="T617" s="937"/>
      <c r="U617" s="937"/>
      <c r="V617" s="937"/>
      <c r="W617" s="937"/>
      <c r="X617" s="937"/>
      <c r="Y617" s="937"/>
      <c r="Z617" s="937"/>
    </row>
    <row r="618" spans="1:26" ht="15.75" customHeight="1">
      <c r="A618" s="937"/>
      <c r="B618" s="937"/>
      <c r="C618" s="937"/>
      <c r="D618" s="937"/>
      <c r="E618" s="937"/>
      <c r="F618" s="937"/>
      <c r="G618" s="937"/>
      <c r="H618" s="937"/>
      <c r="I618" s="937"/>
      <c r="J618" s="937"/>
      <c r="K618" s="937"/>
      <c r="L618" s="937"/>
      <c r="M618" s="937"/>
      <c r="N618" s="937"/>
      <c r="O618" s="937"/>
      <c r="P618" s="937"/>
      <c r="Q618" s="937"/>
      <c r="R618" s="937"/>
      <c r="S618" s="937"/>
      <c r="T618" s="937"/>
      <c r="U618" s="937"/>
      <c r="V618" s="937"/>
      <c r="W618" s="937"/>
      <c r="X618" s="937"/>
      <c r="Y618" s="937"/>
      <c r="Z618" s="937"/>
    </row>
    <row r="619" spans="1:26" ht="15.75" customHeight="1">
      <c r="A619" s="937"/>
      <c r="B619" s="937"/>
      <c r="C619" s="937"/>
      <c r="D619" s="937"/>
      <c r="E619" s="937"/>
      <c r="F619" s="937"/>
      <c r="G619" s="937"/>
      <c r="H619" s="937"/>
      <c r="I619" s="937"/>
      <c r="J619" s="937"/>
      <c r="K619" s="937"/>
      <c r="L619" s="937"/>
      <c r="M619" s="937"/>
      <c r="N619" s="937"/>
      <c r="O619" s="937"/>
      <c r="P619" s="937"/>
      <c r="Q619" s="937"/>
      <c r="R619" s="937"/>
      <c r="S619" s="937"/>
      <c r="T619" s="937"/>
      <c r="U619" s="937"/>
      <c r="V619" s="937"/>
      <c r="W619" s="937"/>
      <c r="X619" s="937"/>
      <c r="Y619" s="937"/>
      <c r="Z619" s="937"/>
    </row>
    <row r="620" spans="1:26" ht="15.75" customHeight="1">
      <c r="A620" s="937"/>
      <c r="B620" s="937"/>
      <c r="C620" s="937"/>
      <c r="D620" s="937"/>
      <c r="E620" s="937"/>
      <c r="F620" s="937"/>
      <c r="G620" s="937"/>
      <c r="H620" s="937"/>
      <c r="I620" s="937"/>
      <c r="J620" s="937"/>
      <c r="K620" s="937"/>
      <c r="L620" s="937"/>
      <c r="M620" s="937"/>
      <c r="N620" s="937"/>
      <c r="O620" s="937"/>
      <c r="P620" s="937"/>
      <c r="Q620" s="937"/>
      <c r="R620" s="937"/>
      <c r="S620" s="937"/>
      <c r="T620" s="937"/>
      <c r="U620" s="937"/>
      <c r="V620" s="937"/>
      <c r="W620" s="937"/>
      <c r="X620" s="937"/>
      <c r="Y620" s="937"/>
      <c r="Z620" s="937"/>
    </row>
    <row r="621" spans="1:26" ht="15.75" customHeight="1">
      <c r="A621" s="937"/>
      <c r="B621" s="937"/>
      <c r="C621" s="937"/>
      <c r="D621" s="937"/>
      <c r="E621" s="937"/>
      <c r="F621" s="937"/>
      <c r="G621" s="937"/>
      <c r="H621" s="937"/>
      <c r="I621" s="937"/>
      <c r="J621" s="937"/>
      <c r="K621" s="937"/>
      <c r="L621" s="937"/>
      <c r="M621" s="937"/>
      <c r="N621" s="937"/>
      <c r="O621" s="937"/>
      <c r="P621" s="937"/>
      <c r="Q621" s="937"/>
      <c r="R621" s="937"/>
      <c r="S621" s="937"/>
      <c r="T621" s="937"/>
      <c r="U621" s="937"/>
      <c r="V621" s="937"/>
      <c r="W621" s="937"/>
      <c r="X621" s="937"/>
      <c r="Y621" s="937"/>
      <c r="Z621" s="937"/>
    </row>
    <row r="622" spans="1:26" ht="15.75" customHeight="1">
      <c r="A622" s="937"/>
      <c r="B622" s="937"/>
      <c r="C622" s="937"/>
      <c r="D622" s="937"/>
      <c r="E622" s="937"/>
      <c r="F622" s="937"/>
      <c r="G622" s="937"/>
      <c r="H622" s="937"/>
      <c r="I622" s="937"/>
      <c r="J622" s="937"/>
      <c r="K622" s="937"/>
      <c r="L622" s="937"/>
      <c r="M622" s="937"/>
      <c r="N622" s="937"/>
      <c r="O622" s="937"/>
      <c r="P622" s="937"/>
      <c r="Q622" s="937"/>
      <c r="R622" s="937"/>
      <c r="S622" s="937"/>
      <c r="T622" s="937"/>
      <c r="U622" s="937"/>
      <c r="V622" s="937"/>
      <c r="W622" s="937"/>
      <c r="X622" s="937"/>
      <c r="Y622" s="937"/>
      <c r="Z622" s="937"/>
    </row>
    <row r="623" spans="1:26" ht="15.75" customHeight="1">
      <c r="A623" s="937"/>
      <c r="B623" s="937"/>
      <c r="C623" s="937"/>
      <c r="D623" s="937"/>
      <c r="E623" s="937"/>
      <c r="F623" s="937"/>
      <c r="G623" s="937"/>
      <c r="H623" s="937"/>
      <c r="I623" s="937"/>
      <c r="J623" s="937"/>
      <c r="K623" s="937"/>
      <c r="L623" s="937"/>
      <c r="M623" s="937"/>
      <c r="N623" s="937"/>
      <c r="O623" s="937"/>
      <c r="P623" s="937"/>
      <c r="Q623" s="937"/>
      <c r="R623" s="937"/>
      <c r="S623" s="937"/>
      <c r="T623" s="937"/>
      <c r="U623" s="937"/>
      <c r="V623" s="937"/>
      <c r="W623" s="937"/>
      <c r="X623" s="937"/>
      <c r="Y623" s="937"/>
      <c r="Z623" s="937"/>
    </row>
    <row r="624" spans="1:26" ht="15.75" customHeight="1">
      <c r="A624" s="937"/>
      <c r="B624" s="937"/>
      <c r="C624" s="937"/>
      <c r="D624" s="937"/>
      <c r="E624" s="937"/>
      <c r="F624" s="937"/>
      <c r="G624" s="937"/>
      <c r="H624" s="937"/>
      <c r="I624" s="937"/>
      <c r="J624" s="937"/>
      <c r="K624" s="937"/>
      <c r="L624" s="937"/>
      <c r="M624" s="937"/>
      <c r="N624" s="937"/>
      <c r="O624" s="937"/>
      <c r="P624" s="937"/>
      <c r="Q624" s="937"/>
      <c r="R624" s="937"/>
      <c r="S624" s="937"/>
      <c r="T624" s="937"/>
      <c r="U624" s="937"/>
      <c r="V624" s="937"/>
      <c r="W624" s="937"/>
      <c r="X624" s="937"/>
      <c r="Y624" s="937"/>
      <c r="Z624" s="937"/>
    </row>
    <row r="625" spans="1:26" ht="15.75" customHeight="1">
      <c r="A625" s="937"/>
      <c r="B625" s="937"/>
      <c r="C625" s="937"/>
      <c r="D625" s="937"/>
      <c r="E625" s="937"/>
      <c r="F625" s="937"/>
      <c r="G625" s="937"/>
      <c r="H625" s="937"/>
      <c r="I625" s="937"/>
      <c r="J625" s="937"/>
      <c r="K625" s="937"/>
      <c r="L625" s="937"/>
      <c r="M625" s="937"/>
      <c r="N625" s="937"/>
      <c r="O625" s="937"/>
      <c r="P625" s="937"/>
      <c r="Q625" s="937"/>
      <c r="R625" s="937"/>
      <c r="S625" s="937"/>
      <c r="T625" s="937"/>
      <c r="U625" s="937"/>
      <c r="V625" s="937"/>
      <c r="W625" s="937"/>
      <c r="X625" s="937"/>
      <c r="Y625" s="937"/>
      <c r="Z625" s="937"/>
    </row>
    <row r="626" spans="1:26" ht="15.75" customHeight="1">
      <c r="A626" s="937"/>
      <c r="B626" s="937"/>
      <c r="C626" s="937"/>
      <c r="D626" s="937"/>
      <c r="E626" s="937"/>
      <c r="F626" s="937"/>
      <c r="G626" s="937"/>
      <c r="H626" s="937"/>
      <c r="I626" s="937"/>
      <c r="J626" s="937"/>
      <c r="K626" s="937"/>
      <c r="L626" s="937"/>
      <c r="M626" s="937"/>
      <c r="N626" s="937"/>
      <c r="O626" s="937"/>
      <c r="P626" s="937"/>
      <c r="Q626" s="937"/>
      <c r="R626" s="937"/>
      <c r="S626" s="937"/>
      <c r="T626" s="937"/>
      <c r="U626" s="937"/>
      <c r="V626" s="937"/>
      <c r="W626" s="937"/>
      <c r="X626" s="937"/>
      <c r="Y626" s="937"/>
      <c r="Z626" s="937"/>
    </row>
    <row r="627" spans="1:26" ht="15.75" customHeight="1">
      <c r="A627" s="937"/>
      <c r="B627" s="937"/>
      <c r="C627" s="937"/>
      <c r="D627" s="937"/>
      <c r="E627" s="937"/>
      <c r="F627" s="937"/>
      <c r="G627" s="937"/>
      <c r="H627" s="937"/>
      <c r="I627" s="937"/>
      <c r="J627" s="937"/>
      <c r="K627" s="937"/>
      <c r="L627" s="937"/>
      <c r="M627" s="937"/>
      <c r="N627" s="937"/>
      <c r="O627" s="937"/>
      <c r="P627" s="937"/>
      <c r="Q627" s="937"/>
      <c r="R627" s="937"/>
      <c r="S627" s="937"/>
      <c r="T627" s="937"/>
      <c r="U627" s="937"/>
      <c r="V627" s="937"/>
      <c r="W627" s="937"/>
      <c r="X627" s="937"/>
      <c r="Y627" s="937"/>
      <c r="Z627" s="937"/>
    </row>
    <row r="628" spans="1:26" ht="15.75" customHeight="1">
      <c r="A628" s="937"/>
      <c r="B628" s="937"/>
      <c r="C628" s="937"/>
      <c r="D628" s="937"/>
      <c r="E628" s="937"/>
      <c r="F628" s="937"/>
      <c r="G628" s="937"/>
      <c r="H628" s="937"/>
      <c r="I628" s="937"/>
      <c r="J628" s="937"/>
      <c r="K628" s="937"/>
      <c r="L628" s="937"/>
      <c r="M628" s="937"/>
      <c r="N628" s="937"/>
      <c r="O628" s="937"/>
      <c r="P628" s="937"/>
      <c r="Q628" s="937"/>
      <c r="R628" s="937"/>
      <c r="S628" s="937"/>
      <c r="T628" s="937"/>
      <c r="U628" s="937"/>
      <c r="V628" s="937"/>
      <c r="W628" s="937"/>
      <c r="X628" s="937"/>
      <c r="Y628" s="937"/>
      <c r="Z628" s="937"/>
    </row>
    <row r="629" spans="1:26" ht="15.75" customHeight="1">
      <c r="A629" s="937"/>
      <c r="B629" s="937"/>
      <c r="C629" s="937"/>
      <c r="D629" s="937"/>
      <c r="E629" s="937"/>
      <c r="F629" s="937"/>
      <c r="G629" s="937"/>
      <c r="H629" s="937"/>
      <c r="I629" s="937"/>
      <c r="J629" s="937"/>
      <c r="K629" s="937"/>
      <c r="L629" s="937"/>
      <c r="M629" s="937"/>
      <c r="N629" s="937"/>
      <c r="O629" s="937"/>
      <c r="P629" s="937"/>
      <c r="Q629" s="937"/>
      <c r="R629" s="937"/>
      <c r="S629" s="937"/>
      <c r="T629" s="937"/>
      <c r="U629" s="937"/>
      <c r="V629" s="937"/>
      <c r="W629" s="937"/>
      <c r="X629" s="937"/>
      <c r="Y629" s="937"/>
      <c r="Z629" s="937"/>
    </row>
    <row r="630" spans="1:26" ht="15.75" customHeight="1">
      <c r="A630" s="937"/>
      <c r="B630" s="937"/>
      <c r="C630" s="937"/>
      <c r="D630" s="937"/>
      <c r="E630" s="937"/>
      <c r="F630" s="937"/>
      <c r="G630" s="937"/>
      <c r="H630" s="937"/>
      <c r="I630" s="937"/>
      <c r="J630" s="937"/>
      <c r="K630" s="937"/>
      <c r="L630" s="937"/>
      <c r="M630" s="937"/>
      <c r="N630" s="937"/>
      <c r="O630" s="937"/>
      <c r="P630" s="937"/>
      <c r="Q630" s="937"/>
      <c r="R630" s="937"/>
      <c r="S630" s="937"/>
      <c r="T630" s="937"/>
      <c r="U630" s="937"/>
      <c r="V630" s="937"/>
      <c r="W630" s="937"/>
      <c r="X630" s="937"/>
      <c r="Y630" s="937"/>
      <c r="Z630" s="937"/>
    </row>
    <row r="631" spans="1:26" ht="15.75" customHeight="1">
      <c r="A631" s="937"/>
      <c r="B631" s="937"/>
      <c r="C631" s="937"/>
      <c r="D631" s="937"/>
      <c r="E631" s="937"/>
      <c r="F631" s="937"/>
      <c r="G631" s="937"/>
      <c r="H631" s="937"/>
      <c r="I631" s="937"/>
      <c r="J631" s="937"/>
      <c r="K631" s="937"/>
      <c r="L631" s="937"/>
      <c r="M631" s="937"/>
      <c r="N631" s="937"/>
      <c r="O631" s="937"/>
      <c r="P631" s="937"/>
      <c r="Q631" s="937"/>
      <c r="R631" s="937"/>
      <c r="S631" s="937"/>
      <c r="T631" s="937"/>
      <c r="U631" s="937"/>
      <c r="V631" s="937"/>
      <c r="W631" s="937"/>
      <c r="X631" s="937"/>
      <c r="Y631" s="937"/>
      <c r="Z631" s="937"/>
    </row>
    <row r="632" spans="1:26" ht="15.75" customHeight="1">
      <c r="A632" s="937"/>
      <c r="B632" s="937"/>
      <c r="C632" s="937"/>
      <c r="D632" s="937"/>
      <c r="E632" s="937"/>
      <c r="F632" s="937"/>
      <c r="G632" s="937"/>
      <c r="H632" s="937"/>
      <c r="I632" s="937"/>
      <c r="J632" s="937"/>
      <c r="K632" s="937"/>
      <c r="L632" s="937"/>
      <c r="M632" s="937"/>
      <c r="N632" s="937"/>
      <c r="O632" s="937"/>
      <c r="P632" s="937"/>
      <c r="Q632" s="937"/>
      <c r="R632" s="937"/>
      <c r="S632" s="937"/>
      <c r="T632" s="937"/>
      <c r="U632" s="937"/>
      <c r="V632" s="937"/>
      <c r="W632" s="937"/>
      <c r="X632" s="937"/>
      <c r="Y632" s="937"/>
      <c r="Z632" s="937"/>
    </row>
    <row r="633" spans="1:26" ht="15.75" customHeight="1">
      <c r="A633" s="937"/>
      <c r="B633" s="937"/>
      <c r="C633" s="937"/>
      <c r="D633" s="937"/>
      <c r="E633" s="937"/>
      <c r="F633" s="937"/>
      <c r="G633" s="937"/>
      <c r="H633" s="937"/>
      <c r="I633" s="937"/>
      <c r="J633" s="937"/>
      <c r="K633" s="937"/>
      <c r="L633" s="937"/>
      <c r="M633" s="937"/>
      <c r="N633" s="937"/>
      <c r="O633" s="937"/>
      <c r="P633" s="937"/>
      <c r="Q633" s="937"/>
      <c r="R633" s="937"/>
      <c r="S633" s="937"/>
      <c r="T633" s="937"/>
      <c r="U633" s="937"/>
      <c r="V633" s="937"/>
      <c r="W633" s="937"/>
      <c r="X633" s="937"/>
      <c r="Y633" s="937"/>
      <c r="Z633" s="937"/>
    </row>
    <row r="634" spans="1:26" ht="15.75" customHeight="1">
      <c r="A634" s="937"/>
      <c r="B634" s="937"/>
      <c r="C634" s="937"/>
      <c r="D634" s="937"/>
      <c r="E634" s="937"/>
      <c r="F634" s="937"/>
      <c r="G634" s="937"/>
      <c r="H634" s="937"/>
      <c r="I634" s="937"/>
      <c r="J634" s="937"/>
      <c r="K634" s="937"/>
      <c r="L634" s="937"/>
      <c r="M634" s="937"/>
      <c r="N634" s="937"/>
      <c r="O634" s="937"/>
      <c r="P634" s="937"/>
      <c r="Q634" s="937"/>
      <c r="R634" s="937"/>
      <c r="S634" s="937"/>
      <c r="T634" s="937"/>
      <c r="U634" s="937"/>
      <c r="V634" s="937"/>
      <c r="W634" s="937"/>
      <c r="X634" s="937"/>
      <c r="Y634" s="937"/>
      <c r="Z634" s="937"/>
    </row>
    <row r="635" spans="1:26" ht="15.75" customHeight="1">
      <c r="A635" s="937"/>
      <c r="B635" s="937"/>
      <c r="C635" s="937"/>
      <c r="D635" s="937"/>
      <c r="E635" s="937"/>
      <c r="F635" s="937"/>
      <c r="G635" s="937"/>
      <c r="H635" s="937"/>
      <c r="I635" s="937"/>
      <c r="J635" s="937"/>
      <c r="K635" s="937"/>
      <c r="L635" s="937"/>
      <c r="M635" s="937"/>
      <c r="N635" s="937"/>
      <c r="O635" s="937"/>
      <c r="P635" s="937"/>
      <c r="Q635" s="937"/>
      <c r="R635" s="937"/>
      <c r="S635" s="937"/>
      <c r="T635" s="937"/>
      <c r="U635" s="937"/>
      <c r="V635" s="937"/>
      <c r="W635" s="937"/>
      <c r="X635" s="937"/>
      <c r="Y635" s="937"/>
      <c r="Z635" s="937"/>
    </row>
    <row r="636" spans="1:26" ht="15.75" customHeight="1">
      <c r="A636" s="937"/>
      <c r="B636" s="937"/>
      <c r="C636" s="937"/>
      <c r="D636" s="937"/>
      <c r="E636" s="937"/>
      <c r="F636" s="937"/>
      <c r="G636" s="937"/>
      <c r="H636" s="937"/>
      <c r="I636" s="937"/>
      <c r="J636" s="937"/>
      <c r="K636" s="937"/>
      <c r="L636" s="937"/>
      <c r="M636" s="937"/>
      <c r="N636" s="937"/>
      <c r="O636" s="937"/>
      <c r="P636" s="937"/>
      <c r="Q636" s="937"/>
      <c r="R636" s="937"/>
      <c r="S636" s="937"/>
      <c r="T636" s="937"/>
      <c r="U636" s="937"/>
      <c r="V636" s="937"/>
      <c r="W636" s="937"/>
      <c r="X636" s="937"/>
      <c r="Y636" s="937"/>
      <c r="Z636" s="937"/>
    </row>
    <row r="637" spans="1:26" ht="15.75" customHeight="1">
      <c r="A637" s="937"/>
      <c r="B637" s="937"/>
      <c r="C637" s="937"/>
      <c r="D637" s="937"/>
      <c r="E637" s="937"/>
      <c r="F637" s="937"/>
      <c r="G637" s="937"/>
      <c r="H637" s="937"/>
      <c r="I637" s="937"/>
      <c r="J637" s="937"/>
      <c r="K637" s="937"/>
      <c r="L637" s="937"/>
      <c r="M637" s="937"/>
      <c r="N637" s="937"/>
      <c r="O637" s="937"/>
      <c r="P637" s="937"/>
      <c r="Q637" s="937"/>
      <c r="R637" s="937"/>
      <c r="S637" s="937"/>
      <c r="T637" s="937"/>
      <c r="U637" s="937"/>
      <c r="V637" s="937"/>
      <c r="W637" s="937"/>
      <c r="X637" s="937"/>
      <c r="Y637" s="937"/>
      <c r="Z637" s="937"/>
    </row>
    <row r="638" spans="1:26" ht="15.75" customHeight="1">
      <c r="A638" s="937"/>
      <c r="B638" s="937"/>
      <c r="C638" s="937"/>
      <c r="D638" s="937"/>
      <c r="E638" s="937"/>
      <c r="F638" s="937"/>
      <c r="G638" s="937"/>
      <c r="H638" s="937"/>
      <c r="I638" s="937"/>
      <c r="J638" s="937"/>
      <c r="K638" s="937"/>
      <c r="L638" s="937"/>
      <c r="M638" s="937"/>
      <c r="N638" s="937"/>
      <c r="O638" s="937"/>
      <c r="P638" s="937"/>
      <c r="Q638" s="937"/>
      <c r="R638" s="937"/>
      <c r="S638" s="937"/>
      <c r="T638" s="937"/>
      <c r="U638" s="937"/>
      <c r="V638" s="937"/>
      <c r="W638" s="937"/>
      <c r="X638" s="937"/>
      <c r="Y638" s="937"/>
      <c r="Z638" s="937"/>
    </row>
    <row r="639" spans="1:26" ht="15.75" customHeight="1">
      <c r="A639" s="937"/>
      <c r="B639" s="937"/>
      <c r="C639" s="937"/>
      <c r="D639" s="937"/>
      <c r="E639" s="937"/>
      <c r="F639" s="937"/>
      <c r="G639" s="937"/>
      <c r="H639" s="937"/>
      <c r="I639" s="937"/>
      <c r="J639" s="937"/>
      <c r="K639" s="937"/>
      <c r="L639" s="937"/>
      <c r="M639" s="937"/>
      <c r="N639" s="937"/>
      <c r="O639" s="937"/>
      <c r="P639" s="937"/>
      <c r="Q639" s="937"/>
      <c r="R639" s="937"/>
      <c r="S639" s="937"/>
      <c r="T639" s="937"/>
      <c r="U639" s="937"/>
      <c r="V639" s="937"/>
      <c r="W639" s="937"/>
      <c r="X639" s="937"/>
      <c r="Y639" s="937"/>
      <c r="Z639" s="937"/>
    </row>
    <row r="640" spans="1:26" ht="15.75" customHeight="1">
      <c r="A640" s="937"/>
      <c r="B640" s="937"/>
      <c r="C640" s="937"/>
      <c r="D640" s="937"/>
      <c r="E640" s="937"/>
      <c r="F640" s="937"/>
      <c r="G640" s="937"/>
      <c r="H640" s="937"/>
      <c r="I640" s="937"/>
      <c r="J640" s="937"/>
      <c r="K640" s="937"/>
      <c r="L640" s="937"/>
      <c r="M640" s="937"/>
      <c r="N640" s="937"/>
      <c r="O640" s="937"/>
      <c r="P640" s="937"/>
      <c r="Q640" s="937"/>
      <c r="R640" s="937"/>
      <c r="S640" s="937"/>
      <c r="T640" s="937"/>
      <c r="U640" s="937"/>
      <c r="V640" s="937"/>
      <c r="W640" s="937"/>
      <c r="X640" s="937"/>
      <c r="Y640" s="937"/>
      <c r="Z640" s="937"/>
    </row>
    <row r="641" spans="1:26" ht="15.75" customHeight="1">
      <c r="A641" s="937"/>
      <c r="B641" s="937"/>
      <c r="C641" s="937"/>
      <c r="D641" s="937"/>
      <c r="E641" s="937"/>
      <c r="F641" s="937"/>
      <c r="G641" s="937"/>
      <c r="H641" s="937"/>
      <c r="I641" s="937"/>
      <c r="J641" s="937"/>
      <c r="K641" s="937"/>
      <c r="L641" s="937"/>
      <c r="M641" s="937"/>
      <c r="N641" s="937"/>
      <c r="O641" s="937"/>
      <c r="P641" s="937"/>
      <c r="Q641" s="937"/>
      <c r="R641" s="937"/>
      <c r="S641" s="937"/>
      <c r="T641" s="937"/>
      <c r="U641" s="937"/>
      <c r="V641" s="937"/>
      <c r="W641" s="937"/>
      <c r="X641" s="937"/>
      <c r="Y641" s="937"/>
      <c r="Z641" s="937"/>
    </row>
    <row r="642" spans="1:26" ht="15.75" customHeight="1">
      <c r="A642" s="937"/>
      <c r="B642" s="937"/>
      <c r="C642" s="937"/>
      <c r="D642" s="937"/>
      <c r="E642" s="937"/>
      <c r="F642" s="937"/>
      <c r="G642" s="937"/>
      <c r="H642" s="937"/>
      <c r="I642" s="937"/>
      <c r="J642" s="937"/>
      <c r="K642" s="937"/>
      <c r="L642" s="937"/>
      <c r="M642" s="937"/>
      <c r="N642" s="937"/>
      <c r="O642" s="937"/>
      <c r="P642" s="937"/>
      <c r="Q642" s="937"/>
      <c r="R642" s="937"/>
      <c r="S642" s="937"/>
      <c r="T642" s="937"/>
      <c r="U642" s="937"/>
      <c r="V642" s="937"/>
      <c r="W642" s="937"/>
      <c r="X642" s="937"/>
      <c r="Y642" s="937"/>
      <c r="Z642" s="937"/>
    </row>
    <row r="643" spans="1:26" ht="15.75" customHeight="1">
      <c r="A643" s="937"/>
      <c r="B643" s="937"/>
      <c r="C643" s="937"/>
      <c r="D643" s="937"/>
      <c r="E643" s="937"/>
      <c r="F643" s="937"/>
      <c r="G643" s="937"/>
      <c r="H643" s="937"/>
      <c r="I643" s="937"/>
      <c r="J643" s="937"/>
      <c r="K643" s="937"/>
      <c r="L643" s="937"/>
      <c r="M643" s="937"/>
      <c r="N643" s="937"/>
      <c r="O643" s="937"/>
      <c r="P643" s="937"/>
      <c r="Q643" s="937"/>
      <c r="R643" s="937"/>
      <c r="S643" s="937"/>
      <c r="T643" s="937"/>
      <c r="U643" s="937"/>
      <c r="V643" s="937"/>
      <c r="W643" s="937"/>
      <c r="X643" s="937"/>
      <c r="Y643" s="937"/>
      <c r="Z643" s="937"/>
    </row>
    <row r="644" spans="1:26" ht="15.75" customHeight="1">
      <c r="A644" s="937"/>
      <c r="B644" s="937"/>
      <c r="C644" s="937"/>
      <c r="D644" s="937"/>
      <c r="E644" s="937"/>
      <c r="F644" s="937"/>
      <c r="G644" s="937"/>
      <c r="H644" s="937"/>
      <c r="I644" s="937"/>
      <c r="J644" s="937"/>
      <c r="K644" s="937"/>
      <c r="L644" s="937"/>
      <c r="M644" s="937"/>
      <c r="N644" s="937"/>
      <c r="O644" s="937"/>
      <c r="P644" s="937"/>
      <c r="Q644" s="937"/>
      <c r="R644" s="937"/>
      <c r="S644" s="937"/>
      <c r="T644" s="937"/>
      <c r="U644" s="937"/>
      <c r="V644" s="937"/>
      <c r="W644" s="937"/>
      <c r="X644" s="937"/>
      <c r="Y644" s="937"/>
      <c r="Z644" s="937"/>
    </row>
    <row r="645" spans="1:26" ht="15.75" customHeight="1">
      <c r="A645" s="937"/>
      <c r="B645" s="937"/>
      <c r="C645" s="937"/>
      <c r="D645" s="937"/>
      <c r="E645" s="937"/>
      <c r="F645" s="937"/>
      <c r="G645" s="937"/>
      <c r="H645" s="937"/>
      <c r="I645" s="937"/>
      <c r="J645" s="937"/>
      <c r="K645" s="937"/>
      <c r="L645" s="937"/>
      <c r="M645" s="937"/>
      <c r="N645" s="937"/>
      <c r="O645" s="937"/>
      <c r="P645" s="937"/>
      <c r="Q645" s="937"/>
      <c r="R645" s="937"/>
      <c r="S645" s="937"/>
      <c r="T645" s="937"/>
      <c r="U645" s="937"/>
      <c r="V645" s="937"/>
      <c r="W645" s="937"/>
      <c r="X645" s="937"/>
      <c r="Y645" s="937"/>
      <c r="Z645" s="937"/>
    </row>
    <row r="646" spans="1:26" ht="15.75" customHeight="1">
      <c r="A646" s="937"/>
      <c r="B646" s="937"/>
      <c r="C646" s="937"/>
      <c r="D646" s="937"/>
      <c r="E646" s="937"/>
      <c r="F646" s="937"/>
      <c r="G646" s="937"/>
      <c r="H646" s="937"/>
      <c r="I646" s="937"/>
      <c r="J646" s="937"/>
      <c r="K646" s="937"/>
      <c r="L646" s="937"/>
      <c r="M646" s="937"/>
      <c r="N646" s="937"/>
      <c r="O646" s="937"/>
      <c r="P646" s="937"/>
      <c r="Q646" s="937"/>
      <c r="R646" s="937"/>
      <c r="S646" s="937"/>
      <c r="T646" s="937"/>
      <c r="U646" s="937"/>
      <c r="V646" s="937"/>
      <c r="W646" s="937"/>
      <c r="X646" s="937"/>
      <c r="Y646" s="937"/>
      <c r="Z646" s="937"/>
    </row>
    <row r="647" spans="1:26" ht="15.75" customHeight="1">
      <c r="A647" s="937"/>
      <c r="B647" s="937"/>
      <c r="C647" s="937"/>
      <c r="D647" s="937"/>
      <c r="E647" s="937"/>
      <c r="F647" s="937"/>
      <c r="G647" s="937"/>
      <c r="H647" s="937"/>
      <c r="I647" s="937"/>
      <c r="J647" s="937"/>
      <c r="K647" s="937"/>
      <c r="L647" s="937"/>
      <c r="M647" s="937"/>
      <c r="N647" s="937"/>
      <c r="O647" s="937"/>
      <c r="P647" s="937"/>
      <c r="Q647" s="937"/>
      <c r="R647" s="937"/>
      <c r="S647" s="937"/>
      <c r="T647" s="937"/>
      <c r="U647" s="937"/>
      <c r="V647" s="937"/>
      <c r="W647" s="937"/>
      <c r="X647" s="937"/>
      <c r="Y647" s="937"/>
      <c r="Z647" s="937"/>
    </row>
    <row r="648" spans="1:26" ht="15.75" customHeight="1">
      <c r="A648" s="937"/>
      <c r="B648" s="937"/>
      <c r="C648" s="937"/>
      <c r="D648" s="937"/>
      <c r="E648" s="937"/>
      <c r="F648" s="937"/>
      <c r="G648" s="937"/>
      <c r="H648" s="937"/>
      <c r="I648" s="937"/>
      <c r="J648" s="937"/>
      <c r="K648" s="937"/>
      <c r="L648" s="937"/>
      <c r="M648" s="937"/>
      <c r="N648" s="937"/>
      <c r="O648" s="937"/>
      <c r="P648" s="937"/>
      <c r="Q648" s="937"/>
      <c r="R648" s="937"/>
      <c r="S648" s="937"/>
      <c r="T648" s="937"/>
      <c r="U648" s="937"/>
      <c r="V648" s="937"/>
      <c r="W648" s="937"/>
      <c r="X648" s="937"/>
      <c r="Y648" s="937"/>
      <c r="Z648" s="937"/>
    </row>
    <row r="649" spans="1:26" ht="15.75" customHeight="1">
      <c r="A649" s="937"/>
      <c r="B649" s="937"/>
      <c r="C649" s="937"/>
      <c r="D649" s="937"/>
      <c r="E649" s="937"/>
      <c r="F649" s="937"/>
      <c r="G649" s="937"/>
      <c r="H649" s="937"/>
      <c r="I649" s="937"/>
      <c r="J649" s="937"/>
      <c r="K649" s="937"/>
      <c r="L649" s="937"/>
      <c r="M649" s="937"/>
      <c r="N649" s="937"/>
      <c r="O649" s="937"/>
      <c r="P649" s="937"/>
      <c r="Q649" s="937"/>
      <c r="R649" s="937"/>
      <c r="S649" s="937"/>
      <c r="T649" s="937"/>
      <c r="U649" s="937"/>
      <c r="V649" s="937"/>
      <c r="W649" s="937"/>
      <c r="X649" s="937"/>
      <c r="Y649" s="937"/>
      <c r="Z649" s="937"/>
    </row>
    <row r="650" spans="1:26" ht="15.75" customHeight="1">
      <c r="A650" s="937"/>
      <c r="B650" s="937"/>
      <c r="C650" s="937"/>
      <c r="D650" s="937"/>
      <c r="E650" s="937"/>
      <c r="F650" s="937"/>
      <c r="G650" s="937"/>
      <c r="H650" s="937"/>
      <c r="I650" s="937"/>
      <c r="J650" s="937"/>
      <c r="K650" s="937"/>
      <c r="L650" s="937"/>
      <c r="M650" s="937"/>
      <c r="N650" s="937"/>
      <c r="O650" s="937"/>
      <c r="P650" s="937"/>
      <c r="Q650" s="937"/>
      <c r="R650" s="937"/>
      <c r="S650" s="937"/>
      <c r="T650" s="937"/>
      <c r="U650" s="937"/>
      <c r="V650" s="937"/>
      <c r="W650" s="937"/>
      <c r="X650" s="937"/>
      <c r="Y650" s="937"/>
      <c r="Z650" s="937"/>
    </row>
    <row r="651" spans="1:26" ht="15.75" customHeight="1">
      <c r="A651" s="937"/>
      <c r="B651" s="937"/>
      <c r="C651" s="937"/>
      <c r="D651" s="937"/>
      <c r="E651" s="937"/>
      <c r="F651" s="937"/>
      <c r="G651" s="937"/>
      <c r="H651" s="937"/>
      <c r="I651" s="937"/>
      <c r="J651" s="937"/>
      <c r="K651" s="937"/>
      <c r="L651" s="937"/>
      <c r="M651" s="937"/>
      <c r="N651" s="937"/>
      <c r="O651" s="937"/>
      <c r="P651" s="937"/>
      <c r="Q651" s="937"/>
      <c r="R651" s="937"/>
      <c r="S651" s="937"/>
      <c r="T651" s="937"/>
      <c r="U651" s="937"/>
      <c r="V651" s="937"/>
      <c r="W651" s="937"/>
      <c r="X651" s="937"/>
      <c r="Y651" s="937"/>
      <c r="Z651" s="937"/>
    </row>
    <row r="652" spans="1:26" ht="15.75" customHeight="1">
      <c r="A652" s="937"/>
      <c r="B652" s="937"/>
      <c r="C652" s="937"/>
      <c r="D652" s="937"/>
      <c r="E652" s="937"/>
      <c r="F652" s="937"/>
      <c r="G652" s="937"/>
      <c r="H652" s="937"/>
      <c r="I652" s="937"/>
      <c r="J652" s="937"/>
      <c r="K652" s="937"/>
      <c r="L652" s="937"/>
      <c r="M652" s="937"/>
      <c r="N652" s="937"/>
      <c r="O652" s="937"/>
      <c r="P652" s="937"/>
      <c r="Q652" s="937"/>
      <c r="R652" s="937"/>
      <c r="S652" s="937"/>
      <c r="T652" s="937"/>
      <c r="U652" s="937"/>
      <c r="V652" s="937"/>
      <c r="W652" s="937"/>
      <c r="X652" s="937"/>
      <c r="Y652" s="937"/>
      <c r="Z652" s="937"/>
    </row>
    <row r="653" spans="1:26" ht="15.75" customHeight="1">
      <c r="A653" s="937"/>
      <c r="B653" s="937"/>
      <c r="C653" s="937"/>
      <c r="D653" s="937"/>
      <c r="E653" s="937"/>
      <c r="F653" s="937"/>
      <c r="G653" s="937"/>
      <c r="H653" s="937"/>
      <c r="I653" s="937"/>
      <c r="J653" s="937"/>
      <c r="K653" s="937"/>
      <c r="L653" s="937"/>
      <c r="M653" s="937"/>
      <c r="N653" s="937"/>
      <c r="O653" s="937"/>
      <c r="P653" s="937"/>
      <c r="Q653" s="937"/>
      <c r="R653" s="937"/>
      <c r="S653" s="937"/>
      <c r="T653" s="937"/>
      <c r="U653" s="937"/>
      <c r="V653" s="937"/>
      <c r="W653" s="937"/>
      <c r="X653" s="937"/>
      <c r="Y653" s="937"/>
      <c r="Z653" s="937"/>
    </row>
    <row r="654" spans="1:26" ht="15.75" customHeight="1">
      <c r="A654" s="937"/>
      <c r="B654" s="937"/>
      <c r="C654" s="937"/>
      <c r="D654" s="937"/>
      <c r="E654" s="937"/>
      <c r="F654" s="937"/>
      <c r="G654" s="937"/>
      <c r="H654" s="937"/>
      <c r="I654" s="937"/>
      <c r="J654" s="937"/>
      <c r="K654" s="937"/>
      <c r="L654" s="937"/>
      <c r="M654" s="937"/>
      <c r="N654" s="937"/>
      <c r="O654" s="937"/>
      <c r="P654" s="937"/>
      <c r="Q654" s="937"/>
      <c r="R654" s="937"/>
      <c r="S654" s="937"/>
      <c r="T654" s="937"/>
      <c r="U654" s="937"/>
      <c r="V654" s="937"/>
      <c r="W654" s="937"/>
      <c r="X654" s="937"/>
      <c r="Y654" s="937"/>
      <c r="Z654" s="937"/>
    </row>
    <row r="655" spans="1:26" ht="15.75" customHeight="1">
      <c r="A655" s="937"/>
      <c r="B655" s="937"/>
      <c r="C655" s="937"/>
      <c r="D655" s="937"/>
      <c r="E655" s="937"/>
      <c r="F655" s="937"/>
      <c r="G655" s="937"/>
      <c r="H655" s="937"/>
      <c r="I655" s="937"/>
      <c r="J655" s="937"/>
      <c r="K655" s="937"/>
      <c r="L655" s="937"/>
      <c r="M655" s="937"/>
      <c r="N655" s="937"/>
      <c r="O655" s="937"/>
      <c r="P655" s="937"/>
      <c r="Q655" s="937"/>
      <c r="R655" s="937"/>
      <c r="S655" s="937"/>
      <c r="T655" s="937"/>
      <c r="U655" s="937"/>
      <c r="V655" s="937"/>
      <c r="W655" s="937"/>
      <c r="X655" s="937"/>
      <c r="Y655" s="937"/>
      <c r="Z655" s="937"/>
    </row>
    <row r="656" spans="1:26" ht="15.75" customHeight="1">
      <c r="A656" s="937"/>
      <c r="B656" s="937"/>
      <c r="C656" s="937"/>
      <c r="D656" s="937"/>
      <c r="E656" s="937"/>
      <c r="F656" s="937"/>
      <c r="G656" s="937"/>
      <c r="H656" s="937"/>
      <c r="I656" s="937"/>
      <c r="J656" s="937"/>
      <c r="K656" s="937"/>
      <c r="L656" s="937"/>
      <c r="M656" s="937"/>
      <c r="N656" s="937"/>
      <c r="O656" s="937"/>
      <c r="P656" s="937"/>
      <c r="Q656" s="937"/>
      <c r="R656" s="937"/>
      <c r="S656" s="937"/>
      <c r="T656" s="937"/>
      <c r="U656" s="937"/>
      <c r="V656" s="937"/>
      <c r="W656" s="937"/>
      <c r="X656" s="937"/>
      <c r="Y656" s="937"/>
      <c r="Z656" s="937"/>
    </row>
    <row r="657" spans="1:26" ht="15.75" customHeight="1">
      <c r="A657" s="937"/>
      <c r="B657" s="937"/>
      <c r="C657" s="937"/>
      <c r="D657" s="937"/>
      <c r="E657" s="937"/>
      <c r="F657" s="937"/>
      <c r="G657" s="937"/>
      <c r="H657" s="937"/>
      <c r="I657" s="937"/>
      <c r="J657" s="937"/>
      <c r="K657" s="937"/>
      <c r="L657" s="937"/>
      <c r="M657" s="937"/>
      <c r="N657" s="937"/>
      <c r="O657" s="937"/>
      <c r="P657" s="937"/>
      <c r="Q657" s="937"/>
      <c r="R657" s="937"/>
      <c r="S657" s="937"/>
      <c r="T657" s="937"/>
      <c r="U657" s="937"/>
      <c r="V657" s="937"/>
      <c r="W657" s="937"/>
      <c r="X657" s="937"/>
      <c r="Y657" s="937"/>
      <c r="Z657" s="937"/>
    </row>
    <row r="658" spans="1:26" ht="15.75" customHeight="1">
      <c r="A658" s="937"/>
      <c r="B658" s="937"/>
      <c r="C658" s="937"/>
      <c r="D658" s="937"/>
      <c r="E658" s="937"/>
      <c r="F658" s="937"/>
      <c r="G658" s="937"/>
      <c r="H658" s="937"/>
      <c r="I658" s="937"/>
      <c r="J658" s="937"/>
      <c r="K658" s="937"/>
      <c r="L658" s="937"/>
      <c r="M658" s="937"/>
      <c r="N658" s="937"/>
      <c r="O658" s="937"/>
      <c r="P658" s="937"/>
      <c r="Q658" s="937"/>
      <c r="R658" s="937"/>
      <c r="S658" s="937"/>
      <c r="T658" s="937"/>
      <c r="U658" s="937"/>
      <c r="V658" s="937"/>
      <c r="W658" s="937"/>
      <c r="X658" s="937"/>
      <c r="Y658" s="937"/>
      <c r="Z658" s="937"/>
    </row>
    <row r="659" spans="1:26" ht="15.75" customHeight="1">
      <c r="A659" s="937"/>
      <c r="B659" s="937"/>
      <c r="C659" s="937"/>
      <c r="D659" s="937"/>
      <c r="E659" s="937"/>
      <c r="F659" s="937"/>
      <c r="G659" s="937"/>
      <c r="H659" s="937"/>
      <c r="I659" s="937"/>
      <c r="J659" s="937"/>
      <c r="K659" s="937"/>
      <c r="L659" s="937"/>
      <c r="M659" s="937"/>
      <c r="N659" s="937"/>
      <c r="O659" s="937"/>
      <c r="P659" s="937"/>
      <c r="Q659" s="937"/>
      <c r="R659" s="937"/>
      <c r="S659" s="937"/>
      <c r="T659" s="937"/>
      <c r="U659" s="937"/>
      <c r="V659" s="937"/>
      <c r="W659" s="937"/>
      <c r="X659" s="937"/>
      <c r="Y659" s="937"/>
      <c r="Z659" s="937"/>
    </row>
    <row r="660" spans="1:26" ht="15.75" customHeight="1">
      <c r="A660" s="937"/>
      <c r="B660" s="937"/>
      <c r="C660" s="937"/>
      <c r="D660" s="937"/>
      <c r="E660" s="937"/>
      <c r="F660" s="937"/>
      <c r="G660" s="937"/>
      <c r="H660" s="937"/>
      <c r="I660" s="937"/>
      <c r="J660" s="937"/>
      <c r="K660" s="937"/>
      <c r="L660" s="937"/>
      <c r="M660" s="937"/>
      <c r="N660" s="937"/>
      <c r="O660" s="937"/>
      <c r="P660" s="937"/>
      <c r="Q660" s="937"/>
      <c r="R660" s="937"/>
      <c r="S660" s="937"/>
      <c r="T660" s="937"/>
      <c r="U660" s="937"/>
      <c r="V660" s="937"/>
      <c r="W660" s="937"/>
      <c r="X660" s="937"/>
      <c r="Y660" s="937"/>
      <c r="Z660" s="937"/>
    </row>
    <row r="661" spans="1:26" ht="15.75" customHeight="1">
      <c r="A661" s="937"/>
      <c r="B661" s="937"/>
      <c r="C661" s="937"/>
      <c r="D661" s="937"/>
      <c r="E661" s="937"/>
      <c r="F661" s="937"/>
      <c r="G661" s="937"/>
      <c r="H661" s="937"/>
      <c r="I661" s="937"/>
      <c r="J661" s="937"/>
      <c r="K661" s="937"/>
      <c r="L661" s="937"/>
      <c r="M661" s="937"/>
      <c r="N661" s="937"/>
      <c r="O661" s="937"/>
      <c r="P661" s="937"/>
      <c r="Q661" s="937"/>
      <c r="R661" s="937"/>
      <c r="S661" s="937"/>
      <c r="T661" s="937"/>
      <c r="U661" s="937"/>
      <c r="V661" s="937"/>
      <c r="W661" s="937"/>
      <c r="X661" s="937"/>
      <c r="Y661" s="937"/>
      <c r="Z661" s="937"/>
    </row>
    <row r="662" spans="1:26" ht="15.75" customHeight="1">
      <c r="A662" s="937"/>
      <c r="B662" s="937"/>
      <c r="C662" s="937"/>
      <c r="D662" s="937"/>
      <c r="E662" s="937"/>
      <c r="F662" s="937"/>
      <c r="G662" s="937"/>
      <c r="H662" s="937"/>
      <c r="I662" s="937"/>
      <c r="J662" s="937"/>
      <c r="K662" s="937"/>
      <c r="L662" s="937"/>
      <c r="M662" s="937"/>
      <c r="N662" s="937"/>
      <c r="O662" s="937"/>
      <c r="P662" s="937"/>
      <c r="Q662" s="937"/>
      <c r="R662" s="937"/>
      <c r="S662" s="937"/>
      <c r="T662" s="937"/>
      <c r="U662" s="937"/>
      <c r="V662" s="937"/>
      <c r="W662" s="937"/>
      <c r="X662" s="937"/>
      <c r="Y662" s="937"/>
      <c r="Z662" s="937"/>
    </row>
    <row r="663" spans="1:26" ht="15.75" customHeight="1">
      <c r="A663" s="937"/>
      <c r="B663" s="937"/>
      <c r="C663" s="937"/>
      <c r="D663" s="937"/>
      <c r="E663" s="937"/>
      <c r="F663" s="937"/>
      <c r="G663" s="937"/>
      <c r="H663" s="937"/>
      <c r="I663" s="937"/>
      <c r="J663" s="937"/>
      <c r="K663" s="937"/>
      <c r="L663" s="937"/>
      <c r="M663" s="937"/>
      <c r="N663" s="937"/>
      <c r="O663" s="937"/>
      <c r="P663" s="937"/>
      <c r="Q663" s="937"/>
      <c r="R663" s="937"/>
      <c r="S663" s="937"/>
      <c r="T663" s="937"/>
      <c r="U663" s="937"/>
      <c r="V663" s="937"/>
      <c r="W663" s="937"/>
      <c r="X663" s="937"/>
      <c r="Y663" s="937"/>
      <c r="Z663" s="937"/>
    </row>
    <row r="664" spans="1:26" ht="15.75" customHeight="1">
      <c r="A664" s="937"/>
      <c r="B664" s="937"/>
      <c r="C664" s="937"/>
      <c r="D664" s="937"/>
      <c r="E664" s="937"/>
      <c r="F664" s="937"/>
      <c r="G664" s="937"/>
      <c r="H664" s="937"/>
      <c r="I664" s="937"/>
      <c r="J664" s="937"/>
      <c r="K664" s="937"/>
      <c r="L664" s="937"/>
      <c r="M664" s="937"/>
      <c r="N664" s="937"/>
      <c r="O664" s="937"/>
      <c r="P664" s="937"/>
      <c r="Q664" s="937"/>
      <c r="R664" s="937"/>
      <c r="S664" s="937"/>
      <c r="T664" s="937"/>
      <c r="U664" s="937"/>
      <c r="V664" s="937"/>
      <c r="W664" s="937"/>
      <c r="X664" s="937"/>
      <c r="Y664" s="937"/>
      <c r="Z664" s="937"/>
    </row>
    <row r="665" spans="1:26" ht="15.75" customHeight="1">
      <c r="A665" s="937"/>
      <c r="B665" s="937"/>
      <c r="C665" s="937"/>
      <c r="D665" s="937"/>
      <c r="E665" s="937"/>
      <c r="F665" s="937"/>
      <c r="G665" s="937"/>
      <c r="H665" s="937"/>
      <c r="I665" s="937"/>
      <c r="J665" s="937"/>
      <c r="K665" s="937"/>
      <c r="L665" s="937"/>
      <c r="M665" s="937"/>
      <c r="N665" s="937"/>
      <c r="O665" s="937"/>
      <c r="P665" s="937"/>
      <c r="Q665" s="937"/>
      <c r="R665" s="937"/>
      <c r="S665" s="937"/>
      <c r="T665" s="937"/>
      <c r="U665" s="937"/>
      <c r="V665" s="937"/>
      <c r="W665" s="937"/>
      <c r="X665" s="937"/>
      <c r="Y665" s="937"/>
      <c r="Z665" s="937"/>
    </row>
    <row r="666" spans="1:26" ht="15.75" customHeight="1">
      <c r="A666" s="937"/>
      <c r="B666" s="937"/>
      <c r="C666" s="937"/>
      <c r="D666" s="937"/>
      <c r="E666" s="937"/>
      <c r="F666" s="937"/>
      <c r="G666" s="937"/>
      <c r="H666" s="937"/>
      <c r="I666" s="937"/>
      <c r="J666" s="937"/>
      <c r="K666" s="937"/>
      <c r="L666" s="937"/>
      <c r="M666" s="937"/>
      <c r="N666" s="937"/>
      <c r="O666" s="937"/>
      <c r="P666" s="937"/>
      <c r="Q666" s="937"/>
      <c r="R666" s="937"/>
      <c r="S666" s="937"/>
      <c r="T666" s="937"/>
      <c r="U666" s="937"/>
      <c r="V666" s="937"/>
      <c r="W666" s="937"/>
      <c r="X666" s="937"/>
      <c r="Y666" s="937"/>
      <c r="Z666" s="937"/>
    </row>
    <row r="667" spans="1:26" ht="15.75" customHeight="1">
      <c r="A667" s="937"/>
      <c r="B667" s="937"/>
      <c r="C667" s="937"/>
      <c r="D667" s="937"/>
      <c r="E667" s="937"/>
      <c r="F667" s="937"/>
      <c r="G667" s="937"/>
      <c r="H667" s="937"/>
      <c r="I667" s="937"/>
      <c r="J667" s="937"/>
      <c r="K667" s="937"/>
      <c r="L667" s="937"/>
      <c r="M667" s="937"/>
      <c r="N667" s="937"/>
      <c r="O667" s="937"/>
      <c r="P667" s="937"/>
      <c r="Q667" s="937"/>
      <c r="R667" s="937"/>
      <c r="S667" s="937"/>
      <c r="T667" s="937"/>
      <c r="U667" s="937"/>
      <c r="V667" s="937"/>
      <c r="W667" s="937"/>
      <c r="X667" s="937"/>
      <c r="Y667" s="937"/>
      <c r="Z667" s="937"/>
    </row>
    <row r="668" spans="1:26" ht="15.75" customHeight="1">
      <c r="A668" s="937"/>
      <c r="B668" s="937"/>
      <c r="C668" s="937"/>
      <c r="D668" s="937"/>
      <c r="E668" s="937"/>
      <c r="F668" s="937"/>
      <c r="G668" s="937"/>
      <c r="H668" s="937"/>
      <c r="I668" s="937"/>
      <c r="J668" s="937"/>
      <c r="K668" s="937"/>
      <c r="L668" s="937"/>
      <c r="M668" s="937"/>
      <c r="N668" s="937"/>
      <c r="O668" s="937"/>
      <c r="P668" s="937"/>
      <c r="Q668" s="937"/>
      <c r="R668" s="937"/>
      <c r="S668" s="937"/>
      <c r="T668" s="937"/>
      <c r="U668" s="937"/>
      <c r="V668" s="937"/>
      <c r="W668" s="937"/>
      <c r="X668" s="937"/>
      <c r="Y668" s="937"/>
      <c r="Z668" s="937"/>
    </row>
    <row r="669" spans="1:26" ht="15.75" customHeight="1">
      <c r="A669" s="937"/>
      <c r="B669" s="937"/>
      <c r="C669" s="937"/>
      <c r="D669" s="937"/>
      <c r="E669" s="937"/>
      <c r="F669" s="937"/>
      <c r="G669" s="937"/>
      <c r="H669" s="937"/>
      <c r="I669" s="937"/>
      <c r="J669" s="937"/>
      <c r="K669" s="937"/>
      <c r="L669" s="937"/>
      <c r="M669" s="937"/>
      <c r="N669" s="937"/>
      <c r="O669" s="937"/>
      <c r="P669" s="937"/>
      <c r="Q669" s="937"/>
      <c r="R669" s="937"/>
      <c r="S669" s="937"/>
      <c r="T669" s="937"/>
      <c r="U669" s="937"/>
      <c r="V669" s="937"/>
      <c r="W669" s="937"/>
      <c r="X669" s="937"/>
      <c r="Y669" s="937"/>
      <c r="Z669" s="937"/>
    </row>
    <row r="670" spans="1:26" ht="15.75" customHeight="1">
      <c r="A670" s="937"/>
      <c r="B670" s="937"/>
      <c r="C670" s="937"/>
      <c r="D670" s="937"/>
      <c r="E670" s="937"/>
      <c r="F670" s="937"/>
      <c r="G670" s="937"/>
      <c r="H670" s="937"/>
      <c r="I670" s="937"/>
      <c r="J670" s="937"/>
      <c r="K670" s="937"/>
      <c r="L670" s="937"/>
      <c r="M670" s="937"/>
      <c r="N670" s="937"/>
      <c r="O670" s="937"/>
      <c r="P670" s="937"/>
      <c r="Q670" s="937"/>
      <c r="R670" s="937"/>
      <c r="S670" s="937"/>
      <c r="T670" s="937"/>
      <c r="U670" s="937"/>
      <c r="V670" s="937"/>
      <c r="W670" s="937"/>
      <c r="X670" s="937"/>
      <c r="Y670" s="937"/>
      <c r="Z670" s="937"/>
    </row>
    <row r="671" spans="1:26" ht="15.75" customHeight="1">
      <c r="A671" s="937"/>
      <c r="B671" s="937"/>
      <c r="C671" s="937"/>
      <c r="D671" s="937"/>
      <c r="E671" s="937"/>
      <c r="F671" s="937"/>
      <c r="G671" s="937"/>
      <c r="H671" s="937"/>
      <c r="I671" s="937"/>
      <c r="J671" s="937"/>
      <c r="K671" s="937"/>
      <c r="L671" s="937"/>
      <c r="M671" s="937"/>
      <c r="N671" s="937"/>
      <c r="O671" s="937"/>
      <c r="P671" s="937"/>
      <c r="Q671" s="937"/>
      <c r="R671" s="937"/>
      <c r="S671" s="937"/>
      <c r="T671" s="937"/>
      <c r="U671" s="937"/>
      <c r="V671" s="937"/>
      <c r="W671" s="937"/>
      <c r="X671" s="937"/>
      <c r="Y671" s="937"/>
      <c r="Z671" s="937"/>
    </row>
    <row r="672" spans="1:26" ht="15.75" customHeight="1">
      <c r="A672" s="937"/>
      <c r="B672" s="937"/>
      <c r="C672" s="937"/>
      <c r="D672" s="937"/>
      <c r="E672" s="937"/>
      <c r="F672" s="937"/>
      <c r="G672" s="937"/>
      <c r="H672" s="937"/>
      <c r="I672" s="937"/>
      <c r="J672" s="937"/>
      <c r="K672" s="937"/>
      <c r="L672" s="937"/>
      <c r="M672" s="937"/>
      <c r="N672" s="937"/>
      <c r="O672" s="937"/>
      <c r="P672" s="937"/>
      <c r="Q672" s="937"/>
      <c r="R672" s="937"/>
      <c r="S672" s="937"/>
      <c r="T672" s="937"/>
      <c r="U672" s="937"/>
      <c r="V672" s="937"/>
      <c r="W672" s="937"/>
      <c r="X672" s="937"/>
      <c r="Y672" s="937"/>
      <c r="Z672" s="937"/>
    </row>
    <row r="673" spans="1:26" ht="15.75" customHeight="1">
      <c r="A673" s="937"/>
      <c r="B673" s="937"/>
      <c r="C673" s="937"/>
      <c r="D673" s="937"/>
      <c r="E673" s="937"/>
      <c r="F673" s="937"/>
      <c r="G673" s="937"/>
      <c r="H673" s="937"/>
      <c r="I673" s="937"/>
      <c r="J673" s="937"/>
      <c r="K673" s="937"/>
      <c r="L673" s="937"/>
      <c r="M673" s="937"/>
      <c r="N673" s="937"/>
      <c r="O673" s="937"/>
      <c r="P673" s="937"/>
      <c r="Q673" s="937"/>
      <c r="R673" s="937"/>
      <c r="S673" s="937"/>
      <c r="T673" s="937"/>
      <c r="U673" s="937"/>
      <c r="V673" s="937"/>
      <c r="W673" s="937"/>
      <c r="X673" s="937"/>
      <c r="Y673" s="937"/>
      <c r="Z673" s="937"/>
    </row>
    <row r="674" spans="1:26" ht="15.75" customHeight="1">
      <c r="A674" s="937"/>
      <c r="B674" s="937"/>
      <c r="C674" s="937"/>
      <c r="D674" s="937"/>
      <c r="E674" s="937"/>
      <c r="F674" s="937"/>
      <c r="G674" s="937"/>
      <c r="H674" s="937"/>
      <c r="I674" s="937"/>
      <c r="J674" s="937"/>
      <c r="K674" s="937"/>
      <c r="L674" s="937"/>
      <c r="M674" s="937"/>
      <c r="N674" s="937"/>
      <c r="O674" s="937"/>
      <c r="P674" s="937"/>
      <c r="Q674" s="937"/>
      <c r="R674" s="937"/>
      <c r="S674" s="937"/>
      <c r="T674" s="937"/>
      <c r="U674" s="937"/>
      <c r="V674" s="937"/>
      <c r="W674" s="937"/>
      <c r="X674" s="937"/>
      <c r="Y674" s="937"/>
      <c r="Z674" s="937"/>
    </row>
    <row r="675" spans="1:26" ht="15.75" customHeight="1">
      <c r="A675" s="937"/>
      <c r="B675" s="937"/>
      <c r="C675" s="937"/>
      <c r="D675" s="937"/>
      <c r="E675" s="937"/>
      <c r="F675" s="937"/>
      <c r="G675" s="937"/>
      <c r="H675" s="937"/>
      <c r="I675" s="937"/>
      <c r="J675" s="937"/>
      <c r="K675" s="937"/>
      <c r="L675" s="937"/>
      <c r="M675" s="937"/>
      <c r="N675" s="937"/>
      <c r="O675" s="937"/>
      <c r="P675" s="937"/>
      <c r="Q675" s="937"/>
      <c r="R675" s="937"/>
      <c r="S675" s="937"/>
      <c r="T675" s="937"/>
      <c r="U675" s="937"/>
      <c r="V675" s="937"/>
      <c r="W675" s="937"/>
      <c r="X675" s="937"/>
      <c r="Y675" s="937"/>
      <c r="Z675" s="937"/>
    </row>
    <row r="676" spans="1:26" ht="15.75" customHeight="1">
      <c r="A676" s="937"/>
      <c r="B676" s="937"/>
      <c r="C676" s="937"/>
      <c r="D676" s="937"/>
      <c r="E676" s="937"/>
      <c r="F676" s="937"/>
      <c r="G676" s="937"/>
      <c r="H676" s="937"/>
      <c r="I676" s="937"/>
      <c r="J676" s="937"/>
      <c r="K676" s="937"/>
      <c r="L676" s="937"/>
      <c r="M676" s="937"/>
      <c r="N676" s="937"/>
      <c r="O676" s="937"/>
      <c r="P676" s="937"/>
      <c r="Q676" s="937"/>
      <c r="R676" s="937"/>
      <c r="S676" s="937"/>
      <c r="T676" s="937"/>
      <c r="U676" s="937"/>
      <c r="V676" s="937"/>
      <c r="W676" s="937"/>
      <c r="X676" s="937"/>
      <c r="Y676" s="937"/>
      <c r="Z676" s="937"/>
    </row>
    <row r="677" spans="1:26" ht="15.75" customHeight="1">
      <c r="A677" s="937"/>
      <c r="B677" s="937"/>
      <c r="C677" s="937"/>
      <c r="D677" s="937"/>
      <c r="E677" s="937"/>
      <c r="F677" s="937"/>
      <c r="G677" s="937"/>
      <c r="H677" s="937"/>
      <c r="I677" s="937"/>
      <c r="J677" s="937"/>
      <c r="K677" s="937"/>
      <c r="L677" s="937"/>
      <c r="M677" s="937"/>
      <c r="N677" s="937"/>
      <c r="O677" s="937"/>
      <c r="P677" s="937"/>
      <c r="Q677" s="937"/>
      <c r="R677" s="937"/>
      <c r="S677" s="937"/>
      <c r="T677" s="937"/>
      <c r="U677" s="937"/>
      <c r="V677" s="937"/>
      <c r="W677" s="937"/>
      <c r="X677" s="937"/>
      <c r="Y677" s="937"/>
      <c r="Z677" s="937"/>
    </row>
    <row r="678" spans="1:26" ht="15.75" customHeight="1">
      <c r="A678" s="937"/>
      <c r="B678" s="937"/>
      <c r="C678" s="937"/>
      <c r="D678" s="937"/>
      <c r="E678" s="937"/>
      <c r="F678" s="937"/>
      <c r="G678" s="937"/>
      <c r="H678" s="937"/>
      <c r="I678" s="937"/>
      <c r="J678" s="937"/>
      <c r="K678" s="937"/>
      <c r="L678" s="937"/>
      <c r="M678" s="937"/>
      <c r="N678" s="937"/>
      <c r="O678" s="937"/>
      <c r="P678" s="937"/>
      <c r="Q678" s="937"/>
      <c r="R678" s="937"/>
      <c r="S678" s="937"/>
      <c r="T678" s="937"/>
      <c r="U678" s="937"/>
      <c r="V678" s="937"/>
      <c r="W678" s="937"/>
      <c r="X678" s="937"/>
      <c r="Y678" s="937"/>
      <c r="Z678" s="937"/>
    </row>
    <row r="679" spans="1:26" ht="15.75" customHeight="1">
      <c r="A679" s="937"/>
      <c r="B679" s="937"/>
      <c r="C679" s="937"/>
      <c r="D679" s="937"/>
      <c r="E679" s="937"/>
      <c r="F679" s="937"/>
      <c r="G679" s="937"/>
      <c r="H679" s="937"/>
      <c r="I679" s="937"/>
      <c r="J679" s="937"/>
      <c r="K679" s="937"/>
      <c r="L679" s="937"/>
      <c r="M679" s="937"/>
      <c r="N679" s="937"/>
      <c r="O679" s="937"/>
      <c r="P679" s="937"/>
      <c r="Q679" s="937"/>
      <c r="R679" s="937"/>
      <c r="S679" s="937"/>
      <c r="T679" s="937"/>
      <c r="U679" s="937"/>
      <c r="V679" s="937"/>
      <c r="W679" s="937"/>
      <c r="X679" s="937"/>
      <c r="Y679" s="937"/>
      <c r="Z679" s="937"/>
    </row>
    <row r="680" spans="1:26" ht="15.75" customHeight="1">
      <c r="A680" s="937"/>
      <c r="B680" s="937"/>
      <c r="C680" s="937"/>
      <c r="D680" s="937"/>
      <c r="E680" s="937"/>
      <c r="F680" s="937"/>
      <c r="G680" s="937"/>
      <c r="H680" s="937"/>
      <c r="I680" s="937"/>
      <c r="J680" s="937"/>
      <c r="K680" s="937"/>
      <c r="L680" s="937"/>
      <c r="M680" s="937"/>
      <c r="N680" s="937"/>
      <c r="O680" s="937"/>
      <c r="P680" s="937"/>
      <c r="Q680" s="937"/>
      <c r="R680" s="937"/>
      <c r="S680" s="937"/>
      <c r="T680" s="937"/>
      <c r="U680" s="937"/>
      <c r="V680" s="937"/>
      <c r="W680" s="937"/>
      <c r="X680" s="937"/>
      <c r="Y680" s="937"/>
      <c r="Z680" s="937"/>
    </row>
    <row r="681" spans="1:26" ht="15.75" customHeight="1">
      <c r="A681" s="937"/>
      <c r="B681" s="937"/>
      <c r="C681" s="937"/>
      <c r="D681" s="937"/>
      <c r="E681" s="937"/>
      <c r="F681" s="937"/>
      <c r="G681" s="937"/>
      <c r="H681" s="937"/>
      <c r="I681" s="937"/>
      <c r="J681" s="937"/>
      <c r="K681" s="937"/>
      <c r="L681" s="937"/>
      <c r="M681" s="937"/>
      <c r="N681" s="937"/>
      <c r="O681" s="937"/>
      <c r="P681" s="937"/>
      <c r="Q681" s="937"/>
      <c r="R681" s="937"/>
      <c r="S681" s="937"/>
      <c r="T681" s="937"/>
      <c r="U681" s="937"/>
      <c r="V681" s="937"/>
      <c r="W681" s="937"/>
      <c r="X681" s="937"/>
      <c r="Y681" s="937"/>
      <c r="Z681" s="937"/>
    </row>
    <row r="682" spans="1:26" ht="15.75" customHeight="1">
      <c r="A682" s="937"/>
      <c r="B682" s="937"/>
      <c r="C682" s="937"/>
      <c r="D682" s="937"/>
      <c r="E682" s="937"/>
      <c r="F682" s="937"/>
      <c r="G682" s="937"/>
      <c r="H682" s="937"/>
      <c r="I682" s="937"/>
      <c r="J682" s="937"/>
      <c r="K682" s="937"/>
      <c r="L682" s="937"/>
      <c r="M682" s="937"/>
      <c r="N682" s="937"/>
      <c r="O682" s="937"/>
      <c r="P682" s="937"/>
      <c r="Q682" s="937"/>
      <c r="R682" s="937"/>
      <c r="S682" s="937"/>
      <c r="T682" s="937"/>
      <c r="U682" s="937"/>
      <c r="V682" s="937"/>
      <c r="W682" s="937"/>
      <c r="X682" s="937"/>
      <c r="Y682" s="937"/>
      <c r="Z682" s="937"/>
    </row>
    <row r="683" spans="1:26" ht="15.75" customHeight="1">
      <c r="A683" s="937"/>
      <c r="B683" s="937"/>
      <c r="C683" s="937"/>
      <c r="D683" s="937"/>
      <c r="E683" s="937"/>
      <c r="F683" s="937"/>
      <c r="G683" s="937"/>
      <c r="H683" s="937"/>
      <c r="I683" s="937"/>
      <c r="J683" s="937"/>
      <c r="K683" s="937"/>
      <c r="L683" s="937"/>
      <c r="M683" s="937"/>
      <c r="N683" s="937"/>
      <c r="O683" s="937"/>
      <c r="P683" s="937"/>
      <c r="Q683" s="937"/>
      <c r="R683" s="937"/>
      <c r="S683" s="937"/>
      <c r="T683" s="937"/>
      <c r="U683" s="937"/>
      <c r="V683" s="937"/>
      <c r="W683" s="937"/>
      <c r="X683" s="937"/>
      <c r="Y683" s="937"/>
      <c r="Z683" s="937"/>
    </row>
    <row r="684" spans="1:26" ht="15.75" customHeight="1">
      <c r="A684" s="937"/>
      <c r="B684" s="937"/>
      <c r="C684" s="937"/>
      <c r="D684" s="937"/>
      <c r="E684" s="937"/>
      <c r="F684" s="937"/>
      <c r="G684" s="937"/>
      <c r="H684" s="937"/>
      <c r="I684" s="937"/>
      <c r="J684" s="937"/>
      <c r="K684" s="937"/>
      <c r="L684" s="937"/>
      <c r="M684" s="937"/>
      <c r="N684" s="937"/>
      <c r="O684" s="937"/>
      <c r="P684" s="937"/>
      <c r="Q684" s="937"/>
      <c r="R684" s="937"/>
      <c r="S684" s="937"/>
      <c r="T684" s="937"/>
      <c r="U684" s="937"/>
      <c r="V684" s="937"/>
      <c r="W684" s="937"/>
      <c r="X684" s="937"/>
      <c r="Y684" s="937"/>
      <c r="Z684" s="937"/>
    </row>
    <row r="685" spans="1:26" ht="15.75" customHeight="1">
      <c r="A685" s="937"/>
      <c r="B685" s="937"/>
      <c r="C685" s="937"/>
      <c r="D685" s="937"/>
      <c r="E685" s="937"/>
      <c r="F685" s="937"/>
      <c r="G685" s="937"/>
      <c r="H685" s="937"/>
      <c r="I685" s="937"/>
      <c r="J685" s="937"/>
      <c r="K685" s="937"/>
      <c r="L685" s="937"/>
      <c r="M685" s="937"/>
      <c r="N685" s="937"/>
      <c r="O685" s="937"/>
      <c r="P685" s="937"/>
      <c r="Q685" s="937"/>
      <c r="R685" s="937"/>
      <c r="S685" s="937"/>
      <c r="T685" s="937"/>
      <c r="U685" s="937"/>
      <c r="V685" s="937"/>
      <c r="W685" s="937"/>
      <c r="X685" s="937"/>
      <c r="Y685" s="937"/>
      <c r="Z685" s="937"/>
    </row>
    <row r="686" spans="1:26" ht="15.75" customHeight="1">
      <c r="A686" s="937"/>
      <c r="B686" s="937"/>
      <c r="C686" s="937"/>
      <c r="D686" s="937"/>
      <c r="E686" s="937"/>
      <c r="F686" s="937"/>
      <c r="G686" s="937"/>
      <c r="H686" s="937"/>
      <c r="I686" s="937"/>
      <c r="J686" s="937"/>
      <c r="K686" s="937"/>
      <c r="L686" s="937"/>
      <c r="M686" s="937"/>
      <c r="N686" s="937"/>
      <c r="O686" s="937"/>
      <c r="P686" s="937"/>
      <c r="Q686" s="937"/>
      <c r="R686" s="937"/>
      <c r="S686" s="937"/>
      <c r="T686" s="937"/>
      <c r="U686" s="937"/>
      <c r="V686" s="937"/>
      <c r="W686" s="937"/>
      <c r="X686" s="937"/>
      <c r="Y686" s="937"/>
      <c r="Z686" s="937"/>
    </row>
    <row r="687" spans="1:26" ht="15.75" customHeight="1">
      <c r="A687" s="937"/>
      <c r="B687" s="937"/>
      <c r="C687" s="937"/>
      <c r="D687" s="937"/>
      <c r="E687" s="937"/>
      <c r="F687" s="937"/>
      <c r="G687" s="937"/>
      <c r="H687" s="937"/>
      <c r="I687" s="937"/>
      <c r="J687" s="937"/>
      <c r="K687" s="937"/>
      <c r="L687" s="937"/>
      <c r="M687" s="937"/>
      <c r="N687" s="937"/>
      <c r="O687" s="937"/>
      <c r="P687" s="937"/>
      <c r="Q687" s="937"/>
      <c r="R687" s="937"/>
      <c r="S687" s="937"/>
      <c r="T687" s="937"/>
      <c r="U687" s="937"/>
      <c r="V687" s="937"/>
      <c r="W687" s="937"/>
      <c r="X687" s="937"/>
      <c r="Y687" s="937"/>
      <c r="Z687" s="937"/>
    </row>
    <row r="688" spans="1:26" ht="15.75" customHeight="1">
      <c r="A688" s="937"/>
      <c r="B688" s="937"/>
      <c r="C688" s="937"/>
      <c r="D688" s="937"/>
      <c r="E688" s="937"/>
      <c r="F688" s="937"/>
      <c r="G688" s="937"/>
      <c r="H688" s="937"/>
      <c r="I688" s="937"/>
      <c r="J688" s="937"/>
      <c r="K688" s="937"/>
      <c r="L688" s="937"/>
      <c r="M688" s="937"/>
      <c r="N688" s="937"/>
      <c r="O688" s="937"/>
      <c r="P688" s="937"/>
      <c r="Q688" s="937"/>
      <c r="R688" s="937"/>
      <c r="S688" s="937"/>
      <c r="T688" s="937"/>
      <c r="U688" s="937"/>
      <c r="V688" s="937"/>
      <c r="W688" s="937"/>
      <c r="X688" s="937"/>
      <c r="Y688" s="937"/>
      <c r="Z688" s="937"/>
    </row>
    <row r="689" spans="1:26" ht="15.75" customHeight="1">
      <c r="A689" s="937"/>
      <c r="B689" s="937"/>
      <c r="C689" s="937"/>
      <c r="D689" s="937"/>
      <c r="E689" s="937"/>
      <c r="F689" s="937"/>
      <c r="G689" s="937"/>
      <c r="H689" s="937"/>
      <c r="I689" s="937"/>
      <c r="J689" s="937"/>
      <c r="K689" s="937"/>
      <c r="L689" s="937"/>
      <c r="M689" s="937"/>
      <c r="N689" s="937"/>
      <c r="O689" s="937"/>
      <c r="P689" s="937"/>
      <c r="Q689" s="937"/>
      <c r="R689" s="937"/>
      <c r="S689" s="937"/>
      <c r="T689" s="937"/>
      <c r="U689" s="937"/>
      <c r="V689" s="937"/>
      <c r="W689" s="937"/>
      <c r="X689" s="937"/>
      <c r="Y689" s="937"/>
      <c r="Z689" s="937"/>
    </row>
    <row r="690" spans="1:26" ht="15.75" customHeight="1">
      <c r="A690" s="937"/>
      <c r="B690" s="937"/>
      <c r="C690" s="937"/>
      <c r="D690" s="937"/>
      <c r="E690" s="937"/>
      <c r="F690" s="937"/>
      <c r="G690" s="937"/>
      <c r="H690" s="937"/>
      <c r="I690" s="937"/>
      <c r="J690" s="937"/>
      <c r="K690" s="937"/>
      <c r="L690" s="937"/>
      <c r="M690" s="937"/>
      <c r="N690" s="937"/>
      <c r="O690" s="937"/>
      <c r="P690" s="937"/>
      <c r="Q690" s="937"/>
      <c r="R690" s="937"/>
      <c r="S690" s="937"/>
      <c r="T690" s="937"/>
      <c r="U690" s="937"/>
      <c r="V690" s="937"/>
      <c r="W690" s="937"/>
      <c r="X690" s="937"/>
      <c r="Y690" s="937"/>
      <c r="Z690" s="937"/>
    </row>
    <row r="691" spans="1:26" ht="15.75" customHeight="1">
      <c r="A691" s="937"/>
      <c r="B691" s="937"/>
      <c r="C691" s="937"/>
      <c r="D691" s="937"/>
      <c r="E691" s="937"/>
      <c r="F691" s="937"/>
      <c r="G691" s="937"/>
      <c r="H691" s="937"/>
      <c r="I691" s="937"/>
      <c r="J691" s="937"/>
      <c r="K691" s="937"/>
      <c r="L691" s="937"/>
      <c r="M691" s="937"/>
      <c r="N691" s="937"/>
      <c r="O691" s="937"/>
      <c r="P691" s="937"/>
      <c r="Q691" s="937"/>
      <c r="R691" s="937"/>
      <c r="S691" s="937"/>
      <c r="T691" s="937"/>
      <c r="U691" s="937"/>
      <c r="V691" s="937"/>
      <c r="W691" s="937"/>
      <c r="X691" s="937"/>
      <c r="Y691" s="937"/>
      <c r="Z691" s="937"/>
    </row>
    <row r="692" spans="1:26" ht="15.75" customHeight="1">
      <c r="A692" s="937"/>
      <c r="B692" s="937"/>
      <c r="C692" s="937"/>
      <c r="D692" s="937"/>
      <c r="E692" s="937"/>
      <c r="F692" s="937"/>
      <c r="G692" s="937"/>
      <c r="H692" s="937"/>
      <c r="I692" s="937"/>
      <c r="J692" s="937"/>
      <c r="K692" s="937"/>
      <c r="L692" s="937"/>
      <c r="M692" s="937"/>
      <c r="N692" s="937"/>
      <c r="O692" s="937"/>
      <c r="P692" s="937"/>
      <c r="Q692" s="937"/>
      <c r="R692" s="937"/>
      <c r="S692" s="937"/>
      <c r="T692" s="937"/>
      <c r="U692" s="937"/>
      <c r="V692" s="937"/>
      <c r="W692" s="937"/>
      <c r="X692" s="937"/>
      <c r="Y692" s="937"/>
      <c r="Z692" s="937"/>
    </row>
    <row r="693" spans="1:26" ht="15.75" customHeight="1">
      <c r="A693" s="937"/>
      <c r="B693" s="937"/>
      <c r="C693" s="937"/>
      <c r="D693" s="937"/>
      <c r="E693" s="937"/>
      <c r="F693" s="937"/>
      <c r="G693" s="937"/>
      <c r="H693" s="937"/>
      <c r="I693" s="937"/>
      <c r="J693" s="937"/>
      <c r="K693" s="937"/>
      <c r="L693" s="937"/>
      <c r="M693" s="937"/>
      <c r="N693" s="937"/>
      <c r="O693" s="937"/>
      <c r="P693" s="937"/>
      <c r="Q693" s="937"/>
      <c r="R693" s="937"/>
      <c r="S693" s="937"/>
      <c r="T693" s="937"/>
      <c r="U693" s="937"/>
      <c r="V693" s="937"/>
      <c r="W693" s="937"/>
      <c r="X693" s="937"/>
      <c r="Y693" s="937"/>
      <c r="Z693" s="937"/>
    </row>
    <row r="694" spans="1:26" ht="15.75" customHeight="1">
      <c r="A694" s="937"/>
      <c r="B694" s="937"/>
      <c r="C694" s="937"/>
      <c r="D694" s="937"/>
      <c r="E694" s="937"/>
      <c r="F694" s="937"/>
      <c r="G694" s="937"/>
      <c r="H694" s="937"/>
      <c r="I694" s="937"/>
      <c r="J694" s="937"/>
      <c r="K694" s="937"/>
      <c r="L694" s="937"/>
      <c r="M694" s="937"/>
      <c r="N694" s="937"/>
      <c r="O694" s="937"/>
      <c r="P694" s="937"/>
      <c r="Q694" s="937"/>
      <c r="R694" s="937"/>
      <c r="S694" s="937"/>
      <c r="T694" s="937"/>
      <c r="U694" s="937"/>
      <c r="V694" s="937"/>
      <c r="W694" s="937"/>
      <c r="X694" s="937"/>
      <c r="Y694" s="937"/>
      <c r="Z694" s="937"/>
    </row>
    <row r="695" spans="1:26" ht="15.75" customHeight="1">
      <c r="A695" s="937"/>
      <c r="B695" s="937"/>
      <c r="C695" s="937"/>
      <c r="D695" s="937"/>
      <c r="E695" s="937"/>
      <c r="F695" s="937"/>
      <c r="G695" s="937"/>
      <c r="H695" s="937"/>
      <c r="I695" s="937"/>
      <c r="J695" s="937"/>
      <c r="K695" s="937"/>
      <c r="L695" s="937"/>
      <c r="M695" s="937"/>
      <c r="N695" s="937"/>
      <c r="O695" s="937"/>
      <c r="P695" s="937"/>
      <c r="Q695" s="937"/>
      <c r="R695" s="937"/>
      <c r="S695" s="937"/>
      <c r="T695" s="937"/>
      <c r="U695" s="937"/>
      <c r="V695" s="937"/>
      <c r="W695" s="937"/>
      <c r="X695" s="937"/>
      <c r="Y695" s="937"/>
      <c r="Z695" s="937"/>
    </row>
    <row r="696" spans="1:26" ht="15.75" customHeight="1">
      <c r="A696" s="937"/>
      <c r="B696" s="937"/>
      <c r="C696" s="937"/>
      <c r="D696" s="937"/>
      <c r="E696" s="937"/>
      <c r="F696" s="937"/>
      <c r="G696" s="937"/>
      <c r="H696" s="937"/>
      <c r="I696" s="937"/>
      <c r="J696" s="937"/>
      <c r="K696" s="937"/>
      <c r="L696" s="937"/>
      <c r="M696" s="937"/>
      <c r="N696" s="937"/>
      <c r="O696" s="937"/>
      <c r="P696" s="937"/>
      <c r="Q696" s="937"/>
      <c r="R696" s="937"/>
      <c r="S696" s="937"/>
      <c r="T696" s="937"/>
      <c r="U696" s="937"/>
      <c r="V696" s="937"/>
      <c r="W696" s="937"/>
      <c r="X696" s="937"/>
      <c r="Y696" s="937"/>
      <c r="Z696" s="937"/>
    </row>
    <row r="697" spans="1:26" ht="15.75" customHeight="1">
      <c r="A697" s="937"/>
      <c r="B697" s="937"/>
      <c r="C697" s="937"/>
      <c r="D697" s="937"/>
      <c r="E697" s="937"/>
      <c r="F697" s="937"/>
      <c r="G697" s="937"/>
      <c r="H697" s="937"/>
      <c r="I697" s="937"/>
      <c r="J697" s="937"/>
      <c r="K697" s="937"/>
      <c r="L697" s="937"/>
      <c r="M697" s="937"/>
      <c r="N697" s="937"/>
      <c r="O697" s="937"/>
      <c r="P697" s="937"/>
      <c r="Q697" s="937"/>
      <c r="R697" s="937"/>
      <c r="S697" s="937"/>
      <c r="T697" s="937"/>
      <c r="U697" s="937"/>
      <c r="V697" s="937"/>
      <c r="W697" s="937"/>
      <c r="X697" s="937"/>
      <c r="Y697" s="937"/>
      <c r="Z697" s="937"/>
    </row>
    <row r="698" spans="1:26" ht="15.75" customHeight="1">
      <c r="A698" s="937"/>
      <c r="B698" s="937"/>
      <c r="C698" s="937"/>
      <c r="D698" s="937"/>
      <c r="E698" s="937"/>
      <c r="F698" s="937"/>
      <c r="G698" s="937"/>
      <c r="H698" s="937"/>
      <c r="I698" s="937"/>
      <c r="J698" s="937"/>
      <c r="K698" s="937"/>
      <c r="L698" s="937"/>
      <c r="M698" s="937"/>
      <c r="N698" s="937"/>
      <c r="O698" s="937"/>
      <c r="P698" s="937"/>
      <c r="Q698" s="937"/>
      <c r="R698" s="937"/>
      <c r="S698" s="937"/>
      <c r="T698" s="937"/>
      <c r="U698" s="937"/>
      <c r="V698" s="937"/>
      <c r="W698" s="937"/>
      <c r="X698" s="937"/>
      <c r="Y698" s="937"/>
      <c r="Z698" s="937"/>
    </row>
    <row r="699" spans="1:26" ht="15.75" customHeight="1">
      <c r="A699" s="937"/>
      <c r="B699" s="937"/>
      <c r="C699" s="937"/>
      <c r="D699" s="937"/>
      <c r="E699" s="937"/>
      <c r="F699" s="937"/>
      <c r="G699" s="937"/>
      <c r="H699" s="937"/>
      <c r="I699" s="937"/>
      <c r="J699" s="937"/>
      <c r="K699" s="937"/>
      <c r="L699" s="937"/>
      <c r="M699" s="937"/>
      <c r="N699" s="937"/>
      <c r="O699" s="937"/>
      <c r="P699" s="937"/>
      <c r="Q699" s="937"/>
      <c r="R699" s="937"/>
      <c r="S699" s="937"/>
      <c r="T699" s="937"/>
      <c r="U699" s="937"/>
      <c r="V699" s="937"/>
      <c r="W699" s="937"/>
      <c r="X699" s="937"/>
      <c r="Y699" s="937"/>
      <c r="Z699" s="937"/>
    </row>
    <row r="700" spans="1:26" ht="15.75" customHeight="1">
      <c r="A700" s="937"/>
      <c r="B700" s="937"/>
      <c r="C700" s="937"/>
      <c r="D700" s="937"/>
      <c r="E700" s="937"/>
      <c r="F700" s="937"/>
      <c r="G700" s="937"/>
      <c r="H700" s="937"/>
      <c r="I700" s="937"/>
      <c r="J700" s="937"/>
      <c r="K700" s="937"/>
      <c r="L700" s="937"/>
      <c r="M700" s="937"/>
      <c r="N700" s="937"/>
      <c r="O700" s="937"/>
      <c r="P700" s="937"/>
      <c r="Q700" s="937"/>
      <c r="R700" s="937"/>
      <c r="S700" s="937"/>
      <c r="T700" s="937"/>
      <c r="U700" s="937"/>
      <c r="V700" s="937"/>
      <c r="W700" s="937"/>
      <c r="X700" s="937"/>
      <c r="Y700" s="937"/>
      <c r="Z700" s="937"/>
    </row>
    <row r="701" spans="1:26" ht="15.75" customHeight="1">
      <c r="A701" s="937"/>
      <c r="B701" s="937"/>
      <c r="C701" s="937"/>
      <c r="D701" s="937"/>
      <c r="E701" s="937"/>
      <c r="F701" s="937"/>
      <c r="G701" s="937"/>
      <c r="H701" s="937"/>
      <c r="I701" s="937"/>
      <c r="J701" s="937"/>
      <c r="K701" s="937"/>
      <c r="L701" s="937"/>
      <c r="M701" s="937"/>
      <c r="N701" s="937"/>
      <c r="O701" s="937"/>
      <c r="P701" s="937"/>
      <c r="Q701" s="937"/>
      <c r="R701" s="937"/>
      <c r="S701" s="937"/>
      <c r="T701" s="937"/>
      <c r="U701" s="937"/>
      <c r="V701" s="937"/>
      <c r="W701" s="937"/>
      <c r="X701" s="937"/>
      <c r="Y701" s="937"/>
      <c r="Z701" s="937"/>
    </row>
    <row r="702" spans="1:26" ht="15.75" customHeight="1">
      <c r="A702" s="937"/>
      <c r="B702" s="937"/>
      <c r="C702" s="937"/>
      <c r="D702" s="937"/>
      <c r="E702" s="937"/>
      <c r="F702" s="937"/>
      <c r="G702" s="937"/>
      <c r="H702" s="937"/>
      <c r="I702" s="937"/>
      <c r="J702" s="937"/>
      <c r="K702" s="937"/>
      <c r="L702" s="937"/>
      <c r="M702" s="937"/>
      <c r="N702" s="937"/>
      <c r="O702" s="937"/>
      <c r="P702" s="937"/>
      <c r="Q702" s="937"/>
      <c r="R702" s="937"/>
      <c r="S702" s="937"/>
      <c r="T702" s="937"/>
      <c r="U702" s="937"/>
      <c r="V702" s="937"/>
      <c r="W702" s="937"/>
      <c r="X702" s="937"/>
      <c r="Y702" s="937"/>
      <c r="Z702" s="937"/>
    </row>
    <row r="703" spans="1:26" ht="15.75" customHeight="1">
      <c r="A703" s="937"/>
      <c r="B703" s="937"/>
      <c r="C703" s="937"/>
      <c r="D703" s="937"/>
      <c r="E703" s="937"/>
      <c r="F703" s="937"/>
      <c r="G703" s="937"/>
      <c r="H703" s="937"/>
      <c r="I703" s="937"/>
      <c r="J703" s="937"/>
      <c r="K703" s="937"/>
      <c r="L703" s="937"/>
      <c r="M703" s="937"/>
      <c r="N703" s="937"/>
      <c r="O703" s="937"/>
      <c r="P703" s="937"/>
      <c r="Q703" s="937"/>
      <c r="R703" s="937"/>
      <c r="S703" s="937"/>
      <c r="T703" s="937"/>
      <c r="U703" s="937"/>
      <c r="V703" s="937"/>
      <c r="W703" s="937"/>
      <c r="X703" s="937"/>
      <c r="Y703" s="937"/>
      <c r="Z703" s="937"/>
    </row>
    <row r="704" spans="1:26" ht="15.75" customHeight="1">
      <c r="A704" s="937"/>
      <c r="B704" s="937"/>
      <c r="C704" s="937"/>
      <c r="D704" s="937"/>
      <c r="E704" s="937"/>
      <c r="F704" s="937"/>
      <c r="G704" s="937"/>
      <c r="H704" s="937"/>
      <c r="I704" s="937"/>
      <c r="J704" s="937"/>
      <c r="K704" s="937"/>
      <c r="L704" s="937"/>
      <c r="M704" s="937"/>
      <c r="N704" s="937"/>
      <c r="O704" s="937"/>
      <c r="P704" s="937"/>
      <c r="Q704" s="937"/>
      <c r="R704" s="937"/>
      <c r="S704" s="937"/>
      <c r="T704" s="937"/>
      <c r="U704" s="937"/>
      <c r="V704" s="937"/>
      <c r="W704" s="937"/>
      <c r="X704" s="937"/>
      <c r="Y704" s="937"/>
      <c r="Z704" s="937"/>
    </row>
    <row r="705" spans="1:26" ht="15.75" customHeight="1">
      <c r="A705" s="937"/>
      <c r="B705" s="937"/>
      <c r="C705" s="937"/>
      <c r="D705" s="937"/>
      <c r="E705" s="937"/>
      <c r="F705" s="937"/>
      <c r="G705" s="937"/>
      <c r="H705" s="937"/>
      <c r="I705" s="937"/>
      <c r="J705" s="937"/>
      <c r="K705" s="937"/>
      <c r="L705" s="937"/>
      <c r="M705" s="937"/>
      <c r="N705" s="937"/>
      <c r="O705" s="937"/>
      <c r="P705" s="937"/>
      <c r="Q705" s="937"/>
      <c r="R705" s="937"/>
      <c r="S705" s="937"/>
      <c r="T705" s="937"/>
      <c r="U705" s="937"/>
      <c r="V705" s="937"/>
      <c r="W705" s="937"/>
      <c r="X705" s="937"/>
      <c r="Y705" s="937"/>
      <c r="Z705" s="937"/>
    </row>
    <row r="706" spans="1:26" ht="15.75" customHeight="1">
      <c r="A706" s="937"/>
      <c r="B706" s="937"/>
      <c r="C706" s="937"/>
      <c r="D706" s="937"/>
      <c r="E706" s="937"/>
      <c r="F706" s="937"/>
      <c r="G706" s="937"/>
      <c r="H706" s="937"/>
      <c r="I706" s="937"/>
      <c r="J706" s="937"/>
      <c r="K706" s="937"/>
      <c r="L706" s="937"/>
      <c r="M706" s="937"/>
      <c r="N706" s="937"/>
      <c r="O706" s="937"/>
      <c r="P706" s="937"/>
      <c r="Q706" s="937"/>
      <c r="R706" s="937"/>
      <c r="S706" s="937"/>
      <c r="T706" s="937"/>
      <c r="U706" s="937"/>
      <c r="V706" s="937"/>
      <c r="W706" s="937"/>
      <c r="X706" s="937"/>
      <c r="Y706" s="937"/>
      <c r="Z706" s="937"/>
    </row>
    <row r="707" spans="1:26" ht="15.75" customHeight="1">
      <c r="A707" s="937"/>
      <c r="B707" s="937"/>
      <c r="C707" s="937"/>
      <c r="D707" s="937"/>
      <c r="E707" s="937"/>
      <c r="F707" s="937"/>
      <c r="G707" s="937"/>
      <c r="H707" s="937"/>
      <c r="I707" s="937"/>
      <c r="J707" s="937"/>
      <c r="K707" s="937"/>
      <c r="L707" s="937"/>
      <c r="M707" s="937"/>
      <c r="N707" s="937"/>
      <c r="O707" s="937"/>
      <c r="P707" s="937"/>
      <c r="Q707" s="937"/>
      <c r="R707" s="937"/>
      <c r="S707" s="937"/>
      <c r="T707" s="937"/>
      <c r="U707" s="937"/>
      <c r="V707" s="937"/>
      <c r="W707" s="937"/>
      <c r="X707" s="937"/>
      <c r="Y707" s="937"/>
      <c r="Z707" s="937"/>
    </row>
    <row r="708" spans="1:26" ht="15.75" customHeight="1">
      <c r="A708" s="937"/>
      <c r="B708" s="937"/>
      <c r="C708" s="937"/>
      <c r="D708" s="937"/>
      <c r="E708" s="937"/>
      <c r="F708" s="937"/>
      <c r="G708" s="937"/>
      <c r="H708" s="937"/>
      <c r="I708" s="937"/>
      <c r="J708" s="937"/>
      <c r="K708" s="937"/>
      <c r="L708" s="937"/>
      <c r="M708" s="937"/>
      <c r="N708" s="937"/>
      <c r="O708" s="937"/>
      <c r="P708" s="937"/>
      <c r="Q708" s="937"/>
      <c r="R708" s="937"/>
      <c r="S708" s="937"/>
      <c r="T708" s="937"/>
      <c r="U708" s="937"/>
      <c r="V708" s="937"/>
      <c r="W708" s="937"/>
      <c r="X708" s="937"/>
      <c r="Y708" s="937"/>
      <c r="Z708" s="937"/>
    </row>
    <row r="709" spans="1:26" ht="15.75" customHeight="1">
      <c r="A709" s="937"/>
      <c r="B709" s="937"/>
      <c r="C709" s="937"/>
      <c r="D709" s="937"/>
      <c r="E709" s="937"/>
      <c r="F709" s="937"/>
      <c r="G709" s="937"/>
      <c r="H709" s="937"/>
      <c r="I709" s="937"/>
      <c r="J709" s="937"/>
      <c r="K709" s="937"/>
      <c r="L709" s="937"/>
      <c r="M709" s="937"/>
      <c r="N709" s="937"/>
      <c r="O709" s="937"/>
      <c r="P709" s="937"/>
      <c r="Q709" s="937"/>
      <c r="R709" s="937"/>
      <c r="S709" s="937"/>
      <c r="T709" s="937"/>
      <c r="U709" s="937"/>
      <c r="V709" s="937"/>
      <c r="W709" s="937"/>
      <c r="X709" s="937"/>
      <c r="Y709" s="937"/>
      <c r="Z709" s="937"/>
    </row>
    <row r="710" spans="1:26" ht="15.75" customHeight="1">
      <c r="A710" s="937"/>
      <c r="B710" s="937"/>
      <c r="C710" s="937"/>
      <c r="D710" s="937"/>
      <c r="E710" s="937"/>
      <c r="F710" s="937"/>
      <c r="G710" s="937"/>
      <c r="H710" s="937"/>
      <c r="I710" s="937"/>
      <c r="J710" s="937"/>
      <c r="K710" s="937"/>
      <c r="L710" s="937"/>
      <c r="M710" s="937"/>
      <c r="N710" s="937"/>
      <c r="O710" s="937"/>
      <c r="P710" s="937"/>
      <c r="Q710" s="937"/>
      <c r="R710" s="937"/>
      <c r="S710" s="937"/>
      <c r="T710" s="937"/>
      <c r="U710" s="937"/>
      <c r="V710" s="937"/>
      <c r="W710" s="937"/>
      <c r="X710" s="937"/>
      <c r="Y710" s="937"/>
      <c r="Z710" s="937"/>
    </row>
    <row r="711" spans="1:26" ht="15.75" customHeight="1">
      <c r="A711" s="937"/>
      <c r="B711" s="937"/>
      <c r="C711" s="937"/>
      <c r="D711" s="937"/>
      <c r="E711" s="937"/>
      <c r="F711" s="937"/>
      <c r="G711" s="937"/>
      <c r="H711" s="937"/>
      <c r="I711" s="937"/>
      <c r="J711" s="937"/>
      <c r="K711" s="937"/>
      <c r="L711" s="937"/>
      <c r="M711" s="937"/>
      <c r="N711" s="937"/>
      <c r="O711" s="937"/>
      <c r="P711" s="937"/>
      <c r="Q711" s="937"/>
      <c r="R711" s="937"/>
      <c r="S711" s="937"/>
      <c r="T711" s="937"/>
      <c r="U711" s="937"/>
      <c r="V711" s="937"/>
      <c r="W711" s="937"/>
      <c r="X711" s="937"/>
      <c r="Y711" s="937"/>
      <c r="Z711" s="937"/>
    </row>
    <row r="712" spans="1:26" ht="15.75" customHeight="1">
      <c r="A712" s="937"/>
      <c r="B712" s="937"/>
      <c r="C712" s="937"/>
      <c r="D712" s="937"/>
      <c r="E712" s="937"/>
      <c r="F712" s="937"/>
      <c r="G712" s="937"/>
      <c r="H712" s="937"/>
      <c r="I712" s="937"/>
      <c r="J712" s="937"/>
      <c r="K712" s="937"/>
      <c r="L712" s="937"/>
      <c r="M712" s="937"/>
      <c r="N712" s="937"/>
      <c r="O712" s="937"/>
      <c r="P712" s="937"/>
      <c r="Q712" s="937"/>
      <c r="R712" s="937"/>
      <c r="S712" s="937"/>
      <c r="T712" s="937"/>
      <c r="U712" s="937"/>
      <c r="V712" s="937"/>
      <c r="W712" s="937"/>
      <c r="X712" s="937"/>
      <c r="Y712" s="937"/>
      <c r="Z712" s="937"/>
    </row>
    <row r="713" spans="1:26" ht="15.75" customHeight="1">
      <c r="A713" s="937"/>
      <c r="B713" s="937"/>
      <c r="C713" s="937"/>
      <c r="D713" s="937"/>
      <c r="E713" s="937"/>
      <c r="F713" s="937"/>
      <c r="G713" s="937"/>
      <c r="H713" s="937"/>
      <c r="I713" s="937"/>
      <c r="J713" s="937"/>
      <c r="K713" s="937"/>
      <c r="L713" s="937"/>
      <c r="M713" s="937"/>
      <c r="N713" s="937"/>
      <c r="O713" s="937"/>
      <c r="P713" s="937"/>
      <c r="Q713" s="937"/>
      <c r="R713" s="937"/>
      <c r="S713" s="937"/>
      <c r="T713" s="937"/>
      <c r="U713" s="937"/>
      <c r="V713" s="937"/>
      <c r="W713" s="937"/>
      <c r="X713" s="937"/>
      <c r="Y713" s="937"/>
      <c r="Z713" s="937"/>
    </row>
    <row r="714" spans="1:26" ht="15.75" customHeight="1">
      <c r="A714" s="937"/>
      <c r="B714" s="937"/>
      <c r="C714" s="937"/>
      <c r="D714" s="937"/>
      <c r="E714" s="937"/>
      <c r="F714" s="937"/>
      <c r="G714" s="937"/>
      <c r="H714" s="937"/>
      <c r="I714" s="937"/>
      <c r="J714" s="937"/>
      <c r="K714" s="937"/>
      <c r="L714" s="937"/>
      <c r="M714" s="937"/>
      <c r="N714" s="937"/>
      <c r="O714" s="937"/>
      <c r="P714" s="937"/>
      <c r="Q714" s="937"/>
      <c r="R714" s="937"/>
      <c r="S714" s="937"/>
      <c r="T714" s="937"/>
      <c r="U714" s="937"/>
      <c r="V714" s="937"/>
      <c r="W714" s="937"/>
      <c r="X714" s="937"/>
      <c r="Y714" s="937"/>
      <c r="Z714" s="937"/>
    </row>
    <row r="715" spans="1:26" ht="15.75" customHeight="1">
      <c r="A715" s="937"/>
      <c r="B715" s="937"/>
      <c r="C715" s="937"/>
      <c r="D715" s="937"/>
      <c r="E715" s="937"/>
      <c r="F715" s="937"/>
      <c r="G715" s="937"/>
      <c r="H715" s="937"/>
      <c r="I715" s="937"/>
      <c r="J715" s="937"/>
      <c r="K715" s="937"/>
      <c r="L715" s="937"/>
      <c r="M715" s="937"/>
      <c r="N715" s="937"/>
      <c r="O715" s="937"/>
      <c r="P715" s="937"/>
      <c r="Q715" s="937"/>
      <c r="R715" s="937"/>
      <c r="S715" s="937"/>
      <c r="T715" s="937"/>
      <c r="U715" s="937"/>
      <c r="V715" s="937"/>
      <c r="W715" s="937"/>
      <c r="X715" s="937"/>
      <c r="Y715" s="937"/>
      <c r="Z715" s="937"/>
    </row>
    <row r="716" spans="1:26" ht="15.75" customHeight="1">
      <c r="A716" s="937"/>
      <c r="B716" s="937"/>
      <c r="C716" s="937"/>
      <c r="D716" s="937"/>
      <c r="E716" s="937"/>
      <c r="F716" s="937"/>
      <c r="G716" s="937"/>
      <c r="H716" s="937"/>
      <c r="I716" s="937"/>
      <c r="J716" s="937"/>
      <c r="K716" s="937"/>
      <c r="L716" s="937"/>
      <c r="M716" s="937"/>
      <c r="N716" s="937"/>
      <c r="O716" s="937"/>
      <c r="P716" s="937"/>
      <c r="Q716" s="937"/>
      <c r="R716" s="937"/>
      <c r="S716" s="937"/>
      <c r="T716" s="937"/>
      <c r="U716" s="937"/>
      <c r="V716" s="937"/>
      <c r="W716" s="937"/>
      <c r="X716" s="937"/>
      <c r="Y716" s="937"/>
      <c r="Z716" s="937"/>
    </row>
    <row r="717" spans="1:26" ht="15.75" customHeight="1">
      <c r="A717" s="937"/>
      <c r="B717" s="937"/>
      <c r="C717" s="937"/>
      <c r="D717" s="937"/>
      <c r="E717" s="937"/>
      <c r="F717" s="937"/>
      <c r="G717" s="937"/>
      <c r="H717" s="937"/>
      <c r="I717" s="937"/>
      <c r="J717" s="937"/>
      <c r="K717" s="937"/>
      <c r="L717" s="937"/>
      <c r="M717" s="937"/>
      <c r="N717" s="937"/>
      <c r="O717" s="937"/>
      <c r="P717" s="937"/>
      <c r="Q717" s="937"/>
      <c r="R717" s="937"/>
      <c r="S717" s="937"/>
      <c r="T717" s="937"/>
      <c r="U717" s="937"/>
      <c r="V717" s="937"/>
      <c r="W717" s="937"/>
      <c r="X717" s="937"/>
      <c r="Y717" s="937"/>
      <c r="Z717" s="937"/>
    </row>
    <row r="718" spans="1:26" ht="15.75" customHeight="1">
      <c r="A718" s="937"/>
      <c r="B718" s="937"/>
      <c r="C718" s="937"/>
      <c r="D718" s="937"/>
      <c r="E718" s="937"/>
      <c r="F718" s="937"/>
      <c r="G718" s="937"/>
      <c r="H718" s="937"/>
      <c r="I718" s="937"/>
      <c r="J718" s="937"/>
      <c r="K718" s="937"/>
      <c r="L718" s="937"/>
      <c r="M718" s="937"/>
      <c r="N718" s="937"/>
      <c r="O718" s="937"/>
      <c r="P718" s="937"/>
      <c r="Q718" s="937"/>
      <c r="R718" s="937"/>
      <c r="S718" s="937"/>
      <c r="T718" s="937"/>
      <c r="U718" s="937"/>
      <c r="V718" s="937"/>
      <c r="W718" s="937"/>
      <c r="X718" s="937"/>
      <c r="Y718" s="937"/>
      <c r="Z718" s="937"/>
    </row>
    <row r="719" spans="1:26" ht="15.75" customHeight="1">
      <c r="A719" s="937"/>
      <c r="B719" s="937"/>
      <c r="C719" s="937"/>
      <c r="D719" s="937"/>
      <c r="E719" s="937"/>
      <c r="F719" s="937"/>
      <c r="G719" s="937"/>
      <c r="H719" s="937"/>
      <c r="I719" s="937"/>
      <c r="J719" s="937"/>
      <c r="K719" s="937"/>
      <c r="L719" s="937"/>
      <c r="M719" s="937"/>
      <c r="N719" s="937"/>
      <c r="O719" s="937"/>
      <c r="P719" s="937"/>
      <c r="Q719" s="937"/>
      <c r="R719" s="937"/>
      <c r="S719" s="937"/>
      <c r="T719" s="937"/>
      <c r="U719" s="937"/>
      <c r="V719" s="937"/>
      <c r="W719" s="937"/>
      <c r="X719" s="937"/>
      <c r="Y719" s="937"/>
      <c r="Z719" s="937"/>
    </row>
    <row r="720" spans="1:26" ht="15.75" customHeight="1">
      <c r="A720" s="937"/>
      <c r="B720" s="937"/>
      <c r="C720" s="937"/>
      <c r="D720" s="937"/>
      <c r="E720" s="937"/>
      <c r="F720" s="937"/>
      <c r="G720" s="937"/>
      <c r="H720" s="937"/>
      <c r="I720" s="937"/>
      <c r="J720" s="937"/>
      <c r="K720" s="937"/>
      <c r="L720" s="937"/>
      <c r="M720" s="937"/>
      <c r="N720" s="937"/>
      <c r="O720" s="937"/>
      <c r="P720" s="937"/>
      <c r="Q720" s="937"/>
      <c r="R720" s="937"/>
      <c r="S720" s="937"/>
      <c r="T720" s="937"/>
      <c r="U720" s="937"/>
      <c r="V720" s="937"/>
      <c r="W720" s="937"/>
      <c r="X720" s="937"/>
      <c r="Y720" s="937"/>
      <c r="Z720" s="937"/>
    </row>
    <row r="721" spans="1:26" ht="15.75" customHeight="1">
      <c r="A721" s="937"/>
      <c r="B721" s="937"/>
      <c r="C721" s="937"/>
      <c r="D721" s="937"/>
      <c r="E721" s="937"/>
      <c r="F721" s="937"/>
      <c r="G721" s="937"/>
      <c r="H721" s="937"/>
      <c r="I721" s="937"/>
      <c r="J721" s="937"/>
      <c r="K721" s="937"/>
      <c r="L721" s="937"/>
      <c r="M721" s="937"/>
      <c r="N721" s="937"/>
      <c r="O721" s="937"/>
      <c r="P721" s="937"/>
      <c r="Q721" s="937"/>
      <c r="R721" s="937"/>
      <c r="S721" s="937"/>
      <c r="T721" s="937"/>
      <c r="U721" s="937"/>
      <c r="V721" s="937"/>
      <c r="W721" s="937"/>
      <c r="X721" s="937"/>
      <c r="Y721" s="937"/>
      <c r="Z721" s="937"/>
    </row>
    <row r="722" spans="1:26" ht="15.75" customHeight="1">
      <c r="A722" s="937"/>
      <c r="B722" s="937"/>
      <c r="C722" s="937"/>
      <c r="D722" s="937"/>
      <c r="E722" s="937"/>
      <c r="F722" s="937"/>
      <c r="G722" s="937"/>
      <c r="H722" s="937"/>
      <c r="I722" s="937"/>
      <c r="J722" s="937"/>
      <c r="K722" s="937"/>
      <c r="L722" s="937"/>
      <c r="M722" s="937"/>
      <c r="N722" s="937"/>
      <c r="O722" s="937"/>
      <c r="P722" s="937"/>
      <c r="Q722" s="937"/>
      <c r="R722" s="937"/>
      <c r="S722" s="937"/>
      <c r="T722" s="937"/>
      <c r="U722" s="937"/>
      <c r="V722" s="937"/>
      <c r="W722" s="937"/>
      <c r="X722" s="937"/>
      <c r="Y722" s="937"/>
      <c r="Z722" s="937"/>
    </row>
    <row r="723" spans="1:26" ht="15.75" customHeight="1">
      <c r="A723" s="937"/>
      <c r="B723" s="937"/>
      <c r="C723" s="937"/>
      <c r="D723" s="937"/>
      <c r="E723" s="937"/>
      <c r="F723" s="937"/>
      <c r="G723" s="937"/>
      <c r="H723" s="937"/>
      <c r="I723" s="937"/>
      <c r="J723" s="937"/>
      <c r="K723" s="937"/>
      <c r="L723" s="937"/>
      <c r="M723" s="937"/>
      <c r="N723" s="937"/>
      <c r="O723" s="937"/>
      <c r="P723" s="937"/>
      <c r="Q723" s="937"/>
      <c r="R723" s="937"/>
      <c r="S723" s="937"/>
      <c r="T723" s="937"/>
      <c r="U723" s="937"/>
      <c r="V723" s="937"/>
      <c r="W723" s="937"/>
      <c r="X723" s="937"/>
      <c r="Y723" s="937"/>
      <c r="Z723" s="937"/>
    </row>
    <row r="724" spans="1:26" ht="15.75" customHeight="1">
      <c r="A724" s="937"/>
      <c r="B724" s="937"/>
      <c r="C724" s="937"/>
      <c r="D724" s="937"/>
      <c r="E724" s="937"/>
      <c r="F724" s="937"/>
      <c r="G724" s="937"/>
      <c r="H724" s="937"/>
      <c r="I724" s="937"/>
      <c r="J724" s="937"/>
      <c r="K724" s="937"/>
      <c r="L724" s="937"/>
      <c r="M724" s="937"/>
      <c r="N724" s="937"/>
      <c r="O724" s="937"/>
      <c r="P724" s="937"/>
      <c r="Q724" s="937"/>
      <c r="R724" s="937"/>
      <c r="S724" s="937"/>
      <c r="T724" s="937"/>
      <c r="U724" s="937"/>
      <c r="V724" s="937"/>
      <c r="W724" s="937"/>
      <c r="X724" s="937"/>
      <c r="Y724" s="937"/>
      <c r="Z724" s="937"/>
    </row>
    <row r="725" spans="1:26" ht="15.75" customHeight="1">
      <c r="A725" s="937"/>
      <c r="B725" s="937"/>
      <c r="C725" s="937"/>
      <c r="D725" s="937"/>
      <c r="E725" s="937"/>
      <c r="F725" s="937"/>
      <c r="G725" s="937"/>
      <c r="H725" s="937"/>
      <c r="I725" s="937"/>
      <c r="J725" s="937"/>
      <c r="K725" s="937"/>
      <c r="L725" s="937"/>
      <c r="M725" s="937"/>
      <c r="N725" s="937"/>
      <c r="O725" s="937"/>
      <c r="P725" s="937"/>
      <c r="Q725" s="937"/>
      <c r="R725" s="937"/>
      <c r="S725" s="937"/>
      <c r="T725" s="937"/>
      <c r="U725" s="937"/>
      <c r="V725" s="937"/>
      <c r="W725" s="937"/>
      <c r="X725" s="937"/>
      <c r="Y725" s="937"/>
      <c r="Z725" s="937"/>
    </row>
    <row r="726" spans="1:26" ht="15.75" customHeight="1">
      <c r="A726" s="937"/>
      <c r="B726" s="937"/>
      <c r="C726" s="937"/>
      <c r="D726" s="937"/>
      <c r="E726" s="937"/>
      <c r="F726" s="937"/>
      <c r="G726" s="937"/>
      <c r="H726" s="937"/>
      <c r="I726" s="937"/>
      <c r="J726" s="937"/>
      <c r="K726" s="937"/>
      <c r="L726" s="937"/>
      <c r="M726" s="937"/>
      <c r="N726" s="937"/>
      <c r="O726" s="937"/>
      <c r="P726" s="937"/>
      <c r="Q726" s="937"/>
      <c r="R726" s="937"/>
      <c r="S726" s="937"/>
      <c r="T726" s="937"/>
      <c r="U726" s="937"/>
      <c r="V726" s="937"/>
      <c r="W726" s="937"/>
      <c r="X726" s="937"/>
      <c r="Y726" s="937"/>
      <c r="Z726" s="937"/>
    </row>
    <row r="727" spans="1:26" ht="15.75" customHeight="1">
      <c r="A727" s="937"/>
      <c r="B727" s="937"/>
      <c r="C727" s="937"/>
      <c r="D727" s="937"/>
      <c r="E727" s="937"/>
      <c r="F727" s="937"/>
      <c r="G727" s="937"/>
      <c r="H727" s="937"/>
      <c r="I727" s="937"/>
      <c r="J727" s="937"/>
      <c r="K727" s="937"/>
      <c r="L727" s="937"/>
      <c r="M727" s="937"/>
      <c r="N727" s="937"/>
      <c r="O727" s="937"/>
      <c r="P727" s="937"/>
      <c r="Q727" s="937"/>
      <c r="R727" s="937"/>
      <c r="S727" s="937"/>
      <c r="T727" s="937"/>
      <c r="U727" s="937"/>
      <c r="V727" s="937"/>
      <c r="W727" s="937"/>
      <c r="X727" s="937"/>
      <c r="Y727" s="937"/>
      <c r="Z727" s="937"/>
    </row>
    <row r="728" spans="1:26" ht="15.75" customHeight="1">
      <c r="A728" s="937"/>
      <c r="B728" s="937"/>
      <c r="C728" s="937"/>
      <c r="D728" s="937"/>
      <c r="E728" s="937"/>
      <c r="F728" s="937"/>
      <c r="G728" s="937"/>
      <c r="H728" s="937"/>
      <c r="I728" s="937"/>
      <c r="J728" s="937"/>
      <c r="K728" s="937"/>
      <c r="L728" s="937"/>
      <c r="M728" s="937"/>
      <c r="N728" s="937"/>
      <c r="O728" s="937"/>
      <c r="P728" s="937"/>
      <c r="Q728" s="937"/>
      <c r="R728" s="937"/>
      <c r="S728" s="937"/>
      <c r="T728" s="937"/>
      <c r="U728" s="937"/>
      <c r="V728" s="937"/>
      <c r="W728" s="937"/>
      <c r="X728" s="937"/>
      <c r="Y728" s="937"/>
      <c r="Z728" s="937"/>
    </row>
    <row r="729" spans="1:26" ht="15.75" customHeight="1">
      <c r="A729" s="937"/>
      <c r="B729" s="937"/>
      <c r="C729" s="937"/>
      <c r="D729" s="937"/>
      <c r="E729" s="937"/>
      <c r="F729" s="937"/>
      <c r="G729" s="937"/>
      <c r="H729" s="937"/>
      <c r="I729" s="937"/>
      <c r="J729" s="937"/>
      <c r="K729" s="937"/>
      <c r="L729" s="937"/>
      <c r="M729" s="937"/>
      <c r="N729" s="937"/>
      <c r="O729" s="937"/>
      <c r="P729" s="937"/>
      <c r="Q729" s="937"/>
      <c r="R729" s="937"/>
      <c r="S729" s="937"/>
      <c r="T729" s="937"/>
      <c r="U729" s="937"/>
      <c r="V729" s="937"/>
      <c r="W729" s="937"/>
      <c r="X729" s="937"/>
      <c r="Y729" s="937"/>
      <c r="Z729" s="937"/>
    </row>
    <row r="730" spans="1:26" ht="15.75" customHeight="1">
      <c r="A730" s="937"/>
      <c r="B730" s="937"/>
      <c r="C730" s="937"/>
      <c r="D730" s="937"/>
      <c r="E730" s="937"/>
      <c r="F730" s="937"/>
      <c r="G730" s="937"/>
      <c r="H730" s="937"/>
      <c r="I730" s="937"/>
      <c r="J730" s="937"/>
      <c r="K730" s="937"/>
      <c r="L730" s="937"/>
      <c r="M730" s="937"/>
      <c r="N730" s="937"/>
      <c r="O730" s="937"/>
      <c r="P730" s="937"/>
      <c r="Q730" s="937"/>
      <c r="R730" s="937"/>
      <c r="S730" s="937"/>
      <c r="T730" s="937"/>
      <c r="U730" s="937"/>
      <c r="V730" s="937"/>
      <c r="W730" s="937"/>
      <c r="X730" s="937"/>
      <c r="Y730" s="937"/>
      <c r="Z730" s="937"/>
    </row>
    <row r="731" spans="1:26" ht="15.75" customHeight="1">
      <c r="A731" s="937"/>
      <c r="B731" s="937"/>
      <c r="C731" s="937"/>
      <c r="D731" s="937"/>
      <c r="E731" s="937"/>
      <c r="F731" s="937"/>
      <c r="G731" s="937"/>
      <c r="H731" s="937"/>
      <c r="I731" s="937"/>
      <c r="J731" s="937"/>
      <c r="K731" s="937"/>
      <c r="L731" s="937"/>
      <c r="M731" s="937"/>
      <c r="N731" s="937"/>
      <c r="O731" s="937"/>
      <c r="P731" s="937"/>
      <c r="Q731" s="937"/>
      <c r="R731" s="937"/>
      <c r="S731" s="937"/>
      <c r="T731" s="937"/>
      <c r="U731" s="937"/>
      <c r="V731" s="937"/>
      <c r="W731" s="937"/>
      <c r="X731" s="937"/>
      <c r="Y731" s="937"/>
      <c r="Z731" s="937"/>
    </row>
    <row r="732" spans="1:26" ht="15.75" customHeight="1">
      <c r="A732" s="937"/>
      <c r="B732" s="937"/>
      <c r="C732" s="937"/>
      <c r="D732" s="937"/>
      <c r="E732" s="937"/>
      <c r="F732" s="937"/>
      <c r="G732" s="937"/>
      <c r="H732" s="937"/>
      <c r="I732" s="937"/>
      <c r="J732" s="937"/>
      <c r="K732" s="937"/>
      <c r="L732" s="937"/>
      <c r="M732" s="937"/>
      <c r="N732" s="937"/>
      <c r="O732" s="937"/>
      <c r="P732" s="937"/>
      <c r="Q732" s="937"/>
      <c r="R732" s="937"/>
      <c r="S732" s="937"/>
      <c r="T732" s="937"/>
      <c r="U732" s="937"/>
      <c r="V732" s="937"/>
      <c r="W732" s="937"/>
      <c r="X732" s="937"/>
      <c r="Y732" s="937"/>
      <c r="Z732" s="937"/>
    </row>
    <row r="733" spans="1:26" ht="15.75" customHeight="1">
      <c r="A733" s="937"/>
      <c r="B733" s="937"/>
      <c r="C733" s="937"/>
      <c r="D733" s="937"/>
      <c r="E733" s="937"/>
      <c r="F733" s="937"/>
      <c r="G733" s="937"/>
      <c r="H733" s="937"/>
      <c r="I733" s="937"/>
      <c r="J733" s="937"/>
      <c r="K733" s="937"/>
      <c r="L733" s="937"/>
      <c r="M733" s="937"/>
      <c r="N733" s="937"/>
      <c r="O733" s="937"/>
      <c r="P733" s="937"/>
      <c r="Q733" s="937"/>
      <c r="R733" s="937"/>
      <c r="S733" s="937"/>
      <c r="T733" s="937"/>
      <c r="U733" s="937"/>
      <c r="V733" s="937"/>
      <c r="W733" s="937"/>
      <c r="X733" s="937"/>
      <c r="Y733" s="937"/>
      <c r="Z733" s="937"/>
    </row>
    <row r="734" spans="1:26" ht="15.75" customHeight="1">
      <c r="A734" s="937"/>
      <c r="B734" s="937"/>
      <c r="C734" s="937"/>
      <c r="D734" s="937"/>
      <c r="E734" s="937"/>
      <c r="F734" s="937"/>
      <c r="G734" s="937"/>
      <c r="H734" s="937"/>
      <c r="I734" s="937"/>
      <c r="J734" s="937"/>
      <c r="K734" s="937"/>
      <c r="L734" s="937"/>
      <c r="M734" s="937"/>
      <c r="N734" s="937"/>
      <c r="O734" s="937"/>
      <c r="P734" s="937"/>
      <c r="Q734" s="937"/>
      <c r="R734" s="937"/>
      <c r="S734" s="937"/>
      <c r="T734" s="937"/>
      <c r="U734" s="937"/>
      <c r="V734" s="937"/>
      <c r="W734" s="937"/>
      <c r="X734" s="937"/>
      <c r="Y734" s="937"/>
      <c r="Z734" s="937"/>
    </row>
    <row r="735" spans="1:26" ht="15.75" customHeight="1">
      <c r="A735" s="937"/>
      <c r="B735" s="937"/>
      <c r="C735" s="937"/>
      <c r="D735" s="937"/>
      <c r="E735" s="937"/>
      <c r="F735" s="937"/>
      <c r="G735" s="937"/>
      <c r="H735" s="937"/>
      <c r="I735" s="937"/>
      <c r="J735" s="937"/>
      <c r="K735" s="937"/>
      <c r="L735" s="937"/>
      <c r="M735" s="937"/>
      <c r="N735" s="937"/>
      <c r="O735" s="937"/>
      <c r="P735" s="937"/>
      <c r="Q735" s="937"/>
      <c r="R735" s="937"/>
      <c r="S735" s="937"/>
      <c r="T735" s="937"/>
      <c r="U735" s="937"/>
      <c r="V735" s="937"/>
      <c r="W735" s="937"/>
      <c r="X735" s="937"/>
      <c r="Y735" s="937"/>
      <c r="Z735" s="937"/>
    </row>
    <row r="736" spans="1:26" ht="15.75" customHeight="1">
      <c r="A736" s="937"/>
      <c r="B736" s="937"/>
      <c r="C736" s="937"/>
      <c r="D736" s="937"/>
      <c r="E736" s="937"/>
      <c r="F736" s="937"/>
      <c r="G736" s="937"/>
      <c r="H736" s="937"/>
      <c r="I736" s="937"/>
      <c r="J736" s="937"/>
      <c r="K736" s="937"/>
      <c r="L736" s="937"/>
      <c r="M736" s="937"/>
      <c r="N736" s="937"/>
      <c r="O736" s="937"/>
      <c r="P736" s="937"/>
      <c r="Q736" s="937"/>
      <c r="R736" s="937"/>
      <c r="S736" s="937"/>
      <c r="T736" s="937"/>
      <c r="U736" s="937"/>
      <c r="V736" s="937"/>
      <c r="W736" s="937"/>
      <c r="X736" s="937"/>
      <c r="Y736" s="937"/>
      <c r="Z736" s="937"/>
    </row>
    <row r="737" spans="1:26" ht="15.75" customHeight="1">
      <c r="A737" s="937"/>
      <c r="B737" s="937"/>
      <c r="C737" s="937"/>
      <c r="D737" s="937"/>
      <c r="E737" s="937"/>
      <c r="F737" s="937"/>
      <c r="G737" s="937"/>
      <c r="H737" s="937"/>
      <c r="I737" s="937"/>
      <c r="J737" s="937"/>
      <c r="K737" s="937"/>
      <c r="L737" s="937"/>
      <c r="M737" s="937"/>
      <c r="N737" s="937"/>
      <c r="O737" s="937"/>
      <c r="P737" s="937"/>
      <c r="Q737" s="937"/>
      <c r="R737" s="937"/>
      <c r="S737" s="937"/>
      <c r="T737" s="937"/>
      <c r="U737" s="937"/>
      <c r="V737" s="937"/>
      <c r="W737" s="937"/>
      <c r="X737" s="937"/>
      <c r="Y737" s="937"/>
      <c r="Z737" s="937"/>
    </row>
    <row r="738" spans="1:26" ht="15.75" customHeight="1">
      <c r="A738" s="937"/>
      <c r="B738" s="937"/>
      <c r="C738" s="937"/>
      <c r="D738" s="937"/>
      <c r="E738" s="937"/>
      <c r="F738" s="937"/>
      <c r="G738" s="937"/>
      <c r="H738" s="937"/>
      <c r="I738" s="937"/>
      <c r="J738" s="937"/>
      <c r="K738" s="937"/>
      <c r="L738" s="937"/>
      <c r="M738" s="937"/>
      <c r="N738" s="937"/>
      <c r="O738" s="937"/>
      <c r="P738" s="937"/>
      <c r="Q738" s="937"/>
      <c r="R738" s="937"/>
      <c r="S738" s="937"/>
      <c r="T738" s="937"/>
      <c r="U738" s="937"/>
      <c r="V738" s="937"/>
      <c r="W738" s="937"/>
      <c r="X738" s="937"/>
      <c r="Y738" s="937"/>
      <c r="Z738" s="937"/>
    </row>
    <row r="739" spans="1:26" ht="15.75" customHeight="1">
      <c r="A739" s="937"/>
      <c r="B739" s="937"/>
      <c r="C739" s="937"/>
      <c r="D739" s="937"/>
      <c r="E739" s="937"/>
      <c r="F739" s="937"/>
      <c r="G739" s="937"/>
      <c r="H739" s="937"/>
      <c r="I739" s="937"/>
      <c r="J739" s="937"/>
      <c r="K739" s="937"/>
      <c r="L739" s="937"/>
      <c r="M739" s="937"/>
      <c r="N739" s="937"/>
      <c r="O739" s="937"/>
      <c r="P739" s="937"/>
      <c r="Q739" s="937"/>
      <c r="R739" s="937"/>
      <c r="S739" s="937"/>
      <c r="T739" s="937"/>
      <c r="U739" s="937"/>
      <c r="V739" s="937"/>
      <c r="W739" s="937"/>
      <c r="X739" s="937"/>
      <c r="Y739" s="937"/>
      <c r="Z739" s="937"/>
    </row>
    <row r="740" spans="1:26" ht="15.75" customHeight="1">
      <c r="A740" s="937"/>
      <c r="B740" s="937"/>
      <c r="C740" s="937"/>
      <c r="D740" s="937"/>
      <c r="E740" s="937"/>
      <c r="F740" s="937"/>
      <c r="G740" s="937"/>
      <c r="H740" s="937"/>
      <c r="I740" s="937"/>
      <c r="J740" s="937"/>
      <c r="K740" s="937"/>
      <c r="L740" s="937"/>
      <c r="M740" s="937"/>
      <c r="N740" s="937"/>
      <c r="O740" s="937"/>
      <c r="P740" s="937"/>
      <c r="Q740" s="937"/>
      <c r="R740" s="937"/>
      <c r="S740" s="937"/>
      <c r="T740" s="937"/>
      <c r="U740" s="937"/>
      <c r="V740" s="937"/>
      <c r="W740" s="937"/>
      <c r="X740" s="937"/>
      <c r="Y740" s="937"/>
      <c r="Z740" s="937"/>
    </row>
    <row r="741" spans="1:26" ht="15.75" customHeight="1">
      <c r="A741" s="937"/>
      <c r="B741" s="937"/>
      <c r="C741" s="937"/>
      <c r="D741" s="937"/>
      <c r="E741" s="937"/>
      <c r="F741" s="937"/>
      <c r="G741" s="937"/>
      <c r="H741" s="937"/>
      <c r="I741" s="937"/>
      <c r="J741" s="937"/>
      <c r="K741" s="937"/>
      <c r="L741" s="937"/>
      <c r="M741" s="937"/>
      <c r="N741" s="937"/>
      <c r="O741" s="937"/>
      <c r="P741" s="937"/>
      <c r="Q741" s="937"/>
      <c r="R741" s="937"/>
      <c r="S741" s="937"/>
      <c r="T741" s="937"/>
      <c r="U741" s="937"/>
      <c r="V741" s="937"/>
      <c r="W741" s="937"/>
      <c r="X741" s="937"/>
      <c r="Y741" s="937"/>
      <c r="Z741" s="937"/>
    </row>
    <row r="742" spans="1:26" ht="15.75" customHeight="1">
      <c r="A742" s="937"/>
      <c r="B742" s="937"/>
      <c r="C742" s="937"/>
      <c r="D742" s="937"/>
      <c r="E742" s="937"/>
      <c r="F742" s="937"/>
      <c r="G742" s="937"/>
      <c r="H742" s="937"/>
      <c r="I742" s="937"/>
      <c r="J742" s="937"/>
      <c r="K742" s="937"/>
      <c r="L742" s="937"/>
      <c r="M742" s="937"/>
      <c r="N742" s="937"/>
      <c r="O742" s="937"/>
      <c r="P742" s="937"/>
      <c r="Q742" s="937"/>
      <c r="R742" s="937"/>
      <c r="S742" s="937"/>
      <c r="T742" s="937"/>
      <c r="U742" s="937"/>
      <c r="V742" s="937"/>
      <c r="W742" s="937"/>
      <c r="X742" s="937"/>
      <c r="Y742" s="937"/>
      <c r="Z742" s="937"/>
    </row>
    <row r="743" spans="1:26" ht="15.75" customHeight="1">
      <c r="A743" s="937"/>
      <c r="B743" s="937"/>
      <c r="C743" s="937"/>
      <c r="D743" s="937"/>
      <c r="E743" s="937"/>
      <c r="F743" s="937"/>
      <c r="G743" s="937"/>
      <c r="H743" s="937"/>
      <c r="I743" s="937"/>
      <c r="J743" s="937"/>
      <c r="K743" s="937"/>
      <c r="L743" s="937"/>
      <c r="M743" s="937"/>
      <c r="N743" s="937"/>
      <c r="O743" s="937"/>
      <c r="P743" s="937"/>
      <c r="Q743" s="937"/>
      <c r="R743" s="937"/>
      <c r="S743" s="937"/>
      <c r="T743" s="937"/>
      <c r="U743" s="937"/>
      <c r="V743" s="937"/>
      <c r="W743" s="937"/>
      <c r="X743" s="937"/>
      <c r="Y743" s="937"/>
      <c r="Z743" s="937"/>
    </row>
    <row r="744" spans="1:26" ht="15.75" customHeight="1">
      <c r="A744" s="937"/>
      <c r="B744" s="937"/>
      <c r="C744" s="937"/>
      <c r="D744" s="937"/>
      <c r="E744" s="937"/>
      <c r="F744" s="937"/>
      <c r="G744" s="937"/>
      <c r="H744" s="937"/>
      <c r="I744" s="937"/>
      <c r="J744" s="937"/>
      <c r="K744" s="937"/>
      <c r="L744" s="937"/>
      <c r="M744" s="937"/>
      <c r="N744" s="937"/>
      <c r="O744" s="937"/>
      <c r="P744" s="937"/>
      <c r="Q744" s="937"/>
      <c r="R744" s="937"/>
      <c r="S744" s="937"/>
      <c r="T744" s="937"/>
      <c r="U744" s="937"/>
      <c r="V744" s="937"/>
      <c r="W744" s="937"/>
      <c r="X744" s="937"/>
      <c r="Y744" s="937"/>
      <c r="Z744" s="937"/>
    </row>
    <row r="745" spans="1:26" ht="15.75" customHeight="1">
      <c r="A745" s="937"/>
      <c r="B745" s="937"/>
      <c r="C745" s="937"/>
      <c r="D745" s="937"/>
      <c r="E745" s="937"/>
      <c r="F745" s="937"/>
      <c r="G745" s="937"/>
      <c r="H745" s="937"/>
      <c r="I745" s="937"/>
      <c r="J745" s="937"/>
      <c r="K745" s="937"/>
      <c r="L745" s="937"/>
      <c r="M745" s="937"/>
      <c r="N745" s="937"/>
      <c r="O745" s="937"/>
      <c r="P745" s="937"/>
      <c r="Q745" s="937"/>
      <c r="R745" s="937"/>
      <c r="S745" s="937"/>
      <c r="T745" s="937"/>
      <c r="U745" s="937"/>
      <c r="V745" s="937"/>
      <c r="W745" s="937"/>
      <c r="X745" s="937"/>
      <c r="Y745" s="937"/>
      <c r="Z745" s="937"/>
    </row>
    <row r="746" spans="1:26" ht="15.75" customHeight="1">
      <c r="A746" s="937"/>
      <c r="B746" s="937"/>
      <c r="C746" s="937"/>
      <c r="D746" s="937"/>
      <c r="E746" s="937"/>
      <c r="F746" s="937"/>
      <c r="G746" s="937"/>
      <c r="H746" s="937"/>
      <c r="I746" s="937"/>
      <c r="J746" s="937"/>
      <c r="K746" s="937"/>
      <c r="L746" s="937"/>
      <c r="M746" s="937"/>
      <c r="N746" s="937"/>
      <c r="O746" s="937"/>
      <c r="P746" s="937"/>
      <c r="Q746" s="937"/>
      <c r="R746" s="937"/>
      <c r="S746" s="937"/>
      <c r="T746" s="937"/>
      <c r="U746" s="937"/>
      <c r="V746" s="937"/>
      <c r="W746" s="937"/>
      <c r="X746" s="937"/>
      <c r="Y746" s="937"/>
      <c r="Z746" s="937"/>
    </row>
    <row r="747" spans="1:26" ht="15.75" customHeight="1">
      <c r="A747" s="937"/>
      <c r="B747" s="937"/>
      <c r="C747" s="937"/>
      <c r="D747" s="937"/>
      <c r="E747" s="937"/>
      <c r="F747" s="937"/>
      <c r="G747" s="937"/>
      <c r="H747" s="937"/>
      <c r="I747" s="937"/>
      <c r="J747" s="937"/>
      <c r="K747" s="937"/>
      <c r="L747" s="937"/>
      <c r="M747" s="937"/>
      <c r="N747" s="937"/>
      <c r="O747" s="937"/>
      <c r="P747" s="937"/>
      <c r="Q747" s="937"/>
      <c r="R747" s="937"/>
      <c r="S747" s="937"/>
      <c r="T747" s="937"/>
      <c r="U747" s="937"/>
      <c r="V747" s="937"/>
      <c r="W747" s="937"/>
      <c r="X747" s="937"/>
      <c r="Y747" s="937"/>
      <c r="Z747" s="937"/>
    </row>
    <row r="748" spans="1:26" ht="15.75" customHeight="1">
      <c r="A748" s="937"/>
      <c r="B748" s="937"/>
      <c r="C748" s="937"/>
      <c r="D748" s="937"/>
      <c r="E748" s="937"/>
      <c r="F748" s="937"/>
      <c r="G748" s="937"/>
      <c r="H748" s="937"/>
      <c r="I748" s="937"/>
      <c r="J748" s="937"/>
      <c r="K748" s="937"/>
      <c r="L748" s="937"/>
      <c r="M748" s="937"/>
      <c r="N748" s="937"/>
      <c r="O748" s="937"/>
      <c r="P748" s="937"/>
      <c r="Q748" s="937"/>
      <c r="R748" s="937"/>
      <c r="S748" s="937"/>
      <c r="T748" s="937"/>
      <c r="U748" s="937"/>
      <c r="V748" s="937"/>
      <c r="W748" s="937"/>
      <c r="X748" s="937"/>
      <c r="Y748" s="937"/>
      <c r="Z748" s="937"/>
    </row>
    <row r="749" spans="1:26" ht="15.75" customHeight="1">
      <c r="A749" s="937"/>
      <c r="B749" s="937"/>
      <c r="C749" s="937"/>
      <c r="D749" s="937"/>
      <c r="E749" s="937"/>
      <c r="F749" s="937"/>
      <c r="G749" s="937"/>
      <c r="H749" s="937"/>
      <c r="I749" s="937"/>
      <c r="J749" s="937"/>
      <c r="K749" s="937"/>
      <c r="L749" s="937"/>
      <c r="M749" s="937"/>
      <c r="N749" s="937"/>
      <c r="O749" s="937"/>
      <c r="P749" s="937"/>
      <c r="Q749" s="937"/>
      <c r="R749" s="937"/>
      <c r="S749" s="937"/>
      <c r="T749" s="937"/>
      <c r="U749" s="937"/>
      <c r="V749" s="937"/>
      <c r="W749" s="937"/>
      <c r="X749" s="937"/>
      <c r="Y749" s="937"/>
      <c r="Z749" s="937"/>
    </row>
    <row r="750" spans="1:26" ht="15.75" customHeight="1">
      <c r="A750" s="937"/>
      <c r="B750" s="937"/>
      <c r="C750" s="937"/>
      <c r="D750" s="937"/>
      <c r="E750" s="937"/>
      <c r="F750" s="937"/>
      <c r="G750" s="937"/>
      <c r="H750" s="937"/>
      <c r="I750" s="937"/>
      <c r="J750" s="937"/>
      <c r="K750" s="937"/>
      <c r="L750" s="937"/>
      <c r="M750" s="937"/>
      <c r="N750" s="937"/>
      <c r="O750" s="937"/>
      <c r="P750" s="937"/>
      <c r="Q750" s="937"/>
      <c r="R750" s="937"/>
      <c r="S750" s="937"/>
      <c r="T750" s="937"/>
      <c r="U750" s="937"/>
      <c r="V750" s="937"/>
      <c r="W750" s="937"/>
      <c r="X750" s="937"/>
      <c r="Y750" s="937"/>
      <c r="Z750" s="937"/>
    </row>
    <row r="751" spans="1:26" ht="15.75" customHeight="1">
      <c r="A751" s="937"/>
      <c r="B751" s="937"/>
      <c r="C751" s="937"/>
      <c r="D751" s="937"/>
      <c r="E751" s="937"/>
      <c r="F751" s="937"/>
      <c r="G751" s="937"/>
      <c r="H751" s="937"/>
      <c r="I751" s="937"/>
      <c r="J751" s="937"/>
      <c r="K751" s="937"/>
      <c r="L751" s="937"/>
      <c r="M751" s="937"/>
      <c r="N751" s="937"/>
      <c r="O751" s="937"/>
      <c r="P751" s="937"/>
      <c r="Q751" s="937"/>
      <c r="R751" s="937"/>
      <c r="S751" s="937"/>
      <c r="T751" s="937"/>
      <c r="U751" s="937"/>
      <c r="V751" s="937"/>
      <c r="W751" s="937"/>
      <c r="X751" s="937"/>
      <c r="Y751" s="937"/>
      <c r="Z751" s="937"/>
    </row>
    <row r="752" spans="1:26" ht="15.75" customHeight="1">
      <c r="A752" s="937"/>
      <c r="B752" s="937"/>
      <c r="C752" s="937"/>
      <c r="D752" s="937"/>
      <c r="E752" s="937"/>
      <c r="F752" s="937"/>
      <c r="G752" s="937"/>
      <c r="H752" s="937"/>
      <c r="I752" s="937"/>
      <c r="J752" s="937"/>
      <c r="K752" s="937"/>
      <c r="L752" s="937"/>
      <c r="M752" s="937"/>
      <c r="N752" s="937"/>
      <c r="O752" s="937"/>
      <c r="P752" s="937"/>
      <c r="Q752" s="937"/>
      <c r="R752" s="937"/>
      <c r="S752" s="937"/>
      <c r="T752" s="937"/>
      <c r="U752" s="937"/>
      <c r="V752" s="937"/>
      <c r="W752" s="937"/>
      <c r="X752" s="937"/>
      <c r="Y752" s="937"/>
      <c r="Z752" s="937"/>
    </row>
    <row r="753" spans="1:26" ht="15.75" customHeight="1">
      <c r="A753" s="937"/>
      <c r="B753" s="937"/>
      <c r="C753" s="937"/>
      <c r="D753" s="937"/>
      <c r="E753" s="937"/>
      <c r="F753" s="937"/>
      <c r="G753" s="937"/>
      <c r="H753" s="937"/>
      <c r="I753" s="937"/>
      <c r="J753" s="937"/>
      <c r="K753" s="937"/>
      <c r="L753" s="937"/>
      <c r="M753" s="937"/>
      <c r="N753" s="937"/>
      <c r="O753" s="937"/>
      <c r="P753" s="937"/>
      <c r="Q753" s="937"/>
      <c r="R753" s="937"/>
      <c r="S753" s="937"/>
      <c r="T753" s="937"/>
      <c r="U753" s="937"/>
      <c r="V753" s="937"/>
      <c r="W753" s="937"/>
      <c r="X753" s="937"/>
      <c r="Y753" s="937"/>
      <c r="Z753" s="937"/>
    </row>
    <row r="754" spans="1:26" ht="15.75" customHeight="1">
      <c r="A754" s="937"/>
      <c r="B754" s="937"/>
      <c r="C754" s="937"/>
      <c r="D754" s="937"/>
      <c r="E754" s="937"/>
      <c r="F754" s="937"/>
      <c r="G754" s="937"/>
      <c r="H754" s="937"/>
      <c r="I754" s="937"/>
      <c r="J754" s="937"/>
      <c r="K754" s="937"/>
      <c r="L754" s="937"/>
      <c r="M754" s="937"/>
      <c r="N754" s="937"/>
      <c r="O754" s="937"/>
      <c r="P754" s="937"/>
      <c r="Q754" s="937"/>
      <c r="R754" s="937"/>
      <c r="S754" s="937"/>
      <c r="T754" s="937"/>
      <c r="U754" s="937"/>
      <c r="V754" s="937"/>
      <c r="W754" s="937"/>
      <c r="X754" s="937"/>
      <c r="Y754" s="937"/>
      <c r="Z754" s="937"/>
    </row>
    <row r="755" spans="1:26" ht="15.75" customHeight="1">
      <c r="A755" s="937"/>
      <c r="B755" s="937"/>
      <c r="C755" s="937"/>
      <c r="D755" s="937"/>
      <c r="E755" s="937"/>
      <c r="F755" s="937"/>
      <c r="G755" s="937"/>
      <c r="H755" s="937"/>
      <c r="I755" s="937"/>
      <c r="J755" s="937"/>
      <c r="K755" s="937"/>
      <c r="L755" s="937"/>
      <c r="M755" s="937"/>
      <c r="N755" s="937"/>
      <c r="O755" s="937"/>
      <c r="P755" s="937"/>
      <c r="Q755" s="937"/>
      <c r="R755" s="937"/>
      <c r="S755" s="937"/>
      <c r="T755" s="937"/>
      <c r="U755" s="937"/>
      <c r="V755" s="937"/>
      <c r="W755" s="937"/>
      <c r="X755" s="937"/>
      <c r="Y755" s="937"/>
      <c r="Z755" s="937"/>
    </row>
    <row r="756" spans="1:26" ht="15.75" customHeight="1">
      <c r="A756" s="937"/>
      <c r="B756" s="937"/>
      <c r="C756" s="937"/>
      <c r="D756" s="937"/>
      <c r="E756" s="937"/>
      <c r="F756" s="937"/>
      <c r="G756" s="937"/>
      <c r="H756" s="937"/>
      <c r="I756" s="937"/>
      <c r="J756" s="937"/>
      <c r="K756" s="937"/>
      <c r="L756" s="937"/>
      <c r="M756" s="937"/>
      <c r="N756" s="937"/>
      <c r="O756" s="937"/>
      <c r="P756" s="937"/>
      <c r="Q756" s="937"/>
      <c r="R756" s="937"/>
      <c r="S756" s="937"/>
      <c r="T756" s="937"/>
      <c r="U756" s="937"/>
      <c r="V756" s="937"/>
      <c r="W756" s="937"/>
      <c r="X756" s="937"/>
      <c r="Y756" s="937"/>
      <c r="Z756" s="937"/>
    </row>
    <row r="757" spans="1:26" ht="15.75" customHeight="1">
      <c r="A757" s="937"/>
      <c r="B757" s="937"/>
      <c r="C757" s="937"/>
      <c r="D757" s="937"/>
      <c r="E757" s="937"/>
      <c r="F757" s="937"/>
      <c r="G757" s="937"/>
      <c r="H757" s="937"/>
      <c r="I757" s="937"/>
      <c r="J757" s="937"/>
      <c r="K757" s="937"/>
      <c r="L757" s="937"/>
      <c r="M757" s="937"/>
      <c r="N757" s="937"/>
      <c r="O757" s="937"/>
      <c r="P757" s="937"/>
      <c r="Q757" s="937"/>
      <c r="R757" s="937"/>
      <c r="S757" s="937"/>
      <c r="T757" s="937"/>
      <c r="U757" s="937"/>
      <c r="V757" s="937"/>
      <c r="W757" s="937"/>
      <c r="X757" s="937"/>
      <c r="Y757" s="937"/>
      <c r="Z757" s="937"/>
    </row>
    <row r="758" spans="1:26" ht="15.75" customHeight="1">
      <c r="A758" s="937"/>
      <c r="B758" s="937"/>
      <c r="C758" s="937"/>
      <c r="D758" s="937"/>
      <c r="E758" s="937"/>
      <c r="F758" s="937"/>
      <c r="G758" s="937"/>
      <c r="H758" s="937"/>
      <c r="I758" s="937"/>
      <c r="J758" s="937"/>
      <c r="K758" s="937"/>
      <c r="L758" s="937"/>
      <c r="M758" s="937"/>
      <c r="N758" s="937"/>
      <c r="O758" s="937"/>
      <c r="P758" s="937"/>
      <c r="Q758" s="937"/>
      <c r="R758" s="937"/>
      <c r="S758" s="937"/>
      <c r="T758" s="937"/>
      <c r="U758" s="937"/>
      <c r="V758" s="937"/>
      <c r="W758" s="937"/>
      <c r="X758" s="937"/>
      <c r="Y758" s="937"/>
      <c r="Z758" s="937"/>
    </row>
    <row r="759" spans="1:26" ht="15.75" customHeight="1">
      <c r="A759" s="937"/>
      <c r="B759" s="937"/>
      <c r="C759" s="937"/>
      <c r="D759" s="937"/>
      <c r="E759" s="937"/>
      <c r="F759" s="937"/>
      <c r="G759" s="937"/>
      <c r="H759" s="937"/>
      <c r="I759" s="937"/>
      <c r="J759" s="937"/>
      <c r="K759" s="937"/>
      <c r="L759" s="937"/>
      <c r="M759" s="937"/>
      <c r="N759" s="937"/>
      <c r="O759" s="937"/>
      <c r="P759" s="937"/>
      <c r="Q759" s="937"/>
      <c r="R759" s="937"/>
      <c r="S759" s="937"/>
      <c r="T759" s="937"/>
      <c r="U759" s="937"/>
      <c r="V759" s="937"/>
      <c r="W759" s="937"/>
      <c r="X759" s="937"/>
      <c r="Y759" s="937"/>
      <c r="Z759" s="937"/>
    </row>
    <row r="760" spans="1:26" ht="15.75" customHeight="1">
      <c r="A760" s="937"/>
      <c r="B760" s="937"/>
      <c r="C760" s="937"/>
      <c r="D760" s="937"/>
      <c r="E760" s="937"/>
      <c r="F760" s="937"/>
      <c r="G760" s="937"/>
      <c r="H760" s="937"/>
      <c r="I760" s="937"/>
      <c r="J760" s="937"/>
      <c r="K760" s="937"/>
      <c r="L760" s="937"/>
      <c r="M760" s="937"/>
      <c r="N760" s="937"/>
      <c r="O760" s="937"/>
      <c r="P760" s="937"/>
      <c r="Q760" s="937"/>
      <c r="R760" s="937"/>
      <c r="S760" s="937"/>
      <c r="T760" s="937"/>
      <c r="U760" s="937"/>
      <c r="V760" s="937"/>
      <c r="W760" s="937"/>
      <c r="X760" s="937"/>
      <c r="Y760" s="937"/>
      <c r="Z760" s="937"/>
    </row>
    <row r="761" spans="1:26" ht="15.75" customHeight="1">
      <c r="A761" s="937"/>
      <c r="B761" s="937"/>
      <c r="C761" s="937"/>
      <c r="D761" s="937"/>
      <c r="E761" s="937"/>
      <c r="F761" s="937"/>
      <c r="G761" s="937"/>
      <c r="H761" s="937"/>
      <c r="I761" s="937"/>
      <c r="J761" s="937"/>
      <c r="K761" s="937"/>
      <c r="L761" s="937"/>
      <c r="M761" s="937"/>
      <c r="N761" s="937"/>
      <c r="O761" s="937"/>
      <c r="P761" s="937"/>
      <c r="Q761" s="937"/>
      <c r="R761" s="937"/>
      <c r="S761" s="937"/>
      <c r="T761" s="937"/>
      <c r="U761" s="937"/>
      <c r="V761" s="937"/>
      <c r="W761" s="937"/>
      <c r="X761" s="937"/>
      <c r="Y761" s="937"/>
      <c r="Z761" s="937"/>
    </row>
    <row r="762" spans="1:26" ht="15.75" customHeight="1">
      <c r="A762" s="937"/>
      <c r="B762" s="937"/>
      <c r="C762" s="937"/>
      <c r="D762" s="937"/>
      <c r="E762" s="937"/>
      <c r="F762" s="937"/>
      <c r="G762" s="937"/>
      <c r="H762" s="937"/>
      <c r="I762" s="937"/>
      <c r="J762" s="937"/>
      <c r="K762" s="937"/>
      <c r="L762" s="937"/>
      <c r="M762" s="937"/>
      <c r="N762" s="937"/>
      <c r="O762" s="937"/>
      <c r="P762" s="937"/>
      <c r="Q762" s="937"/>
      <c r="R762" s="937"/>
      <c r="S762" s="937"/>
      <c r="T762" s="937"/>
      <c r="U762" s="937"/>
      <c r="V762" s="937"/>
      <c r="W762" s="937"/>
      <c r="X762" s="937"/>
      <c r="Y762" s="937"/>
      <c r="Z762" s="937"/>
    </row>
    <row r="763" spans="1:26" ht="15.75" customHeight="1">
      <c r="A763" s="937"/>
      <c r="B763" s="937"/>
      <c r="C763" s="937"/>
      <c r="D763" s="937"/>
      <c r="E763" s="937"/>
      <c r="F763" s="937"/>
      <c r="G763" s="937"/>
      <c r="H763" s="937"/>
      <c r="I763" s="937"/>
      <c r="J763" s="937"/>
      <c r="K763" s="937"/>
      <c r="L763" s="937"/>
      <c r="M763" s="937"/>
      <c r="N763" s="937"/>
      <c r="O763" s="937"/>
      <c r="P763" s="937"/>
      <c r="Q763" s="937"/>
      <c r="R763" s="937"/>
      <c r="S763" s="937"/>
      <c r="T763" s="937"/>
      <c r="U763" s="937"/>
      <c r="V763" s="937"/>
      <c r="W763" s="937"/>
      <c r="X763" s="937"/>
      <c r="Y763" s="937"/>
      <c r="Z763" s="937"/>
    </row>
    <row r="764" spans="1:26" ht="15.75" customHeight="1">
      <c r="A764" s="937"/>
      <c r="B764" s="937"/>
      <c r="C764" s="937"/>
      <c r="D764" s="937"/>
      <c r="E764" s="937"/>
      <c r="F764" s="937"/>
      <c r="G764" s="937"/>
      <c r="H764" s="937"/>
      <c r="I764" s="937"/>
      <c r="J764" s="937"/>
      <c r="K764" s="937"/>
      <c r="L764" s="937"/>
      <c r="M764" s="937"/>
      <c r="N764" s="937"/>
      <c r="O764" s="937"/>
      <c r="P764" s="937"/>
      <c r="Q764" s="937"/>
      <c r="R764" s="937"/>
      <c r="S764" s="937"/>
      <c r="T764" s="937"/>
      <c r="U764" s="937"/>
      <c r="V764" s="937"/>
      <c r="W764" s="937"/>
      <c r="X764" s="937"/>
      <c r="Y764" s="937"/>
      <c r="Z764" s="937"/>
    </row>
    <row r="765" spans="1:26" ht="15.75" customHeight="1">
      <c r="A765" s="937"/>
      <c r="B765" s="937"/>
      <c r="C765" s="937"/>
      <c r="D765" s="937"/>
      <c r="E765" s="937"/>
      <c r="F765" s="937"/>
      <c r="G765" s="937"/>
      <c r="H765" s="937"/>
      <c r="I765" s="937"/>
      <c r="J765" s="937"/>
      <c r="K765" s="937"/>
      <c r="L765" s="937"/>
      <c r="M765" s="937"/>
      <c r="N765" s="937"/>
      <c r="O765" s="937"/>
      <c r="P765" s="937"/>
      <c r="Q765" s="937"/>
      <c r="R765" s="937"/>
      <c r="S765" s="937"/>
      <c r="T765" s="937"/>
      <c r="U765" s="937"/>
      <c r="V765" s="937"/>
      <c r="W765" s="937"/>
      <c r="X765" s="937"/>
      <c r="Y765" s="937"/>
      <c r="Z765" s="937"/>
    </row>
    <row r="766" spans="1:26" ht="15.75" customHeight="1">
      <c r="A766" s="937"/>
      <c r="B766" s="937"/>
      <c r="C766" s="937"/>
      <c r="D766" s="937"/>
      <c r="E766" s="937"/>
      <c r="F766" s="937"/>
      <c r="G766" s="937"/>
      <c r="H766" s="937"/>
      <c r="I766" s="937"/>
      <c r="J766" s="937"/>
      <c r="K766" s="937"/>
      <c r="L766" s="937"/>
      <c r="M766" s="937"/>
      <c r="N766" s="937"/>
      <c r="O766" s="937"/>
      <c r="P766" s="937"/>
      <c r="Q766" s="937"/>
      <c r="R766" s="937"/>
      <c r="S766" s="937"/>
      <c r="T766" s="937"/>
      <c r="U766" s="937"/>
      <c r="V766" s="937"/>
      <c r="W766" s="937"/>
      <c r="X766" s="937"/>
      <c r="Y766" s="937"/>
      <c r="Z766" s="937"/>
    </row>
    <row r="767" spans="1:26" ht="15.75" customHeight="1">
      <c r="A767" s="937"/>
      <c r="B767" s="937"/>
      <c r="C767" s="937"/>
      <c r="D767" s="937"/>
      <c r="E767" s="937"/>
      <c r="F767" s="937"/>
      <c r="G767" s="937"/>
      <c r="H767" s="937"/>
      <c r="I767" s="937"/>
      <c r="J767" s="937"/>
      <c r="K767" s="937"/>
      <c r="L767" s="937"/>
      <c r="M767" s="937"/>
      <c r="N767" s="937"/>
      <c r="O767" s="937"/>
      <c r="P767" s="937"/>
      <c r="Q767" s="937"/>
      <c r="R767" s="937"/>
      <c r="S767" s="937"/>
      <c r="T767" s="937"/>
      <c r="U767" s="937"/>
      <c r="V767" s="937"/>
      <c r="W767" s="937"/>
      <c r="X767" s="937"/>
      <c r="Y767" s="937"/>
      <c r="Z767" s="937"/>
    </row>
    <row r="768" spans="1:26" ht="15.75" customHeight="1">
      <c r="A768" s="937"/>
      <c r="B768" s="937"/>
      <c r="C768" s="937"/>
      <c r="D768" s="937"/>
      <c r="E768" s="937"/>
      <c r="F768" s="937"/>
      <c r="G768" s="937"/>
      <c r="H768" s="937"/>
      <c r="I768" s="937"/>
      <c r="J768" s="937"/>
      <c r="K768" s="937"/>
      <c r="L768" s="937"/>
      <c r="M768" s="937"/>
      <c r="N768" s="937"/>
      <c r="O768" s="937"/>
      <c r="P768" s="937"/>
      <c r="Q768" s="937"/>
      <c r="R768" s="937"/>
      <c r="S768" s="937"/>
      <c r="T768" s="937"/>
      <c r="U768" s="937"/>
      <c r="V768" s="937"/>
      <c r="W768" s="937"/>
      <c r="X768" s="937"/>
      <c r="Y768" s="937"/>
      <c r="Z768" s="937"/>
    </row>
    <row r="769" spans="1:26" ht="15.75" customHeight="1">
      <c r="A769" s="937"/>
      <c r="B769" s="937"/>
      <c r="C769" s="937"/>
      <c r="D769" s="937"/>
      <c r="E769" s="937"/>
      <c r="F769" s="937"/>
      <c r="G769" s="937"/>
      <c r="H769" s="937"/>
      <c r="I769" s="937"/>
      <c r="J769" s="937"/>
      <c r="K769" s="937"/>
      <c r="L769" s="937"/>
      <c r="M769" s="937"/>
      <c r="N769" s="937"/>
      <c r="O769" s="937"/>
      <c r="P769" s="937"/>
      <c r="Q769" s="937"/>
      <c r="R769" s="937"/>
      <c r="S769" s="937"/>
      <c r="T769" s="937"/>
      <c r="U769" s="937"/>
      <c r="V769" s="937"/>
      <c r="W769" s="937"/>
      <c r="X769" s="937"/>
      <c r="Y769" s="937"/>
      <c r="Z769" s="937"/>
    </row>
    <row r="770" spans="1:26" ht="15.75" customHeight="1">
      <c r="A770" s="937"/>
      <c r="B770" s="937"/>
      <c r="C770" s="937"/>
      <c r="D770" s="937"/>
      <c r="E770" s="937"/>
      <c r="F770" s="937"/>
      <c r="G770" s="937"/>
      <c r="H770" s="937"/>
      <c r="I770" s="937"/>
      <c r="J770" s="937"/>
      <c r="K770" s="937"/>
      <c r="L770" s="937"/>
      <c r="M770" s="937"/>
      <c r="N770" s="937"/>
      <c r="O770" s="937"/>
      <c r="P770" s="937"/>
      <c r="Q770" s="937"/>
      <c r="R770" s="937"/>
      <c r="S770" s="937"/>
      <c r="T770" s="937"/>
      <c r="U770" s="937"/>
      <c r="V770" s="937"/>
      <c r="W770" s="937"/>
      <c r="X770" s="937"/>
      <c r="Y770" s="937"/>
      <c r="Z770" s="937"/>
    </row>
    <row r="771" spans="1:26" ht="15.75" customHeight="1">
      <c r="A771" s="937"/>
      <c r="B771" s="937"/>
      <c r="C771" s="937"/>
      <c r="D771" s="937"/>
      <c r="E771" s="937"/>
      <c r="F771" s="937"/>
      <c r="G771" s="937"/>
      <c r="H771" s="937"/>
      <c r="I771" s="937"/>
      <c r="J771" s="937"/>
      <c r="K771" s="937"/>
      <c r="L771" s="937"/>
      <c r="M771" s="937"/>
      <c r="N771" s="937"/>
      <c r="O771" s="937"/>
      <c r="P771" s="937"/>
      <c r="Q771" s="937"/>
      <c r="R771" s="937"/>
      <c r="S771" s="937"/>
      <c r="T771" s="937"/>
      <c r="U771" s="937"/>
      <c r="V771" s="937"/>
      <c r="W771" s="937"/>
      <c r="X771" s="937"/>
      <c r="Y771" s="937"/>
      <c r="Z771" s="937"/>
    </row>
    <row r="772" spans="1:26" ht="15.75" customHeight="1">
      <c r="A772" s="937"/>
      <c r="B772" s="937"/>
      <c r="C772" s="937"/>
      <c r="D772" s="937"/>
      <c r="E772" s="937"/>
      <c r="F772" s="937"/>
      <c r="G772" s="937"/>
      <c r="H772" s="937"/>
      <c r="I772" s="937"/>
      <c r="J772" s="937"/>
      <c r="K772" s="937"/>
      <c r="L772" s="937"/>
      <c r="M772" s="937"/>
      <c r="N772" s="937"/>
      <c r="O772" s="937"/>
      <c r="P772" s="937"/>
      <c r="Q772" s="937"/>
      <c r="R772" s="937"/>
      <c r="S772" s="937"/>
      <c r="T772" s="937"/>
      <c r="U772" s="937"/>
      <c r="V772" s="937"/>
      <c r="W772" s="937"/>
      <c r="X772" s="937"/>
      <c r="Y772" s="937"/>
      <c r="Z772" s="937"/>
    </row>
    <row r="773" spans="1:26" ht="15.75" customHeight="1">
      <c r="A773" s="937"/>
      <c r="B773" s="937"/>
      <c r="C773" s="937"/>
      <c r="D773" s="937"/>
      <c r="E773" s="937"/>
      <c r="F773" s="937"/>
      <c r="G773" s="937"/>
      <c r="H773" s="937"/>
      <c r="I773" s="937"/>
      <c r="J773" s="937"/>
      <c r="K773" s="937"/>
      <c r="L773" s="937"/>
      <c r="M773" s="937"/>
      <c r="N773" s="937"/>
      <c r="O773" s="937"/>
      <c r="P773" s="937"/>
      <c r="Q773" s="937"/>
      <c r="R773" s="937"/>
      <c r="S773" s="937"/>
      <c r="T773" s="937"/>
      <c r="U773" s="937"/>
      <c r="V773" s="937"/>
      <c r="W773" s="937"/>
      <c r="X773" s="937"/>
      <c r="Y773" s="937"/>
      <c r="Z773" s="937"/>
    </row>
    <row r="774" spans="1:26" ht="15.75" customHeight="1">
      <c r="A774" s="937"/>
      <c r="B774" s="937"/>
      <c r="C774" s="937"/>
      <c r="D774" s="937"/>
      <c r="E774" s="937"/>
      <c r="F774" s="937"/>
      <c r="G774" s="937"/>
      <c r="H774" s="937"/>
      <c r="I774" s="937"/>
      <c r="J774" s="937"/>
      <c r="K774" s="937"/>
      <c r="L774" s="937"/>
      <c r="M774" s="937"/>
      <c r="N774" s="937"/>
      <c r="O774" s="937"/>
      <c r="P774" s="937"/>
      <c r="Q774" s="937"/>
      <c r="R774" s="937"/>
      <c r="S774" s="937"/>
      <c r="T774" s="937"/>
      <c r="U774" s="937"/>
      <c r="V774" s="937"/>
      <c r="W774" s="937"/>
      <c r="X774" s="937"/>
      <c r="Y774" s="937"/>
      <c r="Z774" s="937"/>
    </row>
    <row r="775" spans="1:26" ht="15.75" customHeight="1">
      <c r="A775" s="937"/>
      <c r="B775" s="937"/>
      <c r="C775" s="937"/>
      <c r="D775" s="937"/>
      <c r="E775" s="937"/>
      <c r="F775" s="937"/>
      <c r="G775" s="937"/>
      <c r="H775" s="937"/>
      <c r="I775" s="937"/>
      <c r="J775" s="937"/>
      <c r="K775" s="937"/>
      <c r="L775" s="937"/>
      <c r="M775" s="937"/>
      <c r="N775" s="937"/>
      <c r="O775" s="937"/>
      <c r="P775" s="937"/>
      <c r="Q775" s="937"/>
      <c r="R775" s="937"/>
      <c r="S775" s="937"/>
      <c r="T775" s="937"/>
      <c r="U775" s="937"/>
      <c r="V775" s="937"/>
      <c r="W775" s="937"/>
      <c r="X775" s="937"/>
      <c r="Y775" s="937"/>
      <c r="Z775" s="937"/>
    </row>
    <row r="776" spans="1:26" ht="15.75" customHeight="1">
      <c r="A776" s="937"/>
      <c r="B776" s="937"/>
      <c r="C776" s="937"/>
      <c r="D776" s="937"/>
      <c r="E776" s="937"/>
      <c r="F776" s="937"/>
      <c r="G776" s="937"/>
      <c r="H776" s="937"/>
      <c r="I776" s="937"/>
      <c r="J776" s="937"/>
      <c r="K776" s="937"/>
      <c r="L776" s="937"/>
      <c r="M776" s="937"/>
      <c r="N776" s="937"/>
      <c r="O776" s="937"/>
      <c r="P776" s="937"/>
      <c r="Q776" s="937"/>
      <c r="R776" s="937"/>
      <c r="S776" s="937"/>
      <c r="T776" s="937"/>
      <c r="U776" s="937"/>
      <c r="V776" s="937"/>
      <c r="W776" s="937"/>
      <c r="X776" s="937"/>
      <c r="Y776" s="937"/>
      <c r="Z776" s="937"/>
    </row>
    <row r="777" spans="1:26" ht="15.75" customHeight="1">
      <c r="A777" s="937"/>
      <c r="B777" s="937"/>
      <c r="C777" s="937"/>
      <c r="D777" s="937"/>
      <c r="E777" s="937"/>
      <c r="F777" s="937"/>
      <c r="G777" s="937"/>
      <c r="H777" s="937"/>
      <c r="I777" s="937"/>
      <c r="J777" s="937"/>
      <c r="K777" s="937"/>
      <c r="L777" s="937"/>
      <c r="M777" s="937"/>
      <c r="N777" s="937"/>
      <c r="O777" s="937"/>
      <c r="P777" s="937"/>
      <c r="Q777" s="937"/>
      <c r="R777" s="937"/>
      <c r="S777" s="937"/>
      <c r="T777" s="937"/>
      <c r="U777" s="937"/>
      <c r="V777" s="937"/>
      <c r="W777" s="937"/>
      <c r="X777" s="937"/>
      <c r="Y777" s="937"/>
      <c r="Z777" s="937"/>
    </row>
    <row r="778" spans="1:26" ht="15.75" customHeight="1">
      <c r="A778" s="937"/>
      <c r="B778" s="937"/>
      <c r="C778" s="937"/>
      <c r="D778" s="937"/>
      <c r="E778" s="937"/>
      <c r="F778" s="937"/>
      <c r="G778" s="937"/>
      <c r="H778" s="937"/>
      <c r="I778" s="937"/>
      <c r="J778" s="937"/>
      <c r="K778" s="937"/>
      <c r="L778" s="937"/>
      <c r="M778" s="937"/>
      <c r="N778" s="937"/>
      <c r="O778" s="937"/>
      <c r="P778" s="937"/>
      <c r="Q778" s="937"/>
      <c r="R778" s="937"/>
      <c r="S778" s="937"/>
      <c r="T778" s="937"/>
      <c r="U778" s="937"/>
      <c r="V778" s="937"/>
      <c r="W778" s="937"/>
      <c r="X778" s="937"/>
      <c r="Y778" s="937"/>
      <c r="Z778" s="937"/>
    </row>
    <row r="779" spans="1:26" ht="15.75" customHeight="1">
      <c r="A779" s="937"/>
      <c r="B779" s="937"/>
      <c r="C779" s="937"/>
      <c r="D779" s="937"/>
      <c r="E779" s="937"/>
      <c r="F779" s="937"/>
      <c r="G779" s="937"/>
      <c r="H779" s="937"/>
      <c r="I779" s="937"/>
      <c r="J779" s="937"/>
      <c r="K779" s="937"/>
      <c r="L779" s="937"/>
      <c r="M779" s="937"/>
      <c r="N779" s="937"/>
      <c r="O779" s="937"/>
      <c r="P779" s="937"/>
      <c r="Q779" s="937"/>
      <c r="R779" s="937"/>
      <c r="S779" s="937"/>
      <c r="T779" s="937"/>
      <c r="U779" s="937"/>
      <c r="V779" s="937"/>
      <c r="W779" s="937"/>
      <c r="X779" s="937"/>
      <c r="Y779" s="937"/>
      <c r="Z779" s="937"/>
    </row>
    <row r="780" spans="1:26" ht="15.75" customHeight="1">
      <c r="A780" s="937"/>
      <c r="B780" s="937"/>
      <c r="C780" s="937"/>
      <c r="D780" s="937"/>
      <c r="E780" s="937"/>
      <c r="F780" s="937"/>
      <c r="G780" s="937"/>
      <c r="H780" s="937"/>
      <c r="I780" s="937"/>
      <c r="J780" s="937"/>
      <c r="K780" s="937"/>
      <c r="L780" s="937"/>
      <c r="M780" s="937"/>
      <c r="N780" s="937"/>
      <c r="O780" s="937"/>
      <c r="P780" s="937"/>
      <c r="Q780" s="937"/>
      <c r="R780" s="937"/>
      <c r="S780" s="937"/>
      <c r="T780" s="937"/>
      <c r="U780" s="937"/>
      <c r="V780" s="937"/>
      <c r="W780" s="937"/>
      <c r="X780" s="937"/>
      <c r="Y780" s="937"/>
      <c r="Z780" s="937"/>
    </row>
    <row r="781" spans="1:26" ht="15.75" customHeight="1">
      <c r="A781" s="937"/>
      <c r="B781" s="937"/>
      <c r="C781" s="937"/>
      <c r="D781" s="937"/>
      <c r="E781" s="937"/>
      <c r="F781" s="937"/>
      <c r="G781" s="937"/>
      <c r="H781" s="937"/>
      <c r="I781" s="937"/>
      <c r="J781" s="937"/>
      <c r="K781" s="937"/>
      <c r="L781" s="937"/>
      <c r="M781" s="937"/>
      <c r="N781" s="937"/>
      <c r="O781" s="937"/>
      <c r="P781" s="937"/>
      <c r="Q781" s="937"/>
      <c r="R781" s="937"/>
      <c r="S781" s="937"/>
      <c r="T781" s="937"/>
      <c r="U781" s="937"/>
      <c r="V781" s="937"/>
      <c r="W781" s="937"/>
      <c r="X781" s="937"/>
      <c r="Y781" s="937"/>
      <c r="Z781" s="937"/>
    </row>
    <row r="782" spans="1:26" ht="15.75" customHeight="1">
      <c r="A782" s="937"/>
      <c r="B782" s="937"/>
      <c r="C782" s="937"/>
      <c r="D782" s="937"/>
      <c r="E782" s="937"/>
      <c r="F782" s="937"/>
      <c r="G782" s="937"/>
      <c r="H782" s="937"/>
      <c r="I782" s="937"/>
      <c r="J782" s="937"/>
      <c r="K782" s="937"/>
      <c r="L782" s="937"/>
      <c r="M782" s="937"/>
      <c r="N782" s="937"/>
      <c r="O782" s="937"/>
      <c r="P782" s="937"/>
      <c r="Q782" s="937"/>
      <c r="R782" s="937"/>
      <c r="S782" s="937"/>
      <c r="T782" s="937"/>
      <c r="U782" s="937"/>
      <c r="V782" s="937"/>
      <c r="W782" s="937"/>
      <c r="X782" s="937"/>
      <c r="Y782" s="937"/>
      <c r="Z782" s="937"/>
    </row>
    <row r="783" spans="1:26" ht="15.75" customHeight="1">
      <c r="A783" s="937"/>
      <c r="B783" s="937"/>
      <c r="C783" s="937"/>
      <c r="D783" s="937"/>
      <c r="E783" s="937"/>
      <c r="F783" s="937"/>
      <c r="G783" s="937"/>
      <c r="H783" s="937"/>
      <c r="I783" s="937"/>
      <c r="J783" s="937"/>
      <c r="K783" s="937"/>
      <c r="L783" s="937"/>
      <c r="M783" s="937"/>
      <c r="N783" s="937"/>
      <c r="O783" s="937"/>
      <c r="P783" s="937"/>
      <c r="Q783" s="937"/>
      <c r="R783" s="937"/>
      <c r="S783" s="937"/>
      <c r="T783" s="937"/>
      <c r="U783" s="937"/>
      <c r="V783" s="937"/>
      <c r="W783" s="937"/>
      <c r="X783" s="937"/>
      <c r="Y783" s="937"/>
      <c r="Z783" s="937"/>
    </row>
    <row r="784" spans="1:26" ht="15.75" customHeight="1">
      <c r="A784" s="937"/>
      <c r="B784" s="937"/>
      <c r="C784" s="937"/>
      <c r="D784" s="937"/>
      <c r="E784" s="937"/>
      <c r="F784" s="937"/>
      <c r="G784" s="937"/>
      <c r="H784" s="937"/>
      <c r="I784" s="937"/>
      <c r="J784" s="937"/>
      <c r="K784" s="937"/>
      <c r="L784" s="937"/>
      <c r="M784" s="937"/>
      <c r="N784" s="937"/>
      <c r="O784" s="937"/>
      <c r="P784" s="937"/>
      <c r="Q784" s="937"/>
      <c r="R784" s="937"/>
      <c r="S784" s="937"/>
      <c r="T784" s="937"/>
      <c r="U784" s="937"/>
      <c r="V784" s="937"/>
      <c r="W784" s="937"/>
      <c r="X784" s="937"/>
      <c r="Y784" s="937"/>
      <c r="Z784" s="937"/>
    </row>
    <row r="785" spans="1:26" ht="15.75" customHeight="1">
      <c r="A785" s="937"/>
      <c r="B785" s="937"/>
      <c r="C785" s="937"/>
      <c r="D785" s="937"/>
      <c r="E785" s="937"/>
      <c r="F785" s="937"/>
      <c r="G785" s="937"/>
      <c r="H785" s="937"/>
      <c r="I785" s="937"/>
      <c r="J785" s="937"/>
      <c r="K785" s="937"/>
      <c r="L785" s="937"/>
      <c r="M785" s="937"/>
      <c r="N785" s="937"/>
      <c r="O785" s="937"/>
      <c r="P785" s="937"/>
      <c r="Q785" s="937"/>
      <c r="R785" s="937"/>
      <c r="S785" s="937"/>
      <c r="T785" s="937"/>
      <c r="U785" s="937"/>
      <c r="V785" s="937"/>
      <c r="W785" s="937"/>
      <c r="X785" s="937"/>
      <c r="Y785" s="937"/>
      <c r="Z785" s="937"/>
    </row>
    <row r="786" spans="1:26" ht="15.75" customHeight="1">
      <c r="A786" s="937"/>
      <c r="B786" s="937"/>
      <c r="C786" s="937"/>
      <c r="D786" s="937"/>
      <c r="E786" s="937"/>
      <c r="F786" s="937"/>
      <c r="G786" s="937"/>
      <c r="H786" s="937"/>
      <c r="I786" s="937"/>
      <c r="J786" s="937"/>
      <c r="K786" s="937"/>
      <c r="L786" s="937"/>
      <c r="M786" s="937"/>
      <c r="N786" s="937"/>
      <c r="O786" s="937"/>
      <c r="P786" s="937"/>
      <c r="Q786" s="937"/>
      <c r="R786" s="937"/>
      <c r="S786" s="937"/>
      <c r="T786" s="937"/>
      <c r="U786" s="937"/>
      <c r="V786" s="937"/>
      <c r="W786" s="937"/>
      <c r="X786" s="937"/>
      <c r="Y786" s="937"/>
      <c r="Z786" s="937"/>
    </row>
    <row r="787" spans="1:26" ht="15.75" customHeight="1">
      <c r="A787" s="937"/>
      <c r="B787" s="937"/>
      <c r="C787" s="937"/>
      <c r="D787" s="937"/>
      <c r="E787" s="937"/>
      <c r="F787" s="937"/>
      <c r="G787" s="937"/>
      <c r="H787" s="937"/>
      <c r="I787" s="937"/>
      <c r="J787" s="937"/>
      <c r="K787" s="937"/>
      <c r="L787" s="937"/>
      <c r="M787" s="937"/>
      <c r="N787" s="937"/>
      <c r="O787" s="937"/>
      <c r="P787" s="937"/>
      <c r="Q787" s="937"/>
      <c r="R787" s="937"/>
      <c r="S787" s="937"/>
      <c r="T787" s="937"/>
      <c r="U787" s="937"/>
      <c r="V787" s="937"/>
      <c r="W787" s="937"/>
      <c r="X787" s="937"/>
      <c r="Y787" s="937"/>
      <c r="Z787" s="937"/>
    </row>
    <row r="788" spans="1:26" ht="15.75" customHeight="1">
      <c r="A788" s="937"/>
      <c r="B788" s="937"/>
      <c r="C788" s="937"/>
      <c r="D788" s="937"/>
      <c r="E788" s="937"/>
      <c r="F788" s="937"/>
      <c r="G788" s="937"/>
      <c r="H788" s="937"/>
      <c r="I788" s="937"/>
      <c r="J788" s="937"/>
      <c r="K788" s="937"/>
      <c r="L788" s="937"/>
      <c r="M788" s="937"/>
      <c r="N788" s="937"/>
      <c r="O788" s="937"/>
      <c r="P788" s="937"/>
      <c r="Q788" s="937"/>
      <c r="R788" s="937"/>
      <c r="S788" s="937"/>
      <c r="T788" s="937"/>
      <c r="U788" s="937"/>
      <c r="V788" s="937"/>
      <c r="W788" s="937"/>
      <c r="X788" s="937"/>
      <c r="Y788" s="937"/>
      <c r="Z788" s="937"/>
    </row>
    <row r="789" spans="1:26" ht="15.75" customHeight="1">
      <c r="A789" s="937"/>
      <c r="B789" s="937"/>
      <c r="C789" s="937"/>
      <c r="D789" s="937"/>
      <c r="E789" s="937"/>
      <c r="F789" s="937"/>
      <c r="G789" s="937"/>
      <c r="H789" s="937"/>
      <c r="I789" s="937"/>
      <c r="J789" s="937"/>
      <c r="K789" s="937"/>
      <c r="L789" s="937"/>
      <c r="M789" s="937"/>
      <c r="N789" s="937"/>
      <c r="O789" s="937"/>
      <c r="P789" s="937"/>
      <c r="Q789" s="937"/>
      <c r="R789" s="937"/>
      <c r="S789" s="937"/>
      <c r="T789" s="937"/>
      <c r="U789" s="937"/>
      <c r="V789" s="937"/>
      <c r="W789" s="937"/>
      <c r="X789" s="937"/>
      <c r="Y789" s="937"/>
      <c r="Z789" s="937"/>
    </row>
    <row r="790" spans="1:26" ht="15.75" customHeight="1">
      <c r="A790" s="937"/>
      <c r="B790" s="937"/>
      <c r="C790" s="937"/>
      <c r="D790" s="937"/>
      <c r="E790" s="937"/>
      <c r="F790" s="937"/>
      <c r="G790" s="937"/>
      <c r="H790" s="937"/>
      <c r="I790" s="937"/>
      <c r="J790" s="937"/>
      <c r="K790" s="937"/>
      <c r="L790" s="937"/>
      <c r="M790" s="937"/>
      <c r="N790" s="937"/>
      <c r="O790" s="937"/>
      <c r="P790" s="937"/>
      <c r="Q790" s="937"/>
      <c r="R790" s="937"/>
      <c r="S790" s="937"/>
      <c r="T790" s="937"/>
      <c r="U790" s="937"/>
      <c r="V790" s="937"/>
      <c r="W790" s="937"/>
      <c r="X790" s="937"/>
      <c r="Y790" s="937"/>
      <c r="Z790" s="937"/>
    </row>
    <row r="791" spans="1:26" ht="15.75" customHeight="1">
      <c r="A791" s="937"/>
      <c r="B791" s="937"/>
      <c r="C791" s="937"/>
      <c r="D791" s="937"/>
      <c r="E791" s="937"/>
      <c r="F791" s="937"/>
      <c r="G791" s="937"/>
      <c r="H791" s="937"/>
      <c r="I791" s="937"/>
      <c r="J791" s="937"/>
      <c r="K791" s="937"/>
      <c r="L791" s="937"/>
      <c r="M791" s="937"/>
      <c r="N791" s="937"/>
      <c r="O791" s="937"/>
      <c r="P791" s="937"/>
      <c r="Q791" s="937"/>
      <c r="R791" s="937"/>
      <c r="S791" s="937"/>
      <c r="T791" s="937"/>
      <c r="U791" s="937"/>
      <c r="V791" s="937"/>
      <c r="W791" s="937"/>
      <c r="X791" s="937"/>
      <c r="Y791" s="937"/>
      <c r="Z791" s="937"/>
    </row>
    <row r="792" spans="1:26" ht="15.75" customHeight="1">
      <c r="A792" s="937"/>
      <c r="B792" s="937"/>
      <c r="C792" s="937"/>
      <c r="D792" s="937"/>
      <c r="E792" s="937"/>
      <c r="F792" s="937"/>
      <c r="G792" s="937"/>
      <c r="H792" s="937"/>
      <c r="I792" s="937"/>
      <c r="J792" s="937"/>
      <c r="K792" s="937"/>
      <c r="L792" s="937"/>
      <c r="M792" s="937"/>
      <c r="N792" s="937"/>
      <c r="O792" s="937"/>
      <c r="P792" s="937"/>
      <c r="Q792" s="937"/>
      <c r="R792" s="937"/>
      <c r="S792" s="937"/>
      <c r="T792" s="937"/>
      <c r="U792" s="937"/>
      <c r="V792" s="937"/>
      <c r="W792" s="937"/>
      <c r="X792" s="937"/>
      <c r="Y792" s="937"/>
      <c r="Z792" s="937"/>
    </row>
    <row r="793" spans="1:26" ht="15.75" customHeight="1">
      <c r="A793" s="937"/>
      <c r="B793" s="937"/>
      <c r="C793" s="937"/>
      <c r="D793" s="937"/>
      <c r="E793" s="937"/>
      <c r="F793" s="937"/>
      <c r="G793" s="937"/>
      <c r="H793" s="937"/>
      <c r="I793" s="937"/>
      <c r="J793" s="937"/>
      <c r="K793" s="937"/>
      <c r="L793" s="937"/>
      <c r="M793" s="937"/>
      <c r="N793" s="937"/>
      <c r="O793" s="937"/>
      <c r="P793" s="937"/>
      <c r="Q793" s="937"/>
      <c r="R793" s="937"/>
      <c r="S793" s="937"/>
      <c r="T793" s="937"/>
      <c r="U793" s="937"/>
      <c r="V793" s="937"/>
      <c r="W793" s="937"/>
      <c r="X793" s="937"/>
      <c r="Y793" s="937"/>
      <c r="Z793" s="937"/>
    </row>
    <row r="794" spans="1:26" ht="15.75" customHeight="1">
      <c r="A794" s="937"/>
      <c r="B794" s="937"/>
      <c r="C794" s="937"/>
      <c r="D794" s="937"/>
      <c r="E794" s="937"/>
      <c r="F794" s="937"/>
      <c r="G794" s="937"/>
      <c r="H794" s="937"/>
      <c r="I794" s="937"/>
      <c r="J794" s="937"/>
      <c r="K794" s="937"/>
      <c r="L794" s="937"/>
      <c r="M794" s="937"/>
      <c r="N794" s="937"/>
      <c r="O794" s="937"/>
      <c r="P794" s="937"/>
      <c r="Q794" s="937"/>
      <c r="R794" s="937"/>
      <c r="S794" s="937"/>
      <c r="T794" s="937"/>
      <c r="U794" s="937"/>
      <c r="V794" s="937"/>
      <c r="W794" s="937"/>
      <c r="X794" s="937"/>
      <c r="Y794" s="937"/>
      <c r="Z794" s="937"/>
    </row>
    <row r="795" spans="1:26" ht="15.75" customHeight="1">
      <c r="A795" s="937"/>
      <c r="B795" s="937"/>
      <c r="C795" s="937"/>
      <c r="D795" s="937"/>
      <c r="E795" s="937"/>
      <c r="F795" s="937"/>
      <c r="G795" s="937"/>
      <c r="H795" s="937"/>
      <c r="I795" s="937"/>
      <c r="J795" s="937"/>
      <c r="K795" s="937"/>
      <c r="L795" s="937"/>
      <c r="M795" s="937"/>
      <c r="N795" s="937"/>
      <c r="O795" s="937"/>
      <c r="P795" s="937"/>
      <c r="Q795" s="937"/>
      <c r="R795" s="937"/>
      <c r="S795" s="937"/>
      <c r="T795" s="937"/>
      <c r="U795" s="937"/>
      <c r="V795" s="937"/>
      <c r="W795" s="937"/>
      <c r="X795" s="937"/>
      <c r="Y795" s="937"/>
      <c r="Z795" s="937"/>
    </row>
    <row r="796" spans="1:26" ht="15.75" customHeight="1">
      <c r="A796" s="937"/>
      <c r="B796" s="937"/>
      <c r="C796" s="937"/>
      <c r="D796" s="937"/>
      <c r="E796" s="937"/>
      <c r="F796" s="937"/>
      <c r="G796" s="937"/>
      <c r="H796" s="937"/>
      <c r="I796" s="937"/>
      <c r="J796" s="937"/>
      <c r="K796" s="937"/>
      <c r="L796" s="937"/>
      <c r="M796" s="937"/>
      <c r="N796" s="937"/>
      <c r="O796" s="937"/>
      <c r="P796" s="937"/>
      <c r="Q796" s="937"/>
      <c r="R796" s="937"/>
      <c r="S796" s="937"/>
      <c r="T796" s="937"/>
      <c r="U796" s="937"/>
      <c r="V796" s="937"/>
      <c r="W796" s="937"/>
      <c r="X796" s="937"/>
      <c r="Y796" s="937"/>
      <c r="Z796" s="937"/>
    </row>
    <row r="797" spans="1:26" ht="15.75" customHeight="1">
      <c r="A797" s="937"/>
      <c r="B797" s="937"/>
      <c r="C797" s="937"/>
      <c r="D797" s="937"/>
      <c r="E797" s="937"/>
      <c r="F797" s="937"/>
      <c r="G797" s="937"/>
      <c r="H797" s="937"/>
      <c r="I797" s="937"/>
      <c r="J797" s="937"/>
      <c r="K797" s="937"/>
      <c r="L797" s="937"/>
      <c r="M797" s="937"/>
      <c r="N797" s="937"/>
      <c r="O797" s="937"/>
      <c r="P797" s="937"/>
      <c r="Q797" s="937"/>
      <c r="R797" s="937"/>
      <c r="S797" s="937"/>
      <c r="T797" s="937"/>
      <c r="U797" s="937"/>
      <c r="V797" s="937"/>
      <c r="W797" s="937"/>
      <c r="X797" s="937"/>
      <c r="Y797" s="937"/>
      <c r="Z797" s="937"/>
    </row>
    <row r="798" spans="1:26" ht="15.75" customHeight="1">
      <c r="A798" s="937"/>
      <c r="B798" s="937"/>
      <c r="C798" s="937"/>
      <c r="D798" s="937"/>
      <c r="E798" s="937"/>
      <c r="F798" s="937"/>
      <c r="G798" s="937"/>
      <c r="H798" s="937"/>
      <c r="I798" s="937"/>
      <c r="J798" s="937"/>
      <c r="K798" s="937"/>
      <c r="L798" s="937"/>
      <c r="M798" s="937"/>
      <c r="N798" s="937"/>
      <c r="O798" s="937"/>
      <c r="P798" s="937"/>
      <c r="Q798" s="937"/>
      <c r="R798" s="937"/>
      <c r="S798" s="937"/>
      <c r="T798" s="937"/>
      <c r="U798" s="937"/>
      <c r="V798" s="937"/>
      <c r="W798" s="937"/>
      <c r="X798" s="937"/>
      <c r="Y798" s="937"/>
      <c r="Z798" s="937"/>
    </row>
    <row r="799" spans="1:26" ht="15.75" customHeight="1">
      <c r="A799" s="937"/>
      <c r="B799" s="937"/>
      <c r="C799" s="937"/>
      <c r="D799" s="937"/>
      <c r="E799" s="937"/>
      <c r="F799" s="937"/>
      <c r="G799" s="937"/>
      <c r="H799" s="937"/>
      <c r="I799" s="937"/>
      <c r="J799" s="937"/>
      <c r="K799" s="937"/>
      <c r="L799" s="937"/>
      <c r="M799" s="937"/>
      <c r="N799" s="937"/>
      <c r="O799" s="937"/>
      <c r="P799" s="937"/>
      <c r="Q799" s="937"/>
      <c r="R799" s="937"/>
      <c r="S799" s="937"/>
      <c r="T799" s="937"/>
      <c r="U799" s="937"/>
      <c r="V799" s="937"/>
      <c r="W799" s="937"/>
      <c r="X799" s="937"/>
      <c r="Y799" s="937"/>
      <c r="Z799" s="937"/>
    </row>
    <row r="800" spans="1:26" ht="15.75" customHeight="1">
      <c r="A800" s="937"/>
      <c r="B800" s="937"/>
      <c r="C800" s="937"/>
      <c r="D800" s="937"/>
      <c r="E800" s="937"/>
      <c r="F800" s="937"/>
      <c r="G800" s="937"/>
      <c r="H800" s="937"/>
      <c r="I800" s="937"/>
      <c r="J800" s="937"/>
      <c r="K800" s="937"/>
      <c r="L800" s="937"/>
      <c r="M800" s="937"/>
      <c r="N800" s="937"/>
      <c r="O800" s="937"/>
      <c r="P800" s="937"/>
      <c r="Q800" s="937"/>
      <c r="R800" s="937"/>
      <c r="S800" s="937"/>
      <c r="T800" s="937"/>
      <c r="U800" s="937"/>
      <c r="V800" s="937"/>
      <c r="W800" s="937"/>
      <c r="X800" s="937"/>
      <c r="Y800" s="937"/>
      <c r="Z800" s="937"/>
    </row>
    <row r="801" spans="1:26" ht="15.75" customHeight="1">
      <c r="A801" s="937"/>
      <c r="B801" s="937"/>
      <c r="C801" s="937"/>
      <c r="D801" s="937"/>
      <c r="E801" s="937"/>
      <c r="F801" s="937"/>
      <c r="G801" s="937"/>
      <c r="H801" s="937"/>
      <c r="I801" s="937"/>
      <c r="J801" s="937"/>
      <c r="K801" s="937"/>
      <c r="L801" s="937"/>
      <c r="M801" s="937"/>
      <c r="N801" s="937"/>
      <c r="O801" s="937"/>
      <c r="P801" s="937"/>
      <c r="Q801" s="937"/>
      <c r="R801" s="937"/>
      <c r="S801" s="937"/>
      <c r="T801" s="937"/>
      <c r="U801" s="937"/>
      <c r="V801" s="937"/>
      <c r="W801" s="937"/>
      <c r="X801" s="937"/>
      <c r="Y801" s="937"/>
      <c r="Z801" s="937"/>
    </row>
    <row r="802" spans="1:26" ht="15.75" customHeight="1">
      <c r="A802" s="937"/>
      <c r="B802" s="937"/>
      <c r="C802" s="937"/>
      <c r="D802" s="937"/>
      <c r="E802" s="937"/>
      <c r="F802" s="937"/>
      <c r="G802" s="937"/>
      <c r="H802" s="937"/>
      <c r="I802" s="937"/>
      <c r="J802" s="937"/>
      <c r="K802" s="937"/>
      <c r="L802" s="937"/>
      <c r="M802" s="937"/>
      <c r="N802" s="937"/>
      <c r="O802" s="937"/>
      <c r="P802" s="937"/>
      <c r="Q802" s="937"/>
      <c r="R802" s="937"/>
      <c r="S802" s="937"/>
      <c r="T802" s="937"/>
      <c r="U802" s="937"/>
      <c r="V802" s="937"/>
      <c r="W802" s="937"/>
      <c r="X802" s="937"/>
      <c r="Y802" s="937"/>
      <c r="Z802" s="937"/>
    </row>
    <row r="803" spans="1:26" ht="15.75" customHeight="1">
      <c r="A803" s="937"/>
      <c r="B803" s="937"/>
      <c r="C803" s="937"/>
      <c r="D803" s="937"/>
      <c r="E803" s="937"/>
      <c r="F803" s="937"/>
      <c r="G803" s="937"/>
      <c r="H803" s="937"/>
      <c r="I803" s="937"/>
      <c r="J803" s="937"/>
      <c r="K803" s="937"/>
      <c r="L803" s="937"/>
      <c r="M803" s="937"/>
      <c r="N803" s="937"/>
      <c r="O803" s="937"/>
      <c r="P803" s="937"/>
      <c r="Q803" s="937"/>
      <c r="R803" s="937"/>
      <c r="S803" s="937"/>
      <c r="T803" s="937"/>
      <c r="U803" s="937"/>
      <c r="V803" s="937"/>
      <c r="W803" s="937"/>
      <c r="X803" s="937"/>
      <c r="Y803" s="937"/>
      <c r="Z803" s="937"/>
    </row>
    <row r="804" spans="1:26" ht="15.75" customHeight="1">
      <c r="A804" s="937"/>
      <c r="B804" s="937"/>
      <c r="C804" s="937"/>
      <c r="D804" s="937"/>
      <c r="E804" s="937"/>
      <c r="F804" s="937"/>
      <c r="G804" s="937"/>
      <c r="H804" s="937"/>
      <c r="I804" s="937"/>
      <c r="J804" s="937"/>
      <c r="K804" s="937"/>
      <c r="L804" s="937"/>
      <c r="M804" s="937"/>
      <c r="N804" s="937"/>
      <c r="O804" s="937"/>
      <c r="P804" s="937"/>
      <c r="Q804" s="937"/>
      <c r="R804" s="937"/>
      <c r="S804" s="937"/>
      <c r="T804" s="937"/>
      <c r="U804" s="937"/>
      <c r="V804" s="937"/>
      <c r="W804" s="937"/>
      <c r="X804" s="937"/>
      <c r="Y804" s="937"/>
      <c r="Z804" s="937"/>
    </row>
    <row r="805" spans="1:26" ht="15.75" customHeight="1">
      <c r="A805" s="937"/>
      <c r="B805" s="937"/>
      <c r="C805" s="937"/>
      <c r="D805" s="937"/>
      <c r="E805" s="937"/>
      <c r="F805" s="937"/>
      <c r="G805" s="937"/>
      <c r="H805" s="937"/>
      <c r="I805" s="937"/>
      <c r="J805" s="937"/>
      <c r="K805" s="937"/>
      <c r="L805" s="937"/>
      <c r="M805" s="937"/>
      <c r="N805" s="937"/>
      <c r="O805" s="937"/>
      <c r="P805" s="937"/>
      <c r="Q805" s="937"/>
      <c r="R805" s="937"/>
      <c r="S805" s="937"/>
      <c r="T805" s="937"/>
      <c r="U805" s="937"/>
      <c r="V805" s="937"/>
      <c r="W805" s="937"/>
      <c r="X805" s="937"/>
      <c r="Y805" s="937"/>
      <c r="Z805" s="937"/>
    </row>
    <row r="806" spans="1:26" ht="15.75" customHeight="1">
      <c r="A806" s="937"/>
      <c r="B806" s="937"/>
      <c r="C806" s="937"/>
      <c r="D806" s="937"/>
      <c r="E806" s="937"/>
      <c r="F806" s="937"/>
      <c r="G806" s="937"/>
      <c r="H806" s="937"/>
      <c r="I806" s="937"/>
      <c r="J806" s="937"/>
      <c r="K806" s="937"/>
      <c r="L806" s="937"/>
      <c r="M806" s="937"/>
      <c r="N806" s="937"/>
      <c r="O806" s="937"/>
      <c r="P806" s="937"/>
      <c r="Q806" s="937"/>
      <c r="R806" s="937"/>
      <c r="S806" s="937"/>
      <c r="T806" s="937"/>
      <c r="U806" s="937"/>
      <c r="V806" s="937"/>
      <c r="W806" s="937"/>
      <c r="X806" s="937"/>
      <c r="Y806" s="937"/>
      <c r="Z806" s="937"/>
    </row>
    <row r="807" spans="1:26" ht="15.75" customHeight="1">
      <c r="A807" s="937"/>
      <c r="B807" s="937"/>
      <c r="C807" s="937"/>
      <c r="D807" s="937"/>
      <c r="E807" s="937"/>
      <c r="F807" s="937"/>
      <c r="G807" s="937"/>
      <c r="H807" s="937"/>
      <c r="I807" s="937"/>
      <c r="J807" s="937"/>
      <c r="K807" s="937"/>
      <c r="L807" s="937"/>
      <c r="M807" s="937"/>
      <c r="N807" s="937"/>
      <c r="O807" s="937"/>
      <c r="P807" s="937"/>
      <c r="Q807" s="937"/>
      <c r="R807" s="937"/>
      <c r="S807" s="937"/>
      <c r="T807" s="937"/>
      <c r="U807" s="937"/>
      <c r="V807" s="937"/>
      <c r="W807" s="937"/>
      <c r="X807" s="937"/>
      <c r="Y807" s="937"/>
      <c r="Z807" s="937"/>
    </row>
    <row r="808" spans="1:26" ht="15.75" customHeight="1">
      <c r="A808" s="937"/>
      <c r="B808" s="937"/>
      <c r="C808" s="937"/>
      <c r="D808" s="937"/>
      <c r="E808" s="937"/>
      <c r="F808" s="937"/>
      <c r="G808" s="937"/>
      <c r="H808" s="937"/>
      <c r="I808" s="937"/>
      <c r="J808" s="937"/>
      <c r="K808" s="937"/>
      <c r="L808" s="937"/>
      <c r="M808" s="937"/>
      <c r="N808" s="937"/>
      <c r="O808" s="937"/>
      <c r="P808" s="937"/>
      <c r="Q808" s="937"/>
      <c r="R808" s="937"/>
      <c r="S808" s="937"/>
      <c r="T808" s="937"/>
      <c r="U808" s="937"/>
      <c r="V808" s="937"/>
      <c r="W808" s="937"/>
      <c r="X808" s="937"/>
      <c r="Y808" s="937"/>
      <c r="Z808" s="937"/>
    </row>
    <row r="809" spans="1:26" ht="15.75" customHeight="1">
      <c r="A809" s="937"/>
      <c r="B809" s="937"/>
      <c r="C809" s="937"/>
      <c r="D809" s="937"/>
      <c r="E809" s="937"/>
      <c r="F809" s="937"/>
      <c r="G809" s="937"/>
      <c r="H809" s="937"/>
      <c r="I809" s="937"/>
      <c r="J809" s="937"/>
      <c r="K809" s="937"/>
      <c r="L809" s="937"/>
      <c r="M809" s="937"/>
      <c r="N809" s="937"/>
      <c r="O809" s="937"/>
      <c r="P809" s="937"/>
      <c r="Q809" s="937"/>
      <c r="R809" s="937"/>
      <c r="S809" s="937"/>
      <c r="T809" s="937"/>
      <c r="U809" s="937"/>
      <c r="V809" s="937"/>
      <c r="W809" s="937"/>
      <c r="X809" s="937"/>
      <c r="Y809" s="937"/>
      <c r="Z809" s="937"/>
    </row>
    <row r="810" spans="1:26" ht="15.75" customHeight="1">
      <c r="A810" s="937"/>
      <c r="B810" s="937"/>
      <c r="C810" s="937"/>
      <c r="D810" s="937"/>
      <c r="E810" s="937"/>
      <c r="F810" s="937"/>
      <c r="G810" s="937"/>
      <c r="H810" s="937"/>
      <c r="I810" s="937"/>
      <c r="J810" s="937"/>
      <c r="K810" s="937"/>
      <c r="L810" s="937"/>
      <c r="M810" s="937"/>
      <c r="N810" s="937"/>
      <c r="O810" s="937"/>
      <c r="P810" s="937"/>
      <c r="Q810" s="937"/>
      <c r="R810" s="937"/>
      <c r="S810" s="937"/>
      <c r="T810" s="937"/>
      <c r="U810" s="937"/>
      <c r="V810" s="937"/>
      <c r="W810" s="937"/>
      <c r="X810" s="937"/>
      <c r="Y810" s="937"/>
      <c r="Z810" s="937"/>
    </row>
    <row r="811" spans="1:26" ht="15.75" customHeight="1">
      <c r="A811" s="937"/>
      <c r="B811" s="937"/>
      <c r="C811" s="937"/>
      <c r="D811" s="937"/>
      <c r="E811" s="937"/>
      <c r="F811" s="937"/>
      <c r="G811" s="937"/>
      <c r="H811" s="937"/>
      <c r="I811" s="937"/>
      <c r="J811" s="937"/>
      <c r="K811" s="937"/>
      <c r="L811" s="937"/>
      <c r="M811" s="937"/>
      <c r="N811" s="937"/>
      <c r="O811" s="937"/>
      <c r="P811" s="937"/>
      <c r="Q811" s="937"/>
      <c r="R811" s="937"/>
      <c r="S811" s="937"/>
      <c r="T811" s="937"/>
      <c r="U811" s="937"/>
      <c r="V811" s="937"/>
      <c r="W811" s="937"/>
      <c r="X811" s="937"/>
      <c r="Y811" s="937"/>
      <c r="Z811" s="937"/>
    </row>
    <row r="812" spans="1:26" ht="15.75" customHeight="1">
      <c r="A812" s="937"/>
      <c r="B812" s="937"/>
      <c r="C812" s="937"/>
      <c r="D812" s="937"/>
      <c r="E812" s="937"/>
      <c r="F812" s="937"/>
      <c r="G812" s="937"/>
      <c r="H812" s="937"/>
      <c r="I812" s="937"/>
      <c r="J812" s="937"/>
      <c r="K812" s="937"/>
      <c r="L812" s="937"/>
      <c r="M812" s="937"/>
      <c r="N812" s="937"/>
      <c r="O812" s="937"/>
      <c r="P812" s="937"/>
      <c r="Q812" s="937"/>
      <c r="R812" s="937"/>
      <c r="S812" s="937"/>
      <c r="T812" s="937"/>
      <c r="U812" s="937"/>
      <c r="V812" s="937"/>
      <c r="W812" s="937"/>
      <c r="X812" s="937"/>
      <c r="Y812" s="937"/>
      <c r="Z812" s="937"/>
    </row>
    <row r="813" spans="1:26" ht="15.75" customHeight="1">
      <c r="A813" s="937"/>
      <c r="B813" s="937"/>
      <c r="C813" s="937"/>
      <c r="D813" s="937"/>
      <c r="E813" s="937"/>
      <c r="F813" s="937"/>
      <c r="G813" s="937"/>
      <c r="H813" s="937"/>
      <c r="I813" s="937"/>
      <c r="J813" s="937"/>
      <c r="K813" s="937"/>
      <c r="L813" s="937"/>
      <c r="M813" s="937"/>
      <c r="N813" s="937"/>
      <c r="O813" s="937"/>
      <c r="P813" s="937"/>
      <c r="Q813" s="937"/>
      <c r="R813" s="937"/>
      <c r="S813" s="937"/>
      <c r="T813" s="937"/>
      <c r="U813" s="937"/>
      <c r="V813" s="937"/>
      <c r="W813" s="937"/>
      <c r="X813" s="937"/>
      <c r="Y813" s="937"/>
      <c r="Z813" s="937"/>
    </row>
    <row r="814" spans="1:26" ht="15.75" customHeight="1">
      <c r="A814" s="937"/>
      <c r="B814" s="937"/>
      <c r="C814" s="937"/>
      <c r="D814" s="937"/>
      <c r="E814" s="937"/>
      <c r="F814" s="937"/>
      <c r="G814" s="937"/>
      <c r="H814" s="937"/>
      <c r="I814" s="937"/>
      <c r="J814" s="937"/>
      <c r="K814" s="937"/>
      <c r="L814" s="937"/>
      <c r="M814" s="937"/>
      <c r="N814" s="937"/>
      <c r="O814" s="937"/>
      <c r="P814" s="937"/>
      <c r="Q814" s="937"/>
      <c r="R814" s="937"/>
      <c r="S814" s="937"/>
      <c r="T814" s="937"/>
      <c r="U814" s="937"/>
      <c r="V814" s="937"/>
      <c r="W814" s="937"/>
      <c r="X814" s="937"/>
      <c r="Y814" s="937"/>
      <c r="Z814" s="937"/>
    </row>
    <row r="815" spans="1:26" ht="15.75" customHeight="1">
      <c r="A815" s="937"/>
      <c r="B815" s="937"/>
      <c r="C815" s="937"/>
      <c r="D815" s="937"/>
      <c r="E815" s="937"/>
      <c r="F815" s="937"/>
      <c r="G815" s="937"/>
      <c r="H815" s="937"/>
      <c r="I815" s="937"/>
      <c r="J815" s="937"/>
      <c r="K815" s="937"/>
      <c r="L815" s="937"/>
      <c r="M815" s="937"/>
      <c r="N815" s="937"/>
      <c r="O815" s="937"/>
      <c r="P815" s="937"/>
      <c r="Q815" s="937"/>
      <c r="R815" s="937"/>
      <c r="S815" s="937"/>
      <c r="T815" s="937"/>
      <c r="U815" s="937"/>
      <c r="V815" s="937"/>
      <c r="W815" s="937"/>
      <c r="X815" s="937"/>
      <c r="Y815" s="937"/>
      <c r="Z815" s="937"/>
    </row>
    <row r="816" spans="1:26" ht="15.75" customHeight="1">
      <c r="A816" s="937"/>
      <c r="B816" s="937"/>
      <c r="C816" s="937"/>
      <c r="D816" s="937"/>
      <c r="E816" s="937"/>
      <c r="F816" s="937"/>
      <c r="G816" s="937"/>
      <c r="H816" s="937"/>
      <c r="I816" s="937"/>
      <c r="J816" s="937"/>
      <c r="K816" s="937"/>
      <c r="L816" s="937"/>
      <c r="M816" s="937"/>
      <c r="N816" s="937"/>
      <c r="O816" s="937"/>
      <c r="P816" s="937"/>
      <c r="Q816" s="937"/>
      <c r="R816" s="937"/>
      <c r="S816" s="937"/>
      <c r="T816" s="937"/>
      <c r="U816" s="937"/>
      <c r="V816" s="937"/>
      <c r="W816" s="937"/>
      <c r="X816" s="937"/>
      <c r="Y816" s="937"/>
      <c r="Z816" s="937"/>
    </row>
    <row r="817" spans="1:26" ht="15.75" customHeight="1">
      <c r="A817" s="937"/>
      <c r="B817" s="937"/>
      <c r="C817" s="937"/>
      <c r="D817" s="937"/>
      <c r="E817" s="937"/>
      <c r="F817" s="937"/>
      <c r="G817" s="937"/>
      <c r="H817" s="937"/>
      <c r="I817" s="937"/>
      <c r="J817" s="937"/>
      <c r="K817" s="937"/>
      <c r="L817" s="937"/>
      <c r="M817" s="937"/>
      <c r="N817" s="937"/>
      <c r="O817" s="937"/>
      <c r="P817" s="937"/>
      <c r="Q817" s="937"/>
      <c r="R817" s="937"/>
      <c r="S817" s="937"/>
      <c r="T817" s="937"/>
      <c r="U817" s="937"/>
      <c r="V817" s="937"/>
      <c r="W817" s="937"/>
      <c r="X817" s="937"/>
      <c r="Y817" s="937"/>
      <c r="Z817" s="937"/>
    </row>
    <row r="818" spans="1:26" ht="15.75" customHeight="1">
      <c r="A818" s="937"/>
      <c r="B818" s="937"/>
      <c r="C818" s="937"/>
      <c r="D818" s="937"/>
      <c r="E818" s="937"/>
      <c r="F818" s="937"/>
      <c r="G818" s="937"/>
      <c r="H818" s="937"/>
      <c r="I818" s="937"/>
      <c r="J818" s="937"/>
      <c r="K818" s="937"/>
      <c r="L818" s="937"/>
      <c r="M818" s="937"/>
      <c r="N818" s="937"/>
      <c r="O818" s="937"/>
      <c r="P818" s="937"/>
      <c r="Q818" s="937"/>
      <c r="R818" s="937"/>
      <c r="S818" s="937"/>
      <c r="T818" s="937"/>
      <c r="U818" s="937"/>
      <c r="V818" s="937"/>
      <c r="W818" s="937"/>
      <c r="X818" s="937"/>
      <c r="Y818" s="937"/>
      <c r="Z818" s="937"/>
    </row>
    <row r="819" spans="1:26" ht="15.75" customHeight="1">
      <c r="A819" s="937"/>
      <c r="B819" s="937"/>
      <c r="C819" s="937"/>
      <c r="D819" s="937"/>
      <c r="E819" s="937"/>
      <c r="F819" s="937"/>
      <c r="G819" s="937"/>
      <c r="H819" s="937"/>
      <c r="I819" s="937"/>
      <c r="J819" s="937"/>
      <c r="K819" s="937"/>
      <c r="L819" s="937"/>
      <c r="M819" s="937"/>
      <c r="N819" s="937"/>
      <c r="O819" s="937"/>
      <c r="P819" s="937"/>
      <c r="Q819" s="937"/>
      <c r="R819" s="937"/>
      <c r="S819" s="937"/>
      <c r="T819" s="937"/>
      <c r="U819" s="937"/>
      <c r="V819" s="937"/>
      <c r="W819" s="937"/>
      <c r="X819" s="937"/>
      <c r="Y819" s="937"/>
      <c r="Z819" s="937"/>
    </row>
    <row r="820" spans="1:26" ht="15.75" customHeight="1">
      <c r="A820" s="937"/>
      <c r="B820" s="937"/>
      <c r="C820" s="937"/>
      <c r="D820" s="937"/>
      <c r="E820" s="937"/>
      <c r="F820" s="937"/>
      <c r="G820" s="937"/>
      <c r="H820" s="937"/>
      <c r="I820" s="937"/>
      <c r="J820" s="937"/>
      <c r="K820" s="937"/>
      <c r="L820" s="937"/>
      <c r="M820" s="937"/>
      <c r="N820" s="937"/>
      <c r="O820" s="937"/>
      <c r="P820" s="937"/>
      <c r="Q820" s="937"/>
      <c r="R820" s="937"/>
      <c r="S820" s="937"/>
      <c r="T820" s="937"/>
      <c r="U820" s="937"/>
      <c r="V820" s="937"/>
      <c r="W820" s="937"/>
      <c r="X820" s="937"/>
      <c r="Y820" s="937"/>
      <c r="Z820" s="937"/>
    </row>
    <row r="821" spans="1:26" ht="15.75" customHeight="1">
      <c r="A821" s="937"/>
      <c r="B821" s="937"/>
      <c r="C821" s="937"/>
      <c r="D821" s="937"/>
      <c r="E821" s="937"/>
      <c r="F821" s="937"/>
      <c r="G821" s="937"/>
      <c r="H821" s="937"/>
      <c r="I821" s="937"/>
      <c r="J821" s="937"/>
      <c r="K821" s="937"/>
      <c r="L821" s="937"/>
      <c r="M821" s="937"/>
      <c r="N821" s="937"/>
      <c r="O821" s="937"/>
      <c r="P821" s="937"/>
      <c r="Q821" s="937"/>
      <c r="R821" s="937"/>
      <c r="S821" s="937"/>
      <c r="T821" s="937"/>
      <c r="U821" s="937"/>
      <c r="V821" s="937"/>
      <c r="W821" s="937"/>
      <c r="X821" s="937"/>
      <c r="Y821" s="937"/>
      <c r="Z821" s="937"/>
    </row>
    <row r="822" spans="1:26" ht="15.75" customHeight="1">
      <c r="A822" s="937"/>
      <c r="B822" s="937"/>
      <c r="C822" s="937"/>
      <c r="D822" s="937"/>
      <c r="E822" s="937"/>
      <c r="F822" s="937"/>
      <c r="G822" s="937"/>
      <c r="H822" s="937"/>
      <c r="I822" s="937"/>
      <c r="J822" s="937"/>
      <c r="K822" s="937"/>
      <c r="L822" s="937"/>
      <c r="M822" s="937"/>
      <c r="N822" s="937"/>
      <c r="O822" s="937"/>
      <c r="P822" s="937"/>
      <c r="Q822" s="937"/>
      <c r="R822" s="937"/>
      <c r="S822" s="937"/>
      <c r="T822" s="937"/>
      <c r="U822" s="937"/>
      <c r="V822" s="937"/>
      <c r="W822" s="937"/>
      <c r="X822" s="937"/>
      <c r="Y822" s="937"/>
      <c r="Z822" s="937"/>
    </row>
    <row r="823" spans="1:26" ht="15.75" customHeight="1">
      <c r="A823" s="937"/>
      <c r="B823" s="937"/>
      <c r="C823" s="937"/>
      <c r="D823" s="937"/>
      <c r="E823" s="937"/>
      <c r="F823" s="937"/>
      <c r="G823" s="937"/>
      <c r="H823" s="937"/>
      <c r="I823" s="937"/>
      <c r="J823" s="937"/>
      <c r="K823" s="937"/>
      <c r="L823" s="937"/>
      <c r="M823" s="937"/>
      <c r="N823" s="937"/>
      <c r="O823" s="937"/>
      <c r="P823" s="937"/>
      <c r="Q823" s="937"/>
      <c r="R823" s="937"/>
      <c r="S823" s="937"/>
      <c r="T823" s="937"/>
      <c r="U823" s="937"/>
      <c r="V823" s="937"/>
      <c r="W823" s="937"/>
      <c r="X823" s="937"/>
      <c r="Y823" s="937"/>
      <c r="Z823" s="937"/>
    </row>
    <row r="824" spans="1:26" ht="15.75" customHeight="1">
      <c r="A824" s="937"/>
      <c r="B824" s="937"/>
      <c r="C824" s="937"/>
      <c r="D824" s="937"/>
      <c r="E824" s="937"/>
      <c r="F824" s="937"/>
      <c r="G824" s="937"/>
      <c r="H824" s="937"/>
      <c r="I824" s="937"/>
      <c r="J824" s="937"/>
      <c r="K824" s="937"/>
      <c r="L824" s="937"/>
      <c r="M824" s="937"/>
      <c r="N824" s="937"/>
      <c r="O824" s="937"/>
      <c r="P824" s="937"/>
      <c r="Q824" s="937"/>
      <c r="R824" s="937"/>
      <c r="S824" s="937"/>
      <c r="T824" s="937"/>
      <c r="U824" s="937"/>
      <c r="V824" s="937"/>
      <c r="W824" s="937"/>
      <c r="X824" s="937"/>
      <c r="Y824" s="937"/>
      <c r="Z824" s="937"/>
    </row>
    <row r="825" spans="1:26" ht="15.75" customHeight="1">
      <c r="A825" s="937"/>
      <c r="B825" s="937"/>
      <c r="C825" s="937"/>
      <c r="D825" s="937"/>
      <c r="E825" s="937"/>
      <c r="F825" s="937"/>
      <c r="G825" s="937"/>
      <c r="H825" s="937"/>
      <c r="I825" s="937"/>
      <c r="J825" s="937"/>
      <c r="K825" s="937"/>
      <c r="L825" s="937"/>
      <c r="M825" s="937"/>
      <c r="N825" s="937"/>
      <c r="O825" s="937"/>
      <c r="P825" s="937"/>
      <c r="Q825" s="937"/>
      <c r="R825" s="937"/>
      <c r="S825" s="937"/>
      <c r="T825" s="937"/>
      <c r="U825" s="937"/>
      <c r="V825" s="937"/>
      <c r="W825" s="937"/>
      <c r="X825" s="937"/>
      <c r="Y825" s="937"/>
      <c r="Z825" s="937"/>
    </row>
    <row r="826" spans="1:26" ht="15.75" customHeight="1">
      <c r="A826" s="937"/>
      <c r="B826" s="937"/>
      <c r="C826" s="937"/>
      <c r="D826" s="937"/>
      <c r="E826" s="937"/>
      <c r="F826" s="937"/>
      <c r="G826" s="937"/>
      <c r="H826" s="937"/>
      <c r="I826" s="937"/>
      <c r="J826" s="937"/>
      <c r="K826" s="937"/>
      <c r="L826" s="937"/>
      <c r="M826" s="937"/>
      <c r="N826" s="937"/>
      <c r="O826" s="937"/>
      <c r="P826" s="937"/>
      <c r="Q826" s="937"/>
      <c r="R826" s="937"/>
      <c r="S826" s="937"/>
      <c r="T826" s="937"/>
      <c r="U826" s="937"/>
      <c r="V826" s="937"/>
      <c r="W826" s="937"/>
      <c r="X826" s="937"/>
      <c r="Y826" s="937"/>
      <c r="Z826" s="937"/>
    </row>
    <row r="827" spans="1:26" ht="15.75" customHeight="1">
      <c r="A827" s="937"/>
      <c r="B827" s="937"/>
      <c r="C827" s="937"/>
      <c r="D827" s="937"/>
      <c r="E827" s="937"/>
      <c r="F827" s="937"/>
      <c r="G827" s="937"/>
      <c r="H827" s="937"/>
      <c r="I827" s="937"/>
      <c r="J827" s="937"/>
      <c r="K827" s="937"/>
      <c r="L827" s="937"/>
      <c r="M827" s="937"/>
      <c r="N827" s="937"/>
      <c r="O827" s="937"/>
      <c r="P827" s="937"/>
      <c r="Q827" s="937"/>
      <c r="R827" s="937"/>
      <c r="S827" s="937"/>
      <c r="T827" s="937"/>
      <c r="U827" s="937"/>
      <c r="V827" s="937"/>
      <c r="W827" s="937"/>
      <c r="X827" s="937"/>
      <c r="Y827" s="937"/>
      <c r="Z827" s="937"/>
    </row>
    <row r="828" spans="1:26" ht="15.75" customHeight="1">
      <c r="A828" s="937"/>
      <c r="B828" s="937"/>
      <c r="C828" s="937"/>
      <c r="D828" s="937"/>
      <c r="E828" s="937"/>
      <c r="F828" s="937"/>
      <c r="G828" s="937"/>
      <c r="H828" s="937"/>
      <c r="I828" s="937"/>
      <c r="J828" s="937"/>
      <c r="K828" s="937"/>
      <c r="L828" s="937"/>
      <c r="M828" s="937"/>
      <c r="N828" s="937"/>
      <c r="O828" s="937"/>
      <c r="P828" s="937"/>
      <c r="Q828" s="937"/>
      <c r="R828" s="937"/>
      <c r="S828" s="937"/>
      <c r="T828" s="937"/>
      <c r="U828" s="937"/>
      <c r="V828" s="937"/>
      <c r="W828" s="937"/>
      <c r="X828" s="937"/>
      <c r="Y828" s="937"/>
      <c r="Z828" s="937"/>
    </row>
    <row r="829" spans="1:26" ht="15.75" customHeight="1">
      <c r="A829" s="937"/>
      <c r="B829" s="937"/>
      <c r="C829" s="937"/>
      <c r="D829" s="937"/>
      <c r="E829" s="937"/>
      <c r="F829" s="937"/>
      <c r="G829" s="937"/>
      <c r="H829" s="937"/>
      <c r="I829" s="937"/>
      <c r="J829" s="937"/>
      <c r="K829" s="937"/>
      <c r="L829" s="937"/>
      <c r="M829" s="937"/>
      <c r="N829" s="937"/>
      <c r="O829" s="937"/>
      <c r="P829" s="937"/>
      <c r="Q829" s="937"/>
      <c r="R829" s="937"/>
      <c r="S829" s="937"/>
      <c r="T829" s="937"/>
      <c r="U829" s="937"/>
      <c r="V829" s="937"/>
      <c r="W829" s="937"/>
      <c r="X829" s="937"/>
      <c r="Y829" s="937"/>
      <c r="Z829" s="937"/>
    </row>
    <row r="830" spans="1:26" ht="15.75" customHeight="1">
      <c r="A830" s="937"/>
      <c r="B830" s="937"/>
      <c r="C830" s="937"/>
      <c r="D830" s="937"/>
      <c r="E830" s="937"/>
      <c r="F830" s="937"/>
      <c r="G830" s="937"/>
      <c r="H830" s="937"/>
      <c r="I830" s="937"/>
      <c r="J830" s="937"/>
      <c r="K830" s="937"/>
      <c r="L830" s="937"/>
      <c r="M830" s="937"/>
      <c r="N830" s="937"/>
      <c r="O830" s="937"/>
      <c r="P830" s="937"/>
      <c r="Q830" s="937"/>
      <c r="R830" s="937"/>
      <c r="S830" s="937"/>
      <c r="T830" s="937"/>
      <c r="U830" s="937"/>
      <c r="V830" s="937"/>
      <c r="W830" s="937"/>
      <c r="X830" s="937"/>
      <c r="Y830" s="937"/>
      <c r="Z830" s="937"/>
    </row>
    <row r="831" spans="1:26" ht="15.75" customHeight="1">
      <c r="A831" s="937"/>
      <c r="B831" s="937"/>
      <c r="C831" s="937"/>
      <c r="D831" s="937"/>
      <c r="E831" s="937"/>
      <c r="F831" s="937"/>
      <c r="G831" s="937"/>
      <c r="H831" s="937"/>
      <c r="I831" s="937"/>
      <c r="J831" s="937"/>
      <c r="K831" s="937"/>
      <c r="L831" s="937"/>
      <c r="M831" s="937"/>
      <c r="N831" s="937"/>
      <c r="O831" s="937"/>
      <c r="P831" s="937"/>
      <c r="Q831" s="937"/>
      <c r="R831" s="937"/>
      <c r="S831" s="937"/>
      <c r="T831" s="937"/>
      <c r="U831" s="937"/>
      <c r="V831" s="937"/>
      <c r="W831" s="937"/>
      <c r="X831" s="937"/>
      <c r="Y831" s="937"/>
      <c r="Z831" s="937"/>
    </row>
    <row r="832" spans="1:26" ht="15.75" customHeight="1">
      <c r="A832" s="937"/>
      <c r="B832" s="937"/>
      <c r="C832" s="937"/>
      <c r="D832" s="937"/>
      <c r="E832" s="937"/>
      <c r="F832" s="937"/>
      <c r="G832" s="937"/>
      <c r="H832" s="937"/>
      <c r="I832" s="937"/>
      <c r="J832" s="937"/>
      <c r="K832" s="937"/>
      <c r="L832" s="937"/>
      <c r="M832" s="937"/>
      <c r="N832" s="937"/>
      <c r="O832" s="937"/>
      <c r="P832" s="937"/>
      <c r="Q832" s="937"/>
      <c r="R832" s="937"/>
      <c r="S832" s="937"/>
      <c r="T832" s="937"/>
      <c r="U832" s="937"/>
      <c r="V832" s="937"/>
      <c r="W832" s="937"/>
      <c r="X832" s="937"/>
      <c r="Y832" s="937"/>
      <c r="Z832" s="937"/>
    </row>
    <row r="833" spans="1:26" ht="15.75" customHeight="1">
      <c r="A833" s="937"/>
      <c r="B833" s="937"/>
      <c r="C833" s="937"/>
      <c r="D833" s="937"/>
      <c r="E833" s="937"/>
      <c r="F833" s="937"/>
      <c r="G833" s="937"/>
      <c r="H833" s="937"/>
      <c r="I833" s="937"/>
      <c r="J833" s="937"/>
      <c r="K833" s="937"/>
      <c r="L833" s="937"/>
      <c r="M833" s="937"/>
      <c r="N833" s="937"/>
      <c r="O833" s="937"/>
      <c r="P833" s="937"/>
      <c r="Q833" s="937"/>
      <c r="R833" s="937"/>
      <c r="S833" s="937"/>
      <c r="T833" s="937"/>
      <c r="U833" s="937"/>
      <c r="V833" s="937"/>
      <c r="W833" s="937"/>
      <c r="X833" s="937"/>
      <c r="Y833" s="937"/>
      <c r="Z833" s="937"/>
    </row>
    <row r="834" spans="1:26" ht="15.75" customHeight="1">
      <c r="A834" s="937"/>
      <c r="B834" s="937"/>
      <c r="C834" s="937"/>
      <c r="D834" s="937"/>
      <c r="E834" s="937"/>
      <c r="F834" s="937"/>
      <c r="G834" s="937"/>
      <c r="H834" s="937"/>
      <c r="I834" s="937"/>
      <c r="J834" s="937"/>
      <c r="K834" s="937"/>
      <c r="L834" s="937"/>
      <c r="M834" s="937"/>
      <c r="N834" s="937"/>
      <c r="O834" s="937"/>
      <c r="P834" s="937"/>
      <c r="Q834" s="937"/>
      <c r="R834" s="937"/>
      <c r="S834" s="937"/>
      <c r="T834" s="937"/>
      <c r="U834" s="937"/>
      <c r="V834" s="937"/>
      <c r="W834" s="937"/>
      <c r="X834" s="937"/>
      <c r="Y834" s="937"/>
      <c r="Z834" s="937"/>
    </row>
    <row r="835" spans="1:26" ht="15.75" customHeight="1">
      <c r="A835" s="937"/>
      <c r="B835" s="937"/>
      <c r="C835" s="937"/>
      <c r="D835" s="937"/>
      <c r="E835" s="937"/>
      <c r="F835" s="937"/>
      <c r="G835" s="937"/>
      <c r="H835" s="937"/>
      <c r="I835" s="937"/>
      <c r="J835" s="937"/>
      <c r="K835" s="937"/>
      <c r="L835" s="937"/>
      <c r="M835" s="937"/>
      <c r="N835" s="937"/>
      <c r="O835" s="937"/>
      <c r="P835" s="937"/>
      <c r="Q835" s="937"/>
      <c r="R835" s="937"/>
      <c r="S835" s="937"/>
      <c r="T835" s="937"/>
      <c r="U835" s="937"/>
      <c r="V835" s="937"/>
      <c r="W835" s="937"/>
      <c r="X835" s="937"/>
      <c r="Y835" s="937"/>
      <c r="Z835" s="937"/>
    </row>
    <row r="836" spans="1:26" ht="15.75" customHeight="1">
      <c r="A836" s="937"/>
      <c r="B836" s="937"/>
      <c r="C836" s="937"/>
      <c r="D836" s="937"/>
      <c r="E836" s="937"/>
      <c r="F836" s="937"/>
      <c r="G836" s="937"/>
      <c r="H836" s="937"/>
      <c r="I836" s="937"/>
      <c r="J836" s="937"/>
      <c r="K836" s="937"/>
      <c r="L836" s="937"/>
      <c r="M836" s="937"/>
      <c r="N836" s="937"/>
      <c r="O836" s="937"/>
      <c r="P836" s="937"/>
      <c r="Q836" s="937"/>
      <c r="R836" s="937"/>
      <c r="S836" s="937"/>
      <c r="T836" s="937"/>
      <c r="U836" s="937"/>
      <c r="V836" s="937"/>
      <c r="W836" s="937"/>
      <c r="X836" s="937"/>
      <c r="Y836" s="937"/>
      <c r="Z836" s="937"/>
    </row>
    <row r="837" spans="1:26" ht="15.75" customHeight="1">
      <c r="A837" s="937"/>
      <c r="B837" s="937"/>
      <c r="C837" s="937"/>
      <c r="D837" s="937"/>
      <c r="E837" s="937"/>
      <c r="F837" s="937"/>
      <c r="G837" s="937"/>
      <c r="H837" s="937"/>
      <c r="I837" s="937"/>
      <c r="J837" s="937"/>
      <c r="K837" s="937"/>
      <c r="L837" s="937"/>
      <c r="M837" s="937"/>
      <c r="N837" s="937"/>
      <c r="O837" s="937"/>
      <c r="P837" s="937"/>
      <c r="Q837" s="937"/>
      <c r="R837" s="937"/>
      <c r="S837" s="937"/>
      <c r="T837" s="937"/>
      <c r="U837" s="937"/>
      <c r="V837" s="937"/>
      <c r="W837" s="937"/>
      <c r="X837" s="937"/>
      <c r="Y837" s="937"/>
      <c r="Z837" s="937"/>
    </row>
    <row r="838" spans="1:26" ht="15.75" customHeight="1">
      <c r="A838" s="937"/>
      <c r="B838" s="937"/>
      <c r="C838" s="937"/>
      <c r="D838" s="937"/>
      <c r="E838" s="937"/>
      <c r="F838" s="937"/>
      <c r="G838" s="937"/>
      <c r="H838" s="937"/>
      <c r="I838" s="937"/>
      <c r="J838" s="937"/>
      <c r="K838" s="937"/>
      <c r="L838" s="937"/>
      <c r="M838" s="937"/>
      <c r="N838" s="937"/>
      <c r="O838" s="937"/>
      <c r="P838" s="937"/>
      <c r="Q838" s="937"/>
      <c r="R838" s="937"/>
      <c r="S838" s="937"/>
      <c r="T838" s="937"/>
      <c r="U838" s="937"/>
      <c r="V838" s="937"/>
      <c r="W838" s="937"/>
      <c r="X838" s="937"/>
      <c r="Y838" s="937"/>
      <c r="Z838" s="937"/>
    </row>
    <row r="839" spans="1:26" ht="15.75" customHeight="1">
      <c r="A839" s="937"/>
      <c r="B839" s="937"/>
      <c r="C839" s="937"/>
      <c r="D839" s="937"/>
      <c r="E839" s="937"/>
      <c r="F839" s="937"/>
      <c r="G839" s="937"/>
      <c r="H839" s="937"/>
      <c r="I839" s="937"/>
      <c r="J839" s="937"/>
      <c r="K839" s="937"/>
      <c r="L839" s="937"/>
      <c r="M839" s="937"/>
      <c r="N839" s="937"/>
      <c r="O839" s="937"/>
      <c r="P839" s="937"/>
      <c r="Q839" s="937"/>
      <c r="R839" s="937"/>
      <c r="S839" s="937"/>
      <c r="T839" s="937"/>
      <c r="U839" s="937"/>
      <c r="V839" s="937"/>
      <c r="W839" s="937"/>
      <c r="X839" s="937"/>
      <c r="Y839" s="937"/>
      <c r="Z839" s="937"/>
    </row>
    <row r="840" spans="1:26" ht="15.75" customHeight="1">
      <c r="A840" s="937"/>
      <c r="B840" s="937"/>
      <c r="C840" s="937"/>
      <c r="D840" s="937"/>
      <c r="E840" s="937"/>
      <c r="F840" s="937"/>
      <c r="G840" s="937"/>
      <c r="H840" s="937"/>
      <c r="I840" s="937"/>
      <c r="J840" s="937"/>
      <c r="K840" s="937"/>
      <c r="L840" s="937"/>
      <c r="M840" s="937"/>
      <c r="N840" s="937"/>
      <c r="O840" s="937"/>
      <c r="P840" s="937"/>
      <c r="Q840" s="937"/>
      <c r="R840" s="937"/>
      <c r="S840" s="937"/>
      <c r="T840" s="937"/>
      <c r="U840" s="937"/>
      <c r="V840" s="937"/>
      <c r="W840" s="937"/>
      <c r="X840" s="937"/>
      <c r="Y840" s="937"/>
      <c r="Z840" s="937"/>
    </row>
    <row r="841" spans="1:26" ht="15.75" customHeight="1">
      <c r="A841" s="937"/>
      <c r="B841" s="937"/>
      <c r="C841" s="937"/>
      <c r="D841" s="937"/>
      <c r="E841" s="937"/>
      <c r="F841" s="937"/>
      <c r="G841" s="937"/>
      <c r="H841" s="937"/>
      <c r="I841" s="937"/>
      <c r="J841" s="937"/>
      <c r="K841" s="937"/>
      <c r="L841" s="937"/>
      <c r="M841" s="937"/>
      <c r="N841" s="937"/>
      <c r="O841" s="937"/>
      <c r="P841" s="937"/>
      <c r="Q841" s="937"/>
      <c r="R841" s="937"/>
      <c r="S841" s="937"/>
      <c r="T841" s="937"/>
      <c r="U841" s="937"/>
      <c r="V841" s="937"/>
      <c r="W841" s="937"/>
      <c r="X841" s="937"/>
      <c r="Y841" s="937"/>
      <c r="Z841" s="937"/>
    </row>
    <row r="842" spans="1:26" ht="15.75" customHeight="1">
      <c r="A842" s="937"/>
      <c r="B842" s="937"/>
      <c r="C842" s="937"/>
      <c r="D842" s="937"/>
      <c r="E842" s="937"/>
      <c r="F842" s="937"/>
      <c r="G842" s="937"/>
      <c r="H842" s="937"/>
      <c r="I842" s="937"/>
      <c r="J842" s="937"/>
      <c r="K842" s="937"/>
      <c r="L842" s="937"/>
      <c r="M842" s="937"/>
      <c r="N842" s="937"/>
      <c r="O842" s="937"/>
      <c r="P842" s="937"/>
      <c r="Q842" s="937"/>
      <c r="R842" s="937"/>
      <c r="S842" s="937"/>
      <c r="T842" s="937"/>
      <c r="U842" s="937"/>
      <c r="V842" s="937"/>
      <c r="W842" s="937"/>
      <c r="X842" s="937"/>
      <c r="Y842" s="937"/>
      <c r="Z842" s="937"/>
    </row>
    <row r="843" spans="1:26" ht="15.75" customHeight="1">
      <c r="A843" s="937"/>
      <c r="B843" s="937"/>
      <c r="C843" s="937"/>
      <c r="D843" s="937"/>
      <c r="E843" s="937"/>
      <c r="F843" s="937"/>
      <c r="G843" s="937"/>
      <c r="H843" s="937"/>
      <c r="I843" s="937"/>
      <c r="J843" s="937"/>
      <c r="K843" s="937"/>
      <c r="L843" s="937"/>
      <c r="M843" s="937"/>
      <c r="N843" s="937"/>
      <c r="O843" s="937"/>
      <c r="P843" s="937"/>
      <c r="Q843" s="937"/>
      <c r="R843" s="937"/>
      <c r="S843" s="937"/>
      <c r="T843" s="937"/>
      <c r="U843" s="937"/>
      <c r="V843" s="937"/>
      <c r="W843" s="937"/>
      <c r="X843" s="937"/>
      <c r="Y843" s="937"/>
      <c r="Z843" s="937"/>
    </row>
    <row r="844" spans="1:26" ht="15.75" customHeight="1">
      <c r="A844" s="937"/>
      <c r="B844" s="937"/>
      <c r="C844" s="937"/>
      <c r="D844" s="937"/>
      <c r="E844" s="937"/>
      <c r="F844" s="937"/>
      <c r="G844" s="937"/>
      <c r="H844" s="937"/>
      <c r="I844" s="937"/>
      <c r="J844" s="937"/>
      <c r="K844" s="937"/>
      <c r="L844" s="937"/>
      <c r="M844" s="937"/>
      <c r="N844" s="937"/>
      <c r="O844" s="937"/>
      <c r="P844" s="937"/>
      <c r="Q844" s="937"/>
      <c r="R844" s="937"/>
      <c r="S844" s="937"/>
      <c r="T844" s="937"/>
      <c r="U844" s="937"/>
      <c r="V844" s="937"/>
      <c r="W844" s="937"/>
      <c r="X844" s="937"/>
      <c r="Y844" s="937"/>
      <c r="Z844" s="937"/>
    </row>
    <row r="845" spans="1:26" ht="15.75" customHeight="1">
      <c r="A845" s="937"/>
      <c r="B845" s="937"/>
      <c r="C845" s="937"/>
      <c r="D845" s="937"/>
      <c r="E845" s="937"/>
      <c r="F845" s="937"/>
      <c r="G845" s="937"/>
      <c r="H845" s="937"/>
      <c r="I845" s="937"/>
      <c r="J845" s="937"/>
      <c r="K845" s="937"/>
      <c r="L845" s="937"/>
      <c r="M845" s="937"/>
      <c r="N845" s="937"/>
      <c r="O845" s="937"/>
      <c r="P845" s="937"/>
      <c r="Q845" s="937"/>
      <c r="R845" s="937"/>
      <c r="S845" s="937"/>
      <c r="T845" s="937"/>
      <c r="U845" s="937"/>
      <c r="V845" s="937"/>
      <c r="W845" s="937"/>
      <c r="X845" s="937"/>
      <c r="Y845" s="937"/>
      <c r="Z845" s="937"/>
    </row>
    <row r="846" spans="1:26" ht="15.75" customHeight="1">
      <c r="A846" s="937"/>
      <c r="B846" s="937"/>
      <c r="C846" s="937"/>
      <c r="D846" s="937"/>
      <c r="E846" s="937"/>
      <c r="F846" s="937"/>
      <c r="G846" s="937"/>
      <c r="H846" s="937"/>
      <c r="I846" s="937"/>
      <c r="J846" s="937"/>
      <c r="K846" s="937"/>
      <c r="L846" s="937"/>
      <c r="M846" s="937"/>
      <c r="N846" s="937"/>
      <c r="O846" s="937"/>
      <c r="P846" s="937"/>
      <c r="Q846" s="937"/>
      <c r="R846" s="937"/>
      <c r="S846" s="937"/>
      <c r="T846" s="937"/>
      <c r="U846" s="937"/>
      <c r="V846" s="937"/>
      <c r="W846" s="937"/>
      <c r="X846" s="937"/>
      <c r="Y846" s="937"/>
      <c r="Z846" s="937"/>
    </row>
    <row r="847" spans="1:26" ht="15.75" customHeight="1">
      <c r="A847" s="937"/>
      <c r="B847" s="937"/>
      <c r="C847" s="937"/>
      <c r="D847" s="937"/>
      <c r="E847" s="937"/>
      <c r="F847" s="937"/>
      <c r="G847" s="937"/>
      <c r="H847" s="937"/>
      <c r="I847" s="937"/>
      <c r="J847" s="937"/>
      <c r="K847" s="937"/>
      <c r="L847" s="937"/>
      <c r="M847" s="937"/>
      <c r="N847" s="937"/>
      <c r="O847" s="937"/>
      <c r="P847" s="937"/>
      <c r="Q847" s="937"/>
      <c r="R847" s="937"/>
      <c r="S847" s="937"/>
      <c r="T847" s="937"/>
      <c r="U847" s="937"/>
      <c r="V847" s="937"/>
      <c r="W847" s="937"/>
      <c r="X847" s="937"/>
      <c r="Y847" s="937"/>
      <c r="Z847" s="937"/>
    </row>
    <row r="848" spans="1:26" ht="15.75" customHeight="1">
      <c r="A848" s="937"/>
      <c r="B848" s="937"/>
      <c r="C848" s="937"/>
      <c r="D848" s="937"/>
      <c r="E848" s="937"/>
      <c r="F848" s="937"/>
      <c r="G848" s="937"/>
      <c r="H848" s="937"/>
      <c r="I848" s="937"/>
      <c r="J848" s="937"/>
      <c r="K848" s="937"/>
      <c r="L848" s="937"/>
      <c r="M848" s="937"/>
      <c r="N848" s="937"/>
      <c r="O848" s="937"/>
      <c r="P848" s="937"/>
      <c r="Q848" s="937"/>
      <c r="R848" s="937"/>
      <c r="S848" s="937"/>
      <c r="T848" s="937"/>
      <c r="U848" s="937"/>
      <c r="V848" s="937"/>
      <c r="W848" s="937"/>
      <c r="X848" s="937"/>
      <c r="Y848" s="937"/>
      <c r="Z848" s="937"/>
    </row>
    <row r="849" spans="1:26" ht="15.75" customHeight="1">
      <c r="A849" s="937"/>
      <c r="B849" s="937"/>
      <c r="C849" s="937"/>
      <c r="D849" s="937"/>
      <c r="E849" s="937"/>
      <c r="F849" s="937"/>
      <c r="G849" s="937"/>
      <c r="H849" s="937"/>
      <c r="I849" s="937"/>
      <c r="J849" s="937"/>
      <c r="K849" s="937"/>
      <c r="L849" s="937"/>
      <c r="M849" s="937"/>
      <c r="N849" s="937"/>
      <c r="O849" s="937"/>
      <c r="P849" s="937"/>
      <c r="Q849" s="937"/>
      <c r="R849" s="937"/>
      <c r="S849" s="937"/>
      <c r="T849" s="937"/>
      <c r="U849" s="937"/>
      <c r="V849" s="937"/>
      <c r="W849" s="937"/>
      <c r="X849" s="937"/>
      <c r="Y849" s="937"/>
      <c r="Z849" s="937"/>
    </row>
    <row r="850" spans="1:26" ht="15.75" customHeight="1">
      <c r="A850" s="937"/>
      <c r="B850" s="937"/>
      <c r="C850" s="937"/>
      <c r="D850" s="937"/>
      <c r="E850" s="937"/>
      <c r="F850" s="937"/>
      <c r="G850" s="937"/>
      <c r="H850" s="937"/>
      <c r="I850" s="937"/>
      <c r="J850" s="937"/>
      <c r="K850" s="937"/>
      <c r="L850" s="937"/>
      <c r="M850" s="937"/>
      <c r="N850" s="937"/>
      <c r="O850" s="937"/>
      <c r="P850" s="937"/>
      <c r="Q850" s="937"/>
      <c r="R850" s="937"/>
      <c r="S850" s="937"/>
      <c r="T850" s="937"/>
      <c r="U850" s="937"/>
      <c r="V850" s="937"/>
      <c r="W850" s="937"/>
      <c r="X850" s="937"/>
      <c r="Y850" s="937"/>
      <c r="Z850" s="937"/>
    </row>
    <row r="851" spans="1:26" ht="15.75" customHeight="1">
      <c r="A851" s="937"/>
      <c r="B851" s="937"/>
      <c r="C851" s="937"/>
      <c r="D851" s="937"/>
      <c r="E851" s="937"/>
      <c r="F851" s="937"/>
      <c r="G851" s="937"/>
      <c r="H851" s="937"/>
      <c r="I851" s="937"/>
      <c r="J851" s="937"/>
      <c r="K851" s="937"/>
      <c r="L851" s="937"/>
      <c r="M851" s="937"/>
      <c r="N851" s="937"/>
      <c r="O851" s="937"/>
      <c r="P851" s="937"/>
      <c r="Q851" s="937"/>
      <c r="R851" s="937"/>
      <c r="S851" s="937"/>
      <c r="T851" s="937"/>
      <c r="U851" s="937"/>
      <c r="V851" s="937"/>
      <c r="W851" s="937"/>
      <c r="X851" s="937"/>
      <c r="Y851" s="937"/>
      <c r="Z851" s="937"/>
    </row>
    <row r="852" spans="1:26" ht="15.75" customHeight="1">
      <c r="A852" s="937"/>
      <c r="B852" s="937"/>
      <c r="C852" s="937"/>
      <c r="D852" s="937"/>
      <c r="E852" s="937"/>
      <c r="F852" s="937"/>
      <c r="G852" s="937"/>
      <c r="H852" s="937"/>
      <c r="I852" s="937"/>
      <c r="J852" s="937"/>
      <c r="K852" s="937"/>
      <c r="L852" s="937"/>
      <c r="M852" s="937"/>
      <c r="N852" s="937"/>
      <c r="O852" s="937"/>
      <c r="P852" s="937"/>
      <c r="Q852" s="937"/>
      <c r="R852" s="937"/>
      <c r="S852" s="937"/>
      <c r="T852" s="937"/>
      <c r="U852" s="937"/>
      <c r="V852" s="937"/>
      <c r="W852" s="937"/>
      <c r="X852" s="937"/>
      <c r="Y852" s="937"/>
      <c r="Z852" s="937"/>
    </row>
    <row r="853" spans="1:26" ht="15.75" customHeight="1">
      <c r="A853" s="937"/>
      <c r="B853" s="937"/>
      <c r="C853" s="937"/>
      <c r="D853" s="937"/>
      <c r="E853" s="937"/>
      <c r="F853" s="937"/>
      <c r="G853" s="937"/>
      <c r="H853" s="937"/>
      <c r="I853" s="937"/>
      <c r="J853" s="937"/>
      <c r="K853" s="937"/>
      <c r="L853" s="937"/>
      <c r="M853" s="937"/>
      <c r="N853" s="937"/>
      <c r="O853" s="937"/>
      <c r="P853" s="937"/>
      <c r="Q853" s="937"/>
      <c r="R853" s="937"/>
      <c r="S853" s="937"/>
      <c r="T853" s="937"/>
      <c r="U853" s="937"/>
      <c r="V853" s="937"/>
      <c r="W853" s="937"/>
      <c r="X853" s="937"/>
      <c r="Y853" s="937"/>
      <c r="Z853" s="937"/>
    </row>
    <row r="854" spans="1:26" ht="15.75" customHeight="1">
      <c r="A854" s="937"/>
      <c r="B854" s="937"/>
      <c r="C854" s="937"/>
      <c r="D854" s="937"/>
      <c r="E854" s="937"/>
      <c r="F854" s="937"/>
      <c r="G854" s="937"/>
      <c r="H854" s="937"/>
      <c r="I854" s="937"/>
      <c r="J854" s="937"/>
      <c r="K854" s="937"/>
      <c r="L854" s="937"/>
      <c r="M854" s="937"/>
      <c r="N854" s="937"/>
      <c r="O854" s="937"/>
      <c r="P854" s="937"/>
      <c r="Q854" s="937"/>
      <c r="R854" s="937"/>
      <c r="S854" s="937"/>
      <c r="T854" s="937"/>
      <c r="U854" s="937"/>
      <c r="V854" s="937"/>
      <c r="W854" s="937"/>
      <c r="X854" s="937"/>
      <c r="Y854" s="937"/>
      <c r="Z854" s="937"/>
    </row>
    <row r="855" spans="1:26" ht="15.75" customHeight="1">
      <c r="A855" s="937"/>
      <c r="B855" s="937"/>
      <c r="C855" s="937"/>
      <c r="D855" s="937"/>
      <c r="E855" s="937"/>
      <c r="F855" s="937"/>
      <c r="G855" s="937"/>
      <c r="H855" s="937"/>
      <c r="I855" s="937"/>
      <c r="J855" s="937"/>
      <c r="K855" s="937"/>
      <c r="L855" s="937"/>
      <c r="M855" s="937"/>
      <c r="N855" s="937"/>
      <c r="O855" s="937"/>
      <c r="P855" s="937"/>
      <c r="Q855" s="937"/>
      <c r="R855" s="937"/>
      <c r="S855" s="937"/>
      <c r="T855" s="937"/>
      <c r="U855" s="937"/>
      <c r="V855" s="937"/>
      <c r="W855" s="937"/>
      <c r="X855" s="937"/>
      <c r="Y855" s="937"/>
      <c r="Z855" s="937"/>
    </row>
    <row r="856" spans="1:26" ht="15.75" customHeight="1">
      <c r="A856" s="937"/>
      <c r="B856" s="937"/>
      <c r="C856" s="937"/>
      <c r="D856" s="937"/>
      <c r="E856" s="937"/>
      <c r="F856" s="937"/>
      <c r="G856" s="937"/>
      <c r="H856" s="937"/>
      <c r="I856" s="937"/>
      <c r="J856" s="937"/>
      <c r="K856" s="937"/>
      <c r="L856" s="937"/>
      <c r="M856" s="937"/>
      <c r="N856" s="937"/>
      <c r="O856" s="937"/>
      <c r="P856" s="937"/>
      <c r="Q856" s="937"/>
      <c r="R856" s="937"/>
      <c r="S856" s="937"/>
      <c r="T856" s="937"/>
      <c r="U856" s="937"/>
      <c r="V856" s="937"/>
      <c r="W856" s="937"/>
      <c r="X856" s="937"/>
      <c r="Y856" s="937"/>
      <c r="Z856" s="937"/>
    </row>
    <row r="857" spans="1:26" ht="15.75" customHeight="1">
      <c r="A857" s="937"/>
      <c r="B857" s="937"/>
      <c r="C857" s="937"/>
      <c r="D857" s="937"/>
      <c r="E857" s="937"/>
      <c r="F857" s="937"/>
      <c r="G857" s="937"/>
      <c r="H857" s="937"/>
      <c r="I857" s="937"/>
      <c r="J857" s="937"/>
      <c r="K857" s="937"/>
      <c r="L857" s="937"/>
      <c r="M857" s="937"/>
      <c r="N857" s="937"/>
      <c r="O857" s="937"/>
      <c r="P857" s="937"/>
      <c r="Q857" s="937"/>
      <c r="R857" s="937"/>
      <c r="S857" s="937"/>
      <c r="T857" s="937"/>
      <c r="U857" s="937"/>
      <c r="V857" s="937"/>
      <c r="W857" s="937"/>
      <c r="X857" s="937"/>
      <c r="Y857" s="937"/>
      <c r="Z857" s="937"/>
    </row>
    <row r="858" spans="1:26" ht="15.75" customHeight="1">
      <c r="A858" s="937"/>
      <c r="B858" s="937"/>
      <c r="C858" s="937"/>
      <c r="D858" s="937"/>
      <c r="E858" s="937"/>
      <c r="F858" s="937"/>
      <c r="G858" s="937"/>
      <c r="H858" s="937"/>
      <c r="I858" s="937"/>
      <c r="J858" s="937"/>
      <c r="K858" s="937"/>
      <c r="L858" s="937"/>
      <c r="M858" s="937"/>
      <c r="N858" s="937"/>
      <c r="O858" s="937"/>
      <c r="P858" s="937"/>
      <c r="Q858" s="937"/>
      <c r="R858" s="937"/>
      <c r="S858" s="937"/>
      <c r="T858" s="937"/>
      <c r="U858" s="937"/>
      <c r="V858" s="937"/>
      <c r="W858" s="937"/>
      <c r="X858" s="937"/>
      <c r="Y858" s="937"/>
      <c r="Z858" s="937"/>
    </row>
    <row r="859" spans="1:26" ht="15.75" customHeight="1">
      <c r="A859" s="937"/>
      <c r="B859" s="937"/>
      <c r="C859" s="937"/>
      <c r="D859" s="937"/>
      <c r="E859" s="937"/>
      <c r="F859" s="937"/>
      <c r="G859" s="937"/>
      <c r="H859" s="937"/>
      <c r="I859" s="937"/>
      <c r="J859" s="937"/>
      <c r="K859" s="937"/>
      <c r="L859" s="937"/>
      <c r="M859" s="937"/>
      <c r="N859" s="937"/>
      <c r="O859" s="937"/>
      <c r="P859" s="937"/>
      <c r="Q859" s="937"/>
      <c r="R859" s="937"/>
      <c r="S859" s="937"/>
      <c r="T859" s="937"/>
      <c r="U859" s="937"/>
      <c r="V859" s="937"/>
      <c r="W859" s="937"/>
      <c r="X859" s="937"/>
      <c r="Y859" s="937"/>
      <c r="Z859" s="937"/>
    </row>
    <row r="860" spans="1:26" ht="15.75" customHeight="1">
      <c r="A860" s="937"/>
      <c r="B860" s="937"/>
      <c r="C860" s="937"/>
      <c r="D860" s="937"/>
      <c r="E860" s="937"/>
      <c r="F860" s="937"/>
      <c r="G860" s="937"/>
      <c r="H860" s="937"/>
      <c r="I860" s="937"/>
      <c r="J860" s="937"/>
      <c r="K860" s="937"/>
      <c r="L860" s="937"/>
      <c r="M860" s="937"/>
      <c r="N860" s="937"/>
      <c r="O860" s="937"/>
      <c r="P860" s="937"/>
      <c r="Q860" s="937"/>
      <c r="R860" s="937"/>
      <c r="S860" s="937"/>
      <c r="T860" s="937"/>
      <c r="U860" s="937"/>
      <c r="V860" s="937"/>
      <c r="W860" s="937"/>
      <c r="X860" s="937"/>
      <c r="Y860" s="937"/>
      <c r="Z860" s="937"/>
    </row>
    <row r="861" spans="1:26" ht="15.75" customHeight="1">
      <c r="A861" s="937"/>
      <c r="B861" s="937"/>
      <c r="C861" s="937"/>
      <c r="D861" s="937"/>
      <c r="E861" s="937"/>
      <c r="F861" s="937"/>
      <c r="G861" s="937"/>
      <c r="H861" s="937"/>
      <c r="I861" s="937"/>
      <c r="J861" s="937"/>
      <c r="K861" s="937"/>
      <c r="L861" s="937"/>
      <c r="M861" s="937"/>
      <c r="N861" s="937"/>
      <c r="O861" s="937"/>
      <c r="P861" s="937"/>
      <c r="Q861" s="937"/>
      <c r="R861" s="937"/>
      <c r="S861" s="937"/>
      <c r="T861" s="937"/>
      <c r="U861" s="937"/>
      <c r="V861" s="937"/>
      <c r="W861" s="937"/>
      <c r="X861" s="937"/>
      <c r="Y861" s="937"/>
      <c r="Z861" s="937"/>
    </row>
    <row r="862" spans="1:26" ht="15.75" customHeight="1">
      <c r="A862" s="937"/>
      <c r="B862" s="937"/>
      <c r="C862" s="937"/>
      <c r="D862" s="937"/>
      <c r="E862" s="937"/>
      <c r="F862" s="937"/>
      <c r="G862" s="937"/>
      <c r="H862" s="937"/>
      <c r="I862" s="937"/>
      <c r="J862" s="937"/>
      <c r="K862" s="937"/>
      <c r="L862" s="937"/>
      <c r="M862" s="937"/>
      <c r="N862" s="937"/>
      <c r="O862" s="937"/>
      <c r="P862" s="937"/>
      <c r="Q862" s="937"/>
      <c r="R862" s="937"/>
      <c r="S862" s="937"/>
      <c r="T862" s="937"/>
      <c r="U862" s="937"/>
      <c r="V862" s="937"/>
      <c r="W862" s="937"/>
      <c r="X862" s="937"/>
      <c r="Y862" s="937"/>
      <c r="Z862" s="937"/>
    </row>
    <row r="863" spans="1:26" ht="15.75" customHeight="1">
      <c r="A863" s="937"/>
      <c r="B863" s="937"/>
      <c r="C863" s="937"/>
      <c r="D863" s="937"/>
      <c r="E863" s="937"/>
      <c r="F863" s="937"/>
      <c r="G863" s="937"/>
      <c r="H863" s="937"/>
      <c r="I863" s="937"/>
      <c r="J863" s="937"/>
      <c r="K863" s="937"/>
      <c r="L863" s="937"/>
      <c r="M863" s="937"/>
      <c r="N863" s="937"/>
      <c r="O863" s="937"/>
      <c r="P863" s="937"/>
      <c r="Q863" s="937"/>
      <c r="R863" s="937"/>
      <c r="S863" s="937"/>
      <c r="T863" s="937"/>
      <c r="U863" s="937"/>
      <c r="V863" s="937"/>
      <c r="W863" s="937"/>
      <c r="X863" s="937"/>
      <c r="Y863" s="937"/>
      <c r="Z863" s="937"/>
    </row>
    <row r="864" spans="1:26" ht="15.75" customHeight="1">
      <c r="A864" s="937"/>
      <c r="B864" s="937"/>
      <c r="C864" s="937"/>
      <c r="D864" s="937"/>
      <c r="E864" s="937"/>
      <c r="F864" s="937"/>
      <c r="G864" s="937"/>
      <c r="H864" s="937"/>
      <c r="I864" s="937"/>
      <c r="J864" s="937"/>
      <c r="K864" s="937"/>
      <c r="L864" s="937"/>
      <c r="M864" s="937"/>
      <c r="N864" s="937"/>
      <c r="O864" s="937"/>
      <c r="P864" s="937"/>
      <c r="Q864" s="937"/>
      <c r="R864" s="937"/>
      <c r="S864" s="937"/>
      <c r="T864" s="937"/>
      <c r="U864" s="937"/>
      <c r="V864" s="937"/>
      <c r="W864" s="937"/>
      <c r="X864" s="937"/>
      <c r="Y864" s="937"/>
      <c r="Z864" s="937"/>
    </row>
    <row r="865" spans="1:26" ht="15.75" customHeight="1">
      <c r="A865" s="937"/>
      <c r="B865" s="937"/>
      <c r="C865" s="937"/>
      <c r="D865" s="937"/>
      <c r="E865" s="937"/>
      <c r="F865" s="937"/>
      <c r="G865" s="937"/>
      <c r="H865" s="937"/>
      <c r="I865" s="937"/>
      <c r="J865" s="937"/>
      <c r="K865" s="937"/>
      <c r="L865" s="937"/>
      <c r="M865" s="937"/>
      <c r="N865" s="937"/>
      <c r="O865" s="937"/>
      <c r="P865" s="937"/>
      <c r="Q865" s="937"/>
      <c r="R865" s="937"/>
      <c r="S865" s="937"/>
      <c r="T865" s="937"/>
      <c r="U865" s="937"/>
      <c r="V865" s="937"/>
      <c r="W865" s="937"/>
      <c r="X865" s="937"/>
      <c r="Y865" s="937"/>
      <c r="Z865" s="937"/>
    </row>
    <row r="866" spans="1:26" ht="15.75" customHeight="1">
      <c r="A866" s="937"/>
      <c r="B866" s="937"/>
      <c r="C866" s="937"/>
      <c r="D866" s="937"/>
      <c r="E866" s="937"/>
      <c r="F866" s="937"/>
      <c r="G866" s="937"/>
      <c r="H866" s="937"/>
      <c r="I866" s="937"/>
      <c r="J866" s="937"/>
      <c r="K866" s="937"/>
      <c r="L866" s="937"/>
      <c r="M866" s="937"/>
      <c r="N866" s="937"/>
      <c r="O866" s="937"/>
      <c r="P866" s="937"/>
      <c r="Q866" s="937"/>
      <c r="R866" s="937"/>
      <c r="S866" s="937"/>
      <c r="T866" s="937"/>
      <c r="U866" s="937"/>
      <c r="V866" s="937"/>
      <c r="W866" s="937"/>
      <c r="X866" s="937"/>
      <c r="Y866" s="937"/>
      <c r="Z866" s="937"/>
    </row>
    <row r="867" spans="1:26" ht="15.75" customHeight="1">
      <c r="A867" s="937"/>
      <c r="B867" s="937"/>
      <c r="C867" s="937"/>
      <c r="D867" s="937"/>
      <c r="E867" s="937"/>
      <c r="F867" s="937"/>
      <c r="G867" s="937"/>
      <c r="H867" s="937"/>
      <c r="I867" s="937"/>
      <c r="J867" s="937"/>
      <c r="K867" s="937"/>
      <c r="L867" s="937"/>
      <c r="M867" s="937"/>
      <c r="N867" s="937"/>
      <c r="O867" s="937"/>
      <c r="P867" s="937"/>
      <c r="Q867" s="937"/>
      <c r="R867" s="937"/>
      <c r="S867" s="937"/>
      <c r="T867" s="937"/>
      <c r="U867" s="937"/>
      <c r="V867" s="937"/>
      <c r="W867" s="937"/>
      <c r="X867" s="937"/>
      <c r="Y867" s="937"/>
      <c r="Z867" s="937"/>
    </row>
    <row r="868" spans="1:26" ht="15.75" customHeight="1">
      <c r="A868" s="937"/>
      <c r="B868" s="937"/>
      <c r="C868" s="937"/>
      <c r="D868" s="937"/>
      <c r="E868" s="937"/>
      <c r="F868" s="937"/>
      <c r="G868" s="937"/>
      <c r="H868" s="937"/>
      <c r="I868" s="937"/>
      <c r="J868" s="937"/>
      <c r="K868" s="937"/>
      <c r="L868" s="937"/>
      <c r="M868" s="937"/>
      <c r="N868" s="937"/>
      <c r="O868" s="937"/>
      <c r="P868" s="937"/>
      <c r="Q868" s="937"/>
      <c r="R868" s="937"/>
      <c r="S868" s="937"/>
      <c r="T868" s="937"/>
      <c r="U868" s="937"/>
      <c r="V868" s="937"/>
      <c r="W868" s="937"/>
      <c r="X868" s="937"/>
      <c r="Y868" s="937"/>
      <c r="Z868" s="937"/>
    </row>
    <row r="869" spans="1:26" ht="15.75" customHeight="1">
      <c r="A869" s="937"/>
      <c r="B869" s="937"/>
      <c r="C869" s="937"/>
      <c r="D869" s="937"/>
      <c r="E869" s="937"/>
      <c r="F869" s="937"/>
      <c r="G869" s="937"/>
      <c r="H869" s="937"/>
      <c r="I869" s="937"/>
      <c r="J869" s="937"/>
      <c r="K869" s="937"/>
      <c r="L869" s="937"/>
      <c r="M869" s="937"/>
      <c r="N869" s="937"/>
      <c r="O869" s="937"/>
      <c r="P869" s="937"/>
      <c r="Q869" s="937"/>
      <c r="R869" s="937"/>
      <c r="S869" s="937"/>
      <c r="T869" s="937"/>
      <c r="U869" s="937"/>
      <c r="V869" s="937"/>
      <c r="W869" s="937"/>
      <c r="X869" s="937"/>
      <c r="Y869" s="937"/>
      <c r="Z869" s="937"/>
    </row>
    <row r="870" spans="1:26" ht="15.75" customHeight="1">
      <c r="A870" s="937"/>
      <c r="B870" s="937"/>
      <c r="C870" s="937"/>
      <c r="D870" s="937"/>
      <c r="E870" s="937"/>
      <c r="F870" s="937"/>
      <c r="G870" s="937"/>
      <c r="H870" s="937"/>
      <c r="I870" s="937"/>
      <c r="J870" s="937"/>
      <c r="K870" s="937"/>
      <c r="L870" s="937"/>
      <c r="M870" s="937"/>
      <c r="N870" s="937"/>
      <c r="O870" s="937"/>
      <c r="P870" s="937"/>
      <c r="Q870" s="937"/>
      <c r="R870" s="937"/>
      <c r="S870" s="937"/>
      <c r="T870" s="937"/>
      <c r="U870" s="937"/>
      <c r="V870" s="937"/>
      <c r="W870" s="937"/>
      <c r="X870" s="937"/>
      <c r="Y870" s="937"/>
      <c r="Z870" s="937"/>
    </row>
    <row r="871" spans="1:26" ht="15.75" customHeight="1">
      <c r="A871" s="937"/>
      <c r="B871" s="937"/>
      <c r="C871" s="937"/>
      <c r="D871" s="937"/>
      <c r="E871" s="937"/>
      <c r="F871" s="937"/>
      <c r="G871" s="937"/>
      <c r="H871" s="937"/>
      <c r="I871" s="937"/>
      <c r="J871" s="937"/>
      <c r="K871" s="937"/>
      <c r="L871" s="937"/>
      <c r="M871" s="937"/>
      <c r="N871" s="937"/>
      <c r="O871" s="937"/>
      <c r="P871" s="937"/>
      <c r="Q871" s="937"/>
      <c r="R871" s="937"/>
      <c r="S871" s="937"/>
      <c r="T871" s="937"/>
      <c r="U871" s="937"/>
      <c r="V871" s="937"/>
      <c r="W871" s="937"/>
      <c r="X871" s="937"/>
      <c r="Y871" s="937"/>
      <c r="Z871" s="937"/>
    </row>
    <row r="872" spans="1:26" ht="15.75" customHeight="1">
      <c r="A872" s="937"/>
      <c r="B872" s="937"/>
      <c r="C872" s="937"/>
      <c r="D872" s="937"/>
      <c r="E872" s="937"/>
      <c r="F872" s="937"/>
      <c r="G872" s="937"/>
      <c r="H872" s="937"/>
      <c r="I872" s="937"/>
      <c r="J872" s="937"/>
      <c r="K872" s="937"/>
      <c r="L872" s="937"/>
      <c r="M872" s="937"/>
      <c r="N872" s="937"/>
      <c r="O872" s="937"/>
      <c r="P872" s="937"/>
      <c r="Q872" s="937"/>
      <c r="R872" s="937"/>
      <c r="S872" s="937"/>
      <c r="T872" s="937"/>
      <c r="U872" s="937"/>
      <c r="V872" s="937"/>
      <c r="W872" s="937"/>
      <c r="X872" s="937"/>
      <c r="Y872" s="937"/>
      <c r="Z872" s="937"/>
    </row>
    <row r="873" spans="1:26" ht="15.75" customHeight="1">
      <c r="A873" s="937"/>
      <c r="B873" s="937"/>
      <c r="C873" s="937"/>
      <c r="D873" s="937"/>
      <c r="E873" s="937"/>
      <c r="F873" s="937"/>
      <c r="G873" s="937"/>
      <c r="H873" s="937"/>
      <c r="I873" s="937"/>
      <c r="J873" s="937"/>
      <c r="K873" s="937"/>
      <c r="L873" s="937"/>
      <c r="M873" s="937"/>
      <c r="N873" s="937"/>
      <c r="O873" s="937"/>
      <c r="P873" s="937"/>
      <c r="Q873" s="937"/>
      <c r="R873" s="937"/>
      <c r="S873" s="937"/>
      <c r="T873" s="937"/>
      <c r="U873" s="937"/>
      <c r="V873" s="937"/>
      <c r="W873" s="937"/>
      <c r="X873" s="937"/>
      <c r="Y873" s="937"/>
      <c r="Z873" s="937"/>
    </row>
    <row r="874" spans="1:26" ht="15.75" customHeight="1">
      <c r="A874" s="937"/>
      <c r="B874" s="937"/>
      <c r="C874" s="937"/>
      <c r="D874" s="937"/>
      <c r="E874" s="937"/>
      <c r="F874" s="937"/>
      <c r="G874" s="937"/>
      <c r="H874" s="937"/>
      <c r="I874" s="937"/>
      <c r="J874" s="937"/>
      <c r="K874" s="937"/>
      <c r="L874" s="937"/>
      <c r="M874" s="937"/>
      <c r="N874" s="937"/>
      <c r="O874" s="937"/>
      <c r="P874" s="937"/>
      <c r="Q874" s="937"/>
      <c r="R874" s="937"/>
      <c r="S874" s="937"/>
      <c r="T874" s="937"/>
      <c r="U874" s="937"/>
      <c r="V874" s="937"/>
      <c r="W874" s="937"/>
      <c r="X874" s="937"/>
      <c r="Y874" s="937"/>
      <c r="Z874" s="937"/>
    </row>
    <row r="875" spans="1:26" ht="15.75" customHeight="1">
      <c r="A875" s="937"/>
      <c r="B875" s="937"/>
      <c r="C875" s="937"/>
      <c r="D875" s="937"/>
      <c r="E875" s="937"/>
      <c r="F875" s="937"/>
      <c r="G875" s="937"/>
      <c r="H875" s="937"/>
      <c r="I875" s="937"/>
      <c r="J875" s="937"/>
      <c r="K875" s="937"/>
      <c r="L875" s="937"/>
      <c r="M875" s="937"/>
      <c r="N875" s="937"/>
      <c r="O875" s="937"/>
      <c r="P875" s="937"/>
      <c r="Q875" s="937"/>
      <c r="R875" s="937"/>
      <c r="S875" s="937"/>
      <c r="T875" s="937"/>
      <c r="U875" s="937"/>
      <c r="V875" s="937"/>
      <c r="W875" s="937"/>
      <c r="X875" s="937"/>
      <c r="Y875" s="937"/>
      <c r="Z875" s="937"/>
    </row>
    <row r="876" spans="1:26" ht="15.75" customHeight="1">
      <c r="A876" s="937"/>
      <c r="B876" s="937"/>
      <c r="C876" s="937"/>
      <c r="D876" s="937"/>
      <c r="E876" s="937"/>
      <c r="F876" s="937"/>
      <c r="G876" s="937"/>
      <c r="H876" s="937"/>
      <c r="I876" s="937"/>
      <c r="J876" s="937"/>
      <c r="K876" s="937"/>
      <c r="L876" s="937"/>
      <c r="M876" s="937"/>
      <c r="N876" s="937"/>
      <c r="O876" s="937"/>
      <c r="P876" s="937"/>
      <c r="Q876" s="937"/>
      <c r="R876" s="937"/>
      <c r="S876" s="937"/>
      <c r="T876" s="937"/>
      <c r="U876" s="937"/>
      <c r="V876" s="937"/>
      <c r="W876" s="937"/>
      <c r="X876" s="937"/>
      <c r="Y876" s="937"/>
      <c r="Z876" s="937"/>
    </row>
    <row r="877" spans="1:26" ht="15.75" customHeight="1">
      <c r="A877" s="937"/>
      <c r="B877" s="937"/>
      <c r="C877" s="937"/>
      <c r="D877" s="937"/>
      <c r="E877" s="937"/>
      <c r="F877" s="937"/>
      <c r="G877" s="937"/>
      <c r="H877" s="937"/>
      <c r="I877" s="937"/>
      <c r="J877" s="937"/>
      <c r="K877" s="937"/>
      <c r="L877" s="937"/>
      <c r="M877" s="937"/>
      <c r="N877" s="937"/>
      <c r="O877" s="937"/>
      <c r="P877" s="937"/>
      <c r="Q877" s="937"/>
      <c r="R877" s="937"/>
      <c r="S877" s="937"/>
      <c r="T877" s="937"/>
      <c r="U877" s="937"/>
      <c r="V877" s="937"/>
      <c r="W877" s="937"/>
      <c r="X877" s="937"/>
      <c r="Y877" s="937"/>
      <c r="Z877" s="937"/>
    </row>
    <row r="878" spans="1:26" ht="15.75" customHeight="1">
      <c r="A878" s="937"/>
      <c r="B878" s="937"/>
      <c r="C878" s="937"/>
      <c r="D878" s="937"/>
      <c r="E878" s="937"/>
      <c r="F878" s="937"/>
      <c r="G878" s="937"/>
      <c r="H878" s="937"/>
      <c r="I878" s="937"/>
      <c r="J878" s="937"/>
      <c r="K878" s="937"/>
      <c r="L878" s="937"/>
      <c r="M878" s="937"/>
      <c r="N878" s="937"/>
      <c r="O878" s="937"/>
      <c r="P878" s="937"/>
      <c r="Q878" s="937"/>
      <c r="R878" s="937"/>
      <c r="S878" s="937"/>
      <c r="T878" s="937"/>
      <c r="U878" s="937"/>
      <c r="V878" s="937"/>
      <c r="W878" s="937"/>
      <c r="X878" s="937"/>
      <c r="Y878" s="937"/>
      <c r="Z878" s="937"/>
    </row>
    <row r="879" spans="1:26" ht="15.75" customHeight="1">
      <c r="A879" s="937"/>
      <c r="B879" s="937"/>
      <c r="C879" s="937"/>
      <c r="D879" s="937"/>
      <c r="E879" s="937"/>
      <c r="F879" s="937"/>
      <c r="G879" s="937"/>
      <c r="H879" s="937"/>
      <c r="I879" s="937"/>
      <c r="J879" s="937"/>
      <c r="K879" s="937"/>
      <c r="L879" s="937"/>
      <c r="M879" s="937"/>
      <c r="N879" s="937"/>
      <c r="O879" s="937"/>
      <c r="P879" s="937"/>
      <c r="Q879" s="937"/>
      <c r="R879" s="937"/>
      <c r="S879" s="937"/>
      <c r="T879" s="937"/>
      <c r="U879" s="937"/>
      <c r="V879" s="937"/>
      <c r="W879" s="937"/>
      <c r="X879" s="937"/>
      <c r="Y879" s="937"/>
      <c r="Z879" s="937"/>
    </row>
    <row r="880" spans="1:26" ht="15.75" customHeight="1">
      <c r="A880" s="937"/>
      <c r="B880" s="937"/>
      <c r="C880" s="937"/>
      <c r="D880" s="937"/>
      <c r="E880" s="937"/>
      <c r="F880" s="937"/>
      <c r="G880" s="937"/>
      <c r="H880" s="937"/>
      <c r="I880" s="937"/>
      <c r="J880" s="937"/>
      <c r="K880" s="937"/>
      <c r="L880" s="937"/>
      <c r="M880" s="937"/>
      <c r="N880" s="937"/>
      <c r="O880" s="937"/>
      <c r="P880" s="937"/>
      <c r="Q880" s="937"/>
      <c r="R880" s="937"/>
      <c r="S880" s="937"/>
      <c r="T880" s="937"/>
      <c r="U880" s="937"/>
      <c r="V880" s="937"/>
      <c r="W880" s="937"/>
      <c r="X880" s="937"/>
      <c r="Y880" s="937"/>
      <c r="Z880" s="937"/>
    </row>
    <row r="881" spans="1:26" ht="15.75" customHeight="1">
      <c r="A881" s="937"/>
      <c r="B881" s="937"/>
      <c r="C881" s="937"/>
      <c r="D881" s="937"/>
      <c r="E881" s="937"/>
      <c r="F881" s="937"/>
      <c r="G881" s="937"/>
      <c r="H881" s="937"/>
      <c r="I881" s="937"/>
      <c r="J881" s="937"/>
      <c r="K881" s="937"/>
      <c r="L881" s="937"/>
      <c r="M881" s="937"/>
      <c r="N881" s="937"/>
      <c r="O881" s="937"/>
      <c r="P881" s="937"/>
      <c r="Q881" s="937"/>
      <c r="R881" s="937"/>
      <c r="S881" s="937"/>
      <c r="T881" s="937"/>
      <c r="U881" s="937"/>
      <c r="V881" s="937"/>
      <c r="W881" s="937"/>
      <c r="X881" s="937"/>
      <c r="Y881" s="937"/>
      <c r="Z881" s="937"/>
    </row>
    <row r="882" spans="1:26" ht="15.75" customHeight="1">
      <c r="A882" s="937"/>
      <c r="B882" s="937"/>
      <c r="C882" s="937"/>
      <c r="D882" s="937"/>
      <c r="E882" s="937"/>
      <c r="F882" s="937"/>
      <c r="G882" s="937"/>
      <c r="H882" s="937"/>
      <c r="I882" s="937"/>
      <c r="J882" s="937"/>
      <c r="K882" s="937"/>
      <c r="L882" s="937"/>
      <c r="M882" s="937"/>
      <c r="N882" s="937"/>
      <c r="O882" s="937"/>
      <c r="P882" s="937"/>
      <c r="Q882" s="937"/>
      <c r="R882" s="937"/>
      <c r="S882" s="937"/>
      <c r="T882" s="937"/>
      <c r="U882" s="937"/>
      <c r="V882" s="937"/>
      <c r="W882" s="937"/>
      <c r="X882" s="937"/>
      <c r="Y882" s="937"/>
      <c r="Z882" s="937"/>
    </row>
    <row r="883" spans="1:26" ht="15.75" customHeight="1">
      <c r="A883" s="937"/>
      <c r="B883" s="937"/>
      <c r="C883" s="937"/>
      <c r="D883" s="937"/>
      <c r="E883" s="937"/>
      <c r="F883" s="937"/>
      <c r="G883" s="937"/>
      <c r="H883" s="937"/>
      <c r="I883" s="937"/>
      <c r="J883" s="937"/>
      <c r="K883" s="937"/>
      <c r="L883" s="937"/>
      <c r="M883" s="937"/>
      <c r="N883" s="937"/>
      <c r="O883" s="937"/>
      <c r="P883" s="937"/>
      <c r="Q883" s="937"/>
      <c r="R883" s="937"/>
      <c r="S883" s="937"/>
      <c r="T883" s="937"/>
      <c r="U883" s="937"/>
      <c r="V883" s="937"/>
      <c r="W883" s="937"/>
      <c r="X883" s="937"/>
      <c r="Y883" s="937"/>
      <c r="Z883" s="937"/>
    </row>
    <row r="884" spans="1:26" ht="15.75" customHeight="1">
      <c r="A884" s="937"/>
      <c r="B884" s="937"/>
      <c r="C884" s="937"/>
      <c r="D884" s="937"/>
      <c r="E884" s="937"/>
      <c r="F884" s="937"/>
      <c r="G884" s="937"/>
      <c r="H884" s="937"/>
      <c r="I884" s="937"/>
      <c r="J884" s="937"/>
      <c r="K884" s="937"/>
      <c r="L884" s="937"/>
      <c r="M884" s="937"/>
      <c r="N884" s="937"/>
      <c r="O884" s="937"/>
      <c r="P884" s="937"/>
      <c r="Q884" s="937"/>
      <c r="R884" s="937"/>
      <c r="S884" s="937"/>
      <c r="T884" s="937"/>
      <c r="U884" s="937"/>
      <c r="V884" s="937"/>
      <c r="W884" s="937"/>
      <c r="X884" s="937"/>
      <c r="Y884" s="937"/>
      <c r="Z884" s="937"/>
    </row>
    <row r="885" spans="1:26" ht="15.75" customHeight="1">
      <c r="A885" s="937"/>
      <c r="B885" s="937"/>
      <c r="C885" s="937"/>
      <c r="D885" s="937"/>
      <c r="E885" s="937"/>
      <c r="F885" s="937"/>
      <c r="G885" s="937"/>
      <c r="H885" s="937"/>
      <c r="I885" s="937"/>
      <c r="J885" s="937"/>
      <c r="K885" s="937"/>
      <c r="L885" s="937"/>
      <c r="M885" s="937"/>
      <c r="N885" s="937"/>
      <c r="O885" s="937"/>
      <c r="P885" s="937"/>
      <c r="Q885" s="937"/>
      <c r="R885" s="937"/>
      <c r="S885" s="937"/>
      <c r="T885" s="937"/>
      <c r="U885" s="937"/>
      <c r="V885" s="937"/>
      <c r="W885" s="937"/>
      <c r="X885" s="937"/>
      <c r="Y885" s="937"/>
      <c r="Z885" s="937"/>
    </row>
    <row r="886" spans="1:26" ht="15.75" customHeight="1">
      <c r="A886" s="937"/>
      <c r="B886" s="937"/>
      <c r="C886" s="937"/>
      <c r="D886" s="937"/>
      <c r="E886" s="937"/>
      <c r="F886" s="937"/>
      <c r="G886" s="937"/>
      <c r="H886" s="937"/>
      <c r="I886" s="937"/>
      <c r="J886" s="937"/>
      <c r="K886" s="937"/>
      <c r="L886" s="937"/>
      <c r="M886" s="937"/>
      <c r="N886" s="937"/>
      <c r="O886" s="937"/>
      <c r="P886" s="937"/>
      <c r="Q886" s="937"/>
      <c r="R886" s="937"/>
      <c r="S886" s="937"/>
      <c r="T886" s="937"/>
      <c r="U886" s="937"/>
      <c r="V886" s="937"/>
      <c r="W886" s="937"/>
      <c r="X886" s="937"/>
      <c r="Y886" s="937"/>
      <c r="Z886" s="937"/>
    </row>
    <row r="887" spans="1:26" ht="15.75" customHeight="1">
      <c r="A887" s="937"/>
      <c r="B887" s="937"/>
      <c r="C887" s="937"/>
      <c r="D887" s="937"/>
      <c r="E887" s="937"/>
      <c r="F887" s="937"/>
      <c r="G887" s="937"/>
      <c r="H887" s="937"/>
      <c r="I887" s="937"/>
      <c r="J887" s="937"/>
      <c r="K887" s="937"/>
      <c r="L887" s="937"/>
      <c r="M887" s="937"/>
      <c r="N887" s="937"/>
      <c r="O887" s="937"/>
      <c r="P887" s="937"/>
      <c r="Q887" s="937"/>
      <c r="R887" s="937"/>
      <c r="S887" s="937"/>
      <c r="T887" s="937"/>
      <c r="U887" s="937"/>
      <c r="V887" s="937"/>
      <c r="W887" s="937"/>
      <c r="X887" s="937"/>
      <c r="Y887" s="937"/>
      <c r="Z887" s="937"/>
    </row>
    <row r="888" spans="1:26" ht="15.75" customHeight="1">
      <c r="A888" s="937"/>
      <c r="B888" s="937"/>
      <c r="C888" s="937"/>
      <c r="D888" s="937"/>
      <c r="E888" s="937"/>
      <c r="F888" s="937"/>
      <c r="G888" s="937"/>
      <c r="H888" s="937"/>
      <c r="I888" s="937"/>
      <c r="J888" s="937"/>
      <c r="K888" s="937"/>
      <c r="L888" s="937"/>
      <c r="M888" s="937"/>
      <c r="N888" s="937"/>
      <c r="O888" s="937"/>
      <c r="P888" s="937"/>
      <c r="Q888" s="937"/>
      <c r="R888" s="937"/>
      <c r="S888" s="937"/>
      <c r="T888" s="937"/>
      <c r="U888" s="937"/>
      <c r="V888" s="937"/>
      <c r="W888" s="937"/>
      <c r="X888" s="937"/>
      <c r="Y888" s="937"/>
      <c r="Z888" s="937"/>
    </row>
    <row r="889" spans="1:26" ht="15.75" customHeight="1">
      <c r="A889" s="937"/>
      <c r="B889" s="937"/>
      <c r="C889" s="937"/>
      <c r="D889" s="937"/>
      <c r="E889" s="937"/>
      <c r="F889" s="937"/>
      <c r="G889" s="937"/>
      <c r="H889" s="937"/>
      <c r="I889" s="937"/>
      <c r="J889" s="937"/>
      <c r="K889" s="937"/>
      <c r="L889" s="937"/>
      <c r="M889" s="937"/>
      <c r="N889" s="937"/>
      <c r="O889" s="937"/>
      <c r="P889" s="937"/>
      <c r="Q889" s="937"/>
      <c r="R889" s="937"/>
      <c r="S889" s="937"/>
      <c r="T889" s="937"/>
      <c r="U889" s="937"/>
      <c r="V889" s="937"/>
      <c r="W889" s="937"/>
      <c r="X889" s="937"/>
      <c r="Y889" s="937"/>
      <c r="Z889" s="937"/>
    </row>
    <row r="890" spans="1:26" ht="15.75" customHeight="1">
      <c r="A890" s="937"/>
      <c r="B890" s="937"/>
      <c r="C890" s="937"/>
      <c r="D890" s="937"/>
      <c r="E890" s="937"/>
      <c r="F890" s="937"/>
      <c r="G890" s="937"/>
      <c r="H890" s="937"/>
      <c r="I890" s="937"/>
      <c r="J890" s="937"/>
      <c r="K890" s="937"/>
      <c r="L890" s="937"/>
      <c r="M890" s="937"/>
      <c r="N890" s="937"/>
      <c r="O890" s="937"/>
      <c r="P890" s="937"/>
      <c r="Q890" s="937"/>
      <c r="R890" s="937"/>
      <c r="S890" s="937"/>
      <c r="T890" s="937"/>
      <c r="U890" s="937"/>
      <c r="V890" s="937"/>
      <c r="W890" s="937"/>
      <c r="X890" s="937"/>
      <c r="Y890" s="937"/>
      <c r="Z890" s="937"/>
    </row>
    <row r="891" spans="1:26" ht="15.75" customHeight="1">
      <c r="A891" s="937"/>
      <c r="B891" s="937"/>
      <c r="C891" s="937"/>
      <c r="D891" s="937"/>
      <c r="E891" s="937"/>
      <c r="F891" s="937"/>
      <c r="G891" s="937"/>
      <c r="H891" s="937"/>
      <c r="I891" s="937"/>
      <c r="J891" s="937"/>
      <c r="K891" s="937"/>
      <c r="L891" s="937"/>
      <c r="M891" s="937"/>
      <c r="N891" s="937"/>
      <c r="O891" s="937"/>
      <c r="P891" s="937"/>
      <c r="Q891" s="937"/>
      <c r="R891" s="937"/>
      <c r="S891" s="937"/>
      <c r="T891" s="937"/>
      <c r="U891" s="937"/>
      <c r="V891" s="937"/>
      <c r="W891" s="937"/>
      <c r="X891" s="937"/>
      <c r="Y891" s="937"/>
      <c r="Z891" s="937"/>
    </row>
    <row r="892" spans="1:26" ht="15.75" customHeight="1">
      <c r="A892" s="937"/>
      <c r="B892" s="937"/>
      <c r="C892" s="937"/>
      <c r="D892" s="937"/>
      <c r="E892" s="937"/>
      <c r="F892" s="937"/>
      <c r="G892" s="937"/>
      <c r="H892" s="937"/>
      <c r="I892" s="937"/>
      <c r="J892" s="937"/>
      <c r="K892" s="937"/>
      <c r="L892" s="937"/>
      <c r="M892" s="937"/>
      <c r="N892" s="937"/>
      <c r="O892" s="937"/>
      <c r="P892" s="937"/>
      <c r="Q892" s="937"/>
      <c r="R892" s="937"/>
      <c r="S892" s="937"/>
      <c r="T892" s="937"/>
      <c r="U892" s="937"/>
      <c r="V892" s="937"/>
      <c r="W892" s="937"/>
      <c r="X892" s="937"/>
      <c r="Y892" s="937"/>
      <c r="Z892" s="937"/>
    </row>
    <row r="893" spans="1:26" ht="15.75" customHeight="1">
      <c r="A893" s="937"/>
      <c r="B893" s="937"/>
      <c r="C893" s="937"/>
      <c r="D893" s="937"/>
      <c r="E893" s="937"/>
      <c r="F893" s="937"/>
      <c r="G893" s="937"/>
      <c r="H893" s="937"/>
      <c r="I893" s="937"/>
      <c r="J893" s="937"/>
      <c r="K893" s="937"/>
      <c r="L893" s="937"/>
      <c r="M893" s="937"/>
      <c r="N893" s="937"/>
      <c r="O893" s="937"/>
      <c r="P893" s="937"/>
      <c r="Q893" s="937"/>
      <c r="R893" s="937"/>
      <c r="S893" s="937"/>
      <c r="T893" s="937"/>
      <c r="U893" s="937"/>
      <c r="V893" s="937"/>
      <c r="W893" s="937"/>
      <c r="X893" s="937"/>
      <c r="Y893" s="937"/>
      <c r="Z893" s="937"/>
    </row>
    <row r="894" spans="1:26" ht="15.75" customHeight="1">
      <c r="A894" s="937"/>
      <c r="B894" s="937"/>
      <c r="C894" s="937"/>
      <c r="D894" s="937"/>
      <c r="E894" s="937"/>
      <c r="F894" s="937"/>
      <c r="G894" s="937"/>
      <c r="H894" s="937"/>
      <c r="I894" s="937"/>
      <c r="J894" s="937"/>
      <c r="K894" s="937"/>
      <c r="L894" s="937"/>
      <c r="M894" s="937"/>
      <c r="N894" s="937"/>
      <c r="O894" s="937"/>
      <c r="P894" s="937"/>
      <c r="Q894" s="937"/>
      <c r="R894" s="937"/>
      <c r="S894" s="937"/>
      <c r="T894" s="937"/>
      <c r="U894" s="937"/>
      <c r="V894" s="937"/>
      <c r="W894" s="937"/>
      <c r="X894" s="937"/>
      <c r="Y894" s="937"/>
      <c r="Z894" s="937"/>
    </row>
    <row r="895" spans="1:26" ht="15.75" customHeight="1">
      <c r="A895" s="937"/>
      <c r="B895" s="937"/>
      <c r="C895" s="937"/>
      <c r="D895" s="937"/>
      <c r="E895" s="937"/>
      <c r="F895" s="937"/>
      <c r="G895" s="937"/>
      <c r="H895" s="937"/>
      <c r="I895" s="937"/>
      <c r="J895" s="937"/>
      <c r="K895" s="937"/>
      <c r="L895" s="937"/>
      <c r="M895" s="937"/>
      <c r="N895" s="937"/>
      <c r="O895" s="937"/>
      <c r="P895" s="937"/>
      <c r="Q895" s="937"/>
      <c r="R895" s="937"/>
      <c r="S895" s="937"/>
      <c r="T895" s="937"/>
      <c r="U895" s="937"/>
      <c r="V895" s="937"/>
      <c r="W895" s="937"/>
      <c r="X895" s="937"/>
      <c r="Y895" s="937"/>
      <c r="Z895" s="937"/>
    </row>
    <row r="896" spans="1:26" ht="15.75" customHeight="1">
      <c r="A896" s="937"/>
      <c r="B896" s="937"/>
      <c r="C896" s="937"/>
      <c r="D896" s="937"/>
      <c r="E896" s="937"/>
      <c r="F896" s="937"/>
      <c r="G896" s="937"/>
      <c r="H896" s="937"/>
      <c r="I896" s="937"/>
      <c r="J896" s="937"/>
      <c r="K896" s="937"/>
      <c r="L896" s="937"/>
      <c r="M896" s="937"/>
      <c r="N896" s="937"/>
      <c r="O896" s="937"/>
      <c r="P896" s="937"/>
      <c r="Q896" s="937"/>
      <c r="R896" s="937"/>
      <c r="S896" s="937"/>
      <c r="T896" s="937"/>
      <c r="U896" s="937"/>
      <c r="V896" s="937"/>
      <c r="W896" s="937"/>
      <c r="X896" s="937"/>
      <c r="Y896" s="937"/>
      <c r="Z896" s="937"/>
    </row>
    <row r="897" spans="1:26" ht="15.75" customHeight="1">
      <c r="A897" s="937"/>
      <c r="B897" s="937"/>
      <c r="C897" s="937"/>
      <c r="D897" s="937"/>
      <c r="E897" s="937"/>
      <c r="F897" s="937"/>
      <c r="G897" s="937"/>
      <c r="H897" s="937"/>
      <c r="I897" s="937"/>
      <c r="J897" s="937"/>
      <c r="K897" s="937"/>
      <c r="L897" s="937"/>
      <c r="M897" s="937"/>
      <c r="N897" s="937"/>
      <c r="O897" s="937"/>
      <c r="P897" s="937"/>
      <c r="Q897" s="937"/>
      <c r="R897" s="937"/>
      <c r="S897" s="937"/>
      <c r="T897" s="937"/>
      <c r="U897" s="937"/>
      <c r="V897" s="937"/>
      <c r="W897" s="937"/>
      <c r="X897" s="937"/>
      <c r="Y897" s="937"/>
      <c r="Z897" s="937"/>
    </row>
    <row r="898" spans="1:26" ht="15.75" customHeight="1">
      <c r="A898" s="937"/>
      <c r="B898" s="937"/>
      <c r="C898" s="937"/>
      <c r="D898" s="937"/>
      <c r="E898" s="937"/>
      <c r="F898" s="937"/>
      <c r="G898" s="937"/>
      <c r="H898" s="937"/>
      <c r="I898" s="937"/>
      <c r="J898" s="937"/>
      <c r="K898" s="937"/>
      <c r="L898" s="937"/>
      <c r="M898" s="937"/>
      <c r="N898" s="937"/>
      <c r="O898" s="937"/>
      <c r="P898" s="937"/>
      <c r="Q898" s="937"/>
      <c r="R898" s="937"/>
      <c r="S898" s="937"/>
      <c r="T898" s="937"/>
      <c r="U898" s="937"/>
      <c r="V898" s="937"/>
      <c r="W898" s="937"/>
      <c r="X898" s="937"/>
      <c r="Y898" s="937"/>
      <c r="Z898" s="937"/>
    </row>
    <row r="899" spans="1:26" ht="15.75" customHeight="1">
      <c r="A899" s="937"/>
      <c r="B899" s="937"/>
      <c r="C899" s="937"/>
      <c r="D899" s="937"/>
      <c r="E899" s="937"/>
      <c r="F899" s="937"/>
      <c r="G899" s="937"/>
      <c r="H899" s="937"/>
      <c r="I899" s="937"/>
      <c r="J899" s="937"/>
      <c r="K899" s="937"/>
      <c r="L899" s="937"/>
      <c r="M899" s="937"/>
      <c r="N899" s="937"/>
      <c r="O899" s="937"/>
      <c r="P899" s="937"/>
      <c r="Q899" s="937"/>
      <c r="R899" s="937"/>
      <c r="S899" s="937"/>
      <c r="T899" s="937"/>
      <c r="U899" s="937"/>
      <c r="V899" s="937"/>
      <c r="W899" s="937"/>
      <c r="X899" s="937"/>
      <c r="Y899" s="937"/>
      <c r="Z899" s="937"/>
    </row>
    <row r="900" spans="1:26" ht="15.75" customHeight="1">
      <c r="A900" s="937"/>
      <c r="B900" s="937"/>
      <c r="C900" s="937"/>
      <c r="D900" s="937"/>
      <c r="E900" s="937"/>
      <c r="F900" s="937"/>
      <c r="G900" s="937"/>
      <c r="H900" s="937"/>
      <c r="I900" s="937"/>
      <c r="J900" s="937"/>
      <c r="K900" s="937"/>
      <c r="L900" s="937"/>
      <c r="M900" s="937"/>
      <c r="N900" s="937"/>
      <c r="O900" s="937"/>
      <c r="P900" s="937"/>
      <c r="Q900" s="937"/>
      <c r="R900" s="937"/>
      <c r="S900" s="937"/>
      <c r="T900" s="937"/>
      <c r="U900" s="937"/>
      <c r="V900" s="937"/>
      <c r="W900" s="937"/>
      <c r="X900" s="937"/>
      <c r="Y900" s="937"/>
      <c r="Z900" s="937"/>
    </row>
    <row r="901" spans="1:26" ht="15.75" customHeight="1">
      <c r="A901" s="937"/>
      <c r="B901" s="937"/>
      <c r="C901" s="937"/>
      <c r="D901" s="937"/>
      <c r="E901" s="937"/>
      <c r="F901" s="937"/>
      <c r="G901" s="937"/>
      <c r="H901" s="937"/>
      <c r="I901" s="937"/>
      <c r="J901" s="937"/>
      <c r="K901" s="937"/>
      <c r="L901" s="937"/>
      <c r="M901" s="937"/>
      <c r="N901" s="937"/>
      <c r="O901" s="937"/>
      <c r="P901" s="937"/>
      <c r="Q901" s="937"/>
      <c r="R901" s="937"/>
      <c r="S901" s="937"/>
      <c r="T901" s="937"/>
      <c r="U901" s="937"/>
      <c r="V901" s="937"/>
      <c r="W901" s="937"/>
      <c r="X901" s="937"/>
      <c r="Y901" s="937"/>
      <c r="Z901" s="937"/>
    </row>
    <row r="902" spans="1:26" ht="15.75" customHeight="1">
      <c r="A902" s="937"/>
      <c r="B902" s="937"/>
      <c r="C902" s="937"/>
      <c r="D902" s="937"/>
      <c r="E902" s="937"/>
      <c r="F902" s="937"/>
      <c r="G902" s="937"/>
      <c r="H902" s="937"/>
      <c r="I902" s="937"/>
      <c r="J902" s="937"/>
      <c r="K902" s="937"/>
      <c r="L902" s="937"/>
      <c r="M902" s="937"/>
      <c r="N902" s="937"/>
      <c r="O902" s="937"/>
      <c r="P902" s="937"/>
      <c r="Q902" s="937"/>
      <c r="R902" s="937"/>
      <c r="S902" s="937"/>
      <c r="T902" s="937"/>
      <c r="U902" s="937"/>
      <c r="V902" s="937"/>
      <c r="W902" s="937"/>
      <c r="X902" s="937"/>
      <c r="Y902" s="937"/>
      <c r="Z902" s="937"/>
    </row>
    <row r="903" spans="1:26" ht="15.75" customHeight="1">
      <c r="A903" s="937"/>
      <c r="B903" s="937"/>
      <c r="C903" s="937"/>
      <c r="D903" s="937"/>
      <c r="E903" s="937"/>
      <c r="F903" s="937"/>
      <c r="G903" s="937"/>
      <c r="H903" s="937"/>
      <c r="I903" s="937"/>
      <c r="J903" s="937"/>
      <c r="K903" s="937"/>
      <c r="L903" s="937"/>
      <c r="M903" s="937"/>
      <c r="N903" s="937"/>
      <c r="O903" s="937"/>
      <c r="P903" s="937"/>
      <c r="Q903" s="937"/>
      <c r="R903" s="937"/>
      <c r="S903" s="937"/>
      <c r="T903" s="937"/>
      <c r="U903" s="937"/>
      <c r="V903" s="937"/>
      <c r="W903" s="937"/>
      <c r="X903" s="937"/>
      <c r="Y903" s="937"/>
      <c r="Z903" s="937"/>
    </row>
    <row r="904" spans="1:26" ht="15.75" customHeight="1">
      <c r="A904" s="937"/>
      <c r="B904" s="937"/>
      <c r="C904" s="937"/>
      <c r="D904" s="937"/>
      <c r="E904" s="937"/>
      <c r="F904" s="937"/>
      <c r="G904" s="937"/>
      <c r="H904" s="937"/>
      <c r="I904" s="937"/>
      <c r="J904" s="937"/>
      <c r="K904" s="937"/>
      <c r="L904" s="937"/>
      <c r="M904" s="937"/>
      <c r="N904" s="937"/>
      <c r="O904" s="937"/>
      <c r="P904" s="937"/>
      <c r="Q904" s="937"/>
      <c r="R904" s="937"/>
      <c r="S904" s="937"/>
      <c r="T904" s="937"/>
      <c r="U904" s="937"/>
      <c r="V904" s="937"/>
      <c r="W904" s="937"/>
      <c r="X904" s="937"/>
      <c r="Y904" s="937"/>
      <c r="Z904" s="937"/>
    </row>
    <row r="905" spans="1:26" ht="15.75" customHeight="1">
      <c r="A905" s="937"/>
      <c r="B905" s="937"/>
      <c r="C905" s="937"/>
      <c r="D905" s="937"/>
      <c r="E905" s="937"/>
      <c r="F905" s="937"/>
      <c r="G905" s="937"/>
      <c r="H905" s="937"/>
      <c r="I905" s="937"/>
      <c r="J905" s="937"/>
      <c r="K905" s="937"/>
      <c r="L905" s="937"/>
      <c r="M905" s="937"/>
      <c r="N905" s="937"/>
      <c r="O905" s="937"/>
      <c r="P905" s="937"/>
      <c r="Q905" s="937"/>
      <c r="R905" s="937"/>
      <c r="S905" s="937"/>
      <c r="T905" s="937"/>
      <c r="U905" s="937"/>
      <c r="V905" s="937"/>
      <c r="W905" s="937"/>
      <c r="X905" s="937"/>
      <c r="Y905" s="937"/>
      <c r="Z905" s="937"/>
    </row>
    <row r="906" spans="1:26" ht="15.75" customHeight="1">
      <c r="A906" s="937"/>
      <c r="B906" s="937"/>
      <c r="C906" s="937"/>
      <c r="D906" s="937"/>
      <c r="E906" s="937"/>
      <c r="F906" s="937"/>
      <c r="G906" s="937"/>
      <c r="H906" s="937"/>
      <c r="I906" s="937"/>
      <c r="J906" s="937"/>
      <c r="K906" s="937"/>
      <c r="L906" s="937"/>
      <c r="M906" s="937"/>
      <c r="N906" s="937"/>
      <c r="O906" s="937"/>
      <c r="P906" s="937"/>
      <c r="Q906" s="937"/>
      <c r="R906" s="937"/>
      <c r="S906" s="937"/>
      <c r="T906" s="937"/>
      <c r="U906" s="937"/>
      <c r="V906" s="937"/>
      <c r="W906" s="937"/>
      <c r="X906" s="937"/>
      <c r="Y906" s="937"/>
      <c r="Z906" s="937"/>
    </row>
    <row r="907" spans="1:26" ht="15.75" customHeight="1">
      <c r="A907" s="937"/>
      <c r="B907" s="937"/>
      <c r="C907" s="937"/>
      <c r="D907" s="937"/>
      <c r="E907" s="937"/>
      <c r="F907" s="937"/>
      <c r="G907" s="937"/>
      <c r="H907" s="937"/>
      <c r="I907" s="937"/>
      <c r="J907" s="937"/>
      <c r="K907" s="937"/>
      <c r="L907" s="937"/>
      <c r="M907" s="937"/>
      <c r="N907" s="937"/>
      <c r="O907" s="937"/>
      <c r="P907" s="937"/>
      <c r="Q907" s="937"/>
      <c r="R907" s="937"/>
      <c r="S907" s="937"/>
      <c r="T907" s="937"/>
      <c r="U907" s="937"/>
      <c r="V907" s="937"/>
      <c r="W907" s="937"/>
      <c r="X907" s="937"/>
      <c r="Y907" s="937"/>
      <c r="Z907" s="937"/>
    </row>
    <row r="908" spans="1:26" ht="15.75" customHeight="1">
      <c r="A908" s="937"/>
      <c r="B908" s="937"/>
      <c r="C908" s="937"/>
      <c r="D908" s="937"/>
      <c r="E908" s="937"/>
      <c r="F908" s="937"/>
      <c r="G908" s="937"/>
      <c r="H908" s="937"/>
      <c r="I908" s="937"/>
      <c r="J908" s="937"/>
      <c r="K908" s="937"/>
      <c r="L908" s="937"/>
      <c r="M908" s="937"/>
      <c r="N908" s="937"/>
      <c r="O908" s="937"/>
      <c r="P908" s="937"/>
      <c r="Q908" s="937"/>
      <c r="R908" s="937"/>
      <c r="S908" s="937"/>
      <c r="T908" s="937"/>
      <c r="U908" s="937"/>
      <c r="V908" s="937"/>
      <c r="W908" s="937"/>
      <c r="X908" s="937"/>
      <c r="Y908" s="937"/>
      <c r="Z908" s="937"/>
    </row>
    <row r="909" spans="1:26" ht="15.75" customHeight="1">
      <c r="A909" s="937"/>
      <c r="B909" s="937"/>
      <c r="C909" s="937"/>
      <c r="D909" s="937"/>
      <c r="E909" s="937"/>
      <c r="F909" s="937"/>
      <c r="G909" s="937"/>
      <c r="H909" s="937"/>
      <c r="I909" s="937"/>
      <c r="J909" s="937"/>
      <c r="K909" s="937"/>
      <c r="L909" s="937"/>
      <c r="M909" s="937"/>
      <c r="N909" s="937"/>
      <c r="O909" s="937"/>
      <c r="P909" s="937"/>
      <c r="Q909" s="937"/>
      <c r="R909" s="937"/>
      <c r="S909" s="937"/>
      <c r="T909" s="937"/>
      <c r="U909" s="937"/>
      <c r="V909" s="937"/>
      <c r="W909" s="937"/>
      <c r="X909" s="937"/>
      <c r="Y909" s="937"/>
      <c r="Z909" s="937"/>
    </row>
    <row r="910" spans="1:26" ht="15.75" customHeight="1">
      <c r="A910" s="937"/>
      <c r="B910" s="937"/>
      <c r="C910" s="937"/>
      <c r="D910" s="937"/>
      <c r="E910" s="937"/>
      <c r="F910" s="937"/>
      <c r="G910" s="937"/>
      <c r="H910" s="937"/>
      <c r="I910" s="937"/>
      <c r="J910" s="937"/>
      <c r="K910" s="937"/>
      <c r="L910" s="937"/>
      <c r="M910" s="937"/>
      <c r="N910" s="937"/>
      <c r="O910" s="937"/>
      <c r="P910" s="937"/>
      <c r="Q910" s="937"/>
      <c r="R910" s="937"/>
      <c r="S910" s="937"/>
      <c r="T910" s="937"/>
      <c r="U910" s="937"/>
      <c r="V910" s="937"/>
      <c r="W910" s="937"/>
      <c r="X910" s="937"/>
      <c r="Y910" s="937"/>
      <c r="Z910" s="937"/>
    </row>
    <row r="911" spans="1:26" ht="15.75" customHeight="1">
      <c r="A911" s="937"/>
      <c r="B911" s="937"/>
      <c r="C911" s="937"/>
      <c r="D911" s="937"/>
      <c r="E911" s="937"/>
      <c r="F911" s="937"/>
      <c r="G911" s="937"/>
      <c r="H911" s="937"/>
      <c r="I911" s="937"/>
      <c r="J911" s="937"/>
      <c r="K911" s="937"/>
      <c r="L911" s="937"/>
      <c r="M911" s="937"/>
      <c r="N911" s="937"/>
      <c r="O911" s="937"/>
      <c r="P911" s="937"/>
      <c r="Q911" s="937"/>
      <c r="R911" s="937"/>
      <c r="S911" s="937"/>
      <c r="T911" s="937"/>
      <c r="U911" s="937"/>
      <c r="V911" s="937"/>
      <c r="W911" s="937"/>
      <c r="X911" s="937"/>
      <c r="Y911" s="937"/>
      <c r="Z911" s="937"/>
    </row>
    <row r="912" spans="1:26" ht="15.75" customHeight="1">
      <c r="A912" s="937"/>
      <c r="B912" s="937"/>
      <c r="C912" s="937"/>
      <c r="D912" s="937"/>
      <c r="E912" s="937"/>
      <c r="F912" s="937"/>
      <c r="G912" s="937"/>
      <c r="H912" s="937"/>
      <c r="I912" s="937"/>
      <c r="J912" s="937"/>
      <c r="K912" s="937"/>
      <c r="L912" s="937"/>
      <c r="M912" s="937"/>
      <c r="N912" s="937"/>
      <c r="O912" s="937"/>
      <c r="P912" s="937"/>
      <c r="Q912" s="937"/>
      <c r="R912" s="937"/>
      <c r="S912" s="937"/>
      <c r="T912" s="937"/>
      <c r="U912" s="937"/>
      <c r="V912" s="937"/>
      <c r="W912" s="937"/>
      <c r="X912" s="937"/>
      <c r="Y912" s="937"/>
      <c r="Z912" s="937"/>
    </row>
    <row r="913" spans="1:26" ht="15.75" customHeight="1">
      <c r="A913" s="937"/>
      <c r="B913" s="937"/>
      <c r="C913" s="937"/>
      <c r="D913" s="937"/>
      <c r="E913" s="937"/>
      <c r="F913" s="937"/>
      <c r="G913" s="937"/>
      <c r="H913" s="937"/>
      <c r="I913" s="937"/>
      <c r="J913" s="937"/>
      <c r="K913" s="937"/>
      <c r="L913" s="937"/>
      <c r="M913" s="937"/>
      <c r="N913" s="937"/>
      <c r="O913" s="937"/>
      <c r="P913" s="937"/>
      <c r="Q913" s="937"/>
      <c r="R913" s="937"/>
      <c r="S913" s="937"/>
      <c r="T913" s="937"/>
      <c r="U913" s="937"/>
      <c r="V913" s="937"/>
      <c r="W913" s="937"/>
      <c r="X913" s="937"/>
      <c r="Y913" s="937"/>
      <c r="Z913" s="937"/>
    </row>
    <row r="914" spans="1:26" ht="15.75" customHeight="1">
      <c r="A914" s="937"/>
      <c r="B914" s="937"/>
      <c r="C914" s="937"/>
      <c r="D914" s="937"/>
      <c r="E914" s="937"/>
      <c r="F914" s="937"/>
      <c r="G914" s="937"/>
      <c r="H914" s="937"/>
      <c r="I914" s="937"/>
      <c r="J914" s="937"/>
      <c r="K914" s="937"/>
      <c r="L914" s="937"/>
      <c r="M914" s="937"/>
      <c r="N914" s="937"/>
      <c r="O914" s="937"/>
      <c r="P914" s="937"/>
      <c r="Q914" s="937"/>
      <c r="R914" s="937"/>
      <c r="S914" s="937"/>
      <c r="T914" s="937"/>
      <c r="U914" s="937"/>
      <c r="V914" s="937"/>
      <c r="W914" s="937"/>
      <c r="X914" s="937"/>
      <c r="Y914" s="937"/>
      <c r="Z914" s="937"/>
    </row>
    <row r="915" spans="1:26" ht="15.75" customHeight="1">
      <c r="A915" s="937"/>
      <c r="B915" s="937"/>
      <c r="C915" s="937"/>
      <c r="D915" s="937"/>
      <c r="E915" s="937"/>
      <c r="F915" s="937"/>
      <c r="G915" s="937"/>
      <c r="H915" s="937"/>
      <c r="I915" s="937"/>
      <c r="J915" s="937"/>
      <c r="K915" s="937"/>
      <c r="L915" s="937"/>
      <c r="M915" s="937"/>
      <c r="N915" s="937"/>
      <c r="O915" s="937"/>
      <c r="P915" s="937"/>
      <c r="Q915" s="937"/>
      <c r="R915" s="937"/>
      <c r="S915" s="937"/>
      <c r="T915" s="937"/>
      <c r="U915" s="937"/>
      <c r="V915" s="937"/>
      <c r="W915" s="937"/>
      <c r="X915" s="937"/>
      <c r="Y915" s="937"/>
      <c r="Z915" s="937"/>
    </row>
    <row r="916" spans="1:26" ht="15.75" customHeight="1">
      <c r="A916" s="937"/>
      <c r="B916" s="937"/>
      <c r="C916" s="937"/>
      <c r="D916" s="937"/>
      <c r="E916" s="937"/>
      <c r="F916" s="937"/>
      <c r="G916" s="937"/>
      <c r="H916" s="937"/>
      <c r="I916" s="937"/>
      <c r="J916" s="937"/>
      <c r="K916" s="937"/>
      <c r="L916" s="937"/>
      <c r="M916" s="937"/>
      <c r="N916" s="937"/>
      <c r="O916" s="937"/>
      <c r="P916" s="937"/>
      <c r="Q916" s="937"/>
      <c r="R916" s="937"/>
      <c r="S916" s="937"/>
      <c r="T916" s="937"/>
      <c r="U916" s="937"/>
      <c r="V916" s="937"/>
      <c r="W916" s="937"/>
      <c r="X916" s="937"/>
      <c r="Y916" s="937"/>
      <c r="Z916" s="937"/>
    </row>
    <row r="917" spans="1:26" ht="15.75" customHeight="1">
      <c r="A917" s="937"/>
      <c r="B917" s="937"/>
      <c r="C917" s="937"/>
      <c r="D917" s="937"/>
      <c r="E917" s="937"/>
      <c r="F917" s="937"/>
      <c r="G917" s="937"/>
      <c r="H917" s="937"/>
      <c r="I917" s="937"/>
      <c r="J917" s="937"/>
      <c r="K917" s="937"/>
      <c r="L917" s="937"/>
      <c r="M917" s="937"/>
      <c r="N917" s="937"/>
      <c r="O917" s="937"/>
      <c r="P917" s="937"/>
      <c r="Q917" s="937"/>
      <c r="R917" s="937"/>
      <c r="S917" s="937"/>
      <c r="T917" s="937"/>
      <c r="U917" s="937"/>
      <c r="V917" s="937"/>
      <c r="W917" s="937"/>
      <c r="X917" s="937"/>
      <c r="Y917" s="937"/>
      <c r="Z917" s="937"/>
    </row>
    <row r="918" spans="1:26" ht="15.75" customHeight="1">
      <c r="A918" s="937"/>
      <c r="B918" s="937"/>
      <c r="C918" s="937"/>
      <c r="D918" s="937"/>
      <c r="E918" s="937"/>
      <c r="F918" s="937"/>
      <c r="G918" s="937"/>
      <c r="H918" s="937"/>
      <c r="I918" s="937"/>
      <c r="J918" s="937"/>
      <c r="K918" s="937"/>
      <c r="L918" s="937"/>
      <c r="M918" s="937"/>
      <c r="N918" s="937"/>
      <c r="O918" s="937"/>
      <c r="P918" s="937"/>
      <c r="Q918" s="937"/>
      <c r="R918" s="937"/>
      <c r="S918" s="937"/>
      <c r="T918" s="937"/>
      <c r="U918" s="937"/>
      <c r="V918" s="937"/>
      <c r="W918" s="937"/>
      <c r="X918" s="937"/>
      <c r="Y918" s="937"/>
      <c r="Z918" s="937"/>
    </row>
    <row r="919" spans="1:26" ht="15.75" customHeight="1">
      <c r="A919" s="937"/>
      <c r="B919" s="937"/>
      <c r="C919" s="937"/>
      <c r="D919" s="937"/>
      <c r="E919" s="937"/>
      <c r="F919" s="937"/>
      <c r="G919" s="937"/>
      <c r="H919" s="937"/>
      <c r="I919" s="937"/>
      <c r="J919" s="937"/>
      <c r="K919" s="937"/>
      <c r="L919" s="937"/>
      <c r="M919" s="937"/>
      <c r="N919" s="937"/>
      <c r="O919" s="937"/>
      <c r="P919" s="937"/>
      <c r="Q919" s="937"/>
      <c r="R919" s="937"/>
      <c r="S919" s="937"/>
      <c r="T919" s="937"/>
      <c r="U919" s="937"/>
      <c r="V919" s="937"/>
      <c r="W919" s="937"/>
      <c r="X919" s="937"/>
      <c r="Y919" s="937"/>
      <c r="Z919" s="937"/>
    </row>
    <row r="920" spans="1:26" ht="15.75" customHeight="1">
      <c r="A920" s="937"/>
      <c r="B920" s="937"/>
      <c r="C920" s="937"/>
      <c r="D920" s="937"/>
      <c r="E920" s="937"/>
      <c r="F920" s="937"/>
      <c r="G920" s="937"/>
      <c r="H920" s="937"/>
      <c r="I920" s="937"/>
      <c r="J920" s="937"/>
      <c r="K920" s="937"/>
      <c r="L920" s="937"/>
      <c r="M920" s="937"/>
      <c r="N920" s="937"/>
      <c r="O920" s="937"/>
      <c r="P920" s="937"/>
      <c r="Q920" s="937"/>
      <c r="R920" s="937"/>
      <c r="S920" s="937"/>
      <c r="T920" s="937"/>
      <c r="U920" s="937"/>
      <c r="V920" s="937"/>
      <c r="W920" s="937"/>
      <c r="X920" s="937"/>
      <c r="Y920" s="937"/>
      <c r="Z920" s="937"/>
    </row>
    <row r="921" spans="1:26" ht="15.75" customHeight="1">
      <c r="A921" s="937"/>
      <c r="B921" s="937"/>
      <c r="C921" s="937"/>
      <c r="D921" s="937"/>
      <c r="E921" s="937"/>
      <c r="F921" s="937"/>
      <c r="G921" s="937"/>
      <c r="H921" s="937"/>
      <c r="I921" s="937"/>
      <c r="J921" s="937"/>
      <c r="K921" s="937"/>
      <c r="L921" s="937"/>
      <c r="M921" s="937"/>
      <c r="N921" s="937"/>
      <c r="O921" s="937"/>
      <c r="P921" s="937"/>
      <c r="Q921" s="937"/>
      <c r="R921" s="937"/>
      <c r="S921" s="937"/>
      <c r="T921" s="937"/>
      <c r="U921" s="937"/>
      <c r="V921" s="937"/>
      <c r="W921" s="937"/>
      <c r="X921" s="937"/>
      <c r="Y921" s="937"/>
      <c r="Z921" s="937"/>
    </row>
    <row r="922" spans="1:26" ht="15.75" customHeight="1">
      <c r="A922" s="937"/>
      <c r="B922" s="937"/>
      <c r="C922" s="937"/>
      <c r="D922" s="937"/>
      <c r="E922" s="937"/>
      <c r="F922" s="937"/>
      <c r="G922" s="937"/>
      <c r="H922" s="937"/>
      <c r="I922" s="937"/>
      <c r="J922" s="937"/>
      <c r="K922" s="937"/>
      <c r="L922" s="937"/>
      <c r="M922" s="937"/>
      <c r="N922" s="937"/>
      <c r="O922" s="937"/>
      <c r="P922" s="937"/>
      <c r="Q922" s="937"/>
      <c r="R922" s="937"/>
      <c r="S922" s="937"/>
      <c r="T922" s="937"/>
      <c r="U922" s="937"/>
      <c r="V922" s="937"/>
      <c r="W922" s="937"/>
      <c r="X922" s="937"/>
      <c r="Y922" s="937"/>
      <c r="Z922" s="937"/>
    </row>
    <row r="923" spans="1:26" ht="15.75" customHeight="1">
      <c r="A923" s="937"/>
      <c r="B923" s="937"/>
      <c r="C923" s="937"/>
      <c r="D923" s="937"/>
      <c r="E923" s="937"/>
      <c r="F923" s="937"/>
      <c r="G923" s="937"/>
      <c r="H923" s="937"/>
      <c r="I923" s="937"/>
      <c r="J923" s="937"/>
      <c r="K923" s="937"/>
      <c r="L923" s="937"/>
      <c r="M923" s="937"/>
      <c r="N923" s="937"/>
      <c r="O923" s="937"/>
      <c r="P923" s="937"/>
      <c r="Q923" s="937"/>
      <c r="R923" s="937"/>
      <c r="S923" s="937"/>
      <c r="T923" s="937"/>
      <c r="U923" s="937"/>
      <c r="V923" s="937"/>
      <c r="W923" s="937"/>
      <c r="X923" s="937"/>
      <c r="Y923" s="937"/>
      <c r="Z923" s="937"/>
    </row>
    <row r="924" spans="1:26" ht="15.75" customHeight="1">
      <c r="A924" s="937"/>
      <c r="B924" s="937"/>
      <c r="C924" s="937"/>
      <c r="D924" s="937"/>
      <c r="E924" s="937"/>
      <c r="F924" s="937"/>
      <c r="G924" s="937"/>
      <c r="H924" s="937"/>
      <c r="I924" s="937"/>
      <c r="J924" s="937"/>
      <c r="K924" s="937"/>
      <c r="L924" s="937"/>
      <c r="M924" s="937"/>
      <c r="N924" s="937"/>
      <c r="O924" s="937"/>
      <c r="P924" s="937"/>
      <c r="Q924" s="937"/>
      <c r="R924" s="937"/>
      <c r="S924" s="937"/>
      <c r="T924" s="937"/>
      <c r="U924" s="937"/>
      <c r="V924" s="937"/>
      <c r="W924" s="937"/>
      <c r="X924" s="937"/>
      <c r="Y924" s="937"/>
      <c r="Z924" s="937"/>
    </row>
    <row r="925" spans="1:26" ht="15.75" customHeight="1">
      <c r="A925" s="937"/>
      <c r="B925" s="937"/>
      <c r="C925" s="937"/>
      <c r="D925" s="937"/>
      <c r="E925" s="937"/>
      <c r="F925" s="937"/>
      <c r="G925" s="937"/>
      <c r="H925" s="937"/>
      <c r="I925" s="937"/>
      <c r="J925" s="937"/>
      <c r="K925" s="937"/>
      <c r="L925" s="937"/>
      <c r="M925" s="937"/>
      <c r="N925" s="937"/>
      <c r="O925" s="937"/>
      <c r="P925" s="937"/>
      <c r="Q925" s="937"/>
      <c r="R925" s="937"/>
      <c r="S925" s="937"/>
      <c r="T925" s="937"/>
      <c r="U925" s="937"/>
      <c r="V925" s="937"/>
      <c r="W925" s="937"/>
      <c r="X925" s="937"/>
      <c r="Y925" s="937"/>
      <c r="Z925" s="937"/>
    </row>
    <row r="926" spans="1:26" ht="15.75" customHeight="1">
      <c r="A926" s="937"/>
      <c r="B926" s="937"/>
      <c r="C926" s="937"/>
      <c r="D926" s="937"/>
      <c r="E926" s="937"/>
      <c r="F926" s="937"/>
      <c r="G926" s="937"/>
      <c r="H926" s="937"/>
      <c r="I926" s="937"/>
      <c r="J926" s="937"/>
      <c r="K926" s="937"/>
      <c r="L926" s="937"/>
      <c r="M926" s="937"/>
      <c r="N926" s="937"/>
      <c r="O926" s="937"/>
      <c r="P926" s="937"/>
      <c r="Q926" s="937"/>
      <c r="R926" s="937"/>
      <c r="S926" s="937"/>
      <c r="T926" s="937"/>
      <c r="U926" s="937"/>
      <c r="V926" s="937"/>
      <c r="W926" s="937"/>
      <c r="X926" s="937"/>
      <c r="Y926" s="937"/>
      <c r="Z926" s="937"/>
    </row>
    <row r="927" spans="1:26" ht="15.75" customHeight="1">
      <c r="A927" s="937"/>
      <c r="B927" s="937"/>
      <c r="C927" s="937"/>
      <c r="D927" s="937"/>
      <c r="E927" s="937"/>
      <c r="F927" s="937"/>
      <c r="G927" s="937"/>
      <c r="H927" s="937"/>
      <c r="I927" s="937"/>
      <c r="J927" s="937"/>
      <c r="K927" s="937"/>
      <c r="L927" s="937"/>
      <c r="M927" s="937"/>
      <c r="N927" s="937"/>
      <c r="O927" s="937"/>
      <c r="P927" s="937"/>
      <c r="Q927" s="937"/>
      <c r="R927" s="937"/>
      <c r="S927" s="937"/>
      <c r="T927" s="937"/>
      <c r="U927" s="937"/>
      <c r="V927" s="937"/>
      <c r="W927" s="937"/>
      <c r="X927" s="937"/>
      <c r="Y927" s="937"/>
      <c r="Z927" s="937"/>
    </row>
    <row r="928" spans="1:26" ht="15.75" customHeight="1">
      <c r="A928" s="937"/>
      <c r="B928" s="937"/>
      <c r="C928" s="937"/>
      <c r="D928" s="937"/>
      <c r="E928" s="937"/>
      <c r="F928" s="937"/>
      <c r="G928" s="937"/>
      <c r="H928" s="937"/>
      <c r="I928" s="937"/>
      <c r="J928" s="937"/>
      <c r="K928" s="937"/>
      <c r="L928" s="937"/>
      <c r="M928" s="937"/>
      <c r="N928" s="937"/>
      <c r="O928" s="937"/>
      <c r="P928" s="937"/>
      <c r="Q928" s="937"/>
      <c r="R928" s="937"/>
      <c r="S928" s="937"/>
      <c r="T928" s="937"/>
      <c r="U928" s="937"/>
      <c r="V928" s="937"/>
      <c r="W928" s="937"/>
      <c r="X928" s="937"/>
      <c r="Y928" s="937"/>
      <c r="Z928" s="937"/>
    </row>
    <row r="929" spans="1:26" ht="15.75" customHeight="1">
      <c r="A929" s="937"/>
      <c r="B929" s="937"/>
      <c r="C929" s="937"/>
      <c r="D929" s="937"/>
      <c r="E929" s="937"/>
      <c r="F929" s="937"/>
      <c r="G929" s="937"/>
      <c r="H929" s="937"/>
      <c r="I929" s="937"/>
      <c r="J929" s="937"/>
      <c r="K929" s="937"/>
      <c r="L929" s="937"/>
      <c r="M929" s="937"/>
      <c r="N929" s="937"/>
      <c r="O929" s="937"/>
      <c r="P929" s="937"/>
      <c r="Q929" s="937"/>
      <c r="R929" s="937"/>
      <c r="S929" s="937"/>
      <c r="T929" s="937"/>
      <c r="U929" s="937"/>
      <c r="V929" s="937"/>
      <c r="W929" s="937"/>
      <c r="X929" s="937"/>
      <c r="Y929" s="937"/>
      <c r="Z929" s="937"/>
    </row>
    <row r="930" spans="1:26" ht="15.75" customHeight="1">
      <c r="A930" s="937"/>
      <c r="B930" s="937"/>
      <c r="C930" s="937"/>
      <c r="D930" s="937"/>
      <c r="E930" s="937"/>
      <c r="F930" s="937"/>
      <c r="G930" s="937"/>
      <c r="H930" s="937"/>
      <c r="I930" s="937"/>
      <c r="J930" s="937"/>
      <c r="K930" s="937"/>
      <c r="L930" s="937"/>
      <c r="M930" s="937"/>
      <c r="N930" s="937"/>
      <c r="O930" s="937"/>
      <c r="P930" s="937"/>
      <c r="Q930" s="937"/>
      <c r="R930" s="937"/>
      <c r="S930" s="937"/>
      <c r="T930" s="937"/>
      <c r="U930" s="937"/>
      <c r="V930" s="937"/>
      <c r="W930" s="937"/>
      <c r="X930" s="937"/>
      <c r="Y930" s="937"/>
      <c r="Z930" s="937"/>
    </row>
    <row r="931" spans="1:26" ht="15.75" customHeight="1">
      <c r="A931" s="937"/>
      <c r="B931" s="937"/>
      <c r="C931" s="937"/>
      <c r="D931" s="937"/>
      <c r="E931" s="937"/>
      <c r="F931" s="937"/>
      <c r="G931" s="937"/>
      <c r="H931" s="937"/>
      <c r="I931" s="937"/>
      <c r="J931" s="937"/>
      <c r="K931" s="937"/>
      <c r="L931" s="937"/>
      <c r="M931" s="937"/>
      <c r="N931" s="937"/>
      <c r="O931" s="937"/>
      <c r="P931" s="937"/>
      <c r="Q931" s="937"/>
      <c r="R931" s="937"/>
      <c r="S931" s="937"/>
      <c r="T931" s="937"/>
      <c r="U931" s="937"/>
      <c r="V931" s="937"/>
      <c r="W931" s="937"/>
      <c r="X931" s="937"/>
      <c r="Y931" s="937"/>
      <c r="Z931" s="937"/>
    </row>
    <row r="932" spans="1:26" ht="15.75" customHeight="1">
      <c r="A932" s="937"/>
      <c r="B932" s="937"/>
      <c r="C932" s="937"/>
      <c r="D932" s="937"/>
      <c r="E932" s="937"/>
      <c r="F932" s="937"/>
      <c r="G932" s="937"/>
      <c r="H932" s="937"/>
      <c r="I932" s="937"/>
      <c r="J932" s="937"/>
      <c r="K932" s="937"/>
      <c r="L932" s="937"/>
      <c r="M932" s="937"/>
      <c r="N932" s="937"/>
      <c r="O932" s="937"/>
      <c r="P932" s="937"/>
      <c r="Q932" s="937"/>
      <c r="R932" s="937"/>
      <c r="S932" s="937"/>
      <c r="T932" s="937"/>
      <c r="U932" s="937"/>
      <c r="V932" s="937"/>
      <c r="W932" s="937"/>
      <c r="X932" s="937"/>
      <c r="Y932" s="937"/>
      <c r="Z932" s="937"/>
    </row>
    <row r="933" spans="1:26" ht="15.75" customHeight="1">
      <c r="A933" s="937"/>
      <c r="B933" s="937"/>
      <c r="C933" s="937"/>
      <c r="D933" s="937"/>
      <c r="E933" s="937"/>
      <c r="F933" s="937"/>
      <c r="G933" s="937"/>
      <c r="H933" s="937"/>
      <c r="I933" s="937"/>
      <c r="J933" s="937"/>
      <c r="K933" s="937"/>
      <c r="L933" s="937"/>
      <c r="M933" s="937"/>
      <c r="N933" s="937"/>
      <c r="O933" s="937"/>
      <c r="P933" s="937"/>
      <c r="Q933" s="937"/>
      <c r="R933" s="937"/>
      <c r="S933" s="937"/>
      <c r="T933" s="937"/>
      <c r="U933" s="937"/>
      <c r="V933" s="937"/>
      <c r="W933" s="937"/>
      <c r="X933" s="937"/>
      <c r="Y933" s="937"/>
      <c r="Z933" s="937"/>
    </row>
    <row r="934" spans="1:26" ht="15.75" customHeight="1">
      <c r="A934" s="937"/>
      <c r="B934" s="937"/>
      <c r="C934" s="937"/>
      <c r="D934" s="937"/>
      <c r="E934" s="937"/>
      <c r="F934" s="937"/>
      <c r="G934" s="937"/>
      <c r="H934" s="937"/>
      <c r="I934" s="937"/>
      <c r="J934" s="937"/>
      <c r="K934" s="937"/>
      <c r="L934" s="937"/>
      <c r="M934" s="937"/>
      <c r="N934" s="937"/>
      <c r="O934" s="937"/>
      <c r="P934" s="937"/>
      <c r="Q934" s="937"/>
      <c r="R934" s="937"/>
      <c r="S934" s="937"/>
      <c r="T934" s="937"/>
      <c r="U934" s="937"/>
      <c r="V934" s="937"/>
      <c r="W934" s="937"/>
      <c r="X934" s="937"/>
      <c r="Y934" s="937"/>
      <c r="Z934" s="937"/>
    </row>
    <row r="935" spans="1:26" ht="15.75" customHeight="1">
      <c r="A935" s="937"/>
      <c r="B935" s="937"/>
      <c r="C935" s="937"/>
      <c r="D935" s="937"/>
      <c r="E935" s="937"/>
      <c r="F935" s="937"/>
      <c r="G935" s="937"/>
      <c r="H935" s="937"/>
      <c r="I935" s="937"/>
      <c r="J935" s="937"/>
      <c r="K935" s="937"/>
      <c r="L935" s="937"/>
      <c r="M935" s="937"/>
      <c r="N935" s="937"/>
      <c r="O935" s="937"/>
      <c r="P935" s="937"/>
      <c r="Q935" s="937"/>
      <c r="R935" s="937"/>
      <c r="S935" s="937"/>
      <c r="T935" s="937"/>
      <c r="U935" s="937"/>
      <c r="V935" s="937"/>
      <c r="W935" s="937"/>
      <c r="X935" s="937"/>
      <c r="Y935" s="937"/>
      <c r="Z935" s="937"/>
    </row>
    <row r="936" spans="1:26" ht="15.75" customHeight="1">
      <c r="A936" s="937"/>
      <c r="B936" s="937"/>
      <c r="C936" s="937"/>
      <c r="D936" s="937"/>
      <c r="E936" s="937"/>
      <c r="F936" s="937"/>
      <c r="G936" s="937"/>
      <c r="H936" s="937"/>
      <c r="I936" s="937"/>
      <c r="J936" s="937"/>
      <c r="K936" s="937"/>
      <c r="L936" s="937"/>
      <c r="M936" s="937"/>
      <c r="N936" s="937"/>
      <c r="O936" s="937"/>
      <c r="P936" s="937"/>
      <c r="Q936" s="937"/>
      <c r="R936" s="937"/>
      <c r="S936" s="937"/>
      <c r="T936" s="937"/>
      <c r="U936" s="937"/>
      <c r="V936" s="937"/>
      <c r="W936" s="937"/>
      <c r="X936" s="937"/>
      <c r="Y936" s="937"/>
      <c r="Z936" s="937"/>
    </row>
    <row r="937" spans="1:26" ht="15.75" customHeight="1">
      <c r="A937" s="937"/>
      <c r="B937" s="937"/>
      <c r="C937" s="937"/>
      <c r="D937" s="937"/>
      <c r="E937" s="937"/>
      <c r="F937" s="937"/>
      <c r="G937" s="937"/>
      <c r="H937" s="937"/>
      <c r="I937" s="937"/>
      <c r="J937" s="937"/>
      <c r="K937" s="937"/>
      <c r="L937" s="937"/>
      <c r="M937" s="937"/>
      <c r="N937" s="937"/>
      <c r="O937" s="937"/>
      <c r="P937" s="937"/>
      <c r="Q937" s="937"/>
      <c r="R937" s="937"/>
      <c r="S937" s="937"/>
      <c r="T937" s="937"/>
      <c r="U937" s="937"/>
      <c r="V937" s="937"/>
      <c r="W937" s="937"/>
      <c r="X937" s="937"/>
      <c r="Y937" s="937"/>
      <c r="Z937" s="937"/>
    </row>
    <row r="938" spans="1:26" ht="15.75" customHeight="1">
      <c r="A938" s="937"/>
      <c r="B938" s="937"/>
      <c r="C938" s="937"/>
      <c r="D938" s="937"/>
      <c r="E938" s="937"/>
      <c r="F938" s="937"/>
      <c r="G938" s="937"/>
      <c r="H938" s="937"/>
      <c r="I938" s="937"/>
      <c r="J938" s="937"/>
      <c r="K938" s="937"/>
      <c r="L938" s="937"/>
      <c r="M938" s="937"/>
      <c r="N938" s="937"/>
      <c r="O938" s="937"/>
      <c r="P938" s="937"/>
      <c r="Q938" s="937"/>
      <c r="R938" s="937"/>
      <c r="S938" s="937"/>
      <c r="T938" s="937"/>
      <c r="U938" s="937"/>
      <c r="V938" s="937"/>
      <c r="W938" s="937"/>
      <c r="X938" s="937"/>
      <c r="Y938" s="937"/>
      <c r="Z938" s="937"/>
    </row>
    <row r="939" spans="1:26" ht="15.75" customHeight="1">
      <c r="A939" s="937"/>
      <c r="B939" s="937"/>
      <c r="C939" s="937"/>
      <c r="D939" s="937"/>
      <c r="E939" s="937"/>
      <c r="F939" s="937"/>
      <c r="G939" s="937"/>
      <c r="H939" s="937"/>
      <c r="I939" s="937"/>
      <c r="J939" s="937"/>
      <c r="K939" s="937"/>
      <c r="L939" s="937"/>
      <c r="M939" s="937"/>
      <c r="N939" s="937"/>
      <c r="O939" s="937"/>
      <c r="P939" s="937"/>
      <c r="Q939" s="937"/>
      <c r="R939" s="937"/>
      <c r="S939" s="937"/>
      <c r="T939" s="937"/>
      <c r="U939" s="937"/>
      <c r="V939" s="937"/>
      <c r="W939" s="937"/>
      <c r="X939" s="937"/>
      <c r="Y939" s="937"/>
      <c r="Z939" s="937"/>
    </row>
    <row r="940" spans="1:26" ht="15.75" customHeight="1">
      <c r="A940" s="937"/>
      <c r="B940" s="937"/>
      <c r="C940" s="937"/>
      <c r="D940" s="937"/>
      <c r="E940" s="937"/>
      <c r="F940" s="937"/>
      <c r="G940" s="937"/>
      <c r="H940" s="937"/>
      <c r="I940" s="937"/>
      <c r="J940" s="937"/>
      <c r="K940" s="937"/>
      <c r="L940" s="937"/>
      <c r="M940" s="937"/>
      <c r="N940" s="937"/>
      <c r="O940" s="937"/>
      <c r="P940" s="937"/>
      <c r="Q940" s="937"/>
      <c r="R940" s="937"/>
      <c r="S940" s="937"/>
      <c r="T940" s="937"/>
      <c r="U940" s="937"/>
      <c r="V940" s="937"/>
      <c r="W940" s="937"/>
      <c r="X940" s="937"/>
      <c r="Y940" s="937"/>
      <c r="Z940" s="937"/>
    </row>
    <row r="941" spans="1:26" ht="15.75" customHeight="1">
      <c r="A941" s="937"/>
      <c r="B941" s="937"/>
      <c r="C941" s="937"/>
      <c r="D941" s="937"/>
      <c r="E941" s="937"/>
      <c r="F941" s="937"/>
      <c r="G941" s="937"/>
      <c r="H941" s="937"/>
      <c r="I941" s="937"/>
      <c r="J941" s="937"/>
      <c r="K941" s="937"/>
      <c r="L941" s="937"/>
      <c r="M941" s="937"/>
      <c r="N941" s="937"/>
      <c r="O941" s="937"/>
      <c r="P941" s="937"/>
      <c r="Q941" s="937"/>
      <c r="R941" s="937"/>
      <c r="S941" s="937"/>
      <c r="T941" s="937"/>
      <c r="U941" s="937"/>
      <c r="V941" s="937"/>
      <c r="W941" s="937"/>
      <c r="X941" s="937"/>
      <c r="Y941" s="937"/>
      <c r="Z941" s="937"/>
    </row>
    <row r="942" spans="1:26" ht="15.75" customHeight="1">
      <c r="A942" s="937"/>
      <c r="B942" s="937"/>
      <c r="C942" s="937"/>
      <c r="D942" s="937"/>
      <c r="E942" s="937"/>
      <c r="F942" s="937"/>
      <c r="G942" s="937"/>
      <c r="H942" s="937"/>
      <c r="I942" s="937"/>
      <c r="J942" s="937"/>
      <c r="K942" s="937"/>
      <c r="L942" s="937"/>
      <c r="M942" s="937"/>
      <c r="N942" s="937"/>
      <c r="O942" s="937"/>
      <c r="P942" s="937"/>
      <c r="Q942" s="937"/>
      <c r="R942" s="937"/>
      <c r="S942" s="937"/>
      <c r="T942" s="937"/>
      <c r="U942" s="937"/>
      <c r="V942" s="937"/>
      <c r="W942" s="937"/>
      <c r="X942" s="937"/>
      <c r="Y942" s="937"/>
      <c r="Z942" s="937"/>
    </row>
    <row r="943" spans="1:26" ht="15.75" customHeight="1">
      <c r="A943" s="937"/>
      <c r="B943" s="937"/>
      <c r="C943" s="937"/>
      <c r="D943" s="937"/>
      <c r="E943" s="937"/>
      <c r="F943" s="937"/>
      <c r="G943" s="937"/>
      <c r="H943" s="937"/>
      <c r="I943" s="937"/>
      <c r="J943" s="937"/>
      <c r="K943" s="937"/>
      <c r="L943" s="937"/>
      <c r="M943" s="937"/>
      <c r="N943" s="937"/>
      <c r="O943" s="937"/>
      <c r="P943" s="937"/>
      <c r="Q943" s="937"/>
      <c r="R943" s="937"/>
      <c r="S943" s="937"/>
      <c r="T943" s="937"/>
      <c r="U943" s="937"/>
      <c r="V943" s="937"/>
      <c r="W943" s="937"/>
      <c r="X943" s="937"/>
      <c r="Y943" s="937"/>
      <c r="Z943" s="937"/>
    </row>
    <row r="944" spans="1:26" ht="15.75" customHeight="1">
      <c r="A944" s="937"/>
      <c r="B944" s="937"/>
      <c r="C944" s="937"/>
      <c r="D944" s="937"/>
      <c r="E944" s="937"/>
      <c r="F944" s="937"/>
      <c r="G944" s="937"/>
      <c r="H944" s="937"/>
      <c r="I944" s="937"/>
      <c r="J944" s="937"/>
      <c r="K944" s="937"/>
      <c r="L944" s="937"/>
      <c r="M944" s="937"/>
      <c r="N944" s="937"/>
      <c r="O944" s="937"/>
      <c r="P944" s="937"/>
      <c r="Q944" s="937"/>
      <c r="R944" s="937"/>
      <c r="S944" s="937"/>
      <c r="T944" s="937"/>
      <c r="U944" s="937"/>
      <c r="V944" s="937"/>
      <c r="W944" s="937"/>
      <c r="X944" s="937"/>
      <c r="Y944" s="937"/>
      <c r="Z944" s="937"/>
    </row>
    <row r="945" spans="1:26" ht="15.75" customHeight="1">
      <c r="A945" s="937"/>
      <c r="B945" s="937"/>
      <c r="C945" s="937"/>
      <c r="D945" s="937"/>
      <c r="E945" s="937"/>
      <c r="F945" s="937"/>
      <c r="G945" s="937"/>
      <c r="H945" s="937"/>
      <c r="I945" s="937"/>
      <c r="J945" s="937"/>
      <c r="K945" s="937"/>
      <c r="L945" s="937"/>
      <c r="M945" s="937"/>
      <c r="N945" s="937"/>
      <c r="O945" s="937"/>
      <c r="P945" s="937"/>
      <c r="Q945" s="937"/>
      <c r="R945" s="937"/>
      <c r="S945" s="937"/>
      <c r="T945" s="937"/>
      <c r="U945" s="937"/>
      <c r="V945" s="937"/>
      <c r="W945" s="937"/>
      <c r="X945" s="937"/>
      <c r="Y945" s="937"/>
      <c r="Z945" s="937"/>
    </row>
    <row r="946" spans="1:26" ht="15.75" customHeight="1">
      <c r="A946" s="937"/>
      <c r="B946" s="937"/>
      <c r="C946" s="937"/>
      <c r="D946" s="937"/>
      <c r="E946" s="937"/>
      <c r="F946" s="937"/>
      <c r="G946" s="937"/>
      <c r="H946" s="937"/>
      <c r="I946" s="937"/>
      <c r="J946" s="937"/>
      <c r="K946" s="937"/>
      <c r="L946" s="937"/>
      <c r="M946" s="937"/>
      <c r="N946" s="937"/>
      <c r="O946" s="937"/>
      <c r="P946" s="937"/>
      <c r="Q946" s="937"/>
      <c r="R946" s="937"/>
      <c r="S946" s="937"/>
      <c r="T946" s="937"/>
      <c r="U946" s="937"/>
      <c r="V946" s="937"/>
      <c r="W946" s="937"/>
      <c r="X946" s="937"/>
      <c r="Y946" s="937"/>
      <c r="Z946" s="937"/>
    </row>
    <row r="947" spans="1:26" ht="15.75" customHeight="1">
      <c r="A947" s="937"/>
      <c r="B947" s="937"/>
      <c r="C947" s="937"/>
      <c r="D947" s="937"/>
      <c r="E947" s="937"/>
      <c r="F947" s="937"/>
      <c r="G947" s="937"/>
      <c r="H947" s="937"/>
      <c r="I947" s="937"/>
      <c r="J947" s="937"/>
      <c r="K947" s="937"/>
      <c r="L947" s="937"/>
      <c r="M947" s="937"/>
      <c r="N947" s="937"/>
      <c r="O947" s="937"/>
      <c r="P947" s="937"/>
      <c r="Q947" s="937"/>
      <c r="R947" s="937"/>
      <c r="S947" s="937"/>
      <c r="T947" s="937"/>
      <c r="U947" s="937"/>
      <c r="V947" s="937"/>
      <c r="W947" s="937"/>
      <c r="X947" s="937"/>
      <c r="Y947" s="937"/>
      <c r="Z947" s="937"/>
    </row>
    <row r="948" spans="1:26" ht="15.75" customHeight="1">
      <c r="A948" s="937"/>
      <c r="B948" s="937"/>
      <c r="C948" s="937"/>
      <c r="D948" s="937"/>
      <c r="E948" s="937"/>
      <c r="F948" s="937"/>
      <c r="G948" s="937"/>
      <c r="H948" s="937"/>
      <c r="I948" s="937"/>
      <c r="J948" s="937"/>
      <c r="K948" s="937"/>
      <c r="L948" s="937"/>
      <c r="M948" s="937"/>
      <c r="N948" s="937"/>
      <c r="O948" s="937"/>
      <c r="P948" s="937"/>
      <c r="Q948" s="937"/>
      <c r="R948" s="937"/>
      <c r="S948" s="937"/>
      <c r="T948" s="937"/>
      <c r="U948" s="937"/>
      <c r="V948" s="937"/>
      <c r="W948" s="937"/>
      <c r="X948" s="937"/>
      <c r="Y948" s="937"/>
      <c r="Z948" s="937"/>
    </row>
    <row r="949" spans="1:26" ht="15.75" customHeight="1">
      <c r="A949" s="937"/>
      <c r="B949" s="937"/>
      <c r="C949" s="937"/>
      <c r="D949" s="937"/>
      <c r="E949" s="937"/>
      <c r="F949" s="937"/>
      <c r="G949" s="937"/>
      <c r="H949" s="937"/>
      <c r="I949" s="937"/>
      <c r="J949" s="937"/>
      <c r="K949" s="937"/>
      <c r="L949" s="937"/>
      <c r="M949" s="937"/>
      <c r="N949" s="937"/>
      <c r="O949" s="937"/>
      <c r="P949" s="937"/>
      <c r="Q949" s="937"/>
      <c r="R949" s="937"/>
      <c r="S949" s="937"/>
      <c r="T949" s="937"/>
      <c r="U949" s="937"/>
      <c r="V949" s="937"/>
      <c r="W949" s="937"/>
      <c r="X949" s="937"/>
      <c r="Y949" s="937"/>
      <c r="Z949" s="937"/>
    </row>
    <row r="950" spans="1:26" ht="15.75" customHeight="1">
      <c r="A950" s="937"/>
      <c r="B950" s="937"/>
      <c r="C950" s="937"/>
      <c r="D950" s="937"/>
      <c r="E950" s="937"/>
      <c r="F950" s="937"/>
      <c r="G950" s="937"/>
      <c r="H950" s="937"/>
      <c r="I950" s="937"/>
      <c r="J950" s="937"/>
      <c r="K950" s="937"/>
      <c r="L950" s="937"/>
      <c r="M950" s="937"/>
      <c r="N950" s="937"/>
      <c r="O950" s="937"/>
      <c r="P950" s="937"/>
      <c r="Q950" s="937"/>
      <c r="R950" s="937"/>
      <c r="S950" s="937"/>
      <c r="T950" s="937"/>
      <c r="U950" s="937"/>
      <c r="V950" s="937"/>
      <c r="W950" s="937"/>
      <c r="X950" s="937"/>
      <c r="Y950" s="937"/>
      <c r="Z950" s="937"/>
    </row>
    <row r="951" spans="1:26" ht="15.75" customHeight="1">
      <c r="A951" s="937"/>
      <c r="B951" s="937"/>
      <c r="C951" s="937"/>
      <c r="D951" s="937"/>
      <c r="E951" s="937"/>
      <c r="F951" s="937"/>
      <c r="G951" s="937"/>
      <c r="H951" s="937"/>
      <c r="I951" s="937"/>
      <c r="J951" s="937"/>
      <c r="K951" s="937"/>
      <c r="L951" s="937"/>
      <c r="M951" s="937"/>
      <c r="N951" s="937"/>
      <c r="O951" s="937"/>
      <c r="P951" s="937"/>
      <c r="Q951" s="937"/>
      <c r="R951" s="937"/>
      <c r="S951" s="937"/>
      <c r="T951" s="937"/>
      <c r="U951" s="937"/>
      <c r="V951" s="937"/>
      <c r="W951" s="937"/>
      <c r="X951" s="937"/>
      <c r="Y951" s="937"/>
      <c r="Z951" s="937"/>
    </row>
    <row r="952" spans="1:26" ht="15.75" customHeight="1">
      <c r="A952" s="937"/>
      <c r="B952" s="937"/>
      <c r="C952" s="937"/>
      <c r="D952" s="937"/>
      <c r="E952" s="937"/>
      <c r="F952" s="937"/>
      <c r="G952" s="937"/>
      <c r="H952" s="937"/>
      <c r="I952" s="937"/>
      <c r="J952" s="937"/>
      <c r="K952" s="937"/>
      <c r="L952" s="937"/>
      <c r="M952" s="937"/>
      <c r="N952" s="937"/>
      <c r="O952" s="937"/>
      <c r="P952" s="937"/>
      <c r="Q952" s="937"/>
      <c r="R952" s="937"/>
      <c r="S952" s="937"/>
      <c r="T952" s="937"/>
      <c r="U952" s="937"/>
      <c r="V952" s="937"/>
      <c r="W952" s="937"/>
      <c r="X952" s="937"/>
      <c r="Y952" s="937"/>
      <c r="Z952" s="937"/>
    </row>
    <row r="953" spans="1:26" ht="15.75" customHeight="1">
      <c r="A953" s="937"/>
      <c r="B953" s="937"/>
      <c r="C953" s="937"/>
      <c r="D953" s="937"/>
      <c r="E953" s="937"/>
      <c r="F953" s="937"/>
      <c r="G953" s="937"/>
      <c r="H953" s="937"/>
      <c r="I953" s="937"/>
      <c r="J953" s="937"/>
      <c r="K953" s="937"/>
      <c r="L953" s="937"/>
      <c r="M953" s="937"/>
      <c r="N953" s="937"/>
      <c r="O953" s="937"/>
      <c r="P953" s="937"/>
      <c r="Q953" s="937"/>
      <c r="R953" s="937"/>
      <c r="S953" s="937"/>
      <c r="T953" s="937"/>
      <c r="U953" s="937"/>
      <c r="V953" s="937"/>
      <c r="W953" s="937"/>
      <c r="X953" s="937"/>
      <c r="Y953" s="937"/>
      <c r="Z953" s="937"/>
    </row>
    <row r="954" spans="1:26" ht="15.75" customHeight="1">
      <c r="A954" s="937"/>
      <c r="B954" s="937"/>
      <c r="C954" s="937"/>
      <c r="D954" s="937"/>
      <c r="E954" s="937"/>
      <c r="F954" s="937"/>
      <c r="G954" s="937"/>
      <c r="H954" s="937"/>
      <c r="I954" s="937"/>
      <c r="J954" s="937"/>
      <c r="K954" s="937"/>
      <c r="L954" s="937"/>
      <c r="M954" s="937"/>
      <c r="N954" s="937"/>
      <c r="O954" s="937"/>
      <c r="P954" s="937"/>
      <c r="Q954" s="937"/>
      <c r="R954" s="937"/>
      <c r="S954" s="937"/>
      <c r="T954" s="937"/>
      <c r="U954" s="937"/>
      <c r="V954" s="937"/>
      <c r="W954" s="937"/>
      <c r="X954" s="937"/>
      <c r="Y954" s="937"/>
      <c r="Z954" s="937"/>
    </row>
    <row r="955" spans="1:26" ht="15.75" customHeight="1">
      <c r="A955" s="937"/>
      <c r="B955" s="937"/>
      <c r="C955" s="937"/>
      <c r="D955" s="937"/>
      <c r="E955" s="937"/>
      <c r="F955" s="937"/>
      <c r="G955" s="937"/>
      <c r="H955" s="937"/>
      <c r="I955" s="937"/>
      <c r="J955" s="937"/>
      <c r="K955" s="937"/>
      <c r="L955" s="937"/>
      <c r="M955" s="937"/>
      <c r="N955" s="937"/>
      <c r="O955" s="937"/>
      <c r="P955" s="937"/>
      <c r="Q955" s="937"/>
      <c r="R955" s="937"/>
      <c r="S955" s="937"/>
      <c r="T955" s="937"/>
      <c r="U955" s="937"/>
      <c r="V955" s="937"/>
      <c r="W955" s="937"/>
      <c r="X955" s="937"/>
      <c r="Y955" s="937"/>
      <c r="Z955" s="937"/>
    </row>
    <row r="956" spans="1:26" ht="15.75" customHeight="1">
      <c r="A956" s="937"/>
      <c r="B956" s="937"/>
      <c r="C956" s="937"/>
      <c r="D956" s="937"/>
      <c r="E956" s="937"/>
      <c r="F956" s="937"/>
      <c r="G956" s="937"/>
      <c r="H956" s="937"/>
      <c r="I956" s="937"/>
      <c r="J956" s="937"/>
      <c r="K956" s="937"/>
      <c r="L956" s="937"/>
      <c r="M956" s="937"/>
      <c r="N956" s="937"/>
      <c r="O956" s="937"/>
      <c r="P956" s="937"/>
      <c r="Q956" s="937"/>
      <c r="R956" s="937"/>
      <c r="S956" s="937"/>
      <c r="T956" s="937"/>
      <c r="U956" s="937"/>
      <c r="V956" s="937"/>
      <c r="W956" s="937"/>
      <c r="X956" s="937"/>
      <c r="Y956" s="937"/>
      <c r="Z956" s="937"/>
    </row>
    <row r="957" spans="1:26" ht="15.75" customHeight="1">
      <c r="A957" s="937"/>
      <c r="B957" s="937"/>
      <c r="C957" s="937"/>
      <c r="D957" s="937"/>
      <c r="E957" s="937"/>
      <c r="F957" s="937"/>
      <c r="G957" s="937"/>
      <c r="H957" s="937"/>
      <c r="I957" s="937"/>
      <c r="J957" s="937"/>
      <c r="K957" s="937"/>
      <c r="L957" s="937"/>
      <c r="M957" s="937"/>
      <c r="N957" s="937"/>
      <c r="O957" s="937"/>
      <c r="P957" s="937"/>
      <c r="Q957" s="937"/>
      <c r="R957" s="937"/>
      <c r="S957" s="937"/>
      <c r="T957" s="937"/>
      <c r="U957" s="937"/>
      <c r="V957" s="937"/>
      <c r="W957" s="937"/>
      <c r="X957" s="937"/>
      <c r="Y957" s="937"/>
      <c r="Z957" s="937"/>
    </row>
    <row r="958" spans="1:26" ht="15.75" customHeight="1">
      <c r="A958" s="937"/>
      <c r="B958" s="937"/>
      <c r="C958" s="937"/>
      <c r="D958" s="937"/>
      <c r="E958" s="937"/>
      <c r="F958" s="937"/>
      <c r="G958" s="937"/>
      <c r="H958" s="937"/>
      <c r="I958" s="937"/>
      <c r="J958" s="937"/>
      <c r="K958" s="937"/>
      <c r="L958" s="937"/>
      <c r="M958" s="937"/>
      <c r="N958" s="937"/>
      <c r="O958" s="937"/>
      <c r="P958" s="937"/>
      <c r="Q958" s="937"/>
      <c r="R958" s="937"/>
      <c r="S958" s="937"/>
      <c r="T958" s="937"/>
      <c r="U958" s="937"/>
      <c r="V958" s="937"/>
      <c r="W958" s="937"/>
      <c r="X958" s="937"/>
      <c r="Y958" s="937"/>
      <c r="Z958" s="937"/>
    </row>
    <row r="959" spans="1:26" ht="15.75" customHeight="1">
      <c r="A959" s="937"/>
      <c r="B959" s="937"/>
      <c r="C959" s="937"/>
      <c r="D959" s="937"/>
      <c r="E959" s="937"/>
      <c r="F959" s="937"/>
      <c r="G959" s="937"/>
      <c r="H959" s="937"/>
      <c r="I959" s="937"/>
      <c r="J959" s="937"/>
      <c r="K959" s="937"/>
      <c r="L959" s="937"/>
      <c r="M959" s="937"/>
      <c r="N959" s="937"/>
      <c r="O959" s="937"/>
      <c r="P959" s="937"/>
      <c r="Q959" s="937"/>
      <c r="R959" s="937"/>
      <c r="S959" s="937"/>
      <c r="T959" s="937"/>
      <c r="U959" s="937"/>
      <c r="V959" s="937"/>
      <c r="W959" s="937"/>
      <c r="X959" s="937"/>
      <c r="Y959" s="937"/>
      <c r="Z959" s="937"/>
    </row>
    <row r="960" spans="1:26" ht="15.75" customHeight="1">
      <c r="A960" s="937"/>
      <c r="B960" s="937"/>
      <c r="C960" s="937"/>
      <c r="D960" s="937"/>
      <c r="E960" s="937"/>
      <c r="F960" s="937"/>
      <c r="G960" s="937"/>
      <c r="H960" s="937"/>
      <c r="I960" s="937"/>
      <c r="J960" s="937"/>
      <c r="K960" s="937"/>
      <c r="L960" s="937"/>
      <c r="M960" s="937"/>
      <c r="N960" s="937"/>
      <c r="O960" s="937"/>
      <c r="P960" s="937"/>
      <c r="Q960" s="937"/>
      <c r="R960" s="937"/>
      <c r="S960" s="937"/>
      <c r="T960" s="937"/>
      <c r="U960" s="937"/>
      <c r="V960" s="937"/>
      <c r="W960" s="937"/>
      <c r="X960" s="937"/>
      <c r="Y960" s="937"/>
      <c r="Z960" s="937"/>
    </row>
    <row r="961" spans="1:26" ht="15.75" customHeight="1">
      <c r="A961" s="937"/>
      <c r="B961" s="937"/>
      <c r="C961" s="937"/>
      <c r="D961" s="937"/>
      <c r="E961" s="937"/>
      <c r="F961" s="937"/>
      <c r="G961" s="937"/>
      <c r="H961" s="937"/>
      <c r="I961" s="937"/>
      <c r="J961" s="937"/>
      <c r="K961" s="937"/>
      <c r="L961" s="937"/>
      <c r="M961" s="937"/>
      <c r="N961" s="937"/>
      <c r="O961" s="937"/>
      <c r="P961" s="937"/>
      <c r="Q961" s="937"/>
      <c r="R961" s="937"/>
      <c r="S961" s="937"/>
      <c r="T961" s="937"/>
      <c r="U961" s="937"/>
      <c r="V961" s="937"/>
      <c r="W961" s="937"/>
      <c r="X961" s="937"/>
      <c r="Y961" s="937"/>
      <c r="Z961" s="937"/>
    </row>
    <row r="962" spans="1:26" ht="15.75" customHeight="1">
      <c r="A962" s="937"/>
      <c r="B962" s="937"/>
      <c r="C962" s="937"/>
      <c r="D962" s="937"/>
      <c r="E962" s="937"/>
      <c r="F962" s="937"/>
      <c r="G962" s="937"/>
      <c r="H962" s="937"/>
      <c r="I962" s="937"/>
      <c r="J962" s="937"/>
      <c r="K962" s="937"/>
      <c r="L962" s="937"/>
      <c r="M962" s="937"/>
      <c r="N962" s="937"/>
      <c r="O962" s="937"/>
      <c r="P962" s="937"/>
      <c r="Q962" s="937"/>
      <c r="R962" s="937"/>
      <c r="S962" s="937"/>
      <c r="T962" s="937"/>
      <c r="U962" s="937"/>
      <c r="V962" s="937"/>
      <c r="W962" s="937"/>
      <c r="X962" s="937"/>
      <c r="Y962" s="937"/>
      <c r="Z962" s="937"/>
    </row>
    <row r="963" spans="1:26" ht="15.75" customHeight="1">
      <c r="A963" s="937"/>
      <c r="B963" s="937"/>
      <c r="C963" s="937"/>
      <c r="D963" s="937"/>
      <c r="E963" s="937"/>
      <c r="F963" s="937"/>
      <c r="G963" s="937"/>
      <c r="H963" s="937"/>
      <c r="I963" s="937"/>
      <c r="J963" s="937"/>
      <c r="K963" s="937"/>
      <c r="L963" s="937"/>
      <c r="M963" s="937"/>
      <c r="N963" s="937"/>
      <c r="O963" s="937"/>
      <c r="P963" s="937"/>
      <c r="Q963" s="937"/>
      <c r="R963" s="937"/>
      <c r="S963" s="937"/>
      <c r="T963" s="937"/>
      <c r="U963" s="937"/>
      <c r="V963" s="937"/>
      <c r="W963" s="937"/>
      <c r="X963" s="937"/>
      <c r="Y963" s="937"/>
      <c r="Z963" s="937"/>
    </row>
    <row r="964" spans="1:26" ht="15.75" customHeight="1">
      <c r="A964" s="937"/>
      <c r="B964" s="937"/>
      <c r="C964" s="937"/>
      <c r="D964" s="937"/>
      <c r="E964" s="937"/>
      <c r="F964" s="937"/>
      <c r="G964" s="937"/>
      <c r="H964" s="937"/>
      <c r="I964" s="937"/>
      <c r="J964" s="937"/>
      <c r="K964" s="937"/>
      <c r="L964" s="937"/>
      <c r="M964" s="937"/>
      <c r="N964" s="937"/>
      <c r="O964" s="937"/>
      <c r="P964" s="937"/>
      <c r="Q964" s="937"/>
      <c r="R964" s="937"/>
      <c r="S964" s="937"/>
      <c r="T964" s="937"/>
      <c r="U964" s="937"/>
      <c r="V964" s="937"/>
      <c r="W964" s="937"/>
      <c r="X964" s="937"/>
      <c r="Y964" s="937"/>
      <c r="Z964" s="937"/>
    </row>
    <row r="965" spans="1:26" ht="15.75" customHeight="1">
      <c r="A965" s="937"/>
      <c r="B965" s="937"/>
      <c r="C965" s="937"/>
      <c r="D965" s="937"/>
      <c r="E965" s="937"/>
      <c r="F965" s="937"/>
      <c r="G965" s="937"/>
      <c r="H965" s="937"/>
      <c r="I965" s="937"/>
      <c r="J965" s="937"/>
      <c r="K965" s="937"/>
      <c r="L965" s="937"/>
      <c r="M965" s="937"/>
      <c r="N965" s="937"/>
      <c r="O965" s="937"/>
      <c r="P965" s="937"/>
      <c r="Q965" s="937"/>
      <c r="R965" s="937"/>
      <c r="S965" s="937"/>
      <c r="T965" s="937"/>
      <c r="U965" s="937"/>
      <c r="V965" s="937"/>
      <c r="W965" s="937"/>
      <c r="X965" s="937"/>
      <c r="Y965" s="937"/>
      <c r="Z965" s="937"/>
    </row>
    <row r="966" spans="1:26" ht="15.75" customHeight="1">
      <c r="A966" s="937"/>
      <c r="B966" s="937"/>
      <c r="C966" s="937"/>
      <c r="D966" s="937"/>
      <c r="E966" s="937"/>
      <c r="F966" s="937"/>
      <c r="G966" s="937"/>
      <c r="H966" s="937"/>
      <c r="I966" s="937"/>
      <c r="J966" s="937"/>
      <c r="K966" s="937"/>
      <c r="L966" s="937"/>
      <c r="M966" s="937"/>
      <c r="N966" s="937"/>
      <c r="O966" s="937"/>
      <c r="P966" s="937"/>
      <c r="Q966" s="937"/>
      <c r="R966" s="937"/>
      <c r="S966" s="937"/>
      <c r="T966" s="937"/>
      <c r="U966" s="937"/>
      <c r="V966" s="937"/>
      <c r="W966" s="937"/>
      <c r="X966" s="937"/>
      <c r="Y966" s="937"/>
      <c r="Z966" s="937"/>
    </row>
    <row r="967" spans="1:26" ht="15.75" customHeight="1">
      <c r="A967" s="937"/>
      <c r="B967" s="937"/>
      <c r="C967" s="937"/>
      <c r="D967" s="937"/>
      <c r="E967" s="937"/>
      <c r="F967" s="937"/>
      <c r="G967" s="937"/>
      <c r="H967" s="937"/>
      <c r="I967" s="937"/>
      <c r="J967" s="937"/>
      <c r="K967" s="937"/>
      <c r="L967" s="937"/>
      <c r="M967" s="937"/>
      <c r="N967" s="937"/>
      <c r="O967" s="937"/>
      <c r="P967" s="937"/>
      <c r="Q967" s="937"/>
      <c r="R967" s="937"/>
      <c r="S967" s="937"/>
      <c r="T967" s="937"/>
      <c r="U967" s="937"/>
      <c r="V967" s="937"/>
      <c r="W967" s="937"/>
      <c r="X967" s="937"/>
      <c r="Y967" s="937"/>
      <c r="Z967" s="937"/>
    </row>
    <row r="968" spans="1:26" ht="15.75" customHeight="1">
      <c r="A968" s="937"/>
      <c r="B968" s="937"/>
      <c r="C968" s="937"/>
      <c r="D968" s="937"/>
      <c r="E968" s="937"/>
      <c r="F968" s="937"/>
      <c r="G968" s="937"/>
      <c r="H968" s="937"/>
      <c r="I968" s="937"/>
      <c r="J968" s="937"/>
      <c r="K968" s="937"/>
      <c r="L968" s="937"/>
      <c r="M968" s="937"/>
      <c r="N968" s="937"/>
      <c r="O968" s="937"/>
      <c r="P968" s="937"/>
      <c r="Q968" s="937"/>
      <c r="R968" s="937"/>
      <c r="S968" s="937"/>
      <c r="T968" s="937"/>
      <c r="U968" s="937"/>
      <c r="V968" s="937"/>
      <c r="W968" s="937"/>
      <c r="X968" s="937"/>
      <c r="Y968" s="937"/>
      <c r="Z968" s="937"/>
    </row>
    <row r="969" spans="1:26" ht="15.75" customHeight="1">
      <c r="A969" s="937"/>
      <c r="B969" s="937"/>
      <c r="C969" s="937"/>
      <c r="D969" s="937"/>
      <c r="E969" s="937"/>
      <c r="F969" s="937"/>
      <c r="G969" s="937"/>
      <c r="H969" s="937"/>
      <c r="I969" s="937"/>
      <c r="J969" s="937"/>
      <c r="K969" s="937"/>
      <c r="L969" s="937"/>
      <c r="M969" s="937"/>
      <c r="N969" s="937"/>
      <c r="O969" s="937"/>
      <c r="P969" s="937"/>
      <c r="Q969" s="937"/>
      <c r="R969" s="937"/>
      <c r="S969" s="937"/>
      <c r="T969" s="937"/>
      <c r="U969" s="937"/>
      <c r="V969" s="937"/>
      <c r="W969" s="937"/>
      <c r="X969" s="937"/>
      <c r="Y969" s="937"/>
      <c r="Z969" s="937"/>
    </row>
    <row r="970" spans="1:26" ht="15.75" customHeight="1">
      <c r="A970" s="937"/>
      <c r="B970" s="937"/>
      <c r="C970" s="937"/>
      <c r="D970" s="937"/>
      <c r="E970" s="937"/>
      <c r="F970" s="937"/>
      <c r="G970" s="937"/>
      <c r="H970" s="937"/>
      <c r="I970" s="937"/>
      <c r="J970" s="937"/>
      <c r="K970" s="937"/>
      <c r="L970" s="937"/>
      <c r="M970" s="937"/>
      <c r="N970" s="937"/>
      <c r="O970" s="937"/>
      <c r="P970" s="937"/>
      <c r="Q970" s="937"/>
      <c r="R970" s="937"/>
      <c r="S970" s="937"/>
      <c r="T970" s="937"/>
      <c r="U970" s="937"/>
      <c r="V970" s="937"/>
      <c r="W970" s="937"/>
      <c r="X970" s="937"/>
      <c r="Y970" s="937"/>
      <c r="Z970" s="937"/>
    </row>
    <row r="971" spans="1:26" ht="15.75" customHeight="1">
      <c r="A971" s="937"/>
      <c r="B971" s="937"/>
      <c r="C971" s="937"/>
      <c r="D971" s="937"/>
      <c r="E971" s="937"/>
      <c r="F971" s="937"/>
      <c r="G971" s="937"/>
      <c r="H971" s="937"/>
      <c r="I971" s="937"/>
      <c r="J971" s="937"/>
      <c r="K971" s="937"/>
      <c r="L971" s="937"/>
      <c r="M971" s="937"/>
      <c r="N971" s="937"/>
      <c r="O971" s="937"/>
      <c r="P971" s="937"/>
      <c r="Q971" s="937"/>
      <c r="R971" s="937"/>
      <c r="S971" s="937"/>
      <c r="T971" s="937"/>
      <c r="U971" s="937"/>
      <c r="V971" s="937"/>
      <c r="W971" s="937"/>
      <c r="X971" s="937"/>
      <c r="Y971" s="937"/>
      <c r="Z971" s="937"/>
    </row>
    <row r="972" spans="1:26" ht="15.75" customHeight="1">
      <c r="A972" s="937"/>
      <c r="B972" s="937"/>
      <c r="C972" s="937"/>
      <c r="D972" s="937"/>
      <c r="E972" s="937"/>
      <c r="F972" s="937"/>
      <c r="G972" s="937"/>
      <c r="H972" s="937"/>
      <c r="I972" s="937"/>
      <c r="J972" s="937"/>
      <c r="K972" s="937"/>
      <c r="L972" s="937"/>
      <c r="M972" s="937"/>
      <c r="N972" s="937"/>
      <c r="O972" s="937"/>
      <c r="P972" s="937"/>
      <c r="Q972" s="937"/>
      <c r="R972" s="937"/>
      <c r="S972" s="937"/>
      <c r="T972" s="937"/>
      <c r="U972" s="937"/>
      <c r="V972" s="937"/>
      <c r="W972" s="937"/>
      <c r="X972" s="937"/>
      <c r="Y972" s="937"/>
      <c r="Z972" s="937"/>
    </row>
    <row r="973" spans="1:26" ht="15.75" customHeight="1">
      <c r="A973" s="937"/>
      <c r="B973" s="937"/>
      <c r="C973" s="937"/>
      <c r="D973" s="937"/>
      <c r="E973" s="937"/>
      <c r="F973" s="937"/>
      <c r="G973" s="937"/>
      <c r="H973" s="937"/>
      <c r="I973" s="937"/>
      <c r="J973" s="937"/>
      <c r="K973" s="937"/>
      <c r="L973" s="937"/>
      <c r="M973" s="937"/>
      <c r="N973" s="937"/>
      <c r="O973" s="937"/>
      <c r="P973" s="937"/>
      <c r="Q973" s="937"/>
      <c r="R973" s="937"/>
      <c r="S973" s="937"/>
      <c r="T973" s="937"/>
      <c r="U973" s="937"/>
      <c r="V973" s="937"/>
      <c r="W973" s="937"/>
      <c r="X973" s="937"/>
      <c r="Y973" s="937"/>
      <c r="Z973" s="937"/>
    </row>
    <row r="974" spans="1:26" ht="15.75" customHeight="1">
      <c r="A974" s="937"/>
      <c r="B974" s="937"/>
      <c r="C974" s="937"/>
      <c r="D974" s="937"/>
      <c r="E974" s="937"/>
      <c r="F974" s="937"/>
      <c r="G974" s="937"/>
      <c r="H974" s="937"/>
      <c r="I974" s="937"/>
      <c r="J974" s="937"/>
      <c r="K974" s="937"/>
      <c r="L974" s="937"/>
      <c r="M974" s="937"/>
      <c r="N974" s="937"/>
      <c r="O974" s="937"/>
      <c r="P974" s="937"/>
      <c r="Q974" s="937"/>
      <c r="R974" s="937"/>
      <c r="S974" s="937"/>
      <c r="T974" s="937"/>
      <c r="U974" s="937"/>
      <c r="V974" s="937"/>
      <c r="W974" s="937"/>
      <c r="X974" s="937"/>
      <c r="Y974" s="937"/>
      <c r="Z974" s="937"/>
    </row>
    <row r="975" spans="1:26" ht="15.75" customHeight="1">
      <c r="A975" s="937"/>
      <c r="B975" s="937"/>
      <c r="C975" s="937"/>
      <c r="D975" s="937"/>
      <c r="E975" s="937"/>
      <c r="F975" s="937"/>
      <c r="G975" s="937"/>
      <c r="H975" s="937"/>
      <c r="I975" s="937"/>
      <c r="J975" s="937"/>
      <c r="K975" s="937"/>
      <c r="L975" s="937"/>
      <c r="M975" s="937"/>
      <c r="N975" s="937"/>
      <c r="O975" s="937"/>
      <c r="P975" s="937"/>
      <c r="Q975" s="937"/>
      <c r="R975" s="937"/>
      <c r="S975" s="937"/>
      <c r="T975" s="937"/>
      <c r="U975" s="937"/>
      <c r="V975" s="937"/>
      <c r="W975" s="937"/>
      <c r="X975" s="937"/>
      <c r="Y975" s="937"/>
      <c r="Z975" s="937"/>
    </row>
    <row r="976" spans="1:26" ht="15.75" customHeight="1">
      <c r="A976" s="937"/>
      <c r="B976" s="937"/>
      <c r="C976" s="937"/>
      <c r="D976" s="937"/>
      <c r="E976" s="937"/>
      <c r="F976" s="937"/>
      <c r="G976" s="937"/>
      <c r="H976" s="937"/>
      <c r="I976" s="937"/>
      <c r="J976" s="937"/>
      <c r="K976" s="937"/>
      <c r="L976" s="937"/>
      <c r="M976" s="937"/>
      <c r="N976" s="937"/>
      <c r="O976" s="937"/>
      <c r="P976" s="937"/>
      <c r="Q976" s="937"/>
      <c r="R976" s="937"/>
      <c r="S976" s="937"/>
      <c r="T976" s="937"/>
      <c r="U976" s="937"/>
      <c r="V976" s="937"/>
      <c r="W976" s="937"/>
      <c r="X976" s="937"/>
      <c r="Y976" s="937"/>
      <c r="Z976" s="937"/>
    </row>
    <row r="977" spans="1:26" ht="15.75" customHeight="1">
      <c r="A977" s="937"/>
      <c r="B977" s="937"/>
      <c r="C977" s="937"/>
      <c r="D977" s="937"/>
      <c r="E977" s="937"/>
      <c r="F977" s="937"/>
      <c r="G977" s="937"/>
      <c r="H977" s="937"/>
      <c r="I977" s="937"/>
      <c r="J977" s="937"/>
      <c r="K977" s="937"/>
      <c r="L977" s="937"/>
      <c r="M977" s="937"/>
      <c r="N977" s="937"/>
      <c r="O977" s="937"/>
      <c r="P977" s="937"/>
      <c r="Q977" s="937"/>
      <c r="R977" s="937"/>
      <c r="S977" s="937"/>
      <c r="T977" s="937"/>
      <c r="U977" s="937"/>
      <c r="V977" s="937"/>
      <c r="W977" s="937"/>
      <c r="X977" s="937"/>
      <c r="Y977" s="937"/>
      <c r="Z977" s="937"/>
    </row>
    <row r="978" spans="1:26" ht="15.75" customHeight="1">
      <c r="A978" s="937"/>
      <c r="B978" s="937"/>
      <c r="C978" s="937"/>
      <c r="D978" s="937"/>
      <c r="E978" s="937"/>
      <c r="F978" s="937"/>
      <c r="G978" s="937"/>
      <c r="H978" s="937"/>
      <c r="I978" s="937"/>
      <c r="J978" s="937"/>
      <c r="K978" s="937"/>
      <c r="L978" s="937"/>
      <c r="M978" s="937"/>
      <c r="N978" s="937"/>
      <c r="O978" s="937"/>
      <c r="P978" s="937"/>
      <c r="Q978" s="937"/>
      <c r="R978" s="937"/>
      <c r="S978" s="937"/>
      <c r="T978" s="937"/>
      <c r="U978" s="937"/>
      <c r="V978" s="937"/>
      <c r="W978" s="937"/>
      <c r="X978" s="937"/>
      <c r="Y978" s="937"/>
      <c r="Z978" s="937"/>
    </row>
    <row r="979" spans="1:26" ht="15.75" customHeight="1">
      <c r="A979" s="937"/>
      <c r="B979" s="937"/>
      <c r="C979" s="937"/>
      <c r="D979" s="937"/>
      <c r="E979" s="937"/>
      <c r="F979" s="937"/>
      <c r="G979" s="937"/>
      <c r="H979" s="937"/>
      <c r="I979" s="937"/>
      <c r="J979" s="937"/>
      <c r="K979" s="937"/>
      <c r="L979" s="937"/>
      <c r="M979" s="937"/>
      <c r="N979" s="937"/>
      <c r="O979" s="937"/>
      <c r="P979" s="937"/>
      <c r="Q979" s="937"/>
      <c r="R979" s="937"/>
      <c r="S979" s="937"/>
      <c r="T979" s="937"/>
      <c r="U979" s="937"/>
      <c r="V979" s="937"/>
      <c r="W979" s="937"/>
      <c r="X979" s="937"/>
      <c r="Y979" s="937"/>
      <c r="Z979" s="937"/>
    </row>
    <row r="980" spans="1:26" ht="15.75" customHeight="1">
      <c r="A980" s="937"/>
      <c r="B980" s="937"/>
      <c r="C980" s="937"/>
      <c r="D980" s="937"/>
      <c r="E980" s="937"/>
      <c r="F980" s="937"/>
      <c r="G980" s="937"/>
      <c r="H980" s="937"/>
      <c r="I980" s="937"/>
      <c r="J980" s="937"/>
      <c r="K980" s="937"/>
      <c r="L980" s="937"/>
      <c r="M980" s="937"/>
      <c r="N980" s="937"/>
      <c r="O980" s="937"/>
      <c r="P980" s="937"/>
      <c r="Q980" s="937"/>
      <c r="R980" s="937"/>
      <c r="S980" s="937"/>
      <c r="T980" s="937"/>
      <c r="U980" s="937"/>
      <c r="V980" s="937"/>
      <c r="W980" s="937"/>
      <c r="X980" s="937"/>
      <c r="Y980" s="937"/>
      <c r="Z980" s="937"/>
    </row>
    <row r="981" spans="1:26" ht="15.75" customHeight="1">
      <c r="A981" s="937"/>
      <c r="B981" s="937"/>
      <c r="C981" s="937"/>
      <c r="D981" s="937"/>
      <c r="E981" s="937"/>
      <c r="F981" s="937"/>
      <c r="G981" s="937"/>
      <c r="H981" s="937"/>
      <c r="I981" s="937"/>
      <c r="J981" s="937"/>
      <c r="K981" s="937"/>
      <c r="L981" s="937"/>
      <c r="M981" s="937"/>
      <c r="N981" s="937"/>
      <c r="O981" s="937"/>
      <c r="P981" s="937"/>
      <c r="Q981" s="937"/>
      <c r="R981" s="937"/>
      <c r="S981" s="937"/>
      <c r="T981" s="937"/>
      <c r="U981" s="937"/>
      <c r="V981" s="937"/>
      <c r="W981" s="937"/>
      <c r="X981" s="937"/>
      <c r="Y981" s="937"/>
      <c r="Z981" s="937"/>
    </row>
    <row r="982" spans="1:26" ht="15.75" customHeight="1">
      <c r="A982" s="937"/>
      <c r="B982" s="937"/>
      <c r="C982" s="937"/>
      <c r="D982" s="937"/>
      <c r="E982" s="937"/>
      <c r="F982" s="937"/>
      <c r="G982" s="937"/>
      <c r="H982" s="937"/>
      <c r="I982" s="937"/>
      <c r="J982" s="937"/>
      <c r="K982" s="937"/>
      <c r="L982" s="937"/>
      <c r="M982" s="937"/>
      <c r="N982" s="937"/>
      <c r="O982" s="937"/>
      <c r="P982" s="937"/>
      <c r="Q982" s="937"/>
      <c r="R982" s="937"/>
      <c r="S982" s="937"/>
      <c r="T982" s="937"/>
      <c r="U982" s="937"/>
      <c r="V982" s="937"/>
      <c r="W982" s="937"/>
      <c r="X982" s="937"/>
      <c r="Y982" s="937"/>
      <c r="Z982" s="937"/>
    </row>
    <row r="983" spans="1:26" ht="15.75" customHeight="1">
      <c r="A983" s="937"/>
      <c r="B983" s="937"/>
      <c r="C983" s="937"/>
      <c r="D983" s="937"/>
      <c r="E983" s="937"/>
      <c r="F983" s="937"/>
      <c r="G983" s="937"/>
      <c r="H983" s="937"/>
      <c r="I983" s="937"/>
      <c r="J983" s="937"/>
      <c r="K983" s="937"/>
      <c r="L983" s="937"/>
      <c r="M983" s="937"/>
      <c r="N983" s="937"/>
      <c r="O983" s="937"/>
      <c r="P983" s="937"/>
      <c r="Q983" s="937"/>
      <c r="R983" s="937"/>
      <c r="S983" s="937"/>
      <c r="T983" s="937"/>
      <c r="U983" s="937"/>
      <c r="V983" s="937"/>
      <c r="W983" s="937"/>
      <c r="X983" s="937"/>
      <c r="Y983" s="937"/>
      <c r="Z983" s="937"/>
    </row>
    <row r="984" spans="1:26" ht="15.75" customHeight="1">
      <c r="A984" s="937"/>
      <c r="B984" s="937"/>
      <c r="C984" s="937"/>
      <c r="D984" s="937"/>
      <c r="E984" s="937"/>
      <c r="F984" s="937"/>
      <c r="G984" s="937"/>
      <c r="H984" s="937"/>
      <c r="I984" s="937"/>
      <c r="J984" s="937"/>
      <c r="K984" s="937"/>
      <c r="L984" s="937"/>
      <c r="M984" s="937"/>
      <c r="N984" s="937"/>
      <c r="O984" s="937"/>
      <c r="P984" s="937"/>
      <c r="Q984" s="937"/>
      <c r="R984" s="937"/>
      <c r="S984" s="937"/>
      <c r="T984" s="937"/>
      <c r="U984" s="937"/>
      <c r="V984" s="937"/>
      <c r="W984" s="937"/>
      <c r="X984" s="937"/>
      <c r="Y984" s="937"/>
      <c r="Z984" s="937"/>
    </row>
    <row r="985" spans="1:26" ht="15.75" customHeight="1">
      <c r="A985" s="937"/>
      <c r="B985" s="937"/>
      <c r="C985" s="937"/>
      <c r="D985" s="937"/>
      <c r="E985" s="937"/>
      <c r="F985" s="937"/>
      <c r="G985" s="937"/>
      <c r="H985" s="937"/>
      <c r="I985" s="937"/>
      <c r="J985" s="937"/>
      <c r="K985" s="937"/>
      <c r="L985" s="937"/>
      <c r="M985" s="937"/>
      <c r="N985" s="937"/>
      <c r="O985" s="937"/>
      <c r="P985" s="937"/>
      <c r="Q985" s="937"/>
      <c r="R985" s="937"/>
      <c r="S985" s="937"/>
      <c r="T985" s="937"/>
      <c r="U985" s="937"/>
      <c r="V985" s="937"/>
      <c r="W985" s="937"/>
      <c r="X985" s="937"/>
      <c r="Y985" s="937"/>
      <c r="Z985" s="937"/>
    </row>
    <row r="986" spans="1:26" ht="15.75" customHeight="1">
      <c r="A986" s="937"/>
      <c r="B986" s="937"/>
      <c r="C986" s="937"/>
      <c r="D986" s="937"/>
      <c r="E986" s="937"/>
      <c r="F986" s="937"/>
      <c r="G986" s="937"/>
      <c r="H986" s="937"/>
      <c r="I986" s="937"/>
      <c r="J986" s="937"/>
      <c r="K986" s="937"/>
      <c r="L986" s="937"/>
      <c r="M986" s="937"/>
      <c r="N986" s="937"/>
      <c r="O986" s="937"/>
      <c r="P986" s="937"/>
      <c r="Q986" s="937"/>
      <c r="R986" s="937"/>
      <c r="S986" s="937"/>
      <c r="T986" s="937"/>
      <c r="U986" s="937"/>
      <c r="V986" s="937"/>
      <c r="W986" s="937"/>
      <c r="X986" s="937"/>
      <c r="Y986" s="937"/>
      <c r="Z986" s="937"/>
    </row>
    <row r="987" spans="1:26" ht="15.75" customHeight="1">
      <c r="A987" s="937"/>
      <c r="B987" s="937"/>
      <c r="C987" s="937"/>
      <c r="D987" s="937"/>
      <c r="E987" s="937"/>
      <c r="F987" s="937"/>
      <c r="G987" s="937"/>
      <c r="H987" s="937"/>
      <c r="I987" s="937"/>
      <c r="J987" s="937"/>
      <c r="K987" s="937"/>
      <c r="L987" s="937"/>
      <c r="M987" s="937"/>
      <c r="N987" s="937"/>
      <c r="O987" s="937"/>
      <c r="P987" s="937"/>
      <c r="Q987" s="937"/>
      <c r="R987" s="937"/>
      <c r="S987" s="937"/>
      <c r="T987" s="937"/>
      <c r="U987" s="937"/>
      <c r="V987" s="937"/>
      <c r="W987" s="937"/>
      <c r="X987" s="937"/>
      <c r="Y987" s="937"/>
      <c r="Z987" s="937"/>
    </row>
    <row r="988" spans="1:26" ht="15.75" customHeight="1">
      <c r="A988" s="937"/>
      <c r="B988" s="937"/>
      <c r="C988" s="937"/>
      <c r="D988" s="937"/>
      <c r="E988" s="937"/>
      <c r="F988" s="937"/>
      <c r="G988" s="937"/>
      <c r="H988" s="937"/>
      <c r="I988" s="937"/>
      <c r="J988" s="937"/>
      <c r="K988" s="937"/>
      <c r="L988" s="937"/>
      <c r="M988" s="937"/>
      <c r="N988" s="937"/>
      <c r="O988" s="937"/>
      <c r="P988" s="937"/>
      <c r="Q988" s="937"/>
      <c r="R988" s="937"/>
      <c r="S988" s="937"/>
      <c r="T988" s="937"/>
      <c r="U988" s="937"/>
      <c r="V988" s="937"/>
      <c r="W988" s="937"/>
      <c r="X988" s="937"/>
      <c r="Y988" s="937"/>
      <c r="Z988" s="937"/>
    </row>
    <row r="989" spans="1:26" ht="15.75" customHeight="1">
      <c r="A989" s="937"/>
      <c r="B989" s="937"/>
      <c r="C989" s="937"/>
      <c r="D989" s="937"/>
      <c r="E989" s="937"/>
      <c r="F989" s="937"/>
      <c r="G989" s="937"/>
      <c r="H989" s="937"/>
      <c r="I989" s="937"/>
      <c r="J989" s="937"/>
      <c r="K989" s="937"/>
      <c r="L989" s="937"/>
      <c r="M989" s="937"/>
      <c r="N989" s="937"/>
      <c r="O989" s="937"/>
      <c r="P989" s="937"/>
      <c r="Q989" s="937"/>
      <c r="R989" s="937"/>
      <c r="S989" s="937"/>
      <c r="T989" s="937"/>
      <c r="U989" s="937"/>
      <c r="V989" s="937"/>
      <c r="W989" s="937"/>
      <c r="X989" s="937"/>
      <c r="Y989" s="937"/>
      <c r="Z989" s="937"/>
    </row>
    <row r="990" spans="1:26" ht="15.75" customHeight="1">
      <c r="A990" s="937"/>
      <c r="B990" s="937"/>
      <c r="C990" s="937"/>
      <c r="D990" s="937"/>
      <c r="E990" s="937"/>
      <c r="F990" s="937"/>
      <c r="G990" s="937"/>
      <c r="H990" s="937"/>
      <c r="I990" s="937"/>
      <c r="J990" s="937"/>
      <c r="K990" s="937"/>
      <c r="L990" s="937"/>
      <c r="M990" s="937"/>
      <c r="N990" s="937"/>
      <c r="O990" s="937"/>
      <c r="P990" s="937"/>
      <c r="Q990" s="937"/>
      <c r="R990" s="937"/>
      <c r="S990" s="937"/>
      <c r="T990" s="937"/>
      <c r="U990" s="937"/>
      <c r="V990" s="937"/>
      <c r="W990" s="937"/>
      <c r="X990" s="937"/>
      <c r="Y990" s="937"/>
      <c r="Z990" s="937"/>
    </row>
    <row r="991" spans="1:26" ht="15.75" customHeight="1">
      <c r="A991" s="937"/>
      <c r="B991" s="937"/>
      <c r="C991" s="937"/>
      <c r="D991" s="937"/>
      <c r="E991" s="937"/>
      <c r="F991" s="937"/>
      <c r="G991" s="937"/>
      <c r="H991" s="937"/>
      <c r="I991" s="937"/>
      <c r="J991" s="937"/>
      <c r="K991" s="937"/>
      <c r="L991" s="937"/>
      <c r="M991" s="937"/>
      <c r="N991" s="937"/>
      <c r="O991" s="937"/>
      <c r="P991" s="937"/>
      <c r="Q991" s="937"/>
      <c r="R991" s="937"/>
      <c r="S991" s="937"/>
      <c r="T991" s="937"/>
      <c r="U991" s="937"/>
      <c r="V991" s="937"/>
      <c r="W991" s="937"/>
      <c r="X991" s="937"/>
      <c r="Y991" s="937"/>
      <c r="Z991" s="937"/>
    </row>
    <row r="992" spans="1:26" ht="15.75" customHeight="1">
      <c r="A992" s="937"/>
      <c r="B992" s="937"/>
      <c r="C992" s="937"/>
      <c r="D992" s="937"/>
      <c r="E992" s="937"/>
      <c r="F992" s="937"/>
      <c r="G992" s="937"/>
      <c r="H992" s="937"/>
      <c r="I992" s="937"/>
      <c r="J992" s="937"/>
      <c r="K992" s="937"/>
      <c r="L992" s="937"/>
      <c r="M992" s="937"/>
      <c r="N992" s="937"/>
      <c r="O992" s="937"/>
      <c r="P992" s="937"/>
      <c r="Q992" s="937"/>
      <c r="R992" s="937"/>
      <c r="S992" s="937"/>
      <c r="T992" s="937"/>
      <c r="U992" s="937"/>
      <c r="V992" s="937"/>
      <c r="W992" s="937"/>
      <c r="X992" s="937"/>
      <c r="Y992" s="937"/>
      <c r="Z992" s="937"/>
    </row>
    <row r="993" spans="1:26" ht="15.75" customHeight="1">
      <c r="A993" s="937"/>
      <c r="B993" s="937"/>
      <c r="C993" s="937"/>
      <c r="D993" s="937"/>
      <c r="E993" s="937"/>
      <c r="F993" s="937"/>
      <c r="G993" s="937"/>
      <c r="H993" s="937"/>
      <c r="I993" s="937"/>
      <c r="J993" s="937"/>
      <c r="K993" s="937"/>
      <c r="L993" s="937"/>
      <c r="M993" s="937"/>
      <c r="N993" s="937"/>
      <c r="O993" s="937"/>
      <c r="P993" s="937"/>
      <c r="Q993" s="937"/>
      <c r="R993" s="937"/>
      <c r="S993" s="937"/>
      <c r="T993" s="937"/>
      <c r="U993" s="937"/>
      <c r="V993" s="937"/>
      <c r="W993" s="937"/>
      <c r="X993" s="937"/>
      <c r="Y993" s="937"/>
      <c r="Z993" s="937"/>
    </row>
    <row r="994" spans="1:26" ht="15.75" customHeight="1">
      <c r="A994" s="937"/>
      <c r="B994" s="937"/>
      <c r="C994" s="937"/>
      <c r="D994" s="937"/>
      <c r="E994" s="937"/>
      <c r="F994" s="937"/>
      <c r="G994" s="937"/>
      <c r="H994" s="937"/>
      <c r="I994" s="937"/>
      <c r="J994" s="937"/>
      <c r="K994" s="937"/>
      <c r="L994" s="937"/>
      <c r="M994" s="937"/>
      <c r="N994" s="937"/>
      <c r="O994" s="937"/>
      <c r="P994" s="937"/>
      <c r="Q994" s="937"/>
      <c r="R994" s="937"/>
      <c r="S994" s="937"/>
      <c r="T994" s="937"/>
      <c r="U994" s="937"/>
      <c r="V994" s="937"/>
      <c r="W994" s="937"/>
      <c r="X994" s="937"/>
      <c r="Y994" s="937"/>
      <c r="Z994" s="937"/>
    </row>
    <row r="995" spans="1:26" ht="15.75" customHeight="1">
      <c r="A995" s="937"/>
      <c r="B995" s="937"/>
      <c r="C995" s="937"/>
      <c r="D995" s="937"/>
      <c r="E995" s="937"/>
      <c r="F995" s="937"/>
      <c r="G995" s="937"/>
      <c r="H995" s="937"/>
      <c r="I995" s="937"/>
      <c r="J995" s="937"/>
      <c r="K995" s="937"/>
      <c r="L995" s="937"/>
      <c r="M995" s="937"/>
      <c r="N995" s="937"/>
      <c r="O995" s="937"/>
      <c r="P995" s="937"/>
      <c r="Q995" s="937"/>
      <c r="R995" s="937"/>
      <c r="S995" s="937"/>
      <c r="T995" s="937"/>
      <c r="U995" s="937"/>
      <c r="V995" s="937"/>
      <c r="W995" s="937"/>
      <c r="X995" s="937"/>
      <c r="Y995" s="937"/>
      <c r="Z995" s="937"/>
    </row>
    <row r="996" spans="1:26" ht="15.75" customHeight="1">
      <c r="A996" s="937"/>
      <c r="B996" s="937"/>
      <c r="C996" s="937"/>
      <c r="D996" s="937"/>
      <c r="E996" s="937"/>
      <c r="F996" s="937"/>
      <c r="G996" s="937"/>
      <c r="H996" s="937"/>
      <c r="I996" s="937"/>
      <c r="J996" s="937"/>
      <c r="K996" s="937"/>
      <c r="L996" s="937"/>
      <c r="M996" s="937"/>
      <c r="N996" s="937"/>
      <c r="O996" s="937"/>
      <c r="P996" s="937"/>
      <c r="Q996" s="937"/>
      <c r="R996" s="937"/>
      <c r="S996" s="937"/>
      <c r="T996" s="937"/>
      <c r="U996" s="937"/>
      <c r="V996" s="937"/>
      <c r="W996" s="937"/>
      <c r="X996" s="937"/>
      <c r="Y996" s="937"/>
      <c r="Z996" s="937"/>
    </row>
    <row r="997" spans="1:26" ht="15.75" customHeight="1">
      <c r="A997" s="937"/>
      <c r="B997" s="937"/>
      <c r="C997" s="937"/>
      <c r="D997" s="937"/>
      <c r="E997" s="937"/>
      <c r="F997" s="937"/>
      <c r="G997" s="937"/>
      <c r="H997" s="937"/>
      <c r="I997" s="937"/>
      <c r="J997" s="937"/>
      <c r="K997" s="937"/>
      <c r="L997" s="937"/>
      <c r="M997" s="937"/>
      <c r="N997" s="937"/>
      <c r="O997" s="937"/>
      <c r="P997" s="937"/>
      <c r="Q997" s="937"/>
      <c r="R997" s="937"/>
      <c r="S997" s="937"/>
      <c r="T997" s="937"/>
      <c r="U997" s="937"/>
      <c r="V997" s="937"/>
      <c r="W997" s="937"/>
      <c r="X997" s="937"/>
      <c r="Y997" s="937"/>
      <c r="Z997" s="937"/>
    </row>
    <row r="998" spans="1:26" ht="15.75" customHeight="1">
      <c r="A998" s="937"/>
      <c r="B998" s="937"/>
      <c r="C998" s="937"/>
      <c r="D998" s="937"/>
      <c r="E998" s="937"/>
      <c r="F998" s="937"/>
      <c r="G998" s="937"/>
      <c r="H998" s="937"/>
      <c r="I998" s="937"/>
      <c r="J998" s="937"/>
      <c r="K998" s="937"/>
      <c r="L998" s="937"/>
      <c r="M998" s="937"/>
      <c r="N998" s="937"/>
      <c r="O998" s="937"/>
      <c r="P998" s="937"/>
      <c r="Q998" s="937"/>
      <c r="R998" s="937"/>
      <c r="S998" s="937"/>
      <c r="T998" s="937"/>
      <c r="U998" s="937"/>
      <c r="V998" s="937"/>
      <c r="W998" s="937"/>
      <c r="X998" s="937"/>
      <c r="Y998" s="937"/>
      <c r="Z998" s="937"/>
    </row>
    <row r="999" spans="1:26" ht="15.75" customHeight="1">
      <c r="A999" s="937"/>
      <c r="B999" s="937"/>
      <c r="C999" s="937"/>
      <c r="D999" s="937"/>
      <c r="E999" s="937"/>
      <c r="F999" s="937"/>
      <c r="G999" s="937"/>
      <c r="H999" s="937"/>
      <c r="I999" s="937"/>
      <c r="J999" s="937"/>
      <c r="K999" s="937"/>
      <c r="L999" s="937"/>
      <c r="M999" s="937"/>
      <c r="N999" s="937"/>
      <c r="O999" s="937"/>
      <c r="P999" s="937"/>
      <c r="Q999" s="937"/>
      <c r="R999" s="937"/>
      <c r="S999" s="937"/>
      <c r="T999" s="937"/>
      <c r="U999" s="937"/>
      <c r="V999" s="937"/>
      <c r="W999" s="937"/>
      <c r="X999" s="937"/>
      <c r="Y999" s="937"/>
      <c r="Z999" s="937"/>
    </row>
    <row r="1000" spans="1:26" ht="15.75" customHeight="1">
      <c r="A1000" s="937"/>
      <c r="B1000" s="937"/>
      <c r="C1000" s="937"/>
      <c r="D1000" s="937"/>
      <c r="E1000" s="937"/>
      <c r="F1000" s="937"/>
      <c r="G1000" s="937"/>
      <c r="H1000" s="937"/>
      <c r="I1000" s="937"/>
      <c r="J1000" s="937"/>
      <c r="K1000" s="937"/>
      <c r="L1000" s="937"/>
      <c r="M1000" s="937"/>
      <c r="N1000" s="937"/>
      <c r="O1000" s="937"/>
      <c r="P1000" s="937"/>
      <c r="Q1000" s="937"/>
      <c r="R1000" s="937"/>
      <c r="S1000" s="937"/>
      <c r="T1000" s="937"/>
      <c r="U1000" s="937"/>
      <c r="V1000" s="937"/>
      <c r="W1000" s="937"/>
      <c r="X1000" s="937"/>
      <c r="Y1000" s="937"/>
      <c r="Z1000" s="937"/>
    </row>
    <row r="1001" spans="1:26" ht="15.75" customHeight="1">
      <c r="A1001" s="937"/>
      <c r="B1001" s="937"/>
      <c r="C1001" s="937"/>
      <c r="D1001" s="937"/>
      <c r="E1001" s="937"/>
      <c r="F1001" s="937"/>
      <c r="G1001" s="937"/>
      <c r="H1001" s="937"/>
      <c r="I1001" s="937"/>
      <c r="J1001" s="937"/>
      <c r="K1001" s="937"/>
      <c r="L1001" s="937"/>
      <c r="M1001" s="937"/>
      <c r="N1001" s="937"/>
      <c r="O1001" s="937"/>
      <c r="P1001" s="937"/>
      <c r="Q1001" s="937"/>
      <c r="R1001" s="937"/>
      <c r="S1001" s="937"/>
      <c r="T1001" s="937"/>
      <c r="U1001" s="937"/>
      <c r="V1001" s="937"/>
      <c r="W1001" s="937"/>
      <c r="X1001" s="937"/>
      <c r="Y1001" s="937"/>
      <c r="Z1001" s="937"/>
    </row>
    <row r="1002" spans="1:26" ht="15.75" customHeight="1">
      <c r="A1002" s="937"/>
      <c r="B1002" s="937"/>
      <c r="C1002" s="937"/>
      <c r="D1002" s="937"/>
      <c r="E1002" s="937"/>
      <c r="F1002" s="937"/>
      <c r="G1002" s="937"/>
      <c r="H1002" s="937"/>
      <c r="I1002" s="937"/>
      <c r="J1002" s="937"/>
      <c r="K1002" s="937"/>
      <c r="L1002" s="937"/>
      <c r="M1002" s="937"/>
      <c r="N1002" s="937"/>
      <c r="O1002" s="937"/>
      <c r="P1002" s="937"/>
      <c r="Q1002" s="937"/>
      <c r="R1002" s="937"/>
      <c r="S1002" s="937"/>
      <c r="T1002" s="937"/>
      <c r="U1002" s="937"/>
      <c r="V1002" s="937"/>
      <c r="W1002" s="937"/>
      <c r="X1002" s="937"/>
      <c r="Y1002" s="937"/>
      <c r="Z1002" s="937"/>
    </row>
    <row r="1003" spans="1:26" ht="15.75" customHeight="1">
      <c r="A1003" s="937"/>
      <c r="B1003" s="937"/>
      <c r="C1003" s="937"/>
      <c r="D1003" s="937"/>
      <c r="E1003" s="937"/>
      <c r="F1003" s="937"/>
      <c r="G1003" s="937"/>
      <c r="H1003" s="937"/>
      <c r="I1003" s="937"/>
      <c r="J1003" s="937"/>
      <c r="K1003" s="937"/>
      <c r="L1003" s="937"/>
      <c r="M1003" s="937"/>
      <c r="N1003" s="937"/>
      <c r="O1003" s="937"/>
      <c r="P1003" s="937"/>
      <c r="Q1003" s="937"/>
      <c r="R1003" s="937"/>
      <c r="S1003" s="937"/>
      <c r="T1003" s="937"/>
      <c r="U1003" s="937"/>
      <c r="V1003" s="937"/>
      <c r="W1003" s="937"/>
      <c r="X1003" s="937"/>
      <c r="Y1003" s="937"/>
      <c r="Z1003" s="937"/>
    </row>
    <row r="1004" spans="1:26" ht="15.75" customHeight="1">
      <c r="A1004" s="937"/>
      <c r="B1004" s="937"/>
      <c r="C1004" s="937"/>
      <c r="D1004" s="937"/>
      <c r="E1004" s="937"/>
      <c r="F1004" s="937"/>
      <c r="G1004" s="937"/>
      <c r="H1004" s="937"/>
      <c r="I1004" s="937"/>
      <c r="J1004" s="937"/>
      <c r="K1004" s="937"/>
      <c r="L1004" s="937"/>
      <c r="M1004" s="937"/>
      <c r="N1004" s="937"/>
      <c r="O1004" s="937"/>
      <c r="P1004" s="937"/>
      <c r="Q1004" s="937"/>
      <c r="R1004" s="937"/>
      <c r="S1004" s="937"/>
      <c r="T1004" s="937"/>
      <c r="U1004" s="937"/>
      <c r="V1004" s="937"/>
      <c r="W1004" s="937"/>
      <c r="X1004" s="937"/>
      <c r="Y1004" s="937"/>
      <c r="Z1004" s="937"/>
    </row>
    <row r="1005" spans="1:26" ht="15.75" customHeight="1">
      <c r="A1005" s="937"/>
      <c r="B1005" s="937"/>
      <c r="C1005" s="937"/>
      <c r="D1005" s="937"/>
      <c r="E1005" s="937"/>
      <c r="F1005" s="937"/>
      <c r="G1005" s="937"/>
      <c r="H1005" s="937"/>
      <c r="I1005" s="937"/>
      <c r="J1005" s="937"/>
      <c r="K1005" s="937"/>
      <c r="L1005" s="937"/>
      <c r="M1005" s="937"/>
      <c r="N1005" s="937"/>
      <c r="O1005" s="937"/>
      <c r="P1005" s="937"/>
      <c r="Q1005" s="937"/>
      <c r="R1005" s="937"/>
      <c r="S1005" s="937"/>
      <c r="T1005" s="937"/>
      <c r="U1005" s="937"/>
      <c r="V1005" s="937"/>
      <c r="W1005" s="937"/>
      <c r="X1005" s="937"/>
      <c r="Y1005" s="937"/>
      <c r="Z1005" s="937"/>
    </row>
    <row r="1006" spans="1:26" ht="15.75" customHeight="1">
      <c r="A1006" s="937"/>
      <c r="B1006" s="937"/>
      <c r="C1006" s="937"/>
      <c r="D1006" s="937"/>
      <c r="E1006" s="937"/>
      <c r="F1006" s="937"/>
      <c r="G1006" s="937"/>
      <c r="H1006" s="937"/>
      <c r="I1006" s="937"/>
      <c r="J1006" s="937"/>
      <c r="K1006" s="937"/>
      <c r="L1006" s="937"/>
      <c r="M1006" s="937"/>
      <c r="N1006" s="937"/>
      <c r="O1006" s="937"/>
      <c r="P1006" s="937"/>
      <c r="Q1006" s="937"/>
      <c r="R1006" s="937"/>
      <c r="S1006" s="937"/>
      <c r="T1006" s="937"/>
      <c r="U1006" s="937"/>
      <c r="V1006" s="937"/>
      <c r="W1006" s="937"/>
      <c r="X1006" s="937"/>
      <c r="Y1006" s="937"/>
      <c r="Z1006" s="937"/>
    </row>
    <row r="1007" spans="1:26" ht="15.75" customHeight="1">
      <c r="A1007" s="937"/>
      <c r="B1007" s="937"/>
      <c r="C1007" s="937"/>
      <c r="D1007" s="937"/>
      <c r="E1007" s="937"/>
      <c r="F1007" s="937"/>
      <c r="G1007" s="937"/>
      <c r="H1007" s="937"/>
      <c r="I1007" s="937"/>
      <c r="J1007" s="937"/>
      <c r="K1007" s="937"/>
      <c r="L1007" s="937"/>
      <c r="M1007" s="937"/>
      <c r="N1007" s="937"/>
      <c r="O1007" s="937"/>
      <c r="P1007" s="937"/>
      <c r="Q1007" s="937"/>
      <c r="R1007" s="937"/>
      <c r="S1007" s="937"/>
      <c r="T1007" s="937"/>
      <c r="U1007" s="937"/>
      <c r="V1007" s="937"/>
      <c r="W1007" s="937"/>
      <c r="X1007" s="937"/>
      <c r="Y1007" s="937"/>
      <c r="Z1007" s="937"/>
    </row>
    <row r="1008" spans="1:26" ht="15.75" customHeight="1">
      <c r="A1008" s="937"/>
      <c r="B1008" s="937"/>
      <c r="C1008" s="937"/>
      <c r="D1008" s="937"/>
      <c r="E1008" s="937"/>
      <c r="F1008" s="937"/>
      <c r="G1008" s="937"/>
      <c r="H1008" s="937"/>
      <c r="I1008" s="937"/>
      <c r="J1008" s="937"/>
      <c r="K1008" s="937"/>
      <c r="L1008" s="937"/>
      <c r="M1008" s="937"/>
      <c r="N1008" s="937"/>
      <c r="O1008" s="937"/>
      <c r="P1008" s="937"/>
      <c r="Q1008" s="937"/>
      <c r="R1008" s="937"/>
      <c r="S1008" s="937"/>
      <c r="T1008" s="937"/>
      <c r="U1008" s="937"/>
      <c r="V1008" s="937"/>
      <c r="W1008" s="937"/>
      <c r="X1008" s="937"/>
      <c r="Y1008" s="937"/>
      <c r="Z1008" s="937"/>
    </row>
    <row r="1009" spans="1:26" ht="15.75" customHeight="1">
      <c r="A1009" s="937"/>
      <c r="B1009" s="937"/>
      <c r="C1009" s="937"/>
      <c r="D1009" s="937"/>
      <c r="E1009" s="937"/>
      <c r="F1009" s="937"/>
      <c r="G1009" s="937"/>
      <c r="H1009" s="937"/>
      <c r="I1009" s="937"/>
      <c r="J1009" s="937"/>
      <c r="K1009" s="937"/>
      <c r="L1009" s="937"/>
      <c r="M1009" s="937"/>
      <c r="N1009" s="937"/>
      <c r="O1009" s="937"/>
      <c r="P1009" s="937"/>
      <c r="Q1009" s="937"/>
      <c r="R1009" s="937"/>
      <c r="S1009" s="937"/>
      <c r="T1009" s="937"/>
      <c r="U1009" s="937"/>
      <c r="V1009" s="937"/>
      <c r="W1009" s="937"/>
      <c r="X1009" s="937"/>
      <c r="Y1009" s="937"/>
      <c r="Z1009" s="937"/>
    </row>
    <row r="1010" spans="1:26" ht="15.75" customHeight="1">
      <c r="A1010" s="937"/>
      <c r="B1010" s="937"/>
      <c r="C1010" s="937"/>
      <c r="D1010" s="937"/>
      <c r="E1010" s="937"/>
      <c r="F1010" s="937"/>
      <c r="G1010" s="937"/>
      <c r="H1010" s="937"/>
      <c r="I1010" s="937"/>
      <c r="J1010" s="937"/>
      <c r="K1010" s="937"/>
      <c r="L1010" s="937"/>
      <c r="M1010" s="937"/>
      <c r="N1010" s="937"/>
      <c r="O1010" s="937"/>
      <c r="P1010" s="937"/>
      <c r="Q1010" s="937"/>
      <c r="R1010" s="937"/>
      <c r="S1010" s="937"/>
      <c r="T1010" s="937"/>
      <c r="U1010" s="937"/>
      <c r="V1010" s="937"/>
      <c r="W1010" s="937"/>
      <c r="X1010" s="937"/>
      <c r="Y1010" s="937"/>
      <c r="Z1010" s="937"/>
    </row>
    <row r="1011" spans="1:26" ht="15.75" customHeight="1">
      <c r="A1011" s="937"/>
      <c r="B1011" s="937"/>
      <c r="C1011" s="937"/>
      <c r="D1011" s="937"/>
      <c r="E1011" s="937"/>
      <c r="F1011" s="937"/>
      <c r="G1011" s="937"/>
      <c r="H1011" s="937"/>
      <c r="I1011" s="937"/>
      <c r="J1011" s="937"/>
      <c r="K1011" s="937"/>
      <c r="L1011" s="937"/>
      <c r="M1011" s="937"/>
      <c r="N1011" s="937"/>
      <c r="O1011" s="937"/>
      <c r="P1011" s="937"/>
      <c r="Q1011" s="937"/>
      <c r="R1011" s="937"/>
      <c r="S1011" s="937"/>
      <c r="T1011" s="937"/>
      <c r="U1011" s="937"/>
      <c r="V1011" s="937"/>
      <c r="W1011" s="937"/>
      <c r="X1011" s="937"/>
      <c r="Y1011" s="937"/>
      <c r="Z1011" s="937"/>
    </row>
    <row r="1012" spans="1:26" ht="15.75" customHeight="1">
      <c r="A1012" s="937"/>
      <c r="B1012" s="937"/>
      <c r="C1012" s="937"/>
      <c r="D1012" s="937"/>
      <c r="E1012" s="937"/>
      <c r="F1012" s="937"/>
      <c r="G1012" s="937"/>
      <c r="H1012" s="937"/>
      <c r="I1012" s="937"/>
      <c r="J1012" s="937"/>
      <c r="K1012" s="937"/>
      <c r="L1012" s="937"/>
      <c r="M1012" s="937"/>
      <c r="N1012" s="937"/>
      <c r="O1012" s="937"/>
      <c r="P1012" s="937"/>
      <c r="Q1012" s="937"/>
      <c r="R1012" s="937"/>
      <c r="S1012" s="937"/>
      <c r="T1012" s="937"/>
      <c r="U1012" s="937"/>
      <c r="V1012" s="937"/>
      <c r="W1012" s="937"/>
      <c r="X1012" s="937"/>
      <c r="Y1012" s="937"/>
      <c r="Z1012" s="937"/>
    </row>
    <row r="1013" spans="1:26" ht="15.75" customHeight="1">
      <c r="A1013" s="937"/>
      <c r="B1013" s="937"/>
      <c r="C1013" s="937"/>
      <c r="D1013" s="937"/>
      <c r="E1013" s="937"/>
      <c r="F1013" s="937"/>
      <c r="G1013" s="937"/>
      <c r="H1013" s="937"/>
      <c r="I1013" s="937"/>
      <c r="J1013" s="937"/>
      <c r="K1013" s="937"/>
      <c r="L1013" s="937"/>
      <c r="M1013" s="937"/>
      <c r="N1013" s="937"/>
      <c r="O1013" s="937"/>
      <c r="P1013" s="937"/>
      <c r="Q1013" s="937"/>
      <c r="R1013" s="937"/>
      <c r="S1013" s="937"/>
      <c r="T1013" s="937"/>
      <c r="U1013" s="937"/>
      <c r="V1013" s="937"/>
      <c r="W1013" s="937"/>
      <c r="X1013" s="937"/>
      <c r="Y1013" s="937"/>
      <c r="Z1013" s="937"/>
    </row>
    <row r="1014" spans="1:26" ht="15.75" customHeight="1">
      <c r="A1014" s="937"/>
      <c r="B1014" s="937"/>
      <c r="C1014" s="937"/>
      <c r="D1014" s="937"/>
      <c r="E1014" s="937"/>
      <c r="F1014" s="937"/>
      <c r="G1014" s="937"/>
      <c r="H1014" s="937"/>
      <c r="I1014" s="937"/>
      <c r="J1014" s="937"/>
      <c r="K1014" s="937"/>
      <c r="L1014" s="937"/>
      <c r="M1014" s="937"/>
      <c r="N1014" s="937"/>
      <c r="O1014" s="937"/>
      <c r="P1014" s="937"/>
      <c r="Q1014" s="937"/>
      <c r="R1014" s="937"/>
      <c r="S1014" s="937"/>
      <c r="T1014" s="937"/>
      <c r="U1014" s="937"/>
      <c r="V1014" s="937"/>
      <c r="W1014" s="937"/>
      <c r="X1014" s="937"/>
      <c r="Y1014" s="937"/>
      <c r="Z1014" s="937"/>
    </row>
    <row r="1015" spans="1:26" ht="15.75" customHeight="1">
      <c r="A1015" s="937"/>
      <c r="B1015" s="937"/>
      <c r="C1015" s="937"/>
      <c r="D1015" s="937"/>
      <c r="E1015" s="937"/>
      <c r="F1015" s="937"/>
      <c r="G1015" s="937"/>
      <c r="H1015" s="937"/>
      <c r="I1015" s="937"/>
      <c r="J1015" s="937"/>
      <c r="K1015" s="937"/>
      <c r="L1015" s="937"/>
      <c r="M1015" s="937"/>
      <c r="N1015" s="937"/>
      <c r="O1015" s="937"/>
      <c r="P1015" s="937"/>
      <c r="Q1015" s="937"/>
      <c r="R1015" s="937"/>
      <c r="S1015" s="937"/>
      <c r="T1015" s="937"/>
      <c r="U1015" s="937"/>
      <c r="V1015" s="937"/>
      <c r="W1015" s="937"/>
      <c r="X1015" s="937"/>
      <c r="Y1015" s="937"/>
      <c r="Z1015" s="937"/>
    </row>
    <row r="1016" spans="1:26" ht="15.75" customHeight="1">
      <c r="A1016" s="937"/>
      <c r="B1016" s="937"/>
      <c r="C1016" s="937"/>
      <c r="D1016" s="937"/>
      <c r="E1016" s="937"/>
      <c r="F1016" s="937"/>
      <c r="G1016" s="937"/>
      <c r="H1016" s="937"/>
      <c r="I1016" s="937"/>
      <c r="J1016" s="937"/>
      <c r="K1016" s="937"/>
      <c r="L1016" s="937"/>
      <c r="M1016" s="937"/>
      <c r="N1016" s="937"/>
      <c r="O1016" s="937"/>
      <c r="P1016" s="937"/>
      <c r="Q1016" s="937"/>
      <c r="R1016" s="937"/>
      <c r="S1016" s="937"/>
      <c r="T1016" s="937"/>
      <c r="U1016" s="937"/>
      <c r="V1016" s="937"/>
      <c r="W1016" s="937"/>
      <c r="X1016" s="937"/>
      <c r="Y1016" s="937"/>
      <c r="Z1016" s="937"/>
    </row>
    <row r="1017" spans="1:26" ht="15.75" customHeight="1">
      <c r="A1017" s="937"/>
      <c r="B1017" s="937"/>
      <c r="C1017" s="937"/>
      <c r="D1017" s="937"/>
      <c r="E1017" s="937"/>
      <c r="F1017" s="937"/>
      <c r="G1017" s="937"/>
      <c r="H1017" s="937"/>
      <c r="I1017" s="937"/>
      <c r="J1017" s="937"/>
      <c r="K1017" s="937"/>
      <c r="L1017" s="937"/>
      <c r="M1017" s="937"/>
      <c r="N1017" s="937"/>
      <c r="O1017" s="937"/>
      <c r="P1017" s="937"/>
      <c r="Q1017" s="937"/>
      <c r="R1017" s="937"/>
      <c r="S1017" s="937"/>
      <c r="T1017" s="937"/>
      <c r="U1017" s="937"/>
      <c r="V1017" s="937"/>
      <c r="W1017" s="937"/>
      <c r="X1017" s="937"/>
      <c r="Y1017" s="937"/>
      <c r="Z1017" s="937"/>
    </row>
    <row r="1018" spans="1:26" ht="15.75" customHeight="1">
      <c r="A1018" s="937"/>
      <c r="B1018" s="937"/>
      <c r="C1018" s="937"/>
      <c r="D1018" s="937"/>
      <c r="E1018" s="937"/>
      <c r="F1018" s="937"/>
      <c r="G1018" s="937"/>
      <c r="H1018" s="937"/>
      <c r="I1018" s="937"/>
      <c r="J1018" s="937"/>
      <c r="K1018" s="937"/>
      <c r="L1018" s="937"/>
      <c r="M1018" s="937"/>
      <c r="N1018" s="937"/>
      <c r="O1018" s="937"/>
      <c r="P1018" s="937"/>
      <c r="Q1018" s="937"/>
      <c r="R1018" s="937"/>
      <c r="S1018" s="937"/>
      <c r="T1018" s="937"/>
      <c r="U1018" s="937"/>
      <c r="V1018" s="937"/>
      <c r="W1018" s="937"/>
      <c r="X1018" s="937"/>
      <c r="Y1018" s="937"/>
      <c r="Z1018" s="937"/>
    </row>
    <row r="1019" spans="1:26" ht="15.75" customHeight="1">
      <c r="A1019" s="937"/>
      <c r="B1019" s="937"/>
      <c r="C1019" s="937"/>
      <c r="D1019" s="937"/>
      <c r="E1019" s="937"/>
      <c r="F1019" s="937"/>
      <c r="G1019" s="937"/>
      <c r="H1019" s="937"/>
      <c r="I1019" s="937"/>
      <c r="J1019" s="937"/>
      <c r="K1019" s="937"/>
      <c r="L1019" s="937"/>
      <c r="M1019" s="937"/>
      <c r="N1019" s="937"/>
      <c r="O1019" s="937"/>
      <c r="P1019" s="937"/>
      <c r="Q1019" s="937"/>
      <c r="R1019" s="937"/>
      <c r="S1019" s="937"/>
      <c r="T1019" s="937"/>
      <c r="U1019" s="937"/>
      <c r="V1019" s="937"/>
      <c r="W1019" s="937"/>
      <c r="X1019" s="937"/>
      <c r="Y1019" s="937"/>
      <c r="Z1019" s="937"/>
    </row>
    <row r="1020" spans="1:26" ht="15.75" customHeight="1">
      <c r="A1020" s="937"/>
      <c r="B1020" s="937"/>
      <c r="C1020" s="937"/>
      <c r="D1020" s="937"/>
      <c r="E1020" s="937"/>
      <c r="F1020" s="937"/>
      <c r="G1020" s="937"/>
      <c r="H1020" s="937"/>
      <c r="I1020" s="937"/>
      <c r="J1020" s="937"/>
      <c r="K1020" s="937"/>
      <c r="L1020" s="937"/>
      <c r="M1020" s="937"/>
      <c r="N1020" s="937"/>
      <c r="O1020" s="937"/>
      <c r="P1020" s="937"/>
      <c r="Q1020" s="937"/>
      <c r="R1020" s="937"/>
      <c r="S1020" s="937"/>
      <c r="T1020" s="937"/>
      <c r="U1020" s="937"/>
      <c r="V1020" s="937"/>
      <c r="W1020" s="937"/>
      <c r="X1020" s="937"/>
      <c r="Y1020" s="937"/>
      <c r="Z1020" s="937"/>
    </row>
    <row r="1021" spans="1:26" ht="15.75" customHeight="1">
      <c r="A1021" s="937"/>
      <c r="B1021" s="937"/>
      <c r="C1021" s="937"/>
      <c r="D1021" s="937"/>
      <c r="E1021" s="937"/>
      <c r="F1021" s="937"/>
      <c r="G1021" s="937"/>
      <c r="H1021" s="937"/>
      <c r="I1021" s="937"/>
      <c r="J1021" s="937"/>
      <c r="K1021" s="937"/>
      <c r="L1021" s="937"/>
      <c r="M1021" s="937"/>
      <c r="N1021" s="937"/>
      <c r="O1021" s="937"/>
      <c r="P1021" s="937"/>
      <c r="Q1021" s="937"/>
      <c r="R1021" s="937"/>
      <c r="S1021" s="937"/>
      <c r="T1021" s="937"/>
      <c r="U1021" s="937"/>
      <c r="V1021" s="937"/>
      <c r="W1021" s="937"/>
      <c r="X1021" s="937"/>
      <c r="Y1021" s="937"/>
      <c r="Z1021" s="937"/>
    </row>
    <row r="1022" spans="1:26" ht="15.75" customHeight="1">
      <c r="A1022" s="937"/>
      <c r="B1022" s="937"/>
      <c r="C1022" s="937"/>
      <c r="D1022" s="937"/>
      <c r="E1022" s="937"/>
      <c r="F1022" s="937"/>
      <c r="G1022" s="937"/>
      <c r="H1022" s="937"/>
      <c r="I1022" s="937"/>
      <c r="J1022" s="937"/>
      <c r="K1022" s="937"/>
      <c r="L1022" s="937"/>
      <c r="M1022" s="937"/>
      <c r="N1022" s="937"/>
      <c r="O1022" s="937"/>
      <c r="P1022" s="937"/>
      <c r="Q1022" s="937"/>
      <c r="R1022" s="937"/>
      <c r="S1022" s="937"/>
      <c r="T1022" s="937"/>
      <c r="U1022" s="937"/>
      <c r="V1022" s="937"/>
      <c r="W1022" s="937"/>
      <c r="X1022" s="937"/>
      <c r="Y1022" s="937"/>
      <c r="Z1022" s="937"/>
    </row>
    <row r="1023" spans="1:26" ht="15.75" customHeight="1">
      <c r="A1023" s="937"/>
      <c r="B1023" s="937"/>
      <c r="C1023" s="937"/>
      <c r="D1023" s="937"/>
      <c r="E1023" s="937"/>
      <c r="F1023" s="937"/>
      <c r="G1023" s="937"/>
      <c r="H1023" s="937"/>
      <c r="I1023" s="937"/>
      <c r="J1023" s="937"/>
      <c r="K1023" s="937"/>
      <c r="L1023" s="937"/>
      <c r="M1023" s="937"/>
      <c r="N1023" s="937"/>
      <c r="O1023" s="937"/>
      <c r="P1023" s="937"/>
      <c r="Q1023" s="937"/>
      <c r="R1023" s="937"/>
      <c r="S1023" s="937"/>
      <c r="T1023" s="937"/>
      <c r="U1023" s="937"/>
      <c r="V1023" s="937"/>
      <c r="W1023" s="937"/>
      <c r="X1023" s="937"/>
      <c r="Y1023" s="937"/>
      <c r="Z1023" s="937"/>
    </row>
    <row r="1024" spans="1:26" ht="15.75" customHeight="1">
      <c r="A1024" s="937"/>
      <c r="B1024" s="937"/>
      <c r="C1024" s="937"/>
      <c r="D1024" s="937"/>
      <c r="E1024" s="937"/>
      <c r="F1024" s="937"/>
      <c r="G1024" s="937"/>
      <c r="H1024" s="937"/>
      <c r="I1024" s="937"/>
      <c r="J1024" s="937"/>
      <c r="K1024" s="937"/>
      <c r="L1024" s="937"/>
      <c r="M1024" s="937"/>
      <c r="N1024" s="937"/>
      <c r="O1024" s="937"/>
      <c r="P1024" s="937"/>
      <c r="Q1024" s="937"/>
      <c r="R1024" s="937"/>
      <c r="S1024" s="937"/>
      <c r="T1024" s="937"/>
      <c r="U1024" s="937"/>
      <c r="V1024" s="937"/>
      <c r="W1024" s="937"/>
      <c r="X1024" s="937"/>
      <c r="Y1024" s="937"/>
      <c r="Z1024" s="937"/>
    </row>
    <row r="1025" spans="1:26" ht="15.75" customHeight="1">
      <c r="A1025" s="937"/>
      <c r="B1025" s="937"/>
      <c r="C1025" s="937"/>
      <c r="D1025" s="937"/>
      <c r="E1025" s="937"/>
      <c r="F1025" s="937"/>
      <c r="G1025" s="937"/>
      <c r="H1025" s="937"/>
      <c r="I1025" s="937"/>
      <c r="J1025" s="937"/>
      <c r="K1025" s="937"/>
      <c r="L1025" s="937"/>
      <c r="M1025" s="937"/>
      <c r="N1025" s="937"/>
      <c r="O1025" s="937"/>
      <c r="P1025" s="937"/>
      <c r="Q1025" s="937"/>
      <c r="R1025" s="937"/>
      <c r="S1025" s="937"/>
      <c r="T1025" s="937"/>
      <c r="U1025" s="937"/>
      <c r="V1025" s="937"/>
      <c r="W1025" s="937"/>
      <c r="X1025" s="937"/>
      <c r="Y1025" s="937"/>
      <c r="Z1025" s="937"/>
    </row>
    <row r="1026" spans="1:26" ht="15.75" customHeight="1">
      <c r="A1026" s="937"/>
      <c r="B1026" s="937"/>
      <c r="C1026" s="937"/>
      <c r="D1026" s="937"/>
      <c r="E1026" s="937"/>
      <c r="F1026" s="937"/>
      <c r="G1026" s="937"/>
      <c r="H1026" s="937"/>
      <c r="I1026" s="937"/>
      <c r="J1026" s="937"/>
      <c r="K1026" s="937"/>
      <c r="L1026" s="937"/>
      <c r="M1026" s="937"/>
      <c r="N1026" s="937"/>
      <c r="O1026" s="937"/>
      <c r="P1026" s="937"/>
      <c r="Q1026" s="937"/>
      <c r="R1026" s="937"/>
      <c r="S1026" s="937"/>
      <c r="T1026" s="937"/>
      <c r="U1026" s="937"/>
      <c r="V1026" s="937"/>
      <c r="W1026" s="937"/>
      <c r="X1026" s="937"/>
      <c r="Y1026" s="937"/>
      <c r="Z1026" s="937"/>
    </row>
    <row r="1027" spans="1:26" ht="15.75" customHeight="1">
      <c r="A1027" s="937"/>
      <c r="B1027" s="937"/>
      <c r="C1027" s="937"/>
      <c r="D1027" s="937"/>
      <c r="E1027" s="937"/>
      <c r="F1027" s="937"/>
      <c r="G1027" s="937"/>
      <c r="H1027" s="937"/>
      <c r="I1027" s="937"/>
      <c r="J1027" s="937"/>
      <c r="K1027" s="937"/>
      <c r="L1027" s="937"/>
      <c r="M1027" s="937"/>
      <c r="N1027" s="937"/>
      <c r="O1027" s="937"/>
      <c r="P1027" s="937"/>
      <c r="Q1027" s="937"/>
      <c r="R1027" s="937"/>
      <c r="S1027" s="937"/>
      <c r="T1027" s="937"/>
      <c r="U1027" s="937"/>
      <c r="V1027" s="937"/>
      <c r="W1027" s="937"/>
      <c r="X1027" s="937"/>
      <c r="Y1027" s="937"/>
      <c r="Z1027" s="937"/>
    </row>
    <row r="1028" spans="1:26" ht="15.75" customHeight="1">
      <c r="A1028" s="937"/>
      <c r="B1028" s="937"/>
      <c r="C1028" s="937"/>
      <c r="D1028" s="937"/>
      <c r="E1028" s="937"/>
      <c r="F1028" s="937"/>
      <c r="G1028" s="937"/>
      <c r="H1028" s="937"/>
      <c r="I1028" s="937"/>
      <c r="J1028" s="937"/>
      <c r="K1028" s="937"/>
      <c r="L1028" s="937"/>
      <c r="M1028" s="937"/>
      <c r="N1028" s="937"/>
      <c r="O1028" s="937"/>
      <c r="P1028" s="937"/>
      <c r="Q1028" s="937"/>
      <c r="R1028" s="937"/>
      <c r="S1028" s="937"/>
      <c r="T1028" s="937"/>
      <c r="U1028" s="937"/>
      <c r="V1028" s="937"/>
      <c r="W1028" s="937"/>
      <c r="X1028" s="937"/>
      <c r="Y1028" s="937"/>
      <c r="Z1028" s="937"/>
    </row>
    <row r="1029" spans="1:26" ht="15.75" customHeight="1">
      <c r="A1029" s="937"/>
      <c r="B1029" s="937"/>
      <c r="C1029" s="937"/>
      <c r="D1029" s="937"/>
      <c r="E1029" s="937"/>
      <c r="F1029" s="937"/>
      <c r="G1029" s="937"/>
      <c r="H1029" s="937"/>
      <c r="I1029" s="937"/>
      <c r="J1029" s="937"/>
      <c r="K1029" s="937"/>
      <c r="L1029" s="937"/>
      <c r="M1029" s="937"/>
      <c r="N1029" s="937"/>
      <c r="O1029" s="937"/>
      <c r="P1029" s="937"/>
      <c r="Q1029" s="937"/>
      <c r="R1029" s="937"/>
      <c r="S1029" s="937"/>
      <c r="T1029" s="937"/>
      <c r="U1029" s="937"/>
      <c r="V1029" s="937"/>
      <c r="W1029" s="937"/>
      <c r="X1029" s="937"/>
      <c r="Y1029" s="937"/>
      <c r="Z1029" s="937"/>
    </row>
    <row r="1030" spans="1:26" ht="15.75" customHeight="1">
      <c r="A1030" s="937"/>
      <c r="B1030" s="937"/>
      <c r="C1030" s="937"/>
      <c r="D1030" s="937"/>
      <c r="E1030" s="937"/>
      <c r="F1030" s="937"/>
      <c r="G1030" s="937"/>
      <c r="H1030" s="937"/>
      <c r="I1030" s="937"/>
      <c r="J1030" s="937"/>
      <c r="K1030" s="937"/>
      <c r="L1030" s="937"/>
      <c r="M1030" s="937"/>
      <c r="N1030" s="937"/>
      <c r="O1030" s="937"/>
      <c r="P1030" s="937"/>
      <c r="Q1030" s="937"/>
      <c r="R1030" s="937"/>
      <c r="S1030" s="937"/>
      <c r="T1030" s="937"/>
      <c r="U1030" s="937"/>
      <c r="V1030" s="937"/>
      <c r="W1030" s="937"/>
      <c r="X1030" s="937"/>
      <c r="Y1030" s="937"/>
      <c r="Z1030" s="937"/>
    </row>
    <row r="1031" spans="1:26" ht="15.75" customHeight="1">
      <c r="A1031" s="937"/>
      <c r="B1031" s="937"/>
      <c r="C1031" s="937"/>
      <c r="D1031" s="937"/>
      <c r="E1031" s="937"/>
      <c r="F1031" s="937"/>
      <c r="G1031" s="937"/>
      <c r="H1031" s="937"/>
      <c r="I1031" s="937"/>
      <c r="J1031" s="937"/>
      <c r="K1031" s="937"/>
      <c r="L1031" s="937"/>
      <c r="M1031" s="937"/>
      <c r="N1031" s="937"/>
      <c r="O1031" s="937"/>
      <c r="P1031" s="937"/>
      <c r="Q1031" s="937"/>
      <c r="R1031" s="937"/>
      <c r="S1031" s="937"/>
      <c r="T1031" s="937"/>
      <c r="U1031" s="937"/>
      <c r="V1031" s="937"/>
      <c r="W1031" s="937"/>
      <c r="X1031" s="937"/>
      <c r="Y1031" s="937"/>
      <c r="Z1031" s="937"/>
    </row>
    <row r="1032" spans="1:26" ht="15.75" customHeight="1">
      <c r="A1032" s="937"/>
      <c r="B1032" s="937"/>
      <c r="C1032" s="937"/>
      <c r="D1032" s="937"/>
      <c r="E1032" s="937"/>
      <c r="F1032" s="937"/>
      <c r="G1032" s="937"/>
      <c r="H1032" s="937"/>
      <c r="I1032" s="937"/>
      <c r="J1032" s="937"/>
      <c r="K1032" s="937"/>
      <c r="L1032" s="937"/>
      <c r="M1032" s="937"/>
      <c r="N1032" s="937"/>
      <c r="O1032" s="937"/>
      <c r="P1032" s="937"/>
      <c r="Q1032" s="937"/>
      <c r="R1032" s="937"/>
      <c r="S1032" s="937"/>
      <c r="T1032" s="937"/>
      <c r="U1032" s="937"/>
      <c r="V1032" s="937"/>
      <c r="W1032" s="937"/>
      <c r="X1032" s="937"/>
      <c r="Y1032" s="937"/>
      <c r="Z1032" s="937"/>
    </row>
    <row r="1033" spans="1:26" ht="15.75" customHeight="1">
      <c r="A1033" s="937"/>
      <c r="B1033" s="937"/>
      <c r="C1033" s="937"/>
      <c r="D1033" s="937"/>
      <c r="E1033" s="937"/>
      <c r="F1033" s="937"/>
      <c r="G1033" s="937"/>
      <c r="H1033" s="937"/>
      <c r="I1033" s="937"/>
      <c r="J1033" s="937"/>
      <c r="K1033" s="937"/>
      <c r="L1033" s="937"/>
      <c r="M1033" s="937"/>
      <c r="N1033" s="937"/>
      <c r="O1033" s="937"/>
      <c r="P1033" s="937"/>
      <c r="Q1033" s="937"/>
      <c r="R1033" s="937"/>
      <c r="S1033" s="937"/>
      <c r="T1033" s="937"/>
      <c r="U1033" s="937"/>
      <c r="V1033" s="937"/>
      <c r="W1033" s="937"/>
      <c r="X1033" s="937"/>
      <c r="Y1033" s="937"/>
      <c r="Z1033" s="937"/>
    </row>
    <row r="1034" spans="1:26" ht="15.75" customHeight="1">
      <c r="A1034" s="937"/>
      <c r="B1034" s="937"/>
      <c r="C1034" s="937"/>
      <c r="D1034" s="937"/>
      <c r="E1034" s="937"/>
      <c r="F1034" s="937"/>
      <c r="G1034" s="937"/>
      <c r="H1034" s="937"/>
      <c r="I1034" s="937"/>
      <c r="J1034" s="937"/>
      <c r="K1034" s="937"/>
      <c r="L1034" s="937"/>
      <c r="M1034" s="937"/>
      <c r="N1034" s="937"/>
      <c r="O1034" s="937"/>
      <c r="P1034" s="937"/>
      <c r="Q1034" s="937"/>
      <c r="R1034" s="937"/>
      <c r="S1034" s="937"/>
      <c r="T1034" s="937"/>
      <c r="U1034" s="937"/>
      <c r="V1034" s="937"/>
      <c r="W1034" s="937"/>
      <c r="X1034" s="937"/>
      <c r="Y1034" s="937"/>
      <c r="Z1034" s="937"/>
    </row>
    <row r="1035" spans="1:26" ht="15.75" customHeight="1">
      <c r="A1035" s="937"/>
      <c r="B1035" s="937"/>
      <c r="C1035" s="937"/>
      <c r="D1035" s="937"/>
      <c r="E1035" s="937"/>
      <c r="F1035" s="937"/>
      <c r="G1035" s="937"/>
      <c r="H1035" s="937"/>
      <c r="I1035" s="937"/>
      <c r="J1035" s="937"/>
      <c r="K1035" s="937"/>
      <c r="L1035" s="937"/>
      <c r="M1035" s="937"/>
      <c r="N1035" s="937"/>
      <c r="O1035" s="937"/>
      <c r="P1035" s="937"/>
      <c r="Q1035" s="937"/>
      <c r="R1035" s="937"/>
      <c r="S1035" s="937"/>
      <c r="T1035" s="937"/>
      <c r="U1035" s="937"/>
      <c r="V1035" s="937"/>
      <c r="W1035" s="937"/>
      <c r="X1035" s="937"/>
      <c r="Y1035" s="937"/>
      <c r="Z1035" s="937"/>
    </row>
    <row r="1036" spans="1:26" ht="15.75" customHeight="1">
      <c r="A1036" s="937"/>
      <c r="B1036" s="937"/>
      <c r="C1036" s="937"/>
      <c r="D1036" s="937"/>
      <c r="E1036" s="937"/>
      <c r="F1036" s="937"/>
      <c r="G1036" s="937"/>
      <c r="H1036" s="937"/>
      <c r="I1036" s="937"/>
      <c r="J1036" s="937"/>
      <c r="K1036" s="937"/>
      <c r="L1036" s="937"/>
      <c r="M1036" s="937"/>
      <c r="N1036" s="937"/>
      <c r="O1036" s="937"/>
      <c r="P1036" s="937"/>
      <c r="Q1036" s="937"/>
      <c r="R1036" s="937"/>
      <c r="S1036" s="937"/>
      <c r="T1036" s="937"/>
      <c r="U1036" s="937"/>
      <c r="V1036" s="937"/>
      <c r="W1036" s="937"/>
      <c r="X1036" s="937"/>
      <c r="Y1036" s="937"/>
      <c r="Z1036" s="937"/>
    </row>
    <row r="1037" spans="1:26" ht="15.75" customHeight="1">
      <c r="A1037" s="937"/>
      <c r="B1037" s="937"/>
      <c r="C1037" s="937"/>
      <c r="D1037" s="937"/>
      <c r="E1037" s="937"/>
      <c r="F1037" s="937"/>
      <c r="G1037" s="937"/>
      <c r="H1037" s="937"/>
      <c r="I1037" s="937"/>
      <c r="J1037" s="937"/>
      <c r="K1037" s="937"/>
      <c r="L1037" s="937"/>
      <c r="M1037" s="937"/>
      <c r="N1037" s="937"/>
      <c r="O1037" s="937"/>
      <c r="P1037" s="937"/>
      <c r="Q1037" s="937"/>
      <c r="R1037" s="937"/>
      <c r="S1037" s="937"/>
      <c r="T1037" s="937"/>
      <c r="U1037" s="937"/>
      <c r="V1037" s="937"/>
      <c r="W1037" s="937"/>
      <c r="X1037" s="937"/>
      <c r="Y1037" s="937"/>
      <c r="Z1037" s="937"/>
    </row>
    <row r="1038" spans="1:26" ht="15.75" customHeight="1">
      <c r="A1038" s="937"/>
      <c r="B1038" s="937"/>
      <c r="C1038" s="937"/>
      <c r="D1038" s="937"/>
      <c r="E1038" s="937"/>
      <c r="F1038" s="937"/>
      <c r="G1038" s="937"/>
      <c r="H1038" s="937"/>
      <c r="I1038" s="937"/>
      <c r="J1038" s="937"/>
      <c r="K1038" s="937"/>
      <c r="L1038" s="937"/>
      <c r="M1038" s="937"/>
      <c r="N1038" s="937"/>
      <c r="O1038" s="937"/>
      <c r="P1038" s="937"/>
      <c r="Q1038" s="937"/>
      <c r="R1038" s="937"/>
      <c r="S1038" s="937"/>
      <c r="T1038" s="937"/>
      <c r="U1038" s="937"/>
      <c r="V1038" s="937"/>
      <c r="W1038" s="937"/>
      <c r="X1038" s="937"/>
      <c r="Y1038" s="937"/>
      <c r="Z1038" s="937"/>
    </row>
    <row r="1039" spans="1:26" ht="15.75" customHeight="1">
      <c r="A1039" s="937"/>
      <c r="B1039" s="937"/>
      <c r="C1039" s="937"/>
      <c r="D1039" s="937"/>
      <c r="E1039" s="937"/>
      <c r="F1039" s="937"/>
      <c r="G1039" s="937"/>
      <c r="H1039" s="937"/>
      <c r="I1039" s="937"/>
      <c r="J1039" s="937"/>
      <c r="K1039" s="937"/>
      <c r="L1039" s="937"/>
      <c r="M1039" s="937"/>
      <c r="N1039" s="937"/>
      <c r="O1039" s="937"/>
      <c r="P1039" s="937"/>
      <c r="Q1039" s="937"/>
      <c r="R1039" s="937"/>
      <c r="S1039" s="937"/>
      <c r="T1039" s="937"/>
      <c r="U1039" s="937"/>
      <c r="V1039" s="937"/>
      <c r="W1039" s="937"/>
      <c r="X1039" s="937"/>
      <c r="Y1039" s="937"/>
      <c r="Z1039" s="937"/>
    </row>
    <row r="1040" spans="1:26" ht="15.75" customHeight="1">
      <c r="A1040" s="937"/>
      <c r="B1040" s="937"/>
      <c r="C1040" s="937"/>
      <c r="D1040" s="937"/>
      <c r="E1040" s="937"/>
      <c r="F1040" s="937"/>
      <c r="G1040" s="937"/>
      <c r="H1040" s="937"/>
      <c r="I1040" s="937"/>
      <c r="J1040" s="937"/>
      <c r="K1040" s="937"/>
      <c r="L1040" s="937"/>
      <c r="M1040" s="937"/>
      <c r="N1040" s="937"/>
      <c r="O1040" s="937"/>
      <c r="P1040" s="937"/>
      <c r="Q1040" s="937"/>
      <c r="R1040" s="937"/>
      <c r="S1040" s="937"/>
      <c r="T1040" s="937"/>
      <c r="U1040" s="937"/>
      <c r="V1040" s="937"/>
      <c r="W1040" s="937"/>
      <c r="X1040" s="937"/>
      <c r="Y1040" s="937"/>
      <c r="Z1040" s="937"/>
    </row>
    <row r="1041" spans="1:26" ht="15.75" customHeight="1">
      <c r="A1041" s="937"/>
      <c r="B1041" s="937"/>
      <c r="C1041" s="937"/>
      <c r="D1041" s="937"/>
      <c r="E1041" s="937"/>
      <c r="F1041" s="937"/>
      <c r="G1041" s="937"/>
      <c r="H1041" s="937"/>
      <c r="I1041" s="937"/>
      <c r="J1041" s="937"/>
      <c r="K1041" s="937"/>
      <c r="L1041" s="937"/>
      <c r="M1041" s="937"/>
      <c r="N1041" s="937"/>
      <c r="O1041" s="937"/>
      <c r="P1041" s="937"/>
      <c r="Q1041" s="937"/>
      <c r="R1041" s="937"/>
      <c r="S1041" s="937"/>
      <c r="T1041" s="937"/>
      <c r="U1041" s="937"/>
      <c r="V1041" s="937"/>
      <c r="W1041" s="937"/>
      <c r="X1041" s="937"/>
      <c r="Y1041" s="937"/>
      <c r="Z1041" s="937"/>
    </row>
    <row r="1042" spans="1:26" ht="15.75" customHeight="1">
      <c r="A1042" s="937"/>
      <c r="B1042" s="937"/>
      <c r="C1042" s="937"/>
      <c r="D1042" s="937"/>
      <c r="E1042" s="937"/>
      <c r="F1042" s="937"/>
      <c r="G1042" s="937"/>
      <c r="H1042" s="937"/>
      <c r="I1042" s="937"/>
      <c r="J1042" s="937"/>
      <c r="K1042" s="937"/>
      <c r="L1042" s="937"/>
      <c r="M1042" s="937"/>
      <c r="N1042" s="937"/>
      <c r="O1042" s="937"/>
      <c r="P1042" s="937"/>
      <c r="Q1042" s="937"/>
      <c r="R1042" s="937"/>
      <c r="S1042" s="937"/>
      <c r="T1042" s="937"/>
      <c r="U1042" s="937"/>
      <c r="V1042" s="937"/>
      <c r="W1042" s="937"/>
      <c r="X1042" s="937"/>
      <c r="Y1042" s="937"/>
      <c r="Z1042" s="937"/>
    </row>
    <row r="1043" spans="1:26" ht="15.75" customHeight="1">
      <c r="A1043" s="937"/>
      <c r="B1043" s="937"/>
      <c r="C1043" s="937"/>
      <c r="D1043" s="937"/>
      <c r="E1043" s="937"/>
      <c r="F1043" s="937"/>
      <c r="G1043" s="937"/>
      <c r="H1043" s="937"/>
      <c r="I1043" s="937"/>
      <c r="J1043" s="937"/>
      <c r="K1043" s="937"/>
      <c r="L1043" s="937"/>
      <c r="M1043" s="937"/>
      <c r="N1043" s="937"/>
      <c r="O1043" s="937"/>
      <c r="P1043" s="937"/>
      <c r="Q1043" s="937"/>
      <c r="R1043" s="937"/>
      <c r="S1043" s="937"/>
      <c r="T1043" s="937"/>
      <c r="U1043" s="937"/>
      <c r="V1043" s="937"/>
      <c r="W1043" s="937"/>
      <c r="X1043" s="937"/>
      <c r="Y1043" s="937"/>
      <c r="Z1043" s="937"/>
    </row>
    <row r="1044" spans="1:26" ht="15.75" customHeight="1">
      <c r="A1044" s="937"/>
      <c r="B1044" s="937"/>
      <c r="C1044" s="937"/>
      <c r="D1044" s="937"/>
      <c r="E1044" s="937"/>
      <c r="F1044" s="937"/>
      <c r="G1044" s="937"/>
      <c r="H1044" s="937"/>
      <c r="I1044" s="937"/>
      <c r="J1044" s="937"/>
      <c r="K1044" s="937"/>
      <c r="L1044" s="937"/>
      <c r="M1044" s="937"/>
      <c r="N1044" s="937"/>
      <c r="O1044" s="937"/>
      <c r="P1044" s="937"/>
      <c r="Q1044" s="937"/>
      <c r="R1044" s="937"/>
      <c r="S1044" s="937"/>
      <c r="T1044" s="937"/>
      <c r="U1044" s="937"/>
      <c r="V1044" s="937"/>
      <c r="W1044" s="937"/>
      <c r="X1044" s="937"/>
      <c r="Y1044" s="937"/>
      <c r="Z1044" s="937"/>
    </row>
    <row r="1045" spans="1:26" ht="15.75" customHeight="1">
      <c r="A1045" s="937"/>
      <c r="B1045" s="937"/>
      <c r="C1045" s="937"/>
      <c r="D1045" s="937"/>
      <c r="E1045" s="937"/>
      <c r="F1045" s="937"/>
      <c r="G1045" s="937"/>
      <c r="H1045" s="937"/>
      <c r="I1045" s="937"/>
      <c r="J1045" s="937"/>
      <c r="K1045" s="937"/>
      <c r="L1045" s="937"/>
      <c r="M1045" s="937"/>
      <c r="N1045" s="937"/>
      <c r="O1045" s="937"/>
      <c r="P1045" s="937"/>
      <c r="Q1045" s="937"/>
      <c r="R1045" s="937"/>
      <c r="S1045" s="937"/>
      <c r="T1045" s="937"/>
      <c r="U1045" s="937"/>
      <c r="V1045" s="937"/>
      <c r="W1045" s="937"/>
      <c r="X1045" s="937"/>
      <c r="Y1045" s="937"/>
      <c r="Z1045" s="937"/>
    </row>
    <row r="1046" spans="1:26" ht="15.75" customHeight="1">
      <c r="A1046" s="937"/>
      <c r="B1046" s="937"/>
      <c r="C1046" s="937"/>
      <c r="D1046" s="937"/>
      <c r="E1046" s="937"/>
      <c r="F1046" s="937"/>
      <c r="G1046" s="937"/>
      <c r="H1046" s="937"/>
      <c r="I1046" s="937"/>
      <c r="J1046" s="937"/>
      <c r="K1046" s="937"/>
      <c r="L1046" s="937"/>
      <c r="M1046" s="937"/>
      <c r="N1046" s="937"/>
      <c r="O1046" s="937"/>
      <c r="P1046" s="937"/>
      <c r="Q1046" s="937"/>
      <c r="R1046" s="937"/>
      <c r="S1046" s="937"/>
      <c r="T1046" s="937"/>
      <c r="U1046" s="937"/>
      <c r="V1046" s="937"/>
      <c r="W1046" s="937"/>
      <c r="X1046" s="937"/>
      <c r="Y1046" s="937"/>
      <c r="Z1046" s="937"/>
    </row>
    <row r="1047" spans="1:26" ht="15.75" customHeight="1">
      <c r="A1047" s="937"/>
      <c r="B1047" s="937"/>
      <c r="C1047" s="937"/>
      <c r="D1047" s="937"/>
      <c r="E1047" s="937"/>
      <c r="F1047" s="937"/>
      <c r="G1047" s="937"/>
      <c r="H1047" s="937"/>
      <c r="I1047" s="937"/>
      <c r="J1047" s="937"/>
      <c r="K1047" s="937"/>
      <c r="L1047" s="937"/>
      <c r="M1047" s="937"/>
      <c r="N1047" s="937"/>
      <c r="O1047" s="937"/>
      <c r="P1047" s="937"/>
      <c r="Q1047" s="937"/>
      <c r="R1047" s="937"/>
      <c r="S1047" s="937"/>
      <c r="T1047" s="937"/>
      <c r="U1047" s="937"/>
      <c r="V1047" s="937"/>
      <c r="W1047" s="937"/>
      <c r="X1047" s="937"/>
      <c r="Y1047" s="937"/>
      <c r="Z1047" s="937"/>
    </row>
    <row r="1048" spans="1:26" ht="15.75" customHeight="1">
      <c r="A1048" s="937"/>
      <c r="B1048" s="937"/>
      <c r="C1048" s="937"/>
      <c r="D1048" s="937"/>
      <c r="E1048" s="937"/>
      <c r="F1048" s="937"/>
      <c r="G1048" s="937"/>
      <c r="H1048" s="937"/>
      <c r="I1048" s="937"/>
      <c r="J1048" s="937"/>
      <c r="K1048" s="937"/>
      <c r="L1048" s="937"/>
      <c r="M1048" s="937"/>
      <c r="N1048" s="937"/>
      <c r="O1048" s="937"/>
      <c r="P1048" s="937"/>
      <c r="Q1048" s="937"/>
      <c r="R1048" s="937"/>
      <c r="S1048" s="937"/>
      <c r="T1048" s="937"/>
      <c r="U1048" s="937"/>
      <c r="V1048" s="937"/>
      <c r="W1048" s="937"/>
      <c r="X1048" s="937"/>
      <c r="Y1048" s="937"/>
      <c r="Z1048" s="937"/>
    </row>
    <row r="1049" spans="1:26" ht="15.75" customHeight="1">
      <c r="A1049" s="937"/>
      <c r="B1049" s="937"/>
      <c r="C1049" s="937"/>
      <c r="D1049" s="937"/>
      <c r="E1049" s="937"/>
      <c r="F1049" s="937"/>
      <c r="G1049" s="937"/>
      <c r="H1049" s="937"/>
      <c r="I1049" s="937"/>
      <c r="J1049" s="937"/>
      <c r="K1049" s="937"/>
      <c r="L1049" s="937"/>
      <c r="M1049" s="937"/>
      <c r="N1049" s="937"/>
      <c r="O1049" s="937"/>
      <c r="P1049" s="937"/>
      <c r="Q1049" s="937"/>
      <c r="R1049" s="937"/>
      <c r="S1049" s="937"/>
      <c r="T1049" s="937"/>
      <c r="U1049" s="937"/>
      <c r="V1049" s="937"/>
      <c r="W1049" s="937"/>
      <c r="X1049" s="937"/>
      <c r="Y1049" s="937"/>
      <c r="Z1049" s="937"/>
    </row>
    <row r="1050" spans="1:26" ht="15.75" customHeight="1">
      <c r="A1050" s="937"/>
      <c r="B1050" s="937"/>
      <c r="C1050" s="937"/>
      <c r="D1050" s="937"/>
      <c r="E1050" s="937"/>
      <c r="F1050" s="937"/>
      <c r="G1050" s="937"/>
      <c r="H1050" s="937"/>
      <c r="I1050" s="937"/>
      <c r="J1050" s="937"/>
      <c r="K1050" s="937"/>
      <c r="L1050" s="937"/>
      <c r="M1050" s="937"/>
      <c r="N1050" s="937"/>
      <c r="O1050" s="937"/>
      <c r="P1050" s="937"/>
      <c r="Q1050" s="937"/>
      <c r="R1050" s="937"/>
      <c r="S1050" s="937"/>
      <c r="T1050" s="937"/>
      <c r="U1050" s="937"/>
      <c r="V1050" s="937"/>
      <c r="W1050" s="937"/>
      <c r="X1050" s="937"/>
      <c r="Y1050" s="937"/>
      <c r="Z1050" s="937"/>
    </row>
    <row r="1051" spans="1:26" ht="15.75" customHeight="1">
      <c r="A1051" s="937"/>
      <c r="B1051" s="937"/>
      <c r="C1051" s="937"/>
      <c r="D1051" s="937"/>
      <c r="E1051" s="937"/>
      <c r="F1051" s="937"/>
      <c r="G1051" s="937"/>
      <c r="H1051" s="937"/>
      <c r="I1051" s="937"/>
      <c r="J1051" s="937"/>
      <c r="K1051" s="937"/>
      <c r="L1051" s="937"/>
      <c r="M1051" s="937"/>
      <c r="N1051" s="937"/>
      <c r="O1051" s="937"/>
      <c r="P1051" s="937"/>
      <c r="Q1051" s="937"/>
      <c r="R1051" s="937"/>
      <c r="S1051" s="937"/>
      <c r="T1051" s="937"/>
      <c r="U1051" s="937"/>
      <c r="V1051" s="937"/>
      <c r="W1051" s="937"/>
      <c r="X1051" s="937"/>
      <c r="Y1051" s="937"/>
      <c r="Z1051" s="937"/>
    </row>
    <row r="1052" spans="1:26" ht="15.75" customHeight="1">
      <c r="A1052" s="937"/>
      <c r="B1052" s="937"/>
      <c r="C1052" s="937"/>
      <c r="D1052" s="937"/>
      <c r="E1052" s="937"/>
      <c r="F1052" s="937"/>
      <c r="G1052" s="937"/>
      <c r="H1052" s="937"/>
      <c r="I1052" s="937"/>
      <c r="J1052" s="937"/>
      <c r="K1052" s="937"/>
      <c r="L1052" s="937"/>
      <c r="M1052" s="937"/>
      <c r="N1052" s="937"/>
      <c r="O1052" s="937"/>
      <c r="P1052" s="937"/>
      <c r="Q1052" s="937"/>
      <c r="R1052" s="937"/>
      <c r="S1052" s="937"/>
      <c r="T1052" s="937"/>
      <c r="U1052" s="937"/>
      <c r="V1052" s="937"/>
      <c r="W1052" s="937"/>
      <c r="X1052" s="937"/>
      <c r="Y1052" s="937"/>
      <c r="Z1052" s="937"/>
    </row>
    <row r="1053" spans="1:26" ht="15.75" customHeight="1">
      <c r="A1053" s="937"/>
      <c r="B1053" s="937"/>
      <c r="C1053" s="937"/>
      <c r="D1053" s="937"/>
      <c r="E1053" s="937"/>
      <c r="F1053" s="937"/>
      <c r="G1053" s="937"/>
      <c r="H1053" s="937"/>
      <c r="I1053" s="937"/>
      <c r="J1053" s="937"/>
      <c r="K1053" s="937"/>
      <c r="L1053" s="937"/>
      <c r="M1053" s="937"/>
      <c r="N1053" s="937"/>
      <c r="O1053" s="937"/>
      <c r="P1053" s="937"/>
      <c r="Q1053" s="937"/>
      <c r="R1053" s="937"/>
      <c r="S1053" s="937"/>
      <c r="T1053" s="937"/>
      <c r="U1053" s="937"/>
      <c r="V1053" s="937"/>
      <c r="W1053" s="937"/>
      <c r="X1053" s="937"/>
      <c r="Y1053" s="937"/>
      <c r="Z1053" s="937"/>
    </row>
    <row r="1054" spans="1:26" ht="15.75" customHeight="1">
      <c r="A1054" s="937"/>
      <c r="B1054" s="937"/>
      <c r="C1054" s="937"/>
      <c r="D1054" s="937"/>
      <c r="E1054" s="937"/>
      <c r="F1054" s="937"/>
      <c r="G1054" s="937"/>
      <c r="H1054" s="937"/>
      <c r="I1054" s="937"/>
      <c r="J1054" s="937"/>
      <c r="K1054" s="937"/>
      <c r="L1054" s="937"/>
      <c r="M1054" s="937"/>
      <c r="N1054" s="937"/>
      <c r="O1054" s="937"/>
      <c r="P1054" s="937"/>
      <c r="Q1054" s="937"/>
      <c r="R1054" s="937"/>
      <c r="S1054" s="937"/>
      <c r="T1054" s="937"/>
      <c r="U1054" s="937"/>
      <c r="V1054" s="937"/>
      <c r="W1054" s="937"/>
      <c r="X1054" s="937"/>
      <c r="Y1054" s="937"/>
      <c r="Z1054" s="937"/>
    </row>
    <row r="1055" spans="1:26" ht="15.75" customHeight="1">
      <c r="A1055" s="937"/>
      <c r="B1055" s="937"/>
      <c r="C1055" s="937"/>
      <c r="D1055" s="937"/>
      <c r="E1055" s="937"/>
      <c r="F1055" s="937"/>
      <c r="G1055" s="937"/>
      <c r="H1055" s="937"/>
      <c r="I1055" s="937"/>
      <c r="J1055" s="937"/>
      <c r="K1055" s="937"/>
      <c r="L1055" s="937"/>
      <c r="M1055" s="937"/>
      <c r="N1055" s="937"/>
      <c r="O1055" s="937"/>
      <c r="P1055" s="937"/>
      <c r="Q1055" s="937"/>
      <c r="R1055" s="937"/>
      <c r="S1055" s="937"/>
      <c r="T1055" s="937"/>
      <c r="U1055" s="937"/>
      <c r="V1055" s="937"/>
      <c r="W1055" s="937"/>
      <c r="X1055" s="937"/>
      <c r="Y1055" s="937"/>
      <c r="Z1055" s="937"/>
    </row>
    <row r="1056" spans="1:26" ht="15.75" customHeight="1">
      <c r="A1056" s="937"/>
      <c r="B1056" s="937"/>
      <c r="C1056" s="937"/>
      <c r="D1056" s="937"/>
      <c r="E1056" s="937"/>
      <c r="F1056" s="937"/>
      <c r="G1056" s="937"/>
      <c r="H1056" s="937"/>
      <c r="I1056" s="937"/>
      <c r="J1056" s="937"/>
      <c r="K1056" s="937"/>
      <c r="L1056" s="937"/>
      <c r="M1056" s="937"/>
      <c r="N1056" s="937"/>
      <c r="O1056" s="937"/>
      <c r="P1056" s="937"/>
      <c r="Q1056" s="937"/>
      <c r="R1056" s="937"/>
      <c r="S1056" s="937"/>
      <c r="T1056" s="937"/>
      <c r="U1056" s="937"/>
      <c r="V1056" s="937"/>
      <c r="W1056" s="937"/>
      <c r="X1056" s="937"/>
      <c r="Y1056" s="937"/>
      <c r="Z1056" s="937"/>
    </row>
    <row r="1057" spans="1:26" ht="15.75" customHeight="1">
      <c r="A1057" s="937"/>
      <c r="B1057" s="937"/>
      <c r="C1057" s="937"/>
      <c r="D1057" s="937"/>
      <c r="E1057" s="937"/>
      <c r="F1057" s="937"/>
      <c r="G1057" s="937"/>
      <c r="H1057" s="937"/>
      <c r="I1057" s="937"/>
      <c r="J1057" s="937"/>
      <c r="K1057" s="937"/>
      <c r="L1057" s="937"/>
      <c r="M1057" s="937"/>
      <c r="N1057" s="937"/>
      <c r="O1057" s="937"/>
      <c r="P1057" s="937"/>
      <c r="Q1057" s="937"/>
      <c r="R1057" s="937"/>
      <c r="S1057" s="937"/>
      <c r="T1057" s="937"/>
      <c r="U1057" s="937"/>
      <c r="V1057" s="937"/>
      <c r="W1057" s="937"/>
      <c r="X1057" s="937"/>
      <c r="Y1057" s="937"/>
      <c r="Z1057" s="937"/>
    </row>
    <row r="1058" spans="1:26" ht="15.75" customHeight="1">
      <c r="A1058" s="937"/>
      <c r="B1058" s="937"/>
      <c r="C1058" s="937"/>
      <c r="D1058" s="937"/>
      <c r="E1058" s="937"/>
      <c r="F1058" s="937"/>
      <c r="G1058" s="937"/>
      <c r="H1058" s="937"/>
      <c r="I1058" s="937"/>
      <c r="J1058" s="937"/>
      <c r="K1058" s="937"/>
      <c r="L1058" s="937"/>
      <c r="M1058" s="937"/>
      <c r="N1058" s="937"/>
      <c r="O1058" s="937"/>
      <c r="P1058" s="937"/>
      <c r="Q1058" s="937"/>
      <c r="R1058" s="937"/>
      <c r="S1058" s="937"/>
      <c r="T1058" s="937"/>
      <c r="U1058" s="937"/>
      <c r="V1058" s="937"/>
      <c r="W1058" s="937"/>
      <c r="X1058" s="937"/>
      <c r="Y1058" s="937"/>
      <c r="Z1058" s="937"/>
    </row>
    <row r="1059" spans="1:26" ht="15.75" customHeight="1">
      <c r="A1059" s="937"/>
      <c r="B1059" s="937"/>
      <c r="C1059" s="937"/>
      <c r="D1059" s="937"/>
      <c r="E1059" s="937"/>
      <c r="F1059" s="937"/>
      <c r="G1059" s="937"/>
      <c r="H1059" s="937"/>
      <c r="I1059" s="937"/>
      <c r="J1059" s="937"/>
      <c r="K1059" s="937"/>
      <c r="L1059" s="937"/>
      <c r="M1059" s="937"/>
      <c r="N1059" s="937"/>
      <c r="O1059" s="937"/>
      <c r="P1059" s="937"/>
      <c r="Q1059" s="937"/>
      <c r="R1059" s="937"/>
      <c r="S1059" s="937"/>
      <c r="T1059" s="937"/>
      <c r="U1059" s="937"/>
      <c r="V1059" s="937"/>
      <c r="W1059" s="937"/>
      <c r="X1059" s="937"/>
      <c r="Y1059" s="937"/>
      <c r="Z1059" s="937"/>
    </row>
    <row r="1060" spans="1:26" ht="15.75" customHeight="1">
      <c r="A1060" s="937"/>
      <c r="B1060" s="937"/>
      <c r="C1060" s="937"/>
      <c r="D1060" s="937"/>
      <c r="E1060" s="937"/>
      <c r="F1060" s="937"/>
      <c r="G1060" s="937"/>
      <c r="H1060" s="937"/>
      <c r="I1060" s="937"/>
      <c r="J1060" s="937"/>
      <c r="K1060" s="937"/>
      <c r="L1060" s="937"/>
      <c r="M1060" s="937"/>
      <c r="N1060" s="937"/>
      <c r="O1060" s="937"/>
      <c r="P1060" s="937"/>
      <c r="Q1060" s="937"/>
      <c r="R1060" s="937"/>
      <c r="S1060" s="937"/>
      <c r="T1060" s="937"/>
      <c r="U1060" s="937"/>
      <c r="V1060" s="937"/>
      <c r="W1060" s="937"/>
      <c r="X1060" s="937"/>
      <c r="Y1060" s="937"/>
      <c r="Z1060" s="937"/>
    </row>
    <row r="1061" spans="1:26" ht="15.75" customHeight="1">
      <c r="A1061" s="937"/>
      <c r="B1061" s="937"/>
      <c r="C1061" s="937"/>
      <c r="D1061" s="937"/>
      <c r="E1061" s="937"/>
      <c r="F1061" s="937"/>
      <c r="G1061" s="937"/>
      <c r="H1061" s="937"/>
      <c r="I1061" s="937"/>
      <c r="J1061" s="937"/>
      <c r="K1061" s="937"/>
      <c r="L1061" s="937"/>
      <c r="M1061" s="937"/>
      <c r="N1061" s="937"/>
      <c r="O1061" s="937"/>
      <c r="P1061" s="937"/>
      <c r="Q1061" s="937"/>
      <c r="R1061" s="937"/>
      <c r="S1061" s="937"/>
      <c r="T1061" s="937"/>
      <c r="U1061" s="937"/>
      <c r="V1061" s="937"/>
      <c r="W1061" s="937"/>
      <c r="X1061" s="937"/>
      <c r="Y1061" s="937"/>
      <c r="Z1061" s="937"/>
    </row>
    <row r="1062" spans="1:26" ht="15.75" customHeight="1">
      <c r="A1062" s="937"/>
      <c r="B1062" s="937"/>
      <c r="C1062" s="937"/>
      <c r="D1062" s="937"/>
      <c r="E1062" s="937"/>
      <c r="F1062" s="937"/>
      <c r="G1062" s="937"/>
      <c r="H1062" s="937"/>
      <c r="I1062" s="937"/>
      <c r="J1062" s="937"/>
      <c r="K1062" s="937"/>
      <c r="L1062" s="937"/>
      <c r="M1062" s="937"/>
      <c r="N1062" s="937"/>
      <c r="O1062" s="937"/>
      <c r="P1062" s="937"/>
      <c r="Q1062" s="937"/>
      <c r="R1062" s="937"/>
      <c r="S1062" s="937"/>
      <c r="T1062" s="937"/>
      <c r="U1062" s="937"/>
      <c r="V1062" s="937"/>
      <c r="W1062" s="937"/>
      <c r="X1062" s="937"/>
      <c r="Y1062" s="937"/>
      <c r="Z1062" s="937"/>
    </row>
    <row r="1063" spans="1:26" ht="15.75" customHeight="1">
      <c r="A1063" s="937"/>
      <c r="B1063" s="937"/>
      <c r="C1063" s="937"/>
      <c r="D1063" s="937"/>
      <c r="E1063" s="937"/>
      <c r="F1063" s="937"/>
      <c r="G1063" s="937"/>
      <c r="H1063" s="937"/>
      <c r="I1063" s="937"/>
      <c r="J1063" s="937"/>
      <c r="K1063" s="937"/>
      <c r="L1063" s="937"/>
      <c r="M1063" s="937"/>
      <c r="N1063" s="937"/>
      <c r="O1063" s="937"/>
      <c r="P1063" s="937"/>
      <c r="Q1063" s="937"/>
      <c r="R1063" s="937"/>
      <c r="S1063" s="937"/>
      <c r="T1063" s="937"/>
      <c r="U1063" s="937"/>
      <c r="V1063" s="937"/>
      <c r="W1063" s="937"/>
      <c r="X1063" s="937"/>
      <c r="Y1063" s="937"/>
      <c r="Z1063" s="937"/>
    </row>
    <row r="1064" spans="1:26" ht="15.75" customHeight="1">
      <c r="A1064" s="937"/>
      <c r="B1064" s="937"/>
      <c r="C1064" s="937"/>
      <c r="D1064" s="937"/>
      <c r="E1064" s="937"/>
      <c r="F1064" s="937"/>
      <c r="G1064" s="937"/>
      <c r="H1064" s="937"/>
      <c r="I1064" s="937"/>
      <c r="J1064" s="937"/>
      <c r="K1064" s="937"/>
      <c r="L1064" s="937"/>
      <c r="M1064" s="937"/>
      <c r="N1064" s="937"/>
      <c r="O1064" s="937"/>
      <c r="P1064" s="937"/>
      <c r="Q1064" s="937"/>
      <c r="R1064" s="937"/>
      <c r="S1064" s="937"/>
      <c r="T1064" s="937"/>
      <c r="U1064" s="937"/>
      <c r="V1064" s="937"/>
      <c r="W1064" s="937"/>
      <c r="X1064" s="937"/>
      <c r="Y1064" s="937"/>
      <c r="Z1064" s="937"/>
    </row>
    <row r="1065" spans="1:26" ht="15.75" customHeight="1">
      <c r="A1065" s="937"/>
      <c r="B1065" s="937"/>
      <c r="C1065" s="937"/>
      <c r="D1065" s="937"/>
      <c r="E1065" s="937"/>
      <c r="F1065" s="937"/>
      <c r="G1065" s="937"/>
      <c r="H1065" s="937"/>
      <c r="I1065" s="937"/>
      <c r="J1065" s="937"/>
      <c r="K1065" s="937"/>
      <c r="L1065" s="937"/>
      <c r="M1065" s="937"/>
      <c r="N1065" s="937"/>
      <c r="O1065" s="937"/>
      <c r="P1065" s="937"/>
      <c r="Q1065" s="937"/>
      <c r="R1065" s="937"/>
      <c r="S1065" s="937"/>
      <c r="T1065" s="937"/>
      <c r="U1065" s="937"/>
      <c r="V1065" s="937"/>
      <c r="W1065" s="937"/>
      <c r="X1065" s="937"/>
      <c r="Y1065" s="937"/>
      <c r="Z1065" s="937"/>
    </row>
    <row r="1066" spans="1:26" ht="15.75" customHeight="1">
      <c r="A1066" s="937"/>
      <c r="B1066" s="937"/>
      <c r="C1066" s="937"/>
      <c r="D1066" s="937"/>
      <c r="E1066" s="937"/>
      <c r="F1066" s="937"/>
      <c r="G1066" s="937"/>
      <c r="H1066" s="937"/>
      <c r="I1066" s="937"/>
      <c r="J1066" s="937"/>
      <c r="K1066" s="937"/>
      <c r="L1066" s="937"/>
      <c r="M1066" s="937"/>
      <c r="N1066" s="937"/>
      <c r="O1066" s="937"/>
      <c r="P1066" s="937"/>
      <c r="Q1066" s="937"/>
      <c r="R1066" s="937"/>
      <c r="S1066" s="937"/>
      <c r="T1066" s="937"/>
      <c r="U1066" s="937"/>
      <c r="V1066" s="937"/>
      <c r="W1066" s="937"/>
      <c r="X1066" s="937"/>
      <c r="Y1066" s="937"/>
      <c r="Z1066" s="937"/>
    </row>
    <row r="1067" spans="1:26" ht="15.75" customHeight="1">
      <c r="A1067" s="937"/>
      <c r="B1067" s="937"/>
      <c r="C1067" s="937"/>
      <c r="D1067" s="937"/>
      <c r="E1067" s="937"/>
      <c r="F1067" s="937"/>
      <c r="G1067" s="937"/>
      <c r="H1067" s="937"/>
      <c r="I1067" s="937"/>
      <c r="J1067" s="937"/>
      <c r="K1067" s="937"/>
      <c r="L1067" s="937"/>
      <c r="M1067" s="937"/>
      <c r="N1067" s="937"/>
      <c r="O1067" s="937"/>
      <c r="P1067" s="937"/>
      <c r="Q1067" s="937"/>
      <c r="R1067" s="937"/>
      <c r="S1067" s="937"/>
      <c r="T1067" s="937"/>
      <c r="U1067" s="937"/>
      <c r="V1067" s="937"/>
      <c r="W1067" s="937"/>
      <c r="X1067" s="937"/>
      <c r="Y1067" s="937"/>
      <c r="Z1067" s="937"/>
    </row>
    <row r="1068" spans="1:26" ht="15.75" customHeight="1">
      <c r="A1068" s="937"/>
      <c r="B1068" s="937"/>
      <c r="C1068" s="937"/>
      <c r="D1068" s="937"/>
      <c r="E1068" s="937"/>
      <c r="F1068" s="937"/>
      <c r="G1068" s="937"/>
      <c r="H1068" s="937"/>
      <c r="I1068" s="937"/>
      <c r="J1068" s="937"/>
      <c r="K1068" s="937"/>
      <c r="L1068" s="937"/>
      <c r="M1068" s="937"/>
      <c r="N1068" s="937"/>
      <c r="O1068" s="937"/>
      <c r="P1068" s="937"/>
      <c r="Q1068" s="937"/>
      <c r="R1068" s="937"/>
      <c r="S1068" s="937"/>
      <c r="T1068" s="937"/>
      <c r="U1068" s="937"/>
      <c r="V1068" s="937"/>
      <c r="W1068" s="937"/>
      <c r="X1068" s="937"/>
      <c r="Y1068" s="937"/>
      <c r="Z1068" s="937"/>
    </row>
    <row r="1069" spans="1:26" ht="15.75" customHeight="1">
      <c r="A1069" s="937"/>
      <c r="B1069" s="937"/>
      <c r="C1069" s="937"/>
      <c r="D1069" s="937"/>
      <c r="E1069" s="937"/>
      <c r="F1069" s="937"/>
      <c r="G1069" s="937"/>
      <c r="H1069" s="937"/>
      <c r="I1069" s="937"/>
      <c r="J1069" s="937"/>
      <c r="K1069" s="937"/>
      <c r="L1069" s="937"/>
      <c r="M1069" s="937"/>
      <c r="N1069" s="937"/>
      <c r="O1069" s="937"/>
      <c r="P1069" s="937"/>
      <c r="Q1069" s="937"/>
      <c r="R1069" s="937"/>
      <c r="S1069" s="937"/>
      <c r="T1069" s="937"/>
      <c r="U1069" s="937"/>
      <c r="V1069" s="937"/>
      <c r="W1069" s="937"/>
      <c r="X1069" s="937"/>
      <c r="Y1069" s="937"/>
      <c r="Z1069" s="937"/>
    </row>
    <row r="1070" spans="1:26" ht="15.75" customHeight="1">
      <c r="A1070" s="937"/>
      <c r="B1070" s="937"/>
      <c r="C1070" s="937"/>
      <c r="D1070" s="937"/>
      <c r="E1070" s="937"/>
      <c r="F1070" s="937"/>
      <c r="G1070" s="937"/>
      <c r="H1070" s="937"/>
      <c r="I1070" s="937"/>
      <c r="J1070" s="937"/>
      <c r="K1070" s="937"/>
      <c r="L1070" s="937"/>
      <c r="M1070" s="937"/>
      <c r="N1070" s="937"/>
      <c r="O1070" s="937"/>
      <c r="P1070" s="937"/>
      <c r="Q1070" s="937"/>
      <c r="R1070" s="937"/>
      <c r="S1070" s="937"/>
      <c r="T1070" s="937"/>
      <c r="U1070" s="937"/>
      <c r="V1070" s="937"/>
      <c r="W1070" s="937"/>
      <c r="X1070" s="937"/>
      <c r="Y1070" s="937"/>
      <c r="Z1070" s="937"/>
    </row>
    <row r="1071" spans="1:26" ht="15.75" customHeight="1">
      <c r="A1071" s="937"/>
      <c r="B1071" s="937"/>
      <c r="C1071" s="937"/>
      <c r="D1071" s="937"/>
      <c r="E1071" s="937"/>
      <c r="F1071" s="937"/>
      <c r="G1071" s="937"/>
      <c r="H1071" s="937"/>
      <c r="I1071" s="937"/>
      <c r="J1071" s="937"/>
      <c r="K1071" s="937"/>
      <c r="L1071" s="937"/>
      <c r="M1071" s="937"/>
      <c r="N1071" s="937"/>
      <c r="O1071" s="937"/>
      <c r="P1071" s="937"/>
      <c r="Q1071" s="937"/>
      <c r="R1071" s="937"/>
      <c r="S1071" s="937"/>
      <c r="T1071" s="937"/>
      <c r="U1071" s="937"/>
      <c r="V1071" s="937"/>
      <c r="W1071" s="937"/>
      <c r="X1071" s="937"/>
      <c r="Y1071" s="937"/>
      <c r="Z1071" s="937"/>
    </row>
    <row r="1072" spans="1:26" ht="15.75" customHeight="1">
      <c r="A1072" s="937"/>
      <c r="B1072" s="937"/>
      <c r="C1072" s="937"/>
      <c r="D1072" s="937"/>
      <c r="E1072" s="937"/>
      <c r="F1072" s="937"/>
      <c r="G1072" s="937"/>
      <c r="H1072" s="937"/>
      <c r="I1072" s="937"/>
      <c r="J1072" s="937"/>
      <c r="K1072" s="937"/>
      <c r="L1072" s="937"/>
      <c r="M1072" s="937"/>
      <c r="N1072" s="937"/>
      <c r="O1072" s="937"/>
      <c r="P1072" s="937"/>
      <c r="Q1072" s="937"/>
      <c r="R1072" s="937"/>
      <c r="S1072" s="937"/>
      <c r="T1072" s="937"/>
      <c r="U1072" s="937"/>
      <c r="V1072" s="937"/>
      <c r="W1072" s="937"/>
      <c r="X1072" s="937"/>
      <c r="Y1072" s="937"/>
      <c r="Z1072" s="937"/>
    </row>
    <row r="1073" spans="1:26" ht="15.75" customHeight="1">
      <c r="A1073" s="937"/>
      <c r="B1073" s="937"/>
      <c r="C1073" s="937"/>
      <c r="D1073" s="937"/>
      <c r="E1073" s="937"/>
      <c r="F1073" s="937"/>
      <c r="G1073" s="937"/>
      <c r="H1073" s="937"/>
      <c r="I1073" s="937"/>
      <c r="J1073" s="937"/>
      <c r="K1073" s="937"/>
      <c r="L1073" s="937"/>
      <c r="M1073" s="937"/>
      <c r="N1073" s="937"/>
      <c r="O1073" s="937"/>
      <c r="P1073" s="937"/>
      <c r="Q1073" s="937"/>
      <c r="R1073" s="937"/>
      <c r="S1073" s="937"/>
      <c r="T1073" s="937"/>
      <c r="U1073" s="937"/>
      <c r="V1073" s="937"/>
      <c r="W1073" s="937"/>
      <c r="X1073" s="937"/>
      <c r="Y1073" s="937"/>
      <c r="Z1073" s="937"/>
    </row>
    <row r="1074" spans="1:26" ht="15.75" customHeight="1">
      <c r="A1074" s="937"/>
      <c r="B1074" s="937"/>
      <c r="C1074" s="937"/>
      <c r="D1074" s="937"/>
      <c r="E1074" s="937"/>
      <c r="F1074" s="937"/>
      <c r="G1074" s="937"/>
      <c r="H1074" s="937"/>
      <c r="I1074" s="937"/>
      <c r="J1074" s="937"/>
      <c r="K1074" s="937"/>
      <c r="L1074" s="937"/>
      <c r="M1074" s="937"/>
      <c r="N1074" s="937"/>
      <c r="O1074" s="937"/>
      <c r="P1074" s="937"/>
      <c r="Q1074" s="937"/>
      <c r="R1074" s="937"/>
      <c r="S1074" s="937"/>
      <c r="T1074" s="937"/>
      <c r="U1074" s="937"/>
      <c r="V1074" s="937"/>
      <c r="W1074" s="937"/>
      <c r="X1074" s="937"/>
      <c r="Y1074" s="937"/>
      <c r="Z1074" s="937"/>
    </row>
    <row r="1075" spans="1:26" ht="15.75" customHeight="1">
      <c r="A1075" s="937"/>
      <c r="B1075" s="937"/>
      <c r="C1075" s="937"/>
      <c r="D1075" s="937"/>
      <c r="E1075" s="937"/>
      <c r="F1075" s="937"/>
      <c r="G1075" s="937"/>
      <c r="H1075" s="937"/>
      <c r="I1075" s="937"/>
      <c r="J1075" s="937"/>
      <c r="K1075" s="937"/>
      <c r="L1075" s="937"/>
      <c r="M1075" s="937"/>
      <c r="N1075" s="937"/>
      <c r="O1075" s="937"/>
      <c r="P1075" s="937"/>
      <c r="Q1075" s="937"/>
      <c r="R1075" s="937"/>
      <c r="S1075" s="937"/>
      <c r="T1075" s="937"/>
      <c r="U1075" s="937"/>
      <c r="V1075" s="937"/>
      <c r="W1075" s="937"/>
      <c r="X1075" s="937"/>
      <c r="Y1075" s="937"/>
      <c r="Z1075" s="937"/>
    </row>
    <row r="1076" spans="1:26" ht="15.75" customHeight="1">
      <c r="A1076" s="937"/>
      <c r="B1076" s="937"/>
      <c r="C1076" s="937"/>
      <c r="D1076" s="937"/>
      <c r="E1076" s="937"/>
      <c r="F1076" s="937"/>
      <c r="G1076" s="937"/>
      <c r="H1076" s="937"/>
      <c r="I1076" s="937"/>
      <c r="J1076" s="937"/>
      <c r="K1076" s="937"/>
      <c r="L1076" s="937"/>
      <c r="M1076" s="937"/>
      <c r="N1076" s="937"/>
      <c r="O1076" s="937"/>
      <c r="P1076" s="937"/>
      <c r="Q1076" s="937"/>
      <c r="R1076" s="937"/>
      <c r="S1076" s="937"/>
      <c r="T1076" s="937"/>
      <c r="U1076" s="937"/>
      <c r="V1076" s="937"/>
      <c r="W1076" s="937"/>
      <c r="X1076" s="937"/>
      <c r="Y1076" s="937"/>
      <c r="Z1076" s="937"/>
    </row>
    <row r="1077" spans="1:26" ht="15.75" customHeight="1">
      <c r="A1077" s="937"/>
      <c r="B1077" s="937"/>
      <c r="C1077" s="937"/>
      <c r="D1077" s="937"/>
      <c r="E1077" s="937"/>
      <c r="F1077" s="937"/>
      <c r="G1077" s="937"/>
      <c r="H1077" s="937"/>
      <c r="I1077" s="937"/>
      <c r="J1077" s="937"/>
      <c r="K1077" s="937"/>
      <c r="L1077" s="937"/>
      <c r="M1077" s="937"/>
      <c r="N1077" s="937"/>
      <c r="O1077" s="937"/>
      <c r="P1077" s="937"/>
      <c r="Q1077" s="937"/>
      <c r="R1077" s="937"/>
      <c r="S1077" s="937"/>
      <c r="T1077" s="937"/>
      <c r="U1077" s="937"/>
      <c r="V1077" s="937"/>
      <c r="W1077" s="937"/>
      <c r="X1077" s="937"/>
      <c r="Y1077" s="937"/>
      <c r="Z1077" s="937"/>
    </row>
    <row r="1078" spans="1:26" ht="15.75" customHeight="1">
      <c r="A1078" s="937"/>
      <c r="B1078" s="937"/>
      <c r="C1078" s="937"/>
      <c r="D1078" s="937"/>
      <c r="E1078" s="937"/>
      <c r="F1078" s="937"/>
      <c r="G1078" s="937"/>
      <c r="H1078" s="937"/>
      <c r="I1078" s="937"/>
      <c r="J1078" s="937"/>
      <c r="K1078" s="937"/>
      <c r="L1078" s="937"/>
      <c r="M1078" s="937"/>
      <c r="N1078" s="937"/>
      <c r="O1078" s="937"/>
      <c r="P1078" s="937"/>
      <c r="Q1078" s="937"/>
      <c r="R1078" s="937"/>
      <c r="S1078" s="937"/>
      <c r="T1078" s="937"/>
      <c r="U1078" s="937"/>
      <c r="V1078" s="937"/>
      <c r="W1078" s="937"/>
      <c r="X1078" s="937"/>
      <c r="Y1078" s="937"/>
      <c r="Z1078" s="937"/>
    </row>
    <row r="1079" spans="1:26" ht="15.75" customHeight="1">
      <c r="A1079" s="937"/>
      <c r="B1079" s="937"/>
      <c r="C1079" s="937"/>
      <c r="D1079" s="937"/>
      <c r="E1079" s="937"/>
      <c r="F1079" s="937"/>
      <c r="G1079" s="937"/>
      <c r="H1079" s="937"/>
      <c r="I1079" s="937"/>
      <c r="J1079" s="937"/>
      <c r="K1079" s="937"/>
      <c r="L1079" s="937"/>
      <c r="M1079" s="937"/>
      <c r="N1079" s="937"/>
      <c r="O1079" s="937"/>
      <c r="P1079" s="937"/>
      <c r="Q1079" s="937"/>
      <c r="R1079" s="937"/>
      <c r="S1079" s="937"/>
      <c r="T1079" s="937"/>
      <c r="U1079" s="937"/>
      <c r="V1079" s="937"/>
      <c r="W1079" s="937"/>
      <c r="X1079" s="937"/>
      <c r="Y1079" s="937"/>
      <c r="Z1079" s="937"/>
    </row>
    <row r="1080" spans="1:26" ht="15.75" customHeight="1">
      <c r="A1080" s="937"/>
      <c r="B1080" s="937"/>
      <c r="C1080" s="937"/>
      <c r="D1080" s="937"/>
      <c r="E1080" s="937"/>
      <c r="F1080" s="937"/>
      <c r="G1080" s="937"/>
      <c r="H1080" s="937"/>
      <c r="I1080" s="937"/>
      <c r="J1080" s="937"/>
      <c r="K1080" s="937"/>
      <c r="L1080" s="937"/>
      <c r="M1080" s="937"/>
      <c r="N1080" s="937"/>
      <c r="O1080" s="937"/>
      <c r="P1080" s="937"/>
      <c r="Q1080" s="937"/>
      <c r="R1080" s="937"/>
      <c r="S1080" s="937"/>
      <c r="T1080" s="937"/>
      <c r="U1080" s="937"/>
      <c r="V1080" s="937"/>
      <c r="W1080" s="937"/>
      <c r="X1080" s="937"/>
      <c r="Y1080" s="937"/>
      <c r="Z1080" s="937"/>
    </row>
    <row r="1081" spans="1:26" ht="15.75" customHeight="1">
      <c r="A1081" s="937"/>
      <c r="B1081" s="937"/>
      <c r="C1081" s="937"/>
      <c r="D1081" s="937"/>
      <c r="E1081" s="937"/>
      <c r="F1081" s="937"/>
      <c r="G1081" s="937"/>
      <c r="H1081" s="937"/>
      <c r="I1081" s="937"/>
      <c r="J1081" s="937"/>
      <c r="K1081" s="937"/>
      <c r="L1081" s="937"/>
      <c r="M1081" s="937"/>
      <c r="N1081" s="937"/>
      <c r="O1081" s="937"/>
      <c r="P1081" s="937"/>
      <c r="Q1081" s="937"/>
      <c r="R1081" s="937"/>
      <c r="S1081" s="937"/>
      <c r="T1081" s="937"/>
      <c r="U1081" s="937"/>
      <c r="V1081" s="937"/>
      <c r="W1081" s="937"/>
      <c r="X1081" s="937"/>
      <c r="Y1081" s="937"/>
      <c r="Z1081" s="937"/>
    </row>
    <row r="1082" spans="1:26" ht="15.75" customHeight="1">
      <c r="A1082" s="937"/>
      <c r="B1082" s="937"/>
      <c r="C1082" s="937"/>
      <c r="D1082" s="937"/>
      <c r="E1082" s="937"/>
      <c r="F1082" s="937"/>
      <c r="G1082" s="937"/>
      <c r="H1082" s="937"/>
      <c r="I1082" s="937"/>
      <c r="J1082" s="937"/>
      <c r="K1082" s="937"/>
      <c r="L1082" s="937"/>
      <c r="M1082" s="937"/>
      <c r="N1082" s="937"/>
      <c r="O1082" s="937"/>
      <c r="P1082" s="937"/>
      <c r="Q1082" s="937"/>
      <c r="R1082" s="937"/>
      <c r="S1082" s="937"/>
      <c r="T1082" s="937"/>
      <c r="U1082" s="937"/>
      <c r="V1082" s="937"/>
      <c r="W1082" s="937"/>
      <c r="X1082" s="937"/>
      <c r="Y1082" s="937"/>
      <c r="Z1082" s="937"/>
    </row>
    <row r="1083" spans="1:26" ht="15.75" customHeight="1">
      <c r="A1083" s="937"/>
      <c r="B1083" s="937"/>
      <c r="C1083" s="937"/>
      <c r="D1083" s="937"/>
      <c r="E1083" s="937"/>
      <c r="F1083" s="937"/>
      <c r="G1083" s="937"/>
      <c r="H1083" s="937"/>
      <c r="I1083" s="937"/>
      <c r="J1083" s="937"/>
      <c r="K1083" s="937"/>
      <c r="L1083" s="937"/>
      <c r="M1083" s="937"/>
      <c r="N1083" s="937"/>
      <c r="O1083" s="937"/>
      <c r="P1083" s="937"/>
      <c r="Q1083" s="937"/>
      <c r="R1083" s="937"/>
      <c r="S1083" s="937"/>
      <c r="T1083" s="937"/>
      <c r="U1083" s="937"/>
      <c r="V1083" s="937"/>
      <c r="W1083" s="937"/>
      <c r="X1083" s="937"/>
      <c r="Y1083" s="937"/>
      <c r="Z1083" s="937"/>
    </row>
    <row r="1084" spans="1:26" ht="15.75" customHeight="1">
      <c r="A1084" s="937"/>
      <c r="B1084" s="937"/>
      <c r="C1084" s="937"/>
      <c r="D1084" s="937"/>
      <c r="E1084" s="937"/>
      <c r="F1084" s="937"/>
      <c r="G1084" s="937"/>
      <c r="H1084" s="937"/>
      <c r="I1084" s="937"/>
      <c r="J1084" s="937"/>
      <c r="K1084" s="937"/>
      <c r="L1084" s="937"/>
      <c r="M1084" s="937"/>
      <c r="N1084" s="937"/>
      <c r="O1084" s="937"/>
      <c r="P1084" s="937"/>
      <c r="Q1084" s="937"/>
      <c r="R1084" s="937"/>
      <c r="S1084" s="937"/>
      <c r="T1084" s="937"/>
      <c r="U1084" s="937"/>
      <c r="V1084" s="937"/>
      <c r="W1084" s="937"/>
      <c r="X1084" s="937"/>
      <c r="Y1084" s="937"/>
      <c r="Z1084" s="937"/>
    </row>
    <row r="1085" spans="1:26" ht="15.75" customHeight="1">
      <c r="A1085" s="937"/>
      <c r="B1085" s="937"/>
      <c r="C1085" s="937"/>
      <c r="D1085" s="937"/>
      <c r="E1085" s="937"/>
      <c r="F1085" s="937"/>
      <c r="G1085" s="937"/>
      <c r="H1085" s="937"/>
      <c r="I1085" s="937"/>
      <c r="J1085" s="937"/>
      <c r="K1085" s="937"/>
      <c r="L1085" s="937"/>
      <c r="M1085" s="937"/>
      <c r="N1085" s="937"/>
      <c r="O1085" s="937"/>
      <c r="P1085" s="937"/>
      <c r="Q1085" s="937"/>
      <c r="R1085" s="937"/>
      <c r="S1085" s="937"/>
      <c r="T1085" s="937"/>
      <c r="U1085" s="937"/>
      <c r="V1085" s="937"/>
      <c r="W1085" s="937"/>
      <c r="X1085" s="937"/>
      <c r="Y1085" s="937"/>
      <c r="Z1085" s="937"/>
    </row>
    <row r="1086" spans="1:26" ht="15.75" customHeight="1">
      <c r="A1086" s="937"/>
      <c r="B1086" s="937"/>
      <c r="C1086" s="937"/>
      <c r="D1086" s="937"/>
      <c r="E1086" s="937"/>
      <c r="F1086" s="937"/>
      <c r="G1086" s="937"/>
      <c r="H1086" s="937"/>
      <c r="I1086" s="937"/>
      <c r="J1086" s="937"/>
      <c r="K1086" s="937"/>
      <c r="L1086" s="937"/>
      <c r="M1086" s="937"/>
      <c r="N1086" s="937"/>
      <c r="O1086" s="937"/>
      <c r="P1086" s="937"/>
      <c r="Q1086" s="937"/>
      <c r="R1086" s="937"/>
      <c r="S1086" s="937"/>
      <c r="T1086" s="937"/>
      <c r="U1086" s="937"/>
      <c r="V1086" s="937"/>
      <c r="W1086" s="937"/>
      <c r="X1086" s="937"/>
      <c r="Y1086" s="937"/>
      <c r="Z1086" s="937"/>
    </row>
    <row r="1087" spans="1:26" ht="15.75" customHeight="1">
      <c r="A1087" s="937"/>
      <c r="B1087" s="937"/>
      <c r="C1087" s="937"/>
      <c r="D1087" s="937"/>
      <c r="E1087" s="937"/>
      <c r="F1087" s="937"/>
      <c r="G1087" s="937"/>
      <c r="H1087" s="937"/>
      <c r="I1087" s="937"/>
      <c r="J1087" s="937"/>
      <c r="K1087" s="937"/>
      <c r="L1087" s="937"/>
      <c r="M1087" s="937"/>
      <c r="N1087" s="937"/>
      <c r="O1087" s="937"/>
      <c r="P1087" s="937"/>
      <c r="Q1087" s="937"/>
      <c r="R1087" s="937"/>
      <c r="S1087" s="937"/>
      <c r="T1087" s="937"/>
      <c r="U1087" s="937"/>
      <c r="V1087" s="937"/>
      <c r="W1087" s="937"/>
      <c r="X1087" s="937"/>
      <c r="Y1087" s="937"/>
      <c r="Z1087" s="937"/>
    </row>
    <row r="1088" spans="1:26" ht="15.75" customHeight="1">
      <c r="A1088" s="937"/>
      <c r="B1088" s="937"/>
      <c r="C1088" s="937"/>
      <c r="D1088" s="937"/>
      <c r="E1088" s="937"/>
      <c r="F1088" s="937"/>
      <c r="G1088" s="937"/>
      <c r="H1088" s="937"/>
      <c r="I1088" s="937"/>
      <c r="J1088" s="937"/>
      <c r="K1088" s="937"/>
      <c r="L1088" s="937"/>
      <c r="M1088" s="937"/>
      <c r="N1088" s="937"/>
      <c r="O1088" s="937"/>
      <c r="P1088" s="937"/>
      <c r="Q1088" s="937"/>
      <c r="R1088" s="937"/>
      <c r="S1088" s="937"/>
      <c r="T1088" s="937"/>
      <c r="U1088" s="937"/>
      <c r="V1088" s="937"/>
      <c r="W1088" s="937"/>
      <c r="X1088" s="937"/>
      <c r="Y1088" s="937"/>
      <c r="Z1088" s="937"/>
    </row>
    <row r="1089" spans="1:26" ht="15.75" customHeight="1">
      <c r="A1089" s="937"/>
      <c r="B1089" s="937"/>
      <c r="C1089" s="937"/>
      <c r="D1089" s="937"/>
      <c r="E1089" s="937"/>
      <c r="F1089" s="937"/>
      <c r="G1089" s="937"/>
      <c r="H1089" s="937"/>
      <c r="I1089" s="937"/>
      <c r="J1089" s="937"/>
      <c r="K1089" s="937"/>
      <c r="L1089" s="937"/>
      <c r="M1089" s="937"/>
      <c r="N1089" s="937"/>
      <c r="O1089" s="937"/>
      <c r="P1089" s="937"/>
      <c r="Q1089" s="937"/>
      <c r="R1089" s="937"/>
      <c r="S1089" s="937"/>
      <c r="T1089" s="937"/>
      <c r="U1089" s="937"/>
      <c r="V1089" s="937"/>
      <c r="W1089" s="937"/>
      <c r="X1089" s="937"/>
      <c r="Y1089" s="937"/>
      <c r="Z1089" s="937"/>
    </row>
    <row r="1090" spans="1:26" ht="15.75" customHeight="1">
      <c r="A1090" s="937"/>
      <c r="B1090" s="937"/>
      <c r="C1090" s="937"/>
      <c r="D1090" s="937"/>
      <c r="E1090" s="937"/>
      <c r="F1090" s="937"/>
      <c r="G1090" s="937"/>
      <c r="H1090" s="937"/>
      <c r="I1090" s="937"/>
      <c r="J1090" s="937"/>
      <c r="K1090" s="937"/>
      <c r="L1090" s="937"/>
      <c r="M1090" s="937"/>
      <c r="N1090" s="937"/>
      <c r="O1090" s="937"/>
      <c r="P1090" s="937"/>
      <c r="Q1090" s="937"/>
      <c r="R1090" s="937"/>
      <c r="S1090" s="937"/>
      <c r="T1090" s="937"/>
      <c r="U1090" s="937"/>
      <c r="V1090" s="937"/>
      <c r="W1090" s="937"/>
      <c r="X1090" s="937"/>
      <c r="Y1090" s="937"/>
      <c r="Z1090" s="937"/>
    </row>
    <row r="1091" spans="1:26" ht="15.75" customHeight="1">
      <c r="A1091" s="937"/>
      <c r="B1091" s="937"/>
      <c r="C1091" s="937"/>
      <c r="D1091" s="937"/>
      <c r="E1091" s="937"/>
      <c r="F1091" s="937"/>
      <c r="G1091" s="937"/>
      <c r="H1091" s="937"/>
      <c r="I1091" s="937"/>
      <c r="J1091" s="937"/>
      <c r="K1091" s="937"/>
      <c r="L1091" s="937"/>
      <c r="M1091" s="937"/>
      <c r="N1091" s="937"/>
      <c r="O1091" s="937"/>
      <c r="P1091" s="937"/>
      <c r="Q1091" s="937"/>
      <c r="R1091" s="937"/>
      <c r="S1091" s="937"/>
      <c r="T1091" s="937"/>
      <c r="U1091" s="937"/>
      <c r="V1091" s="937"/>
      <c r="W1091" s="937"/>
      <c r="X1091" s="937"/>
      <c r="Y1091" s="937"/>
      <c r="Z1091" s="937"/>
    </row>
    <row r="1092" spans="1:26" ht="15.75" customHeight="1">
      <c r="A1092" s="937"/>
      <c r="B1092" s="937"/>
      <c r="C1092" s="937"/>
      <c r="D1092" s="937"/>
      <c r="E1092" s="937"/>
      <c r="F1092" s="937"/>
      <c r="G1092" s="937"/>
      <c r="H1092" s="937"/>
      <c r="I1092" s="937"/>
      <c r="J1092" s="937"/>
      <c r="K1092" s="937"/>
      <c r="L1092" s="937"/>
      <c r="M1092" s="937"/>
      <c r="N1092" s="937"/>
      <c r="O1092" s="937"/>
      <c r="P1092" s="937"/>
      <c r="Q1092" s="937"/>
      <c r="R1092" s="937"/>
      <c r="S1092" s="937"/>
      <c r="T1092" s="937"/>
      <c r="U1092" s="937"/>
      <c r="V1092" s="937"/>
      <c r="W1092" s="937"/>
      <c r="X1092" s="937"/>
      <c r="Y1092" s="937"/>
      <c r="Z1092" s="937"/>
    </row>
    <row r="1093" spans="1:26" ht="15.75" customHeight="1">
      <c r="A1093" s="937"/>
      <c r="B1093" s="937"/>
      <c r="C1093" s="937"/>
      <c r="D1093" s="937"/>
      <c r="E1093" s="937"/>
      <c r="F1093" s="937"/>
      <c r="G1093" s="937"/>
      <c r="H1093" s="937"/>
      <c r="I1093" s="937"/>
      <c r="J1093" s="937"/>
      <c r="K1093" s="937"/>
      <c r="L1093" s="937"/>
      <c r="M1093" s="937"/>
      <c r="N1093" s="937"/>
      <c r="O1093" s="937"/>
      <c r="P1093" s="937"/>
      <c r="Q1093" s="937"/>
      <c r="R1093" s="937"/>
      <c r="S1093" s="937"/>
      <c r="T1093" s="937"/>
      <c r="U1093" s="937"/>
      <c r="V1093" s="937"/>
      <c r="W1093" s="937"/>
      <c r="X1093" s="937"/>
      <c r="Y1093" s="937"/>
      <c r="Z1093" s="937"/>
    </row>
    <row r="1094" spans="1:26" ht="15.75" customHeight="1">
      <c r="A1094" s="937"/>
      <c r="B1094" s="937"/>
      <c r="C1094" s="937"/>
      <c r="D1094" s="937"/>
      <c r="E1094" s="937"/>
      <c r="F1094" s="937"/>
      <c r="G1094" s="937"/>
      <c r="H1094" s="937"/>
      <c r="I1094" s="937"/>
      <c r="J1094" s="937"/>
      <c r="K1094" s="937"/>
      <c r="L1094" s="937"/>
      <c r="M1094" s="937"/>
      <c r="N1094" s="937"/>
      <c r="O1094" s="937"/>
      <c r="P1094" s="937"/>
      <c r="Q1094" s="937"/>
      <c r="R1094" s="937"/>
      <c r="S1094" s="937"/>
      <c r="T1094" s="937"/>
      <c r="U1094" s="937"/>
      <c r="V1094" s="937"/>
      <c r="W1094" s="937"/>
      <c r="X1094" s="937"/>
      <c r="Y1094" s="937"/>
      <c r="Z1094" s="937"/>
    </row>
    <row r="1095" spans="1:26" ht="15.75" customHeight="1">
      <c r="A1095" s="937"/>
      <c r="B1095" s="937"/>
      <c r="C1095" s="937"/>
      <c r="D1095" s="937"/>
      <c r="E1095" s="937"/>
      <c r="F1095" s="937"/>
      <c r="G1095" s="937"/>
      <c r="H1095" s="937"/>
      <c r="I1095" s="937"/>
      <c r="J1095" s="937"/>
      <c r="K1095" s="937"/>
      <c r="L1095" s="937"/>
      <c r="M1095" s="937"/>
      <c r="N1095" s="937"/>
      <c r="O1095" s="937"/>
      <c r="P1095" s="937"/>
      <c r="Q1095" s="937"/>
      <c r="R1095" s="937"/>
      <c r="S1095" s="937"/>
      <c r="T1095" s="937"/>
      <c r="U1095" s="937"/>
      <c r="V1095" s="937"/>
      <c r="W1095" s="937"/>
      <c r="X1095" s="937"/>
      <c r="Y1095" s="937"/>
      <c r="Z1095" s="937"/>
    </row>
    <row r="1096" spans="1:26" ht="15.75" customHeight="1">
      <c r="A1096" s="937"/>
      <c r="B1096" s="937"/>
      <c r="C1096" s="937"/>
      <c r="D1096" s="937"/>
      <c r="E1096" s="937"/>
      <c r="F1096" s="937"/>
      <c r="G1096" s="937"/>
      <c r="H1096" s="937"/>
      <c r="I1096" s="937"/>
      <c r="J1096" s="937"/>
      <c r="K1096" s="937"/>
      <c r="L1096" s="937"/>
      <c r="M1096" s="937"/>
      <c r="N1096" s="937"/>
      <c r="O1096" s="937"/>
      <c r="P1096" s="937"/>
      <c r="Q1096" s="937"/>
      <c r="R1096" s="937"/>
      <c r="S1096" s="937"/>
      <c r="T1096" s="937"/>
      <c r="U1096" s="937"/>
      <c r="V1096" s="937"/>
      <c r="W1096" s="937"/>
      <c r="X1096" s="937"/>
      <c r="Y1096" s="937"/>
      <c r="Z1096" s="937"/>
    </row>
    <row r="1097" spans="1:26" ht="15.75" customHeight="1">
      <c r="A1097" s="937"/>
      <c r="B1097" s="937"/>
      <c r="C1097" s="937"/>
      <c r="D1097" s="937"/>
      <c r="E1097" s="937"/>
      <c r="F1097" s="937"/>
      <c r="G1097" s="937"/>
      <c r="H1097" s="937"/>
      <c r="I1097" s="937"/>
      <c r="J1097" s="937"/>
      <c r="K1097" s="937"/>
      <c r="L1097" s="937"/>
      <c r="M1097" s="937"/>
      <c r="N1097" s="937"/>
      <c r="O1097" s="937"/>
      <c r="P1097" s="937"/>
      <c r="Q1097" s="937"/>
      <c r="R1097" s="937"/>
      <c r="S1097" s="937"/>
      <c r="T1097" s="937"/>
      <c r="U1097" s="937"/>
      <c r="V1097" s="937"/>
      <c r="W1097" s="937"/>
      <c r="X1097" s="937"/>
      <c r="Y1097" s="937"/>
      <c r="Z1097" s="937"/>
    </row>
    <row r="1098" spans="1:26" ht="15.75" customHeight="1">
      <c r="A1098" s="937"/>
      <c r="B1098" s="937"/>
      <c r="C1098" s="937"/>
      <c r="D1098" s="937"/>
      <c r="E1098" s="937"/>
      <c r="F1098" s="937"/>
      <c r="G1098" s="937"/>
      <c r="H1098" s="937"/>
      <c r="I1098" s="937"/>
      <c r="J1098" s="937"/>
      <c r="K1098" s="937"/>
      <c r="L1098" s="937"/>
      <c r="M1098" s="937"/>
      <c r="N1098" s="937"/>
      <c r="O1098" s="937"/>
      <c r="P1098" s="937"/>
      <c r="Q1098" s="937"/>
      <c r="R1098" s="937"/>
      <c r="S1098" s="937"/>
      <c r="T1098" s="937"/>
      <c r="U1098" s="937"/>
      <c r="V1098" s="937"/>
      <c r="W1098" s="937"/>
      <c r="X1098" s="937"/>
      <c r="Y1098" s="937"/>
      <c r="Z1098" s="937"/>
    </row>
  </sheetData>
  <autoFilter ref="A103:Z232" xr:uid="{00000000-0009-0000-0000-000003000000}"/>
  <conditionalFormatting sqref="F269">
    <cfRule type="cellIs" dxfId="15" priority="1" operator="greaterThanOrEqual">
      <formula>0.4</formula>
    </cfRule>
    <cfRule type="cellIs" dxfId="14" priority="2" operator="between">
      <formula>0.35</formula>
      <formula>0.3999</formula>
    </cfRule>
    <cfRule type="cellIs" dxfId="13" priority="3" operator="between">
      <formula>0.3</formula>
      <formula>0.3499</formula>
    </cfRule>
    <cfRule type="cellIs" dxfId="12" priority="4" operator="lessThan">
      <formula>0.3</formula>
    </cfRule>
  </conditionalFormatting>
  <conditionalFormatting sqref="K4:K6 J5:J12 I7:I11 K12 G256:G267">
    <cfRule type="cellIs" dxfId="11" priority="5" stopIfTrue="1" operator="lessThan">
      <formula>0</formula>
    </cfRule>
  </conditionalFormatting>
  <dataValidations count="14">
    <dataValidation type="list" allowBlank="1" showErrorMessage="1" sqref="E15:E96 E236" xr:uid="{00000000-0002-0000-0300-000000000000}">
      <formula1>"MT,MTcod,MTCoach,ET,ETcod,ETCoach,ST,STcod,STCoach,T,Tcod,TCoach,HTS,STS,TS"</formula1>
    </dataValidation>
    <dataValidation type="list" allowBlank="1" sqref="J266" xr:uid="{00000000-0002-0000-0300-000001000000}">
      <formula1>"Bruno,Davide Z."</formula1>
    </dataValidation>
    <dataValidation type="list" allowBlank="1" showErrorMessage="1" sqref="B253:B254" xr:uid="{00000000-0002-0000-0300-000002000000}">
      <formula1>"Corsi,Ricavi da Spese Fatturate al Cliente"</formula1>
    </dataValidation>
    <dataValidation type="list" allowBlank="1" showErrorMessage="1" sqref="I3" xr:uid="{00000000-0002-0000-0300-000003000000}">
      <formula1>"Finanziato,Autofinanziato"</formula1>
    </dataValidation>
    <dataValidation type="list" allowBlank="1" showErrorMessage="1" sqref="B101" xr:uid="{00000000-0002-0000-0300-000004000000}">
      <formula1>"Royalties"</formula1>
    </dataValidation>
    <dataValidation type="list" allowBlank="1" showErrorMessage="1" sqref="C15:C96 C101 C104:C231 C236 C239:C248 C253:C254" xr:uid="{00000000-0002-0000-0300-000005000000}">
      <formula1>"blackship,Master in Vendita"</formula1>
    </dataValidation>
    <dataValidation type="list" allowBlank="1" showErrorMessage="1" sqref="D104:D231 F236" xr:uid="{00000000-0002-0000-0300-000006000000}">
      <formula1>"x"</formula1>
    </dataValidation>
    <dataValidation type="list" allowBlank="1" showErrorMessage="1" sqref="B236 B239:B248" xr:uid="{00000000-0002-0000-0300-000007000000}">
      <formula1>"Provvigioni"</formula1>
    </dataValidation>
    <dataValidation type="list" allowBlank="1" sqref="E7" xr:uid="{00000000-0002-0000-0300-000008000000}">
      <formula1>$M$2:$M$55</formula1>
    </dataValidation>
    <dataValidation type="list" allowBlank="1" sqref="E8" xr:uid="{00000000-0002-0000-0300-000009000000}">
      <formula1>$N$2:$N$23</formula1>
    </dataValidation>
    <dataValidation type="list" allowBlank="1" showErrorMessage="1" sqref="B104:B231" xr:uid="{00000000-0002-0000-0300-00000A000000}">
      <formula1>"Rimborsi Spese,Sale &amp; Hotel,Service,Manuali &amp; Materiali,Gadget,Furgone &amp; Facchino"</formula1>
    </dataValidation>
    <dataValidation type="list" allowBlank="1" showErrorMessage="1" sqref="K10" xr:uid="{00000000-0002-0000-0300-00000B000000}">
      <formula1>$O$2:$O$19</formula1>
    </dataValidation>
    <dataValidation type="list" allowBlank="1" showErrorMessage="1" sqref="K3" xr:uid="{00000000-0002-0000-0300-00000C000000}">
      <formula1>"Incluse,Escluse"</formula1>
    </dataValidation>
    <dataValidation type="list" allowBlank="1" showErrorMessage="1" sqref="B15:B96" xr:uid="{00000000-0002-0000-0300-00000D000000}">
      <formula1>"Docenze e Assistenze"</formula1>
    </dataValidation>
  </dataValidations>
  <pageMargins left="0.75" right="0.75" top="1" bottom="1" header="0" footer="0"/>
  <pageSetup paperSize="9"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T981"/>
  <sheetViews>
    <sheetView workbookViewId="0">
      <pane xSplit="9" ySplit="1" topLeftCell="J2" activePane="bottomRight" state="frozen"/>
      <selection pane="topRight" activeCell="J1" sqref="J1"/>
      <selection pane="bottomLeft" activeCell="A2" sqref="A2"/>
      <selection pane="bottomRight" activeCell="J2" sqref="J2"/>
    </sheetView>
  </sheetViews>
  <sheetFormatPr defaultColWidth="14.42578125" defaultRowHeight="15" customHeight="1" outlineLevelCol="1"/>
  <cols>
    <col min="1" max="1" width="6.5703125" customWidth="1"/>
    <col min="2" max="2" width="11.85546875" customWidth="1"/>
    <col min="3" max="3" width="6.140625" customWidth="1"/>
    <col min="4" max="4" width="13.140625" customWidth="1"/>
    <col min="5" max="5" width="12.7109375" customWidth="1"/>
    <col min="6" max="6" width="12.28515625" customWidth="1"/>
    <col min="7" max="7" width="20.42578125" customWidth="1"/>
    <col min="8" max="8" width="17.28515625" customWidth="1"/>
    <col min="9" max="9" width="38.28515625" customWidth="1" outlineLevel="1"/>
    <col min="10" max="10" width="26.28515625" customWidth="1" outlineLevel="1"/>
    <col min="11" max="11" width="19.7109375" customWidth="1" outlineLevel="1"/>
    <col min="12" max="13" width="25.5703125" customWidth="1" outlineLevel="1"/>
    <col min="14" max="14" width="43.28515625" customWidth="1" outlineLevel="1"/>
    <col min="15" max="15" width="2.28515625" customWidth="1" outlineLevel="1"/>
    <col min="16" max="16" width="21.7109375" hidden="1" customWidth="1" outlineLevel="1"/>
    <col min="17" max="17" width="20.7109375" hidden="1" customWidth="1" outlineLevel="1"/>
    <col min="18" max="18" width="55.28515625" hidden="1" customWidth="1" outlineLevel="1"/>
    <col min="19" max="19" width="59.140625" hidden="1" customWidth="1" outlineLevel="1"/>
    <col min="20" max="20" width="12.7109375" hidden="1" customWidth="1" outlineLevel="1"/>
    <col min="21" max="21" width="15.42578125" hidden="1" customWidth="1" outlineLevel="1"/>
    <col min="22" max="22" width="20.42578125" hidden="1" customWidth="1" outlineLevel="1"/>
    <col min="23" max="23" width="19.42578125" hidden="1" customWidth="1" outlineLevel="1"/>
    <col min="24" max="24" width="38" hidden="1" customWidth="1" outlineLevel="1"/>
    <col min="25" max="27" width="14.5703125" hidden="1" customWidth="1" outlineLevel="1"/>
    <col min="28" max="28" width="15.5703125" hidden="1" customWidth="1" outlineLevel="1"/>
    <col min="29" max="29" width="32.42578125" hidden="1" customWidth="1" outlineLevel="1"/>
    <col min="30" max="30" width="19.28515625" customWidth="1" outlineLevel="1"/>
    <col min="31" max="31" width="134.42578125" customWidth="1"/>
    <col min="32" max="32" width="2.140625" customWidth="1"/>
    <col min="33" max="33" width="8.28515625" customWidth="1"/>
    <col min="34" max="34" width="8.42578125" customWidth="1"/>
    <col min="35" max="35" width="9.85546875" customWidth="1"/>
    <col min="36" max="36" width="1.7109375" customWidth="1"/>
    <col min="37" max="37" width="8.28515625" customWidth="1"/>
    <col min="38" max="38" width="8.42578125" customWidth="1"/>
    <col min="39" max="39" width="9.85546875" customWidth="1"/>
    <col min="40" max="40" width="1.7109375" customWidth="1"/>
    <col min="41" max="42" width="8.7109375" customWidth="1"/>
    <col min="43" max="43" width="9.85546875" customWidth="1"/>
    <col min="44" max="44" width="3.28515625" customWidth="1"/>
    <col min="45" max="46" width="8.7109375" customWidth="1"/>
    <col min="47" max="47" width="9.140625" customWidth="1"/>
    <col min="48" max="48" width="3.28515625" customWidth="1"/>
    <col min="49" max="50" width="8.7109375" customWidth="1"/>
    <col min="51" max="51" width="9.140625" customWidth="1"/>
    <col min="52" max="52" width="14.85546875" customWidth="1"/>
    <col min="53" max="53" width="14.7109375" customWidth="1"/>
    <col min="54" max="54" width="13.5703125" customWidth="1"/>
    <col min="55" max="55" width="18.42578125" customWidth="1"/>
    <col min="56" max="57" width="18.5703125" customWidth="1"/>
    <col min="58" max="58" width="23.28515625" customWidth="1"/>
    <col min="59" max="59" width="14.28515625" customWidth="1"/>
    <col min="60" max="60" width="18.42578125" customWidth="1"/>
    <col min="61" max="62" width="15.28515625" customWidth="1"/>
    <col min="63" max="63" width="15.140625" customWidth="1"/>
    <col min="64" max="64" width="21.5703125" customWidth="1"/>
    <col min="65" max="65" width="14.85546875" customWidth="1"/>
    <col min="66" max="66" width="18.42578125" customWidth="1"/>
    <col min="67" max="69" width="15.28515625" customWidth="1" outlineLevel="1"/>
    <col min="70" max="70" width="14.7109375" customWidth="1" outlineLevel="1"/>
    <col min="71" max="71" width="10.7109375" customWidth="1" outlineLevel="1"/>
    <col min="72" max="72" width="12.7109375" customWidth="1" outlineLevel="1"/>
    <col min="73" max="73" width="11.5703125" customWidth="1" outlineLevel="1"/>
    <col min="74" max="74" width="16" customWidth="1" outlineLevel="1"/>
    <col min="75" max="75" width="14.7109375" customWidth="1" outlineLevel="1"/>
    <col min="76" max="76" width="13.7109375" customWidth="1" outlineLevel="1"/>
    <col min="77" max="77" width="10.85546875" customWidth="1" outlineLevel="1"/>
    <col min="78" max="78" width="15.85546875" customWidth="1" outlineLevel="1"/>
    <col min="79" max="79" width="16" customWidth="1" outlineLevel="1"/>
    <col min="80" max="80" width="18.140625" customWidth="1" outlineLevel="1"/>
    <col min="81" max="81" width="9" customWidth="1" outlineLevel="1"/>
    <col min="82" max="82" width="12.140625" customWidth="1" outlineLevel="1"/>
    <col min="83" max="84" width="10.7109375" customWidth="1" outlineLevel="1"/>
    <col min="85" max="85" width="8.7109375" customWidth="1" outlineLevel="1"/>
    <col min="86" max="86" width="12.140625" customWidth="1" outlineLevel="1"/>
    <col min="87" max="88" width="10.7109375" customWidth="1" outlineLevel="1"/>
    <col min="89" max="89" width="12.28515625" customWidth="1"/>
    <col min="90" max="90" width="39.7109375" customWidth="1"/>
    <col min="91" max="91" width="26.28515625" customWidth="1"/>
    <col min="92" max="92" width="24.42578125" customWidth="1"/>
    <col min="93" max="93" width="19.7109375" customWidth="1"/>
    <col min="94" max="94" width="15.7109375" customWidth="1"/>
    <col min="95" max="95" width="39.5703125" customWidth="1" outlineLevel="1"/>
    <col min="96" max="96" width="14.5703125" customWidth="1" outlineLevel="1"/>
    <col min="97" max="97" width="20.140625" customWidth="1"/>
    <col min="98" max="98" width="15.28515625" customWidth="1"/>
    <col min="99" max="99" width="18.140625" customWidth="1" outlineLevel="1"/>
    <col min="100" max="100" width="14.140625" customWidth="1"/>
    <col min="101" max="101" width="13.140625" customWidth="1"/>
    <col min="102" max="107" width="8.7109375" customWidth="1"/>
  </cols>
  <sheetData>
    <row r="1" spans="1:124" ht="96" customHeight="1">
      <c r="A1" s="39"/>
      <c r="B1" s="40" t="s">
        <v>3650</v>
      </c>
      <c r="C1" s="1202" t="s">
        <v>15</v>
      </c>
      <c r="D1" s="40" t="s">
        <v>16</v>
      </c>
      <c r="E1" s="40" t="s">
        <v>17</v>
      </c>
      <c r="F1" s="40" t="s">
        <v>18</v>
      </c>
      <c r="G1" s="41" t="s">
        <v>19</v>
      </c>
      <c r="H1" s="1203" t="s">
        <v>20</v>
      </c>
      <c r="I1" s="41" t="s">
        <v>21</v>
      </c>
      <c r="J1" s="41" t="s">
        <v>22</v>
      </c>
      <c r="K1" s="41" t="s">
        <v>23</v>
      </c>
      <c r="L1" s="41" t="s">
        <v>24</v>
      </c>
      <c r="M1" s="41" t="s">
        <v>25</v>
      </c>
      <c r="N1" s="41" t="s">
        <v>26</v>
      </c>
      <c r="O1" s="1204"/>
      <c r="P1" s="1205" t="s">
        <v>27</v>
      </c>
      <c r="Q1" s="1205" t="s">
        <v>28</v>
      </c>
      <c r="R1" s="1205" t="s">
        <v>29</v>
      </c>
      <c r="S1" s="1205" t="s">
        <v>30</v>
      </c>
      <c r="T1" s="1205" t="s">
        <v>31</v>
      </c>
      <c r="U1" s="1205" t="s">
        <v>32</v>
      </c>
      <c r="V1" s="1205" t="s">
        <v>33</v>
      </c>
      <c r="W1" s="1205" t="s">
        <v>34</v>
      </c>
      <c r="X1" s="1205" t="s">
        <v>35</v>
      </c>
      <c r="Y1" s="1206" t="s">
        <v>36</v>
      </c>
      <c r="Z1" s="1205" t="s">
        <v>37</v>
      </c>
      <c r="AA1" s="1205" t="s">
        <v>38</v>
      </c>
      <c r="AB1" s="1205" t="s">
        <v>39</v>
      </c>
      <c r="AC1" s="1205" t="s">
        <v>40</v>
      </c>
      <c r="AD1" s="1205" t="s">
        <v>41</v>
      </c>
      <c r="AE1" s="40" t="s">
        <v>42</v>
      </c>
      <c r="AF1" s="49"/>
      <c r="AG1" s="1207" t="s">
        <v>3651</v>
      </c>
      <c r="AH1" s="1207" t="s">
        <v>43</v>
      </c>
      <c r="AI1" s="1207" t="s">
        <v>44</v>
      </c>
      <c r="AJ1" s="49"/>
      <c r="AK1" s="1207" t="s">
        <v>45</v>
      </c>
      <c r="AL1" s="1207" t="s">
        <v>46</v>
      </c>
      <c r="AM1" s="1207" t="s">
        <v>47</v>
      </c>
      <c r="AN1" s="49"/>
      <c r="AO1" s="1208" t="s">
        <v>48</v>
      </c>
      <c r="AP1" s="1208" t="s">
        <v>49</v>
      </c>
      <c r="AQ1" s="1208" t="s">
        <v>50</v>
      </c>
      <c r="AR1" s="49"/>
      <c r="AS1" s="1209" t="s">
        <v>51</v>
      </c>
      <c r="AT1" s="1209" t="s">
        <v>52</v>
      </c>
      <c r="AU1" s="1209" t="s">
        <v>53</v>
      </c>
      <c r="AV1" s="49"/>
      <c r="AW1" s="1210" t="s">
        <v>54</v>
      </c>
      <c r="AX1" s="1210" t="s">
        <v>55</v>
      </c>
      <c r="AY1" s="1210" t="s">
        <v>56</v>
      </c>
      <c r="AZ1" s="40" t="s">
        <v>63</v>
      </c>
      <c r="BA1" s="40" t="s">
        <v>64</v>
      </c>
      <c r="BB1" s="55" t="s">
        <v>65</v>
      </c>
      <c r="BC1" s="1211" t="s">
        <v>66</v>
      </c>
      <c r="BD1" s="1212" t="s">
        <v>67</v>
      </c>
      <c r="BE1" s="1210" t="s">
        <v>68</v>
      </c>
      <c r="BF1" s="1213" t="s">
        <v>71</v>
      </c>
      <c r="BG1" s="40" t="s">
        <v>72</v>
      </c>
      <c r="BH1" s="1214" t="s">
        <v>73</v>
      </c>
      <c r="BI1" s="1212" t="s">
        <v>75</v>
      </c>
      <c r="BJ1" s="1210" t="s">
        <v>75</v>
      </c>
      <c r="BK1" s="40" t="s">
        <v>76</v>
      </c>
      <c r="BL1" s="48" t="s">
        <v>77</v>
      </c>
      <c r="BM1" s="40" t="s">
        <v>78</v>
      </c>
      <c r="BN1" s="1211" t="s">
        <v>79</v>
      </c>
      <c r="BO1" s="1212" t="s">
        <v>81</v>
      </c>
      <c r="BP1" s="62" t="s">
        <v>81</v>
      </c>
      <c r="BQ1" s="40" t="s">
        <v>82</v>
      </c>
      <c r="BR1" s="40" t="s">
        <v>83</v>
      </c>
      <c r="BS1" s="40" t="s">
        <v>84</v>
      </c>
      <c r="BT1" s="40" t="s">
        <v>85</v>
      </c>
      <c r="BU1" s="40" t="s">
        <v>41</v>
      </c>
      <c r="BV1" s="40" t="s">
        <v>86</v>
      </c>
      <c r="BW1" s="40" t="s">
        <v>84</v>
      </c>
      <c r="BX1" s="40" t="s">
        <v>85</v>
      </c>
      <c r="BY1" s="40" t="s">
        <v>41</v>
      </c>
      <c r="BZ1" s="40" t="s">
        <v>87</v>
      </c>
      <c r="CA1" s="40" t="s">
        <v>84</v>
      </c>
      <c r="CB1" s="40" t="s">
        <v>85</v>
      </c>
      <c r="CC1" s="40" t="s">
        <v>41</v>
      </c>
      <c r="CD1" s="40" t="s">
        <v>88</v>
      </c>
      <c r="CE1" s="40" t="s">
        <v>84</v>
      </c>
      <c r="CF1" s="40" t="s">
        <v>85</v>
      </c>
      <c r="CG1" s="40" t="s">
        <v>41</v>
      </c>
      <c r="CH1" s="40" t="s">
        <v>89</v>
      </c>
      <c r="CI1" s="40" t="s">
        <v>84</v>
      </c>
      <c r="CJ1" s="40" t="s">
        <v>85</v>
      </c>
      <c r="CK1" s="65" t="s">
        <v>3652</v>
      </c>
      <c r="CL1" s="40" t="s">
        <v>91</v>
      </c>
      <c r="CM1" s="66" t="s">
        <v>92</v>
      </c>
      <c r="CN1" s="67" t="s">
        <v>93</v>
      </c>
      <c r="CO1" s="40" t="s">
        <v>94</v>
      </c>
      <c r="CP1" s="40" t="s">
        <v>95</v>
      </c>
      <c r="CQ1" s="59" t="s">
        <v>3653</v>
      </c>
      <c r="CR1" s="1215" t="s">
        <v>3654</v>
      </c>
      <c r="CS1" s="1216" t="s">
        <v>71</v>
      </c>
      <c r="CT1" s="1217" t="s">
        <v>3655</v>
      </c>
      <c r="CU1" s="1218" t="s">
        <v>3656</v>
      </c>
      <c r="CV1" s="1216" t="s">
        <v>101</v>
      </c>
      <c r="CW1" s="1219" t="s">
        <v>102</v>
      </c>
      <c r="CX1" s="3"/>
      <c r="CY1" s="3"/>
      <c r="CZ1" s="3"/>
      <c r="DA1" s="3"/>
      <c r="DB1" s="3"/>
      <c r="DC1" s="3"/>
      <c r="DD1" s="6"/>
      <c r="DE1" s="6"/>
      <c r="DF1" s="6"/>
      <c r="DG1" s="6"/>
      <c r="DH1" s="6"/>
      <c r="DI1" s="6"/>
      <c r="DJ1" s="6"/>
      <c r="DK1" s="6"/>
      <c r="DL1" s="6"/>
      <c r="DM1" s="6"/>
      <c r="DN1" s="6"/>
      <c r="DO1" s="6"/>
      <c r="DP1" s="6"/>
      <c r="DQ1" s="6"/>
      <c r="DR1" s="6"/>
      <c r="DS1" s="6"/>
      <c r="DT1" s="6"/>
    </row>
    <row r="2" spans="1:124" ht="30" customHeight="1">
      <c r="A2" s="228"/>
      <c r="B2" s="90">
        <v>101390</v>
      </c>
      <c r="C2" s="90">
        <v>1</v>
      </c>
      <c r="D2" s="781"/>
      <c r="E2" s="781">
        <v>1</v>
      </c>
      <c r="F2" s="781">
        <v>1</v>
      </c>
      <c r="G2" s="1220" t="s">
        <v>135</v>
      </c>
      <c r="H2" s="1220" t="s">
        <v>2677</v>
      </c>
      <c r="I2" s="1221" t="s">
        <v>3657</v>
      </c>
      <c r="J2" s="113" t="str">
        <f t="shared" ref="J2:J256" si="0">CONCATENATE(G2," ",H2)</f>
        <v>Alessandro Bersani</v>
      </c>
      <c r="K2" s="170">
        <v>3282739663</v>
      </c>
      <c r="L2" s="80"/>
      <c r="M2" s="80" t="s">
        <v>3658</v>
      </c>
      <c r="N2" s="80" t="str">
        <f t="shared" ref="N2:N184" si="1">CR2</f>
        <v>Alessandro Bersani</v>
      </c>
      <c r="O2" s="1222"/>
      <c r="P2" s="231"/>
      <c r="Q2" s="231"/>
      <c r="R2" s="80" t="s">
        <v>3659</v>
      </c>
      <c r="S2" s="84"/>
      <c r="T2" s="84"/>
      <c r="U2" s="84"/>
      <c r="V2" s="84"/>
      <c r="W2" s="267"/>
      <c r="X2" s="268"/>
      <c r="Y2" s="267"/>
      <c r="Z2" s="267"/>
      <c r="AA2" s="267"/>
      <c r="AB2" s="231"/>
      <c r="AC2" s="231"/>
      <c r="AD2" s="231" t="s">
        <v>3660</v>
      </c>
      <c r="AE2" s="112"/>
      <c r="AF2" s="89"/>
      <c r="AG2" s="75"/>
      <c r="AH2" s="75"/>
      <c r="AI2" s="75"/>
      <c r="AJ2" s="89"/>
      <c r="AK2" s="75"/>
      <c r="AL2" s="75"/>
      <c r="AM2" s="75"/>
      <c r="AN2" s="89"/>
      <c r="AO2" s="90" t="s">
        <v>115</v>
      </c>
      <c r="AP2" s="90"/>
      <c r="AQ2" s="90"/>
      <c r="AR2" s="89"/>
      <c r="AS2" s="75"/>
      <c r="AT2" s="1223" t="s">
        <v>115</v>
      </c>
      <c r="AU2" s="75" t="s">
        <v>115</v>
      </c>
      <c r="AV2" s="89"/>
      <c r="AW2" s="75"/>
      <c r="AX2" s="75"/>
      <c r="AY2" s="75"/>
      <c r="AZ2" s="1224">
        <f t="shared" ref="AZ2:AZ61" si="2">BR2+BV2+BZ2+CD2+CH2</f>
        <v>2997</v>
      </c>
      <c r="BA2" s="1225">
        <f t="shared" ref="BA2:BA61" si="3">BT2+BX2+CB2+CF2+CJ2</f>
        <v>2997</v>
      </c>
      <c r="BB2" s="1225">
        <f t="shared" ref="BB2:BB239" si="4">AZ2-BA2</f>
        <v>0</v>
      </c>
      <c r="BC2" s="108">
        <f t="shared" ref="BC2:BC3" si="5">BA2</f>
        <v>2997</v>
      </c>
      <c r="BD2" s="1226">
        <f t="shared" ref="BD2:BD3" si="6">AZ2-BC2</f>
        <v>0</v>
      </c>
      <c r="BE2" s="1227"/>
      <c r="BF2" s="275" t="s">
        <v>2680</v>
      </c>
      <c r="BG2" s="1228">
        <v>0.15</v>
      </c>
      <c r="BH2" s="108">
        <f t="shared" ref="BH2:BH3" si="7">AZ2*BG2</f>
        <v>449.55</v>
      </c>
      <c r="BI2" s="276"/>
      <c r="BJ2" s="1227"/>
      <c r="BK2" s="277" t="s">
        <v>968</v>
      </c>
      <c r="BL2" s="1229" t="s">
        <v>262</v>
      </c>
      <c r="BM2" s="1228">
        <v>0.05</v>
      </c>
      <c r="BN2" s="108">
        <f t="shared" ref="BN2:BN3" si="8">AZ2*BM2</f>
        <v>149.85</v>
      </c>
      <c r="BO2" s="276"/>
      <c r="BP2" s="1227"/>
      <c r="BQ2" s="277" t="s">
        <v>968</v>
      </c>
      <c r="BR2" s="108">
        <v>2997</v>
      </c>
      <c r="BS2" s="279">
        <v>44645</v>
      </c>
      <c r="BT2" s="108">
        <v>2997</v>
      </c>
      <c r="BU2" s="111"/>
      <c r="BV2" s="111"/>
      <c r="BW2" s="111"/>
      <c r="BX2" s="111"/>
      <c r="BY2" s="111"/>
      <c r="BZ2" s="111"/>
      <c r="CA2" s="111"/>
      <c r="CB2" s="111"/>
      <c r="CC2" s="111"/>
      <c r="CD2" s="111"/>
      <c r="CE2" s="111"/>
      <c r="CF2" s="111"/>
      <c r="CG2" s="111"/>
      <c r="CH2" s="111"/>
      <c r="CI2" s="111"/>
      <c r="CJ2" s="111"/>
      <c r="CK2" s="550" t="s">
        <v>2612</v>
      </c>
      <c r="CL2" s="112"/>
      <c r="CM2" s="222"/>
      <c r="CN2" s="223" t="s">
        <v>2680</v>
      </c>
      <c r="CO2" s="282" t="s">
        <v>122</v>
      </c>
      <c r="CP2" s="90"/>
      <c r="CQ2" s="80" t="s">
        <v>1992</v>
      </c>
      <c r="CR2" s="80" t="s">
        <v>3661</v>
      </c>
      <c r="CS2" s="116" t="str">
        <f t="shared" ref="CS2:CS247" si="9">BF2</f>
        <v>Silvio Serraino</v>
      </c>
      <c r="CT2" s="242"/>
      <c r="CU2" s="242"/>
      <c r="CV2" s="116" t="str">
        <f t="shared" ref="CV2:CV244" si="10">BL2</f>
        <v>Pacci</v>
      </c>
      <c r="CW2" s="207"/>
      <c r="CX2" s="729"/>
      <c r="CY2" s="729"/>
      <c r="CZ2" s="729"/>
      <c r="DA2" s="729"/>
      <c r="DB2" s="729"/>
      <c r="DC2" s="729"/>
    </row>
    <row r="3" spans="1:124" ht="30" customHeight="1">
      <c r="A3" s="228"/>
      <c r="B3" s="155">
        <v>101391</v>
      </c>
      <c r="C3" s="155">
        <f t="shared" ref="C3:C44" si="11">C2+1</f>
        <v>2</v>
      </c>
      <c r="D3" s="757"/>
      <c r="E3" s="757"/>
      <c r="F3" s="757">
        <v>1</v>
      </c>
      <c r="G3" s="283" t="s">
        <v>135</v>
      </c>
      <c r="H3" s="283" t="s">
        <v>3662</v>
      </c>
      <c r="I3" s="207" t="s">
        <v>3663</v>
      </c>
      <c r="J3" s="207" t="str">
        <f t="shared" si="0"/>
        <v>Alessandro Bonani</v>
      </c>
      <c r="K3" s="224">
        <v>3485603420</v>
      </c>
      <c r="L3" s="131"/>
      <c r="M3" s="131" t="s">
        <v>3664</v>
      </c>
      <c r="N3" s="80" t="str">
        <f t="shared" si="1"/>
        <v>CNA PARMA</v>
      </c>
      <c r="O3" s="284"/>
      <c r="P3" s="37"/>
      <c r="Q3" s="37"/>
      <c r="R3" s="131" t="s">
        <v>3665</v>
      </c>
      <c r="S3" s="160"/>
      <c r="T3" s="160"/>
      <c r="U3" s="160"/>
      <c r="V3" s="160"/>
      <c r="W3" s="233"/>
      <c r="X3" s="234"/>
      <c r="Y3" s="233"/>
      <c r="Z3" s="233"/>
      <c r="AA3" s="233"/>
      <c r="AB3" s="37"/>
      <c r="AC3" s="37"/>
      <c r="AD3" s="37" t="s">
        <v>3666</v>
      </c>
      <c r="AE3" s="181"/>
      <c r="AF3" s="198"/>
      <c r="AG3" s="121"/>
      <c r="AH3" s="121"/>
      <c r="AI3" s="121"/>
      <c r="AJ3" s="198"/>
      <c r="AK3" s="121"/>
      <c r="AL3" s="121"/>
      <c r="AM3" s="121"/>
      <c r="AN3" s="198"/>
      <c r="AO3" s="155" t="s">
        <v>115</v>
      </c>
      <c r="AP3" s="155" t="s">
        <v>115</v>
      </c>
      <c r="AQ3" s="155"/>
      <c r="AR3" s="198"/>
      <c r="AS3" s="121"/>
      <c r="AT3" s="121"/>
      <c r="AU3" s="1223" t="s">
        <v>115</v>
      </c>
      <c r="AV3" s="198"/>
      <c r="AW3" s="121"/>
      <c r="AX3" s="121"/>
      <c r="AY3" s="121"/>
      <c r="AZ3" s="808">
        <f t="shared" si="2"/>
        <v>2997</v>
      </c>
      <c r="BA3" s="761">
        <f t="shared" si="3"/>
        <v>2997</v>
      </c>
      <c r="BB3" s="761">
        <f t="shared" si="4"/>
        <v>0</v>
      </c>
      <c r="BC3" s="110">
        <f t="shared" si="5"/>
        <v>2997</v>
      </c>
      <c r="BD3" s="1230">
        <f t="shared" si="6"/>
        <v>0</v>
      </c>
      <c r="BE3" s="1231"/>
      <c r="BF3" s="317" t="s">
        <v>262</v>
      </c>
      <c r="BG3" s="98">
        <v>0.15</v>
      </c>
      <c r="BH3" s="110">
        <f t="shared" si="7"/>
        <v>449.55</v>
      </c>
      <c r="BI3" s="242"/>
      <c r="BJ3" s="1231"/>
      <c r="BK3" s="243" t="s">
        <v>968</v>
      </c>
      <c r="BL3" s="243" t="s">
        <v>184</v>
      </c>
      <c r="BM3" s="98">
        <v>0.05</v>
      </c>
      <c r="BN3" s="110">
        <f t="shared" si="8"/>
        <v>149.85</v>
      </c>
      <c r="BO3" s="242"/>
      <c r="BP3" s="1231"/>
      <c r="BQ3" s="243" t="s">
        <v>968</v>
      </c>
      <c r="BR3" s="110">
        <v>2997</v>
      </c>
      <c r="BS3" s="286">
        <v>44645</v>
      </c>
      <c r="BT3" s="110">
        <v>2997</v>
      </c>
      <c r="BU3" s="206"/>
      <c r="BV3" s="206"/>
      <c r="BW3" s="206"/>
      <c r="BX3" s="206"/>
      <c r="BY3" s="206"/>
      <c r="BZ3" s="206"/>
      <c r="CA3" s="206"/>
      <c r="CB3" s="206"/>
      <c r="CC3" s="206"/>
      <c r="CD3" s="206"/>
      <c r="CE3" s="206"/>
      <c r="CF3" s="206"/>
      <c r="CG3" s="206"/>
      <c r="CH3" s="206"/>
      <c r="CI3" s="206"/>
      <c r="CJ3" s="206"/>
      <c r="CK3" s="245" t="s">
        <v>2612</v>
      </c>
      <c r="CL3" s="181"/>
      <c r="CM3" s="246"/>
      <c r="CN3" s="247" t="s">
        <v>3667</v>
      </c>
      <c r="CO3" s="282" t="s">
        <v>122</v>
      </c>
      <c r="CP3" s="155"/>
      <c r="CQ3" s="131" t="s">
        <v>3668</v>
      </c>
      <c r="CR3" s="131" t="s">
        <v>3669</v>
      </c>
      <c r="CS3" s="116" t="str">
        <f t="shared" si="9"/>
        <v>Pacci</v>
      </c>
      <c r="CT3" s="242"/>
      <c r="CU3" s="242"/>
      <c r="CV3" s="116" t="str">
        <f t="shared" si="10"/>
        <v>Cristian A</v>
      </c>
      <c r="CW3" s="207"/>
      <c r="CX3" s="729"/>
      <c r="CY3" s="729"/>
      <c r="CZ3" s="729"/>
      <c r="DA3" s="729"/>
      <c r="DB3" s="729"/>
      <c r="DC3" s="729"/>
    </row>
    <row r="4" spans="1:124" ht="30" customHeight="1">
      <c r="A4" s="228"/>
      <c r="B4" s="155">
        <v>101309</v>
      </c>
      <c r="C4" s="155">
        <f t="shared" si="11"/>
        <v>3</v>
      </c>
      <c r="D4" s="757"/>
      <c r="E4" s="757"/>
      <c r="F4" s="757"/>
      <c r="G4" s="283" t="s">
        <v>477</v>
      </c>
      <c r="H4" s="283" t="s">
        <v>1009</v>
      </c>
      <c r="I4" s="294" t="s">
        <v>1010</v>
      </c>
      <c r="J4" s="207" t="str">
        <f t="shared" si="0"/>
        <v>Filippo Sartor</v>
      </c>
      <c r="K4" s="224">
        <v>3389391665</v>
      </c>
      <c r="L4" s="131"/>
      <c r="M4" s="131"/>
      <c r="N4" s="80" t="str">
        <f t="shared" si="1"/>
        <v>Jv International</v>
      </c>
      <c r="O4" s="284"/>
      <c r="P4" s="37"/>
      <c r="Q4" s="37"/>
      <c r="R4" s="131" t="s">
        <v>1012</v>
      </c>
      <c r="S4" s="160"/>
      <c r="T4" s="160"/>
      <c r="U4" s="160"/>
      <c r="V4" s="160"/>
      <c r="W4" s="233"/>
      <c r="X4" s="234"/>
      <c r="Y4" s="233"/>
      <c r="Z4" s="233"/>
      <c r="AA4" s="233"/>
      <c r="AB4" s="37"/>
      <c r="AC4" s="37"/>
      <c r="AD4" s="37" t="s">
        <v>1013</v>
      </c>
      <c r="AE4" s="181"/>
      <c r="AF4" s="198"/>
      <c r="AG4" s="121"/>
      <c r="AH4" s="121"/>
      <c r="AI4" s="121"/>
      <c r="AJ4" s="198"/>
      <c r="AK4" s="121"/>
      <c r="AL4" s="121"/>
      <c r="AM4" s="121"/>
      <c r="AN4" s="198"/>
      <c r="AO4" s="155"/>
      <c r="AP4" s="155"/>
      <c r="AQ4" s="155"/>
      <c r="AR4" s="235"/>
      <c r="AS4" s="121"/>
      <c r="AT4" s="121"/>
      <c r="AU4" s="121"/>
      <c r="AV4" s="236"/>
      <c r="AW4" s="121" t="s">
        <v>27</v>
      </c>
      <c r="AX4" s="121" t="s">
        <v>27</v>
      </c>
      <c r="AY4" s="121" t="s">
        <v>27</v>
      </c>
      <c r="AZ4" s="808">
        <f t="shared" si="2"/>
        <v>2997</v>
      </c>
      <c r="BA4" s="761">
        <f t="shared" si="3"/>
        <v>2997</v>
      </c>
      <c r="BB4" s="761">
        <f t="shared" si="4"/>
        <v>0</v>
      </c>
      <c r="BC4" s="110"/>
      <c r="BD4" s="1230"/>
      <c r="BE4" s="1231">
        <v>2997</v>
      </c>
      <c r="BF4" s="285" t="s">
        <v>117</v>
      </c>
      <c r="BG4" s="98">
        <v>0</v>
      </c>
      <c r="BH4" s="110"/>
      <c r="BI4" s="242">
        <f>BD4*BG4</f>
        <v>0</v>
      </c>
      <c r="BJ4" s="1231">
        <f>BE4*BG4</f>
        <v>0</v>
      </c>
      <c r="BK4" s="244" t="s">
        <v>118</v>
      </c>
      <c r="BL4" s="243" t="s">
        <v>152</v>
      </c>
      <c r="BM4" s="98">
        <v>0.05</v>
      </c>
      <c r="BN4" s="110"/>
      <c r="BO4" s="242">
        <f>BD4*BM4</f>
        <v>0</v>
      </c>
      <c r="BP4" s="1231">
        <f>BE4*BM4</f>
        <v>149.85</v>
      </c>
      <c r="BQ4" s="243"/>
      <c r="BR4" s="110">
        <v>2997</v>
      </c>
      <c r="BS4" s="286">
        <v>44645</v>
      </c>
      <c r="BT4" s="110">
        <v>2997</v>
      </c>
      <c r="BU4" s="206"/>
      <c r="BV4" s="206"/>
      <c r="BW4" s="206"/>
      <c r="BX4" s="206"/>
      <c r="BY4" s="206"/>
      <c r="BZ4" s="206"/>
      <c r="CA4" s="206"/>
      <c r="CB4" s="206"/>
      <c r="CC4" s="206"/>
      <c r="CD4" s="206"/>
      <c r="CE4" s="206"/>
      <c r="CF4" s="206"/>
      <c r="CG4" s="206"/>
      <c r="CH4" s="206"/>
      <c r="CI4" s="206"/>
      <c r="CJ4" s="206"/>
      <c r="CK4" s="245" t="s">
        <v>2612</v>
      </c>
      <c r="CL4" s="181"/>
      <c r="CM4" s="246"/>
      <c r="CN4" s="247" t="s">
        <v>1014</v>
      </c>
      <c r="CO4" s="282" t="s">
        <v>122</v>
      </c>
      <c r="CP4" s="155"/>
      <c r="CQ4" s="131"/>
      <c r="CR4" s="131" t="s">
        <v>1011</v>
      </c>
      <c r="CS4" s="116" t="str">
        <f t="shared" si="9"/>
        <v>blackship</v>
      </c>
      <c r="CT4" s="820" t="b">
        <f>IF(OR(D4&gt;0,E4&gt;0,F4&gt;0),IF(BB4=0,BD4*BG4,0))</f>
        <v>0</v>
      </c>
      <c r="CU4" s="820" t="b">
        <f>IF(OR(D4&gt;0,E4&gt;0,F4&gt;0),IF(BB4=0,BD4*BM4,0))</f>
        <v>0</v>
      </c>
      <c r="CV4" s="116" t="str">
        <f t="shared" si="10"/>
        <v>Client Angel</v>
      </c>
      <c r="CW4" s="207"/>
      <c r="CX4" s="729"/>
      <c r="CY4" s="729"/>
      <c r="CZ4" s="729"/>
      <c r="DA4" s="729"/>
      <c r="DB4" s="729"/>
      <c r="DC4" s="729"/>
    </row>
    <row r="5" spans="1:124" ht="30" customHeight="1">
      <c r="A5" s="228"/>
      <c r="B5" s="155" t="s">
        <v>3670</v>
      </c>
      <c r="C5" s="155">
        <f t="shared" si="11"/>
        <v>4</v>
      </c>
      <c r="D5" s="757"/>
      <c r="E5" s="757"/>
      <c r="F5" s="757">
        <v>1</v>
      </c>
      <c r="G5" s="283" t="s">
        <v>188</v>
      </c>
      <c r="H5" s="283" t="s">
        <v>2435</v>
      </c>
      <c r="I5" s="207" t="s">
        <v>2436</v>
      </c>
      <c r="J5" s="207" t="str">
        <f t="shared" si="0"/>
        <v>Andrea Berrone</v>
      </c>
      <c r="K5" s="907" t="s">
        <v>3671</v>
      </c>
      <c r="L5" s="131"/>
      <c r="M5" s="131" t="s">
        <v>3672</v>
      </c>
      <c r="N5" s="80" t="str">
        <f t="shared" si="1"/>
        <v>Andrea Berrone</v>
      </c>
      <c r="O5" s="284"/>
      <c r="P5" s="37"/>
      <c r="Q5" s="37"/>
      <c r="R5" s="131" t="s">
        <v>3673</v>
      </c>
      <c r="S5" s="160"/>
      <c r="T5" s="160"/>
      <c r="U5" s="160"/>
      <c r="V5" s="160"/>
      <c r="W5" s="233"/>
      <c r="X5" s="234"/>
      <c r="Y5" s="233"/>
      <c r="Z5" s="233"/>
      <c r="AA5" s="233"/>
      <c r="AB5" s="37"/>
      <c r="AC5" s="37"/>
      <c r="AD5" s="37" t="s">
        <v>3674</v>
      </c>
      <c r="AE5" s="181"/>
      <c r="AF5" s="198"/>
      <c r="AG5" s="121"/>
      <c r="AH5" s="121"/>
      <c r="AI5" s="121"/>
      <c r="AJ5" s="198"/>
      <c r="AK5" s="121"/>
      <c r="AL5" s="121"/>
      <c r="AM5" s="121"/>
      <c r="AN5" s="198"/>
      <c r="AO5" s="155" t="s">
        <v>115</v>
      </c>
      <c r="AP5" s="155" t="s">
        <v>115</v>
      </c>
      <c r="AQ5" s="155"/>
      <c r="AR5" s="198"/>
      <c r="AS5" s="121"/>
      <c r="AT5" s="121"/>
      <c r="AU5" s="1223" t="s">
        <v>115</v>
      </c>
      <c r="AV5" s="198"/>
      <c r="AW5" s="121"/>
      <c r="AX5" s="121"/>
      <c r="AY5" s="121"/>
      <c r="AZ5" s="808">
        <f t="shared" si="2"/>
        <v>2997</v>
      </c>
      <c r="BA5" s="761">
        <f t="shared" si="3"/>
        <v>2997</v>
      </c>
      <c r="BB5" s="761">
        <f t="shared" si="4"/>
        <v>0</v>
      </c>
      <c r="BC5" s="110">
        <f t="shared" ref="BC5:BC6" si="12">AZ5</f>
        <v>2997</v>
      </c>
      <c r="BD5" s="1230">
        <f t="shared" ref="BD5:BD6" si="13">AZ5-BC5</f>
        <v>0</v>
      </c>
      <c r="BE5" s="1231"/>
      <c r="BF5" s="285" t="s">
        <v>133</v>
      </c>
      <c r="BG5" s="98">
        <v>0.15</v>
      </c>
      <c r="BH5" s="110">
        <f t="shared" ref="BH5:BH6" si="14">AZ5*BG5</f>
        <v>449.55</v>
      </c>
      <c r="BI5" s="242"/>
      <c r="BJ5" s="1232"/>
      <c r="BK5" s="772" t="s">
        <v>968</v>
      </c>
      <c r="BL5" s="243" t="s">
        <v>133</v>
      </c>
      <c r="BM5" s="98">
        <v>0.05</v>
      </c>
      <c r="BN5" s="110">
        <f t="shared" ref="BN5:BN6" si="15">AZ5*BM5</f>
        <v>149.85</v>
      </c>
      <c r="BO5" s="242"/>
      <c r="BP5" s="1232"/>
      <c r="BQ5" s="772" t="s">
        <v>968</v>
      </c>
      <c r="BR5" s="110">
        <v>2997</v>
      </c>
      <c r="BS5" s="226">
        <v>44645</v>
      </c>
      <c r="BT5" s="110">
        <v>2997</v>
      </c>
      <c r="BU5" s="206"/>
      <c r="BV5" s="206"/>
      <c r="BW5" s="206"/>
      <c r="BX5" s="206"/>
      <c r="BY5" s="206"/>
      <c r="BZ5" s="206"/>
      <c r="CA5" s="206"/>
      <c r="CB5" s="206"/>
      <c r="CC5" s="206"/>
      <c r="CD5" s="206"/>
      <c r="CE5" s="206"/>
      <c r="CF5" s="206"/>
      <c r="CG5" s="206"/>
      <c r="CH5" s="206"/>
      <c r="CI5" s="206"/>
      <c r="CJ5" s="206"/>
      <c r="CK5" s="245" t="s">
        <v>2612</v>
      </c>
      <c r="CL5" s="181"/>
      <c r="CM5" s="246"/>
      <c r="CN5" s="247" t="s">
        <v>3675</v>
      </c>
      <c r="CO5" s="282" t="s">
        <v>122</v>
      </c>
      <c r="CP5" s="155"/>
      <c r="CQ5" s="131" t="s">
        <v>3676</v>
      </c>
      <c r="CR5" s="131" t="s">
        <v>3677</v>
      </c>
      <c r="CS5" s="116" t="str">
        <f t="shared" si="9"/>
        <v>Cristian B</v>
      </c>
      <c r="CT5" s="242"/>
      <c r="CU5" s="242"/>
      <c r="CV5" s="116" t="str">
        <f t="shared" si="10"/>
        <v>Cristian B</v>
      </c>
      <c r="CW5" s="207"/>
      <c r="CX5" s="729"/>
      <c r="CY5" s="729"/>
      <c r="CZ5" s="729"/>
      <c r="DA5" s="729"/>
      <c r="DB5" s="729"/>
      <c r="DC5" s="729"/>
    </row>
    <row r="6" spans="1:124" ht="30" customHeight="1">
      <c r="A6" s="228"/>
      <c r="B6" s="155">
        <v>101392</v>
      </c>
      <c r="C6" s="155">
        <f t="shared" si="11"/>
        <v>5</v>
      </c>
      <c r="D6" s="757"/>
      <c r="E6" s="757"/>
      <c r="F6" s="757"/>
      <c r="G6" s="283" t="s">
        <v>188</v>
      </c>
      <c r="H6" s="283" t="s">
        <v>962</v>
      </c>
      <c r="I6" s="207" t="s">
        <v>963</v>
      </c>
      <c r="J6" s="207" t="str">
        <f t="shared" si="0"/>
        <v>Andrea Bugatti</v>
      </c>
      <c r="K6" s="224">
        <v>3358131218</v>
      </c>
      <c r="L6" s="131" t="s">
        <v>964</v>
      </c>
      <c r="M6" s="131"/>
      <c r="N6" s="80" t="str">
        <f t="shared" si="1"/>
        <v>Landa Illuminotecnica</v>
      </c>
      <c r="O6" s="284"/>
      <c r="P6" s="37"/>
      <c r="Q6" s="37"/>
      <c r="R6" s="131" t="s">
        <v>966</v>
      </c>
      <c r="S6" s="160"/>
      <c r="T6" s="160"/>
      <c r="U6" s="160"/>
      <c r="V6" s="160"/>
      <c r="W6" s="233"/>
      <c r="X6" s="234"/>
      <c r="Y6" s="233"/>
      <c r="Z6" s="233"/>
      <c r="AA6" s="233"/>
      <c r="AB6" s="37"/>
      <c r="AC6" s="37"/>
      <c r="AD6" s="37" t="s">
        <v>967</v>
      </c>
      <c r="AE6" s="181"/>
      <c r="AF6" s="198"/>
      <c r="AG6" s="121"/>
      <c r="AH6" s="121"/>
      <c r="AI6" s="121"/>
      <c r="AJ6" s="198"/>
      <c r="AK6" s="121"/>
      <c r="AL6" s="121"/>
      <c r="AM6" s="121"/>
      <c r="AN6" s="198"/>
      <c r="AO6" s="155" t="s">
        <v>115</v>
      </c>
      <c r="AP6" s="155" t="s">
        <v>115</v>
      </c>
      <c r="AQ6" s="155"/>
      <c r="AR6" s="198"/>
      <c r="AS6" s="121"/>
      <c r="AT6" s="121"/>
      <c r="AU6" s="121"/>
      <c r="AV6" s="198"/>
      <c r="AW6" s="121"/>
      <c r="AX6" s="121"/>
      <c r="AY6" s="121" t="s">
        <v>27</v>
      </c>
      <c r="AZ6" s="808">
        <f t="shared" si="2"/>
        <v>2997</v>
      </c>
      <c r="BA6" s="761">
        <f t="shared" si="3"/>
        <v>2997</v>
      </c>
      <c r="BB6" s="761">
        <f t="shared" si="4"/>
        <v>0</v>
      </c>
      <c r="BC6" s="110">
        <f t="shared" si="12"/>
        <v>2997</v>
      </c>
      <c r="BD6" s="1230">
        <f t="shared" si="13"/>
        <v>0</v>
      </c>
      <c r="BE6" s="1231"/>
      <c r="BF6" s="285" t="s">
        <v>184</v>
      </c>
      <c r="BG6" s="98">
        <v>0.05</v>
      </c>
      <c r="BH6" s="110">
        <f t="shared" si="14"/>
        <v>149.85</v>
      </c>
      <c r="BI6" s="242"/>
      <c r="BJ6" s="1231"/>
      <c r="BK6" s="243" t="s">
        <v>968</v>
      </c>
      <c r="BL6" s="243" t="s">
        <v>184</v>
      </c>
      <c r="BM6" s="98">
        <v>0.05</v>
      </c>
      <c r="BN6" s="110">
        <f t="shared" si="15"/>
        <v>149.85</v>
      </c>
      <c r="BO6" s="242"/>
      <c r="BP6" s="1231"/>
      <c r="BQ6" s="243" t="s">
        <v>968</v>
      </c>
      <c r="BR6" s="110">
        <v>2997</v>
      </c>
      <c r="BS6" s="286">
        <v>44648</v>
      </c>
      <c r="BT6" s="110">
        <v>2997</v>
      </c>
      <c r="BU6" s="206"/>
      <c r="BV6" s="206"/>
      <c r="BW6" s="206"/>
      <c r="BX6" s="206"/>
      <c r="BY6" s="206"/>
      <c r="BZ6" s="206"/>
      <c r="CA6" s="206"/>
      <c r="CB6" s="206"/>
      <c r="CC6" s="206"/>
      <c r="CD6" s="206"/>
      <c r="CE6" s="206"/>
      <c r="CF6" s="206"/>
      <c r="CG6" s="206"/>
      <c r="CH6" s="206"/>
      <c r="CI6" s="206"/>
      <c r="CJ6" s="206"/>
      <c r="CK6" s="245" t="s">
        <v>2612</v>
      </c>
      <c r="CL6" s="181"/>
      <c r="CM6" s="246"/>
      <c r="CN6" s="247" t="s">
        <v>969</v>
      </c>
      <c r="CO6" s="282" t="s">
        <v>122</v>
      </c>
      <c r="CP6" s="155"/>
      <c r="CQ6" s="131"/>
      <c r="CR6" s="131" t="s">
        <v>965</v>
      </c>
      <c r="CS6" s="116" t="str">
        <f t="shared" si="9"/>
        <v>Cristian A</v>
      </c>
      <c r="CT6" s="242"/>
      <c r="CU6" s="242"/>
      <c r="CV6" s="116" t="str">
        <f t="shared" si="10"/>
        <v>Cristian A</v>
      </c>
      <c r="CW6" s="207"/>
      <c r="CX6" s="729"/>
      <c r="CY6" s="729"/>
      <c r="CZ6" s="729"/>
      <c r="DA6" s="729"/>
      <c r="DB6" s="729"/>
      <c r="DC6" s="729"/>
    </row>
    <row r="7" spans="1:124" ht="30" customHeight="1">
      <c r="A7" s="228"/>
      <c r="B7" s="155">
        <v>101393</v>
      </c>
      <c r="C7" s="155">
        <f t="shared" si="11"/>
        <v>6</v>
      </c>
      <c r="D7" s="757"/>
      <c r="E7" s="757"/>
      <c r="F7" s="757"/>
      <c r="G7" s="283" t="s">
        <v>188</v>
      </c>
      <c r="H7" s="283" t="s">
        <v>970</v>
      </c>
      <c r="I7" s="207" t="s">
        <v>971</v>
      </c>
      <c r="J7" s="207" t="str">
        <f t="shared" si="0"/>
        <v>Andrea Pozzetti</v>
      </c>
      <c r="K7" s="224">
        <v>3450679633</v>
      </c>
      <c r="L7" s="131"/>
      <c r="M7" s="131"/>
      <c r="N7" s="80" t="str">
        <f t="shared" si="1"/>
        <v>Andrea Pozzetti</v>
      </c>
      <c r="O7" s="1233"/>
      <c r="P7" s="37"/>
      <c r="Q7" s="37"/>
      <c r="R7" s="12" t="s">
        <v>974</v>
      </c>
      <c r="S7" s="160"/>
      <c r="T7" s="160"/>
      <c r="U7" s="160"/>
      <c r="V7" s="160"/>
      <c r="W7" s="233"/>
      <c r="X7" s="234"/>
      <c r="Y7" s="233"/>
      <c r="Z7" s="233"/>
      <c r="AA7" s="233"/>
      <c r="AB7" s="37"/>
      <c r="AC7" s="37"/>
      <c r="AD7" s="37" t="s">
        <v>975</v>
      </c>
      <c r="AE7" s="181" t="s">
        <v>3678</v>
      </c>
      <c r="AF7" s="198"/>
      <c r="AG7" s="121"/>
      <c r="AH7" s="121"/>
      <c r="AI7" s="121"/>
      <c r="AJ7" s="198"/>
      <c r="AK7" s="121"/>
      <c r="AL7" s="121"/>
      <c r="AM7" s="121"/>
      <c r="AN7" s="198"/>
      <c r="AO7" s="155"/>
      <c r="AP7" s="155"/>
      <c r="AQ7" s="155"/>
      <c r="AR7" s="198"/>
      <c r="AS7" s="121"/>
      <c r="AT7" s="121"/>
      <c r="AU7" s="121"/>
      <c r="AV7" s="198"/>
      <c r="AW7" s="121" t="s">
        <v>151</v>
      </c>
      <c r="AX7" s="121" t="s">
        <v>151</v>
      </c>
      <c r="AY7" s="121" t="s">
        <v>151</v>
      </c>
      <c r="AZ7" s="808">
        <f t="shared" si="2"/>
        <v>3497.0000000000005</v>
      </c>
      <c r="BA7" s="761">
        <f t="shared" si="3"/>
        <v>163.9344262295082</v>
      </c>
      <c r="BB7" s="761">
        <f t="shared" si="4"/>
        <v>3333.0655737704924</v>
      </c>
      <c r="BC7" s="110"/>
      <c r="BD7" s="1230"/>
      <c r="BE7" s="1231">
        <v>3497</v>
      </c>
      <c r="BF7" s="285" t="s">
        <v>133</v>
      </c>
      <c r="BG7" s="98">
        <v>0.15</v>
      </c>
      <c r="BH7" s="110"/>
      <c r="BI7" s="242">
        <f t="shared" ref="BI7:BI8" si="16">BD7*BG7</f>
        <v>0</v>
      </c>
      <c r="BJ7" s="1231">
        <f t="shared" ref="BJ7:BJ8" si="17">BE7*BG7</f>
        <v>524.54999999999995</v>
      </c>
      <c r="BK7" s="243"/>
      <c r="BL7" s="243" t="s">
        <v>133</v>
      </c>
      <c r="BM7" s="98">
        <v>0.05</v>
      </c>
      <c r="BN7" s="110"/>
      <c r="BO7" s="242">
        <f t="shared" ref="BO7:BO8" si="18">BD7*BM7</f>
        <v>0</v>
      </c>
      <c r="BP7" s="1231">
        <f t="shared" ref="BP7:BP8" si="19">BE7*BM7</f>
        <v>174.85000000000002</v>
      </c>
      <c r="BQ7" s="243"/>
      <c r="BR7" s="110">
        <f>200/1.22</f>
        <v>163.9344262295082</v>
      </c>
      <c r="BS7" s="226">
        <v>44645</v>
      </c>
      <c r="BT7" s="110">
        <f>200/1.22</f>
        <v>163.9344262295082</v>
      </c>
      <c r="BU7" s="206"/>
      <c r="BV7" s="110">
        <f>1720/1.22</f>
        <v>1409.8360655737706</v>
      </c>
      <c r="BW7" s="226">
        <v>44694</v>
      </c>
      <c r="BX7" s="206"/>
      <c r="BY7" s="206"/>
      <c r="BZ7" s="110">
        <f>2346.34/1.22</f>
        <v>1923.2295081967216</v>
      </c>
      <c r="CA7" s="263" t="s">
        <v>2721</v>
      </c>
      <c r="CB7" s="206"/>
      <c r="CC7" s="206"/>
      <c r="CD7" s="206"/>
      <c r="CE7" s="206"/>
      <c r="CF7" s="206"/>
      <c r="CG7" s="206"/>
      <c r="CH7" s="206"/>
      <c r="CI7" s="206"/>
      <c r="CJ7" s="206"/>
      <c r="CK7" s="245" t="s">
        <v>2612</v>
      </c>
      <c r="CL7" s="181"/>
      <c r="CM7" s="246"/>
      <c r="CN7" s="247" t="s">
        <v>976</v>
      </c>
      <c r="CO7" s="282" t="s">
        <v>122</v>
      </c>
      <c r="CP7" s="155"/>
      <c r="CQ7" s="131"/>
      <c r="CR7" s="131" t="s">
        <v>973</v>
      </c>
      <c r="CS7" s="116" t="str">
        <f t="shared" si="9"/>
        <v>Cristian B</v>
      </c>
      <c r="CT7" s="820" t="b">
        <f t="shared" ref="CT7:CT8" si="20">IF(OR(D7&gt;0,E7&gt;0,F7&gt;0),IF(BB7=0,BD7*BG7,0))</f>
        <v>0</v>
      </c>
      <c r="CU7" s="820" t="b">
        <f t="shared" ref="CU7:CU8" si="21">IF(OR(D7&gt;0,E7&gt;0,F7&gt;0),IF(BB7=0,BD7*BM7,0))</f>
        <v>0</v>
      </c>
      <c r="CV7" s="116" t="str">
        <f t="shared" si="10"/>
        <v>Cristian B</v>
      </c>
      <c r="CW7" s="207"/>
      <c r="CX7" s="729"/>
      <c r="CY7" s="729"/>
      <c r="CZ7" s="729"/>
      <c r="DA7" s="729"/>
      <c r="DB7" s="729"/>
      <c r="DC7" s="729"/>
    </row>
    <row r="8" spans="1:124" ht="30" customHeight="1">
      <c r="A8" s="228"/>
      <c r="B8" s="155">
        <v>101402</v>
      </c>
      <c r="C8" s="155">
        <f t="shared" si="11"/>
        <v>7</v>
      </c>
      <c r="D8" s="757">
        <v>1</v>
      </c>
      <c r="E8" s="757">
        <v>1</v>
      </c>
      <c r="F8" s="757">
        <v>1</v>
      </c>
      <c r="G8" s="283" t="s">
        <v>188</v>
      </c>
      <c r="H8" s="283" t="s">
        <v>2814</v>
      </c>
      <c r="I8" s="1234" t="s">
        <v>3679</v>
      </c>
      <c r="J8" s="207" t="str">
        <f t="shared" si="0"/>
        <v>Andrea Rizzi</v>
      </c>
      <c r="K8" s="1235">
        <v>3662764419</v>
      </c>
      <c r="L8" s="131"/>
      <c r="M8" s="131" t="s">
        <v>333</v>
      </c>
      <c r="N8" s="80" t="str">
        <f t="shared" si="1"/>
        <v>Celeris</v>
      </c>
      <c r="O8" s="1236"/>
      <c r="P8" s="37"/>
      <c r="Q8" s="37"/>
      <c r="R8" s="131" t="s">
        <v>3680</v>
      </c>
      <c r="S8" s="160"/>
      <c r="T8" s="160"/>
      <c r="U8" s="160"/>
      <c r="V8" s="160"/>
      <c r="W8" s="233"/>
      <c r="X8" s="234"/>
      <c r="Y8" s="233"/>
      <c r="Z8" s="233"/>
      <c r="AA8" s="233"/>
      <c r="AB8" s="37"/>
      <c r="AC8" s="37"/>
      <c r="AD8" s="37" t="s">
        <v>3681</v>
      </c>
      <c r="AE8" s="181"/>
      <c r="AF8" s="198"/>
      <c r="AG8" s="121"/>
      <c r="AH8" s="121"/>
      <c r="AI8" s="121"/>
      <c r="AJ8" s="198"/>
      <c r="AK8" s="121"/>
      <c r="AL8" s="121"/>
      <c r="AM8" s="121"/>
      <c r="AN8" s="198"/>
      <c r="AO8" s="155"/>
      <c r="AP8" s="155"/>
      <c r="AQ8" s="155"/>
      <c r="AR8" s="198"/>
      <c r="AS8" s="121" t="s">
        <v>115</v>
      </c>
      <c r="AT8" s="121" t="s">
        <v>115</v>
      </c>
      <c r="AU8" s="121" t="s">
        <v>115</v>
      </c>
      <c r="AV8" s="198"/>
      <c r="AW8" s="121"/>
      <c r="AX8" s="121"/>
      <c r="AY8" s="121"/>
      <c r="AZ8" s="808">
        <f t="shared" si="2"/>
        <v>2997</v>
      </c>
      <c r="BA8" s="761">
        <f t="shared" si="3"/>
        <v>2997</v>
      </c>
      <c r="BB8" s="761">
        <f t="shared" si="4"/>
        <v>0</v>
      </c>
      <c r="BC8" s="110"/>
      <c r="BD8" s="1230">
        <f>BA8</f>
        <v>2997</v>
      </c>
      <c r="BE8" s="1231"/>
      <c r="BF8" s="285" t="s">
        <v>160</v>
      </c>
      <c r="BG8" s="98">
        <v>0.15</v>
      </c>
      <c r="BH8" s="110"/>
      <c r="BI8" s="242">
        <f t="shared" si="16"/>
        <v>449.55</v>
      </c>
      <c r="BJ8" s="1231">
        <f t="shared" si="17"/>
        <v>0</v>
      </c>
      <c r="BK8" s="243" t="s">
        <v>1076</v>
      </c>
      <c r="BL8" s="243" t="s">
        <v>160</v>
      </c>
      <c r="BM8" s="98">
        <v>0.05</v>
      </c>
      <c r="BN8" s="110"/>
      <c r="BO8" s="242">
        <f t="shared" si="18"/>
        <v>149.85</v>
      </c>
      <c r="BP8" s="1231">
        <f t="shared" si="19"/>
        <v>0</v>
      </c>
      <c r="BQ8" s="387" t="s">
        <v>1076</v>
      </c>
      <c r="BR8" s="110">
        <v>2997</v>
      </c>
      <c r="BS8" s="286">
        <v>44648</v>
      </c>
      <c r="BT8" s="110">
        <v>2997</v>
      </c>
      <c r="BU8" s="206"/>
      <c r="BV8" s="206"/>
      <c r="BW8" s="206"/>
      <c r="BX8" s="206"/>
      <c r="BY8" s="206"/>
      <c r="BZ8" s="206"/>
      <c r="CA8" s="206"/>
      <c r="CB8" s="206"/>
      <c r="CC8" s="206"/>
      <c r="CD8" s="206"/>
      <c r="CE8" s="206"/>
      <c r="CF8" s="206"/>
      <c r="CG8" s="206"/>
      <c r="CH8" s="206"/>
      <c r="CI8" s="206"/>
      <c r="CJ8" s="206"/>
      <c r="CK8" s="245" t="s">
        <v>2612</v>
      </c>
      <c r="CL8" s="181"/>
      <c r="CM8" s="246"/>
      <c r="CN8" s="247" t="s">
        <v>3682</v>
      </c>
      <c r="CO8" s="282" t="s">
        <v>122</v>
      </c>
      <c r="CP8" s="155"/>
      <c r="CQ8" s="131" t="s">
        <v>3683</v>
      </c>
      <c r="CR8" s="131" t="s">
        <v>3684</v>
      </c>
      <c r="CS8" s="116" t="str">
        <f t="shared" si="9"/>
        <v>Gianluca</v>
      </c>
      <c r="CT8" s="820">
        <f t="shared" si="20"/>
        <v>449.55</v>
      </c>
      <c r="CU8" s="820">
        <f t="shared" si="21"/>
        <v>149.85</v>
      </c>
      <c r="CV8" s="116" t="str">
        <f t="shared" si="10"/>
        <v>Gianluca</v>
      </c>
      <c r="CW8" s="207"/>
      <c r="CX8" s="729"/>
      <c r="CY8" s="729"/>
      <c r="CZ8" s="729"/>
      <c r="DA8" s="729"/>
      <c r="DB8" s="729"/>
      <c r="DC8" s="729"/>
    </row>
    <row r="9" spans="1:124" ht="30" customHeight="1">
      <c r="A9" s="228"/>
      <c r="B9" s="155">
        <v>101355</v>
      </c>
      <c r="C9" s="155">
        <f t="shared" si="11"/>
        <v>8</v>
      </c>
      <c r="D9" s="757"/>
      <c r="E9" s="757"/>
      <c r="F9" s="757"/>
      <c r="G9" s="283" t="s">
        <v>977</v>
      </c>
      <c r="H9" s="283" t="s">
        <v>978</v>
      </c>
      <c r="I9" s="207" t="s">
        <v>979</v>
      </c>
      <c r="J9" s="207" t="str">
        <f t="shared" si="0"/>
        <v>Antonio Sepe</v>
      </c>
      <c r="K9" s="224">
        <v>3292162587</v>
      </c>
      <c r="L9" s="131"/>
      <c r="M9" s="131"/>
      <c r="N9" s="80" t="str">
        <f t="shared" si="1"/>
        <v>Serin</v>
      </c>
      <c r="O9" s="284"/>
      <c r="P9" s="37"/>
      <c r="Q9" s="37"/>
      <c r="R9" s="131" t="s">
        <v>981</v>
      </c>
      <c r="S9" s="160"/>
      <c r="T9" s="160"/>
      <c r="U9" s="160"/>
      <c r="V9" s="160"/>
      <c r="W9" s="233"/>
      <c r="X9" s="234"/>
      <c r="Y9" s="233"/>
      <c r="Z9" s="233"/>
      <c r="AA9" s="233"/>
      <c r="AB9" s="37"/>
      <c r="AC9" s="37"/>
      <c r="AD9" s="37" t="s">
        <v>982</v>
      </c>
      <c r="AE9" s="181"/>
      <c r="AF9" s="198"/>
      <c r="AG9" s="121"/>
      <c r="AH9" s="121"/>
      <c r="AI9" s="121"/>
      <c r="AJ9" s="198"/>
      <c r="AK9" s="121"/>
      <c r="AL9" s="121"/>
      <c r="AM9" s="121"/>
      <c r="AN9" s="198"/>
      <c r="AO9" s="155" t="s">
        <v>115</v>
      </c>
      <c r="AP9" s="155" t="s">
        <v>115</v>
      </c>
      <c r="AQ9" s="155"/>
      <c r="AR9" s="198"/>
      <c r="AS9" s="121"/>
      <c r="AT9" s="121"/>
      <c r="AU9" s="154" t="s">
        <v>194</v>
      </c>
      <c r="AV9" s="198"/>
      <c r="AW9" s="121"/>
      <c r="AX9" s="121"/>
      <c r="AY9" s="121" t="s">
        <v>27</v>
      </c>
      <c r="AZ9" s="808">
        <f t="shared" si="2"/>
        <v>2997</v>
      </c>
      <c r="BA9" s="761">
        <f t="shared" si="3"/>
        <v>2997</v>
      </c>
      <c r="BB9" s="761">
        <f t="shared" si="4"/>
        <v>0</v>
      </c>
      <c r="BC9" s="110">
        <f>BA9</f>
        <v>2997</v>
      </c>
      <c r="BD9" s="1230">
        <f>AZ9-BC9</f>
        <v>0</v>
      </c>
      <c r="BE9" s="1231"/>
      <c r="BF9" s="285" t="s">
        <v>133</v>
      </c>
      <c r="BG9" s="98">
        <v>0.15</v>
      </c>
      <c r="BH9" s="110">
        <f>AZ9*BG9</f>
        <v>449.55</v>
      </c>
      <c r="BI9" s="242"/>
      <c r="BJ9" s="1232"/>
      <c r="BK9" s="772" t="s">
        <v>968</v>
      </c>
      <c r="BL9" s="243" t="s">
        <v>133</v>
      </c>
      <c r="BM9" s="98">
        <v>0.05</v>
      </c>
      <c r="BN9" s="110">
        <f>AZ9*BM9</f>
        <v>149.85</v>
      </c>
      <c r="BO9" s="242"/>
      <c r="BP9" s="1232"/>
      <c r="BQ9" s="772" t="s">
        <v>968</v>
      </c>
      <c r="BR9" s="110">
        <v>2997</v>
      </c>
      <c r="BS9" s="286">
        <v>44645</v>
      </c>
      <c r="BT9" s="110">
        <v>2997</v>
      </c>
      <c r="BU9" s="206"/>
      <c r="BV9" s="206"/>
      <c r="BW9" s="206"/>
      <c r="BX9" s="206"/>
      <c r="BY9" s="206"/>
      <c r="BZ9" s="206"/>
      <c r="CA9" s="206"/>
      <c r="CB9" s="206"/>
      <c r="CC9" s="206"/>
      <c r="CD9" s="206"/>
      <c r="CE9" s="206"/>
      <c r="CF9" s="206"/>
      <c r="CG9" s="206"/>
      <c r="CH9" s="206"/>
      <c r="CI9" s="206"/>
      <c r="CJ9" s="206"/>
      <c r="CK9" s="245" t="s">
        <v>2612</v>
      </c>
      <c r="CL9" s="181"/>
      <c r="CM9" s="246"/>
      <c r="CN9" s="247" t="s">
        <v>983</v>
      </c>
      <c r="CO9" s="282" t="s">
        <v>122</v>
      </c>
      <c r="CP9" s="155"/>
      <c r="CQ9" s="131"/>
      <c r="CR9" s="131" t="s">
        <v>980</v>
      </c>
      <c r="CS9" s="116" t="str">
        <f t="shared" si="9"/>
        <v>Cristian B</v>
      </c>
      <c r="CT9" s="242"/>
      <c r="CU9" s="242"/>
      <c r="CV9" s="116" t="str">
        <f t="shared" si="10"/>
        <v>Cristian B</v>
      </c>
      <c r="CW9" s="207"/>
      <c r="CX9" s="729"/>
      <c r="CY9" s="729"/>
      <c r="CZ9" s="729"/>
      <c r="DA9" s="729"/>
      <c r="DB9" s="729"/>
      <c r="DC9" s="729"/>
    </row>
    <row r="10" spans="1:124" ht="30" customHeight="1">
      <c r="A10" s="228"/>
      <c r="B10" s="155">
        <v>101307</v>
      </c>
      <c r="C10" s="155">
        <f t="shared" si="11"/>
        <v>9</v>
      </c>
      <c r="D10" s="757">
        <v>1</v>
      </c>
      <c r="E10" s="757">
        <v>1</v>
      </c>
      <c r="F10" s="757">
        <v>1</v>
      </c>
      <c r="G10" s="283" t="s">
        <v>238</v>
      </c>
      <c r="H10" s="283" t="s">
        <v>2496</v>
      </c>
      <c r="I10" s="1234" t="s">
        <v>2497</v>
      </c>
      <c r="J10" s="207" t="str">
        <f t="shared" si="0"/>
        <v>Carlo Fasini</v>
      </c>
      <c r="K10" s="224">
        <v>3480836825</v>
      </c>
      <c r="L10" s="131"/>
      <c r="M10" s="131"/>
      <c r="N10" s="80" t="str">
        <f t="shared" si="1"/>
        <v>It Strategy</v>
      </c>
      <c r="O10" s="284"/>
      <c r="P10" s="37"/>
      <c r="Q10" s="37"/>
      <c r="R10" s="131" t="s">
        <v>3685</v>
      </c>
      <c r="S10" s="160"/>
      <c r="T10" s="160"/>
      <c r="U10" s="160"/>
      <c r="V10" s="160"/>
      <c r="W10" s="233"/>
      <c r="X10" s="234"/>
      <c r="Y10" s="233"/>
      <c r="Z10" s="233"/>
      <c r="AA10" s="233"/>
      <c r="AB10" s="37"/>
      <c r="AC10" s="37"/>
      <c r="AD10" s="37" t="s">
        <v>3686</v>
      </c>
      <c r="AE10" s="181"/>
      <c r="AF10" s="198"/>
      <c r="AG10" s="121"/>
      <c r="AH10" s="121"/>
      <c r="AI10" s="121"/>
      <c r="AJ10" s="198"/>
      <c r="AK10" s="121"/>
      <c r="AL10" s="121"/>
      <c r="AM10" s="121"/>
      <c r="AN10" s="198"/>
      <c r="AO10" s="155"/>
      <c r="AP10" s="155"/>
      <c r="AQ10" s="155"/>
      <c r="AR10" s="198"/>
      <c r="AS10" s="121" t="s">
        <v>115</v>
      </c>
      <c r="AT10" s="121" t="s">
        <v>115</v>
      </c>
      <c r="AU10" s="121" t="s">
        <v>115</v>
      </c>
      <c r="AV10" s="198"/>
      <c r="AW10" s="121"/>
      <c r="AX10" s="121"/>
      <c r="AY10" s="121"/>
      <c r="AZ10" s="808">
        <f t="shared" si="2"/>
        <v>2997</v>
      </c>
      <c r="BA10" s="761">
        <f t="shared" si="3"/>
        <v>2997</v>
      </c>
      <c r="BB10" s="761">
        <f t="shared" si="4"/>
        <v>0</v>
      </c>
      <c r="BC10" s="110"/>
      <c r="BD10" s="1230">
        <v>2997</v>
      </c>
      <c r="BE10" s="1231"/>
      <c r="BF10" s="285" t="s">
        <v>160</v>
      </c>
      <c r="BG10" s="98">
        <v>0.05</v>
      </c>
      <c r="BH10" s="110"/>
      <c r="BI10" s="242">
        <f t="shared" ref="BI10:BI12" si="22">BD10*BG10</f>
        <v>149.85</v>
      </c>
      <c r="BJ10" s="1231">
        <f t="shared" ref="BJ10:BJ17" si="23">BE10*BG10</f>
        <v>0</v>
      </c>
      <c r="BK10" s="243" t="s">
        <v>1076</v>
      </c>
      <c r="BL10" s="243" t="s">
        <v>160</v>
      </c>
      <c r="BM10" s="98">
        <v>0.05</v>
      </c>
      <c r="BN10" s="110"/>
      <c r="BO10" s="242">
        <f t="shared" ref="BO10:BO12" si="24">BD10*BM10</f>
        <v>149.85</v>
      </c>
      <c r="BP10" s="1231">
        <f t="shared" ref="BP10:BP12" si="25">BE10*BM10</f>
        <v>0</v>
      </c>
      <c r="BQ10" s="387" t="s">
        <v>1076</v>
      </c>
      <c r="BR10" s="110">
        <v>2997</v>
      </c>
      <c r="BS10" s="286">
        <v>44645</v>
      </c>
      <c r="BT10" s="110">
        <v>2997</v>
      </c>
      <c r="BU10" s="206"/>
      <c r="BV10" s="206"/>
      <c r="BW10" s="206"/>
      <c r="BX10" s="206"/>
      <c r="BY10" s="206"/>
      <c r="BZ10" s="206"/>
      <c r="CA10" s="206"/>
      <c r="CB10" s="206"/>
      <c r="CC10" s="206"/>
      <c r="CD10" s="206"/>
      <c r="CE10" s="206"/>
      <c r="CF10" s="206"/>
      <c r="CG10" s="206"/>
      <c r="CH10" s="206"/>
      <c r="CI10" s="206"/>
      <c r="CJ10" s="206"/>
      <c r="CK10" s="245" t="s">
        <v>2612</v>
      </c>
      <c r="CL10" s="181" t="s">
        <v>2311</v>
      </c>
      <c r="CM10" s="246"/>
      <c r="CN10" s="247" t="s">
        <v>3687</v>
      </c>
      <c r="CO10" s="282" t="s">
        <v>122</v>
      </c>
      <c r="CP10" s="155"/>
      <c r="CQ10" s="131"/>
      <c r="CR10" s="131" t="s">
        <v>3688</v>
      </c>
      <c r="CS10" s="116" t="str">
        <f t="shared" si="9"/>
        <v>Gianluca</v>
      </c>
      <c r="CT10" s="820">
        <f t="shared" ref="CT10:CT12" si="26">IF(OR(D10&gt;0,E10&gt;0,F10&gt;0),IF(BB10=0,BD10*BG10,0))</f>
        <v>149.85</v>
      </c>
      <c r="CU10" s="820">
        <f t="shared" ref="CU10:CU12" si="27">IF(OR(D10&gt;0,E10&gt;0,F10&gt;0),IF(BB10=0,BD10*BM10,0))</f>
        <v>149.85</v>
      </c>
      <c r="CV10" s="116" t="str">
        <f t="shared" si="10"/>
        <v>Gianluca</v>
      </c>
      <c r="CW10" s="155">
        <v>1</v>
      </c>
      <c r="CX10" s="729"/>
      <c r="CY10" s="729"/>
      <c r="CZ10" s="729"/>
      <c r="DA10" s="729"/>
      <c r="DB10" s="729"/>
      <c r="DC10" s="729"/>
    </row>
    <row r="11" spans="1:124" ht="30" customHeight="1">
      <c r="A11" s="228"/>
      <c r="B11" s="1237">
        <v>101413</v>
      </c>
      <c r="C11" s="155">
        <f t="shared" si="11"/>
        <v>10</v>
      </c>
      <c r="D11" s="757">
        <v>1</v>
      </c>
      <c r="E11" s="757">
        <v>1</v>
      </c>
      <c r="F11" s="757">
        <v>1</v>
      </c>
      <c r="G11" s="283" t="s">
        <v>275</v>
      </c>
      <c r="H11" s="283" t="s">
        <v>3689</v>
      </c>
      <c r="I11" s="1234" t="s">
        <v>3690</v>
      </c>
      <c r="J11" s="207" t="str">
        <f t="shared" si="0"/>
        <v>Chiara Mazzi</v>
      </c>
      <c r="K11" s="224">
        <v>3929052686</v>
      </c>
      <c r="L11" s="131"/>
      <c r="M11" s="131"/>
      <c r="N11" s="80" t="str">
        <f t="shared" si="1"/>
        <v>Mazzi Consulting</v>
      </c>
      <c r="O11" s="284"/>
      <c r="P11" s="37"/>
      <c r="Q11" s="37"/>
      <c r="R11" s="131" t="s">
        <v>3691</v>
      </c>
      <c r="S11" s="160"/>
      <c r="T11" s="160"/>
      <c r="U11" s="160"/>
      <c r="V11" s="160"/>
      <c r="W11" s="233"/>
      <c r="X11" s="234"/>
      <c r="Y11" s="233"/>
      <c r="Z11" s="233"/>
      <c r="AA11" s="233"/>
      <c r="AB11" s="37"/>
      <c r="AC11" s="37"/>
      <c r="AD11" s="37" t="s">
        <v>3692</v>
      </c>
      <c r="AE11" s="181"/>
      <c r="AF11" s="198"/>
      <c r="AG11" s="121"/>
      <c r="AH11" s="121"/>
      <c r="AI11" s="121"/>
      <c r="AJ11" s="198"/>
      <c r="AK11" s="121"/>
      <c r="AL11" s="121"/>
      <c r="AM11" s="121"/>
      <c r="AN11" s="198"/>
      <c r="AO11" s="155"/>
      <c r="AP11" s="155"/>
      <c r="AQ11" s="155"/>
      <c r="AR11" s="198"/>
      <c r="AS11" s="121" t="s">
        <v>115</v>
      </c>
      <c r="AT11" s="121" t="s">
        <v>115</v>
      </c>
      <c r="AU11" s="121" t="s">
        <v>115</v>
      </c>
      <c r="AV11" s="198"/>
      <c r="AW11" s="121"/>
      <c r="AX11" s="121"/>
      <c r="AY11" s="121"/>
      <c r="AZ11" s="808">
        <f t="shared" si="2"/>
        <v>2997</v>
      </c>
      <c r="BA11" s="761">
        <f t="shared" si="3"/>
        <v>2997</v>
      </c>
      <c r="BB11" s="761">
        <f t="shared" si="4"/>
        <v>0</v>
      </c>
      <c r="BC11" s="110"/>
      <c r="BD11" s="1230">
        <v>2997</v>
      </c>
      <c r="BE11" s="1231"/>
      <c r="BF11" s="285" t="s">
        <v>117</v>
      </c>
      <c r="BG11" s="98">
        <v>0</v>
      </c>
      <c r="BH11" s="110"/>
      <c r="BI11" s="242">
        <f t="shared" si="22"/>
        <v>0</v>
      </c>
      <c r="BJ11" s="1231">
        <f t="shared" si="23"/>
        <v>0</v>
      </c>
      <c r="BK11" s="244" t="s">
        <v>118</v>
      </c>
      <c r="BL11" s="243" t="s">
        <v>152</v>
      </c>
      <c r="BM11" s="98">
        <v>0.05</v>
      </c>
      <c r="BN11" s="110"/>
      <c r="BO11" s="242">
        <f t="shared" si="24"/>
        <v>149.85</v>
      </c>
      <c r="BP11" s="1231">
        <f t="shared" si="25"/>
        <v>0</v>
      </c>
      <c r="BQ11" s="387" t="s">
        <v>1076</v>
      </c>
      <c r="BR11" s="110">
        <v>2997</v>
      </c>
      <c r="BS11" s="286">
        <v>44649</v>
      </c>
      <c r="BT11" s="110">
        <v>2997</v>
      </c>
      <c r="BU11" s="206"/>
      <c r="BV11" s="206"/>
      <c r="BW11" s="206"/>
      <c r="BX11" s="206"/>
      <c r="BY11" s="206"/>
      <c r="BZ11" s="206"/>
      <c r="CA11" s="206"/>
      <c r="CB11" s="206"/>
      <c r="CC11" s="206"/>
      <c r="CD11" s="206"/>
      <c r="CE11" s="206"/>
      <c r="CF11" s="206"/>
      <c r="CG11" s="206"/>
      <c r="CH11" s="206"/>
      <c r="CI11" s="206"/>
      <c r="CJ11" s="206"/>
      <c r="CK11" s="245" t="s">
        <v>2612</v>
      </c>
      <c r="CL11" s="181"/>
      <c r="CM11" s="246"/>
      <c r="CN11" s="247" t="s">
        <v>3693</v>
      </c>
      <c r="CO11" s="282" t="s">
        <v>122</v>
      </c>
      <c r="CP11" s="155"/>
      <c r="CQ11" s="131"/>
      <c r="CR11" s="131" t="s">
        <v>3694</v>
      </c>
      <c r="CS11" s="116" t="str">
        <f t="shared" si="9"/>
        <v>blackship</v>
      </c>
      <c r="CT11" s="820">
        <f t="shared" si="26"/>
        <v>0</v>
      </c>
      <c r="CU11" s="820">
        <f t="shared" si="27"/>
        <v>149.85</v>
      </c>
      <c r="CV11" s="116" t="str">
        <f t="shared" si="10"/>
        <v>Client Angel</v>
      </c>
      <c r="CW11" s="155">
        <v>1</v>
      </c>
      <c r="CX11" s="729"/>
      <c r="CY11" s="729"/>
      <c r="CZ11" s="729"/>
      <c r="DA11" s="729"/>
      <c r="DB11" s="729"/>
      <c r="DC11" s="729"/>
    </row>
    <row r="12" spans="1:124" ht="30" customHeight="1">
      <c r="A12" s="228"/>
      <c r="B12" s="155">
        <v>101332</v>
      </c>
      <c r="C12" s="155">
        <f t="shared" si="11"/>
        <v>11</v>
      </c>
      <c r="D12" s="757">
        <v>1</v>
      </c>
      <c r="E12" s="757">
        <v>1</v>
      </c>
      <c r="F12" s="757">
        <v>1</v>
      </c>
      <c r="G12" s="283" t="s">
        <v>300</v>
      </c>
      <c r="H12" s="283" t="s">
        <v>3695</v>
      </c>
      <c r="I12" s="1234" t="s">
        <v>3696</v>
      </c>
      <c r="J12" s="207" t="str">
        <f t="shared" si="0"/>
        <v>Cristina Rodella</v>
      </c>
      <c r="K12" s="224">
        <v>3387355423</v>
      </c>
      <c r="L12" s="131"/>
      <c r="M12" s="131" t="s">
        <v>3697</v>
      </c>
      <c r="N12" s="80" t="str">
        <f t="shared" si="1"/>
        <v>Archetto Rodella Cristina</v>
      </c>
      <c r="O12" s="1238"/>
      <c r="P12" s="37"/>
      <c r="Q12" s="37"/>
      <c r="R12" s="251" t="s">
        <v>3698</v>
      </c>
      <c r="S12" s="160"/>
      <c r="T12" s="84"/>
      <c r="U12" s="84"/>
      <c r="V12" s="84"/>
      <c r="W12" s="267"/>
      <c r="X12" s="234"/>
      <c r="Y12" s="267"/>
      <c r="Z12" s="267"/>
      <c r="AA12" s="267"/>
      <c r="AB12" s="37"/>
      <c r="AC12" s="37"/>
      <c r="AD12" s="231" t="s">
        <v>3699</v>
      </c>
      <c r="AE12" s="181"/>
      <c r="AF12" s="198"/>
      <c r="AG12" s="121"/>
      <c r="AH12" s="121"/>
      <c r="AI12" s="121"/>
      <c r="AJ12" s="198"/>
      <c r="AK12" s="121"/>
      <c r="AL12" s="121"/>
      <c r="AM12" s="121"/>
      <c r="AN12" s="198"/>
      <c r="AO12" s="155"/>
      <c r="AP12" s="155"/>
      <c r="AQ12" s="155"/>
      <c r="AR12" s="198"/>
      <c r="AS12" s="121" t="s">
        <v>115</v>
      </c>
      <c r="AT12" s="121" t="s">
        <v>115</v>
      </c>
      <c r="AU12" s="121" t="s">
        <v>115</v>
      </c>
      <c r="AV12" s="198"/>
      <c r="AW12" s="121"/>
      <c r="AX12" s="121"/>
      <c r="AY12" s="121"/>
      <c r="AZ12" s="808">
        <f t="shared" si="2"/>
        <v>2997</v>
      </c>
      <c r="BA12" s="761">
        <f t="shared" si="3"/>
        <v>2997</v>
      </c>
      <c r="BB12" s="761">
        <f t="shared" si="4"/>
        <v>0</v>
      </c>
      <c r="BC12" s="110"/>
      <c r="BD12" s="1230">
        <v>2997</v>
      </c>
      <c r="BE12" s="1231"/>
      <c r="BF12" s="285" t="s">
        <v>117</v>
      </c>
      <c r="BG12" s="98">
        <v>0</v>
      </c>
      <c r="BH12" s="110"/>
      <c r="BI12" s="242">
        <f t="shared" si="22"/>
        <v>0</v>
      </c>
      <c r="BJ12" s="1231">
        <f t="shared" si="23"/>
        <v>0</v>
      </c>
      <c r="BK12" s="244" t="s">
        <v>118</v>
      </c>
      <c r="BL12" s="243" t="s">
        <v>152</v>
      </c>
      <c r="BM12" s="98">
        <v>0.05</v>
      </c>
      <c r="BN12" s="110"/>
      <c r="BO12" s="242">
        <f t="shared" si="24"/>
        <v>149.85</v>
      </c>
      <c r="BP12" s="1231">
        <f t="shared" si="25"/>
        <v>0</v>
      </c>
      <c r="BQ12" s="387" t="s">
        <v>1076</v>
      </c>
      <c r="BR12" s="110">
        <v>2997</v>
      </c>
      <c r="BS12" s="226">
        <v>44649</v>
      </c>
      <c r="BT12" s="110">
        <v>2997</v>
      </c>
      <c r="BU12" s="206"/>
      <c r="BV12" s="206"/>
      <c r="BW12" s="206"/>
      <c r="BX12" s="206"/>
      <c r="BY12" s="206"/>
      <c r="BZ12" s="206"/>
      <c r="CA12" s="206"/>
      <c r="CB12" s="206"/>
      <c r="CC12" s="206"/>
      <c r="CD12" s="206"/>
      <c r="CE12" s="206"/>
      <c r="CF12" s="206"/>
      <c r="CG12" s="206"/>
      <c r="CH12" s="206"/>
      <c r="CI12" s="206"/>
      <c r="CJ12" s="206"/>
      <c r="CK12" s="245" t="s">
        <v>2612</v>
      </c>
      <c r="CL12" s="181"/>
      <c r="CM12" s="246"/>
      <c r="CN12" s="247" t="s">
        <v>3700</v>
      </c>
      <c r="CO12" s="282" t="s">
        <v>122</v>
      </c>
      <c r="CP12" s="155"/>
      <c r="CQ12" s="131" t="s">
        <v>1992</v>
      </c>
      <c r="CR12" s="131" t="s">
        <v>3701</v>
      </c>
      <c r="CS12" s="116" t="str">
        <f t="shared" si="9"/>
        <v>blackship</v>
      </c>
      <c r="CT12" s="820">
        <f t="shared" si="26"/>
        <v>0</v>
      </c>
      <c r="CU12" s="820">
        <f t="shared" si="27"/>
        <v>149.85</v>
      </c>
      <c r="CV12" s="116" t="str">
        <f t="shared" si="10"/>
        <v>Client Angel</v>
      </c>
      <c r="CW12" s="207"/>
      <c r="CX12" s="729"/>
      <c r="CY12" s="729"/>
      <c r="CZ12" s="729"/>
      <c r="DA12" s="729"/>
      <c r="DB12" s="729"/>
      <c r="DC12" s="729"/>
    </row>
    <row r="13" spans="1:124" ht="30" customHeight="1">
      <c r="A13" s="228"/>
      <c r="B13" s="155">
        <v>100705</v>
      </c>
      <c r="C13" s="155">
        <f t="shared" si="11"/>
        <v>12</v>
      </c>
      <c r="D13" s="757">
        <v>1</v>
      </c>
      <c r="E13" s="757">
        <v>1</v>
      </c>
      <c r="F13" s="757">
        <v>1</v>
      </c>
      <c r="G13" s="283" t="s">
        <v>487</v>
      </c>
      <c r="H13" s="283" t="s">
        <v>2355</v>
      </c>
      <c r="I13" s="1234" t="s">
        <v>2356</v>
      </c>
      <c r="J13" s="207" t="str">
        <f t="shared" si="0"/>
        <v>Daniela Merlini</v>
      </c>
      <c r="K13" s="224">
        <v>3355601592</v>
      </c>
      <c r="L13" s="131"/>
      <c r="M13" s="131" t="s">
        <v>3702</v>
      </c>
      <c r="N13" s="80" t="str">
        <f t="shared" si="1"/>
        <v xml:space="preserve">Primadonna </v>
      </c>
      <c r="O13" s="284"/>
      <c r="P13" s="803"/>
      <c r="Q13" s="1239"/>
      <c r="R13" s="131" t="s">
        <v>3703</v>
      </c>
      <c r="S13" s="160"/>
      <c r="T13" s="805"/>
      <c r="U13" s="805"/>
      <c r="V13" s="805"/>
      <c r="W13" s="806"/>
      <c r="X13" s="234"/>
      <c r="Y13" s="806"/>
      <c r="Z13" s="806"/>
      <c r="AA13" s="806"/>
      <c r="AB13" s="37"/>
      <c r="AC13" s="37"/>
      <c r="AD13" s="803" t="s">
        <v>3704</v>
      </c>
      <c r="AE13" s="969"/>
      <c r="AF13" s="1240"/>
      <c r="AG13" s="121"/>
      <c r="AH13" s="121"/>
      <c r="AI13" s="121"/>
      <c r="AJ13" s="1240"/>
      <c r="AK13" s="259"/>
      <c r="AL13" s="259"/>
      <c r="AM13" s="259"/>
      <c r="AN13" s="1240"/>
      <c r="AO13" s="155" t="s">
        <v>115</v>
      </c>
      <c r="AP13" s="155" t="s">
        <v>115</v>
      </c>
      <c r="AQ13" s="155"/>
      <c r="AR13" s="1240"/>
      <c r="AS13" s="259" t="s">
        <v>116</v>
      </c>
      <c r="AT13" s="121" t="s">
        <v>116</v>
      </c>
      <c r="AU13" s="121" t="s">
        <v>115</v>
      </c>
      <c r="AV13" s="1240"/>
      <c r="AW13" s="259"/>
      <c r="AX13" s="121"/>
      <c r="AY13" s="121"/>
      <c r="AZ13" s="902">
        <f t="shared" si="2"/>
        <v>2997</v>
      </c>
      <c r="BA13" s="932">
        <f t="shared" si="3"/>
        <v>2997</v>
      </c>
      <c r="BB13" s="761">
        <f t="shared" si="4"/>
        <v>0</v>
      </c>
      <c r="BC13" s="262">
        <f>BA13</f>
        <v>2997</v>
      </c>
      <c r="BD13" s="1230">
        <f>AZ13-BC13</f>
        <v>0</v>
      </c>
      <c r="BE13" s="1231"/>
      <c r="BF13" s="285" t="s">
        <v>117</v>
      </c>
      <c r="BG13" s="768">
        <v>0</v>
      </c>
      <c r="BH13" s="110">
        <f>AZ13*BG13</f>
        <v>0</v>
      </c>
      <c r="BI13" s="242"/>
      <c r="BJ13" s="1231">
        <f t="shared" si="23"/>
        <v>0</v>
      </c>
      <c r="BK13" s="244" t="s">
        <v>118</v>
      </c>
      <c r="BL13" s="243" t="s">
        <v>119</v>
      </c>
      <c r="BM13" s="768">
        <v>0.05</v>
      </c>
      <c r="BN13" s="110">
        <f>AZ13*BM13</f>
        <v>149.85</v>
      </c>
      <c r="BO13" s="242"/>
      <c r="BP13" s="1241"/>
      <c r="BQ13" s="1242" t="s">
        <v>968</v>
      </c>
      <c r="BR13" s="262">
        <v>2997</v>
      </c>
      <c r="BS13" s="286">
        <v>44648</v>
      </c>
      <c r="BT13" s="262">
        <v>2997</v>
      </c>
      <c r="BU13" s="983"/>
      <c r="BV13" s="983"/>
      <c r="BW13" s="983"/>
      <c r="BX13" s="983"/>
      <c r="BY13" s="983"/>
      <c r="BZ13" s="983"/>
      <c r="CA13" s="983"/>
      <c r="CB13" s="983"/>
      <c r="CC13" s="983"/>
      <c r="CD13" s="206"/>
      <c r="CE13" s="206"/>
      <c r="CF13" s="206"/>
      <c r="CG13" s="206"/>
      <c r="CH13" s="206"/>
      <c r="CI13" s="206"/>
      <c r="CJ13" s="206"/>
      <c r="CK13" s="245" t="s">
        <v>2612</v>
      </c>
      <c r="CL13" s="181"/>
      <c r="CM13" s="246"/>
      <c r="CN13" s="247"/>
      <c r="CO13" s="282" t="s">
        <v>122</v>
      </c>
      <c r="CP13" s="155">
        <v>1</v>
      </c>
      <c r="CQ13" s="131" t="s">
        <v>3705</v>
      </c>
      <c r="CR13" s="131" t="s">
        <v>3706</v>
      </c>
      <c r="CS13" s="116" t="str">
        <f t="shared" si="9"/>
        <v>blackship</v>
      </c>
      <c r="CT13" s="242"/>
      <c r="CU13" s="242"/>
      <c r="CV13" s="116" t="str">
        <f t="shared" si="10"/>
        <v>Raffaella</v>
      </c>
      <c r="CW13" s="207"/>
      <c r="CX13" s="729"/>
      <c r="CY13" s="729"/>
      <c r="CZ13" s="729"/>
      <c r="DA13" s="729"/>
      <c r="DB13" s="729"/>
      <c r="DC13" s="729"/>
    </row>
    <row r="14" spans="1:124" ht="30" customHeight="1">
      <c r="A14" s="228"/>
      <c r="B14" s="155">
        <v>101387</v>
      </c>
      <c r="C14" s="155">
        <f t="shared" si="11"/>
        <v>13</v>
      </c>
      <c r="D14" s="757"/>
      <c r="E14" s="757"/>
      <c r="F14" s="757"/>
      <c r="G14" s="283" t="s">
        <v>321</v>
      </c>
      <c r="H14" s="283" t="s">
        <v>3707</v>
      </c>
      <c r="I14" s="207" t="s">
        <v>3708</v>
      </c>
      <c r="J14" s="207" t="str">
        <f t="shared" si="0"/>
        <v>Davide Andreossi</v>
      </c>
      <c r="K14" s="224">
        <v>3471632355</v>
      </c>
      <c r="L14" s="131"/>
      <c r="M14" s="131"/>
      <c r="N14" s="131" t="str">
        <f t="shared" si="1"/>
        <v>Abatech Solutions</v>
      </c>
      <c r="O14" s="284"/>
      <c r="P14" s="37"/>
      <c r="Q14" s="37"/>
      <c r="R14" s="131" t="s">
        <v>3709</v>
      </c>
      <c r="S14" s="160"/>
      <c r="T14" s="84"/>
      <c r="U14" s="84"/>
      <c r="V14" s="84"/>
      <c r="W14" s="267"/>
      <c r="X14" s="234"/>
      <c r="Y14" s="267"/>
      <c r="Z14" s="267"/>
      <c r="AA14" s="267"/>
      <c r="AB14" s="37"/>
      <c r="AC14" s="37"/>
      <c r="AD14" s="37" t="s">
        <v>3710</v>
      </c>
      <c r="AE14" s="181"/>
      <c r="AF14" s="198"/>
      <c r="AG14" s="121"/>
      <c r="AH14" s="121"/>
      <c r="AI14" s="121"/>
      <c r="AJ14" s="198"/>
      <c r="AK14" s="121"/>
      <c r="AL14" s="121"/>
      <c r="AM14" s="121"/>
      <c r="AN14" s="198"/>
      <c r="AO14" s="155"/>
      <c r="AP14" s="155"/>
      <c r="AQ14" s="155"/>
      <c r="AR14" s="198"/>
      <c r="AS14" s="121"/>
      <c r="AT14" s="121"/>
      <c r="AU14" s="121"/>
      <c r="AV14" s="198"/>
      <c r="AW14" s="121" t="s">
        <v>151</v>
      </c>
      <c r="AX14" s="121" t="s">
        <v>151</v>
      </c>
      <c r="AY14" s="121" t="s">
        <v>151</v>
      </c>
      <c r="AZ14" s="808">
        <f t="shared" si="2"/>
        <v>3497.0000000000005</v>
      </c>
      <c r="BA14" s="761">
        <f t="shared" si="3"/>
        <v>163.9344262295082</v>
      </c>
      <c r="BB14" s="761">
        <f t="shared" si="4"/>
        <v>3333.0655737704924</v>
      </c>
      <c r="BC14" s="110">
        <v>0</v>
      </c>
      <c r="BD14" s="1230">
        <v>0</v>
      </c>
      <c r="BE14" s="1231">
        <v>3497</v>
      </c>
      <c r="BF14" s="285" t="s">
        <v>414</v>
      </c>
      <c r="BG14" s="98">
        <v>0.15</v>
      </c>
      <c r="BH14" s="110">
        <v>0</v>
      </c>
      <c r="BI14" s="242"/>
      <c r="BJ14" s="1231">
        <f t="shared" si="23"/>
        <v>524.54999999999995</v>
      </c>
      <c r="BK14" s="243"/>
      <c r="BL14" s="243" t="s">
        <v>414</v>
      </c>
      <c r="BM14" s="98">
        <v>0.05</v>
      </c>
      <c r="BN14" s="110">
        <v>0</v>
      </c>
      <c r="BO14" s="242">
        <f t="shared" ref="BO14:BO16" si="28">BD14*BM14</f>
        <v>0</v>
      </c>
      <c r="BP14" s="1231">
        <f t="shared" ref="BP14:BP16" si="29">BE14*BM14</f>
        <v>174.85000000000002</v>
      </c>
      <c r="BQ14" s="1242"/>
      <c r="BR14" s="262">
        <f t="shared" ref="BR14:BR15" si="30">200/1.22</f>
        <v>163.9344262295082</v>
      </c>
      <c r="BS14" s="226">
        <v>44645</v>
      </c>
      <c r="BT14" s="262">
        <f t="shared" ref="BT14:BT15" si="31">200/1.22</f>
        <v>163.9344262295082</v>
      </c>
      <c r="BU14" s="206"/>
      <c r="BV14" s="110">
        <f>1720/1.22</f>
        <v>1409.8360655737706</v>
      </c>
      <c r="BW14" s="226">
        <v>44847</v>
      </c>
      <c r="BX14" s="206"/>
      <c r="BY14" s="206"/>
      <c r="BZ14" s="110">
        <f>2346.34/1.22</f>
        <v>1923.2295081967216</v>
      </c>
      <c r="CA14" s="287">
        <v>44875</v>
      </c>
      <c r="CB14" s="206"/>
      <c r="CC14" s="206"/>
      <c r="CD14" s="206"/>
      <c r="CE14" s="206"/>
      <c r="CF14" s="206"/>
      <c r="CG14" s="206"/>
      <c r="CH14" s="206"/>
      <c r="CI14" s="206"/>
      <c r="CJ14" s="206"/>
      <c r="CK14" s="245" t="s">
        <v>2612</v>
      </c>
      <c r="CL14" s="181"/>
      <c r="CM14" s="246"/>
      <c r="CN14" s="247" t="s">
        <v>998</v>
      </c>
      <c r="CO14" s="282" t="s">
        <v>122</v>
      </c>
      <c r="CP14" s="155"/>
      <c r="CQ14" s="131"/>
      <c r="CR14" s="131" t="s">
        <v>3711</v>
      </c>
      <c r="CS14" s="116" t="str">
        <f t="shared" si="9"/>
        <v>Barbara</v>
      </c>
      <c r="CT14" s="820" t="b">
        <f t="shared" ref="CT14:CT16" si="32">IF(OR(D14&gt;0,E14&gt;0,F14&gt;0),IF(BB14=0,BD14*BG14,0))</f>
        <v>0</v>
      </c>
      <c r="CU14" s="820" t="b">
        <f t="shared" ref="CU14:CU16" si="33">IF(OR(D14&gt;0,E14&gt;0,F14&gt;0),IF(BB14=0,BD14*BM14,0))</f>
        <v>0</v>
      </c>
      <c r="CV14" s="116" t="str">
        <f t="shared" si="10"/>
        <v>Barbara</v>
      </c>
      <c r="CW14" s="207"/>
      <c r="CX14" s="729"/>
      <c r="CY14" s="729"/>
      <c r="CZ14" s="729"/>
      <c r="DA14" s="729"/>
      <c r="DB14" s="729"/>
      <c r="DC14" s="729"/>
    </row>
    <row r="15" spans="1:124" ht="30" customHeight="1">
      <c r="A15" s="228"/>
      <c r="B15" s="155">
        <v>100851</v>
      </c>
      <c r="C15" s="155">
        <f t="shared" si="11"/>
        <v>14</v>
      </c>
      <c r="D15" s="244">
        <v>1</v>
      </c>
      <c r="E15" s="244">
        <v>1</v>
      </c>
      <c r="F15" s="244">
        <v>1</v>
      </c>
      <c r="G15" s="283" t="s">
        <v>2371</v>
      </c>
      <c r="H15" s="283" t="s">
        <v>2372</v>
      </c>
      <c r="I15" s="1234" t="s">
        <v>3712</v>
      </c>
      <c r="J15" s="207" t="str">
        <f t="shared" si="0"/>
        <v>Denis Porcinai</v>
      </c>
      <c r="K15" s="224">
        <v>3357479352</v>
      </c>
      <c r="L15" s="204" t="s">
        <v>3713</v>
      </c>
      <c r="M15" s="131" t="s">
        <v>3714</v>
      </c>
      <c r="N15" s="131" t="str">
        <f t="shared" si="1"/>
        <v>CGM Compagnia Generale Macchine</v>
      </c>
      <c r="O15" s="284"/>
      <c r="P15" s="37"/>
      <c r="Q15" s="37"/>
      <c r="R15" s="131" t="s">
        <v>3715</v>
      </c>
      <c r="S15" s="160"/>
      <c r="T15" s="160"/>
      <c r="U15" s="160"/>
      <c r="V15" s="160"/>
      <c r="W15" s="233"/>
      <c r="X15" s="234"/>
      <c r="Y15" s="233"/>
      <c r="Z15" s="233"/>
      <c r="AA15" s="233"/>
      <c r="AB15" s="37"/>
      <c r="AC15" s="37"/>
      <c r="AD15" s="121" t="s">
        <v>3716</v>
      </c>
      <c r="AE15" s="181"/>
      <c r="AF15" s="198"/>
      <c r="AG15" s="121"/>
      <c r="AH15" s="121"/>
      <c r="AI15" s="121"/>
      <c r="AJ15" s="198"/>
      <c r="AK15" s="121"/>
      <c r="AL15" s="121"/>
      <c r="AM15" s="121"/>
      <c r="AN15" s="198"/>
      <c r="AO15" s="155"/>
      <c r="AP15" s="155"/>
      <c r="AQ15" s="155"/>
      <c r="AR15" s="198"/>
      <c r="AS15" s="313" t="s">
        <v>115</v>
      </c>
      <c r="AT15" s="313" t="s">
        <v>115</v>
      </c>
      <c r="AU15" s="313" t="s">
        <v>115</v>
      </c>
      <c r="AV15" s="198"/>
      <c r="AW15" s="304"/>
      <c r="AX15" s="304"/>
      <c r="AY15" s="570"/>
      <c r="AZ15" s="808">
        <f t="shared" si="2"/>
        <v>2997.0044262295082</v>
      </c>
      <c r="BA15" s="761">
        <f t="shared" si="3"/>
        <v>2997.0044262295082</v>
      </c>
      <c r="BB15" s="761">
        <f t="shared" si="4"/>
        <v>0</v>
      </c>
      <c r="BC15" s="110"/>
      <c r="BD15" s="986">
        <v>2997</v>
      </c>
      <c r="BE15" s="1243"/>
      <c r="BF15" s="285" t="s">
        <v>160</v>
      </c>
      <c r="BG15" s="98">
        <v>0.15</v>
      </c>
      <c r="BH15" s="110"/>
      <c r="BI15" s="242">
        <f>BD15*BG15</f>
        <v>449.55</v>
      </c>
      <c r="BJ15" s="1231">
        <f t="shared" si="23"/>
        <v>0</v>
      </c>
      <c r="BK15" s="243" t="s">
        <v>1076</v>
      </c>
      <c r="BL15" s="243" t="s">
        <v>160</v>
      </c>
      <c r="BM15" s="98">
        <v>0.05</v>
      </c>
      <c r="BN15" s="110"/>
      <c r="BO15" s="242">
        <f t="shared" si="28"/>
        <v>149.85</v>
      </c>
      <c r="BP15" s="1231">
        <f t="shared" si="29"/>
        <v>0</v>
      </c>
      <c r="BQ15" s="387" t="s">
        <v>1076</v>
      </c>
      <c r="BR15" s="110">
        <f t="shared" si="30"/>
        <v>163.9344262295082</v>
      </c>
      <c r="BS15" s="286">
        <v>44687</v>
      </c>
      <c r="BT15" s="110">
        <f t="shared" si="31"/>
        <v>163.9344262295082</v>
      </c>
      <c r="BU15" s="206"/>
      <c r="BV15" s="110">
        <v>2833.07</v>
      </c>
      <c r="BW15" s="226">
        <v>44846</v>
      </c>
      <c r="BX15" s="110">
        <v>2833.07</v>
      </c>
      <c r="BY15" s="206"/>
      <c r="BZ15" s="110"/>
      <c r="CA15" s="263"/>
      <c r="CB15" s="206"/>
      <c r="CC15" s="206"/>
      <c r="CD15" s="206"/>
      <c r="CE15" s="206"/>
      <c r="CF15" s="206"/>
      <c r="CG15" s="206"/>
      <c r="CH15" s="206"/>
      <c r="CI15" s="206"/>
      <c r="CJ15" s="206"/>
      <c r="CK15" s="245"/>
      <c r="CL15" s="181"/>
      <c r="CM15" s="246"/>
      <c r="CN15" s="247" t="s">
        <v>2667</v>
      </c>
      <c r="CO15" s="282" t="s">
        <v>122</v>
      </c>
      <c r="CP15" s="155"/>
      <c r="CQ15" s="131" t="s">
        <v>3717</v>
      </c>
      <c r="CR15" s="131" t="s">
        <v>3718</v>
      </c>
      <c r="CS15" s="116" t="str">
        <f t="shared" si="9"/>
        <v>Gianluca</v>
      </c>
      <c r="CT15" s="820">
        <f t="shared" si="32"/>
        <v>449.55</v>
      </c>
      <c r="CU15" s="820">
        <f t="shared" si="33"/>
        <v>149.85</v>
      </c>
      <c r="CV15" s="116" t="str">
        <f t="shared" si="10"/>
        <v>Gianluca</v>
      </c>
      <c r="CW15" s="207"/>
      <c r="CX15" s="729"/>
      <c r="CY15" s="729"/>
      <c r="CZ15" s="729"/>
      <c r="DA15" s="729"/>
      <c r="DB15" s="729"/>
      <c r="DC15" s="729"/>
    </row>
    <row r="16" spans="1:124" ht="30" customHeight="1">
      <c r="A16" s="228"/>
      <c r="B16" s="155">
        <v>101419</v>
      </c>
      <c r="C16" s="155">
        <f t="shared" si="11"/>
        <v>15</v>
      </c>
      <c r="D16" s="757"/>
      <c r="E16" s="757"/>
      <c r="F16" s="757"/>
      <c r="G16" s="283" t="s">
        <v>343</v>
      </c>
      <c r="H16" s="283" t="s">
        <v>3719</v>
      </c>
      <c r="I16" s="207" t="s">
        <v>3720</v>
      </c>
      <c r="J16" s="207" t="str">
        <f t="shared" si="0"/>
        <v>Domenico Vitale</v>
      </c>
      <c r="K16" s="224">
        <v>3459933499</v>
      </c>
      <c r="L16" s="131"/>
      <c r="M16" s="131" t="s">
        <v>986</v>
      </c>
      <c r="N16" s="131" t="str">
        <f t="shared" si="1"/>
        <v>Eureweb</v>
      </c>
      <c r="O16" s="284"/>
      <c r="P16" s="37"/>
      <c r="Q16" s="37"/>
      <c r="R16" s="289" t="s">
        <v>988</v>
      </c>
      <c r="S16" s="160"/>
      <c r="T16" s="84"/>
      <c r="U16" s="84"/>
      <c r="V16" s="84"/>
      <c r="W16" s="267"/>
      <c r="X16" s="268"/>
      <c r="Y16" s="267"/>
      <c r="Z16" s="267"/>
      <c r="AA16" s="267"/>
      <c r="AB16" s="37"/>
      <c r="AC16" s="37"/>
      <c r="AD16" s="37" t="s">
        <v>989</v>
      </c>
      <c r="AE16" s="181" t="s">
        <v>525</v>
      </c>
      <c r="AF16" s="198"/>
      <c r="AG16" s="121"/>
      <c r="AH16" s="121"/>
      <c r="AI16" s="121"/>
      <c r="AJ16" s="198"/>
      <c r="AK16" s="121"/>
      <c r="AL16" s="121"/>
      <c r="AM16" s="121"/>
      <c r="AN16" s="198"/>
      <c r="AO16" s="155"/>
      <c r="AP16" s="155"/>
      <c r="AQ16" s="155"/>
      <c r="AR16" s="198"/>
      <c r="AS16" s="121"/>
      <c r="AT16" s="121"/>
      <c r="AU16" s="121"/>
      <c r="AV16" s="198"/>
      <c r="AW16" s="121" t="s">
        <v>27</v>
      </c>
      <c r="AX16" s="121" t="s">
        <v>27</v>
      </c>
      <c r="AY16" s="121" t="s">
        <v>27</v>
      </c>
      <c r="AZ16" s="808">
        <f t="shared" si="2"/>
        <v>2997</v>
      </c>
      <c r="BA16" s="761">
        <f t="shared" si="3"/>
        <v>2997</v>
      </c>
      <c r="BB16" s="761">
        <f t="shared" si="4"/>
        <v>0</v>
      </c>
      <c r="BC16" s="110"/>
      <c r="BD16" s="1230">
        <v>0</v>
      </c>
      <c r="BE16" s="1231">
        <v>2997</v>
      </c>
      <c r="BF16" s="285" t="s">
        <v>525</v>
      </c>
      <c r="BG16" s="98">
        <v>0.15</v>
      </c>
      <c r="BH16" s="110">
        <v>0</v>
      </c>
      <c r="BI16" s="242">
        <f>BD16*15/100</f>
        <v>0</v>
      </c>
      <c r="BJ16" s="1231">
        <f t="shared" si="23"/>
        <v>449.55</v>
      </c>
      <c r="BK16" s="243"/>
      <c r="BL16" s="243" t="s">
        <v>525</v>
      </c>
      <c r="BM16" s="98">
        <v>0.05</v>
      </c>
      <c r="BN16" s="110"/>
      <c r="BO16" s="242">
        <f t="shared" si="28"/>
        <v>0</v>
      </c>
      <c r="BP16" s="1231">
        <f t="shared" si="29"/>
        <v>149.85</v>
      </c>
      <c r="BQ16" s="1242"/>
      <c r="BR16" s="262">
        <v>2997</v>
      </c>
      <c r="BS16" s="226">
        <v>44678</v>
      </c>
      <c r="BT16" s="110">
        <v>2997</v>
      </c>
      <c r="BU16" s="206"/>
      <c r="BV16" s="110"/>
      <c r="BW16" s="226"/>
      <c r="BX16" s="206"/>
      <c r="BY16" s="206"/>
      <c r="BZ16" s="110"/>
      <c r="CA16" s="263"/>
      <c r="CB16" s="206"/>
      <c r="CC16" s="206"/>
      <c r="CD16" s="206"/>
      <c r="CE16" s="206"/>
      <c r="CF16" s="206"/>
      <c r="CG16" s="206"/>
      <c r="CH16" s="206"/>
      <c r="CI16" s="206"/>
      <c r="CJ16" s="206"/>
      <c r="CK16" s="245" t="s">
        <v>2612</v>
      </c>
      <c r="CL16" s="181"/>
      <c r="CM16" s="246"/>
      <c r="CN16" s="247" t="s">
        <v>990</v>
      </c>
      <c r="CO16" s="282" t="s">
        <v>122</v>
      </c>
      <c r="CP16" s="155"/>
      <c r="CQ16" s="131" t="s">
        <v>808</v>
      </c>
      <c r="CR16" s="131" t="s">
        <v>987</v>
      </c>
      <c r="CS16" s="116" t="str">
        <f t="shared" si="9"/>
        <v>Bruno</v>
      </c>
      <c r="CT16" s="820" t="b">
        <f t="shared" si="32"/>
        <v>0</v>
      </c>
      <c r="CU16" s="820" t="b">
        <f t="shared" si="33"/>
        <v>0</v>
      </c>
      <c r="CV16" s="116" t="str">
        <f t="shared" si="10"/>
        <v>Bruno</v>
      </c>
      <c r="CW16" s="207"/>
      <c r="CX16" s="729"/>
      <c r="CY16" s="729"/>
      <c r="CZ16" s="729"/>
      <c r="DA16" s="729"/>
      <c r="DB16" s="729"/>
      <c r="DC16" s="729"/>
    </row>
    <row r="17" spans="1:107" ht="30" customHeight="1">
      <c r="A17" s="228"/>
      <c r="B17" s="155">
        <v>101310</v>
      </c>
      <c r="C17" s="155">
        <f t="shared" si="11"/>
        <v>16</v>
      </c>
      <c r="D17" s="757"/>
      <c r="E17" s="757">
        <v>1</v>
      </c>
      <c r="F17" s="757">
        <v>1</v>
      </c>
      <c r="G17" s="283" t="s">
        <v>2454</v>
      </c>
      <c r="H17" s="283" t="s">
        <v>2455</v>
      </c>
      <c r="I17" s="1234" t="s">
        <v>2456</v>
      </c>
      <c r="J17" s="207" t="str">
        <f t="shared" si="0"/>
        <v>Eliana Cattaneo</v>
      </c>
      <c r="K17" s="224">
        <v>3496204814</v>
      </c>
      <c r="L17" s="131"/>
      <c r="M17" s="131" t="s">
        <v>3721</v>
      </c>
      <c r="N17" s="131" t="str">
        <f t="shared" si="1"/>
        <v xml:space="preserve">Briefing </v>
      </c>
      <c r="O17" s="284"/>
      <c r="P17" s="37"/>
      <c r="Q17" s="37"/>
      <c r="R17" s="131" t="s">
        <v>3722</v>
      </c>
      <c r="S17" s="160"/>
      <c r="T17" s="84"/>
      <c r="U17" s="84"/>
      <c r="V17" s="84"/>
      <c r="W17" s="267"/>
      <c r="X17" s="268"/>
      <c r="Y17" s="267"/>
      <c r="Z17" s="267"/>
      <c r="AA17" s="267"/>
      <c r="AB17" s="37"/>
      <c r="AC17" s="37"/>
      <c r="AD17" s="37" t="s">
        <v>3723</v>
      </c>
      <c r="AE17" s="181"/>
      <c r="AF17" s="198"/>
      <c r="AG17" s="121"/>
      <c r="AH17" s="121"/>
      <c r="AI17" s="121"/>
      <c r="AJ17" s="198"/>
      <c r="AK17" s="121"/>
      <c r="AL17" s="121"/>
      <c r="AM17" s="121"/>
      <c r="AN17" s="198"/>
      <c r="AO17" s="155" t="s">
        <v>115</v>
      </c>
      <c r="AP17" s="155"/>
      <c r="AQ17" s="155"/>
      <c r="AR17" s="198"/>
      <c r="AS17" s="121"/>
      <c r="AT17" s="1223" t="s">
        <v>115</v>
      </c>
      <c r="AU17" s="19" t="s">
        <v>115</v>
      </c>
      <c r="AV17" s="198"/>
      <c r="AW17" s="121"/>
      <c r="AX17" s="121"/>
      <c r="AY17" s="121"/>
      <c r="AZ17" s="808">
        <f t="shared" si="2"/>
        <v>2997</v>
      </c>
      <c r="BA17" s="761">
        <f t="shared" si="3"/>
        <v>2997</v>
      </c>
      <c r="BB17" s="761">
        <f t="shared" si="4"/>
        <v>0</v>
      </c>
      <c r="BC17" s="110">
        <f t="shared" ref="BC17:BC22" si="34">BA17</f>
        <v>2997</v>
      </c>
      <c r="BD17" s="1230">
        <f t="shared" ref="BD17:BD18" si="35">AZ17-BC17</f>
        <v>0</v>
      </c>
      <c r="BE17" s="1231"/>
      <c r="BF17" s="285" t="s">
        <v>117</v>
      </c>
      <c r="BG17" s="98">
        <v>0</v>
      </c>
      <c r="BH17" s="110">
        <f t="shared" ref="BH17:BH18" si="36">AZ17*BG17</f>
        <v>0</v>
      </c>
      <c r="BI17" s="242"/>
      <c r="BJ17" s="1231">
        <f t="shared" si="23"/>
        <v>0</v>
      </c>
      <c r="BK17" s="244" t="s">
        <v>118</v>
      </c>
      <c r="BL17" s="243" t="s">
        <v>152</v>
      </c>
      <c r="BM17" s="98">
        <v>0.05</v>
      </c>
      <c r="BN17" s="110">
        <f t="shared" ref="BN17:BN18" si="37">AZ17*BM17</f>
        <v>149.85</v>
      </c>
      <c r="BO17" s="242"/>
      <c r="BP17" s="1231"/>
      <c r="BQ17" s="243" t="s">
        <v>968</v>
      </c>
      <c r="BR17" s="262">
        <v>2997</v>
      </c>
      <c r="BS17" s="286">
        <v>44645</v>
      </c>
      <c r="BT17" s="110">
        <v>2997</v>
      </c>
      <c r="BU17" s="206"/>
      <c r="BV17" s="206"/>
      <c r="BW17" s="206"/>
      <c r="BX17" s="206"/>
      <c r="BY17" s="206"/>
      <c r="BZ17" s="206"/>
      <c r="CA17" s="206"/>
      <c r="CB17" s="206"/>
      <c r="CC17" s="206"/>
      <c r="CD17" s="206"/>
      <c r="CE17" s="206"/>
      <c r="CF17" s="206"/>
      <c r="CG17" s="206"/>
      <c r="CH17" s="206"/>
      <c r="CI17" s="206"/>
      <c r="CJ17" s="206"/>
      <c r="CK17" s="245" t="s">
        <v>2612</v>
      </c>
      <c r="CL17" s="181"/>
      <c r="CM17" s="246"/>
      <c r="CN17" s="247" t="s">
        <v>3724</v>
      </c>
      <c r="CO17" s="282" t="s">
        <v>122</v>
      </c>
      <c r="CP17" s="155"/>
      <c r="CQ17" s="131" t="s">
        <v>3725</v>
      </c>
      <c r="CR17" s="131" t="s">
        <v>3726</v>
      </c>
      <c r="CS17" s="116" t="str">
        <f t="shared" si="9"/>
        <v>blackship</v>
      </c>
      <c r="CT17" s="242"/>
      <c r="CU17" s="242"/>
      <c r="CV17" s="116" t="str">
        <f t="shared" si="10"/>
        <v>Client Angel</v>
      </c>
      <c r="CW17" s="207"/>
      <c r="CX17" s="729"/>
      <c r="CY17" s="729"/>
      <c r="CZ17" s="729"/>
      <c r="DA17" s="729"/>
      <c r="DB17" s="729"/>
      <c r="DC17" s="729"/>
    </row>
    <row r="18" spans="1:107" ht="30" customHeight="1">
      <c r="A18" s="228"/>
      <c r="B18" s="155">
        <v>101412</v>
      </c>
      <c r="C18" s="155">
        <f t="shared" si="11"/>
        <v>17</v>
      </c>
      <c r="D18" s="757"/>
      <c r="E18" s="757"/>
      <c r="F18" s="757"/>
      <c r="G18" s="283" t="s">
        <v>992</v>
      </c>
      <c r="H18" s="283" t="s">
        <v>993</v>
      </c>
      <c r="I18" s="207" t="s">
        <v>994</v>
      </c>
      <c r="J18" s="207" t="str">
        <f t="shared" si="0"/>
        <v>Emilio Pulli</v>
      </c>
      <c r="K18" s="224">
        <v>3335645529</v>
      </c>
      <c r="L18" s="131"/>
      <c r="M18" s="131"/>
      <c r="N18" s="131" t="str">
        <f t="shared" si="1"/>
        <v xml:space="preserve">KODAN </v>
      </c>
      <c r="O18" s="284"/>
      <c r="P18" s="37"/>
      <c r="Q18" s="37"/>
      <c r="R18" s="254" t="s">
        <v>996</v>
      </c>
      <c r="S18" s="160"/>
      <c r="T18" s="84"/>
      <c r="U18" s="84"/>
      <c r="V18" s="84"/>
      <c r="W18" s="267"/>
      <c r="X18" s="234"/>
      <c r="Y18" s="267"/>
      <c r="Z18" s="267"/>
      <c r="AA18" s="267"/>
      <c r="AB18" s="37"/>
      <c r="AC18" s="37"/>
      <c r="AD18" s="37" t="s">
        <v>997</v>
      </c>
      <c r="AE18" s="181"/>
      <c r="AF18" s="198"/>
      <c r="AG18" s="121"/>
      <c r="AH18" s="121"/>
      <c r="AI18" s="121"/>
      <c r="AJ18" s="198"/>
      <c r="AK18" s="121"/>
      <c r="AL18" s="121"/>
      <c r="AM18" s="121"/>
      <c r="AN18" s="198"/>
      <c r="AO18" s="155" t="s">
        <v>115</v>
      </c>
      <c r="AP18" s="155"/>
      <c r="AQ18" s="155" t="s">
        <v>115</v>
      </c>
      <c r="AR18" s="198"/>
      <c r="AS18" s="121"/>
      <c r="AT18" s="154" t="s">
        <v>194</v>
      </c>
      <c r="AU18" s="121"/>
      <c r="AV18" s="198"/>
      <c r="AW18" s="121"/>
      <c r="AX18" s="121" t="s">
        <v>27</v>
      </c>
      <c r="AY18" s="121"/>
      <c r="AZ18" s="808">
        <f t="shared" si="2"/>
        <v>2997</v>
      </c>
      <c r="BA18" s="761">
        <f t="shared" si="3"/>
        <v>2997</v>
      </c>
      <c r="BB18" s="761">
        <f t="shared" si="4"/>
        <v>0</v>
      </c>
      <c r="BC18" s="110">
        <f t="shared" si="34"/>
        <v>2997</v>
      </c>
      <c r="BD18" s="1230">
        <f t="shared" si="35"/>
        <v>0</v>
      </c>
      <c r="BE18" s="1231"/>
      <c r="BF18" s="285" t="s">
        <v>184</v>
      </c>
      <c r="BG18" s="98">
        <v>0.15</v>
      </c>
      <c r="BH18" s="110">
        <f t="shared" si="36"/>
        <v>449.55</v>
      </c>
      <c r="BI18" s="242"/>
      <c r="BJ18" s="1231"/>
      <c r="BK18" s="243" t="s">
        <v>968</v>
      </c>
      <c r="BL18" s="243" t="s">
        <v>184</v>
      </c>
      <c r="BM18" s="98">
        <v>0.05</v>
      </c>
      <c r="BN18" s="110">
        <f t="shared" si="37"/>
        <v>149.85</v>
      </c>
      <c r="BO18" s="242"/>
      <c r="BP18" s="1231"/>
      <c r="BQ18" s="243" t="s">
        <v>968</v>
      </c>
      <c r="BR18" s="110">
        <v>2997</v>
      </c>
      <c r="BS18" s="286">
        <v>44670</v>
      </c>
      <c r="BT18" s="110">
        <v>2997</v>
      </c>
      <c r="BU18" s="206"/>
      <c r="BV18" s="206"/>
      <c r="BW18" s="206"/>
      <c r="BX18" s="206"/>
      <c r="BY18" s="206"/>
      <c r="BZ18" s="206"/>
      <c r="CA18" s="206"/>
      <c r="CB18" s="206"/>
      <c r="CC18" s="206"/>
      <c r="CD18" s="206"/>
      <c r="CE18" s="206"/>
      <c r="CF18" s="206"/>
      <c r="CG18" s="206"/>
      <c r="CH18" s="206"/>
      <c r="CI18" s="206"/>
      <c r="CJ18" s="206"/>
      <c r="CK18" s="245" t="s">
        <v>2612</v>
      </c>
      <c r="CL18" s="181"/>
      <c r="CM18" s="246"/>
      <c r="CN18" s="247" t="s">
        <v>998</v>
      </c>
      <c r="CO18" s="282" t="s">
        <v>122</v>
      </c>
      <c r="CP18" s="155"/>
      <c r="CQ18" s="131"/>
      <c r="CR18" s="1244" t="s">
        <v>995</v>
      </c>
      <c r="CS18" s="116" t="str">
        <f t="shared" si="9"/>
        <v>Cristian A</v>
      </c>
      <c r="CT18" s="242"/>
      <c r="CU18" s="242"/>
      <c r="CV18" s="116" t="str">
        <f t="shared" si="10"/>
        <v>Cristian A</v>
      </c>
      <c r="CW18" s="207"/>
      <c r="CX18" s="729"/>
      <c r="CY18" s="729"/>
      <c r="CZ18" s="729"/>
      <c r="DA18" s="729"/>
      <c r="DB18" s="729"/>
      <c r="DC18" s="729"/>
    </row>
    <row r="19" spans="1:107" ht="30" customHeight="1">
      <c r="A19" s="228"/>
      <c r="B19" s="155"/>
      <c r="C19" s="155">
        <f t="shared" si="11"/>
        <v>18</v>
      </c>
      <c r="D19" s="244"/>
      <c r="E19" s="244"/>
      <c r="F19" s="244"/>
      <c r="G19" s="283" t="s">
        <v>954</v>
      </c>
      <c r="H19" s="283" t="s">
        <v>1016</v>
      </c>
      <c r="I19" s="207" t="s">
        <v>1017</v>
      </c>
      <c r="J19" s="207" t="str">
        <f t="shared" si="0"/>
        <v>Flavio Ubaldi</v>
      </c>
      <c r="K19" s="224">
        <v>3407654929</v>
      </c>
      <c r="L19" s="131"/>
      <c r="M19" s="131"/>
      <c r="N19" s="131" t="str">
        <f t="shared" si="1"/>
        <v>GO Internet</v>
      </c>
      <c r="O19" s="1238"/>
      <c r="P19" s="37"/>
      <c r="Q19" s="37"/>
      <c r="R19" s="296" t="s">
        <v>1020</v>
      </c>
      <c r="S19" s="160"/>
      <c r="T19" s="84"/>
      <c r="U19" s="84"/>
      <c r="V19" s="84"/>
      <c r="W19" s="267"/>
      <c r="X19" s="234"/>
      <c r="Y19" s="267"/>
      <c r="Z19" s="267"/>
      <c r="AA19" s="267"/>
      <c r="AB19" s="37"/>
      <c r="AC19" s="37"/>
      <c r="AD19" s="37"/>
      <c r="AE19" s="1245" t="s">
        <v>3727</v>
      </c>
      <c r="AF19" s="198"/>
      <c r="AG19" s="977"/>
      <c r="AH19" s="121"/>
      <c r="AI19" s="121"/>
      <c r="AJ19" s="198"/>
      <c r="AK19" s="121"/>
      <c r="AL19" s="121"/>
      <c r="AM19" s="121"/>
      <c r="AN19" s="198"/>
      <c r="AO19" s="124"/>
      <c r="AP19" s="124"/>
      <c r="AQ19" s="124"/>
      <c r="AR19" s="198"/>
      <c r="AS19" s="121"/>
      <c r="AT19" s="121"/>
      <c r="AU19" s="121"/>
      <c r="AV19" s="198"/>
      <c r="AW19" s="121" t="s">
        <v>151</v>
      </c>
      <c r="AX19" s="121" t="s">
        <v>151</v>
      </c>
      <c r="AY19" s="121" t="s">
        <v>151</v>
      </c>
      <c r="AZ19" s="808">
        <f t="shared" si="2"/>
        <v>2997</v>
      </c>
      <c r="BA19" s="761">
        <f t="shared" si="3"/>
        <v>0</v>
      </c>
      <c r="BB19" s="761">
        <f t="shared" si="4"/>
        <v>2997</v>
      </c>
      <c r="BC19" s="110">
        <f t="shared" si="34"/>
        <v>0</v>
      </c>
      <c r="BD19" s="809">
        <v>0</v>
      </c>
      <c r="BE19" s="1243">
        <v>2997</v>
      </c>
      <c r="BF19" s="285" t="s">
        <v>1021</v>
      </c>
      <c r="BG19" s="98">
        <v>0.15</v>
      </c>
      <c r="BH19" s="110"/>
      <c r="BI19" s="242">
        <f t="shared" ref="BI19:BI22" si="38">BD19*BG19</f>
        <v>0</v>
      </c>
      <c r="BJ19" s="1231">
        <f t="shared" ref="BJ19:BJ22" si="39">BE19*BG19</f>
        <v>449.55</v>
      </c>
      <c r="BK19" s="772"/>
      <c r="BL19" s="243" t="s">
        <v>184</v>
      </c>
      <c r="BM19" s="98">
        <v>0.05</v>
      </c>
      <c r="BN19" s="110"/>
      <c r="BO19" s="242">
        <f t="shared" ref="BO19:BO22" si="40">BD19*BM19</f>
        <v>0</v>
      </c>
      <c r="BP19" s="1231">
        <f t="shared" ref="BP19:BP22" si="41">BE19*BM19</f>
        <v>149.85</v>
      </c>
      <c r="BQ19" s="243"/>
      <c r="BR19" s="110">
        <v>2997</v>
      </c>
      <c r="BS19" s="206"/>
      <c r="BT19" s="301"/>
      <c r="BU19" s="206"/>
      <c r="BV19" s="206"/>
      <c r="BW19" s="206"/>
      <c r="BX19" s="206"/>
      <c r="BY19" s="206"/>
      <c r="BZ19" s="206"/>
      <c r="CA19" s="302"/>
      <c r="CB19" s="206"/>
      <c r="CC19" s="206"/>
      <c r="CD19" s="206"/>
      <c r="CE19" s="206"/>
      <c r="CF19" s="206"/>
      <c r="CG19" s="206"/>
      <c r="CH19" s="206"/>
      <c r="CI19" s="206"/>
      <c r="CJ19" s="206"/>
      <c r="CK19" s="245" t="s">
        <v>2612</v>
      </c>
      <c r="CL19" s="181"/>
      <c r="CM19" s="246"/>
      <c r="CN19" s="247" t="s">
        <v>616</v>
      </c>
      <c r="CO19" s="207"/>
      <c r="CP19" s="155"/>
      <c r="CQ19" s="131"/>
      <c r="CR19" s="131" t="s">
        <v>1019</v>
      </c>
      <c r="CS19" s="116" t="str">
        <f t="shared" si="9"/>
        <v>Pacci 10% Cristian A 5%</v>
      </c>
      <c r="CT19" s="820" t="b">
        <f t="shared" ref="CT19:CT22" si="42">IF(OR(D19&gt;0,E19&gt;0,F19&gt;0),IF(BB19=0,BD19*BG19,0))</f>
        <v>0</v>
      </c>
      <c r="CU19" s="820" t="b">
        <f t="shared" ref="CU19:CU22" si="43">IF(OR(D19&gt;0,E19&gt;0,F19&gt;0),IF(BB19=0,BD19*BM19,0))</f>
        <v>0</v>
      </c>
      <c r="CV19" s="116" t="str">
        <f t="shared" si="10"/>
        <v>Cristian A</v>
      </c>
      <c r="CW19" s="207"/>
      <c r="CX19" s="729"/>
      <c r="CY19" s="729"/>
      <c r="CZ19" s="729"/>
      <c r="DA19" s="729"/>
      <c r="DB19" s="729"/>
      <c r="DC19" s="729"/>
    </row>
    <row r="20" spans="1:107" ht="30" customHeight="1">
      <c r="A20" s="228"/>
      <c r="B20" s="155"/>
      <c r="C20" s="155">
        <f t="shared" si="11"/>
        <v>19</v>
      </c>
      <c r="D20" s="244"/>
      <c r="E20" s="244"/>
      <c r="F20" s="244"/>
      <c r="G20" s="283" t="s">
        <v>3728</v>
      </c>
      <c r="H20" s="283"/>
      <c r="I20" s="207"/>
      <c r="J20" s="207" t="str">
        <f t="shared" si="0"/>
        <v xml:space="preserve">Partecipante 2 Go Internet </v>
      </c>
      <c r="K20" s="224"/>
      <c r="L20" s="131"/>
      <c r="M20" s="131"/>
      <c r="N20" s="131" t="str">
        <f t="shared" si="1"/>
        <v>GO Internet</v>
      </c>
      <c r="O20" s="1238"/>
      <c r="P20" s="37"/>
      <c r="Q20" s="37"/>
      <c r="R20" s="296" t="s">
        <v>1020</v>
      </c>
      <c r="S20" s="160"/>
      <c r="T20" s="84"/>
      <c r="U20" s="84"/>
      <c r="V20" s="84"/>
      <c r="W20" s="267"/>
      <c r="X20" s="268"/>
      <c r="Y20" s="267"/>
      <c r="Z20" s="267"/>
      <c r="AA20" s="267"/>
      <c r="AB20" s="37"/>
      <c r="AC20" s="37"/>
      <c r="AD20" s="37"/>
      <c r="AE20" s="1245" t="s">
        <v>3729</v>
      </c>
      <c r="AF20" s="198"/>
      <c r="AG20" s="977"/>
      <c r="AH20" s="121"/>
      <c r="AI20" s="121"/>
      <c r="AJ20" s="198"/>
      <c r="AK20" s="121"/>
      <c r="AL20" s="121"/>
      <c r="AM20" s="121"/>
      <c r="AN20" s="198"/>
      <c r="AO20" s="155"/>
      <c r="AP20" s="155"/>
      <c r="AQ20" s="155"/>
      <c r="AR20" s="198"/>
      <c r="AS20" s="121"/>
      <c r="AT20" s="121"/>
      <c r="AU20" s="121"/>
      <c r="AV20" s="198"/>
      <c r="AW20" s="121" t="s">
        <v>151</v>
      </c>
      <c r="AX20" s="121" t="s">
        <v>151</v>
      </c>
      <c r="AY20" s="121" t="s">
        <v>151</v>
      </c>
      <c r="AZ20" s="808">
        <f t="shared" si="2"/>
        <v>2997</v>
      </c>
      <c r="BA20" s="761">
        <f t="shared" si="3"/>
        <v>0</v>
      </c>
      <c r="BB20" s="761">
        <f t="shared" si="4"/>
        <v>2997</v>
      </c>
      <c r="BC20" s="110">
        <f t="shared" si="34"/>
        <v>0</v>
      </c>
      <c r="BD20" s="809">
        <v>0</v>
      </c>
      <c r="BE20" s="1243">
        <v>2997</v>
      </c>
      <c r="BF20" s="285" t="s">
        <v>1021</v>
      </c>
      <c r="BG20" s="98">
        <v>0.15</v>
      </c>
      <c r="BH20" s="110"/>
      <c r="BI20" s="242">
        <f t="shared" si="38"/>
        <v>0</v>
      </c>
      <c r="BJ20" s="1231">
        <f t="shared" si="39"/>
        <v>449.55</v>
      </c>
      <c r="BK20" s="772"/>
      <c r="BL20" s="243" t="s">
        <v>184</v>
      </c>
      <c r="BM20" s="98">
        <v>0.05</v>
      </c>
      <c r="BN20" s="110"/>
      <c r="BO20" s="242">
        <f t="shared" si="40"/>
        <v>0</v>
      </c>
      <c r="BP20" s="1231">
        <f t="shared" si="41"/>
        <v>149.85</v>
      </c>
      <c r="BQ20" s="243"/>
      <c r="BR20" s="110">
        <v>2997</v>
      </c>
      <c r="BS20" s="206"/>
      <c r="BT20" s="301"/>
      <c r="BU20" s="206"/>
      <c r="BV20" s="206"/>
      <c r="BW20" s="206"/>
      <c r="BX20" s="206"/>
      <c r="BY20" s="206"/>
      <c r="BZ20" s="206"/>
      <c r="CA20" s="302"/>
      <c r="CB20" s="206"/>
      <c r="CC20" s="206"/>
      <c r="CD20" s="206"/>
      <c r="CE20" s="206"/>
      <c r="CF20" s="206"/>
      <c r="CG20" s="206"/>
      <c r="CH20" s="206"/>
      <c r="CI20" s="206"/>
      <c r="CJ20" s="206"/>
      <c r="CK20" s="245"/>
      <c r="CL20" s="181"/>
      <c r="CM20" s="246"/>
      <c r="CN20" s="247"/>
      <c r="CO20" s="207"/>
      <c r="CP20" s="155"/>
      <c r="CQ20" s="131"/>
      <c r="CR20" s="131" t="s">
        <v>1019</v>
      </c>
      <c r="CS20" s="116" t="str">
        <f t="shared" si="9"/>
        <v>Pacci 10% Cristian A 5%</v>
      </c>
      <c r="CT20" s="820" t="b">
        <f t="shared" si="42"/>
        <v>0</v>
      </c>
      <c r="CU20" s="820" t="b">
        <f t="shared" si="43"/>
        <v>0</v>
      </c>
      <c r="CV20" s="116" t="str">
        <f t="shared" si="10"/>
        <v>Cristian A</v>
      </c>
      <c r="CW20" s="207"/>
      <c r="CX20" s="729"/>
      <c r="CY20" s="729"/>
      <c r="CZ20" s="729"/>
      <c r="DA20" s="729"/>
      <c r="DB20" s="729"/>
      <c r="DC20" s="729"/>
    </row>
    <row r="21" spans="1:107" ht="30" customHeight="1">
      <c r="A21" s="228"/>
      <c r="B21" s="155"/>
      <c r="C21" s="155">
        <f t="shared" si="11"/>
        <v>20</v>
      </c>
      <c r="D21" s="244"/>
      <c r="E21" s="244"/>
      <c r="F21" s="244"/>
      <c r="G21" s="283" t="s">
        <v>3730</v>
      </c>
      <c r="H21" s="283"/>
      <c r="I21" s="207"/>
      <c r="J21" s="207" t="str">
        <f t="shared" si="0"/>
        <v xml:space="preserve">Partecipante 3 Go Internet </v>
      </c>
      <c r="K21" s="224"/>
      <c r="L21" s="131"/>
      <c r="M21" s="131"/>
      <c r="N21" s="131" t="str">
        <f t="shared" si="1"/>
        <v>GO Internet</v>
      </c>
      <c r="O21" s="1238"/>
      <c r="P21" s="37"/>
      <c r="Q21" s="37"/>
      <c r="R21" s="296" t="s">
        <v>1020</v>
      </c>
      <c r="S21" s="160"/>
      <c r="T21" s="84"/>
      <c r="U21" s="84"/>
      <c r="V21" s="84"/>
      <c r="W21" s="267"/>
      <c r="X21" s="268"/>
      <c r="Y21" s="267"/>
      <c r="Z21" s="267"/>
      <c r="AA21" s="267"/>
      <c r="AB21" s="37"/>
      <c r="AC21" s="37"/>
      <c r="AD21" s="37"/>
      <c r="AE21" s="1245" t="s">
        <v>3731</v>
      </c>
      <c r="AF21" s="198"/>
      <c r="AG21" s="977"/>
      <c r="AH21" s="121"/>
      <c r="AI21" s="121"/>
      <c r="AJ21" s="198"/>
      <c r="AK21" s="121"/>
      <c r="AL21" s="121"/>
      <c r="AM21" s="121"/>
      <c r="AN21" s="198"/>
      <c r="AO21" s="155"/>
      <c r="AP21" s="155"/>
      <c r="AQ21" s="155"/>
      <c r="AR21" s="198"/>
      <c r="AS21" s="121"/>
      <c r="AT21" s="121"/>
      <c r="AU21" s="121"/>
      <c r="AV21" s="198"/>
      <c r="AW21" s="121" t="s">
        <v>151</v>
      </c>
      <c r="AX21" s="121" t="s">
        <v>151</v>
      </c>
      <c r="AY21" s="121" t="s">
        <v>151</v>
      </c>
      <c r="AZ21" s="808">
        <f t="shared" si="2"/>
        <v>2997</v>
      </c>
      <c r="BA21" s="761">
        <f t="shared" si="3"/>
        <v>0</v>
      </c>
      <c r="BB21" s="761">
        <f t="shared" si="4"/>
        <v>2997</v>
      </c>
      <c r="BC21" s="110">
        <f t="shared" si="34"/>
        <v>0</v>
      </c>
      <c r="BD21" s="809">
        <v>0</v>
      </c>
      <c r="BE21" s="1243">
        <v>2997</v>
      </c>
      <c r="BF21" s="285" t="s">
        <v>1021</v>
      </c>
      <c r="BG21" s="98">
        <v>0.15</v>
      </c>
      <c r="BH21" s="110"/>
      <c r="BI21" s="242">
        <f t="shared" si="38"/>
        <v>0</v>
      </c>
      <c r="BJ21" s="1231">
        <f t="shared" si="39"/>
        <v>449.55</v>
      </c>
      <c r="BK21" s="772"/>
      <c r="BL21" s="243" t="s">
        <v>184</v>
      </c>
      <c r="BM21" s="98">
        <v>0.05</v>
      </c>
      <c r="BN21" s="110"/>
      <c r="BO21" s="242">
        <f t="shared" si="40"/>
        <v>0</v>
      </c>
      <c r="BP21" s="1231">
        <f t="shared" si="41"/>
        <v>149.85</v>
      </c>
      <c r="BQ21" s="243"/>
      <c r="BR21" s="110">
        <v>2997</v>
      </c>
      <c r="BS21" s="206"/>
      <c r="BT21" s="301"/>
      <c r="BU21" s="206"/>
      <c r="BV21" s="206"/>
      <c r="BW21" s="206"/>
      <c r="BX21" s="206"/>
      <c r="BY21" s="206"/>
      <c r="BZ21" s="206"/>
      <c r="CA21" s="302"/>
      <c r="CB21" s="206"/>
      <c r="CC21" s="206"/>
      <c r="CD21" s="206"/>
      <c r="CE21" s="206"/>
      <c r="CF21" s="206"/>
      <c r="CG21" s="206"/>
      <c r="CH21" s="206"/>
      <c r="CI21" s="206"/>
      <c r="CJ21" s="206"/>
      <c r="CK21" s="245"/>
      <c r="CL21" s="181"/>
      <c r="CM21" s="246"/>
      <c r="CN21" s="247"/>
      <c r="CO21" s="207"/>
      <c r="CP21" s="155"/>
      <c r="CQ21" s="131"/>
      <c r="CR21" s="131" t="s">
        <v>1019</v>
      </c>
      <c r="CS21" s="116" t="str">
        <f t="shared" si="9"/>
        <v>Pacci 10% Cristian A 5%</v>
      </c>
      <c r="CT21" s="820" t="b">
        <f t="shared" si="42"/>
        <v>0</v>
      </c>
      <c r="CU21" s="820" t="b">
        <f t="shared" si="43"/>
        <v>0</v>
      </c>
      <c r="CV21" s="116" t="str">
        <f t="shared" si="10"/>
        <v>Cristian A</v>
      </c>
      <c r="CW21" s="207"/>
      <c r="CX21" s="729"/>
      <c r="CY21" s="729"/>
      <c r="CZ21" s="729"/>
      <c r="DA21" s="729"/>
      <c r="DB21" s="729"/>
      <c r="DC21" s="729"/>
    </row>
    <row r="22" spans="1:107" ht="30" customHeight="1">
      <c r="A22" s="228"/>
      <c r="B22" s="155"/>
      <c r="C22" s="155">
        <f t="shared" si="11"/>
        <v>21</v>
      </c>
      <c r="D22" s="244"/>
      <c r="E22" s="244"/>
      <c r="F22" s="244"/>
      <c r="G22" s="283" t="s">
        <v>3732</v>
      </c>
      <c r="H22" s="283"/>
      <c r="I22" s="207"/>
      <c r="J22" s="207" t="str">
        <f t="shared" si="0"/>
        <v xml:space="preserve">Partecipante 4 Go Internet </v>
      </c>
      <c r="K22" s="224"/>
      <c r="L22" s="131"/>
      <c r="M22" s="131"/>
      <c r="N22" s="131" t="str">
        <f t="shared" si="1"/>
        <v>GO Internet</v>
      </c>
      <c r="O22" s="1238"/>
      <c r="P22" s="37"/>
      <c r="Q22" s="37"/>
      <c r="R22" s="296" t="s">
        <v>1020</v>
      </c>
      <c r="S22" s="160"/>
      <c r="T22" s="84"/>
      <c r="U22" s="84"/>
      <c r="V22" s="84"/>
      <c r="W22" s="267"/>
      <c r="X22" s="268"/>
      <c r="Y22" s="267"/>
      <c r="Z22" s="267"/>
      <c r="AA22" s="267"/>
      <c r="AB22" s="37"/>
      <c r="AC22" s="37"/>
      <c r="AD22" s="37"/>
      <c r="AE22" s="1245" t="s">
        <v>3733</v>
      </c>
      <c r="AF22" s="198"/>
      <c r="AG22" s="977"/>
      <c r="AH22" s="121"/>
      <c r="AI22" s="121"/>
      <c r="AJ22" s="198"/>
      <c r="AK22" s="121"/>
      <c r="AL22" s="121"/>
      <c r="AM22" s="121"/>
      <c r="AN22" s="198"/>
      <c r="AO22" s="155"/>
      <c r="AP22" s="155"/>
      <c r="AQ22" s="155"/>
      <c r="AR22" s="198"/>
      <c r="AS22" s="121"/>
      <c r="AT22" s="121"/>
      <c r="AU22" s="121"/>
      <c r="AV22" s="198"/>
      <c r="AW22" s="121" t="s">
        <v>151</v>
      </c>
      <c r="AX22" s="121" t="s">
        <v>151</v>
      </c>
      <c r="AY22" s="121" t="s">
        <v>151</v>
      </c>
      <c r="AZ22" s="808">
        <f t="shared" si="2"/>
        <v>2997</v>
      </c>
      <c r="BA22" s="761">
        <f t="shared" si="3"/>
        <v>0</v>
      </c>
      <c r="BB22" s="761">
        <f t="shared" si="4"/>
        <v>2997</v>
      </c>
      <c r="BC22" s="110">
        <f t="shared" si="34"/>
        <v>0</v>
      </c>
      <c r="BD22" s="809">
        <v>0</v>
      </c>
      <c r="BE22" s="1243">
        <v>2997</v>
      </c>
      <c r="BF22" s="285" t="s">
        <v>1021</v>
      </c>
      <c r="BG22" s="98">
        <v>0.15</v>
      </c>
      <c r="BH22" s="110"/>
      <c r="BI22" s="242">
        <f t="shared" si="38"/>
        <v>0</v>
      </c>
      <c r="BJ22" s="1231">
        <f t="shared" si="39"/>
        <v>449.55</v>
      </c>
      <c r="BK22" s="772"/>
      <c r="BL22" s="243" t="s">
        <v>184</v>
      </c>
      <c r="BM22" s="98">
        <v>0.05</v>
      </c>
      <c r="BN22" s="110"/>
      <c r="BO22" s="242">
        <f t="shared" si="40"/>
        <v>0</v>
      </c>
      <c r="BP22" s="1231">
        <f t="shared" si="41"/>
        <v>149.85</v>
      </c>
      <c r="BQ22" s="243"/>
      <c r="BR22" s="110">
        <v>2997</v>
      </c>
      <c r="BS22" s="206"/>
      <c r="BT22" s="301"/>
      <c r="BU22" s="206"/>
      <c r="BV22" s="206"/>
      <c r="BW22" s="206"/>
      <c r="BX22" s="206"/>
      <c r="BY22" s="206"/>
      <c r="BZ22" s="206"/>
      <c r="CA22" s="302"/>
      <c r="CB22" s="206"/>
      <c r="CC22" s="206"/>
      <c r="CD22" s="206"/>
      <c r="CE22" s="206"/>
      <c r="CF22" s="206"/>
      <c r="CG22" s="206"/>
      <c r="CH22" s="206"/>
      <c r="CI22" s="206"/>
      <c r="CJ22" s="206"/>
      <c r="CK22" s="245"/>
      <c r="CL22" s="181"/>
      <c r="CM22" s="246"/>
      <c r="CN22" s="247"/>
      <c r="CO22" s="207"/>
      <c r="CP22" s="155"/>
      <c r="CQ22" s="131"/>
      <c r="CR22" s="131" t="s">
        <v>1019</v>
      </c>
      <c r="CS22" s="116" t="str">
        <f t="shared" si="9"/>
        <v>Pacci 10% Cristian A 5%</v>
      </c>
      <c r="CT22" s="820" t="b">
        <f t="shared" si="42"/>
        <v>0</v>
      </c>
      <c r="CU22" s="820" t="b">
        <f t="shared" si="43"/>
        <v>0</v>
      </c>
      <c r="CV22" s="116" t="str">
        <f t="shared" si="10"/>
        <v>Cristian A</v>
      </c>
      <c r="CW22" s="207"/>
      <c r="CX22" s="729"/>
      <c r="CY22" s="729"/>
      <c r="CZ22" s="729"/>
      <c r="DA22" s="729"/>
      <c r="DB22" s="729"/>
      <c r="DC22" s="729"/>
    </row>
    <row r="23" spans="1:107" ht="30" customHeight="1">
      <c r="A23" s="228"/>
      <c r="B23" s="155">
        <v>101284</v>
      </c>
      <c r="C23" s="155">
        <f t="shared" si="11"/>
        <v>22</v>
      </c>
      <c r="D23" s="757"/>
      <c r="E23" s="757"/>
      <c r="F23" s="757">
        <v>1</v>
      </c>
      <c r="G23" s="283" t="s">
        <v>1799</v>
      </c>
      <c r="H23" s="283" t="s">
        <v>2489</v>
      </c>
      <c r="I23" s="207" t="s">
        <v>2490</v>
      </c>
      <c r="J23" s="207" t="str">
        <f t="shared" si="0"/>
        <v>Fulvio Frescoso</v>
      </c>
      <c r="K23" s="224">
        <v>3475732044</v>
      </c>
      <c r="L23" s="131"/>
      <c r="M23" s="131" t="s">
        <v>438</v>
      </c>
      <c r="N23" s="131" t="str">
        <f t="shared" si="1"/>
        <v>Soluzioni Logistiche</v>
      </c>
      <c r="O23" s="284"/>
      <c r="P23" s="37"/>
      <c r="Q23" s="37"/>
      <c r="R23" s="131" t="s">
        <v>2491</v>
      </c>
      <c r="S23" s="160"/>
      <c r="T23" s="84"/>
      <c r="U23" s="84"/>
      <c r="V23" s="84"/>
      <c r="W23" s="267"/>
      <c r="X23" s="268"/>
      <c r="Y23" s="267"/>
      <c r="Z23" s="267"/>
      <c r="AA23" s="267"/>
      <c r="AB23" s="37"/>
      <c r="AC23" s="37"/>
      <c r="AD23" s="37" t="s">
        <v>3734</v>
      </c>
      <c r="AE23" s="181"/>
      <c r="AF23" s="198"/>
      <c r="AG23" s="121"/>
      <c r="AH23" s="121"/>
      <c r="AI23" s="121"/>
      <c r="AJ23" s="198"/>
      <c r="AK23" s="121"/>
      <c r="AL23" s="121"/>
      <c r="AM23" s="121"/>
      <c r="AN23" s="198"/>
      <c r="AO23" s="155" t="s">
        <v>115</v>
      </c>
      <c r="AP23" s="155" t="s">
        <v>115</v>
      </c>
      <c r="AQ23" s="155"/>
      <c r="AR23" s="198"/>
      <c r="AS23" s="121"/>
      <c r="AT23" s="121"/>
      <c r="AU23" s="1223" t="s">
        <v>115</v>
      </c>
      <c r="AV23" s="198"/>
      <c r="AW23" s="121"/>
      <c r="AX23" s="121"/>
      <c r="AY23" s="121"/>
      <c r="AZ23" s="808">
        <f t="shared" si="2"/>
        <v>3497.0000000000005</v>
      </c>
      <c r="BA23" s="761">
        <f t="shared" si="3"/>
        <v>3497.0000000000005</v>
      </c>
      <c r="BB23" s="761">
        <f t="shared" si="4"/>
        <v>0</v>
      </c>
      <c r="BC23" s="110">
        <v>3497</v>
      </c>
      <c r="BD23" s="1230">
        <v>0</v>
      </c>
      <c r="BE23" s="1231"/>
      <c r="BF23" s="285" t="s">
        <v>2680</v>
      </c>
      <c r="BG23" s="98">
        <v>0.15</v>
      </c>
      <c r="BH23" s="381">
        <f t="shared" ref="BH23:BH27" si="44">AZ23*BG23</f>
        <v>524.55000000000007</v>
      </c>
      <c r="BI23" s="242"/>
      <c r="BJ23" s="1231"/>
      <c r="BK23" s="243" t="s">
        <v>3735</v>
      </c>
      <c r="BL23" s="772" t="s">
        <v>262</v>
      </c>
      <c r="BM23" s="98">
        <v>0.05</v>
      </c>
      <c r="BN23" s="381">
        <f t="shared" ref="BN23:BN27" si="45">AZ23*BM23</f>
        <v>174.85000000000002</v>
      </c>
      <c r="BO23" s="242"/>
      <c r="BP23" s="1231"/>
      <c r="BQ23" s="243" t="s">
        <v>3735</v>
      </c>
      <c r="BR23" s="110">
        <f>200/1.22</f>
        <v>163.9344262295082</v>
      </c>
      <c r="BS23" s="226">
        <v>44648</v>
      </c>
      <c r="BT23" s="110">
        <f>200/1.22</f>
        <v>163.9344262295082</v>
      </c>
      <c r="BU23" s="206"/>
      <c r="BV23" s="110">
        <f>1720/1.22</f>
        <v>1409.8360655737706</v>
      </c>
      <c r="BW23" s="226">
        <v>44694</v>
      </c>
      <c r="BX23" s="110">
        <f>1720/1.22</f>
        <v>1409.8360655737706</v>
      </c>
      <c r="BY23" s="206"/>
      <c r="BZ23" s="110">
        <f>2346.34/1.22</f>
        <v>1923.2295081967216</v>
      </c>
      <c r="CA23" s="263" t="s">
        <v>2721</v>
      </c>
      <c r="CB23" s="110">
        <f>2346.34/1.22</f>
        <v>1923.2295081967216</v>
      </c>
      <c r="CC23" s="206"/>
      <c r="CD23" s="206"/>
      <c r="CE23" s="206"/>
      <c r="CF23" s="206"/>
      <c r="CG23" s="206"/>
      <c r="CH23" s="206"/>
      <c r="CI23" s="206"/>
      <c r="CJ23" s="206"/>
      <c r="CK23" s="245" t="s">
        <v>2612</v>
      </c>
      <c r="CL23" s="181"/>
      <c r="CM23" s="246"/>
      <c r="CN23" s="247" t="s">
        <v>3736</v>
      </c>
      <c r="CO23" s="282" t="s">
        <v>122</v>
      </c>
      <c r="CP23" s="155"/>
      <c r="CQ23" s="131" t="s">
        <v>2492</v>
      </c>
      <c r="CR23" s="131" t="s">
        <v>2491</v>
      </c>
      <c r="CS23" s="116" t="str">
        <f t="shared" si="9"/>
        <v>Silvio Serraino</v>
      </c>
      <c r="CT23" s="242"/>
      <c r="CU23" s="242"/>
      <c r="CV23" s="116" t="str">
        <f t="shared" si="10"/>
        <v>Pacci</v>
      </c>
      <c r="CW23" s="207"/>
      <c r="CX23" s="729"/>
      <c r="CY23" s="729"/>
      <c r="CZ23" s="729"/>
      <c r="DA23" s="729"/>
      <c r="DB23" s="729"/>
      <c r="DC23" s="729"/>
    </row>
    <row r="24" spans="1:107" ht="30" customHeight="1">
      <c r="A24" s="228"/>
      <c r="B24" s="155">
        <v>101360</v>
      </c>
      <c r="C24" s="155">
        <f t="shared" si="11"/>
        <v>23</v>
      </c>
      <c r="D24" s="757"/>
      <c r="E24" s="757">
        <v>1</v>
      </c>
      <c r="F24" s="757"/>
      <c r="G24" s="283" t="s">
        <v>861</v>
      </c>
      <c r="H24" s="283" t="s">
        <v>3737</v>
      </c>
      <c r="I24" s="294" t="s">
        <v>3738</v>
      </c>
      <c r="J24" s="207" t="str">
        <f t="shared" si="0"/>
        <v>Simone Oggiano</v>
      </c>
      <c r="K24" s="224">
        <v>3492664693</v>
      </c>
      <c r="L24" s="131"/>
      <c r="M24" s="131" t="s">
        <v>3739</v>
      </c>
      <c r="N24" s="131" t="str">
        <f t="shared" si="1"/>
        <v>Hal Service</v>
      </c>
      <c r="O24" s="284"/>
      <c r="P24" s="37"/>
      <c r="Q24" s="37"/>
      <c r="R24" s="131" t="s">
        <v>1005</v>
      </c>
      <c r="S24" s="160"/>
      <c r="T24" s="84"/>
      <c r="U24" s="84"/>
      <c r="V24" s="84"/>
      <c r="W24" s="267"/>
      <c r="X24" s="268"/>
      <c r="Y24" s="267"/>
      <c r="Z24" s="267"/>
      <c r="AA24" s="267"/>
      <c r="AB24" s="37"/>
      <c r="AC24" s="37"/>
      <c r="AD24" s="37" t="s">
        <v>1006</v>
      </c>
      <c r="AE24" s="181"/>
      <c r="AF24" s="198"/>
      <c r="AG24" s="121"/>
      <c r="AH24" s="121"/>
      <c r="AI24" s="121"/>
      <c r="AJ24" s="198"/>
      <c r="AK24" s="121"/>
      <c r="AL24" s="121"/>
      <c r="AM24" s="121"/>
      <c r="AN24" s="198"/>
      <c r="AO24" s="155" t="s">
        <v>115</v>
      </c>
      <c r="AP24" s="155"/>
      <c r="AQ24" s="155" t="s">
        <v>115</v>
      </c>
      <c r="AR24" s="198"/>
      <c r="AS24" s="121"/>
      <c r="AT24" s="1223" t="s">
        <v>115</v>
      </c>
      <c r="AU24" s="121"/>
      <c r="AV24" s="198"/>
      <c r="AW24" s="121"/>
      <c r="AX24" s="121"/>
      <c r="AY24" s="121"/>
      <c r="AZ24" s="808">
        <f t="shared" si="2"/>
        <v>2797</v>
      </c>
      <c r="BA24" s="761">
        <f t="shared" si="3"/>
        <v>2797</v>
      </c>
      <c r="BB24" s="761">
        <f t="shared" si="4"/>
        <v>0</v>
      </c>
      <c r="BC24" s="110">
        <f t="shared" ref="BC24:BC27" si="46">BA24</f>
        <v>2797</v>
      </c>
      <c r="BD24" s="1230">
        <f t="shared" ref="BD24:BD27" si="47">AZ24-BC24</f>
        <v>0</v>
      </c>
      <c r="BE24" s="1231"/>
      <c r="BF24" s="285" t="s">
        <v>160</v>
      </c>
      <c r="BG24" s="98">
        <v>0.15</v>
      </c>
      <c r="BH24" s="110">
        <f t="shared" si="44"/>
        <v>419.55</v>
      </c>
      <c r="BI24" s="242"/>
      <c r="BJ24" s="1231"/>
      <c r="BK24" s="243" t="s">
        <v>968</v>
      </c>
      <c r="BL24" s="243" t="s">
        <v>160</v>
      </c>
      <c r="BM24" s="98">
        <v>0.05</v>
      </c>
      <c r="BN24" s="110">
        <f t="shared" si="45"/>
        <v>139.85</v>
      </c>
      <c r="BO24" s="242"/>
      <c r="BP24" s="1231"/>
      <c r="BQ24" s="243" t="s">
        <v>968</v>
      </c>
      <c r="BR24" s="110">
        <f t="shared" ref="BR24:BR25" si="48">10237.02/1.22/3</f>
        <v>2797</v>
      </c>
      <c r="BS24" s="226">
        <v>44645</v>
      </c>
      <c r="BT24" s="110">
        <f t="shared" ref="BT24:BT25" si="49">10237.02/1.22/3</f>
        <v>2797</v>
      </c>
      <c r="BU24" s="206"/>
      <c r="BV24" s="110"/>
      <c r="BW24" s="226"/>
      <c r="BX24" s="206"/>
      <c r="BY24" s="206"/>
      <c r="BZ24" s="110"/>
      <c r="CA24" s="263"/>
      <c r="CB24" s="206"/>
      <c r="CC24" s="206"/>
      <c r="CD24" s="206"/>
      <c r="CE24" s="206"/>
      <c r="CF24" s="206"/>
      <c r="CG24" s="206"/>
      <c r="CH24" s="206"/>
      <c r="CI24" s="206"/>
      <c r="CJ24" s="206"/>
      <c r="CK24" s="245" t="s">
        <v>2612</v>
      </c>
      <c r="CL24" s="181"/>
      <c r="CM24" s="246"/>
      <c r="CN24" s="247" t="s">
        <v>3682</v>
      </c>
      <c r="CO24" s="282" t="s">
        <v>122</v>
      </c>
      <c r="CP24" s="155"/>
      <c r="CQ24" s="131" t="s">
        <v>1260</v>
      </c>
      <c r="CR24" s="131" t="s">
        <v>1004</v>
      </c>
      <c r="CS24" s="116" t="str">
        <f t="shared" si="9"/>
        <v>Gianluca</v>
      </c>
      <c r="CT24" s="242"/>
      <c r="CU24" s="242"/>
      <c r="CV24" s="116" t="str">
        <f t="shared" si="10"/>
        <v>Gianluca</v>
      </c>
      <c r="CW24" s="207"/>
      <c r="CX24" s="729"/>
      <c r="CY24" s="729"/>
      <c r="CZ24" s="729"/>
      <c r="DA24" s="729"/>
      <c r="DB24" s="729"/>
      <c r="DC24" s="729"/>
    </row>
    <row r="25" spans="1:107" ht="30" customHeight="1">
      <c r="A25" s="228"/>
      <c r="B25" s="155">
        <v>101360</v>
      </c>
      <c r="C25" s="155">
        <f t="shared" si="11"/>
        <v>24</v>
      </c>
      <c r="D25" s="757"/>
      <c r="E25" s="757">
        <v>1</v>
      </c>
      <c r="F25" s="757">
        <v>1</v>
      </c>
      <c r="G25" s="283" t="s">
        <v>3740</v>
      </c>
      <c r="H25" s="283" t="s">
        <v>3741</v>
      </c>
      <c r="I25" s="1246" t="s">
        <v>3742</v>
      </c>
      <c r="J25" s="207" t="str">
        <f t="shared" si="0"/>
        <v>Gian Enrico Zamboni</v>
      </c>
      <c r="K25" s="224">
        <v>3466116436</v>
      </c>
      <c r="L25" s="131"/>
      <c r="M25" s="131" t="s">
        <v>2389</v>
      </c>
      <c r="N25" s="131" t="str">
        <f t="shared" si="1"/>
        <v>Hal Service</v>
      </c>
      <c r="O25" s="284"/>
      <c r="P25" s="37"/>
      <c r="Q25" s="37"/>
      <c r="R25" s="131" t="s">
        <v>1005</v>
      </c>
      <c r="S25" s="2"/>
      <c r="T25" s="2"/>
      <c r="U25" s="2"/>
      <c r="V25" s="2"/>
      <c r="W25" s="267"/>
      <c r="X25" s="234"/>
      <c r="Y25" s="267"/>
      <c r="Z25" s="267"/>
      <c r="AA25" s="267"/>
      <c r="AB25" s="37"/>
      <c r="AC25" s="37"/>
      <c r="AD25" s="37" t="s">
        <v>1006</v>
      </c>
      <c r="AE25" s="181"/>
      <c r="AF25" s="198"/>
      <c r="AG25" s="121"/>
      <c r="AH25" s="121"/>
      <c r="AI25" s="121"/>
      <c r="AJ25" s="198"/>
      <c r="AK25" s="121"/>
      <c r="AL25" s="121"/>
      <c r="AM25" s="121"/>
      <c r="AN25" s="198"/>
      <c r="AO25" s="155" t="s">
        <v>115</v>
      </c>
      <c r="AP25" s="155"/>
      <c r="AQ25" s="155"/>
      <c r="AR25" s="198"/>
      <c r="AS25" s="121"/>
      <c r="AT25" s="1223" t="s">
        <v>115</v>
      </c>
      <c r="AU25" s="121" t="s">
        <v>115</v>
      </c>
      <c r="AV25" s="198"/>
      <c r="AW25" s="121"/>
      <c r="AX25" s="121"/>
      <c r="AY25" s="121"/>
      <c r="AZ25" s="808">
        <f t="shared" si="2"/>
        <v>2797</v>
      </c>
      <c r="BA25" s="761">
        <f t="shared" si="3"/>
        <v>2797</v>
      </c>
      <c r="BB25" s="761">
        <f t="shared" si="4"/>
        <v>0</v>
      </c>
      <c r="BC25" s="110">
        <f t="shared" si="46"/>
        <v>2797</v>
      </c>
      <c r="BD25" s="1230">
        <f t="shared" si="47"/>
        <v>0</v>
      </c>
      <c r="BE25" s="1231"/>
      <c r="BF25" s="285" t="s">
        <v>160</v>
      </c>
      <c r="BG25" s="98">
        <v>0.15</v>
      </c>
      <c r="BH25" s="110">
        <f t="shared" si="44"/>
        <v>419.55</v>
      </c>
      <c r="BI25" s="242"/>
      <c r="BJ25" s="1231"/>
      <c r="BK25" s="243" t="s">
        <v>968</v>
      </c>
      <c r="BL25" s="243" t="s">
        <v>160</v>
      </c>
      <c r="BM25" s="98">
        <v>0.05</v>
      </c>
      <c r="BN25" s="110">
        <f t="shared" si="45"/>
        <v>139.85</v>
      </c>
      <c r="BO25" s="242"/>
      <c r="BP25" s="1231"/>
      <c r="BQ25" s="243" t="s">
        <v>968</v>
      </c>
      <c r="BR25" s="110">
        <f t="shared" si="48"/>
        <v>2797</v>
      </c>
      <c r="BS25" s="226">
        <v>44645</v>
      </c>
      <c r="BT25" s="110">
        <f t="shared" si="49"/>
        <v>2797</v>
      </c>
      <c r="BU25" s="206"/>
      <c r="BV25" s="110"/>
      <c r="BW25" s="226"/>
      <c r="BX25" s="206"/>
      <c r="BY25" s="206"/>
      <c r="BZ25" s="110"/>
      <c r="CA25" s="263"/>
      <c r="CB25" s="206"/>
      <c r="CC25" s="206"/>
      <c r="CD25" s="206"/>
      <c r="CE25" s="206"/>
      <c r="CF25" s="206"/>
      <c r="CG25" s="206"/>
      <c r="CH25" s="206"/>
      <c r="CI25" s="206"/>
      <c r="CJ25" s="206"/>
      <c r="CK25" s="245" t="s">
        <v>2612</v>
      </c>
      <c r="CL25" s="181"/>
      <c r="CM25" s="246"/>
      <c r="CN25" s="247" t="s">
        <v>3682</v>
      </c>
      <c r="CO25" s="282" t="s">
        <v>122</v>
      </c>
      <c r="CP25" s="155"/>
      <c r="CQ25" s="131" t="s">
        <v>1156</v>
      </c>
      <c r="CR25" s="131" t="s">
        <v>1004</v>
      </c>
      <c r="CS25" s="116" t="str">
        <f t="shared" si="9"/>
        <v>Gianluca</v>
      </c>
      <c r="CT25" s="242"/>
      <c r="CU25" s="242"/>
      <c r="CV25" s="116" t="str">
        <f t="shared" si="10"/>
        <v>Gianluca</v>
      </c>
      <c r="CW25" s="207"/>
      <c r="CX25" s="729"/>
      <c r="CY25" s="729"/>
      <c r="CZ25" s="729"/>
      <c r="DA25" s="729"/>
      <c r="DB25" s="729"/>
      <c r="DC25" s="729"/>
    </row>
    <row r="26" spans="1:107" ht="30" customHeight="1">
      <c r="A26" s="228"/>
      <c r="B26" s="155">
        <v>101421</v>
      </c>
      <c r="C26" s="155">
        <f t="shared" si="11"/>
        <v>25</v>
      </c>
      <c r="D26" s="757"/>
      <c r="E26" s="757"/>
      <c r="F26" s="757">
        <v>1</v>
      </c>
      <c r="G26" s="283" t="s">
        <v>3743</v>
      </c>
      <c r="H26" s="283" t="s">
        <v>3744</v>
      </c>
      <c r="I26" s="207" t="s">
        <v>3745</v>
      </c>
      <c r="J26" s="207" t="str">
        <f t="shared" si="0"/>
        <v>Gianluigi Massimo Tirapelle</v>
      </c>
      <c r="K26" s="224">
        <v>3489691007</v>
      </c>
      <c r="L26" s="1244"/>
      <c r="M26" s="1244" t="s">
        <v>138</v>
      </c>
      <c r="N26" s="131" t="str">
        <f t="shared" si="1"/>
        <v>DIGIMAX</v>
      </c>
      <c r="O26" s="284"/>
      <c r="P26" s="1247"/>
      <c r="Q26" s="37"/>
      <c r="R26" s="131" t="s">
        <v>3746</v>
      </c>
      <c r="S26" s="160"/>
      <c r="T26" s="84"/>
      <c r="U26" s="84"/>
      <c r="V26" s="84"/>
      <c r="W26" s="267"/>
      <c r="X26" s="234"/>
      <c r="Y26" s="267"/>
      <c r="Z26" s="267"/>
      <c r="AA26" s="267"/>
      <c r="AB26" s="37"/>
      <c r="AC26" s="37"/>
      <c r="AD26" s="37" t="s">
        <v>3747</v>
      </c>
      <c r="AE26" s="181"/>
      <c r="AF26" s="198"/>
      <c r="AG26" s="121"/>
      <c r="AH26" s="121"/>
      <c r="AI26" s="121"/>
      <c r="AJ26" s="198"/>
      <c r="AK26" s="121"/>
      <c r="AL26" s="121"/>
      <c r="AM26" s="121"/>
      <c r="AN26" s="198"/>
      <c r="AO26" s="155" t="s">
        <v>115</v>
      </c>
      <c r="AP26" s="155" t="s">
        <v>115</v>
      </c>
      <c r="AQ26" s="155"/>
      <c r="AR26" s="198"/>
      <c r="AS26" s="121"/>
      <c r="AT26" s="121"/>
      <c r="AU26" s="19" t="s">
        <v>115</v>
      </c>
      <c r="AV26" s="198"/>
      <c r="AW26" s="121"/>
      <c r="AX26" s="121"/>
      <c r="AY26" s="121"/>
      <c r="AZ26" s="808">
        <f t="shared" si="2"/>
        <v>2397</v>
      </c>
      <c r="BA26" s="761">
        <f t="shared" si="3"/>
        <v>2397</v>
      </c>
      <c r="BB26" s="761">
        <f t="shared" si="4"/>
        <v>0</v>
      </c>
      <c r="BC26" s="110">
        <f t="shared" si="46"/>
        <v>2397</v>
      </c>
      <c r="BD26" s="1230">
        <f t="shared" si="47"/>
        <v>0</v>
      </c>
      <c r="BE26" s="1231"/>
      <c r="BF26" s="306" t="s">
        <v>1034</v>
      </c>
      <c r="BG26" s="98">
        <v>0.15</v>
      </c>
      <c r="BH26" s="110">
        <f t="shared" si="44"/>
        <v>359.55</v>
      </c>
      <c r="BI26" s="242"/>
      <c r="BJ26" s="1231"/>
      <c r="BK26" s="243" t="s">
        <v>968</v>
      </c>
      <c r="BL26" s="243" t="s">
        <v>525</v>
      </c>
      <c r="BM26" s="98">
        <v>0.05</v>
      </c>
      <c r="BN26" s="110">
        <f t="shared" si="45"/>
        <v>119.85000000000001</v>
      </c>
      <c r="BO26" s="242"/>
      <c r="BP26" s="1231"/>
      <c r="BQ26" s="243" t="s">
        <v>968</v>
      </c>
      <c r="BR26" s="110">
        <v>2397</v>
      </c>
      <c r="BS26" s="337">
        <v>44687</v>
      </c>
      <c r="BT26" s="110">
        <v>2397</v>
      </c>
      <c r="BU26" s="206"/>
      <c r="BV26" s="206"/>
      <c r="BW26" s="206"/>
      <c r="BX26" s="206"/>
      <c r="BY26" s="206"/>
      <c r="BZ26" s="206"/>
      <c r="CA26" s="206"/>
      <c r="CB26" s="206"/>
      <c r="CC26" s="206"/>
      <c r="CD26" s="206"/>
      <c r="CE26" s="206"/>
      <c r="CF26" s="206"/>
      <c r="CG26" s="206"/>
      <c r="CH26" s="206"/>
      <c r="CI26" s="206"/>
      <c r="CJ26" s="206"/>
      <c r="CK26" s="245" t="s">
        <v>2612</v>
      </c>
      <c r="CL26" s="181" t="s">
        <v>2311</v>
      </c>
      <c r="CM26" s="246"/>
      <c r="CN26" s="247" t="s">
        <v>990</v>
      </c>
      <c r="CO26" s="282" t="s">
        <v>122</v>
      </c>
      <c r="CP26" s="155"/>
      <c r="CQ26" s="354" t="s">
        <v>1036</v>
      </c>
      <c r="CR26" s="131" t="s">
        <v>1032</v>
      </c>
      <c r="CS26" s="116" t="str">
        <f t="shared" si="9"/>
        <v>Mirco Gasparotto (OSA)</v>
      </c>
      <c r="CT26" s="242"/>
      <c r="CU26" s="242"/>
      <c r="CV26" s="116" t="str">
        <f t="shared" si="10"/>
        <v>Bruno</v>
      </c>
      <c r="CW26" s="207"/>
      <c r="CX26" s="729"/>
      <c r="CY26" s="729"/>
      <c r="CZ26" s="729"/>
      <c r="DA26" s="729"/>
      <c r="DB26" s="729"/>
      <c r="DC26" s="729"/>
    </row>
    <row r="27" spans="1:107" ht="30" customHeight="1">
      <c r="A27" s="228"/>
      <c r="B27" s="155">
        <v>101421</v>
      </c>
      <c r="C27" s="155">
        <f t="shared" si="11"/>
        <v>26</v>
      </c>
      <c r="D27" s="757"/>
      <c r="E27" s="757"/>
      <c r="F27" s="757">
        <v>1</v>
      </c>
      <c r="G27" s="283" t="s">
        <v>166</v>
      </c>
      <c r="H27" s="283" t="s">
        <v>3744</v>
      </c>
      <c r="I27" s="207" t="s">
        <v>3745</v>
      </c>
      <c r="J27" s="207" t="str">
        <f t="shared" si="0"/>
        <v>Matteo Tirapelle</v>
      </c>
      <c r="K27" s="224">
        <v>3404182312</v>
      </c>
      <c r="L27" s="1244"/>
      <c r="M27" s="1244" t="s">
        <v>3748</v>
      </c>
      <c r="N27" s="131" t="str">
        <f t="shared" si="1"/>
        <v>DIGIMAX</v>
      </c>
      <c r="O27" s="284"/>
      <c r="P27" s="37"/>
      <c r="Q27" s="37"/>
      <c r="R27" s="131" t="s">
        <v>3746</v>
      </c>
      <c r="S27" s="160"/>
      <c r="T27" s="84"/>
      <c r="U27" s="84"/>
      <c r="V27" s="84"/>
      <c r="W27" s="267"/>
      <c r="X27" s="234"/>
      <c r="Y27" s="267"/>
      <c r="Z27" s="267"/>
      <c r="AA27" s="267"/>
      <c r="AB27" s="37"/>
      <c r="AC27" s="37"/>
      <c r="AD27" s="37" t="s">
        <v>3747</v>
      </c>
      <c r="AE27" s="181"/>
      <c r="AF27" s="198"/>
      <c r="AG27" s="121"/>
      <c r="AH27" s="121"/>
      <c r="AI27" s="121"/>
      <c r="AJ27" s="198"/>
      <c r="AK27" s="121"/>
      <c r="AL27" s="121"/>
      <c r="AM27" s="121"/>
      <c r="AN27" s="198"/>
      <c r="AO27" s="155" t="s">
        <v>115</v>
      </c>
      <c r="AP27" s="155" t="s">
        <v>115</v>
      </c>
      <c r="AQ27" s="155"/>
      <c r="AR27" s="198"/>
      <c r="AS27" s="121"/>
      <c r="AT27" s="121"/>
      <c r="AU27" s="121" t="s">
        <v>115</v>
      </c>
      <c r="AV27" s="198"/>
      <c r="AW27" s="121"/>
      <c r="AX27" s="121"/>
      <c r="AY27" s="121"/>
      <c r="AZ27" s="808">
        <f t="shared" si="2"/>
        <v>2397</v>
      </c>
      <c r="BA27" s="761">
        <f t="shared" si="3"/>
        <v>2397</v>
      </c>
      <c r="BB27" s="761">
        <f t="shared" si="4"/>
        <v>0</v>
      </c>
      <c r="BC27" s="110">
        <f t="shared" si="46"/>
        <v>2397</v>
      </c>
      <c r="BD27" s="1230">
        <f t="shared" si="47"/>
        <v>0</v>
      </c>
      <c r="BE27" s="1231"/>
      <c r="BF27" s="306" t="s">
        <v>1034</v>
      </c>
      <c r="BG27" s="98">
        <v>0.15</v>
      </c>
      <c r="BH27" s="110">
        <f t="shared" si="44"/>
        <v>359.55</v>
      </c>
      <c r="BI27" s="242"/>
      <c r="BJ27" s="1231"/>
      <c r="BK27" s="243" t="s">
        <v>968</v>
      </c>
      <c r="BL27" s="243" t="s">
        <v>525</v>
      </c>
      <c r="BM27" s="98">
        <v>0.05</v>
      </c>
      <c r="BN27" s="110">
        <f t="shared" si="45"/>
        <v>119.85000000000001</v>
      </c>
      <c r="BO27" s="242"/>
      <c r="BP27" s="1231"/>
      <c r="BQ27" s="243" t="s">
        <v>968</v>
      </c>
      <c r="BR27" s="110">
        <v>2397</v>
      </c>
      <c r="BS27" s="337">
        <v>44687</v>
      </c>
      <c r="BT27" s="110">
        <v>2397</v>
      </c>
      <c r="BU27" s="206"/>
      <c r="BV27" s="206"/>
      <c r="BW27" s="206"/>
      <c r="BX27" s="206"/>
      <c r="BY27" s="206"/>
      <c r="BZ27" s="206"/>
      <c r="CA27" s="206"/>
      <c r="CB27" s="206"/>
      <c r="CC27" s="206"/>
      <c r="CD27" s="206"/>
      <c r="CE27" s="206"/>
      <c r="CF27" s="206"/>
      <c r="CG27" s="206"/>
      <c r="CH27" s="206"/>
      <c r="CI27" s="206"/>
      <c r="CJ27" s="206"/>
      <c r="CK27" s="245" t="s">
        <v>154</v>
      </c>
      <c r="CL27" s="181" t="s">
        <v>3749</v>
      </c>
      <c r="CM27" s="246"/>
      <c r="CN27" s="247" t="s">
        <v>990</v>
      </c>
      <c r="CO27" s="282" t="s">
        <v>122</v>
      </c>
      <c r="CP27" s="155"/>
      <c r="CQ27" s="354" t="s">
        <v>1036</v>
      </c>
      <c r="CR27" s="131" t="s">
        <v>1032</v>
      </c>
      <c r="CS27" s="116" t="str">
        <f t="shared" si="9"/>
        <v>Mirco Gasparotto (OSA)</v>
      </c>
      <c r="CT27" s="242"/>
      <c r="CU27" s="242"/>
      <c r="CV27" s="116" t="str">
        <f t="shared" si="10"/>
        <v>Bruno</v>
      </c>
      <c r="CW27" s="207"/>
      <c r="CX27" s="729"/>
      <c r="CY27" s="729"/>
      <c r="CZ27" s="729"/>
      <c r="DA27" s="729"/>
      <c r="DB27" s="729"/>
      <c r="DC27" s="729"/>
    </row>
    <row r="28" spans="1:107" ht="30" customHeight="1">
      <c r="A28" s="228"/>
      <c r="B28" s="155">
        <v>101421</v>
      </c>
      <c r="C28" s="155">
        <f t="shared" si="11"/>
        <v>27</v>
      </c>
      <c r="D28" s="757">
        <v>1</v>
      </c>
      <c r="E28" s="757">
        <v>1</v>
      </c>
      <c r="F28" s="757">
        <v>1</v>
      </c>
      <c r="G28" s="283" t="s">
        <v>1378</v>
      </c>
      <c r="H28" s="283" t="s">
        <v>3750</v>
      </c>
      <c r="I28" s="1234" t="s">
        <v>3751</v>
      </c>
      <c r="J28" s="207" t="str">
        <f t="shared" si="0"/>
        <v>Cristian Tamiozzo</v>
      </c>
      <c r="K28" s="224"/>
      <c r="L28" s="1248"/>
      <c r="M28" s="624" t="s">
        <v>3752</v>
      </c>
      <c r="N28" s="131" t="str">
        <f t="shared" si="1"/>
        <v>DIGIMAX</v>
      </c>
      <c r="O28" s="284"/>
      <c r="P28" s="37"/>
      <c r="Q28" s="37"/>
      <c r="R28" s="131" t="s">
        <v>3746</v>
      </c>
      <c r="S28" s="160"/>
      <c r="T28" s="84"/>
      <c r="U28" s="84"/>
      <c r="V28" s="84"/>
      <c r="W28" s="267"/>
      <c r="X28" s="234"/>
      <c r="Y28" s="267"/>
      <c r="Z28" s="267"/>
      <c r="AA28" s="267"/>
      <c r="AB28" s="37"/>
      <c r="AC28" s="37"/>
      <c r="AD28" s="37" t="s">
        <v>3747</v>
      </c>
      <c r="AE28" s="181"/>
      <c r="AF28" s="198"/>
      <c r="AG28" s="121"/>
      <c r="AH28" s="121"/>
      <c r="AI28" s="121"/>
      <c r="AJ28" s="198"/>
      <c r="AK28" s="121"/>
      <c r="AL28" s="121"/>
      <c r="AM28" s="121"/>
      <c r="AN28" s="198"/>
      <c r="AO28" s="155"/>
      <c r="AP28" s="155"/>
      <c r="AQ28" s="155"/>
      <c r="AR28" s="198"/>
      <c r="AS28" s="121" t="s">
        <v>115</v>
      </c>
      <c r="AT28" s="121" t="s">
        <v>115</v>
      </c>
      <c r="AU28" s="121" t="s">
        <v>115</v>
      </c>
      <c r="AV28" s="198"/>
      <c r="AW28" s="121"/>
      <c r="AX28" s="121"/>
      <c r="AY28" s="121"/>
      <c r="AZ28" s="808">
        <f t="shared" si="2"/>
        <v>2397</v>
      </c>
      <c r="BA28" s="761">
        <f t="shared" si="3"/>
        <v>2397</v>
      </c>
      <c r="BB28" s="761">
        <f t="shared" si="4"/>
        <v>0</v>
      </c>
      <c r="BC28" s="110"/>
      <c r="BD28" s="1230">
        <v>2397</v>
      </c>
      <c r="BE28" s="1231"/>
      <c r="BF28" s="306" t="s">
        <v>1034</v>
      </c>
      <c r="BG28" s="98">
        <v>0.15</v>
      </c>
      <c r="BH28" s="110"/>
      <c r="BI28" s="242">
        <f t="shared" ref="BI28:BI29" si="50">BD28*BG28</f>
        <v>359.55</v>
      </c>
      <c r="BJ28" s="1231">
        <f t="shared" ref="BJ28:BJ29" si="51">BE28*BG28</f>
        <v>0</v>
      </c>
      <c r="BK28" s="243" t="s">
        <v>1076</v>
      </c>
      <c r="BL28" s="243" t="s">
        <v>525</v>
      </c>
      <c r="BM28" s="98">
        <v>0.05</v>
      </c>
      <c r="BN28" s="110"/>
      <c r="BO28" s="242">
        <f t="shared" ref="BO28:BO29" si="52">BD28*BM28</f>
        <v>119.85000000000001</v>
      </c>
      <c r="BP28" s="1231">
        <f t="shared" ref="BP28:BP29" si="53">BE28*BM28</f>
        <v>0</v>
      </c>
      <c r="BQ28" s="387" t="s">
        <v>1076</v>
      </c>
      <c r="BR28" s="110">
        <v>2397</v>
      </c>
      <c r="BS28" s="337">
        <v>44687</v>
      </c>
      <c r="BT28" s="110">
        <v>2397</v>
      </c>
      <c r="BU28" s="206"/>
      <c r="BV28" s="206"/>
      <c r="BW28" s="206"/>
      <c r="BX28" s="206"/>
      <c r="BY28" s="206"/>
      <c r="BZ28" s="206"/>
      <c r="CA28" s="206"/>
      <c r="CB28" s="206"/>
      <c r="CC28" s="206"/>
      <c r="CD28" s="206"/>
      <c r="CE28" s="206"/>
      <c r="CF28" s="206"/>
      <c r="CG28" s="206"/>
      <c r="CH28" s="206"/>
      <c r="CI28" s="206"/>
      <c r="CJ28" s="206"/>
      <c r="CK28" s="245" t="s">
        <v>154</v>
      </c>
      <c r="CL28" s="181" t="s">
        <v>3749</v>
      </c>
      <c r="CM28" s="246"/>
      <c r="CN28" s="247" t="s">
        <v>990</v>
      </c>
      <c r="CO28" s="282" t="s">
        <v>122</v>
      </c>
      <c r="CP28" s="155"/>
      <c r="CQ28" s="354" t="s">
        <v>1036</v>
      </c>
      <c r="CR28" s="131" t="s">
        <v>1032</v>
      </c>
      <c r="CS28" s="116" t="str">
        <f t="shared" si="9"/>
        <v>Mirco Gasparotto (OSA)</v>
      </c>
      <c r="CT28" s="820">
        <f t="shared" ref="CT28:CT29" si="54">IF(OR(D28&gt;0,E28&gt;0,F28&gt;0),IF(BB28=0,BD28*BG28,0))</f>
        <v>359.55</v>
      </c>
      <c r="CU28" s="820">
        <f t="shared" ref="CU28:CU29" si="55">IF(OR(D28&gt;0,E28&gt;0,F28&gt;0),IF(BB28=0,BD28*BM28,0))</f>
        <v>119.85000000000001</v>
      </c>
      <c r="CV28" s="116" t="str">
        <f t="shared" si="10"/>
        <v>Bruno</v>
      </c>
      <c r="CW28" s="207"/>
      <c r="CX28" s="729"/>
      <c r="CY28" s="729"/>
      <c r="CZ28" s="729"/>
      <c r="DA28" s="729"/>
      <c r="DB28" s="729"/>
      <c r="DC28" s="729"/>
    </row>
    <row r="29" spans="1:107" ht="30" customHeight="1">
      <c r="A29" s="228"/>
      <c r="B29" s="155">
        <v>101421</v>
      </c>
      <c r="C29" s="155">
        <f t="shared" si="11"/>
        <v>28</v>
      </c>
      <c r="D29" s="757">
        <v>1</v>
      </c>
      <c r="E29" s="757">
        <v>1</v>
      </c>
      <c r="F29" s="757">
        <v>1</v>
      </c>
      <c r="G29" s="283" t="s">
        <v>3753</v>
      </c>
      <c r="H29" s="283" t="s">
        <v>3754</v>
      </c>
      <c r="I29" s="1234" t="s">
        <v>3755</v>
      </c>
      <c r="J29" s="207" t="str">
        <f t="shared" si="0"/>
        <v>Dejan Misic</v>
      </c>
      <c r="K29" s="224"/>
      <c r="L29" s="1248"/>
      <c r="M29" s="1248" t="s">
        <v>3756</v>
      </c>
      <c r="N29" s="131" t="str">
        <f t="shared" si="1"/>
        <v>DIGIMAX</v>
      </c>
      <c r="O29" s="284"/>
      <c r="P29" s="37"/>
      <c r="Q29" s="37"/>
      <c r="R29" s="131" t="s">
        <v>3746</v>
      </c>
      <c r="S29" s="160"/>
      <c r="T29" s="84"/>
      <c r="U29" s="84"/>
      <c r="V29" s="84"/>
      <c r="W29" s="267"/>
      <c r="X29" s="234"/>
      <c r="Y29" s="267"/>
      <c r="Z29" s="267"/>
      <c r="AA29" s="267"/>
      <c r="AB29" s="37"/>
      <c r="AC29" s="37"/>
      <c r="AD29" s="37" t="s">
        <v>3747</v>
      </c>
      <c r="AE29" s="181"/>
      <c r="AF29" s="198"/>
      <c r="AG29" s="121"/>
      <c r="AH29" s="121"/>
      <c r="AI29" s="121"/>
      <c r="AJ29" s="198"/>
      <c r="AK29" s="121"/>
      <c r="AL29" s="121"/>
      <c r="AM29" s="121"/>
      <c r="AN29" s="198"/>
      <c r="AO29" s="155"/>
      <c r="AP29" s="155"/>
      <c r="AQ29" s="155"/>
      <c r="AR29" s="198"/>
      <c r="AS29" s="121" t="s">
        <v>115</v>
      </c>
      <c r="AT29" s="121" t="s">
        <v>115</v>
      </c>
      <c r="AU29" s="121" t="s">
        <v>115</v>
      </c>
      <c r="AV29" s="198"/>
      <c r="AW29" s="121"/>
      <c r="AX29" s="121"/>
      <c r="AY29" s="121"/>
      <c r="AZ29" s="808">
        <f t="shared" si="2"/>
        <v>2397</v>
      </c>
      <c r="BA29" s="761">
        <f t="shared" si="3"/>
        <v>2397</v>
      </c>
      <c r="BB29" s="761">
        <f t="shared" si="4"/>
        <v>0</v>
      </c>
      <c r="BC29" s="110"/>
      <c r="BD29" s="1230">
        <v>2397</v>
      </c>
      <c r="BE29" s="1231"/>
      <c r="BF29" s="306" t="s">
        <v>1034</v>
      </c>
      <c r="BG29" s="98">
        <v>0.15</v>
      </c>
      <c r="BH29" s="110"/>
      <c r="BI29" s="242">
        <f t="shared" si="50"/>
        <v>359.55</v>
      </c>
      <c r="BJ29" s="1231">
        <f t="shared" si="51"/>
        <v>0</v>
      </c>
      <c r="BK29" s="243" t="s">
        <v>1076</v>
      </c>
      <c r="BL29" s="243" t="s">
        <v>525</v>
      </c>
      <c r="BM29" s="98">
        <v>0.05</v>
      </c>
      <c r="BN29" s="110"/>
      <c r="BO29" s="242">
        <f t="shared" si="52"/>
        <v>119.85000000000001</v>
      </c>
      <c r="BP29" s="1231">
        <f t="shared" si="53"/>
        <v>0</v>
      </c>
      <c r="BQ29" s="387" t="s">
        <v>1076</v>
      </c>
      <c r="BR29" s="110">
        <v>2397</v>
      </c>
      <c r="BS29" s="337">
        <v>44687</v>
      </c>
      <c r="BT29" s="110">
        <v>2397</v>
      </c>
      <c r="BU29" s="206"/>
      <c r="BV29" s="206"/>
      <c r="BW29" s="206"/>
      <c r="BX29" s="206"/>
      <c r="BY29" s="206"/>
      <c r="BZ29" s="206"/>
      <c r="CA29" s="206"/>
      <c r="CB29" s="206"/>
      <c r="CC29" s="206"/>
      <c r="CD29" s="206"/>
      <c r="CE29" s="206"/>
      <c r="CF29" s="206"/>
      <c r="CG29" s="206"/>
      <c r="CH29" s="206"/>
      <c r="CI29" s="206"/>
      <c r="CJ29" s="206"/>
      <c r="CK29" s="245" t="s">
        <v>2612</v>
      </c>
      <c r="CL29" s="181" t="s">
        <v>2311</v>
      </c>
      <c r="CM29" s="246"/>
      <c r="CN29" s="247" t="s">
        <v>990</v>
      </c>
      <c r="CO29" s="282" t="s">
        <v>122</v>
      </c>
      <c r="CP29" s="155"/>
      <c r="CQ29" s="354" t="s">
        <v>1036</v>
      </c>
      <c r="CR29" s="131" t="s">
        <v>1032</v>
      </c>
      <c r="CS29" s="116" t="str">
        <f t="shared" si="9"/>
        <v>Mirco Gasparotto (OSA)</v>
      </c>
      <c r="CT29" s="820">
        <f t="shared" si="54"/>
        <v>359.55</v>
      </c>
      <c r="CU29" s="820">
        <f t="shared" si="55"/>
        <v>119.85000000000001</v>
      </c>
      <c r="CV29" s="116" t="str">
        <f t="shared" si="10"/>
        <v>Bruno</v>
      </c>
      <c r="CW29" s="155">
        <v>1</v>
      </c>
      <c r="CX29" s="729"/>
      <c r="CY29" s="729"/>
      <c r="CZ29" s="729"/>
      <c r="DA29" s="729"/>
      <c r="DB29" s="729"/>
      <c r="DC29" s="729"/>
    </row>
    <row r="30" spans="1:107" ht="30" customHeight="1">
      <c r="A30" s="228"/>
      <c r="B30" s="155">
        <v>101421</v>
      </c>
      <c r="C30" s="155">
        <f t="shared" si="11"/>
        <v>29</v>
      </c>
      <c r="D30" s="757">
        <v>1</v>
      </c>
      <c r="E30" s="757"/>
      <c r="F30" s="757">
        <v>1</v>
      </c>
      <c r="G30" s="283" t="s">
        <v>954</v>
      </c>
      <c r="H30" s="283" t="s">
        <v>3757</v>
      </c>
      <c r="I30" s="207" t="s">
        <v>3758</v>
      </c>
      <c r="J30" s="207" t="str">
        <f t="shared" si="0"/>
        <v>Flavio Zordan</v>
      </c>
      <c r="K30" s="224"/>
      <c r="L30" s="1244"/>
      <c r="M30" s="1244" t="s">
        <v>3759</v>
      </c>
      <c r="N30" s="131" t="str">
        <f t="shared" si="1"/>
        <v>DIGIMAX</v>
      </c>
      <c r="O30" s="284"/>
      <c r="P30" s="37"/>
      <c r="Q30" s="37"/>
      <c r="R30" s="131" t="s">
        <v>3746</v>
      </c>
      <c r="S30" s="160"/>
      <c r="T30" s="84"/>
      <c r="U30" s="84"/>
      <c r="V30" s="84"/>
      <c r="W30" s="267"/>
      <c r="X30" s="234"/>
      <c r="Y30" s="267"/>
      <c r="Z30" s="267"/>
      <c r="AA30" s="267"/>
      <c r="AB30" s="37"/>
      <c r="AC30" s="37"/>
      <c r="AD30" s="37" t="s">
        <v>3747</v>
      </c>
      <c r="AE30" s="181"/>
      <c r="AF30" s="198"/>
      <c r="AG30" s="121"/>
      <c r="AH30" s="121"/>
      <c r="AI30" s="121"/>
      <c r="AJ30" s="198"/>
      <c r="AK30" s="121"/>
      <c r="AL30" s="121"/>
      <c r="AM30" s="121"/>
      <c r="AN30" s="198"/>
      <c r="AO30" s="155"/>
      <c r="AP30" s="155" t="s">
        <v>115</v>
      </c>
      <c r="AQ30" s="155"/>
      <c r="AR30" s="198"/>
      <c r="AS30" s="19" t="s">
        <v>115</v>
      </c>
      <c r="AT30" s="121"/>
      <c r="AU30" s="121" t="s">
        <v>115</v>
      </c>
      <c r="AV30" s="198"/>
      <c r="AW30" s="121"/>
      <c r="AX30" s="121"/>
      <c r="AY30" s="121"/>
      <c r="AZ30" s="808">
        <f t="shared" si="2"/>
        <v>2397</v>
      </c>
      <c r="BA30" s="761">
        <f t="shared" si="3"/>
        <v>2397</v>
      </c>
      <c r="BB30" s="761">
        <f t="shared" si="4"/>
        <v>0</v>
      </c>
      <c r="BC30" s="110">
        <f t="shared" ref="BC30:BC32" si="56">BA30</f>
        <v>2397</v>
      </c>
      <c r="BD30" s="1230">
        <f t="shared" ref="BD30:BD32" si="57">AZ30-BC30</f>
        <v>0</v>
      </c>
      <c r="BE30" s="1231"/>
      <c r="BF30" s="306" t="s">
        <v>1034</v>
      </c>
      <c r="BG30" s="98">
        <v>0.15</v>
      </c>
      <c r="BH30" s="381">
        <f t="shared" ref="BH30:BH32" si="58">AZ30*BG30</f>
        <v>359.55</v>
      </c>
      <c r="BI30" s="242"/>
      <c r="BJ30" s="1231"/>
      <c r="BK30" s="243" t="s">
        <v>3735</v>
      </c>
      <c r="BL30" s="243" t="s">
        <v>525</v>
      </c>
      <c r="BM30" s="98">
        <v>0.05</v>
      </c>
      <c r="BN30" s="381">
        <f t="shared" ref="BN30:BN32" si="59">AZ30*BM30</f>
        <v>119.85000000000001</v>
      </c>
      <c r="BO30" s="242"/>
      <c r="BP30" s="1231"/>
      <c r="BQ30" s="243" t="s">
        <v>3735</v>
      </c>
      <c r="BR30" s="110">
        <v>2397</v>
      </c>
      <c r="BS30" s="337">
        <v>44687</v>
      </c>
      <c r="BT30" s="110">
        <v>2397</v>
      </c>
      <c r="BU30" s="206"/>
      <c r="BV30" s="206"/>
      <c r="BW30" s="206"/>
      <c r="BX30" s="206"/>
      <c r="BY30" s="206"/>
      <c r="BZ30" s="206"/>
      <c r="CA30" s="206"/>
      <c r="CB30" s="206"/>
      <c r="CC30" s="206"/>
      <c r="CD30" s="206"/>
      <c r="CE30" s="206"/>
      <c r="CF30" s="206"/>
      <c r="CG30" s="206"/>
      <c r="CH30" s="206"/>
      <c r="CI30" s="206"/>
      <c r="CJ30" s="206"/>
      <c r="CK30" s="245" t="s">
        <v>2612</v>
      </c>
      <c r="CL30" s="181" t="s">
        <v>2311</v>
      </c>
      <c r="CM30" s="246"/>
      <c r="CN30" s="247" t="s">
        <v>990</v>
      </c>
      <c r="CO30" s="282" t="s">
        <v>122</v>
      </c>
      <c r="CP30" s="155"/>
      <c r="CQ30" s="354" t="s">
        <v>1036</v>
      </c>
      <c r="CR30" s="131" t="s">
        <v>1032</v>
      </c>
      <c r="CS30" s="116" t="str">
        <f t="shared" si="9"/>
        <v>Mirco Gasparotto (OSA)</v>
      </c>
      <c r="CT30" s="242"/>
      <c r="CU30" s="242"/>
      <c r="CV30" s="116" t="str">
        <f t="shared" si="10"/>
        <v>Bruno</v>
      </c>
      <c r="CW30" s="207"/>
      <c r="CX30" s="729"/>
      <c r="CY30" s="729"/>
      <c r="CZ30" s="729"/>
      <c r="DA30" s="729"/>
      <c r="DB30" s="729"/>
      <c r="DC30" s="729"/>
    </row>
    <row r="31" spans="1:107" ht="30" customHeight="1">
      <c r="A31" s="228"/>
      <c r="B31" s="155">
        <v>101422</v>
      </c>
      <c r="C31" s="155">
        <f t="shared" si="11"/>
        <v>30</v>
      </c>
      <c r="D31" s="757"/>
      <c r="E31" s="757">
        <v>1</v>
      </c>
      <c r="F31" s="757">
        <v>1</v>
      </c>
      <c r="G31" s="283" t="s">
        <v>166</v>
      </c>
      <c r="H31" s="283" t="s">
        <v>3760</v>
      </c>
      <c r="I31" s="207" t="s">
        <v>3761</v>
      </c>
      <c r="J31" s="207" t="str">
        <f t="shared" si="0"/>
        <v>Matteo Dal Lago</v>
      </c>
      <c r="K31" s="224">
        <v>3466068013</v>
      </c>
      <c r="L31" s="1244"/>
      <c r="M31" s="1244" t="s">
        <v>3762</v>
      </c>
      <c r="N31" s="131" t="str">
        <f t="shared" si="1"/>
        <v>DIGIMAX</v>
      </c>
      <c r="O31" s="284"/>
      <c r="P31" s="37"/>
      <c r="Q31" s="37"/>
      <c r="R31" s="131" t="s">
        <v>3763</v>
      </c>
      <c r="S31" s="160"/>
      <c r="T31" s="84"/>
      <c r="U31" s="84"/>
      <c r="V31" s="84"/>
      <c r="W31" s="267"/>
      <c r="X31" s="234"/>
      <c r="Y31" s="267"/>
      <c r="Z31" s="267"/>
      <c r="AA31" s="267"/>
      <c r="AB31" s="37"/>
      <c r="AC31" s="37"/>
      <c r="AD31" s="37" t="s">
        <v>3764</v>
      </c>
      <c r="AE31" s="181"/>
      <c r="AF31" s="198"/>
      <c r="AG31" s="121"/>
      <c r="AH31" s="121"/>
      <c r="AI31" s="121"/>
      <c r="AJ31" s="198"/>
      <c r="AK31" s="121"/>
      <c r="AL31" s="121"/>
      <c r="AM31" s="121"/>
      <c r="AN31" s="198"/>
      <c r="AO31" s="155" t="s">
        <v>115</v>
      </c>
      <c r="AP31" s="155"/>
      <c r="AQ31" s="155"/>
      <c r="AR31" s="198"/>
      <c r="AS31" s="121"/>
      <c r="AT31" s="121" t="s">
        <v>115</v>
      </c>
      <c r="AU31" s="121" t="s">
        <v>115</v>
      </c>
      <c r="AV31" s="198"/>
      <c r="AW31" s="121"/>
      <c r="AX31" s="121"/>
      <c r="AY31" s="121"/>
      <c r="AZ31" s="808">
        <f t="shared" si="2"/>
        <v>2397</v>
      </c>
      <c r="BA31" s="761">
        <f t="shared" si="3"/>
        <v>2397</v>
      </c>
      <c r="BB31" s="761">
        <f t="shared" si="4"/>
        <v>0</v>
      </c>
      <c r="BC31" s="110">
        <f t="shared" si="56"/>
        <v>2397</v>
      </c>
      <c r="BD31" s="1230">
        <f t="shared" si="57"/>
        <v>0</v>
      </c>
      <c r="BE31" s="1231"/>
      <c r="BF31" s="306" t="s">
        <v>1034</v>
      </c>
      <c r="BG31" s="98">
        <v>0.15</v>
      </c>
      <c r="BH31" s="110">
        <f t="shared" si="58"/>
        <v>359.55</v>
      </c>
      <c r="BI31" s="242"/>
      <c r="BJ31" s="1231"/>
      <c r="BK31" s="243" t="s">
        <v>968</v>
      </c>
      <c r="BL31" s="243" t="s">
        <v>525</v>
      </c>
      <c r="BM31" s="98">
        <v>0.05</v>
      </c>
      <c r="BN31" s="110">
        <f t="shared" si="59"/>
        <v>119.85000000000001</v>
      </c>
      <c r="BO31" s="242"/>
      <c r="BP31" s="1231"/>
      <c r="BQ31" s="243" t="s">
        <v>968</v>
      </c>
      <c r="BR31" s="110">
        <v>2397</v>
      </c>
      <c r="BS31" s="337">
        <v>44687</v>
      </c>
      <c r="BT31" s="110">
        <v>2397</v>
      </c>
      <c r="BU31" s="206"/>
      <c r="BV31" s="206"/>
      <c r="BW31" s="206"/>
      <c r="BX31" s="206"/>
      <c r="BY31" s="206"/>
      <c r="BZ31" s="206"/>
      <c r="CA31" s="206"/>
      <c r="CB31" s="206"/>
      <c r="CC31" s="206"/>
      <c r="CD31" s="206"/>
      <c r="CE31" s="206"/>
      <c r="CF31" s="206"/>
      <c r="CG31" s="206"/>
      <c r="CH31" s="206"/>
      <c r="CI31" s="206"/>
      <c r="CJ31" s="206"/>
      <c r="CK31" s="245" t="s">
        <v>154</v>
      </c>
      <c r="CL31" s="181" t="s">
        <v>3749</v>
      </c>
      <c r="CM31" s="246"/>
      <c r="CN31" s="247" t="s">
        <v>990</v>
      </c>
      <c r="CO31" s="282" t="s">
        <v>122</v>
      </c>
      <c r="CP31" s="155"/>
      <c r="CQ31" s="354" t="s">
        <v>1036</v>
      </c>
      <c r="CR31" s="131" t="s">
        <v>1032</v>
      </c>
      <c r="CS31" s="116" t="str">
        <f t="shared" si="9"/>
        <v>Mirco Gasparotto (OSA)</v>
      </c>
      <c r="CT31" s="242"/>
      <c r="CU31" s="242"/>
      <c r="CV31" s="116" t="str">
        <f t="shared" si="10"/>
        <v>Bruno</v>
      </c>
      <c r="CW31" s="207"/>
      <c r="CX31" s="729"/>
      <c r="CY31" s="729"/>
      <c r="CZ31" s="729"/>
      <c r="DA31" s="729"/>
      <c r="DB31" s="729"/>
      <c r="DC31" s="729"/>
    </row>
    <row r="32" spans="1:107" ht="30" customHeight="1">
      <c r="A32" s="228"/>
      <c r="B32" s="155">
        <v>101421</v>
      </c>
      <c r="C32" s="155">
        <f t="shared" si="11"/>
        <v>31</v>
      </c>
      <c r="D32" s="757"/>
      <c r="E32" s="757"/>
      <c r="F32" s="757">
        <v>1</v>
      </c>
      <c r="G32" s="283" t="s">
        <v>321</v>
      </c>
      <c r="H32" s="283" t="s">
        <v>913</v>
      </c>
      <c r="I32" s="207" t="s">
        <v>3765</v>
      </c>
      <c r="J32" s="207" t="str">
        <f t="shared" si="0"/>
        <v>Davide Baglioni</v>
      </c>
      <c r="K32" s="224">
        <v>3409618165</v>
      </c>
      <c r="L32" s="1244"/>
      <c r="M32" s="1244" t="s">
        <v>3766</v>
      </c>
      <c r="N32" s="131" t="str">
        <f t="shared" si="1"/>
        <v>DIGIMAX</v>
      </c>
      <c r="O32" s="284"/>
      <c r="P32" s="37"/>
      <c r="Q32" s="37"/>
      <c r="R32" s="131" t="s">
        <v>3746</v>
      </c>
      <c r="S32" s="160"/>
      <c r="T32" s="84"/>
      <c r="U32" s="84"/>
      <c r="V32" s="84"/>
      <c r="W32" s="267"/>
      <c r="X32" s="234"/>
      <c r="Y32" s="267"/>
      <c r="Z32" s="267"/>
      <c r="AA32" s="267"/>
      <c r="AB32" s="37"/>
      <c r="AC32" s="37"/>
      <c r="AD32" s="37" t="s">
        <v>3747</v>
      </c>
      <c r="AE32" s="181"/>
      <c r="AF32" s="198"/>
      <c r="AG32" s="121"/>
      <c r="AH32" s="121"/>
      <c r="AI32" s="121"/>
      <c r="AJ32" s="198"/>
      <c r="AK32" s="121"/>
      <c r="AL32" s="121"/>
      <c r="AM32" s="121"/>
      <c r="AN32" s="198"/>
      <c r="AO32" s="155" t="s">
        <v>115</v>
      </c>
      <c r="AP32" s="155" t="s">
        <v>115</v>
      </c>
      <c r="AQ32" s="155"/>
      <c r="AR32" s="198"/>
      <c r="AS32" s="121"/>
      <c r="AT32" s="121"/>
      <c r="AU32" s="121" t="s">
        <v>115</v>
      </c>
      <c r="AV32" s="198"/>
      <c r="AW32" s="121"/>
      <c r="AX32" s="121"/>
      <c r="AY32" s="121"/>
      <c r="AZ32" s="808">
        <f t="shared" si="2"/>
        <v>2397</v>
      </c>
      <c r="BA32" s="761">
        <f t="shared" si="3"/>
        <v>2397</v>
      </c>
      <c r="BB32" s="761">
        <f t="shared" si="4"/>
        <v>0</v>
      </c>
      <c r="BC32" s="110">
        <f t="shared" si="56"/>
        <v>2397</v>
      </c>
      <c r="BD32" s="1230">
        <f t="shared" si="57"/>
        <v>0</v>
      </c>
      <c r="BE32" s="1231"/>
      <c r="BF32" s="306" t="s">
        <v>1034</v>
      </c>
      <c r="BG32" s="98">
        <v>0.15</v>
      </c>
      <c r="BH32" s="110">
        <f t="shared" si="58"/>
        <v>359.55</v>
      </c>
      <c r="BI32" s="242"/>
      <c r="BJ32" s="1231"/>
      <c r="BK32" s="243" t="s">
        <v>968</v>
      </c>
      <c r="BL32" s="243" t="s">
        <v>525</v>
      </c>
      <c r="BM32" s="98">
        <v>0.05</v>
      </c>
      <c r="BN32" s="110">
        <f t="shared" si="59"/>
        <v>119.85000000000001</v>
      </c>
      <c r="BO32" s="242"/>
      <c r="BP32" s="1231"/>
      <c r="BQ32" s="243" t="s">
        <v>968</v>
      </c>
      <c r="BR32" s="110">
        <v>2397</v>
      </c>
      <c r="BS32" s="286">
        <v>44671</v>
      </c>
      <c r="BT32" s="110">
        <v>2397</v>
      </c>
      <c r="BU32" s="206"/>
      <c r="BV32" s="206"/>
      <c r="BW32" s="206"/>
      <c r="BX32" s="206"/>
      <c r="BY32" s="206"/>
      <c r="BZ32" s="206"/>
      <c r="CA32" s="206"/>
      <c r="CB32" s="206"/>
      <c r="CC32" s="206"/>
      <c r="CD32" s="206"/>
      <c r="CE32" s="206"/>
      <c r="CF32" s="206"/>
      <c r="CG32" s="206"/>
      <c r="CH32" s="206"/>
      <c r="CI32" s="206"/>
      <c r="CJ32" s="206"/>
      <c r="CK32" s="245" t="s">
        <v>2612</v>
      </c>
      <c r="CL32" s="181" t="s">
        <v>2311</v>
      </c>
      <c r="CM32" s="246"/>
      <c r="CN32" s="247" t="s">
        <v>990</v>
      </c>
      <c r="CO32" s="282" t="s">
        <v>122</v>
      </c>
      <c r="CP32" s="155"/>
      <c r="CQ32" s="354" t="s">
        <v>1036</v>
      </c>
      <c r="CR32" s="131" t="s">
        <v>1032</v>
      </c>
      <c r="CS32" s="116" t="str">
        <f t="shared" si="9"/>
        <v>Mirco Gasparotto (OSA)</v>
      </c>
      <c r="CT32" s="242"/>
      <c r="CU32" s="242"/>
      <c r="CV32" s="116" t="str">
        <f t="shared" si="10"/>
        <v>Bruno</v>
      </c>
      <c r="CW32" s="207"/>
      <c r="CX32" s="729"/>
      <c r="CY32" s="729"/>
      <c r="CZ32" s="729"/>
      <c r="DA32" s="729"/>
      <c r="DB32" s="729"/>
      <c r="DC32" s="729"/>
    </row>
    <row r="33" spans="1:107" ht="30" customHeight="1">
      <c r="A33" s="228"/>
      <c r="B33" s="155">
        <v>101421</v>
      </c>
      <c r="C33" s="155">
        <f t="shared" si="11"/>
        <v>32</v>
      </c>
      <c r="D33" s="757">
        <v>1</v>
      </c>
      <c r="E33" s="757">
        <v>1</v>
      </c>
      <c r="F33" s="757">
        <v>1</v>
      </c>
      <c r="G33" s="283" t="s">
        <v>3165</v>
      </c>
      <c r="H33" s="283" t="s">
        <v>1709</v>
      </c>
      <c r="I33" s="1234" t="s">
        <v>3767</v>
      </c>
      <c r="J33" s="207" t="str">
        <f t="shared" si="0"/>
        <v>Massimiliano Arpino</v>
      </c>
      <c r="K33" s="224"/>
      <c r="L33" s="1248"/>
      <c r="M33" s="624" t="s">
        <v>3768</v>
      </c>
      <c r="N33" s="131" t="str">
        <f t="shared" si="1"/>
        <v>DIGIMAX</v>
      </c>
      <c r="O33" s="284"/>
      <c r="P33" s="37"/>
      <c r="Q33" s="37"/>
      <c r="R33" s="131" t="s">
        <v>3746</v>
      </c>
      <c r="S33" s="160"/>
      <c r="T33" s="84"/>
      <c r="U33" s="84"/>
      <c r="V33" s="84"/>
      <c r="W33" s="267"/>
      <c r="X33" s="234"/>
      <c r="Y33" s="267"/>
      <c r="Z33" s="267"/>
      <c r="AA33" s="267"/>
      <c r="AB33" s="37"/>
      <c r="AC33" s="37"/>
      <c r="AD33" s="37" t="s">
        <v>3747</v>
      </c>
      <c r="AE33" s="181"/>
      <c r="AF33" s="198"/>
      <c r="AG33" s="121"/>
      <c r="AH33" s="121"/>
      <c r="AI33" s="121"/>
      <c r="AJ33" s="198"/>
      <c r="AK33" s="121"/>
      <c r="AL33" s="121"/>
      <c r="AM33" s="121"/>
      <c r="AN33" s="198"/>
      <c r="AO33" s="155"/>
      <c r="AP33" s="155"/>
      <c r="AQ33" s="155"/>
      <c r="AR33" s="198"/>
      <c r="AS33" s="121" t="s">
        <v>115</v>
      </c>
      <c r="AT33" s="121" t="s">
        <v>115</v>
      </c>
      <c r="AU33" s="121" t="s">
        <v>115</v>
      </c>
      <c r="AV33" s="198"/>
      <c r="AW33" s="121"/>
      <c r="AX33" s="121"/>
      <c r="AY33" s="121"/>
      <c r="AZ33" s="808">
        <f t="shared" si="2"/>
        <v>2397</v>
      </c>
      <c r="BA33" s="761">
        <f t="shared" si="3"/>
        <v>2397</v>
      </c>
      <c r="BB33" s="761">
        <f t="shared" si="4"/>
        <v>0</v>
      </c>
      <c r="BC33" s="110"/>
      <c r="BD33" s="1230">
        <v>2397</v>
      </c>
      <c r="BE33" s="1231"/>
      <c r="BF33" s="306" t="s">
        <v>1034</v>
      </c>
      <c r="BG33" s="98">
        <v>0.15</v>
      </c>
      <c r="BH33" s="110"/>
      <c r="BI33" s="242">
        <f>BD33*BG33</f>
        <v>359.55</v>
      </c>
      <c r="BJ33" s="1231">
        <f>BE33*BG33</f>
        <v>0</v>
      </c>
      <c r="BK33" s="243" t="s">
        <v>1076</v>
      </c>
      <c r="BL33" s="243" t="s">
        <v>525</v>
      </c>
      <c r="BM33" s="98">
        <v>0.05</v>
      </c>
      <c r="BN33" s="110"/>
      <c r="BO33" s="242">
        <f>BD33*BM33</f>
        <v>119.85000000000001</v>
      </c>
      <c r="BP33" s="1231">
        <f>BE33*BM33</f>
        <v>0</v>
      </c>
      <c r="BQ33" s="387" t="s">
        <v>1076</v>
      </c>
      <c r="BR33" s="110">
        <v>2397</v>
      </c>
      <c r="BS33" s="286">
        <v>44671</v>
      </c>
      <c r="BT33" s="110">
        <v>2397</v>
      </c>
      <c r="BU33" s="206"/>
      <c r="BV33" s="206"/>
      <c r="BW33" s="206"/>
      <c r="BX33" s="206"/>
      <c r="BY33" s="206"/>
      <c r="BZ33" s="206"/>
      <c r="CA33" s="206"/>
      <c r="CB33" s="206"/>
      <c r="CC33" s="206"/>
      <c r="CD33" s="206"/>
      <c r="CE33" s="206"/>
      <c r="CF33" s="206"/>
      <c r="CG33" s="206"/>
      <c r="CH33" s="206"/>
      <c r="CI33" s="206"/>
      <c r="CJ33" s="206"/>
      <c r="CK33" s="245" t="s">
        <v>154</v>
      </c>
      <c r="CL33" s="181" t="s">
        <v>3749</v>
      </c>
      <c r="CM33" s="246"/>
      <c r="CN33" s="247" t="s">
        <v>990</v>
      </c>
      <c r="CO33" s="282" t="s">
        <v>122</v>
      </c>
      <c r="CP33" s="155"/>
      <c r="CQ33" s="354" t="s">
        <v>1036</v>
      </c>
      <c r="CR33" s="131" t="s">
        <v>1032</v>
      </c>
      <c r="CS33" s="116" t="str">
        <f t="shared" si="9"/>
        <v>Mirco Gasparotto (OSA)</v>
      </c>
      <c r="CT33" s="820">
        <f>IF(OR(D33&gt;0,E33&gt;0,F33&gt;0),IF(BB33=0,BD33*BG33,0))</f>
        <v>359.55</v>
      </c>
      <c r="CU33" s="820">
        <f>IF(OR(D33&gt;0,E33&gt;0,F33&gt;0),IF(BB33=0,BD33*BM33,0))</f>
        <v>119.85000000000001</v>
      </c>
      <c r="CV33" s="116" t="str">
        <f t="shared" si="10"/>
        <v>Bruno</v>
      </c>
      <c r="CW33" s="207"/>
      <c r="CX33" s="729"/>
      <c r="CY33" s="729"/>
      <c r="CZ33" s="729"/>
      <c r="DA33" s="729"/>
      <c r="DB33" s="729"/>
      <c r="DC33" s="729"/>
    </row>
    <row r="34" spans="1:107" ht="30" customHeight="1">
      <c r="A34" s="228"/>
      <c r="B34" s="155">
        <v>101421</v>
      </c>
      <c r="C34" s="155">
        <f t="shared" si="11"/>
        <v>33</v>
      </c>
      <c r="D34" s="757"/>
      <c r="E34" s="757"/>
      <c r="F34" s="757"/>
      <c r="G34" s="283" t="s">
        <v>1679</v>
      </c>
      <c r="H34" s="283" t="s">
        <v>3769</v>
      </c>
      <c r="I34" s="207" t="s">
        <v>3770</v>
      </c>
      <c r="J34" s="207" t="str">
        <f t="shared" si="0"/>
        <v>Debora Scalabrin</v>
      </c>
      <c r="K34" s="224">
        <v>3458037704</v>
      </c>
      <c r="L34" s="1244"/>
      <c r="M34" s="1244" t="s">
        <v>3771</v>
      </c>
      <c r="N34" s="131" t="str">
        <f t="shared" si="1"/>
        <v>DIGIMAX</v>
      </c>
      <c r="O34" s="284"/>
      <c r="P34" s="37"/>
      <c r="Q34" s="37"/>
      <c r="R34" s="131" t="s">
        <v>3746</v>
      </c>
      <c r="S34" s="160"/>
      <c r="T34" s="84"/>
      <c r="U34" s="84"/>
      <c r="V34" s="84"/>
      <c r="W34" s="267"/>
      <c r="X34" s="234"/>
      <c r="Y34" s="267"/>
      <c r="Z34" s="267"/>
      <c r="AA34" s="267"/>
      <c r="AB34" s="37"/>
      <c r="AC34" s="37"/>
      <c r="AD34" s="37" t="s">
        <v>3747</v>
      </c>
      <c r="AE34" s="181"/>
      <c r="AF34" s="198"/>
      <c r="AG34" s="121"/>
      <c r="AH34" s="121"/>
      <c r="AI34" s="121"/>
      <c r="AJ34" s="198"/>
      <c r="AK34" s="121"/>
      <c r="AL34" s="121"/>
      <c r="AM34" s="121"/>
      <c r="AN34" s="198"/>
      <c r="AO34" s="155" t="s">
        <v>115</v>
      </c>
      <c r="AP34" s="155"/>
      <c r="AQ34" s="155"/>
      <c r="AR34" s="198"/>
      <c r="AS34" s="121"/>
      <c r="AT34" s="154" t="s">
        <v>194</v>
      </c>
      <c r="AU34" s="154" t="s">
        <v>194</v>
      </c>
      <c r="AV34" s="198"/>
      <c r="AW34" s="121"/>
      <c r="AX34" s="121" t="s">
        <v>27</v>
      </c>
      <c r="AY34" s="121"/>
      <c r="AZ34" s="808">
        <f t="shared" si="2"/>
        <v>2397</v>
      </c>
      <c r="BA34" s="761">
        <f t="shared" si="3"/>
        <v>2397</v>
      </c>
      <c r="BB34" s="761">
        <f t="shared" si="4"/>
        <v>0</v>
      </c>
      <c r="BC34" s="110">
        <f>BA34</f>
        <v>2397</v>
      </c>
      <c r="BD34" s="1230">
        <f t="shared" ref="BD34:BD35" si="60">AZ34-BC34</f>
        <v>0</v>
      </c>
      <c r="BE34" s="1231"/>
      <c r="BF34" s="306" t="s">
        <v>1034</v>
      </c>
      <c r="BG34" s="98">
        <v>0.15</v>
      </c>
      <c r="BH34" s="110">
        <f>AZ34*BG34</f>
        <v>359.55</v>
      </c>
      <c r="BI34" s="242"/>
      <c r="BJ34" s="1231"/>
      <c r="BK34" s="243" t="s">
        <v>968</v>
      </c>
      <c r="BL34" s="243" t="s">
        <v>525</v>
      </c>
      <c r="BM34" s="98">
        <v>0.05</v>
      </c>
      <c r="BN34" s="110">
        <f>AZ34*BM34</f>
        <v>119.85000000000001</v>
      </c>
      <c r="BO34" s="242"/>
      <c r="BP34" s="1231"/>
      <c r="BQ34" s="243" t="s">
        <v>968</v>
      </c>
      <c r="BR34" s="110">
        <v>2397</v>
      </c>
      <c r="BS34" s="286">
        <v>44671</v>
      </c>
      <c r="BT34" s="110">
        <v>2397</v>
      </c>
      <c r="BU34" s="206"/>
      <c r="BV34" s="206"/>
      <c r="BW34" s="206"/>
      <c r="BX34" s="206"/>
      <c r="BY34" s="206"/>
      <c r="BZ34" s="206"/>
      <c r="CA34" s="206"/>
      <c r="CB34" s="206"/>
      <c r="CC34" s="206"/>
      <c r="CD34" s="206"/>
      <c r="CE34" s="206"/>
      <c r="CF34" s="206"/>
      <c r="CG34" s="206"/>
      <c r="CH34" s="206"/>
      <c r="CI34" s="206"/>
      <c r="CJ34" s="206"/>
      <c r="CK34" s="245" t="s">
        <v>2612</v>
      </c>
      <c r="CL34" s="181" t="s">
        <v>2311</v>
      </c>
      <c r="CM34" s="246"/>
      <c r="CN34" s="247" t="s">
        <v>990</v>
      </c>
      <c r="CO34" s="282" t="s">
        <v>122</v>
      </c>
      <c r="CP34" s="155"/>
      <c r="CQ34" s="354" t="s">
        <v>1036</v>
      </c>
      <c r="CR34" s="131" t="s">
        <v>1032</v>
      </c>
      <c r="CS34" s="116" t="str">
        <f t="shared" si="9"/>
        <v>Mirco Gasparotto (OSA)</v>
      </c>
      <c r="CT34" s="242"/>
      <c r="CU34" s="242"/>
      <c r="CV34" s="116" t="str">
        <f t="shared" si="10"/>
        <v>Bruno</v>
      </c>
      <c r="CW34" s="207"/>
      <c r="CX34" s="729"/>
      <c r="CY34" s="729"/>
      <c r="CZ34" s="729"/>
      <c r="DA34" s="729"/>
      <c r="DB34" s="729"/>
      <c r="DC34" s="729"/>
    </row>
    <row r="35" spans="1:107" ht="30" customHeight="1">
      <c r="A35" s="228"/>
      <c r="B35" s="155">
        <v>101421</v>
      </c>
      <c r="C35" s="155">
        <f t="shared" si="11"/>
        <v>34</v>
      </c>
      <c r="D35" s="757"/>
      <c r="E35" s="757">
        <v>1</v>
      </c>
      <c r="F35" s="757"/>
      <c r="G35" s="283" t="s">
        <v>3772</v>
      </c>
      <c r="H35" s="283" t="s">
        <v>3773</v>
      </c>
      <c r="I35" s="207" t="s">
        <v>1031</v>
      </c>
      <c r="J35" s="207" t="str">
        <f t="shared" si="0"/>
        <v>Lucrezia Barzi</v>
      </c>
      <c r="K35" s="224"/>
      <c r="L35" s="131"/>
      <c r="M35" s="131"/>
      <c r="N35" s="131" t="str">
        <f t="shared" si="1"/>
        <v>DIGIMAX</v>
      </c>
      <c r="O35" s="284"/>
      <c r="P35" s="37"/>
      <c r="Q35" s="37"/>
      <c r="R35" s="131"/>
      <c r="S35" s="160"/>
      <c r="T35" s="84"/>
      <c r="U35" s="84"/>
      <c r="V35" s="84"/>
      <c r="W35" s="267"/>
      <c r="X35" s="234"/>
      <c r="Y35" s="267"/>
      <c r="Z35" s="267"/>
      <c r="AA35" s="267"/>
      <c r="AB35" s="37"/>
      <c r="AC35" s="37"/>
      <c r="AD35" s="37" t="s">
        <v>1033</v>
      </c>
      <c r="AE35" s="181"/>
      <c r="AF35" s="198"/>
      <c r="AG35" s="121"/>
      <c r="AH35" s="121"/>
      <c r="AI35" s="121"/>
      <c r="AJ35" s="198"/>
      <c r="AK35" s="121"/>
      <c r="AL35" s="121"/>
      <c r="AM35" s="121"/>
      <c r="AN35" s="198"/>
      <c r="AO35" s="155"/>
      <c r="AP35" s="155"/>
      <c r="AQ35" s="155"/>
      <c r="AR35" s="198"/>
      <c r="AS35" s="121"/>
      <c r="AT35" s="121" t="s">
        <v>115</v>
      </c>
      <c r="AU35" s="154" t="s">
        <v>194</v>
      </c>
      <c r="AV35" s="198"/>
      <c r="AW35" s="121" t="s">
        <v>115</v>
      </c>
      <c r="AX35" s="121"/>
      <c r="AY35" s="121" t="s">
        <v>115</v>
      </c>
      <c r="AZ35" s="808">
        <f t="shared" si="2"/>
        <v>1097</v>
      </c>
      <c r="BA35" s="761">
        <f t="shared" si="3"/>
        <v>1097</v>
      </c>
      <c r="BB35" s="761">
        <f t="shared" si="4"/>
        <v>0</v>
      </c>
      <c r="BC35" s="110"/>
      <c r="BD35" s="1230">
        <f t="shared" si="60"/>
        <v>1097</v>
      </c>
      <c r="BE35" s="1231"/>
      <c r="BF35" s="306" t="s">
        <v>1034</v>
      </c>
      <c r="BG35" s="98">
        <v>0.15</v>
      </c>
      <c r="BH35" s="110"/>
      <c r="BI35" s="242">
        <f t="shared" ref="BI35:BI36" si="61">BD35*BG35</f>
        <v>164.54999999999998</v>
      </c>
      <c r="BJ35" s="1231"/>
      <c r="BK35" s="765" t="s">
        <v>1035</v>
      </c>
      <c r="BL35" s="243" t="s">
        <v>525</v>
      </c>
      <c r="BM35" s="98">
        <v>0.05</v>
      </c>
      <c r="BN35" s="110"/>
      <c r="BO35" s="242">
        <f t="shared" ref="BO35:BO36" si="62">BD35*BM35</f>
        <v>54.85</v>
      </c>
      <c r="BP35" s="1231"/>
      <c r="BQ35" s="765" t="s">
        <v>1035</v>
      </c>
      <c r="BR35" s="1249">
        <v>1097</v>
      </c>
      <c r="BS35" s="286">
        <v>44893</v>
      </c>
      <c r="BT35" s="1249">
        <v>1097</v>
      </c>
      <c r="BU35" s="206"/>
      <c r="BV35" s="206"/>
      <c r="BW35" s="206"/>
      <c r="BX35" s="206"/>
      <c r="BY35" s="206"/>
      <c r="BZ35" s="206"/>
      <c r="CA35" s="302"/>
      <c r="CB35" s="206"/>
      <c r="CC35" s="206"/>
      <c r="CD35" s="206"/>
      <c r="CE35" s="206"/>
      <c r="CF35" s="206"/>
      <c r="CG35" s="206"/>
      <c r="CH35" s="206"/>
      <c r="CI35" s="206"/>
      <c r="CJ35" s="206"/>
      <c r="CK35" s="245" t="s">
        <v>2612</v>
      </c>
      <c r="CL35" s="181"/>
      <c r="CM35" s="246"/>
      <c r="CN35" s="247" t="s">
        <v>990</v>
      </c>
      <c r="CO35" s="155" t="s">
        <v>122</v>
      </c>
      <c r="CP35" s="155"/>
      <c r="CQ35" s="354" t="s">
        <v>1036</v>
      </c>
      <c r="CR35" s="131" t="s">
        <v>1032</v>
      </c>
      <c r="CS35" s="116" t="str">
        <f t="shared" si="9"/>
        <v>Mirco Gasparotto (OSA)</v>
      </c>
      <c r="CT35" s="820">
        <f t="shared" ref="CT35:CT39" si="63">IF(OR(D35&gt;0,E35&gt;0,F35&gt;0),IF(BB35=0,BD35*BG35,0))</f>
        <v>164.54999999999998</v>
      </c>
      <c r="CU35" s="820">
        <f t="shared" ref="CU35:CU39" si="64">IF(OR(D35&gt;0,E35&gt;0,F35&gt;0),IF(BB35=0,BD35*BM35,0))</f>
        <v>54.85</v>
      </c>
      <c r="CV35" s="116" t="str">
        <f t="shared" si="10"/>
        <v>Bruno</v>
      </c>
      <c r="CW35" s="207"/>
      <c r="CX35" s="729"/>
      <c r="CY35" s="729"/>
      <c r="CZ35" s="729"/>
      <c r="DA35" s="729"/>
      <c r="DB35" s="729"/>
      <c r="DC35" s="729"/>
    </row>
    <row r="36" spans="1:107" ht="30" customHeight="1">
      <c r="A36" s="228"/>
      <c r="B36" s="155">
        <v>101434</v>
      </c>
      <c r="C36" s="155">
        <f t="shared" si="11"/>
        <v>35</v>
      </c>
      <c r="D36" s="757">
        <v>1</v>
      </c>
      <c r="E36" s="757">
        <v>1</v>
      </c>
      <c r="F36" s="757">
        <v>1</v>
      </c>
      <c r="G36" s="283" t="s">
        <v>3774</v>
      </c>
      <c r="H36" s="283" t="s">
        <v>3775</v>
      </c>
      <c r="I36" s="1246" t="s">
        <v>3776</v>
      </c>
      <c r="J36" s="207" t="str">
        <f t="shared" si="0"/>
        <v>Nicolò Menardi</v>
      </c>
      <c r="K36" s="224">
        <v>3388338148</v>
      </c>
      <c r="L36" s="131"/>
      <c r="M36" s="131" t="s">
        <v>3777</v>
      </c>
      <c r="N36" s="131" t="str">
        <f t="shared" si="1"/>
        <v>CastelMAC</v>
      </c>
      <c r="O36" s="284"/>
      <c r="P36" s="37"/>
      <c r="Q36" s="37"/>
      <c r="R36" s="131" t="s">
        <v>3778</v>
      </c>
      <c r="S36" s="160"/>
      <c r="T36" s="84"/>
      <c r="U36" s="84"/>
      <c r="V36" s="84"/>
      <c r="W36" s="267"/>
      <c r="X36" s="234"/>
      <c r="Y36" s="267"/>
      <c r="Z36" s="267"/>
      <c r="AA36" s="267"/>
      <c r="AB36" s="37"/>
      <c r="AC36" s="37"/>
      <c r="AD36" s="37" t="s">
        <v>3779</v>
      </c>
      <c r="AE36" s="181" t="s">
        <v>3780</v>
      </c>
      <c r="AF36" s="198"/>
      <c r="AG36" s="121"/>
      <c r="AH36" s="121"/>
      <c r="AI36" s="121"/>
      <c r="AJ36" s="198"/>
      <c r="AK36" s="121"/>
      <c r="AL36" s="121"/>
      <c r="AM36" s="121"/>
      <c r="AN36" s="198"/>
      <c r="AO36" s="155"/>
      <c r="AP36" s="155"/>
      <c r="AQ36" s="155"/>
      <c r="AR36" s="198"/>
      <c r="AS36" s="121" t="s">
        <v>115</v>
      </c>
      <c r="AT36" s="121" t="s">
        <v>115</v>
      </c>
      <c r="AU36" s="121" t="s">
        <v>115</v>
      </c>
      <c r="AV36" s="198"/>
      <c r="AW36" s="121"/>
      <c r="AX36" s="121"/>
      <c r="AY36" s="121"/>
      <c r="AZ36" s="808">
        <f t="shared" si="2"/>
        <v>2397</v>
      </c>
      <c r="BA36" s="761">
        <f t="shared" si="3"/>
        <v>2397</v>
      </c>
      <c r="BB36" s="761">
        <f t="shared" si="4"/>
        <v>0</v>
      </c>
      <c r="BC36" s="110"/>
      <c r="BD36" s="1230">
        <v>2397</v>
      </c>
      <c r="BE36" s="1231"/>
      <c r="BF36" s="306" t="s">
        <v>1034</v>
      </c>
      <c r="BG36" s="98">
        <v>0.15</v>
      </c>
      <c r="BH36" s="110"/>
      <c r="BI36" s="242">
        <f t="shared" si="61"/>
        <v>359.55</v>
      </c>
      <c r="BJ36" s="1231">
        <f t="shared" ref="BJ36:BJ41" si="65">BE36*BG36</f>
        <v>0</v>
      </c>
      <c r="BK36" s="243" t="s">
        <v>1076</v>
      </c>
      <c r="BL36" s="243" t="s">
        <v>525</v>
      </c>
      <c r="BM36" s="98">
        <v>0.05</v>
      </c>
      <c r="BN36" s="110"/>
      <c r="BO36" s="242">
        <f t="shared" si="62"/>
        <v>119.85000000000001</v>
      </c>
      <c r="BP36" s="1231">
        <f t="shared" ref="BP36:BP39" si="66">BE36*BM36</f>
        <v>0</v>
      </c>
      <c r="BQ36" s="387" t="s">
        <v>1076</v>
      </c>
      <c r="BR36" s="110">
        <v>2397</v>
      </c>
      <c r="BS36" s="286">
        <v>44701</v>
      </c>
      <c r="BT36" s="110">
        <v>2397</v>
      </c>
      <c r="BU36" s="206"/>
      <c r="BV36" s="206"/>
      <c r="BW36" s="206"/>
      <c r="BX36" s="206"/>
      <c r="BY36" s="206"/>
      <c r="BZ36" s="206"/>
      <c r="CA36" s="206"/>
      <c r="CB36" s="206"/>
      <c r="CC36" s="206"/>
      <c r="CD36" s="206"/>
      <c r="CE36" s="206"/>
      <c r="CF36" s="206"/>
      <c r="CG36" s="206"/>
      <c r="CH36" s="206"/>
      <c r="CI36" s="206"/>
      <c r="CJ36" s="206"/>
      <c r="CK36" s="245" t="s">
        <v>154</v>
      </c>
      <c r="CL36" s="181" t="s">
        <v>3749</v>
      </c>
      <c r="CM36" s="246"/>
      <c r="CN36" s="247" t="s">
        <v>990</v>
      </c>
      <c r="CO36" s="282" t="s">
        <v>122</v>
      </c>
      <c r="CP36" s="155"/>
      <c r="CQ36" s="131" t="s">
        <v>3781</v>
      </c>
      <c r="CR36" s="131" t="s">
        <v>3782</v>
      </c>
      <c r="CS36" s="116" t="str">
        <f t="shared" si="9"/>
        <v>Mirco Gasparotto (OSA)</v>
      </c>
      <c r="CT36" s="820">
        <f t="shared" si="63"/>
        <v>359.55</v>
      </c>
      <c r="CU36" s="820">
        <f t="shared" si="64"/>
        <v>119.85000000000001</v>
      </c>
      <c r="CV36" s="116" t="str">
        <f t="shared" si="10"/>
        <v>Bruno</v>
      </c>
      <c r="CW36" s="207"/>
      <c r="CX36" s="729"/>
      <c r="CY36" s="729"/>
      <c r="CZ36" s="729"/>
      <c r="DA36" s="729"/>
      <c r="DB36" s="729"/>
      <c r="DC36" s="729"/>
    </row>
    <row r="37" spans="1:107" ht="30" customHeight="1">
      <c r="A37" s="228"/>
      <c r="B37" s="155">
        <v>101435</v>
      </c>
      <c r="C37" s="155">
        <f t="shared" si="11"/>
        <v>36</v>
      </c>
      <c r="D37" s="757">
        <v>1</v>
      </c>
      <c r="E37" s="757">
        <v>1</v>
      </c>
      <c r="F37" s="757">
        <v>1</v>
      </c>
      <c r="G37" s="283" t="s">
        <v>3783</v>
      </c>
      <c r="H37" s="283" t="s">
        <v>2406</v>
      </c>
      <c r="I37" s="1234" t="s">
        <v>3784</v>
      </c>
      <c r="J37" s="207" t="str">
        <f t="shared" si="0"/>
        <v>Jacopo Regazzo</v>
      </c>
      <c r="K37" s="224">
        <v>3453336200</v>
      </c>
      <c r="L37" s="131"/>
      <c r="M37" s="131" t="s">
        <v>3785</v>
      </c>
      <c r="N37" s="131" t="str">
        <f t="shared" si="1"/>
        <v>CastelMAC</v>
      </c>
      <c r="O37" s="284"/>
      <c r="P37" s="37"/>
      <c r="Q37" s="37"/>
      <c r="R37" s="131" t="s">
        <v>3778</v>
      </c>
      <c r="S37" s="160"/>
      <c r="T37" s="84"/>
      <c r="U37" s="84"/>
      <c r="V37" s="84"/>
      <c r="W37" s="267"/>
      <c r="X37" s="234"/>
      <c r="Y37" s="267"/>
      <c r="Z37" s="267"/>
      <c r="AA37" s="267"/>
      <c r="AB37" s="37"/>
      <c r="AC37" s="37"/>
      <c r="AD37" s="37" t="s">
        <v>3786</v>
      </c>
      <c r="AE37" s="181" t="s">
        <v>3787</v>
      </c>
      <c r="AF37" s="198"/>
      <c r="AG37" s="121"/>
      <c r="AH37" s="121"/>
      <c r="AI37" s="121"/>
      <c r="AJ37" s="198"/>
      <c r="AK37" s="121"/>
      <c r="AL37" s="121"/>
      <c r="AM37" s="121"/>
      <c r="AN37" s="198"/>
      <c r="AO37" s="155"/>
      <c r="AP37" s="155"/>
      <c r="AQ37" s="155"/>
      <c r="AR37" s="198"/>
      <c r="AS37" s="121" t="s">
        <v>115</v>
      </c>
      <c r="AT37" s="121" t="s">
        <v>115</v>
      </c>
      <c r="AU37" s="121" t="s">
        <v>115</v>
      </c>
      <c r="AV37" s="198"/>
      <c r="AW37" s="121"/>
      <c r="AX37" s="121"/>
      <c r="AY37" s="121"/>
      <c r="AZ37" s="808">
        <f t="shared" si="2"/>
        <v>2397</v>
      </c>
      <c r="BA37" s="761">
        <f t="shared" si="3"/>
        <v>2397</v>
      </c>
      <c r="BB37" s="761">
        <f t="shared" si="4"/>
        <v>0</v>
      </c>
      <c r="BC37" s="110"/>
      <c r="BD37" s="1230">
        <v>2405.1999999999998</v>
      </c>
      <c r="BE37" s="1231"/>
      <c r="BF37" s="306" t="s">
        <v>1034</v>
      </c>
      <c r="BG37" s="98">
        <v>0.15</v>
      </c>
      <c r="BH37" s="110"/>
      <c r="BI37" s="1250">
        <v>359.55</v>
      </c>
      <c r="BJ37" s="1231">
        <f t="shared" si="65"/>
        <v>0</v>
      </c>
      <c r="BK37" s="243" t="s">
        <v>1076</v>
      </c>
      <c r="BL37" s="243" t="s">
        <v>525</v>
      </c>
      <c r="BM37" s="98">
        <v>0.05</v>
      </c>
      <c r="BN37" s="110"/>
      <c r="BO37" s="1250">
        <v>119.85</v>
      </c>
      <c r="BP37" s="1231">
        <f t="shared" si="66"/>
        <v>0</v>
      </c>
      <c r="BQ37" s="387" t="s">
        <v>1076</v>
      </c>
      <c r="BR37" s="110">
        <v>2397</v>
      </c>
      <c r="BS37" s="286">
        <v>44701</v>
      </c>
      <c r="BT37" s="110">
        <v>2397</v>
      </c>
      <c r="BU37" s="206"/>
      <c r="BV37" s="206"/>
      <c r="BW37" s="206"/>
      <c r="BX37" s="206"/>
      <c r="BY37" s="206"/>
      <c r="BZ37" s="206"/>
      <c r="CA37" s="206"/>
      <c r="CB37" s="206"/>
      <c r="CC37" s="206"/>
      <c r="CD37" s="206"/>
      <c r="CE37" s="206"/>
      <c r="CF37" s="206"/>
      <c r="CG37" s="206"/>
      <c r="CH37" s="206"/>
      <c r="CI37" s="206"/>
      <c r="CJ37" s="206"/>
      <c r="CK37" s="245" t="s">
        <v>154</v>
      </c>
      <c r="CL37" s="181" t="s">
        <v>3749</v>
      </c>
      <c r="CM37" s="246"/>
      <c r="CN37" s="247" t="s">
        <v>990</v>
      </c>
      <c r="CO37" s="282" t="s">
        <v>122</v>
      </c>
      <c r="CP37" s="155"/>
      <c r="CQ37" s="131" t="s">
        <v>3781</v>
      </c>
      <c r="CR37" s="131" t="s">
        <v>3782</v>
      </c>
      <c r="CS37" s="116" t="str">
        <f t="shared" si="9"/>
        <v>Mirco Gasparotto (OSA)</v>
      </c>
      <c r="CT37" s="820">
        <f t="shared" si="63"/>
        <v>360.78</v>
      </c>
      <c r="CU37" s="820">
        <f t="shared" si="64"/>
        <v>120.25999999999999</v>
      </c>
      <c r="CV37" s="116" t="str">
        <f t="shared" si="10"/>
        <v>Bruno</v>
      </c>
      <c r="CW37" s="207"/>
      <c r="CX37" s="729"/>
      <c r="CY37" s="729"/>
      <c r="CZ37" s="729"/>
      <c r="DA37" s="729"/>
      <c r="DB37" s="729"/>
      <c r="DC37" s="729"/>
    </row>
    <row r="38" spans="1:107" ht="30" customHeight="1">
      <c r="A38" s="228"/>
      <c r="B38" s="155" t="s">
        <v>3670</v>
      </c>
      <c r="C38" s="155">
        <f t="shared" si="11"/>
        <v>37</v>
      </c>
      <c r="D38" s="757"/>
      <c r="E38" s="757"/>
      <c r="F38" s="757"/>
      <c r="G38" s="283" t="s">
        <v>1022</v>
      </c>
      <c r="H38" s="283" t="s">
        <v>1023</v>
      </c>
      <c r="I38" s="207" t="s">
        <v>1024</v>
      </c>
      <c r="J38" s="207" t="str">
        <f t="shared" si="0"/>
        <v>Gianni Maspero</v>
      </c>
      <c r="K38" s="224">
        <v>3929177256</v>
      </c>
      <c r="L38" s="131"/>
      <c r="M38" s="131"/>
      <c r="N38" s="131" t="str">
        <f t="shared" si="1"/>
        <v>Truck One Uk</v>
      </c>
      <c r="O38" s="284"/>
      <c r="P38" s="37"/>
      <c r="Q38" s="37"/>
      <c r="R38" s="131" t="s">
        <v>1027</v>
      </c>
      <c r="S38" s="160"/>
      <c r="T38" s="84"/>
      <c r="U38" s="84"/>
      <c r="V38" s="84"/>
      <c r="W38" s="267"/>
      <c r="X38" s="234"/>
      <c r="Y38" s="267"/>
      <c r="Z38" s="267"/>
      <c r="AA38" s="267"/>
      <c r="AB38" s="37"/>
      <c r="AC38" s="37"/>
      <c r="AD38" s="37" t="s">
        <v>1028</v>
      </c>
      <c r="AE38" s="181"/>
      <c r="AF38" s="198"/>
      <c r="AG38" s="121"/>
      <c r="AH38" s="121"/>
      <c r="AI38" s="121"/>
      <c r="AJ38" s="198"/>
      <c r="AK38" s="121"/>
      <c r="AL38" s="121"/>
      <c r="AM38" s="121"/>
      <c r="AN38" s="198"/>
      <c r="AO38" s="155"/>
      <c r="AP38" s="155"/>
      <c r="AQ38" s="155"/>
      <c r="AR38" s="198"/>
      <c r="AS38" s="304"/>
      <c r="AT38" s="304"/>
      <c r="AU38" s="304"/>
      <c r="AV38" s="198"/>
      <c r="AW38" s="304" t="s">
        <v>245</v>
      </c>
      <c r="AX38" s="304" t="s">
        <v>245</v>
      </c>
      <c r="AY38" s="304" t="s">
        <v>245</v>
      </c>
      <c r="AZ38" s="808">
        <f t="shared" si="2"/>
        <v>3497.0000000000005</v>
      </c>
      <c r="BA38" s="761">
        <f t="shared" si="3"/>
        <v>163.9344262295082</v>
      </c>
      <c r="BB38" s="761">
        <f t="shared" si="4"/>
        <v>3333.0655737704924</v>
      </c>
      <c r="BC38" s="110"/>
      <c r="BD38" s="1230">
        <v>0</v>
      </c>
      <c r="BE38" s="1231">
        <v>3497</v>
      </c>
      <c r="BF38" s="305" t="s">
        <v>133</v>
      </c>
      <c r="BG38" s="145">
        <v>0.15</v>
      </c>
      <c r="BH38" s="110"/>
      <c r="BI38" s="242">
        <f t="shared" ref="BI38:BI41" si="67">BD38*BG38</f>
        <v>0</v>
      </c>
      <c r="BJ38" s="1231">
        <f t="shared" si="65"/>
        <v>524.54999999999995</v>
      </c>
      <c r="BK38" s="243"/>
      <c r="BL38" s="243" t="s">
        <v>133</v>
      </c>
      <c r="BM38" s="98">
        <v>0.05</v>
      </c>
      <c r="BN38" s="110"/>
      <c r="BO38" s="242">
        <f t="shared" ref="BO38:BO39" si="68">BD38*BM38</f>
        <v>0</v>
      </c>
      <c r="BP38" s="1231">
        <f t="shared" si="66"/>
        <v>174.85000000000002</v>
      </c>
      <c r="BQ38" s="243"/>
      <c r="BR38" s="110">
        <f>200/1.22</f>
        <v>163.9344262295082</v>
      </c>
      <c r="BS38" s="226">
        <v>44656</v>
      </c>
      <c r="BT38" s="110">
        <f>200/1.22</f>
        <v>163.9344262295082</v>
      </c>
      <c r="BU38" s="206"/>
      <c r="BV38" s="110">
        <f>1720/1.22</f>
        <v>1409.8360655737706</v>
      </c>
      <c r="BW38" s="226">
        <v>44694</v>
      </c>
      <c r="BX38" s="206"/>
      <c r="BY38" s="206"/>
      <c r="BZ38" s="110">
        <f>2346.34/1.22</f>
        <v>1923.2295081967216</v>
      </c>
      <c r="CA38" s="263" t="s">
        <v>2721</v>
      </c>
      <c r="CB38" s="206"/>
      <c r="CC38" s="206"/>
      <c r="CD38" s="206"/>
      <c r="CE38" s="206"/>
      <c r="CF38" s="206"/>
      <c r="CG38" s="206"/>
      <c r="CH38" s="206"/>
      <c r="CI38" s="206"/>
      <c r="CJ38" s="206"/>
      <c r="CK38" s="245" t="s">
        <v>2612</v>
      </c>
      <c r="CL38" s="181"/>
      <c r="CM38" s="246"/>
      <c r="CN38" s="247" t="s">
        <v>976</v>
      </c>
      <c r="CO38" s="282" t="s">
        <v>122</v>
      </c>
      <c r="CP38" s="155"/>
      <c r="CQ38" s="131"/>
      <c r="CR38" s="131" t="s">
        <v>1026</v>
      </c>
      <c r="CS38" s="116" t="str">
        <f t="shared" si="9"/>
        <v>Cristian B</v>
      </c>
      <c r="CT38" s="820" t="b">
        <f t="shared" si="63"/>
        <v>0</v>
      </c>
      <c r="CU38" s="820" t="b">
        <f t="shared" si="64"/>
        <v>0</v>
      </c>
      <c r="CV38" s="116" t="str">
        <f t="shared" si="10"/>
        <v>Cristian B</v>
      </c>
      <c r="CW38" s="207"/>
      <c r="CX38" s="729"/>
      <c r="CY38" s="729"/>
      <c r="CZ38" s="729"/>
      <c r="DA38" s="729"/>
      <c r="DB38" s="729"/>
      <c r="DC38" s="729"/>
    </row>
    <row r="39" spans="1:107" ht="30" customHeight="1">
      <c r="A39" s="228"/>
      <c r="B39" s="155">
        <v>101360</v>
      </c>
      <c r="C39" s="155">
        <f t="shared" si="11"/>
        <v>38</v>
      </c>
      <c r="D39" s="757"/>
      <c r="E39" s="757"/>
      <c r="F39" s="757"/>
      <c r="G39" s="283" t="s">
        <v>3788</v>
      </c>
      <c r="H39" s="283" t="s">
        <v>3789</v>
      </c>
      <c r="I39" s="1251" t="s">
        <v>1002</v>
      </c>
      <c r="J39" s="207" t="str">
        <f t="shared" si="0"/>
        <v>EX Gionatan EX - Iovino</v>
      </c>
      <c r="K39" s="224">
        <v>3920094560</v>
      </c>
      <c r="L39" s="131" t="s">
        <v>1003</v>
      </c>
      <c r="M39" s="131"/>
      <c r="N39" s="131" t="str">
        <f t="shared" si="1"/>
        <v>Hal Service</v>
      </c>
      <c r="O39" s="284"/>
      <c r="P39" s="37"/>
      <c r="Q39" s="37"/>
      <c r="R39" s="131" t="s">
        <v>1005</v>
      </c>
      <c r="S39" s="160"/>
      <c r="T39" s="84"/>
      <c r="U39" s="84"/>
      <c r="V39" s="84"/>
      <c r="W39" s="267"/>
      <c r="X39" s="234"/>
      <c r="Y39" s="267"/>
      <c r="Z39" s="267"/>
      <c r="AA39" s="267"/>
      <c r="AB39" s="37"/>
      <c r="AC39" s="37"/>
      <c r="AD39" s="37" t="s">
        <v>1006</v>
      </c>
      <c r="AE39" s="181"/>
      <c r="AF39" s="198"/>
      <c r="AG39" s="121"/>
      <c r="AH39" s="121"/>
      <c r="AI39" s="121"/>
      <c r="AJ39" s="198"/>
      <c r="AK39" s="121"/>
      <c r="AL39" s="121"/>
      <c r="AM39" s="121"/>
      <c r="AN39" s="198"/>
      <c r="AO39" s="155"/>
      <c r="AP39" s="155"/>
      <c r="AQ39" s="155"/>
      <c r="AR39" s="198"/>
      <c r="AS39" s="121"/>
      <c r="AT39" s="121"/>
      <c r="AU39" s="121"/>
      <c r="AV39" s="198"/>
      <c r="AW39" s="121" t="s">
        <v>27</v>
      </c>
      <c r="AX39" s="121" t="s">
        <v>27</v>
      </c>
      <c r="AY39" s="121" t="s">
        <v>27</v>
      </c>
      <c r="AZ39" s="808">
        <f t="shared" si="2"/>
        <v>2797</v>
      </c>
      <c r="BA39" s="761">
        <f t="shared" si="3"/>
        <v>2797</v>
      </c>
      <c r="BB39" s="761">
        <f t="shared" si="4"/>
        <v>0</v>
      </c>
      <c r="BC39" s="110"/>
      <c r="BD39" s="1230">
        <v>0</v>
      </c>
      <c r="BE39" s="1231">
        <v>2797</v>
      </c>
      <c r="BF39" s="285" t="s">
        <v>160</v>
      </c>
      <c r="BG39" s="98">
        <v>0.15</v>
      </c>
      <c r="BH39" s="110"/>
      <c r="BI39" s="242">
        <f t="shared" si="67"/>
        <v>0</v>
      </c>
      <c r="BJ39" s="1231">
        <f t="shared" si="65"/>
        <v>419.55</v>
      </c>
      <c r="BK39" s="243"/>
      <c r="BL39" s="243" t="s">
        <v>160</v>
      </c>
      <c r="BM39" s="98">
        <v>0.05</v>
      </c>
      <c r="BN39" s="110"/>
      <c r="BO39" s="242">
        <f t="shared" si="68"/>
        <v>0</v>
      </c>
      <c r="BP39" s="1231">
        <f t="shared" si="66"/>
        <v>139.85</v>
      </c>
      <c r="BQ39" s="243"/>
      <c r="BR39" s="110">
        <f>10237.02/1.22/3</f>
        <v>2797</v>
      </c>
      <c r="BS39" s="226">
        <v>44645</v>
      </c>
      <c r="BT39" s="110">
        <f>10237.02/1.22/3</f>
        <v>2797</v>
      </c>
      <c r="BU39" s="206"/>
      <c r="BV39" s="110"/>
      <c r="BW39" s="226"/>
      <c r="BX39" s="206"/>
      <c r="BY39" s="206"/>
      <c r="BZ39" s="110"/>
      <c r="CA39" s="263"/>
      <c r="CB39" s="206"/>
      <c r="CC39" s="206"/>
      <c r="CD39" s="206"/>
      <c r="CE39" s="206"/>
      <c r="CF39" s="206"/>
      <c r="CG39" s="206"/>
      <c r="CH39" s="206"/>
      <c r="CI39" s="206"/>
      <c r="CJ39" s="206"/>
      <c r="CK39" s="245" t="s">
        <v>2612</v>
      </c>
      <c r="CL39" s="181"/>
      <c r="CM39" s="246"/>
      <c r="CN39" s="247" t="s">
        <v>1007</v>
      </c>
      <c r="CO39" s="282" t="s">
        <v>122</v>
      </c>
      <c r="CP39" s="155"/>
      <c r="CQ39" s="131"/>
      <c r="CR39" s="131" t="s">
        <v>1004</v>
      </c>
      <c r="CS39" s="116" t="str">
        <f t="shared" si="9"/>
        <v>Gianluca</v>
      </c>
      <c r="CT39" s="820" t="b">
        <f t="shared" si="63"/>
        <v>0</v>
      </c>
      <c r="CU39" s="820" t="b">
        <f t="shared" si="64"/>
        <v>0</v>
      </c>
      <c r="CV39" s="116" t="str">
        <f t="shared" si="10"/>
        <v>Gianluca</v>
      </c>
      <c r="CW39" s="207"/>
      <c r="CX39" s="729"/>
      <c r="CY39" s="729"/>
      <c r="CZ39" s="729"/>
      <c r="DA39" s="729"/>
      <c r="DB39" s="729"/>
      <c r="DC39" s="729"/>
    </row>
    <row r="40" spans="1:107" ht="30" customHeight="1">
      <c r="A40" s="228"/>
      <c r="B40" s="155" t="s">
        <v>3670</v>
      </c>
      <c r="C40" s="155">
        <f t="shared" si="11"/>
        <v>39</v>
      </c>
      <c r="D40" s="757"/>
      <c r="E40" s="757"/>
      <c r="F40" s="757">
        <v>1</v>
      </c>
      <c r="G40" s="283" t="s">
        <v>2805</v>
      </c>
      <c r="H40" s="283" t="s">
        <v>3790</v>
      </c>
      <c r="I40" s="207" t="s">
        <v>3791</v>
      </c>
      <c r="J40" s="207" t="str">
        <f t="shared" si="0"/>
        <v>Giorgia Giabardo Coltman</v>
      </c>
      <c r="K40" s="224" t="s">
        <v>3792</v>
      </c>
      <c r="L40" s="131"/>
      <c r="M40" s="131"/>
      <c r="N40" s="131" t="str">
        <f t="shared" si="1"/>
        <v>Cobro Associates</v>
      </c>
      <c r="O40" s="284"/>
      <c r="P40" s="37"/>
      <c r="Q40" s="37"/>
      <c r="R40" s="131" t="s">
        <v>3793</v>
      </c>
      <c r="S40" s="160"/>
      <c r="T40" s="84"/>
      <c r="U40" s="84"/>
      <c r="V40" s="84"/>
      <c r="W40" s="267"/>
      <c r="X40" s="234"/>
      <c r="Y40" s="267"/>
      <c r="Z40" s="267"/>
      <c r="AA40" s="267"/>
      <c r="AB40" s="37"/>
      <c r="AC40" s="37"/>
      <c r="AD40" s="37" t="s">
        <v>3794</v>
      </c>
      <c r="AE40" s="181"/>
      <c r="AF40" s="198"/>
      <c r="AG40" s="121"/>
      <c r="AH40" s="121"/>
      <c r="AI40" s="121"/>
      <c r="AJ40" s="198"/>
      <c r="AK40" s="121"/>
      <c r="AL40" s="121"/>
      <c r="AM40" s="121"/>
      <c r="AN40" s="198"/>
      <c r="AO40" s="155" t="s">
        <v>115</v>
      </c>
      <c r="AP40" s="155" t="s">
        <v>115</v>
      </c>
      <c r="AQ40" s="124"/>
      <c r="AR40" s="198"/>
      <c r="AS40" s="121"/>
      <c r="AT40" s="121"/>
      <c r="AU40" s="19" t="s">
        <v>115</v>
      </c>
      <c r="AV40" s="198"/>
      <c r="AW40" s="121"/>
      <c r="AX40" s="121"/>
      <c r="AY40" s="121"/>
      <c r="AZ40" s="808">
        <f t="shared" si="2"/>
        <v>2997</v>
      </c>
      <c r="BA40" s="761">
        <f t="shared" si="3"/>
        <v>2997</v>
      </c>
      <c r="BB40" s="761">
        <f t="shared" si="4"/>
        <v>0</v>
      </c>
      <c r="BC40" s="110">
        <f t="shared" ref="BC40:BC42" si="69">BA40</f>
        <v>2997</v>
      </c>
      <c r="BD40" s="1230">
        <f t="shared" ref="BD40:BD42" si="70">AZ40-BC40</f>
        <v>0</v>
      </c>
      <c r="BE40" s="1231"/>
      <c r="BF40" s="285" t="s">
        <v>117</v>
      </c>
      <c r="BG40" s="98">
        <v>0</v>
      </c>
      <c r="BH40" s="110">
        <f t="shared" ref="BH40:BH42" si="71">AZ40*BG40</f>
        <v>0</v>
      </c>
      <c r="BI40" s="242">
        <f t="shared" si="67"/>
        <v>0</v>
      </c>
      <c r="BJ40" s="1231">
        <f t="shared" si="65"/>
        <v>0</v>
      </c>
      <c r="BK40" s="244" t="s">
        <v>118</v>
      </c>
      <c r="BL40" s="243" t="s">
        <v>152</v>
      </c>
      <c r="BM40" s="98">
        <v>0.05</v>
      </c>
      <c r="BN40" s="110">
        <f t="shared" ref="BN40:BN42" si="72">AZ40*BM40</f>
        <v>149.85</v>
      </c>
      <c r="BO40" s="242"/>
      <c r="BP40" s="1231"/>
      <c r="BQ40" s="243" t="s">
        <v>968</v>
      </c>
      <c r="BR40" s="110">
        <v>2997</v>
      </c>
      <c r="BS40" s="286">
        <v>44648</v>
      </c>
      <c r="BT40" s="110">
        <v>2997</v>
      </c>
      <c r="BU40" s="206"/>
      <c r="BV40" s="206"/>
      <c r="BW40" s="206"/>
      <c r="BX40" s="206"/>
      <c r="BY40" s="206"/>
      <c r="BZ40" s="206"/>
      <c r="CA40" s="206"/>
      <c r="CB40" s="206"/>
      <c r="CC40" s="206"/>
      <c r="CD40" s="206"/>
      <c r="CE40" s="206"/>
      <c r="CF40" s="206"/>
      <c r="CG40" s="206"/>
      <c r="CH40" s="206"/>
      <c r="CI40" s="206"/>
      <c r="CJ40" s="206"/>
      <c r="CK40" s="245">
        <v>1</v>
      </c>
      <c r="CL40" s="181" t="s">
        <v>1088</v>
      </c>
      <c r="CM40" s="246"/>
      <c r="CN40" s="1252" t="s">
        <v>3795</v>
      </c>
      <c r="CO40" s="282" t="s">
        <v>122</v>
      </c>
      <c r="CP40" s="155"/>
      <c r="CQ40" s="131"/>
      <c r="CR40" s="131" t="s">
        <v>3796</v>
      </c>
      <c r="CS40" s="116" t="str">
        <f t="shared" si="9"/>
        <v>blackship</v>
      </c>
      <c r="CT40" s="242"/>
      <c r="CU40" s="242"/>
      <c r="CV40" s="116" t="str">
        <f t="shared" si="10"/>
        <v>Client Angel</v>
      </c>
      <c r="CW40" s="207"/>
      <c r="CX40" s="729"/>
      <c r="CY40" s="729"/>
      <c r="CZ40" s="729"/>
      <c r="DA40" s="729"/>
      <c r="DB40" s="729"/>
      <c r="DC40" s="729"/>
    </row>
    <row r="41" spans="1:107" ht="30" customHeight="1">
      <c r="A41" s="228"/>
      <c r="B41" s="155">
        <v>100366</v>
      </c>
      <c r="C41" s="155">
        <f t="shared" si="11"/>
        <v>40</v>
      </c>
      <c r="D41" s="757">
        <v>1</v>
      </c>
      <c r="E41" s="757"/>
      <c r="F41" s="757">
        <v>1</v>
      </c>
      <c r="G41" s="283" t="s">
        <v>3797</v>
      </c>
      <c r="H41" s="283" t="s">
        <v>3798</v>
      </c>
      <c r="I41" s="207" t="s">
        <v>3799</v>
      </c>
      <c r="J41" s="207" t="str">
        <f t="shared" si="0"/>
        <v>Lacramioara Minut</v>
      </c>
      <c r="K41" s="224">
        <v>3408419220</v>
      </c>
      <c r="L41" s="131"/>
      <c r="M41" s="131"/>
      <c r="N41" s="131" t="str">
        <f t="shared" si="1"/>
        <v>Edil Chic</v>
      </c>
      <c r="O41" s="284"/>
      <c r="P41" s="37"/>
      <c r="Q41" s="37"/>
      <c r="R41" s="131" t="s">
        <v>3800</v>
      </c>
      <c r="S41" s="160"/>
      <c r="T41" s="84"/>
      <c r="U41" s="84"/>
      <c r="V41" s="84"/>
      <c r="W41" s="267"/>
      <c r="X41" s="234"/>
      <c r="Y41" s="267"/>
      <c r="Z41" s="267"/>
      <c r="AA41" s="267"/>
      <c r="AB41" s="37"/>
      <c r="AC41" s="37"/>
      <c r="AD41" s="37" t="s">
        <v>3801</v>
      </c>
      <c r="AE41" s="181"/>
      <c r="AF41" s="198"/>
      <c r="AG41" s="121"/>
      <c r="AH41" s="121"/>
      <c r="AI41" s="121"/>
      <c r="AJ41" s="198"/>
      <c r="AK41" s="121"/>
      <c r="AL41" s="121"/>
      <c r="AM41" s="121"/>
      <c r="AN41" s="198"/>
      <c r="AO41" s="155"/>
      <c r="AP41" s="155" t="s">
        <v>115</v>
      </c>
      <c r="AQ41" s="155"/>
      <c r="AR41" s="198"/>
      <c r="AS41" s="19" t="s">
        <v>115</v>
      </c>
      <c r="AT41" s="121"/>
      <c r="AU41" s="19" t="s">
        <v>115</v>
      </c>
      <c r="AV41" s="198"/>
      <c r="AW41" s="121"/>
      <c r="AX41" s="121"/>
      <c r="AY41" s="121"/>
      <c r="AZ41" s="808">
        <f t="shared" si="2"/>
        <v>2997</v>
      </c>
      <c r="BA41" s="761">
        <f t="shared" si="3"/>
        <v>2997</v>
      </c>
      <c r="BB41" s="761">
        <f t="shared" si="4"/>
        <v>0</v>
      </c>
      <c r="BC41" s="110">
        <f t="shared" si="69"/>
        <v>2997</v>
      </c>
      <c r="BD41" s="1230">
        <f t="shared" si="70"/>
        <v>0</v>
      </c>
      <c r="BE41" s="1231"/>
      <c r="BF41" s="285" t="s">
        <v>117</v>
      </c>
      <c r="BG41" s="98">
        <v>0</v>
      </c>
      <c r="BH41" s="110">
        <f t="shared" si="71"/>
        <v>0</v>
      </c>
      <c r="BI41" s="242">
        <f t="shared" si="67"/>
        <v>0</v>
      </c>
      <c r="BJ41" s="1231">
        <f t="shared" si="65"/>
        <v>0</v>
      </c>
      <c r="BK41" s="244" t="s">
        <v>118</v>
      </c>
      <c r="BL41" s="243" t="s">
        <v>119</v>
      </c>
      <c r="BM41" s="98">
        <v>0.05</v>
      </c>
      <c r="BN41" s="381">
        <f t="shared" si="72"/>
        <v>149.85</v>
      </c>
      <c r="BO41" s="242"/>
      <c r="BP41" s="1231"/>
      <c r="BQ41" s="243" t="s">
        <v>3735</v>
      </c>
      <c r="BR41" s="110">
        <v>2997</v>
      </c>
      <c r="BS41" s="286">
        <v>44656</v>
      </c>
      <c r="BT41" s="110">
        <v>2997</v>
      </c>
      <c r="BU41" s="206"/>
      <c r="BV41" s="206"/>
      <c r="BW41" s="206"/>
      <c r="BX41" s="206"/>
      <c r="BY41" s="206"/>
      <c r="BZ41" s="206"/>
      <c r="CA41" s="206"/>
      <c r="CB41" s="206"/>
      <c r="CC41" s="206"/>
      <c r="CD41" s="206"/>
      <c r="CE41" s="206"/>
      <c r="CF41" s="206"/>
      <c r="CG41" s="206"/>
      <c r="CH41" s="206"/>
      <c r="CI41" s="206"/>
      <c r="CJ41" s="206"/>
      <c r="CK41" s="245" t="s">
        <v>2612</v>
      </c>
      <c r="CL41" s="181"/>
      <c r="CM41" s="246"/>
      <c r="CN41" s="247" t="s">
        <v>3802</v>
      </c>
      <c r="CO41" s="282" t="s">
        <v>122</v>
      </c>
      <c r="CP41" s="155"/>
      <c r="CQ41" s="131" t="s">
        <v>1992</v>
      </c>
      <c r="CR41" s="131" t="s">
        <v>2526</v>
      </c>
      <c r="CS41" s="116" t="str">
        <f t="shared" si="9"/>
        <v>blackship</v>
      </c>
      <c r="CT41" s="242"/>
      <c r="CU41" s="242"/>
      <c r="CV41" s="116" t="str">
        <f t="shared" si="10"/>
        <v>Raffaella</v>
      </c>
      <c r="CW41" s="207"/>
      <c r="CX41" s="729"/>
      <c r="CY41" s="729"/>
      <c r="CZ41" s="729"/>
      <c r="DA41" s="729"/>
      <c r="DB41" s="729"/>
      <c r="DC41" s="729"/>
    </row>
    <row r="42" spans="1:107" ht="30" customHeight="1">
      <c r="A42" s="228"/>
      <c r="B42" s="1237">
        <v>101316</v>
      </c>
      <c r="C42" s="155">
        <f t="shared" si="11"/>
        <v>41</v>
      </c>
      <c r="D42" s="757"/>
      <c r="E42" s="757">
        <v>1</v>
      </c>
      <c r="F42" s="757"/>
      <c r="G42" s="283" t="s">
        <v>204</v>
      </c>
      <c r="H42" s="283" t="s">
        <v>3803</v>
      </c>
      <c r="I42" s="207" t="s">
        <v>3804</v>
      </c>
      <c r="J42" s="207" t="str">
        <f t="shared" si="0"/>
        <v>Luca Formenti</v>
      </c>
      <c r="K42" s="224">
        <v>3803121395</v>
      </c>
      <c r="L42" s="131"/>
      <c r="M42" s="131" t="s">
        <v>3805</v>
      </c>
      <c r="N42" s="131" t="str">
        <f t="shared" si="1"/>
        <v>Eleva</v>
      </c>
      <c r="O42" s="284"/>
      <c r="P42" s="37"/>
      <c r="Q42" s="37"/>
      <c r="R42" s="131" t="s">
        <v>3806</v>
      </c>
      <c r="S42" s="160"/>
      <c r="T42" s="84"/>
      <c r="U42" s="84"/>
      <c r="V42" s="84"/>
      <c r="W42" s="267"/>
      <c r="X42" s="234"/>
      <c r="Y42" s="267"/>
      <c r="Z42" s="267"/>
      <c r="AA42" s="267"/>
      <c r="AB42" s="37"/>
      <c r="AC42" s="37"/>
      <c r="AD42" s="37" t="s">
        <v>3807</v>
      </c>
      <c r="AE42" s="181" t="s">
        <v>3808</v>
      </c>
      <c r="AF42" s="198"/>
      <c r="AG42" s="121"/>
      <c r="AH42" s="121"/>
      <c r="AI42" s="121"/>
      <c r="AJ42" s="198"/>
      <c r="AK42" s="121"/>
      <c r="AL42" s="121"/>
      <c r="AM42" s="121"/>
      <c r="AN42" s="198"/>
      <c r="AO42" s="155" t="s">
        <v>115</v>
      </c>
      <c r="AP42" s="155"/>
      <c r="AQ42" s="155"/>
      <c r="AR42" s="198"/>
      <c r="AS42" s="121"/>
      <c r="AT42" s="19" t="s">
        <v>115</v>
      </c>
      <c r="AU42" s="121"/>
      <c r="AV42" s="198"/>
      <c r="AW42" s="121"/>
      <c r="AX42" s="121"/>
      <c r="AY42" s="121" t="s">
        <v>27</v>
      </c>
      <c r="AZ42" s="808">
        <f t="shared" si="2"/>
        <v>2997</v>
      </c>
      <c r="BA42" s="761">
        <f t="shared" si="3"/>
        <v>2997</v>
      </c>
      <c r="BB42" s="761">
        <f t="shared" si="4"/>
        <v>0</v>
      </c>
      <c r="BC42" s="110">
        <f t="shared" si="69"/>
        <v>2997</v>
      </c>
      <c r="BD42" s="1230">
        <f t="shared" si="70"/>
        <v>0</v>
      </c>
      <c r="BE42" s="1231"/>
      <c r="BF42" s="285" t="s">
        <v>141</v>
      </c>
      <c r="BG42" s="98">
        <v>0.15</v>
      </c>
      <c r="BH42" s="110">
        <f t="shared" si="71"/>
        <v>449.55</v>
      </c>
      <c r="BI42" s="242"/>
      <c r="BJ42" s="1231"/>
      <c r="BK42" s="243" t="s">
        <v>968</v>
      </c>
      <c r="BL42" s="243" t="s">
        <v>141</v>
      </c>
      <c r="BM42" s="98">
        <v>0.05</v>
      </c>
      <c r="BN42" s="110">
        <f t="shared" si="72"/>
        <v>149.85</v>
      </c>
      <c r="BO42" s="242"/>
      <c r="BP42" s="1231"/>
      <c r="BQ42" s="243" t="s">
        <v>968</v>
      </c>
      <c r="BR42" s="110">
        <v>2997</v>
      </c>
      <c r="BS42" s="286">
        <v>44650</v>
      </c>
      <c r="BT42" s="110">
        <f t="shared" ref="BT42:BT43" si="73">3656.34/1.22</f>
        <v>2997</v>
      </c>
      <c r="BU42" s="206"/>
      <c r="BV42" s="206"/>
      <c r="BW42" s="206"/>
      <c r="BX42" s="206"/>
      <c r="BY42" s="206"/>
      <c r="BZ42" s="206"/>
      <c r="CA42" s="206"/>
      <c r="CB42" s="206"/>
      <c r="CC42" s="206"/>
      <c r="CD42" s="206"/>
      <c r="CE42" s="206"/>
      <c r="CF42" s="206"/>
      <c r="CG42" s="206"/>
      <c r="CH42" s="206"/>
      <c r="CI42" s="206"/>
      <c r="CJ42" s="206"/>
      <c r="CK42" s="245" t="s">
        <v>2612</v>
      </c>
      <c r="CL42" s="181"/>
      <c r="CM42" s="246"/>
      <c r="CN42" s="247" t="s">
        <v>3809</v>
      </c>
      <c r="CO42" s="282" t="s">
        <v>122</v>
      </c>
      <c r="CP42" s="155"/>
      <c r="CQ42" s="354" t="s">
        <v>3810</v>
      </c>
      <c r="CR42" s="131" t="s">
        <v>3811</v>
      </c>
      <c r="CS42" s="116" t="str">
        <f t="shared" si="9"/>
        <v>Daniele</v>
      </c>
      <c r="CT42" s="242"/>
      <c r="CU42" s="242"/>
      <c r="CV42" s="116" t="str">
        <f t="shared" si="10"/>
        <v>Daniele</v>
      </c>
      <c r="CW42" s="207"/>
      <c r="CX42" s="729"/>
      <c r="CY42" s="729"/>
      <c r="CZ42" s="729"/>
      <c r="DA42" s="729"/>
      <c r="DB42" s="729"/>
      <c r="DC42" s="729"/>
    </row>
    <row r="43" spans="1:107" ht="30" customHeight="1">
      <c r="A43" s="228"/>
      <c r="B43" s="155">
        <v>101399</v>
      </c>
      <c r="C43" s="155">
        <f t="shared" si="11"/>
        <v>42</v>
      </c>
      <c r="D43" s="757">
        <v>1</v>
      </c>
      <c r="E43" s="757">
        <v>1</v>
      </c>
      <c r="F43" s="757">
        <v>1</v>
      </c>
      <c r="G43" s="283" t="s">
        <v>204</v>
      </c>
      <c r="H43" s="283" t="s">
        <v>3812</v>
      </c>
      <c r="I43" s="1234" t="s">
        <v>3813</v>
      </c>
      <c r="J43" s="207" t="str">
        <f t="shared" si="0"/>
        <v>Luca Guerini</v>
      </c>
      <c r="K43" s="224">
        <v>3337552051</v>
      </c>
      <c r="L43" s="1248"/>
      <c r="M43" s="624" t="s">
        <v>1258</v>
      </c>
      <c r="N43" s="131" t="str">
        <f t="shared" si="1"/>
        <v>UTR TIBERTI – EVO INTERNATIONAL GROUP</v>
      </c>
      <c r="O43" s="284"/>
      <c r="P43" s="37"/>
      <c r="Q43" s="37"/>
      <c r="R43" s="1244" t="s">
        <v>3814</v>
      </c>
      <c r="S43" s="160"/>
      <c r="T43" s="160"/>
      <c r="U43" s="160"/>
      <c r="V43" s="160"/>
      <c r="W43" s="233"/>
      <c r="X43" s="234"/>
      <c r="Y43" s="233"/>
      <c r="Z43" s="233"/>
      <c r="AA43" s="233"/>
      <c r="AB43" s="37"/>
      <c r="AC43" s="37"/>
      <c r="AD43" s="37" t="s">
        <v>3815</v>
      </c>
      <c r="AE43" s="181"/>
      <c r="AF43" s="198"/>
      <c r="AG43" s="121"/>
      <c r="AH43" s="121"/>
      <c r="AI43" s="121"/>
      <c r="AJ43" s="198"/>
      <c r="AK43" s="121"/>
      <c r="AL43" s="121"/>
      <c r="AM43" s="121"/>
      <c r="AN43" s="198"/>
      <c r="AO43" s="155"/>
      <c r="AP43" s="155"/>
      <c r="AQ43" s="228"/>
      <c r="AR43" s="198"/>
      <c r="AS43" s="121" t="s">
        <v>115</v>
      </c>
      <c r="AT43" s="121" t="s">
        <v>115</v>
      </c>
      <c r="AU43" s="19" t="s">
        <v>115</v>
      </c>
      <c r="AV43" s="198"/>
      <c r="AW43" s="121"/>
      <c r="AX43" s="121"/>
      <c r="AY43" s="121"/>
      <c r="AZ43" s="808">
        <f t="shared" si="2"/>
        <v>2997</v>
      </c>
      <c r="BA43" s="761">
        <f t="shared" si="3"/>
        <v>2997</v>
      </c>
      <c r="BB43" s="761">
        <f t="shared" si="4"/>
        <v>0</v>
      </c>
      <c r="BC43" s="110"/>
      <c r="BD43" s="1230">
        <v>2997</v>
      </c>
      <c r="BE43" s="1231"/>
      <c r="BF43" s="285" t="s">
        <v>690</v>
      </c>
      <c r="BG43" s="98">
        <v>0.15</v>
      </c>
      <c r="BH43" s="110"/>
      <c r="BI43" s="242">
        <f>BD43*BG43</f>
        <v>449.55</v>
      </c>
      <c r="BJ43" s="1231">
        <f>BE43*BG43</f>
        <v>0</v>
      </c>
      <c r="BK43" s="243" t="s">
        <v>1076</v>
      </c>
      <c r="BL43" s="772" t="s">
        <v>262</v>
      </c>
      <c r="BM43" s="98">
        <v>0.05</v>
      </c>
      <c r="BN43" s="110"/>
      <c r="BO43" s="242">
        <f>BD43*BM43</f>
        <v>149.85</v>
      </c>
      <c r="BP43" s="1231">
        <f>BE43*BM43</f>
        <v>0</v>
      </c>
      <c r="BQ43" s="387" t="s">
        <v>1076</v>
      </c>
      <c r="BR43" s="110">
        <v>2997</v>
      </c>
      <c r="BS43" s="286">
        <v>44645</v>
      </c>
      <c r="BT43" s="110">
        <f t="shared" si="73"/>
        <v>2997</v>
      </c>
      <c r="BU43" s="206"/>
      <c r="BV43" s="206"/>
      <c r="BW43" s="206"/>
      <c r="BX43" s="206"/>
      <c r="BY43" s="206"/>
      <c r="BZ43" s="206"/>
      <c r="CA43" s="206"/>
      <c r="CB43" s="206"/>
      <c r="CC43" s="206"/>
      <c r="CD43" s="206"/>
      <c r="CE43" s="206"/>
      <c r="CF43" s="206"/>
      <c r="CG43" s="206"/>
      <c r="CH43" s="206"/>
      <c r="CI43" s="206"/>
      <c r="CJ43" s="206"/>
      <c r="CK43" s="245" t="s">
        <v>2612</v>
      </c>
      <c r="CL43" s="181"/>
      <c r="CM43" s="246"/>
      <c r="CN43" s="247" t="s">
        <v>690</v>
      </c>
      <c r="CO43" s="282" t="s">
        <v>122</v>
      </c>
      <c r="CP43" s="155"/>
      <c r="CQ43" s="1244" t="s">
        <v>501</v>
      </c>
      <c r="CR43" s="131" t="s">
        <v>3816</v>
      </c>
      <c r="CS43" s="116" t="str">
        <f t="shared" si="9"/>
        <v>MAW</v>
      </c>
      <c r="CT43" s="820">
        <f>IF(OR(D43&gt;0,E43&gt;0,F43&gt;0),IF(BB43=0,BD43*BG43,0))</f>
        <v>449.55</v>
      </c>
      <c r="CU43" s="820">
        <f>IF(OR(D43&gt;0,E43&gt;0,F43&gt;0),IF(BB43=0,BD43*BM43,0))</f>
        <v>149.85</v>
      </c>
      <c r="CV43" s="116" t="str">
        <f t="shared" si="10"/>
        <v>Pacci</v>
      </c>
      <c r="CW43" s="207"/>
      <c r="CX43" s="729"/>
      <c r="CY43" s="729"/>
      <c r="CZ43" s="729"/>
      <c r="DA43" s="729"/>
      <c r="DB43" s="729"/>
      <c r="DC43" s="729"/>
    </row>
    <row r="44" spans="1:107" ht="30" customHeight="1">
      <c r="A44" s="228"/>
      <c r="B44" s="155">
        <v>101400</v>
      </c>
      <c r="C44" s="155">
        <f t="shared" si="11"/>
        <v>43</v>
      </c>
      <c r="D44" s="757"/>
      <c r="E44" s="757"/>
      <c r="F44" s="757"/>
      <c r="G44" s="283" t="s">
        <v>1877</v>
      </c>
      <c r="H44" s="283" t="s">
        <v>3817</v>
      </c>
      <c r="I44" s="207" t="s">
        <v>3818</v>
      </c>
      <c r="J44" s="207" t="str">
        <f t="shared" si="0"/>
        <v>Lucia Letrari</v>
      </c>
      <c r="K44" s="1253">
        <v>3356930700</v>
      </c>
      <c r="L44" s="131"/>
      <c r="M44" s="131" t="s">
        <v>3819</v>
      </c>
      <c r="N44" s="131" t="str">
        <f t="shared" si="1"/>
        <v>Letrari Soc. Agr.</v>
      </c>
      <c r="O44" s="1254"/>
      <c r="P44" s="37"/>
      <c r="Q44" s="37"/>
      <c r="R44" s="131" t="s">
        <v>3820</v>
      </c>
      <c r="S44" s="160"/>
      <c r="T44" s="84"/>
      <c r="U44" s="84"/>
      <c r="V44" s="84"/>
      <c r="W44" s="267"/>
      <c r="X44" s="234"/>
      <c r="Y44" s="267"/>
      <c r="Z44" s="267"/>
      <c r="AA44" s="267"/>
      <c r="AB44" s="37"/>
      <c r="AC44" s="37"/>
      <c r="AD44" s="37" t="s">
        <v>3821</v>
      </c>
      <c r="AE44" s="181" t="s">
        <v>3822</v>
      </c>
      <c r="AF44" s="198"/>
      <c r="AG44" s="121"/>
      <c r="AH44" s="121"/>
      <c r="AI44" s="121"/>
      <c r="AJ44" s="198"/>
      <c r="AK44" s="121"/>
      <c r="AL44" s="121"/>
      <c r="AM44" s="121"/>
      <c r="AN44" s="198"/>
      <c r="AO44" s="155"/>
      <c r="AP44" s="155"/>
      <c r="AQ44" s="155" t="s">
        <v>115</v>
      </c>
      <c r="AR44" s="198"/>
      <c r="AS44" s="121"/>
      <c r="AT44" s="121"/>
      <c r="AU44" s="121"/>
      <c r="AV44" s="198"/>
      <c r="AW44" s="121" t="s">
        <v>27</v>
      </c>
      <c r="AX44" s="121" t="s">
        <v>27</v>
      </c>
      <c r="AY44" s="121"/>
      <c r="AZ44" s="902">
        <f t="shared" si="2"/>
        <v>2997</v>
      </c>
      <c r="BA44" s="932">
        <f t="shared" si="3"/>
        <v>2997</v>
      </c>
      <c r="BB44" s="761">
        <f t="shared" si="4"/>
        <v>0</v>
      </c>
      <c r="BC44" s="110">
        <f>BA44</f>
        <v>2997</v>
      </c>
      <c r="BD44" s="1230">
        <f>AZ44-BC44</f>
        <v>0</v>
      </c>
      <c r="BE44" s="1231"/>
      <c r="BF44" s="285" t="s">
        <v>133</v>
      </c>
      <c r="BG44" s="98">
        <v>0.15</v>
      </c>
      <c r="BH44" s="1255">
        <f>AZ44*BG44</f>
        <v>449.55</v>
      </c>
      <c r="BI44" s="242"/>
      <c r="BJ44" s="1231"/>
      <c r="BK44" s="243" t="s">
        <v>3823</v>
      </c>
      <c r="BL44" s="243" t="s">
        <v>133</v>
      </c>
      <c r="BM44" s="98">
        <v>0.05</v>
      </c>
      <c r="BN44" s="1255">
        <f>AZ44*BM44</f>
        <v>149.85</v>
      </c>
      <c r="BO44" s="242"/>
      <c r="BP44" s="1231"/>
      <c r="BQ44" s="243" t="s">
        <v>3823</v>
      </c>
      <c r="BR44" s="110">
        <v>2997</v>
      </c>
      <c r="BS44" s="286">
        <v>44687</v>
      </c>
      <c r="BT44" s="110">
        <v>2997</v>
      </c>
      <c r="BU44" s="206"/>
      <c r="BV44" s="206"/>
      <c r="BW44" s="206"/>
      <c r="BX44" s="206"/>
      <c r="BY44" s="206"/>
      <c r="BZ44" s="206"/>
      <c r="CA44" s="206"/>
      <c r="CB44" s="206"/>
      <c r="CC44" s="206"/>
      <c r="CD44" s="206"/>
      <c r="CE44" s="206"/>
      <c r="CF44" s="206"/>
      <c r="CG44" s="206"/>
      <c r="CH44" s="206"/>
      <c r="CI44" s="206"/>
      <c r="CJ44" s="206"/>
      <c r="CK44" s="245" t="s">
        <v>2612</v>
      </c>
      <c r="CL44" s="181"/>
      <c r="CM44" s="246"/>
      <c r="CN44" s="247" t="s">
        <v>3675</v>
      </c>
      <c r="CO44" s="282" t="s">
        <v>122</v>
      </c>
      <c r="CP44" s="155"/>
      <c r="CQ44" s="131" t="s">
        <v>3824</v>
      </c>
      <c r="CR44" s="828" t="s">
        <v>3825</v>
      </c>
      <c r="CS44" s="116" t="str">
        <f t="shared" si="9"/>
        <v>Cristian B</v>
      </c>
      <c r="CT44" s="242"/>
      <c r="CU44" s="242"/>
      <c r="CV44" s="116" t="str">
        <f t="shared" si="10"/>
        <v>Cristian B</v>
      </c>
      <c r="CW44" s="207"/>
      <c r="CX44" s="729"/>
      <c r="CY44" s="729"/>
      <c r="CZ44" s="729"/>
      <c r="DA44" s="729"/>
      <c r="DB44" s="729"/>
      <c r="DC44" s="729"/>
    </row>
    <row r="45" spans="1:107" ht="30" customHeight="1">
      <c r="A45" s="228"/>
      <c r="B45" s="155">
        <v>101307</v>
      </c>
      <c r="C45" s="155">
        <f>C342+1</f>
        <v>22</v>
      </c>
      <c r="D45" s="757">
        <v>1</v>
      </c>
      <c r="E45" s="757">
        <v>1</v>
      </c>
      <c r="F45" s="757">
        <v>1</v>
      </c>
      <c r="G45" s="283" t="s">
        <v>246</v>
      </c>
      <c r="H45" s="283" t="s">
        <v>3826</v>
      </c>
      <c r="I45" s="1234" t="s">
        <v>3827</v>
      </c>
      <c r="J45" s="207" t="str">
        <f t="shared" si="0"/>
        <v>Marco Meneghin</v>
      </c>
      <c r="K45" s="1253">
        <v>3476673729</v>
      </c>
      <c r="L45" s="131"/>
      <c r="M45" s="251"/>
      <c r="N45" s="131" t="str">
        <f t="shared" si="1"/>
        <v>It Strategy</v>
      </c>
      <c r="O45" s="1256"/>
      <c r="P45" s="231"/>
      <c r="Q45" s="231"/>
      <c r="R45" s="131" t="s">
        <v>3685</v>
      </c>
      <c r="S45" s="160"/>
      <c r="T45" s="84"/>
      <c r="U45" s="84"/>
      <c r="V45" s="84"/>
      <c r="W45" s="267"/>
      <c r="X45" s="268"/>
      <c r="Y45" s="267"/>
      <c r="Z45" s="267"/>
      <c r="AA45" s="267"/>
      <c r="AB45" s="37"/>
      <c r="AC45" s="37"/>
      <c r="AD45" s="37" t="s">
        <v>3686</v>
      </c>
      <c r="AE45" s="181"/>
      <c r="AF45" s="198"/>
      <c r="AG45" s="121"/>
      <c r="AH45" s="121"/>
      <c r="AI45" s="121"/>
      <c r="AJ45" s="198"/>
      <c r="AK45" s="121"/>
      <c r="AL45" s="121"/>
      <c r="AM45" s="121"/>
      <c r="AN45" s="198"/>
      <c r="AO45" s="155"/>
      <c r="AP45" s="155"/>
      <c r="AQ45" s="155"/>
      <c r="AR45" s="198"/>
      <c r="AS45" s="121" t="s">
        <v>115</v>
      </c>
      <c r="AT45" s="121" t="s">
        <v>115</v>
      </c>
      <c r="AU45" s="121" t="s">
        <v>115</v>
      </c>
      <c r="AV45" s="198"/>
      <c r="AW45" s="121"/>
      <c r="AX45" s="121"/>
      <c r="AY45" s="121"/>
      <c r="AZ45" s="808">
        <f t="shared" si="2"/>
        <v>2997</v>
      </c>
      <c r="BA45" s="761">
        <f t="shared" si="3"/>
        <v>2997</v>
      </c>
      <c r="BB45" s="761">
        <f t="shared" si="4"/>
        <v>0</v>
      </c>
      <c r="BC45" s="110"/>
      <c r="BD45" s="1230">
        <v>2997</v>
      </c>
      <c r="BE45" s="1231"/>
      <c r="BF45" s="285" t="s">
        <v>160</v>
      </c>
      <c r="BG45" s="98">
        <v>0.05</v>
      </c>
      <c r="BH45" s="110"/>
      <c r="BI45" s="242">
        <f>BD45*BG45</f>
        <v>149.85</v>
      </c>
      <c r="BJ45" s="1231">
        <f>BE45*BG45</f>
        <v>0</v>
      </c>
      <c r="BK45" s="243" t="s">
        <v>1076</v>
      </c>
      <c r="BL45" s="243" t="s">
        <v>160</v>
      </c>
      <c r="BM45" s="98">
        <v>0.05</v>
      </c>
      <c r="BN45" s="110"/>
      <c r="BO45" s="242">
        <f>BD45*BM45</f>
        <v>149.85</v>
      </c>
      <c r="BP45" s="1231">
        <f>BE45*BM45</f>
        <v>0</v>
      </c>
      <c r="BQ45" s="387" t="s">
        <v>1076</v>
      </c>
      <c r="BR45" s="110">
        <v>2997</v>
      </c>
      <c r="BS45" s="286">
        <v>44645</v>
      </c>
      <c r="BT45" s="110">
        <v>2997</v>
      </c>
      <c r="BU45" s="206"/>
      <c r="BV45" s="206"/>
      <c r="BW45" s="206"/>
      <c r="BX45" s="206"/>
      <c r="BY45" s="206"/>
      <c r="BZ45" s="206"/>
      <c r="CA45" s="206"/>
      <c r="CB45" s="206"/>
      <c r="CC45" s="206"/>
      <c r="CD45" s="206"/>
      <c r="CE45" s="206"/>
      <c r="CF45" s="206"/>
      <c r="CG45" s="206"/>
      <c r="CH45" s="206"/>
      <c r="CI45" s="206"/>
      <c r="CJ45" s="206"/>
      <c r="CK45" s="245" t="s">
        <v>2612</v>
      </c>
      <c r="CL45" s="181" t="s">
        <v>2311</v>
      </c>
      <c r="CM45" s="246"/>
      <c r="CN45" s="247" t="s">
        <v>3828</v>
      </c>
      <c r="CO45" s="282" t="s">
        <v>122</v>
      </c>
      <c r="CP45" s="155"/>
      <c r="CQ45" s="131"/>
      <c r="CR45" s="131" t="s">
        <v>3688</v>
      </c>
      <c r="CS45" s="116" t="str">
        <f t="shared" si="9"/>
        <v>Gianluca</v>
      </c>
      <c r="CT45" s="820">
        <f>IF(OR(D45&gt;0,E45&gt;0,F45&gt;0),IF(BB45=0,BD45*BG45,0))</f>
        <v>149.85</v>
      </c>
      <c r="CU45" s="820">
        <f>IF(OR(D45&gt;0,E45&gt;0,F45&gt;0),IF(BB45=0,BD45*BM45,0))</f>
        <v>149.85</v>
      </c>
      <c r="CV45" s="116" t="str">
        <f t="shared" si="10"/>
        <v>Gianluca</v>
      </c>
      <c r="CW45" s="207"/>
      <c r="CX45" s="729"/>
      <c r="CY45" s="729"/>
      <c r="CZ45" s="729"/>
      <c r="DA45" s="729"/>
      <c r="DB45" s="729"/>
      <c r="DC45" s="729"/>
    </row>
    <row r="46" spans="1:107" ht="30" customHeight="1">
      <c r="A46" s="228"/>
      <c r="B46" s="155">
        <v>101400</v>
      </c>
      <c r="C46" s="155">
        <f t="shared" ref="C46:C58" si="74">C45+1</f>
        <v>23</v>
      </c>
      <c r="D46" s="757"/>
      <c r="E46" s="757"/>
      <c r="F46" s="757"/>
      <c r="G46" s="283" t="s">
        <v>703</v>
      </c>
      <c r="H46" s="283" t="s">
        <v>3829</v>
      </c>
      <c r="I46" s="207" t="s">
        <v>3830</v>
      </c>
      <c r="J46" s="207" t="str">
        <f t="shared" si="0"/>
        <v>Margherita Arlanch</v>
      </c>
      <c r="K46" s="1253">
        <v>3454088543</v>
      </c>
      <c r="L46" s="131"/>
      <c r="M46" s="251" t="s">
        <v>3819</v>
      </c>
      <c r="N46" s="131">
        <f t="shared" si="1"/>
        <v>0</v>
      </c>
      <c r="O46" s="1257"/>
      <c r="P46" s="37"/>
      <c r="Q46" s="37"/>
      <c r="R46" s="131" t="s">
        <v>3820</v>
      </c>
      <c r="S46" s="160"/>
      <c r="T46" s="84"/>
      <c r="U46" s="84"/>
      <c r="V46" s="84"/>
      <c r="W46" s="267"/>
      <c r="X46" s="234"/>
      <c r="Y46" s="267"/>
      <c r="Z46" s="267"/>
      <c r="AA46" s="267"/>
      <c r="AB46" s="37"/>
      <c r="AC46" s="37"/>
      <c r="AD46" s="37" t="s">
        <v>3821</v>
      </c>
      <c r="AE46" s="181" t="s">
        <v>3822</v>
      </c>
      <c r="AF46" s="198"/>
      <c r="AG46" s="121"/>
      <c r="AH46" s="121"/>
      <c r="AI46" s="121"/>
      <c r="AJ46" s="198"/>
      <c r="AK46" s="121"/>
      <c r="AL46" s="121"/>
      <c r="AM46" s="121"/>
      <c r="AN46" s="198"/>
      <c r="AO46" s="155"/>
      <c r="AP46" s="155"/>
      <c r="AQ46" s="155" t="s">
        <v>115</v>
      </c>
      <c r="AR46" s="198"/>
      <c r="AS46" s="121"/>
      <c r="AT46" s="121"/>
      <c r="AU46" s="121"/>
      <c r="AV46" s="198"/>
      <c r="AW46" s="121" t="s">
        <v>27</v>
      </c>
      <c r="AX46" s="121" t="s">
        <v>27</v>
      </c>
      <c r="AY46" s="121"/>
      <c r="AZ46" s="808">
        <f t="shared" si="2"/>
        <v>2997</v>
      </c>
      <c r="BA46" s="761">
        <f t="shared" si="3"/>
        <v>2997</v>
      </c>
      <c r="BB46" s="761">
        <f t="shared" si="4"/>
        <v>0</v>
      </c>
      <c r="BC46" s="110">
        <f t="shared" ref="BC46:BC47" si="75">BA46</f>
        <v>2997</v>
      </c>
      <c r="BD46" s="1230">
        <f t="shared" ref="BD46:BD47" si="76">AZ46-BC46</f>
        <v>0</v>
      </c>
      <c r="BE46" s="1231"/>
      <c r="BF46" s="285" t="s">
        <v>133</v>
      </c>
      <c r="BG46" s="98">
        <v>0.15</v>
      </c>
      <c r="BH46" s="1255">
        <f t="shared" ref="BH46:BH47" si="77">AZ46*BG46</f>
        <v>449.55</v>
      </c>
      <c r="BI46" s="242"/>
      <c r="BJ46" s="1231"/>
      <c r="BK46" s="243" t="s">
        <v>3823</v>
      </c>
      <c r="BL46" s="243" t="s">
        <v>133</v>
      </c>
      <c r="BM46" s="98">
        <v>0.05</v>
      </c>
      <c r="BN46" s="1255">
        <f t="shared" ref="BN46:BN47" si="78">AZ46*BM46</f>
        <v>149.85</v>
      </c>
      <c r="BO46" s="242"/>
      <c r="BP46" s="1231"/>
      <c r="BQ46" s="243" t="s">
        <v>3823</v>
      </c>
      <c r="BR46" s="110">
        <v>2997</v>
      </c>
      <c r="BS46" s="286">
        <v>44687</v>
      </c>
      <c r="BT46" s="110">
        <v>2997</v>
      </c>
      <c r="BU46" s="206"/>
      <c r="BV46" s="206"/>
      <c r="BW46" s="206"/>
      <c r="BX46" s="206"/>
      <c r="BY46" s="206"/>
      <c r="BZ46" s="206"/>
      <c r="CA46" s="206"/>
      <c r="CB46" s="206"/>
      <c r="CC46" s="206"/>
      <c r="CD46" s="206"/>
      <c r="CE46" s="206"/>
      <c r="CF46" s="206"/>
      <c r="CG46" s="206"/>
      <c r="CH46" s="206"/>
      <c r="CI46" s="206"/>
      <c r="CJ46" s="206"/>
      <c r="CK46" s="245" t="s">
        <v>2612</v>
      </c>
      <c r="CL46" s="181"/>
      <c r="CM46" s="246"/>
      <c r="CN46" s="247" t="s">
        <v>3675</v>
      </c>
      <c r="CO46" s="282" t="s">
        <v>122</v>
      </c>
      <c r="CP46" s="155"/>
      <c r="CQ46" s="131" t="s">
        <v>3824</v>
      </c>
      <c r="CR46" s="131"/>
      <c r="CS46" s="116" t="str">
        <f t="shared" si="9"/>
        <v>Cristian B</v>
      </c>
      <c r="CT46" s="242"/>
      <c r="CU46" s="242"/>
      <c r="CV46" s="116" t="str">
        <f t="shared" si="10"/>
        <v>Cristian B</v>
      </c>
      <c r="CW46" s="207"/>
      <c r="CX46" s="729"/>
      <c r="CY46" s="729"/>
      <c r="CZ46" s="729"/>
      <c r="DA46" s="729"/>
      <c r="DB46" s="729"/>
      <c r="DC46" s="729"/>
    </row>
    <row r="47" spans="1:107" ht="30" customHeight="1">
      <c r="A47" s="228"/>
      <c r="B47" s="155">
        <v>101414</v>
      </c>
      <c r="C47" s="155">
        <f t="shared" si="74"/>
        <v>24</v>
      </c>
      <c r="D47" s="757"/>
      <c r="E47" s="757">
        <v>1</v>
      </c>
      <c r="F47" s="757"/>
      <c r="G47" s="283" t="s">
        <v>1048</v>
      </c>
      <c r="H47" s="283" t="s">
        <v>3831</v>
      </c>
      <c r="I47" s="207" t="s">
        <v>3832</v>
      </c>
      <c r="J47" s="207" t="str">
        <f t="shared" si="0"/>
        <v>Monica Zanin</v>
      </c>
      <c r="K47" s="224">
        <v>3289860393</v>
      </c>
      <c r="L47" s="131"/>
      <c r="M47" s="251"/>
      <c r="N47" s="131" t="str">
        <f t="shared" si="1"/>
        <v>Netevolution</v>
      </c>
      <c r="O47" s="1258"/>
      <c r="P47" s="37"/>
      <c r="Q47" s="37"/>
      <c r="R47" s="131" t="s">
        <v>3833</v>
      </c>
      <c r="S47" s="160"/>
      <c r="T47" s="84"/>
      <c r="U47" s="84"/>
      <c r="V47" s="84"/>
      <c r="W47" s="267"/>
      <c r="X47" s="234"/>
      <c r="Y47" s="267"/>
      <c r="Z47" s="267"/>
      <c r="AA47" s="267"/>
      <c r="AB47" s="37"/>
      <c r="AC47" s="37"/>
      <c r="AD47" s="37" t="s">
        <v>3834</v>
      </c>
      <c r="AE47" s="181"/>
      <c r="AF47" s="198"/>
      <c r="AG47" s="121"/>
      <c r="AH47" s="121"/>
      <c r="AI47" s="121"/>
      <c r="AJ47" s="198"/>
      <c r="AK47" s="121"/>
      <c r="AL47" s="121"/>
      <c r="AM47" s="121"/>
      <c r="AN47" s="198"/>
      <c r="AO47" s="155" t="s">
        <v>115</v>
      </c>
      <c r="AP47" s="155"/>
      <c r="AQ47" s="155" t="s">
        <v>115</v>
      </c>
      <c r="AR47" s="198"/>
      <c r="AS47" s="121"/>
      <c r="AT47" s="19" t="s">
        <v>115</v>
      </c>
      <c r="AU47" s="121"/>
      <c r="AV47" s="198"/>
      <c r="AW47" s="121"/>
      <c r="AX47" s="121"/>
      <c r="AY47" s="121"/>
      <c r="AZ47" s="808">
        <f t="shared" si="2"/>
        <v>2997</v>
      </c>
      <c r="BA47" s="761">
        <f t="shared" si="3"/>
        <v>2997</v>
      </c>
      <c r="BB47" s="761">
        <f t="shared" si="4"/>
        <v>0</v>
      </c>
      <c r="BC47" s="110">
        <f t="shared" si="75"/>
        <v>2997</v>
      </c>
      <c r="BD47" s="1230">
        <f t="shared" si="76"/>
        <v>0</v>
      </c>
      <c r="BE47" s="1231"/>
      <c r="BF47" s="285" t="s">
        <v>117</v>
      </c>
      <c r="BG47" s="98">
        <v>0</v>
      </c>
      <c r="BH47" s="110">
        <f t="shared" si="77"/>
        <v>0</v>
      </c>
      <c r="BI47" s="242">
        <f t="shared" ref="BI47:BI48" si="79">BD47*BG47</f>
        <v>0</v>
      </c>
      <c r="BJ47" s="1231">
        <f t="shared" ref="BJ47:BJ48" si="80">BE47*BG47</f>
        <v>0</v>
      </c>
      <c r="BK47" s="244" t="s">
        <v>118</v>
      </c>
      <c r="BL47" s="243" t="s">
        <v>152</v>
      </c>
      <c r="BM47" s="98">
        <v>0.05</v>
      </c>
      <c r="BN47" s="110">
        <f t="shared" si="78"/>
        <v>149.85</v>
      </c>
      <c r="BO47" s="242"/>
      <c r="BP47" s="1231"/>
      <c r="BQ47" s="243" t="s">
        <v>968</v>
      </c>
      <c r="BR47" s="110">
        <v>2997</v>
      </c>
      <c r="BS47" s="286">
        <v>44670</v>
      </c>
      <c r="BT47" s="110">
        <v>2997</v>
      </c>
      <c r="BU47" s="206"/>
      <c r="BV47" s="206"/>
      <c r="BW47" s="206"/>
      <c r="BX47" s="206"/>
      <c r="BY47" s="206"/>
      <c r="BZ47" s="206"/>
      <c r="CA47" s="206"/>
      <c r="CB47" s="206"/>
      <c r="CC47" s="206"/>
      <c r="CD47" s="206"/>
      <c r="CE47" s="206"/>
      <c r="CF47" s="206"/>
      <c r="CG47" s="206"/>
      <c r="CH47" s="206"/>
      <c r="CI47" s="206"/>
      <c r="CJ47" s="206"/>
      <c r="CK47" s="245" t="s">
        <v>2612</v>
      </c>
      <c r="CL47" s="181"/>
      <c r="CM47" s="246"/>
      <c r="CN47" s="247" t="s">
        <v>3835</v>
      </c>
      <c r="CO47" s="282" t="s">
        <v>122</v>
      </c>
      <c r="CP47" s="155"/>
      <c r="CQ47" s="131"/>
      <c r="CR47" s="828" t="s">
        <v>3836</v>
      </c>
      <c r="CS47" s="116" t="str">
        <f t="shared" si="9"/>
        <v>blackship</v>
      </c>
      <c r="CT47" s="242"/>
      <c r="CU47" s="242"/>
      <c r="CV47" s="116" t="str">
        <f t="shared" si="10"/>
        <v>Client Angel</v>
      </c>
      <c r="CW47" s="207"/>
      <c r="CX47" s="729"/>
      <c r="CY47" s="729"/>
      <c r="CZ47" s="729"/>
      <c r="DA47" s="729"/>
      <c r="DB47" s="729"/>
      <c r="DC47" s="729"/>
    </row>
    <row r="48" spans="1:107" ht="30" customHeight="1">
      <c r="A48" s="228"/>
      <c r="B48" s="155">
        <v>101017</v>
      </c>
      <c r="C48" s="155">
        <f t="shared" si="74"/>
        <v>25</v>
      </c>
      <c r="D48" s="757">
        <v>1</v>
      </c>
      <c r="E48" s="757">
        <v>1</v>
      </c>
      <c r="F48" s="757">
        <v>1</v>
      </c>
      <c r="G48" s="283" t="s">
        <v>3774</v>
      </c>
      <c r="H48" s="283" t="s">
        <v>3837</v>
      </c>
      <c r="I48" s="1234" t="s">
        <v>3838</v>
      </c>
      <c r="J48" s="207" t="str">
        <f t="shared" si="0"/>
        <v>Nicolò D'Avanzo</v>
      </c>
      <c r="K48" s="224">
        <v>3331620670</v>
      </c>
      <c r="L48" s="131"/>
      <c r="M48" s="251"/>
      <c r="N48" s="131" t="str">
        <f t="shared" si="1"/>
        <v>Studio Riello Comm. Associati</v>
      </c>
      <c r="O48" s="1258"/>
      <c r="P48" s="37"/>
      <c r="Q48" s="37"/>
      <c r="R48" s="131" t="s">
        <v>3839</v>
      </c>
      <c r="S48" s="160"/>
      <c r="T48" s="84"/>
      <c r="U48" s="84"/>
      <c r="V48" s="84"/>
      <c r="W48" s="267"/>
      <c r="X48" s="234"/>
      <c r="Y48" s="267"/>
      <c r="Z48" s="267"/>
      <c r="AA48" s="267"/>
      <c r="AB48" s="37"/>
      <c r="AC48" s="37"/>
      <c r="AD48" s="37" t="s">
        <v>3840</v>
      </c>
      <c r="AE48" s="181" t="s">
        <v>3841</v>
      </c>
      <c r="AF48" s="198"/>
      <c r="AG48" s="121"/>
      <c r="AH48" s="121"/>
      <c r="AI48" s="121"/>
      <c r="AJ48" s="198"/>
      <c r="AK48" s="121"/>
      <c r="AL48" s="121"/>
      <c r="AM48" s="121"/>
      <c r="AN48" s="198"/>
      <c r="AO48" s="155"/>
      <c r="AP48" s="155"/>
      <c r="AQ48" s="155"/>
      <c r="AR48" s="198"/>
      <c r="AS48" s="121" t="s">
        <v>115</v>
      </c>
      <c r="AT48" s="121" t="s">
        <v>115</v>
      </c>
      <c r="AU48" s="121" t="s">
        <v>115</v>
      </c>
      <c r="AV48" s="198"/>
      <c r="AW48" s="121"/>
      <c r="AX48" s="121"/>
      <c r="AY48" s="121"/>
      <c r="AZ48" s="808">
        <f t="shared" si="2"/>
        <v>2997</v>
      </c>
      <c r="BA48" s="761">
        <f t="shared" si="3"/>
        <v>2997</v>
      </c>
      <c r="BB48" s="761">
        <f t="shared" si="4"/>
        <v>0</v>
      </c>
      <c r="BC48" s="110"/>
      <c r="BD48" s="1230">
        <v>2997</v>
      </c>
      <c r="BE48" s="1231"/>
      <c r="BF48" s="285" t="s">
        <v>119</v>
      </c>
      <c r="BG48" s="98">
        <v>0.05</v>
      </c>
      <c r="BH48" s="110"/>
      <c r="BI48" s="242">
        <f t="shared" si="79"/>
        <v>149.85</v>
      </c>
      <c r="BJ48" s="1231">
        <f t="shared" si="80"/>
        <v>0</v>
      </c>
      <c r="BK48" s="243" t="s">
        <v>1076</v>
      </c>
      <c r="BL48" s="243" t="s">
        <v>119</v>
      </c>
      <c r="BM48" s="98">
        <v>0.05</v>
      </c>
      <c r="BN48" s="110"/>
      <c r="BO48" s="242">
        <f>BD48*BM48</f>
        <v>149.85</v>
      </c>
      <c r="BP48" s="1231">
        <f>BE48*BM48</f>
        <v>0</v>
      </c>
      <c r="BQ48" s="387" t="s">
        <v>1076</v>
      </c>
      <c r="BR48" s="110">
        <v>2997</v>
      </c>
      <c r="BS48" s="286">
        <v>44645</v>
      </c>
      <c r="BT48" s="110">
        <v>2997</v>
      </c>
      <c r="BU48" s="206"/>
      <c r="BV48" s="206"/>
      <c r="BW48" s="206"/>
      <c r="BX48" s="206"/>
      <c r="BY48" s="206"/>
      <c r="BZ48" s="206"/>
      <c r="CA48" s="206"/>
      <c r="CB48" s="206"/>
      <c r="CC48" s="206"/>
      <c r="CD48" s="206"/>
      <c r="CE48" s="206"/>
      <c r="CF48" s="206"/>
      <c r="CG48" s="206"/>
      <c r="CH48" s="206"/>
      <c r="CI48" s="206"/>
      <c r="CJ48" s="206"/>
      <c r="CK48" s="245" t="s">
        <v>2612</v>
      </c>
      <c r="CL48" s="181"/>
      <c r="CM48" s="246"/>
      <c r="CN48" s="247" t="s">
        <v>3842</v>
      </c>
      <c r="CO48" s="282" t="s">
        <v>122</v>
      </c>
      <c r="CP48" s="155"/>
      <c r="CQ48" s="131" t="s">
        <v>1055</v>
      </c>
      <c r="CR48" s="131" t="s">
        <v>3843</v>
      </c>
      <c r="CS48" s="116" t="str">
        <f t="shared" si="9"/>
        <v>Raffaella</v>
      </c>
      <c r="CT48" s="820">
        <f>IF(OR(D48&gt;0,E48&gt;0,F48&gt;0),IF(BB48=0,BD48*BG48,0))</f>
        <v>149.85</v>
      </c>
      <c r="CU48" s="820">
        <f>IF(OR(D48&gt;0,E48&gt;0,F48&gt;0),IF(BB48=0,BD48*BM48,0))</f>
        <v>149.85</v>
      </c>
      <c r="CV48" s="116" t="str">
        <f t="shared" si="10"/>
        <v>Raffaella</v>
      </c>
      <c r="CW48" s="207"/>
      <c r="CX48" s="729"/>
      <c r="CY48" s="729"/>
      <c r="CZ48" s="729"/>
      <c r="DA48" s="729"/>
      <c r="DB48" s="729"/>
      <c r="DC48" s="729"/>
    </row>
    <row r="49" spans="1:107" ht="30" customHeight="1">
      <c r="A49" s="228"/>
      <c r="B49" s="155">
        <v>101388</v>
      </c>
      <c r="C49" s="155">
        <f t="shared" si="74"/>
        <v>26</v>
      </c>
      <c r="D49" s="757">
        <v>1</v>
      </c>
      <c r="E49" s="757"/>
      <c r="F49" s="757"/>
      <c r="G49" s="283" t="s">
        <v>127</v>
      </c>
      <c r="H49" s="283" t="s">
        <v>3844</v>
      </c>
      <c r="I49" s="207" t="s">
        <v>3845</v>
      </c>
      <c r="J49" s="207" t="str">
        <f t="shared" si="0"/>
        <v>Nicola Dario</v>
      </c>
      <c r="K49" s="224">
        <v>3392660786</v>
      </c>
      <c r="L49" s="973" t="s">
        <v>3846</v>
      </c>
      <c r="M49" s="251" t="s">
        <v>138</v>
      </c>
      <c r="N49" s="131" t="str">
        <f t="shared" si="1"/>
        <v>Infinance</v>
      </c>
      <c r="O49" s="1259"/>
      <c r="P49" s="37"/>
      <c r="Q49" s="37"/>
      <c r="R49" s="251" t="s">
        <v>3847</v>
      </c>
      <c r="S49" s="160"/>
      <c r="T49" s="160"/>
      <c r="U49" s="160"/>
      <c r="V49" s="160"/>
      <c r="W49" s="233"/>
      <c r="X49" s="234"/>
      <c r="Y49" s="233"/>
      <c r="Z49" s="233"/>
      <c r="AA49" s="233"/>
      <c r="AB49" s="37"/>
      <c r="AC49" s="37"/>
      <c r="AD49" s="37" t="s">
        <v>3848</v>
      </c>
      <c r="AE49" s="181"/>
      <c r="AF49" s="198"/>
      <c r="AG49" s="121"/>
      <c r="AH49" s="121"/>
      <c r="AI49" s="121"/>
      <c r="AJ49" s="198"/>
      <c r="AK49" s="121"/>
      <c r="AL49" s="121"/>
      <c r="AM49" s="121"/>
      <c r="AN49" s="198"/>
      <c r="AO49" s="155"/>
      <c r="AP49" s="155" t="s">
        <v>115</v>
      </c>
      <c r="AQ49" s="155" t="s">
        <v>115</v>
      </c>
      <c r="AR49" s="198"/>
      <c r="AS49" s="19" t="s">
        <v>115</v>
      </c>
      <c r="AT49" s="121"/>
      <c r="AU49" s="121"/>
      <c r="AV49" s="198"/>
      <c r="AW49" s="121"/>
      <c r="AX49" s="121"/>
      <c r="AY49" s="121"/>
      <c r="AZ49" s="808">
        <f t="shared" si="2"/>
        <v>2997</v>
      </c>
      <c r="BA49" s="761">
        <f t="shared" si="3"/>
        <v>2997</v>
      </c>
      <c r="BB49" s="761">
        <f t="shared" si="4"/>
        <v>0</v>
      </c>
      <c r="BC49" s="110">
        <f>BA49</f>
        <v>2997</v>
      </c>
      <c r="BD49" s="1230">
        <f>AZ49-BC49</f>
        <v>0</v>
      </c>
      <c r="BE49" s="1231"/>
      <c r="BF49" s="285" t="s">
        <v>451</v>
      </c>
      <c r="BG49" s="98">
        <v>0.05</v>
      </c>
      <c r="BH49" s="381">
        <f>AZ49*BG49</f>
        <v>149.85</v>
      </c>
      <c r="BI49" s="242"/>
      <c r="BJ49" s="1231"/>
      <c r="BK49" s="243" t="s">
        <v>3735</v>
      </c>
      <c r="BL49" s="243" t="s">
        <v>184</v>
      </c>
      <c r="BM49" s="98">
        <v>0.05</v>
      </c>
      <c r="BN49" s="381">
        <f>AZ49*BM49</f>
        <v>149.85</v>
      </c>
      <c r="BO49" s="242"/>
      <c r="BP49" s="1231"/>
      <c r="BQ49" s="243" t="s">
        <v>3735</v>
      </c>
      <c r="BR49" s="110">
        <v>2997</v>
      </c>
      <c r="BS49" s="286">
        <v>44645</v>
      </c>
      <c r="BT49" s="110">
        <v>2997</v>
      </c>
      <c r="BU49" s="206"/>
      <c r="BV49" s="206"/>
      <c r="BW49" s="206"/>
      <c r="BX49" s="206"/>
      <c r="BY49" s="206"/>
      <c r="BZ49" s="206"/>
      <c r="CA49" s="206"/>
      <c r="CB49" s="206"/>
      <c r="CC49" s="206"/>
      <c r="CD49" s="206"/>
      <c r="CE49" s="206"/>
      <c r="CF49" s="206"/>
      <c r="CG49" s="206"/>
      <c r="CH49" s="206"/>
      <c r="CI49" s="206"/>
      <c r="CJ49" s="206"/>
      <c r="CK49" s="245" t="s">
        <v>2612</v>
      </c>
      <c r="CL49" s="181"/>
      <c r="CM49" s="246"/>
      <c r="CN49" s="247" t="s">
        <v>3849</v>
      </c>
      <c r="CO49" s="282" t="s">
        <v>122</v>
      </c>
      <c r="CP49" s="155"/>
      <c r="CQ49" s="131" t="s">
        <v>3850</v>
      </c>
      <c r="CR49" s="131" t="s">
        <v>3851</v>
      </c>
      <c r="CS49" s="116" t="str">
        <f t="shared" si="9"/>
        <v>Fabio</v>
      </c>
      <c r="CT49" s="242"/>
      <c r="CU49" s="242"/>
      <c r="CV49" s="116" t="str">
        <f t="shared" si="10"/>
        <v>Cristian A</v>
      </c>
      <c r="CW49" s="207"/>
      <c r="CX49" s="729"/>
      <c r="CY49" s="729"/>
      <c r="CZ49" s="729"/>
      <c r="DA49" s="729"/>
      <c r="DB49" s="729"/>
      <c r="DC49" s="729"/>
    </row>
    <row r="50" spans="1:107" ht="30" customHeight="1">
      <c r="A50" s="228"/>
      <c r="B50" s="155">
        <v>101401</v>
      </c>
      <c r="C50" s="155">
        <f t="shared" si="74"/>
        <v>27</v>
      </c>
      <c r="D50" s="757">
        <v>1</v>
      </c>
      <c r="E50" s="757">
        <v>1</v>
      </c>
      <c r="F50" s="757">
        <v>1</v>
      </c>
      <c r="G50" s="283" t="s">
        <v>769</v>
      </c>
      <c r="H50" s="283" t="s">
        <v>3852</v>
      </c>
      <c r="I50" s="1234" t="s">
        <v>3853</v>
      </c>
      <c r="J50" s="207" t="str">
        <f t="shared" si="0"/>
        <v>Paolo Citro</v>
      </c>
      <c r="K50" s="800">
        <v>3385086442</v>
      </c>
      <c r="L50" s="341"/>
      <c r="M50" s="341" t="s">
        <v>1258</v>
      </c>
      <c r="N50" s="131" t="str">
        <f t="shared" si="1"/>
        <v>Mectronic Medicale</v>
      </c>
      <c r="O50" s="1260"/>
      <c r="P50" s="37"/>
      <c r="Q50" s="37"/>
      <c r="R50" s="341" t="s">
        <v>3854</v>
      </c>
      <c r="S50" s="160"/>
      <c r="T50" s="160"/>
      <c r="U50" s="160"/>
      <c r="V50" s="160"/>
      <c r="W50" s="233"/>
      <c r="X50" s="1261"/>
      <c r="Y50" s="233"/>
      <c r="Z50" s="233"/>
      <c r="AA50" s="233"/>
      <c r="AB50" s="37"/>
      <c r="AC50" s="37"/>
      <c r="AD50" s="803" t="s">
        <v>3855</v>
      </c>
      <c r="AE50" s="181"/>
      <c r="AF50" s="198"/>
      <c r="AG50" s="121"/>
      <c r="AH50" s="121"/>
      <c r="AI50" s="121"/>
      <c r="AJ50" s="198"/>
      <c r="AK50" s="121"/>
      <c r="AL50" s="121"/>
      <c r="AM50" s="121"/>
      <c r="AN50" s="198"/>
      <c r="AO50" s="155"/>
      <c r="AP50" s="124"/>
      <c r="AQ50" s="124"/>
      <c r="AR50" s="198"/>
      <c r="AS50" s="121" t="s">
        <v>115</v>
      </c>
      <c r="AT50" s="121" t="s">
        <v>115</v>
      </c>
      <c r="AU50" s="121" t="s">
        <v>115</v>
      </c>
      <c r="AV50" s="198"/>
      <c r="AW50" s="121"/>
      <c r="AX50" s="121"/>
      <c r="AY50" s="121"/>
      <c r="AZ50" s="808">
        <f t="shared" si="2"/>
        <v>2997</v>
      </c>
      <c r="BA50" s="761">
        <f t="shared" si="3"/>
        <v>2997</v>
      </c>
      <c r="BB50" s="761">
        <f t="shared" si="4"/>
        <v>0</v>
      </c>
      <c r="BC50" s="110"/>
      <c r="BD50" s="1230">
        <v>2997</v>
      </c>
      <c r="BE50" s="1231"/>
      <c r="BF50" s="285" t="s">
        <v>2371</v>
      </c>
      <c r="BG50" s="98">
        <v>0.15</v>
      </c>
      <c r="BH50" s="110"/>
      <c r="BI50" s="242">
        <f t="shared" ref="BI50:BI55" si="81">BD50*BG50</f>
        <v>449.55</v>
      </c>
      <c r="BJ50" s="1231">
        <f t="shared" ref="BJ50:BJ55" si="82">BE50*BG50</f>
        <v>0</v>
      </c>
      <c r="BK50" s="243" t="s">
        <v>1076</v>
      </c>
      <c r="BL50" s="243" t="s">
        <v>2371</v>
      </c>
      <c r="BM50" s="98">
        <v>0.05</v>
      </c>
      <c r="BN50" s="110"/>
      <c r="BO50" s="242">
        <f>BD50*BM50</f>
        <v>149.85</v>
      </c>
      <c r="BP50" s="1231">
        <f>BE50*BM50</f>
        <v>0</v>
      </c>
      <c r="BQ50" s="387" t="s">
        <v>1076</v>
      </c>
      <c r="BR50" s="110">
        <v>2997</v>
      </c>
      <c r="BS50" s="286">
        <v>44680</v>
      </c>
      <c r="BT50" s="262">
        <v>2997</v>
      </c>
      <c r="BU50" s="206"/>
      <c r="BV50" s="206"/>
      <c r="BW50" s="206"/>
      <c r="BX50" s="206"/>
      <c r="BY50" s="206"/>
      <c r="BZ50" s="206"/>
      <c r="CA50" s="206"/>
      <c r="CB50" s="206"/>
      <c r="CC50" s="206"/>
      <c r="CD50" s="206"/>
      <c r="CE50" s="206"/>
      <c r="CF50" s="206"/>
      <c r="CG50" s="206"/>
      <c r="CH50" s="206"/>
      <c r="CI50" s="206"/>
      <c r="CJ50" s="206"/>
      <c r="CK50" s="245">
        <v>1</v>
      </c>
      <c r="CL50" s="181" t="s">
        <v>1088</v>
      </c>
      <c r="CM50" s="246"/>
      <c r="CN50" s="247" t="s">
        <v>3856</v>
      </c>
      <c r="CO50" s="282" t="s">
        <v>122</v>
      </c>
      <c r="CP50" s="155"/>
      <c r="CQ50" s="131" t="s">
        <v>3857</v>
      </c>
      <c r="CR50" s="131" t="s">
        <v>3858</v>
      </c>
      <c r="CS50" s="116" t="str">
        <f t="shared" si="9"/>
        <v>Denis</v>
      </c>
      <c r="CT50" s="820">
        <f>IF(OR(D50&gt;0,E50&gt;0,F50&gt;0),IF(BB50=0,BD50*BG50,0))</f>
        <v>449.55</v>
      </c>
      <c r="CU50" s="820">
        <f>IF(OR(D50&gt;0,E50&gt;0,F50&gt;0),IF(BB50=0,BD50*BM50,0))</f>
        <v>149.85</v>
      </c>
      <c r="CV50" s="116" t="str">
        <f t="shared" si="10"/>
        <v>Denis</v>
      </c>
      <c r="CW50" s="207"/>
      <c r="CX50" s="729"/>
      <c r="CY50" s="729"/>
      <c r="CZ50" s="729"/>
      <c r="DA50" s="729"/>
      <c r="DB50" s="729"/>
      <c r="DC50" s="729"/>
    </row>
    <row r="51" spans="1:107" ht="30" customHeight="1">
      <c r="A51" s="228"/>
      <c r="B51" s="155">
        <v>101396</v>
      </c>
      <c r="C51" s="155">
        <f t="shared" si="74"/>
        <v>28</v>
      </c>
      <c r="D51" s="757"/>
      <c r="E51" s="757"/>
      <c r="F51" s="757">
        <v>1</v>
      </c>
      <c r="G51" s="283" t="s">
        <v>3859</v>
      </c>
      <c r="H51" s="283" t="s">
        <v>3860</v>
      </c>
      <c r="I51" s="207" t="s">
        <v>3861</v>
      </c>
      <c r="J51" s="207" t="str">
        <f t="shared" si="0"/>
        <v>Pietro Piovaccari</v>
      </c>
      <c r="K51" s="224">
        <v>3388204741</v>
      </c>
      <c r="L51" s="251"/>
      <c r="M51" s="251" t="s">
        <v>702</v>
      </c>
      <c r="N51" s="131" t="str">
        <f t="shared" si="1"/>
        <v>Next (somministrazione), Horeca Consulting (consulenza horeca), MNRV (abbigliamento, social e siti internet), Valentini (distilleria)</v>
      </c>
      <c r="O51" s="1238"/>
      <c r="P51" s="37"/>
      <c r="Q51" s="37"/>
      <c r="R51" s="251" t="s">
        <v>3862</v>
      </c>
      <c r="S51" s="160"/>
      <c r="T51" s="160"/>
      <c r="U51" s="160"/>
      <c r="V51" s="160"/>
      <c r="W51" s="233"/>
      <c r="X51" s="1262"/>
      <c r="Y51" s="233"/>
      <c r="Z51" s="233"/>
      <c r="AA51" s="233"/>
      <c r="AB51" s="37"/>
      <c r="AC51" s="37"/>
      <c r="AD51" s="37" t="s">
        <v>3863</v>
      </c>
      <c r="AE51" s="181" t="s">
        <v>3841</v>
      </c>
      <c r="AF51" s="236"/>
      <c r="AG51" s="121"/>
      <c r="AH51" s="121"/>
      <c r="AI51" s="121"/>
      <c r="AJ51" s="236"/>
      <c r="AK51" s="121"/>
      <c r="AL51" s="121"/>
      <c r="AM51" s="121"/>
      <c r="AN51" s="236"/>
      <c r="AO51" s="155" t="s">
        <v>115</v>
      </c>
      <c r="AP51" s="155" t="s">
        <v>115</v>
      </c>
      <c r="AQ51" s="155"/>
      <c r="AR51" s="236"/>
      <c r="AS51" s="121"/>
      <c r="AT51" s="121"/>
      <c r="AU51" s="19" t="s">
        <v>115</v>
      </c>
      <c r="AV51" s="236"/>
      <c r="AW51" s="121"/>
      <c r="AX51" s="121"/>
      <c r="AY51" s="121"/>
      <c r="AZ51" s="808">
        <f t="shared" si="2"/>
        <v>2997</v>
      </c>
      <c r="BA51" s="761">
        <f t="shared" si="3"/>
        <v>2997</v>
      </c>
      <c r="BB51" s="761">
        <f t="shared" si="4"/>
        <v>0</v>
      </c>
      <c r="BC51" s="110">
        <f>BA51</f>
        <v>2997</v>
      </c>
      <c r="BD51" s="1230">
        <f>AZ51-BC51</f>
        <v>0</v>
      </c>
      <c r="BE51" s="1231"/>
      <c r="BF51" s="285" t="s">
        <v>117</v>
      </c>
      <c r="BG51" s="98">
        <v>0</v>
      </c>
      <c r="BH51" s="110">
        <f>AZ51*BG51</f>
        <v>0</v>
      </c>
      <c r="BI51" s="242">
        <f t="shared" si="81"/>
        <v>0</v>
      </c>
      <c r="BJ51" s="1231">
        <f t="shared" si="82"/>
        <v>0</v>
      </c>
      <c r="BK51" s="244" t="s">
        <v>118</v>
      </c>
      <c r="BL51" s="243" t="s">
        <v>152</v>
      </c>
      <c r="BM51" s="98">
        <v>0.05</v>
      </c>
      <c r="BN51" s="110">
        <f>AZ51*BM51</f>
        <v>149.85</v>
      </c>
      <c r="BO51" s="242"/>
      <c r="BP51" s="1231"/>
      <c r="BQ51" s="243" t="s">
        <v>968</v>
      </c>
      <c r="BR51" s="262">
        <v>2997</v>
      </c>
      <c r="BS51" s="286">
        <v>44645</v>
      </c>
      <c r="BT51" s="262">
        <v>2997</v>
      </c>
      <c r="BU51" s="206"/>
      <c r="BV51" s="206"/>
      <c r="BW51" s="206"/>
      <c r="BX51" s="206"/>
      <c r="BY51" s="206"/>
      <c r="BZ51" s="206"/>
      <c r="CA51" s="206"/>
      <c r="CB51" s="206"/>
      <c r="CC51" s="206"/>
      <c r="CD51" s="206"/>
      <c r="CE51" s="206"/>
      <c r="CF51" s="206"/>
      <c r="CG51" s="206"/>
      <c r="CH51" s="206"/>
      <c r="CI51" s="206"/>
      <c r="CJ51" s="206"/>
      <c r="CK51" s="245" t="s">
        <v>2612</v>
      </c>
      <c r="CL51" s="181"/>
      <c r="CM51" s="246"/>
      <c r="CN51" s="247" t="s">
        <v>3864</v>
      </c>
      <c r="CO51" s="282" t="s">
        <v>122</v>
      </c>
      <c r="CP51" s="155"/>
      <c r="CQ51" s="131" t="s">
        <v>3865</v>
      </c>
      <c r="CR51" s="131" t="s">
        <v>3866</v>
      </c>
      <c r="CS51" s="116" t="str">
        <f t="shared" si="9"/>
        <v>blackship</v>
      </c>
      <c r="CT51" s="242"/>
      <c r="CU51" s="242"/>
      <c r="CV51" s="116" t="str">
        <f t="shared" si="10"/>
        <v>Client Angel</v>
      </c>
      <c r="CW51" s="207"/>
      <c r="CX51" s="729"/>
      <c r="CY51" s="729"/>
      <c r="CZ51" s="729"/>
      <c r="DA51" s="729"/>
      <c r="DB51" s="729"/>
      <c r="DC51" s="729"/>
    </row>
    <row r="52" spans="1:107" ht="30" customHeight="1">
      <c r="A52" s="228"/>
      <c r="B52" s="155">
        <v>101402</v>
      </c>
      <c r="C52" s="155">
        <f t="shared" si="74"/>
        <v>29</v>
      </c>
      <c r="D52" s="757">
        <v>1</v>
      </c>
      <c r="E52" s="757">
        <v>1</v>
      </c>
      <c r="F52" s="757">
        <v>1</v>
      </c>
      <c r="G52" s="283" t="s">
        <v>822</v>
      </c>
      <c r="H52" s="283" t="s">
        <v>3867</v>
      </c>
      <c r="I52" s="1234" t="s">
        <v>3868</v>
      </c>
      <c r="J52" s="207" t="str">
        <f t="shared" si="0"/>
        <v>Roberto Carlucci</v>
      </c>
      <c r="K52" s="224">
        <v>3403549320</v>
      </c>
      <c r="L52" s="1263" t="s">
        <v>3869</v>
      </c>
      <c r="M52" s="251"/>
      <c r="N52" s="131" t="str">
        <f t="shared" si="1"/>
        <v>Carlucci Roberto</v>
      </c>
      <c r="O52" s="1238"/>
      <c r="P52" s="314"/>
      <c r="Q52" s="37"/>
      <c r="R52" s="251" t="s">
        <v>3870</v>
      </c>
      <c r="S52" s="160"/>
      <c r="T52" s="160"/>
      <c r="U52" s="160"/>
      <c r="V52" s="160"/>
      <c r="W52" s="233"/>
      <c r="X52" s="234"/>
      <c r="Y52" s="233"/>
      <c r="Z52" s="233"/>
      <c r="AA52" s="233"/>
      <c r="AB52" s="37"/>
      <c r="AC52" s="37"/>
      <c r="AD52" s="37" t="s">
        <v>3871</v>
      </c>
      <c r="AE52" s="181"/>
      <c r="AF52" s="198"/>
      <c r="AG52" s="121"/>
      <c r="AH52" s="121"/>
      <c r="AI52" s="121"/>
      <c r="AJ52" s="198"/>
      <c r="AK52" s="121"/>
      <c r="AL52" s="121"/>
      <c r="AM52" s="121"/>
      <c r="AN52" s="198"/>
      <c r="AO52" s="155"/>
      <c r="AP52" s="155"/>
      <c r="AQ52" s="155"/>
      <c r="AR52" s="198"/>
      <c r="AS52" s="121" t="s">
        <v>115</v>
      </c>
      <c r="AT52" s="121" t="s">
        <v>115</v>
      </c>
      <c r="AU52" s="121" t="s">
        <v>115</v>
      </c>
      <c r="AV52" s="198"/>
      <c r="AW52" s="121"/>
      <c r="AX52" s="121"/>
      <c r="AY52" s="121"/>
      <c r="AZ52" s="808">
        <f t="shared" si="2"/>
        <v>2997</v>
      </c>
      <c r="BA52" s="761">
        <f t="shared" si="3"/>
        <v>2997</v>
      </c>
      <c r="BB52" s="761">
        <f t="shared" si="4"/>
        <v>0</v>
      </c>
      <c r="BC52" s="110"/>
      <c r="BD52" s="1230">
        <v>2997</v>
      </c>
      <c r="BE52" s="1231"/>
      <c r="BF52" s="317" t="s">
        <v>487</v>
      </c>
      <c r="BG52" s="98">
        <v>0.15</v>
      </c>
      <c r="BH52" s="110"/>
      <c r="BI52" s="242">
        <f t="shared" si="81"/>
        <v>449.55</v>
      </c>
      <c r="BJ52" s="1231">
        <f t="shared" si="82"/>
        <v>0</v>
      </c>
      <c r="BK52" s="772" t="s">
        <v>1076</v>
      </c>
      <c r="BL52" s="772" t="s">
        <v>487</v>
      </c>
      <c r="BM52" s="1264">
        <v>0.05</v>
      </c>
      <c r="BN52" s="110"/>
      <c r="BO52" s="242">
        <f t="shared" ref="BO52:BO54" si="83">BD52*BM52</f>
        <v>149.85</v>
      </c>
      <c r="BP52" s="1231">
        <f t="shared" ref="BP52:BP54" si="84">BE52*BM52</f>
        <v>0</v>
      </c>
      <c r="BQ52" s="387" t="s">
        <v>1076</v>
      </c>
      <c r="BR52" s="110">
        <v>2997</v>
      </c>
      <c r="BS52" s="1265">
        <v>44645</v>
      </c>
      <c r="BT52" s="110">
        <v>2997</v>
      </c>
      <c r="BU52" s="206"/>
      <c r="BV52" s="206"/>
      <c r="BW52" s="206"/>
      <c r="BX52" s="206"/>
      <c r="BY52" s="206"/>
      <c r="BZ52" s="206"/>
      <c r="CA52" s="206"/>
      <c r="CB52" s="206"/>
      <c r="CC52" s="206"/>
      <c r="CD52" s="206"/>
      <c r="CE52" s="206"/>
      <c r="CF52" s="206"/>
      <c r="CG52" s="206"/>
      <c r="CH52" s="206"/>
      <c r="CI52" s="206"/>
      <c r="CJ52" s="206"/>
      <c r="CK52" s="245" t="s">
        <v>2612</v>
      </c>
      <c r="CL52" s="181"/>
      <c r="CM52" s="246"/>
      <c r="CN52" s="247" t="s">
        <v>3872</v>
      </c>
      <c r="CO52" s="282" t="s">
        <v>122</v>
      </c>
      <c r="CP52" s="155"/>
      <c r="CQ52" s="131"/>
      <c r="CR52" s="131" t="s">
        <v>3873</v>
      </c>
      <c r="CS52" s="116" t="str">
        <f t="shared" si="9"/>
        <v>Daniela</v>
      </c>
      <c r="CT52" s="820">
        <f t="shared" ref="CT52:CT54" si="85">IF(OR(D52&gt;0,E52&gt;0,F52&gt;0),IF(BB52=0,BD52*BG52,0))</f>
        <v>449.55</v>
      </c>
      <c r="CU52" s="820">
        <f t="shared" ref="CU52:CU54" si="86">IF(OR(D52&gt;0,E52&gt;0,F52&gt;0),IF(BB52=0,BD52*BM52,0))</f>
        <v>149.85</v>
      </c>
      <c r="CV52" s="116" t="str">
        <f t="shared" si="10"/>
        <v>Daniela</v>
      </c>
      <c r="CW52" s="207"/>
      <c r="CX52" s="729"/>
      <c r="CY52" s="729"/>
      <c r="CZ52" s="729"/>
      <c r="DA52" s="729"/>
      <c r="DB52" s="729"/>
      <c r="DC52" s="729"/>
    </row>
    <row r="53" spans="1:107" ht="30" customHeight="1">
      <c r="A53" s="228"/>
      <c r="B53" s="155">
        <v>101397</v>
      </c>
      <c r="C53" s="155">
        <f t="shared" si="74"/>
        <v>30</v>
      </c>
      <c r="D53" s="757">
        <v>1</v>
      </c>
      <c r="E53" s="757">
        <v>1</v>
      </c>
      <c r="F53" s="757">
        <v>1</v>
      </c>
      <c r="G53" s="283" t="s">
        <v>1056</v>
      </c>
      <c r="H53" s="283" t="s">
        <v>3874</v>
      </c>
      <c r="I53" s="1234" t="s">
        <v>3875</v>
      </c>
      <c r="J53" s="207" t="str">
        <f t="shared" si="0"/>
        <v>Sergio Buttignoni</v>
      </c>
      <c r="K53" s="224" t="s">
        <v>3876</v>
      </c>
      <c r="L53" s="251"/>
      <c r="M53" s="251" t="s">
        <v>1321</v>
      </c>
      <c r="N53" s="131" t="str">
        <f t="shared" si="1"/>
        <v>Sergio Buttignoni</v>
      </c>
      <c r="O53" s="1238"/>
      <c r="P53" s="314"/>
      <c r="Q53" s="37"/>
      <c r="R53" s="251" t="s">
        <v>3877</v>
      </c>
      <c r="S53" s="160"/>
      <c r="T53" s="160"/>
      <c r="U53" s="160"/>
      <c r="V53" s="160"/>
      <c r="W53" s="233"/>
      <c r="X53" s="234"/>
      <c r="Y53" s="233"/>
      <c r="Z53" s="233"/>
      <c r="AA53" s="233"/>
      <c r="AB53" s="37"/>
      <c r="AC53" s="37"/>
      <c r="AD53" s="37" t="s">
        <v>3878</v>
      </c>
      <c r="AE53" s="181" t="s">
        <v>3879</v>
      </c>
      <c r="AF53" s="198"/>
      <c r="AG53" s="121"/>
      <c r="AH53" s="121"/>
      <c r="AI53" s="121"/>
      <c r="AJ53" s="198"/>
      <c r="AK53" s="121"/>
      <c r="AL53" s="121"/>
      <c r="AM53" s="121"/>
      <c r="AN53" s="198"/>
      <c r="AO53" s="155"/>
      <c r="AP53" s="155"/>
      <c r="AQ53" s="155"/>
      <c r="AR53" s="198"/>
      <c r="AS53" s="121" t="s">
        <v>115</v>
      </c>
      <c r="AT53" s="121" t="s">
        <v>115</v>
      </c>
      <c r="AU53" s="121" t="s">
        <v>115</v>
      </c>
      <c r="AV53" s="198"/>
      <c r="AW53" s="121"/>
      <c r="AX53" s="121"/>
      <c r="AY53" s="121"/>
      <c r="AZ53" s="808">
        <f t="shared" si="2"/>
        <v>2997</v>
      </c>
      <c r="BA53" s="761">
        <f t="shared" si="3"/>
        <v>2997</v>
      </c>
      <c r="BB53" s="761">
        <f t="shared" si="4"/>
        <v>0</v>
      </c>
      <c r="BC53" s="110" t="s">
        <v>118</v>
      </c>
      <c r="BD53" s="1230">
        <v>2997</v>
      </c>
      <c r="BE53" s="1231"/>
      <c r="BF53" s="285" t="s">
        <v>117</v>
      </c>
      <c r="BG53" s="98">
        <v>0</v>
      </c>
      <c r="BH53" s="110">
        <f>AZ53*BG53</f>
        <v>0</v>
      </c>
      <c r="BI53" s="242">
        <f t="shared" si="81"/>
        <v>0</v>
      </c>
      <c r="BJ53" s="1231">
        <f t="shared" si="82"/>
        <v>0</v>
      </c>
      <c r="BK53" s="244" t="s">
        <v>118</v>
      </c>
      <c r="BL53" s="243" t="s">
        <v>152</v>
      </c>
      <c r="BM53" s="98">
        <v>0.05</v>
      </c>
      <c r="BN53" s="110" t="s">
        <v>118</v>
      </c>
      <c r="BO53" s="242">
        <f t="shared" si="83"/>
        <v>149.85</v>
      </c>
      <c r="BP53" s="1231">
        <f t="shared" si="84"/>
        <v>0</v>
      </c>
      <c r="BQ53" s="387" t="s">
        <v>1076</v>
      </c>
      <c r="BR53" s="378">
        <v>2997</v>
      </c>
      <c r="BS53" s="286">
        <v>44645</v>
      </c>
      <c r="BT53" s="110">
        <v>2997</v>
      </c>
      <c r="BU53" s="206"/>
      <c r="BV53" s="206"/>
      <c r="BW53" s="206"/>
      <c r="BX53" s="206"/>
      <c r="BY53" s="206"/>
      <c r="BZ53" s="206"/>
      <c r="CA53" s="206"/>
      <c r="CB53" s="206"/>
      <c r="CC53" s="206"/>
      <c r="CD53" s="206"/>
      <c r="CE53" s="206"/>
      <c r="CF53" s="206"/>
      <c r="CG53" s="206"/>
      <c r="CH53" s="206"/>
      <c r="CI53" s="206"/>
      <c r="CJ53" s="206"/>
      <c r="CK53" s="245" t="s">
        <v>2612</v>
      </c>
      <c r="CL53" s="181"/>
      <c r="CM53" s="246"/>
      <c r="CN53" s="247" t="s">
        <v>1014</v>
      </c>
      <c r="CO53" s="282" t="s">
        <v>122</v>
      </c>
      <c r="CP53" s="155"/>
      <c r="CQ53" s="131"/>
      <c r="CR53" s="131" t="s">
        <v>3880</v>
      </c>
      <c r="CS53" s="116" t="str">
        <f t="shared" si="9"/>
        <v>blackship</v>
      </c>
      <c r="CT53" s="820">
        <f t="shared" si="85"/>
        <v>0</v>
      </c>
      <c r="CU53" s="820">
        <f t="shared" si="86"/>
        <v>149.85</v>
      </c>
      <c r="CV53" s="116" t="str">
        <f t="shared" si="10"/>
        <v>Client Angel</v>
      </c>
      <c r="CW53" s="207"/>
      <c r="CX53" s="729"/>
      <c r="CY53" s="729"/>
      <c r="CZ53" s="729"/>
      <c r="DA53" s="729"/>
      <c r="DB53" s="729"/>
      <c r="DC53" s="729"/>
    </row>
    <row r="54" spans="1:107" ht="30" customHeight="1">
      <c r="A54" s="228"/>
      <c r="B54" s="155">
        <v>13198</v>
      </c>
      <c r="C54" s="155">
        <f t="shared" si="74"/>
        <v>31</v>
      </c>
      <c r="D54" s="757">
        <v>1</v>
      </c>
      <c r="E54" s="757">
        <v>1</v>
      </c>
      <c r="F54" s="757">
        <v>1</v>
      </c>
      <c r="G54" s="283" t="s">
        <v>1056</v>
      </c>
      <c r="H54" s="283" t="s">
        <v>3881</v>
      </c>
      <c r="I54" s="1234" t="s">
        <v>3882</v>
      </c>
      <c r="J54" s="207" t="str">
        <f t="shared" si="0"/>
        <v>Sergio La Rosa</v>
      </c>
      <c r="K54" s="224">
        <v>3488884047</v>
      </c>
      <c r="L54" s="131"/>
      <c r="M54" s="131"/>
      <c r="N54" s="131" t="str">
        <f t="shared" si="1"/>
        <v>Studio Tebaldini La Rosa</v>
      </c>
      <c r="O54" s="284"/>
      <c r="P54" s="37"/>
      <c r="Q54" s="37"/>
      <c r="R54" s="131" t="s">
        <v>3883</v>
      </c>
      <c r="S54" s="160"/>
      <c r="T54" s="84"/>
      <c r="U54" s="84"/>
      <c r="V54" s="84"/>
      <c r="W54" s="267"/>
      <c r="X54" s="268"/>
      <c r="Y54" s="267"/>
      <c r="Z54" s="267"/>
      <c r="AA54" s="267"/>
      <c r="AB54" s="37"/>
      <c r="AC54" s="37"/>
      <c r="AD54" s="37" t="s">
        <v>3884</v>
      </c>
      <c r="AE54" s="181"/>
      <c r="AF54" s="198"/>
      <c r="AG54" s="121"/>
      <c r="AH54" s="121"/>
      <c r="AI54" s="121"/>
      <c r="AJ54" s="198"/>
      <c r="AK54" s="121"/>
      <c r="AL54" s="121"/>
      <c r="AM54" s="121"/>
      <c r="AN54" s="198"/>
      <c r="AO54" s="155"/>
      <c r="AP54" s="155"/>
      <c r="AQ54" s="155"/>
      <c r="AR54" s="198"/>
      <c r="AS54" s="121" t="s">
        <v>115</v>
      </c>
      <c r="AT54" s="121" t="s">
        <v>115</v>
      </c>
      <c r="AU54" s="121" t="s">
        <v>115</v>
      </c>
      <c r="AV54" s="198"/>
      <c r="AW54" s="121"/>
      <c r="AX54" s="121"/>
      <c r="AY54" s="121"/>
      <c r="AZ54" s="808">
        <f t="shared" si="2"/>
        <v>2997</v>
      </c>
      <c r="BA54" s="761">
        <f t="shared" si="3"/>
        <v>2997</v>
      </c>
      <c r="BB54" s="761">
        <f t="shared" si="4"/>
        <v>0</v>
      </c>
      <c r="BC54" s="110"/>
      <c r="BD54" s="1230">
        <v>2997</v>
      </c>
      <c r="BE54" s="1231"/>
      <c r="BF54" s="285" t="s">
        <v>117</v>
      </c>
      <c r="BG54" s="98">
        <v>0</v>
      </c>
      <c r="BH54" s="110"/>
      <c r="BI54" s="242">
        <f t="shared" si="81"/>
        <v>0</v>
      </c>
      <c r="BJ54" s="1231">
        <f t="shared" si="82"/>
        <v>0</v>
      </c>
      <c r="BK54" s="244" t="s">
        <v>118</v>
      </c>
      <c r="BL54" s="243" t="s">
        <v>152</v>
      </c>
      <c r="BM54" s="98">
        <v>0.05</v>
      </c>
      <c r="BN54" s="110"/>
      <c r="BO54" s="242">
        <f t="shared" si="83"/>
        <v>149.85</v>
      </c>
      <c r="BP54" s="1231">
        <f t="shared" si="84"/>
        <v>0</v>
      </c>
      <c r="BQ54" s="387" t="s">
        <v>1076</v>
      </c>
      <c r="BR54" s="110">
        <v>2997</v>
      </c>
      <c r="BS54" s="286">
        <v>44645</v>
      </c>
      <c r="BT54" s="110">
        <v>2997</v>
      </c>
      <c r="BU54" s="206"/>
      <c r="BV54" s="206"/>
      <c r="BW54" s="206"/>
      <c r="BX54" s="206"/>
      <c r="BY54" s="206"/>
      <c r="BZ54" s="206"/>
      <c r="CA54" s="206"/>
      <c r="CB54" s="206"/>
      <c r="CC54" s="206"/>
      <c r="CD54" s="206"/>
      <c r="CE54" s="206"/>
      <c r="CF54" s="206"/>
      <c r="CG54" s="206"/>
      <c r="CH54" s="206"/>
      <c r="CI54" s="206"/>
      <c r="CJ54" s="206"/>
      <c r="CK54" s="245" t="s">
        <v>2612</v>
      </c>
      <c r="CL54" s="181"/>
      <c r="CM54" s="246"/>
      <c r="CN54" s="247" t="s">
        <v>3885</v>
      </c>
      <c r="CO54" s="282" t="s">
        <v>122</v>
      </c>
      <c r="CP54" s="155"/>
      <c r="CQ54" s="131"/>
      <c r="CR54" s="131" t="s">
        <v>3886</v>
      </c>
      <c r="CS54" s="191" t="str">
        <f t="shared" si="9"/>
        <v>blackship</v>
      </c>
      <c r="CT54" s="820">
        <f t="shared" si="85"/>
        <v>0</v>
      </c>
      <c r="CU54" s="820">
        <f t="shared" si="86"/>
        <v>149.85</v>
      </c>
      <c r="CV54" s="116" t="str">
        <f t="shared" si="10"/>
        <v>Client Angel</v>
      </c>
      <c r="CW54" s="207"/>
      <c r="CX54" s="729"/>
      <c r="CY54" s="729"/>
      <c r="CZ54" s="729"/>
      <c r="DA54" s="729"/>
      <c r="DB54" s="729"/>
      <c r="DC54" s="729"/>
    </row>
    <row r="55" spans="1:107" ht="30" customHeight="1">
      <c r="A55" s="228"/>
      <c r="B55" s="155">
        <v>101310</v>
      </c>
      <c r="C55" s="155">
        <f t="shared" si="74"/>
        <v>32</v>
      </c>
      <c r="D55" s="757"/>
      <c r="E55" s="757">
        <v>1</v>
      </c>
      <c r="F55" s="757">
        <v>1</v>
      </c>
      <c r="G55" s="283" t="s">
        <v>693</v>
      </c>
      <c r="H55" s="283" t="s">
        <v>3887</v>
      </c>
      <c r="I55" s="1234" t="s">
        <v>3888</v>
      </c>
      <c r="J55" s="207" t="str">
        <f t="shared" si="0"/>
        <v>Silvia Martelli</v>
      </c>
      <c r="K55" s="224">
        <v>3486923579</v>
      </c>
      <c r="L55" s="131"/>
      <c r="M55" s="131" t="s">
        <v>3889</v>
      </c>
      <c r="N55" s="131" t="str">
        <f t="shared" si="1"/>
        <v xml:space="preserve">Briefing </v>
      </c>
      <c r="O55" s="284"/>
      <c r="P55" s="231"/>
      <c r="Q55" s="37"/>
      <c r="R55" s="131" t="s">
        <v>3722</v>
      </c>
      <c r="S55" s="160"/>
      <c r="T55" s="84"/>
      <c r="U55" s="84"/>
      <c r="V55" s="84"/>
      <c r="W55" s="267"/>
      <c r="X55" s="234"/>
      <c r="Y55" s="267"/>
      <c r="Z55" s="267"/>
      <c r="AA55" s="267"/>
      <c r="AB55" s="37"/>
      <c r="AC55" s="37"/>
      <c r="AD55" s="37" t="s">
        <v>3723</v>
      </c>
      <c r="AE55" s="181"/>
      <c r="AF55" s="198"/>
      <c r="AG55" s="121"/>
      <c r="AH55" s="121"/>
      <c r="AI55" s="121"/>
      <c r="AJ55" s="198"/>
      <c r="AK55" s="121"/>
      <c r="AL55" s="121"/>
      <c r="AM55" s="121"/>
      <c r="AN55" s="198"/>
      <c r="AO55" s="155" t="s">
        <v>115</v>
      </c>
      <c r="AP55" s="155"/>
      <c r="AQ55" s="155"/>
      <c r="AR55" s="198"/>
      <c r="AS55" s="121"/>
      <c r="AT55" s="19" t="s">
        <v>115</v>
      </c>
      <c r="AU55" s="19" t="s">
        <v>115</v>
      </c>
      <c r="AV55" s="198"/>
      <c r="AW55" s="121"/>
      <c r="AX55" s="121"/>
      <c r="AY55" s="121"/>
      <c r="AZ55" s="808">
        <f t="shared" si="2"/>
        <v>2997</v>
      </c>
      <c r="BA55" s="761">
        <f t="shared" si="3"/>
        <v>2997</v>
      </c>
      <c r="BB55" s="761">
        <f t="shared" si="4"/>
        <v>0</v>
      </c>
      <c r="BC55" s="110">
        <f>BA55</f>
        <v>2997</v>
      </c>
      <c r="BD55" s="1230">
        <f>AZ55-BC55</f>
        <v>0</v>
      </c>
      <c r="BE55" s="1231"/>
      <c r="BF55" s="285" t="s">
        <v>117</v>
      </c>
      <c r="BG55" s="98">
        <v>0</v>
      </c>
      <c r="BH55" s="110">
        <f t="shared" ref="BH55:BH56" si="87">AZ55*BG55</f>
        <v>0</v>
      </c>
      <c r="BI55" s="242">
        <f t="shared" si="81"/>
        <v>0</v>
      </c>
      <c r="BJ55" s="1231">
        <f t="shared" si="82"/>
        <v>0</v>
      </c>
      <c r="BK55" s="244" t="s">
        <v>118</v>
      </c>
      <c r="BL55" s="243" t="s">
        <v>152</v>
      </c>
      <c r="BM55" s="98">
        <v>0.05</v>
      </c>
      <c r="BN55" s="381">
        <f t="shared" ref="BN55:BN56" si="88">AZ55*BM55</f>
        <v>149.85</v>
      </c>
      <c r="BO55" s="242"/>
      <c r="BP55" s="1231"/>
      <c r="BQ55" s="243" t="s">
        <v>3735</v>
      </c>
      <c r="BR55" s="110">
        <v>2997</v>
      </c>
      <c r="BS55" s="286">
        <v>44645</v>
      </c>
      <c r="BT55" s="110">
        <v>2997</v>
      </c>
      <c r="BU55" s="206"/>
      <c r="BV55" s="206"/>
      <c r="BW55" s="206"/>
      <c r="BX55" s="206"/>
      <c r="BY55" s="206"/>
      <c r="BZ55" s="206"/>
      <c r="CA55" s="206"/>
      <c r="CB55" s="206"/>
      <c r="CC55" s="206"/>
      <c r="CD55" s="206"/>
      <c r="CE55" s="206"/>
      <c r="CF55" s="206"/>
      <c r="CG55" s="206"/>
      <c r="CH55" s="206"/>
      <c r="CI55" s="206"/>
      <c r="CJ55" s="206"/>
      <c r="CK55" s="245" t="s">
        <v>2612</v>
      </c>
      <c r="CL55" s="181"/>
      <c r="CM55" s="246"/>
      <c r="CN55" s="247" t="s">
        <v>3890</v>
      </c>
      <c r="CO55" s="282" t="s">
        <v>122</v>
      </c>
      <c r="CP55" s="155"/>
      <c r="CQ55" s="131" t="s">
        <v>3725</v>
      </c>
      <c r="CR55" s="131" t="s">
        <v>3726</v>
      </c>
      <c r="CS55" s="191" t="str">
        <f t="shared" si="9"/>
        <v>blackship</v>
      </c>
      <c r="CT55" s="242"/>
      <c r="CU55" s="242"/>
      <c r="CV55" s="116" t="str">
        <f t="shared" si="10"/>
        <v>Client Angel</v>
      </c>
      <c r="CW55" s="207"/>
      <c r="CX55" s="729"/>
      <c r="CY55" s="729"/>
      <c r="CZ55" s="729"/>
      <c r="DA55" s="729"/>
      <c r="DB55" s="729"/>
      <c r="DC55" s="729"/>
    </row>
    <row r="56" spans="1:107" ht="42.75" customHeight="1">
      <c r="A56" s="228"/>
      <c r="B56" s="155" t="s">
        <v>3670</v>
      </c>
      <c r="C56" s="155">
        <f t="shared" si="74"/>
        <v>33</v>
      </c>
      <c r="D56" s="757"/>
      <c r="E56" s="757"/>
      <c r="F56" s="757">
        <v>1</v>
      </c>
      <c r="G56" s="283" t="s">
        <v>861</v>
      </c>
      <c r="H56" s="283" t="s">
        <v>3891</v>
      </c>
      <c r="I56" s="207" t="s">
        <v>3892</v>
      </c>
      <c r="J56" s="207" t="str">
        <f t="shared" si="0"/>
        <v>Simone Mangano</v>
      </c>
      <c r="K56" s="224" t="s">
        <v>3893</v>
      </c>
      <c r="L56" s="131"/>
      <c r="M56" s="131"/>
      <c r="N56" s="131" t="str">
        <f t="shared" si="1"/>
        <v>Simone Mangano</v>
      </c>
      <c r="O56" s="284"/>
      <c r="P56" s="37"/>
      <c r="Q56" s="37"/>
      <c r="R56" s="131" t="s">
        <v>3894</v>
      </c>
      <c r="S56" s="160"/>
      <c r="T56" s="160"/>
      <c r="U56" s="160"/>
      <c r="V56" s="160"/>
      <c r="W56" s="233"/>
      <c r="X56" s="234"/>
      <c r="Y56" s="233"/>
      <c r="Z56" s="233"/>
      <c r="AA56" s="233"/>
      <c r="AB56" s="37"/>
      <c r="AC56" s="37"/>
      <c r="AD56" s="37" t="s">
        <v>3895</v>
      </c>
      <c r="AE56" s="181"/>
      <c r="AF56" s="198"/>
      <c r="AG56" s="121"/>
      <c r="AH56" s="121"/>
      <c r="AI56" s="121"/>
      <c r="AJ56" s="198"/>
      <c r="AK56" s="121"/>
      <c r="AL56" s="121"/>
      <c r="AM56" s="121"/>
      <c r="AN56" s="198"/>
      <c r="AO56" s="155" t="s">
        <v>115</v>
      </c>
      <c r="AP56" s="155" t="s">
        <v>115</v>
      </c>
      <c r="AQ56" s="155"/>
      <c r="AR56" s="198"/>
      <c r="AS56" s="121"/>
      <c r="AT56" s="121"/>
      <c r="AU56" s="19" t="s">
        <v>115</v>
      </c>
      <c r="AV56" s="198"/>
      <c r="AW56" s="121"/>
      <c r="AX56" s="121"/>
      <c r="AY56" s="121"/>
      <c r="AZ56" s="808">
        <f t="shared" si="2"/>
        <v>3497.0000000000005</v>
      </c>
      <c r="BA56" s="761">
        <f t="shared" si="3"/>
        <v>3497.0000000000005</v>
      </c>
      <c r="BB56" s="761">
        <f t="shared" si="4"/>
        <v>0</v>
      </c>
      <c r="BC56" s="110">
        <v>3497</v>
      </c>
      <c r="BD56" s="1230">
        <v>0</v>
      </c>
      <c r="BE56" s="1231"/>
      <c r="BF56" s="285" t="s">
        <v>133</v>
      </c>
      <c r="BG56" s="98">
        <v>0.15</v>
      </c>
      <c r="BH56" s="381">
        <f t="shared" si="87"/>
        <v>524.55000000000007</v>
      </c>
      <c r="BI56" s="242"/>
      <c r="BJ56" s="1231"/>
      <c r="BK56" s="243" t="s">
        <v>3735</v>
      </c>
      <c r="BL56" s="243" t="s">
        <v>133</v>
      </c>
      <c r="BM56" s="775">
        <v>0.05</v>
      </c>
      <c r="BN56" s="381">
        <f t="shared" si="88"/>
        <v>174.85000000000002</v>
      </c>
      <c r="BO56" s="242"/>
      <c r="BP56" s="1231"/>
      <c r="BQ56" s="243" t="s">
        <v>3735</v>
      </c>
      <c r="BR56" s="110">
        <f>200/1.22</f>
        <v>163.9344262295082</v>
      </c>
      <c r="BS56" s="365">
        <v>44645</v>
      </c>
      <c r="BT56" s="110">
        <f>200/1.22</f>
        <v>163.9344262295082</v>
      </c>
      <c r="BU56" s="206"/>
      <c r="BV56" s="110">
        <f>1720/1.22</f>
        <v>1409.8360655737706</v>
      </c>
      <c r="BW56" s="226">
        <v>44698</v>
      </c>
      <c r="BX56" s="110">
        <f>1720/1.22</f>
        <v>1409.8360655737706</v>
      </c>
      <c r="BY56" s="206"/>
      <c r="BZ56" s="110">
        <f>2346.34/1.22</f>
        <v>1923.2295081967216</v>
      </c>
      <c r="CA56" s="263" t="s">
        <v>2721</v>
      </c>
      <c r="CB56" s="110">
        <f>2346.34/1.22</f>
        <v>1923.2295081967216</v>
      </c>
      <c r="CC56" s="206"/>
      <c r="CD56" s="206"/>
      <c r="CE56" s="206"/>
      <c r="CF56" s="206"/>
      <c r="CG56" s="206"/>
      <c r="CH56" s="206"/>
      <c r="CI56" s="206"/>
      <c r="CJ56" s="206"/>
      <c r="CK56" s="245" t="s">
        <v>2612</v>
      </c>
      <c r="CL56" s="181"/>
      <c r="CM56" s="246"/>
      <c r="CN56" s="247" t="s">
        <v>3675</v>
      </c>
      <c r="CO56" s="282" t="s">
        <v>122</v>
      </c>
      <c r="CP56" s="155"/>
      <c r="CQ56" s="131"/>
      <c r="CR56" s="131" t="s">
        <v>3896</v>
      </c>
      <c r="CS56" s="191" t="str">
        <f t="shared" si="9"/>
        <v>Cristian B</v>
      </c>
      <c r="CT56" s="242"/>
      <c r="CU56" s="242"/>
      <c r="CV56" s="116" t="str">
        <f t="shared" si="10"/>
        <v>Cristian B</v>
      </c>
      <c r="CW56" s="207"/>
      <c r="CX56" s="729"/>
      <c r="CY56" s="729"/>
      <c r="CZ56" s="729"/>
      <c r="DA56" s="729"/>
      <c r="DB56" s="729"/>
      <c r="DC56" s="729"/>
    </row>
    <row r="57" spans="1:107" ht="30" customHeight="1">
      <c r="A57" s="228"/>
      <c r="B57" s="155">
        <v>101300</v>
      </c>
      <c r="C57" s="155">
        <f t="shared" si="74"/>
        <v>34</v>
      </c>
      <c r="D57" s="757">
        <v>1</v>
      </c>
      <c r="E57" s="757">
        <v>1</v>
      </c>
      <c r="F57" s="757">
        <v>1</v>
      </c>
      <c r="G57" s="283" t="s">
        <v>407</v>
      </c>
      <c r="H57" s="283" t="s">
        <v>3897</v>
      </c>
      <c r="I57" s="1234" t="s">
        <v>3898</v>
      </c>
      <c r="J57" s="207" t="str">
        <f t="shared" si="0"/>
        <v>Stefano Ghesini</v>
      </c>
      <c r="K57" s="224">
        <v>3386068348</v>
      </c>
      <c r="L57" s="251"/>
      <c r="M57" s="251" t="s">
        <v>3899</v>
      </c>
      <c r="N57" s="131" t="str">
        <f t="shared" si="1"/>
        <v xml:space="preserve">PM Oil Steel </v>
      </c>
      <c r="O57" s="1233"/>
      <c r="P57" s="314"/>
      <c r="Q57" s="314"/>
      <c r="R57" s="12" t="s">
        <v>3900</v>
      </c>
      <c r="S57" s="315"/>
      <c r="T57" s="315"/>
      <c r="U57" s="315"/>
      <c r="V57" s="315"/>
      <c r="W57" s="316"/>
      <c r="X57" s="234"/>
      <c r="Y57" s="316"/>
      <c r="Z57" s="316"/>
      <c r="AA57" s="316"/>
      <c r="AB57" s="37"/>
      <c r="AC57" s="37"/>
      <c r="AD57" s="37" t="s">
        <v>3901</v>
      </c>
      <c r="AE57" s="181"/>
      <c r="AF57" s="211"/>
      <c r="AG57" s="121"/>
      <c r="AH57" s="121"/>
      <c r="AI57" s="121"/>
      <c r="AJ57" s="211"/>
      <c r="AK57" s="121"/>
      <c r="AL57" s="121"/>
      <c r="AM57" s="121"/>
      <c r="AN57" s="211"/>
      <c r="AO57" s="155"/>
      <c r="AP57" s="155"/>
      <c r="AQ57" s="155"/>
      <c r="AR57" s="211"/>
      <c r="AS57" s="121" t="s">
        <v>115</v>
      </c>
      <c r="AT57" s="121" t="s">
        <v>115</v>
      </c>
      <c r="AU57" s="121" t="s">
        <v>115</v>
      </c>
      <c r="AV57" s="211"/>
      <c r="AW57" s="121"/>
      <c r="AX57" s="121"/>
      <c r="AY57" s="121"/>
      <c r="AZ57" s="808">
        <f t="shared" si="2"/>
        <v>2997</v>
      </c>
      <c r="BA57" s="761">
        <f t="shared" si="3"/>
        <v>2997</v>
      </c>
      <c r="BB57" s="761">
        <f t="shared" si="4"/>
        <v>0</v>
      </c>
      <c r="BC57" s="110"/>
      <c r="BD57" s="1230">
        <v>2997</v>
      </c>
      <c r="BE57" s="1231"/>
      <c r="BF57" s="285" t="s">
        <v>487</v>
      </c>
      <c r="BG57" s="98">
        <v>0.15</v>
      </c>
      <c r="BH57" s="110"/>
      <c r="BI57" s="242">
        <f t="shared" ref="BI57:BI64" si="89">BD57*BG57</f>
        <v>449.55</v>
      </c>
      <c r="BJ57" s="1231">
        <f t="shared" ref="BJ57:BJ64" si="90">BE57*BG57</f>
        <v>0</v>
      </c>
      <c r="BK57" s="772" t="s">
        <v>1076</v>
      </c>
      <c r="BL57" s="772" t="s">
        <v>487</v>
      </c>
      <c r="BM57" s="98">
        <v>0.05</v>
      </c>
      <c r="BN57" s="110"/>
      <c r="BO57" s="242">
        <f t="shared" ref="BO57:BO61" si="91">BD57*BM57</f>
        <v>149.85</v>
      </c>
      <c r="BP57" s="1231">
        <f t="shared" ref="BP57:BP64" si="92">BE57*BM57</f>
        <v>0</v>
      </c>
      <c r="BQ57" s="387" t="s">
        <v>1076</v>
      </c>
      <c r="BR57" s="110">
        <v>2997</v>
      </c>
      <c r="BS57" s="286">
        <v>44645</v>
      </c>
      <c r="BT57" s="110">
        <v>2997</v>
      </c>
      <c r="BU57" s="206"/>
      <c r="BV57" s="206"/>
      <c r="BW57" s="206"/>
      <c r="BX57" s="206"/>
      <c r="BY57" s="206"/>
      <c r="BZ57" s="206"/>
      <c r="CA57" s="206"/>
      <c r="CB57" s="206"/>
      <c r="CC57" s="206"/>
      <c r="CD57" s="206"/>
      <c r="CE57" s="206"/>
      <c r="CF57" s="206"/>
      <c r="CG57" s="206"/>
      <c r="CH57" s="206"/>
      <c r="CI57" s="206"/>
      <c r="CJ57" s="206"/>
      <c r="CK57" s="245" t="s">
        <v>2612</v>
      </c>
      <c r="CL57" s="181" t="s">
        <v>3902</v>
      </c>
      <c r="CM57" s="246"/>
      <c r="CN57" s="247" t="s">
        <v>3903</v>
      </c>
      <c r="CO57" s="282" t="s">
        <v>122</v>
      </c>
      <c r="CP57" s="155"/>
      <c r="CQ57" s="254" t="s">
        <v>3904</v>
      </c>
      <c r="CR57" s="254" t="s">
        <v>3905</v>
      </c>
      <c r="CS57" s="191" t="str">
        <f t="shared" si="9"/>
        <v>Daniela</v>
      </c>
      <c r="CT57" s="820">
        <f t="shared" ref="CT57:CT64" si="93">IF(OR(D57&gt;0,E57&gt;0,F57&gt;0),IF(BB57=0,BD57*BG57,0))</f>
        <v>449.55</v>
      </c>
      <c r="CU57" s="820">
        <f t="shared" ref="CU57:CU64" si="94">IF(OR(D57&gt;0,E57&gt;0,F57&gt;0),IF(BB57=0,BD57*BM57,0))</f>
        <v>149.85</v>
      </c>
      <c r="CV57" s="116" t="str">
        <f t="shared" si="10"/>
        <v>Daniela</v>
      </c>
      <c r="CW57" s="207"/>
      <c r="CX57" s="729"/>
      <c r="CY57" s="729"/>
      <c r="CZ57" s="729"/>
      <c r="DA57" s="729"/>
      <c r="DB57" s="729"/>
      <c r="DC57" s="729"/>
    </row>
    <row r="58" spans="1:107" ht="30" customHeight="1">
      <c r="A58" s="228"/>
      <c r="B58" s="155">
        <v>101350</v>
      </c>
      <c r="C58" s="155">
        <f t="shared" si="74"/>
        <v>35</v>
      </c>
      <c r="D58" s="757">
        <v>1</v>
      </c>
      <c r="E58" s="757">
        <v>1</v>
      </c>
      <c r="F58" s="757">
        <v>1</v>
      </c>
      <c r="G58" s="283" t="s">
        <v>407</v>
      </c>
      <c r="H58" s="283" t="s">
        <v>2493</v>
      </c>
      <c r="I58" s="1234" t="s">
        <v>2494</v>
      </c>
      <c r="J58" s="207" t="str">
        <f t="shared" si="0"/>
        <v>Stefano Inverardi</v>
      </c>
      <c r="K58" s="224">
        <v>3297661251</v>
      </c>
      <c r="L58" s="251"/>
      <c r="M58" s="251" t="s">
        <v>112</v>
      </c>
      <c r="N58" s="131" t="str">
        <f t="shared" si="1"/>
        <v>Eagle Ghost</v>
      </c>
      <c r="O58" s="1238"/>
      <c r="P58" s="314"/>
      <c r="Q58" s="314"/>
      <c r="R58" s="251" t="s">
        <v>3906</v>
      </c>
      <c r="S58" s="315"/>
      <c r="T58" s="315"/>
      <c r="U58" s="315"/>
      <c r="V58" s="315"/>
      <c r="W58" s="316"/>
      <c r="X58" s="234"/>
      <c r="Y58" s="316"/>
      <c r="Z58" s="316"/>
      <c r="AA58" s="316"/>
      <c r="AB58" s="37"/>
      <c r="AC58" s="37"/>
      <c r="AD58" s="37" t="s">
        <v>3907</v>
      </c>
      <c r="AE58" s="181"/>
      <c r="AF58" s="211"/>
      <c r="AG58" s="121"/>
      <c r="AH58" s="121"/>
      <c r="AI58" s="121"/>
      <c r="AJ58" s="211"/>
      <c r="AK58" s="121"/>
      <c r="AL58" s="121"/>
      <c r="AM58" s="121"/>
      <c r="AN58" s="211"/>
      <c r="AO58" s="155"/>
      <c r="AP58" s="155"/>
      <c r="AQ58" s="155"/>
      <c r="AR58" s="211"/>
      <c r="AS58" s="121" t="s">
        <v>115</v>
      </c>
      <c r="AT58" s="121" t="s">
        <v>115</v>
      </c>
      <c r="AU58" s="121" t="s">
        <v>115</v>
      </c>
      <c r="AV58" s="211"/>
      <c r="AW58" s="121"/>
      <c r="AX58" s="121"/>
      <c r="AY58" s="121"/>
      <c r="AZ58" s="808">
        <f t="shared" si="2"/>
        <v>2997</v>
      </c>
      <c r="BA58" s="761">
        <f t="shared" si="3"/>
        <v>2997</v>
      </c>
      <c r="BB58" s="761">
        <f t="shared" si="4"/>
        <v>0</v>
      </c>
      <c r="BC58" s="110"/>
      <c r="BD58" s="1230">
        <v>2997</v>
      </c>
      <c r="BE58" s="1231"/>
      <c r="BF58" s="285" t="s">
        <v>117</v>
      </c>
      <c r="BG58" s="98">
        <v>0</v>
      </c>
      <c r="BH58" s="110"/>
      <c r="BI58" s="242">
        <f t="shared" si="89"/>
        <v>0</v>
      </c>
      <c r="BJ58" s="1231">
        <f t="shared" si="90"/>
        <v>0</v>
      </c>
      <c r="BK58" s="244" t="s">
        <v>118</v>
      </c>
      <c r="BL58" s="243" t="s">
        <v>152</v>
      </c>
      <c r="BM58" s="98">
        <v>0.05</v>
      </c>
      <c r="BN58" s="110"/>
      <c r="BO58" s="242">
        <f t="shared" si="91"/>
        <v>149.85</v>
      </c>
      <c r="BP58" s="1231">
        <f t="shared" si="92"/>
        <v>0</v>
      </c>
      <c r="BQ58" s="387" t="s">
        <v>1076</v>
      </c>
      <c r="BR58" s="110">
        <v>2997</v>
      </c>
      <c r="BS58" s="286">
        <v>44645</v>
      </c>
      <c r="BT58" s="110">
        <v>2997</v>
      </c>
      <c r="BU58" s="206"/>
      <c r="BV58" s="206"/>
      <c r="BW58" s="206"/>
      <c r="BX58" s="206"/>
      <c r="BY58" s="206"/>
      <c r="BZ58" s="206"/>
      <c r="CA58" s="206"/>
      <c r="CB58" s="206"/>
      <c r="CC58" s="206"/>
      <c r="CD58" s="206"/>
      <c r="CE58" s="206"/>
      <c r="CF58" s="206"/>
      <c r="CG58" s="206"/>
      <c r="CH58" s="206"/>
      <c r="CI58" s="206"/>
      <c r="CJ58" s="206"/>
      <c r="CK58" s="245" t="s">
        <v>2612</v>
      </c>
      <c r="CL58" s="181"/>
      <c r="CM58" s="246"/>
      <c r="CN58" s="247" t="s">
        <v>3908</v>
      </c>
      <c r="CO58" s="282" t="s">
        <v>122</v>
      </c>
      <c r="CP58" s="155"/>
      <c r="CQ58" s="131" t="s">
        <v>3909</v>
      </c>
      <c r="CR58" s="131" t="s">
        <v>2495</v>
      </c>
      <c r="CS58" s="191" t="str">
        <f t="shared" si="9"/>
        <v>blackship</v>
      </c>
      <c r="CT58" s="820">
        <f t="shared" si="93"/>
        <v>0</v>
      </c>
      <c r="CU58" s="820">
        <f t="shared" si="94"/>
        <v>149.85</v>
      </c>
      <c r="CV58" s="116" t="str">
        <f t="shared" si="10"/>
        <v>Client Angel</v>
      </c>
      <c r="CW58" s="207"/>
      <c r="CX58" s="729"/>
      <c r="CY58" s="729"/>
      <c r="CZ58" s="729"/>
      <c r="DA58" s="729"/>
      <c r="DB58" s="729"/>
      <c r="DC58" s="729"/>
    </row>
    <row r="59" spans="1:107" ht="30" customHeight="1">
      <c r="A59" s="228"/>
      <c r="B59" s="155">
        <f t="shared" ref="B59:C59" si="95">B58+1</f>
        <v>101351</v>
      </c>
      <c r="C59" s="155">
        <f t="shared" si="95"/>
        <v>36</v>
      </c>
      <c r="D59" s="244">
        <v>1</v>
      </c>
      <c r="E59" s="244">
        <v>1</v>
      </c>
      <c r="F59" s="244"/>
      <c r="G59" s="283" t="s">
        <v>1070</v>
      </c>
      <c r="H59" s="283" t="s">
        <v>1071</v>
      </c>
      <c r="I59" s="1234" t="s">
        <v>1072</v>
      </c>
      <c r="J59" s="207" t="str">
        <f t="shared" si="0"/>
        <v>Tania Marchina</v>
      </c>
      <c r="K59" s="224">
        <v>3663529659</v>
      </c>
      <c r="L59" s="251"/>
      <c r="M59" s="251"/>
      <c r="N59" s="131" t="str">
        <f t="shared" si="1"/>
        <v>Credit Team</v>
      </c>
      <c r="O59" s="1238"/>
      <c r="P59" s="314"/>
      <c r="Q59" s="314"/>
      <c r="R59" s="251" t="s">
        <v>1074</v>
      </c>
      <c r="S59" s="315"/>
      <c r="T59" s="315"/>
      <c r="U59" s="315"/>
      <c r="V59" s="315"/>
      <c r="W59" s="316"/>
      <c r="X59" s="234"/>
      <c r="Y59" s="316"/>
      <c r="Z59" s="316"/>
      <c r="AA59" s="316"/>
      <c r="AB59" s="37"/>
      <c r="AC59" s="37"/>
      <c r="AD59" s="37" t="s">
        <v>1075</v>
      </c>
      <c r="AE59" s="181"/>
      <c r="AF59" s="211"/>
      <c r="AG59" s="121"/>
      <c r="AH59" s="121"/>
      <c r="AI59" s="121"/>
      <c r="AJ59" s="211"/>
      <c r="AK59" s="121"/>
      <c r="AL59" s="121"/>
      <c r="AM59" s="121"/>
      <c r="AN59" s="211"/>
      <c r="AO59" s="155"/>
      <c r="AP59" s="155"/>
      <c r="AQ59" s="155"/>
      <c r="AR59" s="211"/>
      <c r="AS59" s="121" t="s">
        <v>115</v>
      </c>
      <c r="AT59" s="121" t="s">
        <v>115</v>
      </c>
      <c r="AU59" s="154" t="s">
        <v>194</v>
      </c>
      <c r="AV59" s="211"/>
      <c r="AW59" s="121"/>
      <c r="AX59" s="121"/>
      <c r="AY59" s="121" t="s">
        <v>27</v>
      </c>
      <c r="AZ59" s="808">
        <f t="shared" si="2"/>
        <v>2997</v>
      </c>
      <c r="BA59" s="761">
        <f t="shared" si="3"/>
        <v>2997</v>
      </c>
      <c r="BB59" s="761">
        <f t="shared" si="4"/>
        <v>0</v>
      </c>
      <c r="BC59" s="110"/>
      <c r="BD59" s="1230">
        <v>2997</v>
      </c>
      <c r="BE59" s="1231"/>
      <c r="BF59" s="285" t="s">
        <v>184</v>
      </c>
      <c r="BG59" s="98">
        <v>0.15</v>
      </c>
      <c r="BH59" s="110"/>
      <c r="BI59" s="242">
        <f t="shared" si="89"/>
        <v>449.55</v>
      </c>
      <c r="BJ59" s="1231">
        <f t="shared" si="90"/>
        <v>0</v>
      </c>
      <c r="BK59" s="1266" t="s">
        <v>1076</v>
      </c>
      <c r="BL59" s="243" t="s">
        <v>184</v>
      </c>
      <c r="BM59" s="98">
        <v>0.1</v>
      </c>
      <c r="BN59" s="110"/>
      <c r="BO59" s="242">
        <f t="shared" si="91"/>
        <v>299.7</v>
      </c>
      <c r="BP59" s="1231">
        <f t="shared" si="92"/>
        <v>0</v>
      </c>
      <c r="BQ59" s="387" t="s">
        <v>1076</v>
      </c>
      <c r="BR59" s="110">
        <v>2997</v>
      </c>
      <c r="BS59" s="286">
        <v>44767</v>
      </c>
      <c r="BT59" s="110">
        <v>2997</v>
      </c>
      <c r="BU59" s="206"/>
      <c r="BV59" s="206"/>
      <c r="BW59" s="206"/>
      <c r="BX59" s="206"/>
      <c r="BY59" s="206"/>
      <c r="BZ59" s="206"/>
      <c r="CA59" s="206"/>
      <c r="CB59" s="206"/>
      <c r="CC59" s="206"/>
      <c r="CD59" s="206"/>
      <c r="CE59" s="206"/>
      <c r="CF59" s="206"/>
      <c r="CG59" s="206"/>
      <c r="CH59" s="206"/>
      <c r="CI59" s="206"/>
      <c r="CJ59" s="206"/>
      <c r="CK59" s="245" t="s">
        <v>2612</v>
      </c>
      <c r="CL59" s="181"/>
      <c r="CM59" s="246"/>
      <c r="CN59" s="247" t="s">
        <v>1077</v>
      </c>
      <c r="CO59" s="282" t="s">
        <v>122</v>
      </c>
      <c r="CP59" s="155"/>
      <c r="CQ59" s="131"/>
      <c r="CR59" s="131" t="s">
        <v>1073</v>
      </c>
      <c r="CS59" s="191" t="str">
        <f t="shared" si="9"/>
        <v>Cristian A</v>
      </c>
      <c r="CT59" s="820">
        <f t="shared" si="93"/>
        <v>449.55</v>
      </c>
      <c r="CU59" s="820">
        <f t="shared" si="94"/>
        <v>299.7</v>
      </c>
      <c r="CV59" s="116" t="str">
        <f t="shared" si="10"/>
        <v>Cristian A</v>
      </c>
      <c r="CW59" s="207"/>
      <c r="CX59" s="729"/>
      <c r="CY59" s="729"/>
      <c r="CZ59" s="729"/>
      <c r="DA59" s="729"/>
      <c r="DB59" s="729"/>
      <c r="DC59" s="729"/>
    </row>
    <row r="60" spans="1:107" ht="30" customHeight="1">
      <c r="A60" s="228"/>
      <c r="B60" s="155">
        <f t="shared" ref="B60:C60" si="96">B59+1</f>
        <v>101352</v>
      </c>
      <c r="C60" s="155">
        <f t="shared" si="96"/>
        <v>37</v>
      </c>
      <c r="D60" s="244">
        <v>1</v>
      </c>
      <c r="E60" s="244">
        <v>1</v>
      </c>
      <c r="F60" s="244"/>
      <c r="G60" s="320" t="s">
        <v>1079</v>
      </c>
      <c r="H60" s="320" t="s">
        <v>1080</v>
      </c>
      <c r="I60" s="1246" t="s">
        <v>1081</v>
      </c>
      <c r="J60" s="207" t="str">
        <f t="shared" si="0"/>
        <v>Anna Maria Barbieri</v>
      </c>
      <c r="K60" s="224">
        <v>3209045358</v>
      </c>
      <c r="L60" s="251"/>
      <c r="M60" s="251"/>
      <c r="N60" s="131" t="str">
        <f t="shared" si="1"/>
        <v>Credit Team</v>
      </c>
      <c r="O60" s="1238"/>
      <c r="P60" s="314"/>
      <c r="Q60" s="314"/>
      <c r="R60" s="251" t="s">
        <v>1074</v>
      </c>
      <c r="S60" s="315"/>
      <c r="T60" s="315"/>
      <c r="U60" s="315"/>
      <c r="V60" s="315"/>
      <c r="W60" s="316"/>
      <c r="X60" s="234"/>
      <c r="Y60" s="316"/>
      <c r="Z60" s="316"/>
      <c r="AA60" s="316"/>
      <c r="AB60" s="37"/>
      <c r="AC60" s="37"/>
      <c r="AD60" s="37" t="s">
        <v>1075</v>
      </c>
      <c r="AE60" s="181"/>
      <c r="AF60" s="321"/>
      <c r="AG60" s="121"/>
      <c r="AH60" s="121"/>
      <c r="AI60" s="121"/>
      <c r="AJ60" s="321"/>
      <c r="AK60" s="121"/>
      <c r="AL60" s="121"/>
      <c r="AM60" s="121"/>
      <c r="AN60" s="321"/>
      <c r="AO60" s="155"/>
      <c r="AP60" s="155"/>
      <c r="AQ60" s="155"/>
      <c r="AR60" s="321"/>
      <c r="AS60" s="121" t="s">
        <v>115</v>
      </c>
      <c r="AT60" s="121" t="s">
        <v>115</v>
      </c>
      <c r="AU60" s="154" t="s">
        <v>194</v>
      </c>
      <c r="AV60" s="321"/>
      <c r="AW60" s="121"/>
      <c r="AX60" s="121"/>
      <c r="AY60" s="121" t="s">
        <v>27</v>
      </c>
      <c r="AZ60" s="808">
        <f t="shared" si="2"/>
        <v>2997</v>
      </c>
      <c r="BA60" s="761">
        <f t="shared" si="3"/>
        <v>2997</v>
      </c>
      <c r="BB60" s="761">
        <f t="shared" si="4"/>
        <v>0</v>
      </c>
      <c r="BC60" s="110"/>
      <c r="BD60" s="1230">
        <v>2997</v>
      </c>
      <c r="BE60" s="1231"/>
      <c r="BF60" s="285" t="s">
        <v>184</v>
      </c>
      <c r="BG60" s="98">
        <v>0.15</v>
      </c>
      <c r="BH60" s="110"/>
      <c r="BI60" s="242">
        <f t="shared" si="89"/>
        <v>449.55</v>
      </c>
      <c r="BJ60" s="1231">
        <f t="shared" si="90"/>
        <v>0</v>
      </c>
      <c r="BK60" s="243" t="s">
        <v>1076</v>
      </c>
      <c r="BL60" s="243" t="s">
        <v>184</v>
      </c>
      <c r="BM60" s="98">
        <v>0.1</v>
      </c>
      <c r="BN60" s="110"/>
      <c r="BO60" s="242">
        <f t="shared" si="91"/>
        <v>299.7</v>
      </c>
      <c r="BP60" s="1231">
        <f t="shared" si="92"/>
        <v>0</v>
      </c>
      <c r="BQ60" s="387" t="s">
        <v>1076</v>
      </c>
      <c r="BR60" s="110">
        <v>2997</v>
      </c>
      <c r="BS60" s="286">
        <v>44767</v>
      </c>
      <c r="BT60" s="110">
        <v>2997</v>
      </c>
      <c r="BU60" s="206"/>
      <c r="BV60" s="206"/>
      <c r="BW60" s="206"/>
      <c r="BX60" s="206"/>
      <c r="BY60" s="206"/>
      <c r="BZ60" s="206"/>
      <c r="CA60" s="206"/>
      <c r="CB60" s="206"/>
      <c r="CC60" s="206"/>
      <c r="CD60" s="206"/>
      <c r="CE60" s="206"/>
      <c r="CF60" s="206"/>
      <c r="CG60" s="206"/>
      <c r="CH60" s="206"/>
      <c r="CI60" s="206"/>
      <c r="CJ60" s="206"/>
      <c r="CK60" s="245"/>
      <c r="CL60" s="181"/>
      <c r="CM60" s="246"/>
      <c r="CN60" s="247"/>
      <c r="CO60" s="282" t="s">
        <v>122</v>
      </c>
      <c r="CP60" s="155"/>
      <c r="CQ60" s="131"/>
      <c r="CR60" s="131" t="s">
        <v>1073</v>
      </c>
      <c r="CS60" s="191" t="str">
        <f t="shared" si="9"/>
        <v>Cristian A</v>
      </c>
      <c r="CT60" s="820">
        <f t="shared" si="93"/>
        <v>449.55</v>
      </c>
      <c r="CU60" s="820">
        <f t="shared" si="94"/>
        <v>299.7</v>
      </c>
      <c r="CV60" s="116" t="str">
        <f t="shared" si="10"/>
        <v>Cristian A</v>
      </c>
      <c r="CW60" s="207"/>
      <c r="CX60" s="729"/>
      <c r="CY60" s="729"/>
      <c r="CZ60" s="729"/>
      <c r="DA60" s="729"/>
      <c r="DB60" s="729"/>
      <c r="DC60" s="729"/>
    </row>
    <row r="61" spans="1:107" ht="30" customHeight="1">
      <c r="A61" s="228"/>
      <c r="B61" s="155">
        <v>101397</v>
      </c>
      <c r="C61" s="155">
        <f t="shared" ref="C61:C70" si="97">C60+1</f>
        <v>38</v>
      </c>
      <c r="D61" s="757">
        <v>1</v>
      </c>
      <c r="E61" s="757">
        <v>1</v>
      </c>
      <c r="F61" s="757">
        <v>1</v>
      </c>
      <c r="G61" s="283" t="s">
        <v>1083</v>
      </c>
      <c r="H61" s="283" t="s">
        <v>3910</v>
      </c>
      <c r="I61" s="1234" t="s">
        <v>3911</v>
      </c>
      <c r="J61" s="207" t="str">
        <f t="shared" si="0"/>
        <v>Valeria Zaccaria</v>
      </c>
      <c r="K61" s="224">
        <v>3486956533</v>
      </c>
      <c r="L61" s="251"/>
      <c r="M61" s="251"/>
      <c r="N61" s="131" t="str">
        <f t="shared" si="1"/>
        <v>J&amp;A Consultants</v>
      </c>
      <c r="O61" s="1238"/>
      <c r="P61" s="314"/>
      <c r="Q61" s="314"/>
      <c r="R61" s="251" t="s">
        <v>3877</v>
      </c>
      <c r="S61" s="315"/>
      <c r="T61" s="315"/>
      <c r="U61" s="315"/>
      <c r="V61" s="315"/>
      <c r="W61" s="316"/>
      <c r="X61" s="234"/>
      <c r="Y61" s="316"/>
      <c r="Z61" s="316"/>
      <c r="AA61" s="316"/>
      <c r="AB61" s="37"/>
      <c r="AC61" s="37"/>
      <c r="AD61" s="37" t="s">
        <v>3878</v>
      </c>
      <c r="AE61" s="181" t="s">
        <v>3912</v>
      </c>
      <c r="AF61" s="211"/>
      <c r="AG61" s="121"/>
      <c r="AH61" s="121"/>
      <c r="AI61" s="121"/>
      <c r="AJ61" s="211"/>
      <c r="AK61" s="121"/>
      <c r="AL61" s="121"/>
      <c r="AM61" s="121"/>
      <c r="AN61" s="211"/>
      <c r="AO61" s="155"/>
      <c r="AP61" s="155"/>
      <c r="AQ61" s="155"/>
      <c r="AR61" s="211"/>
      <c r="AS61" s="121" t="s">
        <v>115</v>
      </c>
      <c r="AT61" s="121" t="s">
        <v>115</v>
      </c>
      <c r="AU61" s="121" t="s">
        <v>115</v>
      </c>
      <c r="AV61" s="211"/>
      <c r="AW61" s="121"/>
      <c r="AX61" s="121"/>
      <c r="AY61" s="121"/>
      <c r="AZ61" s="808">
        <f t="shared" si="2"/>
        <v>2997</v>
      </c>
      <c r="BA61" s="761">
        <f t="shared" si="3"/>
        <v>2997</v>
      </c>
      <c r="BB61" s="761">
        <f t="shared" si="4"/>
        <v>0</v>
      </c>
      <c r="BC61" s="110" t="s">
        <v>118</v>
      </c>
      <c r="BD61" s="1230">
        <v>2997</v>
      </c>
      <c r="BE61" s="1231"/>
      <c r="BF61" s="317" t="s">
        <v>117</v>
      </c>
      <c r="BG61" s="98">
        <v>0</v>
      </c>
      <c r="BH61" s="110">
        <f>AZ61*BG61</f>
        <v>0</v>
      </c>
      <c r="BI61" s="242">
        <f t="shared" si="89"/>
        <v>0</v>
      </c>
      <c r="BJ61" s="1231">
        <f t="shared" si="90"/>
        <v>0</v>
      </c>
      <c r="BK61" s="244" t="s">
        <v>118</v>
      </c>
      <c r="BL61" s="243" t="s">
        <v>152</v>
      </c>
      <c r="BM61" s="98">
        <v>0.05</v>
      </c>
      <c r="BN61" s="110" t="s">
        <v>118</v>
      </c>
      <c r="BO61" s="242">
        <f t="shared" si="91"/>
        <v>149.85</v>
      </c>
      <c r="BP61" s="1231">
        <f t="shared" si="92"/>
        <v>0</v>
      </c>
      <c r="BQ61" s="387" t="s">
        <v>1076</v>
      </c>
      <c r="BR61" s="110">
        <v>2997</v>
      </c>
      <c r="BS61" s="286">
        <v>44645</v>
      </c>
      <c r="BT61" s="110">
        <v>2997</v>
      </c>
      <c r="BU61" s="206"/>
      <c r="BV61" s="206"/>
      <c r="BW61" s="206"/>
      <c r="BX61" s="206"/>
      <c r="BY61" s="206"/>
      <c r="BZ61" s="206"/>
      <c r="CA61" s="206"/>
      <c r="CB61" s="206"/>
      <c r="CC61" s="206"/>
      <c r="CD61" s="206"/>
      <c r="CE61" s="206"/>
      <c r="CF61" s="206"/>
      <c r="CG61" s="206"/>
      <c r="CH61" s="206"/>
      <c r="CI61" s="206"/>
      <c r="CJ61" s="206"/>
      <c r="CK61" s="245" t="s">
        <v>2612</v>
      </c>
      <c r="CL61" s="181"/>
      <c r="CM61" s="246"/>
      <c r="CN61" s="247" t="s">
        <v>3880</v>
      </c>
      <c r="CO61" s="282" t="s">
        <v>122</v>
      </c>
      <c r="CP61" s="155"/>
      <c r="CQ61" s="131" t="s">
        <v>3913</v>
      </c>
      <c r="CR61" s="131" t="s">
        <v>3914</v>
      </c>
      <c r="CS61" s="191" t="str">
        <f t="shared" si="9"/>
        <v>blackship</v>
      </c>
      <c r="CT61" s="820">
        <f t="shared" si="93"/>
        <v>0</v>
      </c>
      <c r="CU61" s="820">
        <f t="shared" si="94"/>
        <v>149.85</v>
      </c>
      <c r="CV61" s="116" t="str">
        <f t="shared" si="10"/>
        <v>Client Angel</v>
      </c>
      <c r="CW61" s="207"/>
      <c r="CX61" s="729"/>
      <c r="CY61" s="729"/>
      <c r="CZ61" s="729"/>
      <c r="DA61" s="729"/>
      <c r="DB61" s="729"/>
      <c r="DC61" s="729"/>
    </row>
    <row r="62" spans="1:107" ht="30" customHeight="1">
      <c r="A62" s="228"/>
      <c r="B62" s="155">
        <v>101406</v>
      </c>
      <c r="C62" s="155">
        <f t="shared" si="97"/>
        <v>39</v>
      </c>
      <c r="D62" s="757"/>
      <c r="E62" s="757"/>
      <c r="F62" s="757"/>
      <c r="G62" s="288" t="s">
        <v>1037</v>
      </c>
      <c r="H62" s="288" t="s">
        <v>1038</v>
      </c>
      <c r="I62" s="294" t="s">
        <v>1039</v>
      </c>
      <c r="J62" s="207" t="str">
        <f t="shared" si="0"/>
        <v>Marco Maria Ingrassia</v>
      </c>
      <c r="K62" s="224"/>
      <c r="L62" s="251"/>
      <c r="M62" s="251"/>
      <c r="N62" s="131">
        <f t="shared" si="1"/>
        <v>0</v>
      </c>
      <c r="O62" s="1238"/>
      <c r="P62" s="314"/>
      <c r="Q62" s="314"/>
      <c r="R62" s="251" t="s">
        <v>1043</v>
      </c>
      <c r="S62" s="315"/>
      <c r="T62" s="315"/>
      <c r="U62" s="315"/>
      <c r="V62" s="315"/>
      <c r="W62" s="316"/>
      <c r="X62" s="234"/>
      <c r="Y62" s="316"/>
      <c r="Z62" s="316"/>
      <c r="AA62" s="316"/>
      <c r="AB62" s="37"/>
      <c r="AC62" s="37"/>
      <c r="AD62" s="37" t="s">
        <v>1044</v>
      </c>
      <c r="AE62" s="612" t="s">
        <v>1040</v>
      </c>
      <c r="AF62" s="211"/>
      <c r="AG62" s="121"/>
      <c r="AH62" s="121"/>
      <c r="AI62" s="121"/>
      <c r="AJ62" s="211"/>
      <c r="AK62" s="121"/>
      <c r="AL62" s="121"/>
      <c r="AM62" s="121"/>
      <c r="AN62" s="211"/>
      <c r="AO62" s="155"/>
      <c r="AP62" s="155"/>
      <c r="AQ62" s="155"/>
      <c r="AR62" s="211"/>
      <c r="AS62" s="121"/>
      <c r="AT62" s="121"/>
      <c r="AU62" s="121"/>
      <c r="AV62" s="211"/>
      <c r="AW62" s="121" t="s">
        <v>27</v>
      </c>
      <c r="AX62" s="121" t="s">
        <v>27</v>
      </c>
      <c r="AY62" s="121" t="s">
        <v>27</v>
      </c>
      <c r="AZ62" s="808"/>
      <c r="BA62" s="761"/>
      <c r="BB62" s="761">
        <f t="shared" si="4"/>
        <v>0</v>
      </c>
      <c r="BC62" s="110" t="s">
        <v>118</v>
      </c>
      <c r="BD62" s="1230">
        <v>0</v>
      </c>
      <c r="BE62" s="1231">
        <v>2997</v>
      </c>
      <c r="BF62" s="285" t="s">
        <v>117</v>
      </c>
      <c r="BG62" s="98">
        <v>0</v>
      </c>
      <c r="BH62" s="110"/>
      <c r="BI62" s="242">
        <f t="shared" si="89"/>
        <v>0</v>
      </c>
      <c r="BJ62" s="1231">
        <f t="shared" si="90"/>
        <v>0</v>
      </c>
      <c r="BK62" s="1267" t="s">
        <v>118</v>
      </c>
      <c r="BL62" s="243" t="s">
        <v>152</v>
      </c>
      <c r="BM62" s="98">
        <v>0.05</v>
      </c>
      <c r="BN62" s="110"/>
      <c r="BO62" s="242">
        <f>BJ62*BM62</f>
        <v>0</v>
      </c>
      <c r="BP62" s="1231">
        <f t="shared" si="92"/>
        <v>149.85</v>
      </c>
      <c r="BQ62" s="243"/>
      <c r="BR62" s="110">
        <v>2997</v>
      </c>
      <c r="BS62" s="286">
        <v>44646</v>
      </c>
      <c r="BT62" s="110">
        <v>2997</v>
      </c>
      <c r="BU62" s="206"/>
      <c r="BV62" s="206"/>
      <c r="BW62" s="206"/>
      <c r="BX62" s="206"/>
      <c r="BY62" s="206"/>
      <c r="BZ62" s="206"/>
      <c r="CA62" s="206"/>
      <c r="CB62" s="206"/>
      <c r="CC62" s="206"/>
      <c r="CD62" s="206"/>
      <c r="CE62" s="206"/>
      <c r="CF62" s="206"/>
      <c r="CG62" s="206"/>
      <c r="CH62" s="206"/>
      <c r="CI62" s="206"/>
      <c r="CJ62" s="206"/>
      <c r="CK62" s="245" t="s">
        <v>2612</v>
      </c>
      <c r="CL62" s="181"/>
      <c r="CM62" s="246"/>
      <c r="CN62" s="247" t="s">
        <v>1045</v>
      </c>
      <c r="CO62" s="282"/>
      <c r="CP62" s="155"/>
      <c r="CQ62" s="131"/>
      <c r="CR62" s="131"/>
      <c r="CS62" s="116" t="str">
        <f t="shared" si="9"/>
        <v>blackship</v>
      </c>
      <c r="CT62" s="820" t="b">
        <f t="shared" si="93"/>
        <v>0</v>
      </c>
      <c r="CU62" s="820" t="b">
        <f t="shared" si="94"/>
        <v>0</v>
      </c>
      <c r="CV62" s="116" t="str">
        <f t="shared" si="10"/>
        <v>Client Angel</v>
      </c>
      <c r="CW62" s="207"/>
      <c r="CX62" s="729"/>
      <c r="CY62" s="729"/>
      <c r="CZ62" s="729"/>
      <c r="DA62" s="729"/>
      <c r="DB62" s="729"/>
      <c r="DC62" s="729"/>
    </row>
    <row r="63" spans="1:107" ht="30" customHeight="1">
      <c r="A63" s="228"/>
      <c r="B63" s="1268" t="s">
        <v>3915</v>
      </c>
      <c r="C63" s="155">
        <f t="shared" si="97"/>
        <v>40</v>
      </c>
      <c r="D63" s="757">
        <v>1</v>
      </c>
      <c r="E63" s="757"/>
      <c r="F63" s="757"/>
      <c r="G63" s="283" t="s">
        <v>1083</v>
      </c>
      <c r="H63" s="283" t="s">
        <v>1084</v>
      </c>
      <c r="I63" s="207" t="s">
        <v>1085</v>
      </c>
      <c r="J63" s="207" t="str">
        <f t="shared" si="0"/>
        <v>Valeria Cazzulani</v>
      </c>
      <c r="K63" s="224">
        <v>3385342544</v>
      </c>
      <c r="L63" s="251"/>
      <c r="M63" s="251"/>
      <c r="N63" s="131" t="str">
        <f t="shared" si="1"/>
        <v>Valeria Cazzulani</v>
      </c>
      <c r="O63" s="1238"/>
      <c r="P63" s="314"/>
      <c r="Q63" s="314"/>
      <c r="R63" s="251"/>
      <c r="S63" s="315"/>
      <c r="T63" s="315"/>
      <c r="U63" s="315"/>
      <c r="V63" s="315"/>
      <c r="W63" s="316"/>
      <c r="X63" s="234"/>
      <c r="Y63" s="316"/>
      <c r="Z63" s="316"/>
      <c r="AA63" s="316"/>
      <c r="AB63" s="37"/>
      <c r="AC63" s="37"/>
      <c r="AD63" s="37" t="s">
        <v>118</v>
      </c>
      <c r="AE63" s="181" t="s">
        <v>1086</v>
      </c>
      <c r="AF63" s="211"/>
      <c r="AG63" s="121"/>
      <c r="AH63" s="121"/>
      <c r="AI63" s="121"/>
      <c r="AJ63" s="211"/>
      <c r="AK63" s="121"/>
      <c r="AL63" s="121"/>
      <c r="AM63" s="121"/>
      <c r="AN63" s="211"/>
      <c r="AO63" s="124"/>
      <c r="AP63" s="124"/>
      <c r="AQ63" s="124"/>
      <c r="AR63" s="211"/>
      <c r="AS63" s="121" t="s">
        <v>115</v>
      </c>
      <c r="AT63" s="154" t="s">
        <v>194</v>
      </c>
      <c r="AU63" s="154" t="s">
        <v>194</v>
      </c>
      <c r="AV63" s="211"/>
      <c r="AW63" s="121"/>
      <c r="AX63" s="121" t="s">
        <v>115</v>
      </c>
      <c r="AY63" s="121" t="s">
        <v>115</v>
      </c>
      <c r="AZ63" s="761">
        <v>0</v>
      </c>
      <c r="BA63" s="761">
        <f t="shared" ref="BA63:BA239" si="98">BT63+BX63+CB63+CF63+CJ63</f>
        <v>0</v>
      </c>
      <c r="BB63" s="761">
        <f t="shared" si="4"/>
        <v>0</v>
      </c>
      <c r="BC63" s="110">
        <v>0</v>
      </c>
      <c r="BD63" s="1269">
        <v>0</v>
      </c>
      <c r="BE63" s="1270"/>
      <c r="BF63" s="285" t="s">
        <v>117</v>
      </c>
      <c r="BG63" s="98">
        <v>0</v>
      </c>
      <c r="BH63" s="110">
        <f>AZ63*BG63</f>
        <v>0</v>
      </c>
      <c r="BI63" s="242">
        <f t="shared" si="89"/>
        <v>0</v>
      </c>
      <c r="BJ63" s="1231">
        <f t="shared" si="90"/>
        <v>0</v>
      </c>
      <c r="BK63" s="244" t="s">
        <v>118</v>
      </c>
      <c r="BL63" s="243" t="s">
        <v>152</v>
      </c>
      <c r="BM63" s="98">
        <v>0.05</v>
      </c>
      <c r="BN63" s="110">
        <f>AZ63*BM63</f>
        <v>0</v>
      </c>
      <c r="BO63" s="242">
        <f t="shared" ref="BO63:BO64" si="99">BD63*BM63</f>
        <v>0</v>
      </c>
      <c r="BP63" s="1231">
        <f t="shared" si="92"/>
        <v>0</v>
      </c>
      <c r="BQ63" s="243"/>
      <c r="BR63" s="301"/>
      <c r="BS63" s="206"/>
      <c r="BT63" s="301"/>
      <c r="BU63" s="206"/>
      <c r="BV63" s="206"/>
      <c r="BW63" s="206"/>
      <c r="BX63" s="206"/>
      <c r="BY63" s="206"/>
      <c r="BZ63" s="206"/>
      <c r="CA63" s="206"/>
      <c r="CB63" s="206"/>
      <c r="CC63" s="206"/>
      <c r="CD63" s="206"/>
      <c r="CE63" s="206"/>
      <c r="CF63" s="206"/>
      <c r="CG63" s="206"/>
      <c r="CH63" s="206"/>
      <c r="CI63" s="206"/>
      <c r="CJ63" s="206"/>
      <c r="CK63" s="245">
        <v>1</v>
      </c>
      <c r="CL63" s="181" t="s">
        <v>1088</v>
      </c>
      <c r="CM63" s="246"/>
      <c r="CN63" s="247"/>
      <c r="CO63" s="282" t="s">
        <v>122</v>
      </c>
      <c r="CP63" s="155"/>
      <c r="CQ63" s="131"/>
      <c r="CR63" s="131" t="s">
        <v>3916</v>
      </c>
      <c r="CS63" s="116" t="str">
        <f t="shared" si="9"/>
        <v>blackship</v>
      </c>
      <c r="CT63" s="820">
        <f t="shared" si="93"/>
        <v>0</v>
      </c>
      <c r="CU63" s="820">
        <f t="shared" si="94"/>
        <v>0</v>
      </c>
      <c r="CV63" s="116" t="str">
        <f t="shared" si="10"/>
        <v>Client Angel</v>
      </c>
      <c r="CW63" s="207"/>
      <c r="CX63" s="729"/>
      <c r="CY63" s="729"/>
      <c r="CZ63" s="729"/>
      <c r="DA63" s="729"/>
      <c r="DB63" s="729"/>
      <c r="DC63" s="729"/>
    </row>
    <row r="64" spans="1:107" ht="30" customHeight="1">
      <c r="A64" s="228"/>
      <c r="B64" s="155">
        <v>101416</v>
      </c>
      <c r="C64" s="155">
        <f t="shared" si="97"/>
        <v>41</v>
      </c>
      <c r="D64" s="757"/>
      <c r="E64" s="757"/>
      <c r="F64" s="757"/>
      <c r="G64" s="283" t="s">
        <v>693</v>
      </c>
      <c r="H64" s="283" t="s">
        <v>1062</v>
      </c>
      <c r="I64" s="207" t="s">
        <v>1063</v>
      </c>
      <c r="J64" s="207" t="str">
        <f t="shared" si="0"/>
        <v>Silvia Rapacioli</v>
      </c>
      <c r="K64" s="224">
        <v>3477562487</v>
      </c>
      <c r="L64" s="1263" t="s">
        <v>1064</v>
      </c>
      <c r="M64" s="251"/>
      <c r="N64" s="131" t="str">
        <f t="shared" si="1"/>
        <v xml:space="preserve">BICT </v>
      </c>
      <c r="O64" s="1238"/>
      <c r="P64" s="314"/>
      <c r="Q64" s="314"/>
      <c r="R64" s="251" t="s">
        <v>1066</v>
      </c>
      <c r="S64" s="315"/>
      <c r="T64" s="315"/>
      <c r="U64" s="315"/>
      <c r="V64" s="315"/>
      <c r="W64" s="316"/>
      <c r="X64" s="234"/>
      <c r="Y64" s="316"/>
      <c r="Z64" s="316"/>
      <c r="AA64" s="316"/>
      <c r="AB64" s="37"/>
      <c r="AC64" s="37"/>
      <c r="AD64" s="37" t="s">
        <v>1067</v>
      </c>
      <c r="AE64" s="181" t="s">
        <v>1051</v>
      </c>
      <c r="AF64" s="211"/>
      <c r="AG64" s="121"/>
      <c r="AH64" s="121"/>
      <c r="AI64" s="121"/>
      <c r="AJ64" s="211"/>
      <c r="AK64" s="121"/>
      <c r="AL64" s="121"/>
      <c r="AM64" s="121"/>
      <c r="AN64" s="211"/>
      <c r="AO64" s="124"/>
      <c r="AP64" s="124"/>
      <c r="AQ64" s="124"/>
      <c r="AR64" s="211"/>
      <c r="AS64" s="121"/>
      <c r="AT64" s="121"/>
      <c r="AU64" s="154" t="s">
        <v>194</v>
      </c>
      <c r="AV64" s="211"/>
      <c r="AW64" s="121" t="s">
        <v>27</v>
      </c>
      <c r="AX64" s="121" t="s">
        <v>27</v>
      </c>
      <c r="AY64" s="121" t="s">
        <v>27</v>
      </c>
      <c r="AZ64" s="808">
        <f t="shared" ref="AZ64:AZ146" si="100">BR64+BV64+BZ64+CD64+CH64</f>
        <v>2597</v>
      </c>
      <c r="BA64" s="761">
        <f t="shared" si="98"/>
        <v>2597</v>
      </c>
      <c r="BB64" s="761">
        <f t="shared" si="4"/>
        <v>0</v>
      </c>
      <c r="BC64" s="110"/>
      <c r="BD64" s="1230"/>
      <c r="BE64" s="1231">
        <v>2597</v>
      </c>
      <c r="BF64" s="318" t="s">
        <v>262</v>
      </c>
      <c r="BG64" s="145">
        <v>0.15</v>
      </c>
      <c r="BH64" s="110"/>
      <c r="BI64" s="242">
        <f t="shared" si="89"/>
        <v>0</v>
      </c>
      <c r="BJ64" s="1231">
        <f t="shared" si="90"/>
        <v>389.55</v>
      </c>
      <c r="BK64" s="772"/>
      <c r="BL64" s="772" t="s">
        <v>262</v>
      </c>
      <c r="BM64" s="98">
        <v>0.05</v>
      </c>
      <c r="BN64" s="110"/>
      <c r="BO64" s="242">
        <f t="shared" si="99"/>
        <v>0</v>
      </c>
      <c r="BP64" s="1231">
        <f t="shared" si="92"/>
        <v>129.85</v>
      </c>
      <c r="BQ64" s="243"/>
      <c r="BR64" s="110">
        <v>2597</v>
      </c>
      <c r="BS64" s="286">
        <v>44679</v>
      </c>
      <c r="BT64" s="262">
        <v>2597</v>
      </c>
      <c r="BU64" s="206"/>
      <c r="BV64" s="206"/>
      <c r="BW64" s="206"/>
      <c r="BX64" s="206"/>
      <c r="BY64" s="206"/>
      <c r="BZ64" s="206"/>
      <c r="CA64" s="206"/>
      <c r="CB64" s="206"/>
      <c r="CC64" s="206"/>
      <c r="CD64" s="206"/>
      <c r="CE64" s="206"/>
      <c r="CF64" s="206"/>
      <c r="CG64" s="206"/>
      <c r="CH64" s="206"/>
      <c r="CI64" s="206"/>
      <c r="CJ64" s="206"/>
      <c r="CK64" s="245"/>
      <c r="CL64" s="181"/>
      <c r="CM64" s="246"/>
      <c r="CN64" s="247"/>
      <c r="CO64" s="282" t="s">
        <v>122</v>
      </c>
      <c r="CP64" s="155"/>
      <c r="CQ64" s="131"/>
      <c r="CR64" s="131" t="s">
        <v>1065</v>
      </c>
      <c r="CS64" s="116" t="str">
        <f t="shared" si="9"/>
        <v>Pacci</v>
      </c>
      <c r="CT64" s="820" t="b">
        <f t="shared" si="93"/>
        <v>0</v>
      </c>
      <c r="CU64" s="820" t="b">
        <f t="shared" si="94"/>
        <v>0</v>
      </c>
      <c r="CV64" s="116" t="str">
        <f t="shared" si="10"/>
        <v>Pacci</v>
      </c>
      <c r="CW64" s="207"/>
      <c r="CX64" s="729"/>
      <c r="CY64" s="729"/>
      <c r="CZ64" s="729"/>
      <c r="DA64" s="729"/>
      <c r="DB64" s="729"/>
      <c r="DC64" s="729"/>
    </row>
    <row r="65" spans="1:107" ht="30" customHeight="1">
      <c r="A65" s="228"/>
      <c r="B65" s="155">
        <v>101357</v>
      </c>
      <c r="C65" s="155">
        <f t="shared" si="97"/>
        <v>42</v>
      </c>
      <c r="D65" s="757"/>
      <c r="E65" s="757">
        <v>1</v>
      </c>
      <c r="F65" s="757"/>
      <c r="G65" s="283" t="s">
        <v>2185</v>
      </c>
      <c r="H65" s="283" t="s">
        <v>3917</v>
      </c>
      <c r="I65" s="1234" t="s">
        <v>3918</v>
      </c>
      <c r="J65" s="207" t="str">
        <f t="shared" si="0"/>
        <v>Vittorio Co'</v>
      </c>
      <c r="K65" s="224">
        <v>3355228422</v>
      </c>
      <c r="L65" s="251"/>
      <c r="M65" s="251"/>
      <c r="N65" s="131" t="str">
        <f t="shared" si="1"/>
        <v>Etica Finanziaria</v>
      </c>
      <c r="O65" s="1238"/>
      <c r="P65" s="314"/>
      <c r="Q65" s="314"/>
      <c r="R65" s="251" t="s">
        <v>1060</v>
      </c>
      <c r="S65" s="315"/>
      <c r="T65" s="315"/>
      <c r="U65" s="315"/>
      <c r="V65" s="315"/>
      <c r="W65" s="316"/>
      <c r="X65" s="234"/>
      <c r="Y65" s="316"/>
      <c r="Z65" s="316"/>
      <c r="AA65" s="316"/>
      <c r="AB65" s="37"/>
      <c r="AC65" s="37"/>
      <c r="AD65" s="121" t="s">
        <v>1061</v>
      </c>
      <c r="AE65" s="181" t="s">
        <v>1051</v>
      </c>
      <c r="AF65" s="211"/>
      <c r="AG65" s="121"/>
      <c r="AH65" s="121"/>
      <c r="AI65" s="121"/>
      <c r="AJ65" s="211"/>
      <c r="AK65" s="121"/>
      <c r="AL65" s="121"/>
      <c r="AM65" s="121"/>
      <c r="AN65" s="211"/>
      <c r="AO65" s="155" t="s">
        <v>115</v>
      </c>
      <c r="AP65" s="155"/>
      <c r="AQ65" s="155"/>
      <c r="AR65" s="211"/>
      <c r="AS65" s="121"/>
      <c r="AT65" s="19" t="s">
        <v>115</v>
      </c>
      <c r="AU65" s="154" t="s">
        <v>194</v>
      </c>
      <c r="AV65" s="211"/>
      <c r="AW65" s="121"/>
      <c r="AX65" s="121"/>
      <c r="AY65" s="121" t="s">
        <v>27</v>
      </c>
      <c r="AZ65" s="808">
        <f t="shared" si="100"/>
        <v>2597</v>
      </c>
      <c r="BA65" s="761">
        <f t="shared" si="98"/>
        <v>2597</v>
      </c>
      <c r="BB65" s="761">
        <f t="shared" si="4"/>
        <v>0</v>
      </c>
      <c r="BC65" s="110">
        <f t="shared" ref="BC65:BC67" si="101">BA65</f>
        <v>2597</v>
      </c>
      <c r="BD65" s="1230">
        <f t="shared" ref="BD65:BD67" si="102">AZ65-BC65</f>
        <v>0</v>
      </c>
      <c r="BE65" s="1231"/>
      <c r="BF65" s="317" t="s">
        <v>262</v>
      </c>
      <c r="BG65" s="98">
        <v>0.15</v>
      </c>
      <c r="BH65" s="110">
        <f t="shared" ref="BH65:BH67" si="103">AZ65*BG65</f>
        <v>389.55</v>
      </c>
      <c r="BI65" s="242"/>
      <c r="BJ65" s="1231"/>
      <c r="BK65" s="243" t="s">
        <v>968</v>
      </c>
      <c r="BL65" s="772" t="s">
        <v>262</v>
      </c>
      <c r="BM65" s="98">
        <v>0.05</v>
      </c>
      <c r="BN65" s="110">
        <f t="shared" ref="BN65:BN67" si="104">AZ65*BM65</f>
        <v>129.85</v>
      </c>
      <c r="BO65" s="242"/>
      <c r="BP65" s="1231"/>
      <c r="BQ65" s="243" t="s">
        <v>968</v>
      </c>
      <c r="BR65" s="110">
        <v>2597</v>
      </c>
      <c r="BS65" s="286">
        <v>44693</v>
      </c>
      <c r="BT65" s="110">
        <v>2597</v>
      </c>
      <c r="BU65" s="206"/>
      <c r="BV65" s="206"/>
      <c r="BW65" s="206"/>
      <c r="BX65" s="206"/>
      <c r="BY65" s="206"/>
      <c r="BZ65" s="206"/>
      <c r="CA65" s="206"/>
      <c r="CB65" s="206"/>
      <c r="CC65" s="206"/>
      <c r="CD65" s="206"/>
      <c r="CE65" s="206"/>
      <c r="CF65" s="206"/>
      <c r="CG65" s="206"/>
      <c r="CH65" s="206"/>
      <c r="CI65" s="206"/>
      <c r="CJ65" s="206"/>
      <c r="CK65" s="245"/>
      <c r="CL65" s="181"/>
      <c r="CM65" s="246"/>
      <c r="CN65" s="247"/>
      <c r="CO65" s="282" t="s">
        <v>122</v>
      </c>
      <c r="CP65" s="155"/>
      <c r="CQ65" s="131"/>
      <c r="CR65" s="131" t="s">
        <v>1059</v>
      </c>
      <c r="CS65" s="116" t="str">
        <f t="shared" si="9"/>
        <v>Pacci</v>
      </c>
      <c r="CT65" s="242"/>
      <c r="CU65" s="242"/>
      <c r="CV65" s="116" t="str">
        <f t="shared" si="10"/>
        <v>Pacci</v>
      </c>
      <c r="CW65" s="207"/>
      <c r="CX65" s="729"/>
      <c r="CY65" s="729"/>
      <c r="CZ65" s="729"/>
      <c r="DA65" s="729"/>
      <c r="DB65" s="729"/>
      <c r="DC65" s="729"/>
    </row>
    <row r="66" spans="1:107" ht="30" customHeight="1">
      <c r="A66" s="228"/>
      <c r="B66" s="155">
        <v>101357</v>
      </c>
      <c r="C66" s="155">
        <f t="shared" si="97"/>
        <v>43</v>
      </c>
      <c r="D66" s="757"/>
      <c r="E66" s="757"/>
      <c r="F66" s="757"/>
      <c r="G66" s="283" t="s">
        <v>1056</v>
      </c>
      <c r="H66" s="283" t="s">
        <v>1057</v>
      </c>
      <c r="I66" s="207" t="s">
        <v>1058</v>
      </c>
      <c r="J66" s="207" t="str">
        <f t="shared" si="0"/>
        <v>Sergio Prati</v>
      </c>
      <c r="K66" s="224">
        <v>3383581592</v>
      </c>
      <c r="L66" s="251"/>
      <c r="M66" s="251"/>
      <c r="N66" s="131" t="str">
        <f t="shared" si="1"/>
        <v>Etica Finanziaria</v>
      </c>
      <c r="O66" s="1238"/>
      <c r="P66" s="314"/>
      <c r="Q66" s="314"/>
      <c r="R66" s="251" t="s">
        <v>1060</v>
      </c>
      <c r="S66" s="315"/>
      <c r="T66" s="315"/>
      <c r="U66" s="315"/>
      <c r="V66" s="315"/>
      <c r="W66" s="316"/>
      <c r="X66" s="234"/>
      <c r="Y66" s="316"/>
      <c r="Z66" s="316"/>
      <c r="AA66" s="316"/>
      <c r="AB66" s="37"/>
      <c r="AC66" s="37"/>
      <c r="AD66" s="121" t="s">
        <v>1061</v>
      </c>
      <c r="AE66" s="181" t="s">
        <v>1051</v>
      </c>
      <c r="AF66" s="211"/>
      <c r="AG66" s="121"/>
      <c r="AH66" s="121"/>
      <c r="AI66" s="121"/>
      <c r="AJ66" s="211"/>
      <c r="AK66" s="121"/>
      <c r="AL66" s="121"/>
      <c r="AM66" s="121"/>
      <c r="AN66" s="211"/>
      <c r="AO66" s="155" t="s">
        <v>115</v>
      </c>
      <c r="AP66" s="155"/>
      <c r="AQ66" s="155"/>
      <c r="AR66" s="211"/>
      <c r="AS66" s="121"/>
      <c r="AT66" s="154" t="s">
        <v>194</v>
      </c>
      <c r="AU66" s="154" t="s">
        <v>194</v>
      </c>
      <c r="AV66" s="211"/>
      <c r="AW66" s="121"/>
      <c r="AX66" s="121" t="s">
        <v>27</v>
      </c>
      <c r="AY66" s="121" t="s">
        <v>27</v>
      </c>
      <c r="AZ66" s="808">
        <f t="shared" si="100"/>
        <v>2597</v>
      </c>
      <c r="BA66" s="761">
        <f t="shared" si="98"/>
        <v>2597</v>
      </c>
      <c r="BB66" s="761">
        <f t="shared" si="4"/>
        <v>0</v>
      </c>
      <c r="BC66" s="110">
        <f t="shared" si="101"/>
        <v>2597</v>
      </c>
      <c r="BD66" s="1230">
        <f t="shared" si="102"/>
        <v>0</v>
      </c>
      <c r="BE66" s="1231"/>
      <c r="BF66" s="317" t="s">
        <v>262</v>
      </c>
      <c r="BG66" s="98">
        <v>0.15</v>
      </c>
      <c r="BH66" s="110">
        <f t="shared" si="103"/>
        <v>389.55</v>
      </c>
      <c r="BI66" s="242"/>
      <c r="BJ66" s="1231"/>
      <c r="BK66" s="243" t="s">
        <v>968</v>
      </c>
      <c r="BL66" s="772" t="s">
        <v>262</v>
      </c>
      <c r="BM66" s="98">
        <v>0.05</v>
      </c>
      <c r="BN66" s="110">
        <f t="shared" si="104"/>
        <v>129.85</v>
      </c>
      <c r="BO66" s="242"/>
      <c r="BP66" s="1231"/>
      <c r="BQ66" s="243" t="s">
        <v>968</v>
      </c>
      <c r="BR66" s="110">
        <v>2597</v>
      </c>
      <c r="BS66" s="286">
        <v>44693</v>
      </c>
      <c r="BT66" s="110">
        <v>2597</v>
      </c>
      <c r="BU66" s="206"/>
      <c r="BV66" s="206"/>
      <c r="BW66" s="206"/>
      <c r="BX66" s="206"/>
      <c r="BY66" s="206"/>
      <c r="BZ66" s="206"/>
      <c r="CA66" s="206"/>
      <c r="CB66" s="206"/>
      <c r="CC66" s="206"/>
      <c r="CD66" s="206"/>
      <c r="CE66" s="206"/>
      <c r="CF66" s="206"/>
      <c r="CG66" s="206"/>
      <c r="CH66" s="206"/>
      <c r="CI66" s="206"/>
      <c r="CJ66" s="206"/>
      <c r="CK66" s="245"/>
      <c r="CL66" s="181"/>
      <c r="CM66" s="246"/>
      <c r="CN66" s="247"/>
      <c r="CO66" s="282" t="s">
        <v>122</v>
      </c>
      <c r="CP66" s="155"/>
      <c r="CQ66" s="131"/>
      <c r="CR66" s="131" t="s">
        <v>1059</v>
      </c>
      <c r="CS66" s="116" t="str">
        <f t="shared" si="9"/>
        <v>Pacci</v>
      </c>
      <c r="CT66" s="242"/>
      <c r="CU66" s="242"/>
      <c r="CV66" s="116" t="str">
        <f t="shared" si="10"/>
        <v>Pacci</v>
      </c>
      <c r="CW66" s="207"/>
      <c r="CX66" s="729"/>
      <c r="CY66" s="729"/>
      <c r="CZ66" s="729"/>
      <c r="DA66" s="729"/>
      <c r="DB66" s="729"/>
      <c r="DC66" s="729"/>
    </row>
    <row r="67" spans="1:107" ht="30" customHeight="1">
      <c r="A67" s="228"/>
      <c r="B67" s="155">
        <v>101357</v>
      </c>
      <c r="C67" s="155">
        <f t="shared" si="97"/>
        <v>44</v>
      </c>
      <c r="D67" s="757"/>
      <c r="E67" s="757">
        <v>1</v>
      </c>
      <c r="F67" s="757">
        <v>1</v>
      </c>
      <c r="G67" s="283" t="s">
        <v>1340</v>
      </c>
      <c r="H67" s="283" t="s">
        <v>3919</v>
      </c>
      <c r="I67" s="1234" t="s">
        <v>3920</v>
      </c>
      <c r="J67" s="207" t="str">
        <f t="shared" si="0"/>
        <v>Roberta Ferrari</v>
      </c>
      <c r="K67" s="224">
        <v>3383672963</v>
      </c>
      <c r="L67" s="251"/>
      <c r="M67" s="251"/>
      <c r="N67" s="131">
        <f t="shared" si="1"/>
        <v>0</v>
      </c>
      <c r="O67" s="1238"/>
      <c r="P67" s="314"/>
      <c r="Q67" s="314"/>
      <c r="R67" s="251" t="s">
        <v>1060</v>
      </c>
      <c r="S67" s="315"/>
      <c r="T67" s="315"/>
      <c r="U67" s="315"/>
      <c r="V67" s="315"/>
      <c r="W67" s="316"/>
      <c r="X67" s="234"/>
      <c r="Y67" s="316"/>
      <c r="Z67" s="316"/>
      <c r="AA67" s="316"/>
      <c r="AB67" s="37"/>
      <c r="AC67" s="37"/>
      <c r="AD67" s="121" t="s">
        <v>1061</v>
      </c>
      <c r="AE67" s="181" t="s">
        <v>1051</v>
      </c>
      <c r="AF67" s="211"/>
      <c r="AG67" s="121"/>
      <c r="AH67" s="121"/>
      <c r="AI67" s="121"/>
      <c r="AJ67" s="211"/>
      <c r="AK67" s="121"/>
      <c r="AL67" s="121"/>
      <c r="AM67" s="121"/>
      <c r="AN67" s="211"/>
      <c r="AO67" s="155" t="s">
        <v>115</v>
      </c>
      <c r="AP67" s="155"/>
      <c r="AQ67" s="155"/>
      <c r="AR67" s="211"/>
      <c r="AS67" s="121"/>
      <c r="AT67" s="19" t="s">
        <v>115</v>
      </c>
      <c r="AU67" s="121" t="s">
        <v>115</v>
      </c>
      <c r="AV67" s="211"/>
      <c r="AW67" s="121"/>
      <c r="AX67" s="121"/>
      <c r="AY67" s="121"/>
      <c r="AZ67" s="808">
        <f t="shared" si="100"/>
        <v>2597</v>
      </c>
      <c r="BA67" s="761">
        <f t="shared" si="98"/>
        <v>2597</v>
      </c>
      <c r="BB67" s="761">
        <f t="shared" si="4"/>
        <v>0</v>
      </c>
      <c r="BC67" s="110">
        <f t="shared" si="101"/>
        <v>2597</v>
      </c>
      <c r="BD67" s="1230">
        <f t="shared" si="102"/>
        <v>0</v>
      </c>
      <c r="BE67" s="1231"/>
      <c r="BF67" s="317" t="s">
        <v>262</v>
      </c>
      <c r="BG67" s="98">
        <v>0.15</v>
      </c>
      <c r="BH67" s="110">
        <f t="shared" si="103"/>
        <v>389.55</v>
      </c>
      <c r="BI67" s="242"/>
      <c r="BJ67" s="1231"/>
      <c r="BK67" s="243" t="s">
        <v>968</v>
      </c>
      <c r="BL67" s="772" t="s">
        <v>262</v>
      </c>
      <c r="BM67" s="98">
        <v>0.05</v>
      </c>
      <c r="BN67" s="110">
        <f t="shared" si="104"/>
        <v>129.85</v>
      </c>
      <c r="BO67" s="242"/>
      <c r="BP67" s="1231"/>
      <c r="BQ67" s="243" t="s">
        <v>968</v>
      </c>
      <c r="BR67" s="110">
        <v>2597</v>
      </c>
      <c r="BS67" s="286">
        <v>44693</v>
      </c>
      <c r="BT67" s="110">
        <v>2597</v>
      </c>
      <c r="BU67" s="206"/>
      <c r="BV67" s="206"/>
      <c r="BW67" s="206"/>
      <c r="BX67" s="206"/>
      <c r="BY67" s="206"/>
      <c r="BZ67" s="206"/>
      <c r="CA67" s="206"/>
      <c r="CB67" s="206"/>
      <c r="CC67" s="206"/>
      <c r="CD67" s="206"/>
      <c r="CE67" s="206"/>
      <c r="CF67" s="206"/>
      <c r="CG67" s="206"/>
      <c r="CH67" s="206"/>
      <c r="CI67" s="206"/>
      <c r="CJ67" s="206"/>
      <c r="CK67" s="245"/>
      <c r="CL67" s="181"/>
      <c r="CM67" s="246"/>
      <c r="CN67" s="247"/>
      <c r="CO67" s="282" t="s">
        <v>122</v>
      </c>
      <c r="CP67" s="155"/>
      <c r="CQ67" s="131"/>
      <c r="CR67" s="131"/>
      <c r="CS67" s="116" t="str">
        <f t="shared" si="9"/>
        <v>Pacci</v>
      </c>
      <c r="CT67" s="242"/>
      <c r="CU67" s="242"/>
      <c r="CV67" s="116" t="str">
        <f t="shared" si="10"/>
        <v>Pacci</v>
      </c>
      <c r="CW67" s="207"/>
      <c r="CX67" s="729"/>
      <c r="CY67" s="729"/>
      <c r="CZ67" s="729"/>
      <c r="DA67" s="729"/>
      <c r="DB67" s="729"/>
      <c r="DC67" s="729"/>
    </row>
    <row r="68" spans="1:107" ht="30" customHeight="1">
      <c r="A68" s="228"/>
      <c r="B68" s="155">
        <v>101415</v>
      </c>
      <c r="C68" s="155">
        <f t="shared" si="97"/>
        <v>45</v>
      </c>
      <c r="D68" s="757"/>
      <c r="E68" s="757"/>
      <c r="F68" s="757"/>
      <c r="G68" s="283" t="s">
        <v>1048</v>
      </c>
      <c r="H68" s="283" t="s">
        <v>1049</v>
      </c>
      <c r="I68" s="207" t="s">
        <v>1050</v>
      </c>
      <c r="J68" s="207" t="str">
        <f t="shared" si="0"/>
        <v>Monica Fontana</v>
      </c>
      <c r="K68" s="224">
        <v>3923041731</v>
      </c>
      <c r="L68" s="251"/>
      <c r="M68" s="251"/>
      <c r="N68" s="131" t="str">
        <f t="shared" si="1"/>
        <v xml:space="preserve">Studio MF </v>
      </c>
      <c r="O68" s="1238"/>
      <c r="P68" s="314"/>
      <c r="Q68" s="314"/>
      <c r="R68" s="131" t="s">
        <v>1053</v>
      </c>
      <c r="S68" s="315"/>
      <c r="T68" s="315"/>
      <c r="U68" s="315"/>
      <c r="V68" s="315"/>
      <c r="W68" s="316"/>
      <c r="X68" s="234"/>
      <c r="Y68" s="316"/>
      <c r="Z68" s="316"/>
      <c r="AA68" s="316"/>
      <c r="AB68" s="37"/>
      <c r="AC68" s="37"/>
      <c r="AD68" s="37" t="s">
        <v>1054</v>
      </c>
      <c r="AE68" s="181" t="s">
        <v>1051</v>
      </c>
      <c r="AF68" s="211"/>
      <c r="AG68" s="121"/>
      <c r="AH68" s="121"/>
      <c r="AI68" s="121"/>
      <c r="AJ68" s="211"/>
      <c r="AK68" s="121"/>
      <c r="AL68" s="121"/>
      <c r="AM68" s="121"/>
      <c r="AN68" s="211"/>
      <c r="AO68" s="155"/>
      <c r="AP68" s="155"/>
      <c r="AQ68" s="155"/>
      <c r="AR68" s="211"/>
      <c r="AS68" s="154" t="s">
        <v>194</v>
      </c>
      <c r="AT68" s="154" t="s">
        <v>194</v>
      </c>
      <c r="AU68" s="154" t="s">
        <v>194</v>
      </c>
      <c r="AV68" s="211"/>
      <c r="AW68" s="121" t="s">
        <v>27</v>
      </c>
      <c r="AX68" s="121" t="s">
        <v>27</v>
      </c>
      <c r="AY68" s="121" t="s">
        <v>27</v>
      </c>
      <c r="AZ68" s="808">
        <f t="shared" si="100"/>
        <v>2597</v>
      </c>
      <c r="BA68" s="761">
        <f t="shared" si="98"/>
        <v>2597</v>
      </c>
      <c r="BB68" s="761">
        <f t="shared" si="4"/>
        <v>0</v>
      </c>
      <c r="BC68" s="110"/>
      <c r="BD68" s="1230"/>
      <c r="BE68" s="1231">
        <v>2597</v>
      </c>
      <c r="BF68" s="318" t="s">
        <v>262</v>
      </c>
      <c r="BG68" s="145">
        <v>0.15</v>
      </c>
      <c r="BH68" s="110"/>
      <c r="BI68" s="242">
        <f>BD68*BG68</f>
        <v>0</v>
      </c>
      <c r="BJ68" s="1231">
        <f>BE68*BG68</f>
        <v>389.55</v>
      </c>
      <c r="BK68" s="243"/>
      <c r="BL68" s="772" t="s">
        <v>262</v>
      </c>
      <c r="BM68" s="98">
        <v>0.05</v>
      </c>
      <c r="BN68" s="110"/>
      <c r="BO68" s="242">
        <f>BD68*BM68</f>
        <v>0</v>
      </c>
      <c r="BP68" s="1231">
        <f>BE68*BM68</f>
        <v>129.85</v>
      </c>
      <c r="BQ68" s="243"/>
      <c r="BR68" s="110">
        <v>2597</v>
      </c>
      <c r="BS68" s="286">
        <v>44677</v>
      </c>
      <c r="BT68" s="110">
        <v>2597</v>
      </c>
      <c r="BU68" s="206"/>
      <c r="BV68" s="206"/>
      <c r="BW68" s="206"/>
      <c r="BX68" s="206"/>
      <c r="BY68" s="206"/>
      <c r="BZ68" s="206"/>
      <c r="CA68" s="206"/>
      <c r="CB68" s="206"/>
      <c r="CC68" s="206"/>
      <c r="CD68" s="206"/>
      <c r="CE68" s="206"/>
      <c r="CF68" s="206"/>
      <c r="CG68" s="206"/>
      <c r="CH68" s="206"/>
      <c r="CI68" s="206"/>
      <c r="CJ68" s="206"/>
      <c r="CK68" s="245" t="s">
        <v>2612</v>
      </c>
      <c r="CL68" s="181"/>
      <c r="CM68" s="246"/>
      <c r="CN68" s="247"/>
      <c r="CO68" s="312"/>
      <c r="CP68" s="155"/>
      <c r="CQ68" s="131"/>
      <c r="CR68" s="131" t="s">
        <v>1052</v>
      </c>
      <c r="CS68" s="116" t="str">
        <f t="shared" si="9"/>
        <v>Pacci</v>
      </c>
      <c r="CT68" s="820" t="b">
        <f>IF(OR(D68&gt;0,E68&gt;0,F68&gt;0),IF(BB68=0,BD68*BG68,0))</f>
        <v>0</v>
      </c>
      <c r="CU68" s="820" t="b">
        <f>IF(OR(D68&gt;0,E68&gt;0,F68&gt;0),IF(BB68=0,BD68*BM68,0))</f>
        <v>0</v>
      </c>
      <c r="CV68" s="116" t="str">
        <f t="shared" si="10"/>
        <v>Pacci</v>
      </c>
      <c r="CW68" s="207"/>
      <c r="CX68" s="729"/>
      <c r="CY68" s="729"/>
      <c r="CZ68" s="729"/>
      <c r="DA68" s="729"/>
      <c r="DB68" s="729"/>
      <c r="DC68" s="729"/>
    </row>
    <row r="69" spans="1:107" ht="30" customHeight="1">
      <c r="A69" s="228"/>
      <c r="B69" s="1237">
        <v>101351</v>
      </c>
      <c r="C69" s="155">
        <f t="shared" si="97"/>
        <v>46</v>
      </c>
      <c r="D69" s="757"/>
      <c r="E69" s="757">
        <v>1</v>
      </c>
      <c r="F69" s="757"/>
      <c r="G69" s="283" t="s">
        <v>570</v>
      </c>
      <c r="H69" s="283" t="s">
        <v>2543</v>
      </c>
      <c r="I69" s="294" t="s">
        <v>2544</v>
      </c>
      <c r="J69" s="207" t="str">
        <f t="shared" si="0"/>
        <v>Giovanni Avarino</v>
      </c>
      <c r="K69" s="224">
        <v>3485260979</v>
      </c>
      <c r="L69" s="251"/>
      <c r="M69" s="251"/>
      <c r="N69" s="131" t="str">
        <f t="shared" si="1"/>
        <v>Sieg Renew</v>
      </c>
      <c r="O69" s="1238"/>
      <c r="P69" s="314"/>
      <c r="Q69" s="314"/>
      <c r="R69" s="251" t="s">
        <v>2546</v>
      </c>
      <c r="S69" s="315"/>
      <c r="T69" s="315"/>
      <c r="U69" s="315"/>
      <c r="V69" s="315"/>
      <c r="W69" s="316"/>
      <c r="X69" s="234"/>
      <c r="Y69" s="316"/>
      <c r="Z69" s="316"/>
      <c r="AA69" s="316"/>
      <c r="AB69" s="37"/>
      <c r="AC69" s="37"/>
      <c r="AD69" s="37" t="s">
        <v>3921</v>
      </c>
      <c r="AE69" s="181" t="s">
        <v>3922</v>
      </c>
      <c r="AF69" s="211"/>
      <c r="AG69" s="121"/>
      <c r="AH69" s="121"/>
      <c r="AI69" s="121"/>
      <c r="AJ69" s="211"/>
      <c r="AK69" s="121"/>
      <c r="AL69" s="121"/>
      <c r="AM69" s="121"/>
      <c r="AN69" s="211"/>
      <c r="AO69" s="155" t="s">
        <v>115</v>
      </c>
      <c r="AP69" s="565" t="s">
        <v>194</v>
      </c>
      <c r="AQ69" s="155" t="s">
        <v>115</v>
      </c>
      <c r="AR69" s="211"/>
      <c r="AS69" s="121"/>
      <c r="AT69" s="19" t="s">
        <v>115</v>
      </c>
      <c r="AU69" s="121"/>
      <c r="AV69" s="211"/>
      <c r="AW69" s="121"/>
      <c r="AX69" s="121"/>
      <c r="AY69" s="121"/>
      <c r="AZ69" s="808">
        <f t="shared" si="100"/>
        <v>2997</v>
      </c>
      <c r="BA69" s="761">
        <f t="shared" si="98"/>
        <v>2997</v>
      </c>
      <c r="BB69" s="761">
        <f t="shared" si="4"/>
        <v>0</v>
      </c>
      <c r="BC69" s="110">
        <v>2997</v>
      </c>
      <c r="BD69" s="1230">
        <f>AZ69-BC69</f>
        <v>0</v>
      </c>
      <c r="BE69" s="1231"/>
      <c r="BF69" s="285" t="s">
        <v>414</v>
      </c>
      <c r="BG69" s="98">
        <v>0.15</v>
      </c>
      <c r="BH69" s="1255">
        <f t="shared" ref="BH69:BH75" si="105">AZ69*BG69</f>
        <v>449.55</v>
      </c>
      <c r="BI69" s="242"/>
      <c r="BJ69" s="1231"/>
      <c r="BK69" s="243" t="s">
        <v>3823</v>
      </c>
      <c r="BL69" s="243" t="s">
        <v>414</v>
      </c>
      <c r="BM69" s="98">
        <v>0.05</v>
      </c>
      <c r="BN69" s="1255">
        <f>AZ69*BM69</f>
        <v>149.85</v>
      </c>
      <c r="BO69" s="242"/>
      <c r="BP69" s="1231"/>
      <c r="BQ69" s="243" t="s">
        <v>3823</v>
      </c>
      <c r="BR69" s="110">
        <f>2156.34/1.22</f>
        <v>1767.4918032786886</v>
      </c>
      <c r="BS69" s="226">
        <v>44651</v>
      </c>
      <c r="BT69" s="110">
        <f>2156.34/1.22</f>
        <v>1767.4918032786886</v>
      </c>
      <c r="BU69" s="206"/>
      <c r="BV69" s="110">
        <f>1500/1.22</f>
        <v>1229.5081967213116</v>
      </c>
      <c r="BW69" s="263" t="s">
        <v>3923</v>
      </c>
      <c r="BX69" s="110">
        <f>1500/1.22</f>
        <v>1229.5081967213116</v>
      </c>
      <c r="BY69" s="206"/>
      <c r="BZ69" s="206"/>
      <c r="CA69" s="206"/>
      <c r="CB69" s="206"/>
      <c r="CC69" s="206"/>
      <c r="CD69" s="206"/>
      <c r="CE69" s="206"/>
      <c r="CF69" s="206"/>
      <c r="CG69" s="206"/>
      <c r="CH69" s="206"/>
      <c r="CI69" s="206"/>
      <c r="CJ69" s="206"/>
      <c r="CK69" s="245" t="s">
        <v>2612</v>
      </c>
      <c r="CL69" s="181"/>
      <c r="CM69" s="246"/>
      <c r="CN69" s="247" t="s">
        <v>3924</v>
      </c>
      <c r="CO69" s="282" t="s">
        <v>122</v>
      </c>
      <c r="CP69" s="155">
        <v>1</v>
      </c>
      <c r="CQ69" s="131"/>
      <c r="CR69" s="131" t="s">
        <v>3925</v>
      </c>
      <c r="CS69" s="116" t="str">
        <f t="shared" si="9"/>
        <v>Barbara</v>
      </c>
      <c r="CT69" s="242"/>
      <c r="CU69" s="242"/>
      <c r="CV69" s="116" t="str">
        <f t="shared" si="10"/>
        <v>Barbara</v>
      </c>
      <c r="CW69" s="207"/>
      <c r="CX69" s="729"/>
      <c r="CY69" s="729"/>
      <c r="CZ69" s="729"/>
      <c r="DA69" s="729"/>
      <c r="DB69" s="729"/>
      <c r="DC69" s="729"/>
    </row>
    <row r="70" spans="1:107" ht="30" customHeight="1">
      <c r="A70" s="228"/>
      <c r="B70" s="1237">
        <v>101418</v>
      </c>
      <c r="C70" s="155">
        <f t="shared" si="97"/>
        <v>47</v>
      </c>
      <c r="D70" s="757">
        <v>1</v>
      </c>
      <c r="E70" s="757"/>
      <c r="F70" s="757">
        <v>1</v>
      </c>
      <c r="G70" s="283" t="s">
        <v>3165</v>
      </c>
      <c r="H70" s="283" t="s">
        <v>3926</v>
      </c>
      <c r="I70" s="294" t="s">
        <v>3927</v>
      </c>
      <c r="J70" s="207" t="str">
        <f t="shared" si="0"/>
        <v>Massimiliano Polloni</v>
      </c>
      <c r="K70" s="1235">
        <v>3666530781</v>
      </c>
      <c r="L70" s="251" t="s">
        <v>3928</v>
      </c>
      <c r="M70" s="251" t="s">
        <v>3929</v>
      </c>
      <c r="N70" s="131" t="str">
        <f t="shared" si="1"/>
        <v>ILLA</v>
      </c>
      <c r="O70" s="1271"/>
      <c r="P70" s="314"/>
      <c r="Q70" s="314"/>
      <c r="R70" s="251" t="s">
        <v>3930</v>
      </c>
      <c r="S70" s="315"/>
      <c r="T70" s="315"/>
      <c r="U70" s="315"/>
      <c r="V70" s="315"/>
      <c r="W70" s="316"/>
      <c r="X70" s="234"/>
      <c r="Y70" s="316"/>
      <c r="Z70" s="316"/>
      <c r="AA70" s="316"/>
      <c r="AB70" s="37"/>
      <c r="AC70" s="37"/>
      <c r="AD70" s="37" t="s">
        <v>3931</v>
      </c>
      <c r="AE70" s="181"/>
      <c r="AF70" s="211"/>
      <c r="AG70" s="121"/>
      <c r="AH70" s="121"/>
      <c r="AI70" s="121"/>
      <c r="AJ70" s="211"/>
      <c r="AK70" s="121"/>
      <c r="AL70" s="121"/>
      <c r="AM70" s="121"/>
      <c r="AN70" s="211"/>
      <c r="AO70" s="155"/>
      <c r="AP70" s="155"/>
      <c r="AQ70" s="155"/>
      <c r="AR70" s="211"/>
      <c r="AS70" s="121" t="s">
        <v>115</v>
      </c>
      <c r="AT70" s="154" t="s">
        <v>194</v>
      </c>
      <c r="AU70" s="121" t="s">
        <v>115</v>
      </c>
      <c r="AV70" s="211"/>
      <c r="AW70" s="121"/>
      <c r="AX70" s="121" t="s">
        <v>27</v>
      </c>
      <c r="AY70" s="121"/>
      <c r="AZ70" s="808">
        <f t="shared" si="100"/>
        <v>2997</v>
      </c>
      <c r="BA70" s="761">
        <f t="shared" si="98"/>
        <v>2997</v>
      </c>
      <c r="BB70" s="761">
        <f t="shared" si="4"/>
        <v>0</v>
      </c>
      <c r="BC70" s="110"/>
      <c r="BD70" s="1230">
        <v>2997</v>
      </c>
      <c r="BE70" s="1231"/>
      <c r="BF70" s="285" t="s">
        <v>117</v>
      </c>
      <c r="BG70" s="98">
        <v>0</v>
      </c>
      <c r="BH70" s="110">
        <f t="shared" si="105"/>
        <v>0</v>
      </c>
      <c r="BI70" s="242">
        <f>BD70*BG70</f>
        <v>0</v>
      </c>
      <c r="BJ70" s="1231">
        <f>BE70*BG70</f>
        <v>0</v>
      </c>
      <c r="BK70" s="244" t="s">
        <v>118</v>
      </c>
      <c r="BL70" s="1272" t="s">
        <v>152</v>
      </c>
      <c r="BM70" s="98">
        <v>0.05</v>
      </c>
      <c r="BN70" s="110"/>
      <c r="BO70" s="242">
        <f>BD70*BM70</f>
        <v>149.85</v>
      </c>
      <c r="BP70" s="1231">
        <f>BE70*BM70</f>
        <v>0</v>
      </c>
      <c r="BQ70" s="387" t="s">
        <v>1076</v>
      </c>
      <c r="BR70" s="110">
        <v>2997</v>
      </c>
      <c r="BS70" s="226">
        <v>44678</v>
      </c>
      <c r="BT70" s="110">
        <v>2997</v>
      </c>
      <c r="BU70" s="206"/>
      <c r="BV70" s="110"/>
      <c r="BW70" s="226"/>
      <c r="BX70" s="110"/>
      <c r="BY70" s="206"/>
      <c r="BZ70" s="206"/>
      <c r="CA70" s="206"/>
      <c r="CB70" s="206"/>
      <c r="CC70" s="206"/>
      <c r="CD70" s="206"/>
      <c r="CE70" s="206"/>
      <c r="CF70" s="206"/>
      <c r="CG70" s="206"/>
      <c r="CH70" s="206"/>
      <c r="CI70" s="206"/>
      <c r="CJ70" s="206"/>
      <c r="CK70" s="245" t="s">
        <v>2612</v>
      </c>
      <c r="CL70" s="181" t="s">
        <v>2311</v>
      </c>
      <c r="CM70" s="246"/>
      <c r="CN70" s="247" t="s">
        <v>3924</v>
      </c>
      <c r="CO70" s="282" t="s">
        <v>122</v>
      </c>
      <c r="CP70" s="155"/>
      <c r="CQ70" s="131" t="s">
        <v>3932</v>
      </c>
      <c r="CR70" s="131" t="s">
        <v>3933</v>
      </c>
      <c r="CS70" s="116" t="str">
        <f t="shared" si="9"/>
        <v>blackship</v>
      </c>
      <c r="CT70" s="820">
        <f>IF(OR(D70&gt;0,E70&gt;0,F70&gt;0),IF(BB70=0,BD70*BG70,0))</f>
        <v>0</v>
      </c>
      <c r="CU70" s="820">
        <f>IF(OR(D70&gt;0,E70&gt;0,F70&gt;0),IF(BB70=0,BD70*BM70,0))</f>
        <v>149.85</v>
      </c>
      <c r="CV70" s="116" t="str">
        <f t="shared" si="10"/>
        <v>Client Angel</v>
      </c>
      <c r="CW70" s="207"/>
      <c r="CX70" s="729"/>
      <c r="CY70" s="729"/>
      <c r="CZ70" s="729"/>
      <c r="DA70" s="729"/>
      <c r="DB70" s="729"/>
      <c r="DC70" s="729"/>
    </row>
    <row r="71" spans="1:107" ht="30" customHeight="1">
      <c r="A71" s="228"/>
      <c r="B71" s="155">
        <v>101417</v>
      </c>
      <c r="C71" s="244">
        <v>1</v>
      </c>
      <c r="D71" s="244"/>
      <c r="E71" s="244"/>
      <c r="F71" s="244"/>
      <c r="G71" s="320" t="s">
        <v>1340</v>
      </c>
      <c r="H71" s="320" t="s">
        <v>3934</v>
      </c>
      <c r="I71" s="207" t="s">
        <v>3935</v>
      </c>
      <c r="J71" s="207" t="str">
        <f t="shared" si="0"/>
        <v>Roberta Tonelli</v>
      </c>
      <c r="K71" s="224">
        <v>3668796681</v>
      </c>
      <c r="L71" s="251"/>
      <c r="M71" s="251" t="s">
        <v>3936</v>
      </c>
      <c r="N71" s="131" t="str">
        <f t="shared" si="1"/>
        <v>Air Sea Italia</v>
      </c>
      <c r="O71" s="1238"/>
      <c r="P71" s="593"/>
      <c r="Q71" s="593"/>
      <c r="R71" s="251" t="s">
        <v>3937</v>
      </c>
      <c r="S71" s="593"/>
      <c r="T71" s="593"/>
      <c r="U71" s="593"/>
      <c r="V71" s="593"/>
      <c r="W71" s="593"/>
      <c r="X71" s="917"/>
      <c r="Y71" s="593"/>
      <c r="Z71" s="593"/>
      <c r="AA71" s="593"/>
      <c r="AB71" s="124"/>
      <c r="AC71" s="124"/>
      <c r="AD71" s="37" t="s">
        <v>3938</v>
      </c>
      <c r="AE71" s="207"/>
      <c r="AF71" s="321"/>
      <c r="AG71" s="124"/>
      <c r="AH71" s="124"/>
      <c r="AI71" s="124"/>
      <c r="AJ71" s="321"/>
      <c r="AK71" s="124"/>
      <c r="AL71" s="258"/>
      <c r="AM71" s="258"/>
      <c r="AN71" s="321"/>
      <c r="AO71" s="155" t="s">
        <v>115</v>
      </c>
      <c r="AP71" s="155"/>
      <c r="AQ71" s="155"/>
      <c r="AR71" s="321"/>
      <c r="AS71" s="880"/>
      <c r="AT71" s="154" t="s">
        <v>194</v>
      </c>
      <c r="AU71" s="154" t="s">
        <v>194</v>
      </c>
      <c r="AV71" s="321"/>
      <c r="AW71" s="880"/>
      <c r="AX71" s="121"/>
      <c r="AY71" s="121"/>
      <c r="AZ71" s="808">
        <f t="shared" si="100"/>
        <v>2797</v>
      </c>
      <c r="BA71" s="761">
        <f t="shared" si="98"/>
        <v>2797</v>
      </c>
      <c r="BB71" s="761">
        <f t="shared" si="4"/>
        <v>0</v>
      </c>
      <c r="BC71" s="110">
        <f t="shared" ref="BC71:BC74" si="106">BA71</f>
        <v>2797</v>
      </c>
      <c r="BD71" s="1230">
        <f t="shared" ref="BD71:BD75" si="107">AZ71-BC71</f>
        <v>0</v>
      </c>
      <c r="BE71" s="1231"/>
      <c r="BF71" s="317" t="s">
        <v>262</v>
      </c>
      <c r="BG71" s="98">
        <v>0.15</v>
      </c>
      <c r="BH71" s="110">
        <f t="shared" si="105"/>
        <v>419.55</v>
      </c>
      <c r="BI71" s="242"/>
      <c r="BJ71" s="1231"/>
      <c r="BK71" s="243" t="s">
        <v>968</v>
      </c>
      <c r="BL71" s="243" t="s">
        <v>184</v>
      </c>
      <c r="BM71" s="98">
        <v>0.1</v>
      </c>
      <c r="BN71" s="110">
        <f t="shared" ref="BN71:BN75" si="108">AZ71*BM71</f>
        <v>279.7</v>
      </c>
      <c r="BO71" s="242"/>
      <c r="BP71" s="1231"/>
      <c r="BQ71" s="243" t="s">
        <v>968</v>
      </c>
      <c r="BR71" s="110">
        <v>2797</v>
      </c>
      <c r="BS71" s="226">
        <v>44686</v>
      </c>
      <c r="BT71" s="110">
        <v>2797</v>
      </c>
      <c r="BU71" s="263"/>
      <c r="BV71" s="263"/>
      <c r="BW71" s="263"/>
      <c r="BX71" s="263"/>
      <c r="BY71" s="263"/>
      <c r="BZ71" s="263"/>
      <c r="CA71" s="263"/>
      <c r="CB71" s="263"/>
      <c r="CC71" s="263"/>
      <c r="CD71" s="263"/>
      <c r="CE71" s="263"/>
      <c r="CF71" s="263"/>
      <c r="CG71" s="263"/>
      <c r="CH71" s="263"/>
      <c r="CI71" s="263"/>
      <c r="CJ71" s="263"/>
      <c r="CK71" s="935" t="s">
        <v>2612</v>
      </c>
      <c r="CL71" s="880"/>
      <c r="CM71" s="1273"/>
      <c r="CN71" s="1274" t="s">
        <v>3667</v>
      </c>
      <c r="CO71" s="282" t="s">
        <v>122</v>
      </c>
      <c r="CP71" s="815"/>
      <c r="CQ71" s="131" t="s">
        <v>3939</v>
      </c>
      <c r="CR71" s="823" t="s">
        <v>3937</v>
      </c>
      <c r="CS71" s="116" t="str">
        <f t="shared" si="9"/>
        <v>Pacci</v>
      </c>
      <c r="CT71" s="242"/>
      <c r="CU71" s="242"/>
      <c r="CV71" s="116" t="str">
        <f t="shared" si="10"/>
        <v>Cristian A</v>
      </c>
      <c r="CW71" s="869"/>
      <c r="CX71" s="937"/>
      <c r="CY71" s="729"/>
      <c r="CZ71" s="729"/>
      <c r="DA71" s="729"/>
      <c r="DB71" s="729"/>
      <c r="DC71" s="729"/>
    </row>
    <row r="72" spans="1:107" ht="30" customHeight="1">
      <c r="A72" s="228"/>
      <c r="B72" s="155">
        <v>101417</v>
      </c>
      <c r="C72" s="244">
        <f t="shared" ref="C72:C90" si="109">C71+1</f>
        <v>2</v>
      </c>
      <c r="D72" s="244"/>
      <c r="E72" s="244"/>
      <c r="F72" s="244"/>
      <c r="G72" s="320" t="s">
        <v>488</v>
      </c>
      <c r="H72" s="320" t="s">
        <v>3940</v>
      </c>
      <c r="I72" s="207" t="s">
        <v>3941</v>
      </c>
      <c r="J72" s="207" t="str">
        <f t="shared" si="0"/>
        <v>Francesca Bisi</v>
      </c>
      <c r="K72" s="224">
        <v>3317183840</v>
      </c>
      <c r="L72" s="251"/>
      <c r="M72" s="251" t="s">
        <v>3942</v>
      </c>
      <c r="N72" s="131" t="str">
        <f t="shared" si="1"/>
        <v>Air Sea Italia</v>
      </c>
      <c r="O72" s="1238"/>
      <c r="P72" s="593"/>
      <c r="Q72" s="593"/>
      <c r="R72" s="251" t="s">
        <v>3937</v>
      </c>
      <c r="S72" s="593"/>
      <c r="T72" s="593"/>
      <c r="U72" s="593"/>
      <c r="V72" s="593"/>
      <c r="W72" s="593"/>
      <c r="X72" s="917"/>
      <c r="Y72" s="593"/>
      <c r="Z72" s="593"/>
      <c r="AA72" s="593"/>
      <c r="AB72" s="124"/>
      <c r="AC72" s="124"/>
      <c r="AD72" s="37" t="s">
        <v>3938</v>
      </c>
      <c r="AE72" s="207"/>
      <c r="AF72" s="321"/>
      <c r="AG72" s="124"/>
      <c r="AH72" s="124"/>
      <c r="AI72" s="124"/>
      <c r="AJ72" s="321"/>
      <c r="AK72" s="124"/>
      <c r="AL72" s="258"/>
      <c r="AM72" s="258"/>
      <c r="AN72" s="321"/>
      <c r="AO72" s="155" t="s">
        <v>115</v>
      </c>
      <c r="AP72" s="155" t="s">
        <v>115</v>
      </c>
      <c r="AQ72" s="155"/>
      <c r="AR72" s="321"/>
      <c r="AS72" s="880"/>
      <c r="AT72" s="880"/>
      <c r="AU72" s="154" t="s">
        <v>194</v>
      </c>
      <c r="AV72" s="321"/>
      <c r="AW72" s="880"/>
      <c r="AX72" s="880"/>
      <c r="AY72" s="121"/>
      <c r="AZ72" s="808">
        <f t="shared" si="100"/>
        <v>2797</v>
      </c>
      <c r="BA72" s="761">
        <f t="shared" si="98"/>
        <v>2797</v>
      </c>
      <c r="BB72" s="761">
        <f t="shared" si="4"/>
        <v>0</v>
      </c>
      <c r="BC72" s="110">
        <f t="shared" si="106"/>
        <v>2797</v>
      </c>
      <c r="BD72" s="1230">
        <f t="shared" si="107"/>
        <v>0</v>
      </c>
      <c r="BE72" s="1231"/>
      <c r="BF72" s="317" t="s">
        <v>262</v>
      </c>
      <c r="BG72" s="98">
        <v>0.15</v>
      </c>
      <c r="BH72" s="110">
        <f t="shared" si="105"/>
        <v>419.55</v>
      </c>
      <c r="BI72" s="242"/>
      <c r="BJ72" s="1231"/>
      <c r="BK72" s="243" t="s">
        <v>968</v>
      </c>
      <c r="BL72" s="243" t="s">
        <v>184</v>
      </c>
      <c r="BM72" s="98">
        <v>0.1</v>
      </c>
      <c r="BN72" s="110">
        <f t="shared" si="108"/>
        <v>279.7</v>
      </c>
      <c r="BO72" s="242"/>
      <c r="BP72" s="1231"/>
      <c r="BQ72" s="243" t="s">
        <v>968</v>
      </c>
      <c r="BR72" s="110">
        <v>2797</v>
      </c>
      <c r="BS72" s="226">
        <v>44686</v>
      </c>
      <c r="BT72" s="110">
        <v>2797</v>
      </c>
      <c r="BU72" s="263"/>
      <c r="BV72" s="263"/>
      <c r="BW72" s="263"/>
      <c r="BX72" s="263"/>
      <c r="BY72" s="263"/>
      <c r="BZ72" s="263"/>
      <c r="CA72" s="263"/>
      <c r="CB72" s="263"/>
      <c r="CC72" s="263"/>
      <c r="CD72" s="263"/>
      <c r="CE72" s="263"/>
      <c r="CF72" s="263"/>
      <c r="CG72" s="263"/>
      <c r="CH72" s="263"/>
      <c r="CI72" s="263"/>
      <c r="CJ72" s="263"/>
      <c r="CK72" s="935" t="s">
        <v>2612</v>
      </c>
      <c r="CL72" s="880"/>
      <c r="CM72" s="1273"/>
      <c r="CN72" s="1274" t="s">
        <v>3667</v>
      </c>
      <c r="CO72" s="282" t="s">
        <v>122</v>
      </c>
      <c r="CP72" s="815"/>
      <c r="CQ72" s="131" t="s">
        <v>3939</v>
      </c>
      <c r="CR72" s="823" t="s">
        <v>3937</v>
      </c>
      <c r="CS72" s="116" t="str">
        <f t="shared" si="9"/>
        <v>Pacci</v>
      </c>
      <c r="CT72" s="242"/>
      <c r="CU72" s="242"/>
      <c r="CV72" s="116" t="str">
        <f t="shared" si="10"/>
        <v>Cristian A</v>
      </c>
      <c r="CW72" s="869"/>
      <c r="CX72" s="937"/>
      <c r="CY72" s="729"/>
      <c r="CZ72" s="729"/>
      <c r="DA72" s="729"/>
      <c r="DB72" s="729"/>
      <c r="DC72" s="729"/>
    </row>
    <row r="73" spans="1:107" ht="30" customHeight="1">
      <c r="A73" s="228"/>
      <c r="B73" s="155">
        <v>101417</v>
      </c>
      <c r="C73" s="244">
        <f t="shared" si="109"/>
        <v>3</v>
      </c>
      <c r="D73" s="244"/>
      <c r="E73" s="244"/>
      <c r="F73" s="244"/>
      <c r="G73" s="320" t="s">
        <v>392</v>
      </c>
      <c r="H73" s="320" t="s">
        <v>2922</v>
      </c>
      <c r="I73" s="207" t="s">
        <v>3943</v>
      </c>
      <c r="J73" s="207" t="str">
        <f t="shared" si="0"/>
        <v>Elena Amendola</v>
      </c>
      <c r="K73" s="224">
        <v>3392075068</v>
      </c>
      <c r="L73" s="251" t="s">
        <v>3944</v>
      </c>
      <c r="M73" s="251"/>
      <c r="N73" s="131" t="str">
        <f t="shared" si="1"/>
        <v>Air Sea Italia</v>
      </c>
      <c r="O73" s="1238"/>
      <c r="P73" s="593"/>
      <c r="Q73" s="593"/>
      <c r="R73" s="251" t="s">
        <v>3937</v>
      </c>
      <c r="S73" s="593"/>
      <c r="T73" s="593"/>
      <c r="U73" s="593"/>
      <c r="V73" s="593"/>
      <c r="W73" s="593"/>
      <c r="X73" s="917"/>
      <c r="Y73" s="593"/>
      <c r="Z73" s="593"/>
      <c r="AA73" s="593"/>
      <c r="AB73" s="124"/>
      <c r="AC73" s="124"/>
      <c r="AD73" s="37" t="s">
        <v>3938</v>
      </c>
      <c r="AE73" s="207"/>
      <c r="AF73" s="321"/>
      <c r="AG73" s="124"/>
      <c r="AH73" s="124"/>
      <c r="AI73" s="124"/>
      <c r="AJ73" s="321"/>
      <c r="AK73" s="124"/>
      <c r="AL73" s="258"/>
      <c r="AM73" s="258"/>
      <c r="AN73" s="321"/>
      <c r="AO73" s="155"/>
      <c r="AP73" s="155" t="s">
        <v>115</v>
      </c>
      <c r="AQ73" s="155"/>
      <c r="AR73" s="321"/>
      <c r="AS73" s="154" t="s">
        <v>194</v>
      </c>
      <c r="AT73" s="880"/>
      <c r="AU73" s="154" t="s">
        <v>194</v>
      </c>
      <c r="AV73" s="321"/>
      <c r="AW73" s="121"/>
      <c r="AX73" s="880"/>
      <c r="AY73" s="121"/>
      <c r="AZ73" s="808">
        <f t="shared" si="100"/>
        <v>2797</v>
      </c>
      <c r="BA73" s="761">
        <f t="shared" si="98"/>
        <v>2797</v>
      </c>
      <c r="BB73" s="761">
        <f t="shared" si="4"/>
        <v>0</v>
      </c>
      <c r="BC73" s="110">
        <f t="shared" si="106"/>
        <v>2797</v>
      </c>
      <c r="BD73" s="1230">
        <f t="shared" si="107"/>
        <v>0</v>
      </c>
      <c r="BE73" s="1231"/>
      <c r="BF73" s="317" t="s">
        <v>262</v>
      </c>
      <c r="BG73" s="98">
        <v>0.15</v>
      </c>
      <c r="BH73" s="381">
        <f t="shared" si="105"/>
        <v>419.55</v>
      </c>
      <c r="BI73" s="242"/>
      <c r="BJ73" s="1231"/>
      <c r="BK73" s="243" t="s">
        <v>3735</v>
      </c>
      <c r="BL73" s="243" t="s">
        <v>184</v>
      </c>
      <c r="BM73" s="98">
        <v>0.1</v>
      </c>
      <c r="BN73" s="381">
        <f t="shared" si="108"/>
        <v>279.7</v>
      </c>
      <c r="BO73" s="242"/>
      <c r="BP73" s="1231"/>
      <c r="BQ73" s="243" t="s">
        <v>3735</v>
      </c>
      <c r="BR73" s="110">
        <v>2797</v>
      </c>
      <c r="BS73" s="226">
        <v>44686</v>
      </c>
      <c r="BT73" s="110">
        <v>2797</v>
      </c>
      <c r="BU73" s="263"/>
      <c r="BV73" s="263"/>
      <c r="BW73" s="263"/>
      <c r="BX73" s="263"/>
      <c r="BY73" s="263"/>
      <c r="BZ73" s="263"/>
      <c r="CA73" s="263"/>
      <c r="CB73" s="263"/>
      <c r="CC73" s="263"/>
      <c r="CD73" s="263"/>
      <c r="CE73" s="263"/>
      <c r="CF73" s="263"/>
      <c r="CG73" s="263"/>
      <c r="CH73" s="263"/>
      <c r="CI73" s="263"/>
      <c r="CJ73" s="263"/>
      <c r="CK73" s="935" t="s">
        <v>2612</v>
      </c>
      <c r="CL73" s="880"/>
      <c r="CM73" s="1273"/>
      <c r="CN73" s="1274" t="s">
        <v>3667</v>
      </c>
      <c r="CO73" s="282" t="s">
        <v>122</v>
      </c>
      <c r="CP73" s="815"/>
      <c r="CQ73" s="131" t="s">
        <v>3939</v>
      </c>
      <c r="CR73" s="823" t="s">
        <v>3937</v>
      </c>
      <c r="CS73" s="116" t="str">
        <f t="shared" si="9"/>
        <v>Pacci</v>
      </c>
      <c r="CT73" s="242"/>
      <c r="CU73" s="242"/>
      <c r="CV73" s="116" t="str">
        <f t="shared" si="10"/>
        <v>Cristian A</v>
      </c>
      <c r="CW73" s="869"/>
      <c r="CX73" s="937"/>
      <c r="CY73" s="729"/>
      <c r="CZ73" s="729"/>
      <c r="DA73" s="729"/>
      <c r="DB73" s="729"/>
      <c r="DC73" s="729"/>
    </row>
    <row r="74" spans="1:107" ht="30" customHeight="1">
      <c r="A74" s="228"/>
      <c r="B74" s="155">
        <v>101417</v>
      </c>
      <c r="C74" s="244">
        <f t="shared" si="109"/>
        <v>4</v>
      </c>
      <c r="D74" s="244"/>
      <c r="E74" s="244"/>
      <c r="F74" s="244"/>
      <c r="G74" s="320" t="s">
        <v>3945</v>
      </c>
      <c r="H74" s="320" t="s">
        <v>3946</v>
      </c>
      <c r="I74" s="207" t="s">
        <v>3947</v>
      </c>
      <c r="J74" s="207" t="str">
        <f t="shared" si="0"/>
        <v>Martina Cardoni</v>
      </c>
      <c r="K74" s="224">
        <v>3331049909</v>
      </c>
      <c r="L74" s="341"/>
      <c r="M74" s="341"/>
      <c r="N74" s="131" t="str">
        <f t="shared" si="1"/>
        <v>Air Sea Italia</v>
      </c>
      <c r="O74" s="1238"/>
      <c r="P74" s="593"/>
      <c r="Q74" s="593"/>
      <c r="R74" s="251" t="s">
        <v>3937</v>
      </c>
      <c r="S74" s="593"/>
      <c r="T74" s="593"/>
      <c r="U74" s="593"/>
      <c r="V74" s="593"/>
      <c r="W74" s="593"/>
      <c r="X74" s="917"/>
      <c r="Y74" s="593"/>
      <c r="Z74" s="593"/>
      <c r="AA74" s="593"/>
      <c r="AB74" s="124"/>
      <c r="AC74" s="124"/>
      <c r="AD74" s="37" t="s">
        <v>3938</v>
      </c>
      <c r="AE74" s="207"/>
      <c r="AF74" s="321"/>
      <c r="AG74" s="124"/>
      <c r="AH74" s="124"/>
      <c r="AI74" s="124"/>
      <c r="AJ74" s="321"/>
      <c r="AK74" s="124"/>
      <c r="AL74" s="258"/>
      <c r="AM74" s="258"/>
      <c r="AN74" s="321"/>
      <c r="AO74" s="155" t="s">
        <v>115</v>
      </c>
      <c r="AP74" s="155" t="s">
        <v>115</v>
      </c>
      <c r="AQ74" s="155"/>
      <c r="AR74" s="321"/>
      <c r="AS74" s="880"/>
      <c r="AT74" s="880"/>
      <c r="AU74" s="154" t="s">
        <v>194</v>
      </c>
      <c r="AV74" s="321"/>
      <c r="AW74" s="880"/>
      <c r="AX74" s="880"/>
      <c r="AY74" s="121"/>
      <c r="AZ74" s="808">
        <f t="shared" si="100"/>
        <v>2797</v>
      </c>
      <c r="BA74" s="761">
        <f t="shared" si="98"/>
        <v>2797</v>
      </c>
      <c r="BB74" s="761">
        <f t="shared" si="4"/>
        <v>0</v>
      </c>
      <c r="BC74" s="110">
        <f t="shared" si="106"/>
        <v>2797</v>
      </c>
      <c r="BD74" s="1230">
        <f t="shared" si="107"/>
        <v>0</v>
      </c>
      <c r="BE74" s="1231"/>
      <c r="BF74" s="317" t="s">
        <v>262</v>
      </c>
      <c r="BG74" s="98">
        <v>0.15</v>
      </c>
      <c r="BH74" s="110">
        <f t="shared" si="105"/>
        <v>419.55</v>
      </c>
      <c r="BI74" s="242"/>
      <c r="BJ74" s="1231"/>
      <c r="BK74" s="243" t="s">
        <v>968</v>
      </c>
      <c r="BL74" s="243" t="s">
        <v>184</v>
      </c>
      <c r="BM74" s="98">
        <v>0.1</v>
      </c>
      <c r="BN74" s="110">
        <f t="shared" si="108"/>
        <v>279.7</v>
      </c>
      <c r="BO74" s="242"/>
      <c r="BP74" s="1231"/>
      <c r="BQ74" s="243" t="s">
        <v>968</v>
      </c>
      <c r="BR74" s="110">
        <v>2797</v>
      </c>
      <c r="BS74" s="226">
        <v>44686</v>
      </c>
      <c r="BT74" s="110">
        <v>2797</v>
      </c>
      <c r="BU74" s="263"/>
      <c r="BV74" s="263"/>
      <c r="BW74" s="263"/>
      <c r="BX74" s="263"/>
      <c r="BY74" s="263"/>
      <c r="BZ74" s="263"/>
      <c r="CA74" s="263"/>
      <c r="CB74" s="263"/>
      <c r="CC74" s="263"/>
      <c r="CD74" s="263"/>
      <c r="CE74" s="263"/>
      <c r="CF74" s="263"/>
      <c r="CG74" s="263"/>
      <c r="CH74" s="263"/>
      <c r="CI74" s="263"/>
      <c r="CJ74" s="263"/>
      <c r="CK74" s="935" t="s">
        <v>2612</v>
      </c>
      <c r="CL74" s="880"/>
      <c r="CM74" s="1273"/>
      <c r="CN74" s="1274" t="s">
        <v>3667</v>
      </c>
      <c r="CO74" s="282" t="s">
        <v>122</v>
      </c>
      <c r="CP74" s="815"/>
      <c r="CQ74" s="131" t="s">
        <v>3939</v>
      </c>
      <c r="CR74" s="823" t="s">
        <v>3937</v>
      </c>
      <c r="CS74" s="116" t="str">
        <f t="shared" si="9"/>
        <v>Pacci</v>
      </c>
      <c r="CT74" s="242"/>
      <c r="CU74" s="242"/>
      <c r="CV74" s="116" t="str">
        <f t="shared" si="10"/>
        <v>Cristian A</v>
      </c>
      <c r="CW74" s="869"/>
      <c r="CX74" s="937"/>
      <c r="CY74" s="729"/>
      <c r="CZ74" s="729"/>
      <c r="DA74" s="729"/>
      <c r="DB74" s="729"/>
      <c r="DC74" s="729"/>
    </row>
    <row r="75" spans="1:107" ht="30" customHeight="1">
      <c r="A75" s="228"/>
      <c r="B75" s="155">
        <v>100555</v>
      </c>
      <c r="C75" s="244">
        <f t="shared" si="109"/>
        <v>5</v>
      </c>
      <c r="D75" s="244"/>
      <c r="E75" s="244">
        <v>1</v>
      </c>
      <c r="F75" s="244"/>
      <c r="G75" s="320" t="s">
        <v>3948</v>
      </c>
      <c r="H75" s="320" t="s">
        <v>3949</v>
      </c>
      <c r="I75" s="294" t="s">
        <v>3950</v>
      </c>
      <c r="J75" s="207" t="str">
        <f t="shared" si="0"/>
        <v>Katrina Melania Auskapa</v>
      </c>
      <c r="K75" s="1275">
        <v>3341105841</v>
      </c>
      <c r="L75" s="1276"/>
      <c r="M75" s="1276" t="s">
        <v>3951</v>
      </c>
      <c r="N75" s="131" t="str">
        <f t="shared" si="1"/>
        <v>Icona</v>
      </c>
      <c r="O75" s="1277"/>
      <c r="P75" s="314"/>
      <c r="Q75" s="314"/>
      <c r="R75" s="251" t="s">
        <v>3952</v>
      </c>
      <c r="S75" s="315"/>
      <c r="T75" s="315"/>
      <c r="U75" s="315"/>
      <c r="V75" s="315"/>
      <c r="W75" s="316"/>
      <c r="X75" s="234"/>
      <c r="Y75" s="316"/>
      <c r="Z75" s="316"/>
      <c r="AA75" s="316"/>
      <c r="AB75" s="37"/>
      <c r="AC75" s="37"/>
      <c r="AD75" s="37" t="s">
        <v>3953</v>
      </c>
      <c r="AE75" s="207" t="s">
        <v>3954</v>
      </c>
      <c r="AF75" s="321"/>
      <c r="AG75" s="124"/>
      <c r="AH75" s="124"/>
      <c r="AI75" s="124"/>
      <c r="AJ75" s="321"/>
      <c r="AK75" s="124"/>
      <c r="AL75" s="124"/>
      <c r="AM75" s="124"/>
      <c r="AN75" s="321"/>
      <c r="AO75" s="155" t="s">
        <v>115</v>
      </c>
      <c r="AP75" s="565" t="s">
        <v>194</v>
      </c>
      <c r="AQ75" s="155" t="s">
        <v>115</v>
      </c>
      <c r="AR75" s="321"/>
      <c r="AS75" s="570"/>
      <c r="AT75" s="19" t="s">
        <v>115</v>
      </c>
      <c r="AU75" s="570"/>
      <c r="AV75" s="321"/>
      <c r="AW75" s="570"/>
      <c r="AX75" s="121"/>
      <c r="AY75" s="570"/>
      <c r="AZ75" s="808">
        <f t="shared" si="100"/>
        <v>2600</v>
      </c>
      <c r="BA75" s="761">
        <f t="shared" si="98"/>
        <v>2600</v>
      </c>
      <c r="BB75" s="761">
        <f t="shared" si="4"/>
        <v>0</v>
      </c>
      <c r="BC75" s="110">
        <v>2600</v>
      </c>
      <c r="BD75" s="1230">
        <f t="shared" si="107"/>
        <v>0</v>
      </c>
      <c r="BE75" s="1231"/>
      <c r="BF75" s="285" t="s">
        <v>3344</v>
      </c>
      <c r="BG75" s="98">
        <v>0.15</v>
      </c>
      <c r="BH75" s="1255">
        <f t="shared" si="105"/>
        <v>390</v>
      </c>
      <c r="BI75" s="242"/>
      <c r="BJ75" s="1231"/>
      <c r="BK75" s="243" t="s">
        <v>3823</v>
      </c>
      <c r="BL75" s="243" t="s">
        <v>184</v>
      </c>
      <c r="BM75" s="98">
        <v>0.1</v>
      </c>
      <c r="BN75" s="1255">
        <f t="shared" si="108"/>
        <v>260</v>
      </c>
      <c r="BO75" s="242"/>
      <c r="BP75" s="1231"/>
      <c r="BQ75" s="243" t="s">
        <v>3823</v>
      </c>
      <c r="BR75" s="110">
        <v>1000</v>
      </c>
      <c r="BS75" s="286">
        <v>44681</v>
      </c>
      <c r="BT75" s="110">
        <v>1000</v>
      </c>
      <c r="BU75" s="206"/>
      <c r="BV75" s="110">
        <v>800</v>
      </c>
      <c r="BW75" s="286">
        <v>44712</v>
      </c>
      <c r="BX75" s="110">
        <v>800</v>
      </c>
      <c r="BY75" s="206"/>
      <c r="BZ75" s="110">
        <v>800</v>
      </c>
      <c r="CA75" s="286" t="s">
        <v>3955</v>
      </c>
      <c r="CB75" s="110">
        <v>800</v>
      </c>
      <c r="CC75" s="206"/>
      <c r="CD75" s="206"/>
      <c r="CE75" s="206"/>
      <c r="CF75" s="206"/>
      <c r="CG75" s="206"/>
      <c r="CH75" s="206"/>
      <c r="CI75" s="206"/>
      <c r="CJ75" s="206"/>
      <c r="CK75" s="935" t="s">
        <v>2612</v>
      </c>
      <c r="CL75" s="181"/>
      <c r="CM75" s="246"/>
      <c r="CN75" s="247"/>
      <c r="CO75" s="282" t="s">
        <v>122</v>
      </c>
      <c r="CP75" s="155">
        <v>1</v>
      </c>
      <c r="CQ75" s="1278" t="s">
        <v>3956</v>
      </c>
      <c r="CR75" s="131" t="s">
        <v>3957</v>
      </c>
      <c r="CS75" s="116" t="str">
        <f t="shared" si="9"/>
        <v>Atena</v>
      </c>
      <c r="CT75" s="242"/>
      <c r="CU75" s="242"/>
      <c r="CV75" s="116" t="str">
        <f t="shared" si="10"/>
        <v>Cristian A</v>
      </c>
      <c r="CW75" s="207"/>
      <c r="CX75" s="729"/>
      <c r="CY75" s="729"/>
      <c r="CZ75" s="729"/>
      <c r="DA75" s="729"/>
      <c r="DB75" s="729"/>
      <c r="DC75" s="729"/>
    </row>
    <row r="76" spans="1:107" ht="30" customHeight="1">
      <c r="A76" s="228"/>
      <c r="B76" s="1237">
        <v>100857</v>
      </c>
      <c r="C76" s="244">
        <f t="shared" si="109"/>
        <v>6</v>
      </c>
      <c r="D76" s="244"/>
      <c r="E76" s="244"/>
      <c r="F76" s="244"/>
      <c r="G76" s="320" t="s">
        <v>2354</v>
      </c>
      <c r="H76" s="320" t="s">
        <v>3958</v>
      </c>
      <c r="I76" s="294" t="s">
        <v>1103</v>
      </c>
      <c r="J76" s="207" t="str">
        <f t="shared" si="0"/>
        <v>Daniela  Sardo</v>
      </c>
      <c r="K76" s="1010"/>
      <c r="L76" s="131" t="s">
        <v>1104</v>
      </c>
      <c r="M76" s="131"/>
      <c r="N76" s="131" t="str">
        <f t="shared" si="1"/>
        <v>Primo Round</v>
      </c>
      <c r="O76" s="1233"/>
      <c r="P76" s="37"/>
      <c r="Q76" s="37"/>
      <c r="R76" s="251" t="s">
        <v>1106</v>
      </c>
      <c r="S76" s="160"/>
      <c r="T76" s="160"/>
      <c r="U76" s="160"/>
      <c r="V76" s="160"/>
      <c r="W76" s="233"/>
      <c r="X76" s="234"/>
      <c r="Y76" s="233"/>
      <c r="Z76" s="233"/>
      <c r="AA76" s="233"/>
      <c r="AB76" s="37"/>
      <c r="AC76" s="37"/>
      <c r="AD76" s="37" t="s">
        <v>1107</v>
      </c>
      <c r="AE76" s="181"/>
      <c r="AF76" s="515"/>
      <c r="AG76" s="121"/>
      <c r="AH76" s="121"/>
      <c r="AI76" s="121"/>
      <c r="AJ76" s="515"/>
      <c r="AK76" s="121"/>
      <c r="AL76" s="121"/>
      <c r="AM76" s="121"/>
      <c r="AN76" s="515"/>
      <c r="AO76" s="155"/>
      <c r="AP76" s="155"/>
      <c r="AQ76" s="155"/>
      <c r="AR76" s="515"/>
      <c r="AS76" s="121"/>
      <c r="AT76" s="121"/>
      <c r="AU76" s="121"/>
      <c r="AV76" s="515"/>
      <c r="AW76" s="121" t="s">
        <v>27</v>
      </c>
      <c r="AX76" s="121" t="s">
        <v>27</v>
      </c>
      <c r="AY76" s="121" t="s">
        <v>27</v>
      </c>
      <c r="AZ76" s="808">
        <f t="shared" si="100"/>
        <v>2997</v>
      </c>
      <c r="BA76" s="761">
        <f t="shared" si="98"/>
        <v>2997</v>
      </c>
      <c r="BB76" s="761">
        <f t="shared" si="4"/>
        <v>0</v>
      </c>
      <c r="BC76" s="110"/>
      <c r="BD76" s="1230">
        <v>0</v>
      </c>
      <c r="BE76" s="1231">
        <v>2997</v>
      </c>
      <c r="BF76" s="317" t="s">
        <v>262</v>
      </c>
      <c r="BG76" s="98">
        <v>0.15</v>
      </c>
      <c r="BH76" s="110"/>
      <c r="BI76" s="242">
        <f>BD76*BG76</f>
        <v>0</v>
      </c>
      <c r="BJ76" s="1231">
        <f>BE76*BG76</f>
        <v>449.55</v>
      </c>
      <c r="BK76" s="243"/>
      <c r="BL76" s="772" t="s">
        <v>262</v>
      </c>
      <c r="BM76" s="98">
        <v>0.1</v>
      </c>
      <c r="BN76" s="110"/>
      <c r="BO76" s="242">
        <f>BD76*BM76</f>
        <v>0</v>
      </c>
      <c r="BP76" s="1231">
        <f>BE76*BM76</f>
        <v>299.7</v>
      </c>
      <c r="BQ76" s="243"/>
      <c r="BR76" s="110">
        <v>2997</v>
      </c>
      <c r="BS76" s="226">
        <v>44627</v>
      </c>
      <c r="BT76" s="110">
        <v>2997</v>
      </c>
      <c r="BU76" s="206"/>
      <c r="BV76" s="206"/>
      <c r="BW76" s="206"/>
      <c r="BX76" s="206"/>
      <c r="BY76" s="206"/>
      <c r="BZ76" s="206"/>
      <c r="CA76" s="206"/>
      <c r="CB76" s="206"/>
      <c r="CC76" s="206"/>
      <c r="CD76" s="206"/>
      <c r="CE76" s="206"/>
      <c r="CF76" s="206"/>
      <c r="CG76" s="206"/>
      <c r="CH76" s="206"/>
      <c r="CI76" s="206"/>
      <c r="CJ76" s="206"/>
      <c r="CK76" s="935" t="s">
        <v>2612</v>
      </c>
      <c r="CL76" s="181"/>
      <c r="CM76" s="246"/>
      <c r="CN76" s="247"/>
      <c r="CO76" s="815" t="s">
        <v>215</v>
      </c>
      <c r="CP76" s="155"/>
      <c r="CQ76" s="131"/>
      <c r="CR76" s="131" t="s">
        <v>1105</v>
      </c>
      <c r="CS76" s="116" t="str">
        <f t="shared" si="9"/>
        <v>Pacci</v>
      </c>
      <c r="CT76" s="820" t="b">
        <f>IF(OR(D76&gt;0,E76&gt;0,F76&gt;0),IF(BB76=0,BD76*BG76,0))</f>
        <v>0</v>
      </c>
      <c r="CU76" s="820" t="b">
        <f>IF(OR(D76&gt;0,E76&gt;0,F76&gt;0),IF(BB76=0,BD76*BM76,0))</f>
        <v>0</v>
      </c>
      <c r="CV76" s="116" t="str">
        <f t="shared" si="10"/>
        <v>Pacci</v>
      </c>
      <c r="CW76" s="207"/>
      <c r="CX76" s="729"/>
      <c r="CY76" s="729"/>
      <c r="CZ76" s="729"/>
      <c r="DA76" s="729"/>
      <c r="DB76" s="729"/>
      <c r="DC76" s="729"/>
    </row>
    <row r="77" spans="1:107" ht="30" customHeight="1">
      <c r="A77" s="228"/>
      <c r="B77" s="1237">
        <v>101404</v>
      </c>
      <c r="C77" s="244">
        <f t="shared" si="109"/>
        <v>7</v>
      </c>
      <c r="D77" s="244"/>
      <c r="E77" s="244"/>
      <c r="F77" s="244">
        <v>1</v>
      </c>
      <c r="G77" s="320" t="s">
        <v>3959</v>
      </c>
      <c r="H77" s="320" t="s">
        <v>3960</v>
      </c>
      <c r="I77" s="207" t="s">
        <v>3961</v>
      </c>
      <c r="J77" s="207" t="str">
        <f t="shared" si="0"/>
        <v>Fabio  Brugnone</v>
      </c>
      <c r="K77" s="1275"/>
      <c r="L77" s="131"/>
      <c r="M77" s="131"/>
      <c r="N77" s="131" t="str">
        <f t="shared" si="1"/>
        <v>Xstream</v>
      </c>
      <c r="O77" s="1258"/>
      <c r="P77" s="37"/>
      <c r="Q77" s="37"/>
      <c r="R77" s="131" t="s">
        <v>3962</v>
      </c>
      <c r="S77" s="160"/>
      <c r="T77" s="160"/>
      <c r="U77" s="160"/>
      <c r="V77" s="160"/>
      <c r="W77" s="233"/>
      <c r="X77" s="234"/>
      <c r="Y77" s="233"/>
      <c r="Z77" s="233"/>
      <c r="AA77" s="233"/>
      <c r="AB77" s="37"/>
      <c r="AC77" s="37"/>
      <c r="AD77" s="37" t="s">
        <v>3963</v>
      </c>
      <c r="AE77" s="112" t="s">
        <v>3964</v>
      </c>
      <c r="AF77" s="198"/>
      <c r="AG77" s="121"/>
      <c r="AH77" s="121"/>
      <c r="AI77" s="121"/>
      <c r="AJ77" s="198"/>
      <c r="AK77" s="121"/>
      <c r="AL77" s="121"/>
      <c r="AM77" s="121"/>
      <c r="AN77" s="198"/>
      <c r="AO77" s="155" t="s">
        <v>115</v>
      </c>
      <c r="AP77" s="155" t="s">
        <v>115</v>
      </c>
      <c r="AQ77" s="155"/>
      <c r="AR77" s="198"/>
      <c r="AS77" s="121"/>
      <c r="AT77" s="121"/>
      <c r="AU77" s="19" t="s">
        <v>115</v>
      </c>
      <c r="AV77" s="198"/>
      <c r="AW77" s="121"/>
      <c r="AX77" s="121"/>
      <c r="AY77" s="121"/>
      <c r="AZ77" s="808">
        <f t="shared" si="100"/>
        <v>2597</v>
      </c>
      <c r="BA77" s="761">
        <f t="shared" si="98"/>
        <v>2597</v>
      </c>
      <c r="BB77" s="761">
        <f t="shared" si="4"/>
        <v>0</v>
      </c>
      <c r="BC77" s="110">
        <f t="shared" ref="BC77:BC79" si="110">BA77</f>
        <v>2597</v>
      </c>
      <c r="BD77" s="1230">
        <f t="shared" ref="BD77:BD79" si="111">AZ77-BC77</f>
        <v>0</v>
      </c>
      <c r="BE77" s="1231"/>
      <c r="BF77" s="317" t="s">
        <v>262</v>
      </c>
      <c r="BG77" s="98">
        <v>0.15</v>
      </c>
      <c r="BH77" s="110">
        <f t="shared" ref="BH77:BH79" si="112">AZ77*BG77</f>
        <v>389.55</v>
      </c>
      <c r="BI77" s="242"/>
      <c r="BJ77" s="1231"/>
      <c r="BK77" s="243" t="s">
        <v>968</v>
      </c>
      <c r="BL77" s="243" t="s">
        <v>184</v>
      </c>
      <c r="BM77" s="98">
        <v>0.1</v>
      </c>
      <c r="BN77" s="110">
        <f t="shared" ref="BN77:BN79" si="113">AZ77*BM77</f>
        <v>259.7</v>
      </c>
      <c r="BO77" s="242"/>
      <c r="BP77" s="1231"/>
      <c r="BQ77" s="243" t="s">
        <v>968</v>
      </c>
      <c r="BR77" s="110">
        <f t="shared" ref="BR77:BR79" si="114">(15582/6)*25/100</f>
        <v>649.25</v>
      </c>
      <c r="BS77" s="286">
        <v>44680</v>
      </c>
      <c r="BT77" s="110">
        <f t="shared" ref="BT77:BT79" si="115">(15582/6)*25/100</f>
        <v>649.25</v>
      </c>
      <c r="BU77" s="206"/>
      <c r="BV77" s="110">
        <f t="shared" ref="BV77:BV79" si="116">(15582/6)*30/100</f>
        <v>779.1</v>
      </c>
      <c r="BW77" s="286">
        <v>44692</v>
      </c>
      <c r="BX77" s="110">
        <f t="shared" ref="BX77:BX79" si="117">(15582/6)*30/100</f>
        <v>779.1</v>
      </c>
      <c r="BY77" s="206"/>
      <c r="BZ77" s="110">
        <f t="shared" ref="BZ77:BZ79" si="118">(15582/6)*45/100</f>
        <v>1168.6500000000001</v>
      </c>
      <c r="CA77" s="286">
        <v>44711</v>
      </c>
      <c r="CB77" s="110">
        <f t="shared" ref="CB77:CB79" si="119">(15582/6)*45/100</f>
        <v>1168.6500000000001</v>
      </c>
      <c r="CC77" s="206"/>
      <c r="CD77" s="206"/>
      <c r="CE77" s="206"/>
      <c r="CF77" s="206"/>
      <c r="CG77" s="206"/>
      <c r="CH77" s="206"/>
      <c r="CI77" s="206"/>
      <c r="CJ77" s="206"/>
      <c r="CK77" s="935" t="s">
        <v>2612</v>
      </c>
      <c r="CL77" s="181"/>
      <c r="CM77" s="246"/>
      <c r="CN77" s="247"/>
      <c r="CO77" s="282" t="s">
        <v>122</v>
      </c>
      <c r="CP77" s="155"/>
      <c r="CQ77" s="131"/>
      <c r="CR77" s="131" t="s">
        <v>3965</v>
      </c>
      <c r="CS77" s="116" t="str">
        <f t="shared" si="9"/>
        <v>Pacci</v>
      </c>
      <c r="CT77" s="242"/>
      <c r="CU77" s="242"/>
      <c r="CV77" s="116" t="str">
        <f t="shared" si="10"/>
        <v>Cristian A</v>
      </c>
      <c r="CW77" s="207"/>
      <c r="CX77" s="729"/>
      <c r="CY77" s="937"/>
      <c r="CZ77" s="937"/>
      <c r="DA77" s="937"/>
      <c r="DB77" s="937"/>
      <c r="DC77" s="937"/>
    </row>
    <row r="78" spans="1:107" ht="30" customHeight="1">
      <c r="A78" s="228"/>
      <c r="B78" s="1237">
        <v>101404</v>
      </c>
      <c r="C78" s="244">
        <f t="shared" si="109"/>
        <v>8</v>
      </c>
      <c r="D78" s="244"/>
      <c r="E78" s="244"/>
      <c r="F78" s="244">
        <v>1</v>
      </c>
      <c r="G78" s="320" t="s">
        <v>3966</v>
      </c>
      <c r="H78" s="320" t="s">
        <v>3967</v>
      </c>
      <c r="I78" s="207" t="s">
        <v>3968</v>
      </c>
      <c r="J78" s="207" t="str">
        <f t="shared" si="0"/>
        <v>Paolo  Scaffardi</v>
      </c>
      <c r="K78" s="1275">
        <v>3357840290</v>
      </c>
      <c r="L78" s="131"/>
      <c r="M78" s="131"/>
      <c r="N78" s="131" t="str">
        <f t="shared" si="1"/>
        <v>Xstream</v>
      </c>
      <c r="O78" s="1258"/>
      <c r="P78" s="37"/>
      <c r="Q78" s="37"/>
      <c r="R78" s="131" t="s">
        <v>3962</v>
      </c>
      <c r="S78" s="160"/>
      <c r="T78" s="160"/>
      <c r="U78" s="160"/>
      <c r="V78" s="160"/>
      <c r="W78" s="233"/>
      <c r="X78" s="234"/>
      <c r="Y78" s="233"/>
      <c r="Z78" s="233"/>
      <c r="AA78" s="233"/>
      <c r="AB78" s="37"/>
      <c r="AC78" s="37"/>
      <c r="AD78" s="37" t="s">
        <v>3963</v>
      </c>
      <c r="AE78" s="112" t="s">
        <v>3964</v>
      </c>
      <c r="AF78" s="198"/>
      <c r="AG78" s="121"/>
      <c r="AH78" s="121"/>
      <c r="AI78" s="121"/>
      <c r="AJ78" s="198"/>
      <c r="AK78" s="121"/>
      <c r="AL78" s="121"/>
      <c r="AM78" s="121"/>
      <c r="AN78" s="198"/>
      <c r="AO78" s="155" t="s">
        <v>115</v>
      </c>
      <c r="AP78" s="155" t="s">
        <v>115</v>
      </c>
      <c r="AQ78" s="155"/>
      <c r="AR78" s="198"/>
      <c r="AS78" s="121"/>
      <c r="AT78" s="121"/>
      <c r="AU78" s="19" t="s">
        <v>115</v>
      </c>
      <c r="AV78" s="198"/>
      <c r="AW78" s="121"/>
      <c r="AX78" s="121"/>
      <c r="AY78" s="121"/>
      <c r="AZ78" s="808">
        <f t="shared" si="100"/>
        <v>2597</v>
      </c>
      <c r="BA78" s="761">
        <f t="shared" si="98"/>
        <v>2597</v>
      </c>
      <c r="BB78" s="761">
        <f t="shared" si="4"/>
        <v>0</v>
      </c>
      <c r="BC78" s="110">
        <f t="shared" si="110"/>
        <v>2597</v>
      </c>
      <c r="BD78" s="1230">
        <f t="shared" si="111"/>
        <v>0</v>
      </c>
      <c r="BE78" s="1231"/>
      <c r="BF78" s="317" t="s">
        <v>262</v>
      </c>
      <c r="BG78" s="98">
        <v>0.15</v>
      </c>
      <c r="BH78" s="110">
        <f t="shared" si="112"/>
        <v>389.55</v>
      </c>
      <c r="BI78" s="242"/>
      <c r="BJ78" s="1231"/>
      <c r="BK78" s="243" t="s">
        <v>968</v>
      </c>
      <c r="BL78" s="243" t="s">
        <v>184</v>
      </c>
      <c r="BM78" s="98">
        <v>0.1</v>
      </c>
      <c r="BN78" s="110">
        <f t="shared" si="113"/>
        <v>259.7</v>
      </c>
      <c r="BO78" s="242"/>
      <c r="BP78" s="1231"/>
      <c r="BQ78" s="243" t="s">
        <v>968</v>
      </c>
      <c r="BR78" s="110">
        <f t="shared" si="114"/>
        <v>649.25</v>
      </c>
      <c r="BS78" s="286">
        <v>44680</v>
      </c>
      <c r="BT78" s="110">
        <f t="shared" si="115"/>
        <v>649.25</v>
      </c>
      <c r="BU78" s="206"/>
      <c r="BV78" s="110">
        <f t="shared" si="116"/>
        <v>779.1</v>
      </c>
      <c r="BW78" s="286">
        <v>44692</v>
      </c>
      <c r="BX78" s="110">
        <f t="shared" si="117"/>
        <v>779.1</v>
      </c>
      <c r="BY78" s="206"/>
      <c r="BZ78" s="110">
        <f t="shared" si="118"/>
        <v>1168.6500000000001</v>
      </c>
      <c r="CA78" s="286">
        <v>44711</v>
      </c>
      <c r="CB78" s="110">
        <f t="shared" si="119"/>
        <v>1168.6500000000001</v>
      </c>
      <c r="CC78" s="206"/>
      <c r="CD78" s="206"/>
      <c r="CE78" s="206"/>
      <c r="CF78" s="206"/>
      <c r="CG78" s="206"/>
      <c r="CH78" s="206"/>
      <c r="CI78" s="206"/>
      <c r="CJ78" s="206"/>
      <c r="CK78" s="935" t="s">
        <v>2612</v>
      </c>
      <c r="CL78" s="181"/>
      <c r="CM78" s="246"/>
      <c r="CN78" s="247"/>
      <c r="CO78" s="282" t="s">
        <v>122</v>
      </c>
      <c r="CP78" s="155"/>
      <c r="CQ78" s="131"/>
      <c r="CR78" s="131" t="s">
        <v>3965</v>
      </c>
      <c r="CS78" s="116" t="str">
        <f t="shared" si="9"/>
        <v>Pacci</v>
      </c>
      <c r="CT78" s="242"/>
      <c r="CU78" s="242"/>
      <c r="CV78" s="116" t="str">
        <f t="shared" si="10"/>
        <v>Cristian A</v>
      </c>
      <c r="CW78" s="207"/>
      <c r="CX78" s="729"/>
      <c r="CY78" s="937"/>
      <c r="CZ78" s="937"/>
      <c r="DA78" s="937"/>
      <c r="DB78" s="937"/>
      <c r="DC78" s="937"/>
    </row>
    <row r="79" spans="1:107" ht="30" customHeight="1">
      <c r="A79" s="228"/>
      <c r="B79" s="1237">
        <v>101404</v>
      </c>
      <c r="C79" s="244">
        <f t="shared" si="109"/>
        <v>9</v>
      </c>
      <c r="D79" s="244"/>
      <c r="E79" s="244"/>
      <c r="F79" s="244">
        <v>1</v>
      </c>
      <c r="G79" s="320" t="s">
        <v>141</v>
      </c>
      <c r="H79" s="320" t="s">
        <v>3969</v>
      </c>
      <c r="I79" s="294" t="s">
        <v>3970</v>
      </c>
      <c r="J79" s="207" t="str">
        <f t="shared" si="0"/>
        <v>Daniele Santarella</v>
      </c>
      <c r="K79" s="1275"/>
      <c r="L79" s="131"/>
      <c r="M79" s="131" t="s">
        <v>3971</v>
      </c>
      <c r="N79" s="131" t="str">
        <f t="shared" si="1"/>
        <v>Xstream</v>
      </c>
      <c r="O79" s="1258"/>
      <c r="P79" s="37"/>
      <c r="Q79" s="37"/>
      <c r="R79" s="131" t="s">
        <v>3962</v>
      </c>
      <c r="S79" s="160"/>
      <c r="T79" s="160"/>
      <c r="U79" s="160"/>
      <c r="V79" s="160"/>
      <c r="W79" s="233"/>
      <c r="X79" s="234"/>
      <c r="Y79" s="233"/>
      <c r="Z79" s="233"/>
      <c r="AA79" s="233"/>
      <c r="AB79" s="37"/>
      <c r="AC79" s="37"/>
      <c r="AD79" s="37" t="s">
        <v>3963</v>
      </c>
      <c r="AE79" s="112" t="s">
        <v>3972</v>
      </c>
      <c r="AF79" s="198"/>
      <c r="AG79" s="121"/>
      <c r="AH79" s="121"/>
      <c r="AI79" s="121"/>
      <c r="AJ79" s="198"/>
      <c r="AK79" s="121"/>
      <c r="AL79" s="121"/>
      <c r="AM79" s="121"/>
      <c r="AN79" s="198"/>
      <c r="AO79" s="155" t="s">
        <v>115</v>
      </c>
      <c r="AP79" s="155" t="s">
        <v>115</v>
      </c>
      <c r="AQ79" s="155"/>
      <c r="AR79" s="198"/>
      <c r="AS79" s="121"/>
      <c r="AT79" s="121"/>
      <c r="AU79" s="19" t="s">
        <v>115</v>
      </c>
      <c r="AV79" s="198"/>
      <c r="AW79" s="121"/>
      <c r="AX79" s="121"/>
      <c r="AY79" s="121"/>
      <c r="AZ79" s="808">
        <f t="shared" si="100"/>
        <v>2597</v>
      </c>
      <c r="BA79" s="761">
        <f t="shared" si="98"/>
        <v>2597</v>
      </c>
      <c r="BB79" s="761">
        <f t="shared" si="4"/>
        <v>0</v>
      </c>
      <c r="BC79" s="110">
        <f t="shared" si="110"/>
        <v>2597</v>
      </c>
      <c r="BD79" s="1230">
        <f t="shared" si="111"/>
        <v>0</v>
      </c>
      <c r="BE79" s="1231"/>
      <c r="BF79" s="317" t="s">
        <v>262</v>
      </c>
      <c r="BG79" s="98">
        <v>0.15</v>
      </c>
      <c r="BH79" s="110">
        <f t="shared" si="112"/>
        <v>389.55</v>
      </c>
      <c r="BI79" s="242"/>
      <c r="BJ79" s="1231"/>
      <c r="BK79" s="243" t="s">
        <v>968</v>
      </c>
      <c r="BL79" s="243" t="s">
        <v>184</v>
      </c>
      <c r="BM79" s="98">
        <v>0.1</v>
      </c>
      <c r="BN79" s="110">
        <f t="shared" si="113"/>
        <v>259.7</v>
      </c>
      <c r="BO79" s="242"/>
      <c r="BP79" s="1231"/>
      <c r="BQ79" s="243" t="s">
        <v>968</v>
      </c>
      <c r="BR79" s="110">
        <f t="shared" si="114"/>
        <v>649.25</v>
      </c>
      <c r="BS79" s="286">
        <v>44680</v>
      </c>
      <c r="BT79" s="110">
        <f t="shared" si="115"/>
        <v>649.25</v>
      </c>
      <c r="BU79" s="206"/>
      <c r="BV79" s="110">
        <f t="shared" si="116"/>
        <v>779.1</v>
      </c>
      <c r="BW79" s="286">
        <v>44692</v>
      </c>
      <c r="BX79" s="110">
        <f t="shared" si="117"/>
        <v>779.1</v>
      </c>
      <c r="BY79" s="206"/>
      <c r="BZ79" s="110">
        <f t="shared" si="118"/>
        <v>1168.6500000000001</v>
      </c>
      <c r="CA79" s="286">
        <v>44711</v>
      </c>
      <c r="CB79" s="110">
        <f t="shared" si="119"/>
        <v>1168.6500000000001</v>
      </c>
      <c r="CC79" s="206"/>
      <c r="CD79" s="206"/>
      <c r="CE79" s="206"/>
      <c r="CF79" s="206"/>
      <c r="CG79" s="206"/>
      <c r="CH79" s="206"/>
      <c r="CI79" s="206"/>
      <c r="CJ79" s="206"/>
      <c r="CK79" s="935" t="s">
        <v>2612</v>
      </c>
      <c r="CL79" s="181"/>
      <c r="CM79" s="246"/>
      <c r="CN79" s="247"/>
      <c r="CO79" s="282" t="s">
        <v>122</v>
      </c>
      <c r="CP79" s="155"/>
      <c r="CQ79" s="131" t="s">
        <v>1156</v>
      </c>
      <c r="CR79" s="131" t="s">
        <v>3965</v>
      </c>
      <c r="CS79" s="116" t="str">
        <f t="shared" si="9"/>
        <v>Pacci</v>
      </c>
      <c r="CT79" s="242"/>
      <c r="CU79" s="242"/>
      <c r="CV79" s="116" t="str">
        <f t="shared" si="10"/>
        <v>Cristian A</v>
      </c>
      <c r="CW79" s="207"/>
      <c r="CX79" s="729"/>
      <c r="CY79" s="729"/>
      <c r="CZ79" s="729"/>
      <c r="DA79" s="729"/>
      <c r="DB79" s="729"/>
      <c r="DC79" s="729"/>
    </row>
    <row r="80" spans="1:107" ht="30" customHeight="1">
      <c r="A80" s="228"/>
      <c r="B80" s="1237">
        <v>101404</v>
      </c>
      <c r="C80" s="244">
        <f t="shared" si="109"/>
        <v>10</v>
      </c>
      <c r="D80" s="244"/>
      <c r="E80" s="244"/>
      <c r="F80" s="244"/>
      <c r="G80" s="320" t="s">
        <v>3973</v>
      </c>
      <c r="H80" s="320" t="s">
        <v>3974</v>
      </c>
      <c r="I80" s="207" t="s">
        <v>3975</v>
      </c>
      <c r="J80" s="875" t="str">
        <f t="shared" si="0"/>
        <v>Simone  Lodi</v>
      </c>
      <c r="K80" s="1279">
        <v>3346931632</v>
      </c>
      <c r="L80" s="131"/>
      <c r="M80" s="131"/>
      <c r="N80" s="131" t="str">
        <f t="shared" si="1"/>
        <v>Xstream</v>
      </c>
      <c r="O80" s="1258"/>
      <c r="P80" s="37"/>
      <c r="Q80" s="37"/>
      <c r="R80" s="131" t="s">
        <v>3962</v>
      </c>
      <c r="S80" s="160"/>
      <c r="T80" s="160"/>
      <c r="U80" s="160"/>
      <c r="V80" s="160"/>
      <c r="W80" s="233"/>
      <c r="X80" s="234"/>
      <c r="Y80" s="233"/>
      <c r="Z80" s="233"/>
      <c r="AA80" s="233"/>
      <c r="AB80" s="37"/>
      <c r="AC80" s="37"/>
      <c r="AD80" s="37" t="s">
        <v>3976</v>
      </c>
      <c r="AE80" s="112" t="s">
        <v>3977</v>
      </c>
      <c r="AF80" s="198"/>
      <c r="AG80" s="121"/>
      <c r="AH80" s="121"/>
      <c r="AI80" s="121"/>
      <c r="AJ80" s="198"/>
      <c r="AK80" s="121"/>
      <c r="AL80" s="121"/>
      <c r="AM80" s="121"/>
      <c r="AN80" s="198"/>
      <c r="AO80" s="155" t="s">
        <v>115</v>
      </c>
      <c r="AP80" s="155" t="s">
        <v>115</v>
      </c>
      <c r="AQ80" s="155"/>
      <c r="AR80" s="198"/>
      <c r="AS80" s="121"/>
      <c r="AT80" s="121"/>
      <c r="AU80" s="154" t="s">
        <v>194</v>
      </c>
      <c r="AV80" s="198"/>
      <c r="AW80" s="121"/>
      <c r="AX80" s="121"/>
      <c r="AY80" s="121"/>
      <c r="AZ80" s="808">
        <f t="shared" si="100"/>
        <v>2597</v>
      </c>
      <c r="BA80" s="761">
        <f t="shared" si="98"/>
        <v>0</v>
      </c>
      <c r="BB80" s="761">
        <f t="shared" si="4"/>
        <v>2597</v>
      </c>
      <c r="BC80" s="1280"/>
      <c r="BD80" s="1230">
        <v>0</v>
      </c>
      <c r="BE80" s="1280">
        <v>2597</v>
      </c>
      <c r="BF80" s="317" t="s">
        <v>262</v>
      </c>
      <c r="BG80" s="98">
        <v>0.15</v>
      </c>
      <c r="BH80" s="110"/>
      <c r="BI80" s="242">
        <f t="shared" ref="BI80:BI84" si="120">BD80*BG80</f>
        <v>0</v>
      </c>
      <c r="BJ80" s="1231">
        <f t="shared" ref="BJ80:BJ84" si="121">BE80*BG80</f>
        <v>389.55</v>
      </c>
      <c r="BK80" s="243"/>
      <c r="BL80" s="243" t="s">
        <v>184</v>
      </c>
      <c r="BM80" s="98">
        <v>0.1</v>
      </c>
      <c r="BN80" s="110"/>
      <c r="BO80" s="242">
        <f t="shared" ref="BO80:BO84" si="122">BD80*BM80</f>
        <v>0</v>
      </c>
      <c r="BP80" s="1231">
        <f t="shared" ref="BP80:BP84" si="123">BE80*BM80</f>
        <v>259.7</v>
      </c>
      <c r="BQ80" s="243"/>
      <c r="BR80" s="110">
        <v>2597</v>
      </c>
      <c r="BS80" s="286">
        <v>44927</v>
      </c>
      <c r="BT80" s="301"/>
      <c r="BU80" s="206"/>
      <c r="BV80" s="110"/>
      <c r="BW80" s="286"/>
      <c r="BX80" s="206"/>
      <c r="BY80" s="206"/>
      <c r="BZ80" s="110"/>
      <c r="CA80" s="287"/>
      <c r="CB80" s="778"/>
      <c r="CC80" s="206"/>
      <c r="CD80" s="206"/>
      <c r="CE80" s="206"/>
      <c r="CF80" s="206"/>
      <c r="CG80" s="206"/>
      <c r="CH80" s="206"/>
      <c r="CI80" s="206"/>
      <c r="CJ80" s="206"/>
      <c r="CK80" s="935" t="s">
        <v>2612</v>
      </c>
      <c r="CL80" s="181"/>
      <c r="CM80" s="246"/>
      <c r="CN80" s="247"/>
      <c r="CO80" s="282" t="s">
        <v>122</v>
      </c>
      <c r="CP80" s="155"/>
      <c r="CQ80" s="131"/>
      <c r="CR80" s="131" t="s">
        <v>3965</v>
      </c>
      <c r="CS80" s="116" t="str">
        <f t="shared" si="9"/>
        <v>Pacci</v>
      </c>
      <c r="CT80" s="820" t="b">
        <f t="shared" ref="CT80:CT84" si="124">IF(OR(D80&gt;0,E80&gt;0,F80&gt;0),IF(BB80=0,BD80*BG80,0))</f>
        <v>0</v>
      </c>
      <c r="CU80" s="820" t="b">
        <f t="shared" ref="CU80:CU84" si="125">IF(OR(D80&gt;0,E80&gt;0,F80&gt;0),IF(BB80=0,BD80*BM80,0))</f>
        <v>0</v>
      </c>
      <c r="CV80" s="116" t="str">
        <f t="shared" si="10"/>
        <v>Cristian A</v>
      </c>
      <c r="CW80" s="207"/>
      <c r="CX80" s="729"/>
      <c r="CY80" s="729"/>
      <c r="CZ80" s="729"/>
      <c r="DA80" s="729"/>
      <c r="DB80" s="729"/>
      <c r="DC80" s="729"/>
    </row>
    <row r="81" spans="1:124" ht="51" customHeight="1">
      <c r="A81" s="228"/>
      <c r="B81" s="1237">
        <v>101408</v>
      </c>
      <c r="C81" s="244">
        <f t="shared" si="109"/>
        <v>11</v>
      </c>
      <c r="D81" s="244">
        <v>1</v>
      </c>
      <c r="E81" s="244">
        <v>1</v>
      </c>
      <c r="F81" s="244">
        <v>1</v>
      </c>
      <c r="G81" s="320" t="s">
        <v>188</v>
      </c>
      <c r="H81" s="812" t="s">
        <v>1690</v>
      </c>
      <c r="I81" s="1246" t="s">
        <v>3978</v>
      </c>
      <c r="J81" s="207" t="str">
        <f t="shared" si="0"/>
        <v>Andrea Nava</v>
      </c>
      <c r="K81" s="224"/>
      <c r="L81" s="160"/>
      <c r="M81" s="160" t="s">
        <v>1258</v>
      </c>
      <c r="N81" s="131" t="str">
        <f t="shared" si="1"/>
        <v>Transport Consulting</v>
      </c>
      <c r="O81" s="1258"/>
      <c r="P81" s="37"/>
      <c r="Q81" s="37"/>
      <c r="R81" s="131" t="s">
        <v>3979</v>
      </c>
      <c r="S81" s="160"/>
      <c r="T81" s="160"/>
      <c r="U81" s="160"/>
      <c r="V81" s="160"/>
      <c r="W81" s="233"/>
      <c r="X81" s="234"/>
      <c r="Y81" s="233"/>
      <c r="Z81" s="233"/>
      <c r="AA81" s="233"/>
      <c r="AB81" s="37"/>
      <c r="AC81" s="37"/>
      <c r="AD81" s="37" t="s">
        <v>3980</v>
      </c>
      <c r="AE81" s="112" t="s">
        <v>3981</v>
      </c>
      <c r="AF81" s="198"/>
      <c r="AG81" s="121"/>
      <c r="AH81" s="121"/>
      <c r="AI81" s="121"/>
      <c r="AJ81" s="198"/>
      <c r="AK81" s="121"/>
      <c r="AL81" s="121"/>
      <c r="AM81" s="121"/>
      <c r="AN81" s="198"/>
      <c r="AO81" s="331"/>
      <c r="AP81" s="155"/>
      <c r="AQ81" s="155"/>
      <c r="AR81" s="198"/>
      <c r="AS81" s="121" t="s">
        <v>115</v>
      </c>
      <c r="AT81" s="121" t="s">
        <v>115</v>
      </c>
      <c r="AU81" s="121" t="s">
        <v>115</v>
      </c>
      <c r="AV81" s="198"/>
      <c r="AW81" s="121"/>
      <c r="AX81" s="121"/>
      <c r="AY81" s="121"/>
      <c r="AZ81" s="808">
        <f t="shared" si="100"/>
        <v>2997</v>
      </c>
      <c r="BA81" s="761">
        <f t="shared" si="98"/>
        <v>2997</v>
      </c>
      <c r="BB81" s="761">
        <f t="shared" si="4"/>
        <v>0</v>
      </c>
      <c r="BC81" s="110"/>
      <c r="BD81" s="1230">
        <f t="shared" ref="BD81:BD83" si="126">AZ81-BC81</f>
        <v>2997</v>
      </c>
      <c r="BE81" s="1231"/>
      <c r="BF81" s="306" t="s">
        <v>1034</v>
      </c>
      <c r="BG81" s="98">
        <v>0.15</v>
      </c>
      <c r="BH81" s="110"/>
      <c r="BI81" s="242">
        <f t="shared" si="120"/>
        <v>449.55</v>
      </c>
      <c r="BJ81" s="1231">
        <f t="shared" si="121"/>
        <v>0</v>
      </c>
      <c r="BK81" s="243" t="s">
        <v>1205</v>
      </c>
      <c r="BL81" s="243" t="s">
        <v>525</v>
      </c>
      <c r="BM81" s="98">
        <v>0.1</v>
      </c>
      <c r="BN81" s="110"/>
      <c r="BO81" s="242">
        <f t="shared" si="122"/>
        <v>299.7</v>
      </c>
      <c r="BP81" s="1231">
        <f t="shared" si="123"/>
        <v>0</v>
      </c>
      <c r="BQ81" s="243" t="s">
        <v>1205</v>
      </c>
      <c r="BR81" s="110">
        <v>997</v>
      </c>
      <c r="BS81" s="286">
        <v>44846</v>
      </c>
      <c r="BT81" s="110">
        <v>997</v>
      </c>
      <c r="BU81" s="206"/>
      <c r="BV81" s="110">
        <v>1497</v>
      </c>
      <c r="BW81" s="287">
        <v>44865</v>
      </c>
      <c r="BX81" s="110">
        <v>1497</v>
      </c>
      <c r="BY81" s="206"/>
      <c r="BZ81" s="110">
        <f>2997-BR81-BV81</f>
        <v>503</v>
      </c>
      <c r="CA81" s="287">
        <v>44889</v>
      </c>
      <c r="CB81" s="110">
        <f>2997-BT81-BX81</f>
        <v>503</v>
      </c>
      <c r="CC81" s="206"/>
      <c r="CD81" s="206"/>
      <c r="CE81" s="206"/>
      <c r="CF81" s="206"/>
      <c r="CG81" s="206"/>
      <c r="CH81" s="206"/>
      <c r="CI81" s="206"/>
      <c r="CJ81" s="206"/>
      <c r="CK81" s="935" t="s">
        <v>154</v>
      </c>
      <c r="CL81" s="181"/>
      <c r="CM81" s="246"/>
      <c r="CN81" s="247"/>
      <c r="CO81" s="282" t="s">
        <v>122</v>
      </c>
      <c r="CP81" s="155"/>
      <c r="CQ81" s="131"/>
      <c r="CR81" s="131" t="s">
        <v>3982</v>
      </c>
      <c r="CS81" s="116" t="str">
        <f t="shared" si="9"/>
        <v>Mirco Gasparotto (OSA)</v>
      </c>
      <c r="CT81" s="820">
        <f t="shared" si="124"/>
        <v>449.55</v>
      </c>
      <c r="CU81" s="820">
        <f t="shared" si="125"/>
        <v>299.7</v>
      </c>
      <c r="CV81" s="116" t="str">
        <f t="shared" si="10"/>
        <v>Bruno</v>
      </c>
      <c r="CW81" s="207"/>
      <c r="CX81" s="729"/>
      <c r="CY81" s="729"/>
      <c r="CZ81" s="729"/>
      <c r="DA81" s="729"/>
      <c r="DB81" s="729"/>
      <c r="DC81" s="729"/>
    </row>
    <row r="82" spans="1:124" ht="30" customHeight="1">
      <c r="A82" s="228"/>
      <c r="B82" s="1237">
        <v>101408</v>
      </c>
      <c r="C82" s="244">
        <f t="shared" si="109"/>
        <v>12</v>
      </c>
      <c r="D82" s="244">
        <v>1</v>
      </c>
      <c r="E82" s="244">
        <v>1</v>
      </c>
      <c r="F82" s="244"/>
      <c r="G82" s="320" t="s">
        <v>1134</v>
      </c>
      <c r="H82" s="320" t="s">
        <v>3983</v>
      </c>
      <c r="I82" s="294" t="s">
        <v>3984</v>
      </c>
      <c r="J82" s="207" t="str">
        <f t="shared" si="0"/>
        <v>Massimo Bettin</v>
      </c>
      <c r="K82" s="224"/>
      <c r="L82" s="160"/>
      <c r="M82" s="160" t="s">
        <v>3985</v>
      </c>
      <c r="N82" s="131" t="str">
        <f t="shared" si="1"/>
        <v>Transport Consulting</v>
      </c>
      <c r="O82" s="1258"/>
      <c r="P82" s="37"/>
      <c r="Q82" s="37"/>
      <c r="R82" s="131" t="s">
        <v>3979</v>
      </c>
      <c r="S82" s="160"/>
      <c r="T82" s="160"/>
      <c r="U82" s="160"/>
      <c r="V82" s="160"/>
      <c r="W82" s="233"/>
      <c r="X82" s="234"/>
      <c r="Y82" s="233"/>
      <c r="Z82" s="233"/>
      <c r="AA82" s="233"/>
      <c r="AB82" s="37"/>
      <c r="AC82" s="37"/>
      <c r="AD82" s="37" t="s">
        <v>3986</v>
      </c>
      <c r="AE82" s="112" t="s">
        <v>3987</v>
      </c>
      <c r="AF82" s="198"/>
      <c r="AG82" s="121"/>
      <c r="AH82" s="121"/>
      <c r="AI82" s="121"/>
      <c r="AJ82" s="198"/>
      <c r="AK82" s="121"/>
      <c r="AL82" s="121"/>
      <c r="AM82" s="121"/>
      <c r="AN82" s="198"/>
      <c r="AO82" s="155"/>
      <c r="AP82" s="155"/>
      <c r="AQ82" s="155"/>
      <c r="AR82" s="198"/>
      <c r="AS82" s="121" t="s">
        <v>115</v>
      </c>
      <c r="AT82" s="121" t="s">
        <v>115</v>
      </c>
      <c r="AU82" s="121"/>
      <c r="AV82" s="198"/>
      <c r="AW82" s="121"/>
      <c r="AX82" s="121"/>
      <c r="AY82" s="121"/>
      <c r="AZ82" s="808">
        <f t="shared" si="100"/>
        <v>2494</v>
      </c>
      <c r="BA82" s="761">
        <f t="shared" si="98"/>
        <v>2494</v>
      </c>
      <c r="BB82" s="761">
        <f t="shared" si="4"/>
        <v>0</v>
      </c>
      <c r="BC82" s="110"/>
      <c r="BD82" s="1230">
        <f t="shared" si="126"/>
        <v>2494</v>
      </c>
      <c r="BE82" s="1231"/>
      <c r="BF82" s="306" t="s">
        <v>1034</v>
      </c>
      <c r="BG82" s="98">
        <v>0.15</v>
      </c>
      <c r="BH82" s="110"/>
      <c r="BI82" s="242">
        <f t="shared" si="120"/>
        <v>374.09999999999997</v>
      </c>
      <c r="BJ82" s="1231">
        <f t="shared" si="121"/>
        <v>0</v>
      </c>
      <c r="BK82" s="1281" t="s">
        <v>1205</v>
      </c>
      <c r="BL82" s="243" t="s">
        <v>525</v>
      </c>
      <c r="BM82" s="98">
        <v>0.1</v>
      </c>
      <c r="BN82" s="110"/>
      <c r="BO82" s="242">
        <f t="shared" si="122"/>
        <v>249.4</v>
      </c>
      <c r="BP82" s="1231">
        <f t="shared" si="123"/>
        <v>0</v>
      </c>
      <c r="BQ82" s="1282" t="s">
        <v>1205</v>
      </c>
      <c r="BR82" s="110">
        <v>997</v>
      </c>
      <c r="BS82" s="286">
        <v>44846</v>
      </c>
      <c r="BT82" s="110">
        <v>997</v>
      </c>
      <c r="BU82" s="206"/>
      <c r="BV82" s="110">
        <v>1497</v>
      </c>
      <c r="BW82" s="286">
        <v>44865</v>
      </c>
      <c r="BX82" s="110">
        <v>1497</v>
      </c>
      <c r="BY82" s="206"/>
      <c r="BZ82" s="110"/>
      <c r="CA82" s="286"/>
      <c r="CB82" s="778"/>
      <c r="CC82" s="206"/>
      <c r="CD82" s="206"/>
      <c r="CE82" s="206"/>
      <c r="CF82" s="206"/>
      <c r="CG82" s="206"/>
      <c r="CH82" s="206"/>
      <c r="CI82" s="206"/>
      <c r="CJ82" s="206"/>
      <c r="CK82" s="935" t="s">
        <v>154</v>
      </c>
      <c r="CL82" s="181"/>
      <c r="CM82" s="246"/>
      <c r="CN82" s="247"/>
      <c r="CO82" s="815" t="s">
        <v>215</v>
      </c>
      <c r="CP82" s="155"/>
      <c r="CQ82" s="131"/>
      <c r="CR82" s="131" t="s">
        <v>3982</v>
      </c>
      <c r="CS82" s="116" t="str">
        <f t="shared" si="9"/>
        <v>Mirco Gasparotto (OSA)</v>
      </c>
      <c r="CT82" s="820">
        <f t="shared" si="124"/>
        <v>374.09999999999997</v>
      </c>
      <c r="CU82" s="820">
        <f t="shared" si="125"/>
        <v>249.4</v>
      </c>
      <c r="CV82" s="116" t="str">
        <f t="shared" si="10"/>
        <v>Bruno</v>
      </c>
      <c r="CW82" s="207"/>
      <c r="CX82" s="729"/>
      <c r="CY82" s="729"/>
      <c r="CZ82" s="729"/>
      <c r="DA82" s="729"/>
      <c r="DB82" s="729"/>
      <c r="DC82" s="729"/>
    </row>
    <row r="83" spans="1:124" ht="30" customHeight="1">
      <c r="A83" s="228"/>
      <c r="B83" s="1237">
        <v>101408</v>
      </c>
      <c r="C83" s="244">
        <f t="shared" si="109"/>
        <v>13</v>
      </c>
      <c r="D83" s="244">
        <v>1</v>
      </c>
      <c r="E83" s="244">
        <v>1</v>
      </c>
      <c r="F83" s="244"/>
      <c r="G83" s="320" t="s">
        <v>2469</v>
      </c>
      <c r="H83" s="320" t="s">
        <v>3281</v>
      </c>
      <c r="I83" s="294" t="s">
        <v>3988</v>
      </c>
      <c r="J83" s="875" t="str">
        <f t="shared" si="0"/>
        <v>Anna Veronese</v>
      </c>
      <c r="K83" s="224"/>
      <c r="L83" s="160"/>
      <c r="M83" s="160" t="s">
        <v>3985</v>
      </c>
      <c r="N83" s="131" t="str">
        <f t="shared" si="1"/>
        <v>Transport Consulting</v>
      </c>
      <c r="O83" s="1258"/>
      <c r="P83" s="37"/>
      <c r="Q83" s="37"/>
      <c r="R83" s="131" t="s">
        <v>3979</v>
      </c>
      <c r="S83" s="160"/>
      <c r="T83" s="160"/>
      <c r="U83" s="160"/>
      <c r="V83" s="160"/>
      <c r="W83" s="233"/>
      <c r="X83" s="234"/>
      <c r="Y83" s="233"/>
      <c r="Z83" s="233"/>
      <c r="AA83" s="233"/>
      <c r="AB83" s="37"/>
      <c r="AC83" s="37"/>
      <c r="AD83" s="37" t="s">
        <v>3986</v>
      </c>
      <c r="AE83" s="112" t="s">
        <v>3987</v>
      </c>
      <c r="AF83" s="198"/>
      <c r="AG83" s="121"/>
      <c r="AH83" s="121"/>
      <c r="AI83" s="121"/>
      <c r="AJ83" s="198"/>
      <c r="AK83" s="121"/>
      <c r="AL83" s="121"/>
      <c r="AM83" s="121"/>
      <c r="AN83" s="198"/>
      <c r="AO83" s="155"/>
      <c r="AP83" s="155"/>
      <c r="AQ83" s="155"/>
      <c r="AR83" s="198"/>
      <c r="AS83" s="121" t="s">
        <v>115</v>
      </c>
      <c r="AT83" s="121" t="s">
        <v>115</v>
      </c>
      <c r="AU83" s="121"/>
      <c r="AV83" s="198"/>
      <c r="AW83" s="121"/>
      <c r="AX83" s="121"/>
      <c r="AY83" s="121"/>
      <c r="AZ83" s="808">
        <f t="shared" si="100"/>
        <v>2494</v>
      </c>
      <c r="BA83" s="761">
        <f t="shared" si="98"/>
        <v>2494</v>
      </c>
      <c r="BB83" s="761">
        <f t="shared" si="4"/>
        <v>0</v>
      </c>
      <c r="BC83" s="110"/>
      <c r="BD83" s="1230">
        <f t="shared" si="126"/>
        <v>2494</v>
      </c>
      <c r="BE83" s="1231"/>
      <c r="BF83" s="306" t="s">
        <v>1034</v>
      </c>
      <c r="BG83" s="98">
        <v>0.15</v>
      </c>
      <c r="BH83" s="110"/>
      <c r="BI83" s="242">
        <f t="shared" si="120"/>
        <v>374.09999999999997</v>
      </c>
      <c r="BJ83" s="1231">
        <f t="shared" si="121"/>
        <v>0</v>
      </c>
      <c r="BK83" s="1281" t="s">
        <v>1205</v>
      </c>
      <c r="BL83" s="243" t="s">
        <v>525</v>
      </c>
      <c r="BM83" s="98">
        <v>0.1</v>
      </c>
      <c r="BN83" s="110"/>
      <c r="BO83" s="242">
        <f t="shared" si="122"/>
        <v>249.4</v>
      </c>
      <c r="BP83" s="1231">
        <f t="shared" si="123"/>
        <v>0</v>
      </c>
      <c r="BQ83" s="1282" t="s">
        <v>1205</v>
      </c>
      <c r="BR83" s="110">
        <v>997</v>
      </c>
      <c r="BS83" s="286">
        <v>44846</v>
      </c>
      <c r="BT83" s="110">
        <v>997</v>
      </c>
      <c r="BU83" s="206"/>
      <c r="BV83" s="110">
        <v>1497</v>
      </c>
      <c r="BW83" s="286">
        <v>44865</v>
      </c>
      <c r="BX83" s="110">
        <v>1497</v>
      </c>
      <c r="BY83" s="206"/>
      <c r="BZ83" s="110"/>
      <c r="CA83" s="286"/>
      <c r="CB83" s="778"/>
      <c r="CC83" s="206"/>
      <c r="CD83" s="206"/>
      <c r="CE83" s="206"/>
      <c r="CF83" s="206"/>
      <c r="CG83" s="206"/>
      <c r="CH83" s="206"/>
      <c r="CI83" s="206"/>
      <c r="CJ83" s="206"/>
      <c r="CK83" s="935" t="s">
        <v>154</v>
      </c>
      <c r="CL83" s="181"/>
      <c r="CM83" s="246"/>
      <c r="CN83" s="247"/>
      <c r="CO83" s="815" t="s">
        <v>215</v>
      </c>
      <c r="CP83" s="155"/>
      <c r="CQ83" s="131"/>
      <c r="CR83" s="131" t="s">
        <v>3982</v>
      </c>
      <c r="CS83" s="116" t="str">
        <f t="shared" si="9"/>
        <v>Mirco Gasparotto (OSA)</v>
      </c>
      <c r="CT83" s="820">
        <f t="shared" si="124"/>
        <v>374.09999999999997</v>
      </c>
      <c r="CU83" s="820">
        <f t="shared" si="125"/>
        <v>249.4</v>
      </c>
      <c r="CV83" s="116" t="str">
        <f t="shared" si="10"/>
        <v>Bruno</v>
      </c>
      <c r="CW83" s="207"/>
      <c r="CX83" s="729"/>
      <c r="CY83" s="729"/>
      <c r="CZ83" s="729"/>
      <c r="DA83" s="729"/>
      <c r="DB83" s="729"/>
      <c r="DC83" s="729"/>
    </row>
    <row r="84" spans="1:124" ht="30" customHeight="1">
      <c r="A84" s="228"/>
      <c r="B84" s="155"/>
      <c r="C84" s="244">
        <f t="shared" si="109"/>
        <v>14</v>
      </c>
      <c r="D84" s="244"/>
      <c r="E84" s="244"/>
      <c r="F84" s="244"/>
      <c r="G84" s="320" t="s">
        <v>2588</v>
      </c>
      <c r="H84" s="812" t="s">
        <v>3989</v>
      </c>
      <c r="I84" s="207" t="s">
        <v>3990</v>
      </c>
      <c r="J84" s="207" t="str">
        <f t="shared" si="0"/>
        <v>Cesare Finazzi</v>
      </c>
      <c r="K84" s="224">
        <v>3465017997</v>
      </c>
      <c r="L84" s="160"/>
      <c r="M84" s="160"/>
      <c r="N84" s="131" t="str">
        <f t="shared" si="1"/>
        <v>Mesgo</v>
      </c>
      <c r="O84" s="1258"/>
      <c r="P84" s="37"/>
      <c r="Q84" s="37"/>
      <c r="R84" s="160" t="s">
        <v>3991</v>
      </c>
      <c r="S84" s="160"/>
      <c r="T84" s="160"/>
      <c r="U84" s="160"/>
      <c r="V84" s="160"/>
      <c r="W84" s="233"/>
      <c r="X84" s="234"/>
      <c r="Y84" s="233"/>
      <c r="Z84" s="233"/>
      <c r="AA84" s="233"/>
      <c r="AB84" s="37"/>
      <c r="AC84" s="37"/>
      <c r="AD84" s="37"/>
      <c r="AE84" s="112" t="s">
        <v>3992</v>
      </c>
      <c r="AF84" s="198"/>
      <c r="AG84" s="121"/>
      <c r="AH84" s="121"/>
      <c r="AI84" s="121"/>
      <c r="AJ84" s="198"/>
      <c r="AK84" s="121"/>
      <c r="AL84" s="121"/>
      <c r="AM84" s="121"/>
      <c r="AN84" s="198"/>
      <c r="AO84" s="155"/>
      <c r="AP84" s="155"/>
      <c r="AQ84" s="155"/>
      <c r="AR84" s="198"/>
      <c r="AS84" s="121"/>
      <c r="AT84" s="121"/>
      <c r="AU84" s="121"/>
      <c r="AV84" s="198"/>
      <c r="AW84" s="177" t="s">
        <v>151</v>
      </c>
      <c r="AX84" s="177" t="s">
        <v>151</v>
      </c>
      <c r="AY84" s="177" t="s">
        <v>151</v>
      </c>
      <c r="AZ84" s="808">
        <f t="shared" si="100"/>
        <v>3497</v>
      </c>
      <c r="BA84" s="761">
        <f t="shared" si="98"/>
        <v>0</v>
      </c>
      <c r="BB84" s="761">
        <f t="shared" si="4"/>
        <v>3497</v>
      </c>
      <c r="BC84" s="110">
        <f t="shared" ref="BC84:BC87" si="127">BA84</f>
        <v>0</v>
      </c>
      <c r="BD84" s="1283">
        <v>0</v>
      </c>
      <c r="BE84" s="1284">
        <v>3497</v>
      </c>
      <c r="BF84" s="285" t="s">
        <v>690</v>
      </c>
      <c r="BG84" s="98">
        <v>0.15</v>
      </c>
      <c r="BH84" s="110"/>
      <c r="BI84" s="242">
        <f t="shared" si="120"/>
        <v>0</v>
      </c>
      <c r="BJ84" s="1231">
        <f t="shared" si="121"/>
        <v>524.54999999999995</v>
      </c>
      <c r="BK84" s="243"/>
      <c r="BL84" s="243" t="s">
        <v>133</v>
      </c>
      <c r="BM84" s="98">
        <v>0.1</v>
      </c>
      <c r="BN84" s="110"/>
      <c r="BO84" s="242">
        <f t="shared" si="122"/>
        <v>0</v>
      </c>
      <c r="BP84" s="1231">
        <f t="shared" si="123"/>
        <v>349.70000000000005</v>
      </c>
      <c r="BQ84" s="1285"/>
      <c r="BR84" s="110">
        <v>3497</v>
      </c>
      <c r="BS84" s="226"/>
      <c r="BT84" s="110"/>
      <c r="BU84" s="263"/>
      <c r="BV84" s="263"/>
      <c r="BW84" s="263"/>
      <c r="BX84" s="263"/>
      <c r="BY84" s="263"/>
      <c r="BZ84" s="263"/>
      <c r="CA84" s="263"/>
      <c r="CB84" s="814"/>
      <c r="CC84" s="263"/>
      <c r="CD84" s="263"/>
      <c r="CE84" s="263"/>
      <c r="CF84" s="263"/>
      <c r="CG84" s="263"/>
      <c r="CH84" s="263"/>
      <c r="CI84" s="263"/>
      <c r="CJ84" s="263"/>
      <c r="CK84" s="245" t="s">
        <v>126</v>
      </c>
      <c r="CL84" s="181" t="s">
        <v>3993</v>
      </c>
      <c r="CM84" s="246"/>
      <c r="CN84" s="247"/>
      <c r="CO84" s="815" t="s">
        <v>215</v>
      </c>
      <c r="CP84" s="155"/>
      <c r="CQ84" s="131"/>
      <c r="CR84" s="131" t="s">
        <v>3994</v>
      </c>
      <c r="CS84" s="116" t="str">
        <f t="shared" si="9"/>
        <v>MAW</v>
      </c>
      <c r="CT84" s="820" t="b">
        <f t="shared" si="124"/>
        <v>0</v>
      </c>
      <c r="CU84" s="820" t="b">
        <f t="shared" si="125"/>
        <v>0</v>
      </c>
      <c r="CV84" s="116" t="str">
        <f t="shared" si="10"/>
        <v>Cristian B</v>
      </c>
      <c r="CW84" s="207"/>
      <c r="CX84" s="729"/>
      <c r="CY84" s="729"/>
      <c r="CZ84" s="729"/>
      <c r="DA84" s="729"/>
      <c r="DB84" s="729"/>
      <c r="DC84" s="729"/>
    </row>
    <row r="85" spans="1:124" ht="30" customHeight="1">
      <c r="A85" s="228"/>
      <c r="B85" s="155">
        <v>101420</v>
      </c>
      <c r="C85" s="244">
        <f t="shared" si="109"/>
        <v>15</v>
      </c>
      <c r="D85" s="244">
        <v>1</v>
      </c>
      <c r="E85" s="244"/>
      <c r="F85" s="244"/>
      <c r="G85" s="320" t="s">
        <v>3995</v>
      </c>
      <c r="H85" s="812" t="s">
        <v>3996</v>
      </c>
      <c r="I85" s="207" t="s">
        <v>3997</v>
      </c>
      <c r="J85" s="207" t="str">
        <f t="shared" si="0"/>
        <v>Isabella Calligaris</v>
      </c>
      <c r="K85" s="224"/>
      <c r="L85" s="1286" t="s">
        <v>3846</v>
      </c>
      <c r="M85" s="160"/>
      <c r="N85" s="131" t="str">
        <f t="shared" si="1"/>
        <v xml:space="preserve">Cooperjob </v>
      </c>
      <c r="O85" s="1258"/>
      <c r="P85" s="37"/>
      <c r="Q85" s="37"/>
      <c r="R85" s="131" t="s">
        <v>3998</v>
      </c>
      <c r="S85" s="160"/>
      <c r="T85" s="160"/>
      <c r="U85" s="160"/>
      <c r="V85" s="160"/>
      <c r="W85" s="233"/>
      <c r="X85" s="234"/>
      <c r="Y85" s="233"/>
      <c r="Z85" s="233"/>
      <c r="AA85" s="233"/>
      <c r="AB85" s="37"/>
      <c r="AC85" s="37"/>
      <c r="AD85" s="37" t="s">
        <v>3999</v>
      </c>
      <c r="AE85" s="181"/>
      <c r="AF85" s="198"/>
      <c r="AG85" s="121"/>
      <c r="AH85" s="121"/>
      <c r="AI85" s="121"/>
      <c r="AJ85" s="198"/>
      <c r="AK85" s="121"/>
      <c r="AL85" s="121"/>
      <c r="AM85" s="121"/>
      <c r="AN85" s="198"/>
      <c r="AO85" s="155"/>
      <c r="AP85" s="155" t="s">
        <v>115</v>
      </c>
      <c r="AQ85" s="155" t="s">
        <v>115</v>
      </c>
      <c r="AR85" s="198"/>
      <c r="AS85" s="19" t="s">
        <v>115</v>
      </c>
      <c r="AT85" s="121"/>
      <c r="AU85" s="121"/>
      <c r="AV85" s="198"/>
      <c r="AW85" s="121"/>
      <c r="AX85" s="121"/>
      <c r="AY85" s="121"/>
      <c r="AZ85" s="808">
        <f t="shared" si="100"/>
        <v>2797</v>
      </c>
      <c r="BA85" s="761">
        <f t="shared" si="98"/>
        <v>2797</v>
      </c>
      <c r="BB85" s="761">
        <f t="shared" si="4"/>
        <v>0</v>
      </c>
      <c r="BC85" s="110">
        <f t="shared" si="127"/>
        <v>2797</v>
      </c>
      <c r="BD85" s="1230">
        <f t="shared" ref="BD85:BD87" si="128">AZ85-BC85</f>
        <v>0</v>
      </c>
      <c r="BE85" s="1231"/>
      <c r="BF85" s="317" t="s">
        <v>262</v>
      </c>
      <c r="BG85" s="98">
        <v>0.15</v>
      </c>
      <c r="BH85" s="381">
        <f t="shared" ref="BH85:BH86" si="129">AZ85*BG85</f>
        <v>419.55</v>
      </c>
      <c r="BI85" s="242"/>
      <c r="BJ85" s="1231"/>
      <c r="BK85" s="243" t="s">
        <v>3735</v>
      </c>
      <c r="BL85" s="772" t="s">
        <v>262</v>
      </c>
      <c r="BM85" s="98">
        <v>0.1</v>
      </c>
      <c r="BN85" s="381">
        <f t="shared" ref="BN85:BN87" si="130">AZ85*BM85</f>
        <v>279.7</v>
      </c>
      <c r="BO85" s="242"/>
      <c r="BP85" s="1231"/>
      <c r="BQ85" s="243" t="s">
        <v>3735</v>
      </c>
      <c r="BR85" s="110">
        <v>2797</v>
      </c>
      <c r="BS85" s="226">
        <v>44697</v>
      </c>
      <c r="BT85" s="110">
        <v>2797</v>
      </c>
      <c r="BU85" s="263"/>
      <c r="BV85" s="263"/>
      <c r="BW85" s="263"/>
      <c r="BX85" s="263"/>
      <c r="BY85" s="263"/>
      <c r="BZ85" s="263"/>
      <c r="CA85" s="263"/>
      <c r="CB85" s="814"/>
      <c r="CC85" s="263"/>
      <c r="CD85" s="263"/>
      <c r="CE85" s="263"/>
      <c r="CF85" s="263"/>
      <c r="CG85" s="263"/>
      <c r="CH85" s="263"/>
      <c r="CI85" s="263"/>
      <c r="CJ85" s="263"/>
      <c r="CK85" s="245" t="s">
        <v>126</v>
      </c>
      <c r="CL85" s="181"/>
      <c r="CM85" s="246"/>
      <c r="CN85" s="247"/>
      <c r="CO85" s="282" t="s">
        <v>122</v>
      </c>
      <c r="CP85" s="155"/>
      <c r="CQ85" s="131"/>
      <c r="CR85" s="131" t="s">
        <v>946</v>
      </c>
      <c r="CS85" s="116" t="str">
        <f t="shared" si="9"/>
        <v>Pacci</v>
      </c>
      <c r="CT85" s="242"/>
      <c r="CU85" s="242"/>
      <c r="CV85" s="116" t="str">
        <f t="shared" si="10"/>
        <v>Pacci</v>
      </c>
      <c r="CW85" s="207"/>
      <c r="CX85" s="729"/>
      <c r="CY85" s="729"/>
      <c r="CZ85" s="729"/>
      <c r="DA85" s="729"/>
      <c r="DB85" s="729"/>
      <c r="DC85" s="729"/>
    </row>
    <row r="86" spans="1:124" ht="30" customHeight="1">
      <c r="A86" s="228"/>
      <c r="B86" s="155">
        <v>101420</v>
      </c>
      <c r="C86" s="244">
        <f t="shared" si="109"/>
        <v>16</v>
      </c>
      <c r="D86" s="244"/>
      <c r="E86" s="244">
        <v>1</v>
      </c>
      <c r="F86" s="244"/>
      <c r="G86" s="320" t="s">
        <v>4000</v>
      </c>
      <c r="H86" s="812" t="s">
        <v>2004</v>
      </c>
      <c r="I86" s="1246" t="s">
        <v>4001</v>
      </c>
      <c r="J86" s="207" t="str">
        <f t="shared" si="0"/>
        <v>Nadia  Mazzocchi</v>
      </c>
      <c r="K86" s="224">
        <v>3931914182</v>
      </c>
      <c r="L86" s="160"/>
      <c r="M86" s="160"/>
      <c r="N86" s="131" t="str">
        <f t="shared" si="1"/>
        <v xml:space="preserve">Cooperjob </v>
      </c>
      <c r="O86" s="1258"/>
      <c r="P86" s="37"/>
      <c r="Q86" s="37"/>
      <c r="R86" s="131" t="s">
        <v>3998</v>
      </c>
      <c r="S86" s="160"/>
      <c r="T86" s="160"/>
      <c r="U86" s="160"/>
      <c r="V86" s="160"/>
      <c r="W86" s="233"/>
      <c r="X86" s="234"/>
      <c r="Y86" s="233"/>
      <c r="Z86" s="233"/>
      <c r="AA86" s="233"/>
      <c r="AB86" s="37"/>
      <c r="AC86" s="37"/>
      <c r="AD86" s="37" t="s">
        <v>3999</v>
      </c>
      <c r="AE86" s="181"/>
      <c r="AF86" s="198"/>
      <c r="AG86" s="121"/>
      <c r="AH86" s="121"/>
      <c r="AI86" s="121"/>
      <c r="AJ86" s="198"/>
      <c r="AK86" s="121"/>
      <c r="AL86" s="121"/>
      <c r="AM86" s="121"/>
      <c r="AN86" s="198"/>
      <c r="AO86" s="155" t="s">
        <v>115</v>
      </c>
      <c r="AP86" s="155"/>
      <c r="AQ86" s="155"/>
      <c r="AR86" s="198"/>
      <c r="AS86" s="121"/>
      <c r="AT86" s="19" t="s">
        <v>115</v>
      </c>
      <c r="AU86" s="154" t="s">
        <v>194</v>
      </c>
      <c r="AV86" s="198"/>
      <c r="AW86" s="121"/>
      <c r="AX86" s="121"/>
      <c r="AY86" s="121" t="s">
        <v>115</v>
      </c>
      <c r="AZ86" s="808">
        <f t="shared" si="100"/>
        <v>2797</v>
      </c>
      <c r="BA86" s="761">
        <f t="shared" si="98"/>
        <v>2797</v>
      </c>
      <c r="BB86" s="761">
        <f t="shared" si="4"/>
        <v>0</v>
      </c>
      <c r="BC86" s="110">
        <f t="shared" si="127"/>
        <v>2797</v>
      </c>
      <c r="BD86" s="1230">
        <f t="shared" si="128"/>
        <v>0</v>
      </c>
      <c r="BE86" s="1231"/>
      <c r="BF86" s="317" t="s">
        <v>262</v>
      </c>
      <c r="BG86" s="98">
        <v>0.15</v>
      </c>
      <c r="BH86" s="110">
        <f t="shared" si="129"/>
        <v>419.55</v>
      </c>
      <c r="BI86" s="242"/>
      <c r="BJ86" s="1231"/>
      <c r="BK86" s="243" t="s">
        <v>968</v>
      </c>
      <c r="BL86" s="772" t="s">
        <v>262</v>
      </c>
      <c r="BM86" s="98">
        <v>0.1</v>
      </c>
      <c r="BN86" s="110">
        <f t="shared" si="130"/>
        <v>279.7</v>
      </c>
      <c r="BO86" s="242"/>
      <c r="BP86" s="1231"/>
      <c r="BQ86" s="243" t="s">
        <v>968</v>
      </c>
      <c r="BR86" s="110">
        <v>2797</v>
      </c>
      <c r="BS86" s="226">
        <v>44697</v>
      </c>
      <c r="BT86" s="110">
        <v>2797</v>
      </c>
      <c r="BU86" s="263"/>
      <c r="BV86" s="263"/>
      <c r="BW86" s="263"/>
      <c r="BX86" s="263"/>
      <c r="BY86" s="263"/>
      <c r="BZ86" s="263"/>
      <c r="CA86" s="263"/>
      <c r="CB86" s="814"/>
      <c r="CC86" s="263"/>
      <c r="CD86" s="263"/>
      <c r="CE86" s="263"/>
      <c r="CF86" s="263"/>
      <c r="CG86" s="263"/>
      <c r="CH86" s="263"/>
      <c r="CI86" s="263"/>
      <c r="CJ86" s="263"/>
      <c r="CK86" s="245" t="s">
        <v>126</v>
      </c>
      <c r="CL86" s="181"/>
      <c r="CM86" s="246"/>
      <c r="CN86" s="247"/>
      <c r="CO86" s="282" t="s">
        <v>122</v>
      </c>
      <c r="CP86" s="155"/>
      <c r="CQ86" s="131"/>
      <c r="CR86" s="131" t="s">
        <v>946</v>
      </c>
      <c r="CS86" s="116" t="str">
        <f t="shared" si="9"/>
        <v>Pacci</v>
      </c>
      <c r="CT86" s="242"/>
      <c r="CU86" s="242"/>
      <c r="CV86" s="116" t="str">
        <f t="shared" si="10"/>
        <v>Pacci</v>
      </c>
      <c r="CW86" s="207"/>
      <c r="CX86" s="729"/>
      <c r="CY86" s="729"/>
      <c r="CZ86" s="729"/>
      <c r="DA86" s="729"/>
      <c r="DB86" s="729"/>
      <c r="DC86" s="729"/>
    </row>
    <row r="87" spans="1:124" ht="30" customHeight="1">
      <c r="A87" s="228"/>
      <c r="B87" s="1237"/>
      <c r="C87" s="244">
        <f t="shared" si="109"/>
        <v>17</v>
      </c>
      <c r="D87" s="244"/>
      <c r="E87" s="244">
        <v>1</v>
      </c>
      <c r="F87" s="244"/>
      <c r="G87" s="320" t="s">
        <v>4002</v>
      </c>
      <c r="H87" s="812" t="s">
        <v>4003</v>
      </c>
      <c r="I87" s="207" t="s">
        <v>4004</v>
      </c>
      <c r="J87" s="207" t="str">
        <f t="shared" si="0"/>
        <v>Amedeo Bellacicco</v>
      </c>
      <c r="K87" s="224">
        <v>3505040055</v>
      </c>
      <c r="L87" s="131"/>
      <c r="M87" s="131"/>
      <c r="N87" s="131" t="str">
        <f t="shared" si="1"/>
        <v>Wisee</v>
      </c>
      <c r="O87" s="1277"/>
      <c r="P87" s="131"/>
      <c r="Q87" s="131"/>
      <c r="R87" s="251" t="s">
        <v>4005</v>
      </c>
      <c r="S87" s="254"/>
      <c r="T87" s="254"/>
      <c r="U87" s="254"/>
      <c r="V87" s="254"/>
      <c r="W87" s="131"/>
      <c r="X87" s="131"/>
      <c r="Y87" s="131"/>
      <c r="Z87" s="131"/>
      <c r="AA87" s="131"/>
      <c r="AB87" s="255"/>
      <c r="AC87" s="256"/>
      <c r="AD87" s="121" t="s">
        <v>4006</v>
      </c>
      <c r="AE87" s="113"/>
      <c r="AF87" s="198"/>
      <c r="AG87" s="155"/>
      <c r="AH87" s="155"/>
      <c r="AI87" s="155"/>
      <c r="AJ87" s="198"/>
      <c r="AK87" s="155"/>
      <c r="AL87" s="155"/>
      <c r="AM87" s="155"/>
      <c r="AN87" s="198"/>
      <c r="AO87" s="155" t="s">
        <v>115</v>
      </c>
      <c r="AP87" s="155"/>
      <c r="AQ87" s="155" t="s">
        <v>115</v>
      </c>
      <c r="AR87" s="198"/>
      <c r="AS87" s="121"/>
      <c r="AT87" s="19" t="s">
        <v>115</v>
      </c>
      <c r="AU87" s="121"/>
      <c r="AV87" s="198"/>
      <c r="AW87" s="121"/>
      <c r="AX87" s="121"/>
      <c r="AY87" s="121"/>
      <c r="AZ87" s="808">
        <f t="shared" si="100"/>
        <v>2997</v>
      </c>
      <c r="BA87" s="761">
        <f t="shared" si="98"/>
        <v>2997</v>
      </c>
      <c r="BB87" s="761">
        <f t="shared" si="4"/>
        <v>0</v>
      </c>
      <c r="BC87" s="110">
        <f t="shared" si="127"/>
        <v>2997</v>
      </c>
      <c r="BD87" s="1230">
        <f t="shared" si="128"/>
        <v>0</v>
      </c>
      <c r="BE87" s="1231"/>
      <c r="BF87" s="285" t="s">
        <v>4007</v>
      </c>
      <c r="BG87" s="98">
        <v>0.15</v>
      </c>
      <c r="BH87" s="110">
        <f>BA87*BG87</f>
        <v>449.55</v>
      </c>
      <c r="BI87" s="242"/>
      <c r="BJ87" s="1231"/>
      <c r="BK87" s="243" t="s">
        <v>968</v>
      </c>
      <c r="BL87" s="243" t="s">
        <v>166</v>
      </c>
      <c r="BM87" s="98">
        <v>0.1</v>
      </c>
      <c r="BN87" s="110">
        <f t="shared" si="130"/>
        <v>299.7</v>
      </c>
      <c r="BO87" s="242"/>
      <c r="BP87" s="1231"/>
      <c r="BQ87" s="243" t="s">
        <v>968</v>
      </c>
      <c r="BR87" s="110">
        <v>2997</v>
      </c>
      <c r="BS87" s="226">
        <v>44684</v>
      </c>
      <c r="BT87" s="110">
        <v>2997</v>
      </c>
      <c r="BU87" s="263"/>
      <c r="BV87" s="110"/>
      <c r="BW87" s="226"/>
      <c r="BX87" s="110"/>
      <c r="BY87" s="263"/>
      <c r="BZ87" s="110"/>
      <c r="CA87" s="226"/>
      <c r="CB87" s="349"/>
      <c r="CC87" s="263"/>
      <c r="CD87" s="110"/>
      <c r="CE87" s="226"/>
      <c r="CF87" s="110"/>
      <c r="CG87" s="263"/>
      <c r="CH87" s="110"/>
      <c r="CI87" s="226"/>
      <c r="CJ87" s="110"/>
      <c r="CK87" s="245" t="s">
        <v>2612</v>
      </c>
      <c r="CL87" s="181" t="s">
        <v>2311</v>
      </c>
      <c r="CM87" s="246"/>
      <c r="CN87" s="247"/>
      <c r="CO87" s="282" t="s">
        <v>122</v>
      </c>
      <c r="CP87" s="155">
        <v>1</v>
      </c>
      <c r="CQ87" s="131"/>
      <c r="CR87" s="131" t="s">
        <v>4008</v>
      </c>
      <c r="CS87" s="116" t="str">
        <f t="shared" si="9"/>
        <v>Fabio 7,5% - Matteo 7,5%</v>
      </c>
      <c r="CT87" s="242"/>
      <c r="CU87" s="242"/>
      <c r="CV87" s="116" t="str">
        <f t="shared" si="10"/>
        <v>Matteo</v>
      </c>
      <c r="CW87" s="121" t="s">
        <v>4009</v>
      </c>
      <c r="CX87" s="779"/>
      <c r="CY87" s="729"/>
      <c r="CZ87" s="729"/>
      <c r="DA87" s="729"/>
      <c r="DB87" s="729"/>
      <c r="DC87" s="729"/>
    </row>
    <row r="88" spans="1:124" ht="30" customHeight="1">
      <c r="A88" s="228"/>
      <c r="B88" s="155"/>
      <c r="C88" s="244">
        <f t="shared" si="109"/>
        <v>18</v>
      </c>
      <c r="D88" s="244"/>
      <c r="E88" s="244"/>
      <c r="F88" s="244"/>
      <c r="G88" s="320" t="s">
        <v>1091</v>
      </c>
      <c r="H88" s="812" t="s">
        <v>1092</v>
      </c>
      <c r="I88" s="207" t="s">
        <v>1093</v>
      </c>
      <c r="J88" s="207" t="str">
        <f t="shared" si="0"/>
        <v>Claudio  Marino</v>
      </c>
      <c r="K88" s="224"/>
      <c r="L88" s="131"/>
      <c r="M88" s="289"/>
      <c r="N88" s="131" t="str">
        <f t="shared" si="1"/>
        <v>Maior Group</v>
      </c>
      <c r="O88" s="1287"/>
      <c r="P88" s="328"/>
      <c r="Q88" s="328"/>
      <c r="R88" s="289" t="s">
        <v>1096</v>
      </c>
      <c r="S88" s="296"/>
      <c r="T88" s="296"/>
      <c r="U88" s="296"/>
      <c r="V88" s="296"/>
      <c r="W88" s="329"/>
      <c r="X88" s="330"/>
      <c r="Y88" s="329"/>
      <c r="Z88" s="329"/>
      <c r="AA88" s="329"/>
      <c r="AB88" s="255"/>
      <c r="AC88" s="256"/>
      <c r="AD88" s="255"/>
      <c r="AE88" s="207" t="s">
        <v>1094</v>
      </c>
      <c r="AF88" s="321"/>
      <c r="AG88" s="155"/>
      <c r="AH88" s="155"/>
      <c r="AI88" s="155"/>
      <c r="AJ88" s="321"/>
      <c r="AK88" s="155"/>
      <c r="AL88" s="155"/>
      <c r="AM88" s="155"/>
      <c r="AN88" s="321"/>
      <c r="AO88" s="265"/>
      <c r="AP88" s="155"/>
      <c r="AQ88" s="155"/>
      <c r="AR88" s="321"/>
      <c r="AS88" s="124"/>
      <c r="AT88" s="124"/>
      <c r="AU88" s="124"/>
      <c r="AV88" s="321"/>
      <c r="AW88" s="121" t="s">
        <v>27</v>
      </c>
      <c r="AX88" s="121" t="s">
        <v>27</v>
      </c>
      <c r="AY88" s="121" t="s">
        <v>27</v>
      </c>
      <c r="AZ88" s="808">
        <f t="shared" si="100"/>
        <v>3497</v>
      </c>
      <c r="BA88" s="761">
        <f t="shared" si="98"/>
        <v>0</v>
      </c>
      <c r="BB88" s="761">
        <f t="shared" si="4"/>
        <v>3497</v>
      </c>
      <c r="BC88" s="335"/>
      <c r="BD88" s="1230"/>
      <c r="BE88" s="1231">
        <v>3497</v>
      </c>
      <c r="BF88" s="306" t="s">
        <v>1034</v>
      </c>
      <c r="BG88" s="98">
        <v>0.15</v>
      </c>
      <c r="BH88" s="335"/>
      <c r="BI88" s="242">
        <f t="shared" ref="BI88:BI89" si="131">BD88*BG88</f>
        <v>0</v>
      </c>
      <c r="BJ88" s="1231">
        <f t="shared" ref="BJ88:BJ89" si="132">BE88*BG88</f>
        <v>524.54999999999995</v>
      </c>
      <c r="BK88" s="243"/>
      <c r="BL88" s="243" t="s">
        <v>525</v>
      </c>
      <c r="BM88" s="98">
        <v>0.1</v>
      </c>
      <c r="BN88" s="335"/>
      <c r="BO88" s="242">
        <f t="shared" ref="BO88:BO239" si="133">BD88*BM88</f>
        <v>0</v>
      </c>
      <c r="BP88" s="1231">
        <f t="shared" ref="BP88:BP195" si="134">BE88*BM88</f>
        <v>349.70000000000005</v>
      </c>
      <c r="BQ88" s="1285"/>
      <c r="BR88" s="110">
        <v>1300</v>
      </c>
      <c r="BS88" s="337">
        <v>45053</v>
      </c>
      <c r="BT88" s="338"/>
      <c r="BU88" s="338"/>
      <c r="BV88" s="110">
        <v>1300</v>
      </c>
      <c r="BW88" s="226">
        <v>45078</v>
      </c>
      <c r="BX88" s="110"/>
      <c r="BY88" s="338"/>
      <c r="BZ88" s="110">
        <v>897</v>
      </c>
      <c r="CA88" s="287">
        <v>45100</v>
      </c>
      <c r="CB88" s="605"/>
      <c r="CC88" s="338"/>
      <c r="CD88" s="110"/>
      <c r="CE88" s="337"/>
      <c r="CF88" s="338"/>
      <c r="CG88" s="338"/>
      <c r="CH88" s="110"/>
      <c r="CI88" s="226"/>
      <c r="CJ88" s="338"/>
      <c r="CK88" s="245"/>
      <c r="CL88" s="181"/>
      <c r="CM88" s="246"/>
      <c r="CN88" s="247"/>
      <c r="CO88" s="815" t="s">
        <v>215</v>
      </c>
      <c r="CP88" s="155"/>
      <c r="CQ88" s="289"/>
      <c r="CR88" s="289" t="s">
        <v>1095</v>
      </c>
      <c r="CS88" s="116" t="str">
        <f t="shared" si="9"/>
        <v>Mirco Gasparotto (OSA)</v>
      </c>
      <c r="CT88" s="820" t="b">
        <f t="shared" ref="CT88:CT89" si="135">IF(OR(D88&gt;0,E88&gt;0,F88&gt;0),IF(BB88=0,BD88*BG88,0))</f>
        <v>0</v>
      </c>
      <c r="CU88" s="820" t="b">
        <f t="shared" ref="CU88:CU89" si="136">IF(OR(D88&gt;0,E88&gt;0,F88&gt;0),IF(BB88=0,BD88*BM88,0))</f>
        <v>0</v>
      </c>
      <c r="CV88" s="116" t="str">
        <f t="shared" si="10"/>
        <v>Bruno</v>
      </c>
      <c r="CW88" s="207"/>
      <c r="CX88" s="729"/>
      <c r="CY88" s="729"/>
      <c r="CZ88" s="729"/>
      <c r="DA88" s="729"/>
      <c r="DB88" s="729"/>
      <c r="DC88" s="729"/>
    </row>
    <row r="89" spans="1:124" ht="30" customHeight="1">
      <c r="A89" s="228"/>
      <c r="B89" s="155">
        <v>101431</v>
      </c>
      <c r="C89" s="244">
        <f t="shared" si="109"/>
        <v>19</v>
      </c>
      <c r="D89" s="757"/>
      <c r="E89" s="757"/>
      <c r="F89" s="757"/>
      <c r="G89" s="320" t="s">
        <v>1128</v>
      </c>
      <c r="H89" s="812" t="s">
        <v>1098</v>
      </c>
      <c r="I89" s="294" t="s">
        <v>1099</v>
      </c>
      <c r="J89" s="207" t="str">
        <f t="shared" si="0"/>
        <v>Andrea  Andrigo</v>
      </c>
      <c r="K89" s="224">
        <v>3913427217</v>
      </c>
      <c r="L89" s="131"/>
      <c r="M89" s="289"/>
      <c r="N89" s="131" t="str">
        <f t="shared" si="1"/>
        <v>Maior Group</v>
      </c>
      <c r="O89" s="1287"/>
      <c r="P89" s="328"/>
      <c r="Q89" s="1288"/>
      <c r="R89" s="835" t="s">
        <v>1096</v>
      </c>
      <c r="S89" s="1289"/>
      <c r="T89" s="296"/>
      <c r="U89" s="296"/>
      <c r="V89" s="296"/>
      <c r="W89" s="329"/>
      <c r="X89" s="330"/>
      <c r="Y89" s="329"/>
      <c r="Z89" s="329"/>
      <c r="AA89" s="329"/>
      <c r="AB89" s="255"/>
      <c r="AC89" s="256"/>
      <c r="AD89" s="121" t="s">
        <v>4010</v>
      </c>
      <c r="AE89" s="207" t="s">
        <v>1094</v>
      </c>
      <c r="AF89" s="321"/>
      <c r="AG89" s="155"/>
      <c r="AH89" s="155"/>
      <c r="AI89" s="155"/>
      <c r="AJ89" s="321"/>
      <c r="AK89" s="155"/>
      <c r="AL89" s="155"/>
      <c r="AM89" s="155"/>
      <c r="AN89" s="321"/>
      <c r="AO89" s="155" t="s">
        <v>115</v>
      </c>
      <c r="AP89" s="155" t="s">
        <v>115</v>
      </c>
      <c r="AQ89" s="155"/>
      <c r="AR89" s="321"/>
      <c r="AS89" s="121"/>
      <c r="AT89" s="121"/>
      <c r="AU89" s="124"/>
      <c r="AV89" s="321"/>
      <c r="AW89" s="121"/>
      <c r="AX89" s="121"/>
      <c r="AY89" s="121" t="s">
        <v>27</v>
      </c>
      <c r="AZ89" s="808">
        <f t="shared" si="100"/>
        <v>3497</v>
      </c>
      <c r="BA89" s="761">
        <f t="shared" si="98"/>
        <v>2600</v>
      </c>
      <c r="BB89" s="761">
        <f t="shared" si="4"/>
        <v>897</v>
      </c>
      <c r="BC89" s="335"/>
      <c r="BD89" s="1230"/>
      <c r="BE89" s="1231">
        <v>3497</v>
      </c>
      <c r="BF89" s="305" t="s">
        <v>1034</v>
      </c>
      <c r="BG89" s="145">
        <v>0.15</v>
      </c>
      <c r="BH89" s="335"/>
      <c r="BI89" s="242">
        <f t="shared" si="131"/>
        <v>0</v>
      </c>
      <c r="BJ89" s="1231">
        <f t="shared" si="132"/>
        <v>524.54999999999995</v>
      </c>
      <c r="BK89" s="243"/>
      <c r="BL89" s="243" t="s">
        <v>525</v>
      </c>
      <c r="BM89" s="98">
        <v>0.1</v>
      </c>
      <c r="BN89" s="335"/>
      <c r="BO89" s="242">
        <f t="shared" si="133"/>
        <v>0</v>
      </c>
      <c r="BP89" s="1231">
        <f t="shared" si="134"/>
        <v>349.70000000000005</v>
      </c>
      <c r="BQ89" s="1285"/>
      <c r="BR89" s="110">
        <v>1300</v>
      </c>
      <c r="BS89" s="286">
        <v>44694</v>
      </c>
      <c r="BT89" s="110">
        <v>1300</v>
      </c>
      <c r="BU89" s="338"/>
      <c r="BV89" s="110">
        <v>1300</v>
      </c>
      <c r="BW89" s="226">
        <v>44718</v>
      </c>
      <c r="BX89" s="110">
        <v>1300</v>
      </c>
      <c r="BY89" s="338"/>
      <c r="BZ89" s="110">
        <v>897</v>
      </c>
      <c r="CA89" s="287">
        <v>45100</v>
      </c>
      <c r="CB89" s="605"/>
      <c r="CC89" s="338"/>
      <c r="CD89" s="338"/>
      <c r="CE89" s="338"/>
      <c r="CF89" s="338"/>
      <c r="CG89" s="338"/>
      <c r="CH89" s="338"/>
      <c r="CI89" s="338"/>
      <c r="CJ89" s="338"/>
      <c r="CK89" s="245"/>
      <c r="CL89" s="181"/>
      <c r="CM89" s="246"/>
      <c r="CN89" s="247"/>
      <c r="CO89" s="282" t="s">
        <v>122</v>
      </c>
      <c r="CP89" s="155"/>
      <c r="CQ89" s="289"/>
      <c r="CR89" s="289" t="s">
        <v>1095</v>
      </c>
      <c r="CS89" s="116" t="str">
        <f t="shared" si="9"/>
        <v>Mirco Gasparotto (OSA)</v>
      </c>
      <c r="CT89" s="820" t="b">
        <f t="shared" si="135"/>
        <v>0</v>
      </c>
      <c r="CU89" s="820" t="b">
        <f t="shared" si="136"/>
        <v>0</v>
      </c>
      <c r="CV89" s="116" t="str">
        <f t="shared" si="10"/>
        <v>Bruno</v>
      </c>
      <c r="CW89" s="207"/>
      <c r="CX89" s="729"/>
      <c r="CY89" s="729"/>
      <c r="CZ89" s="729"/>
      <c r="DA89" s="729"/>
      <c r="DB89" s="729"/>
      <c r="DC89" s="729"/>
    </row>
    <row r="90" spans="1:124" ht="30" customHeight="1">
      <c r="A90" s="228"/>
      <c r="B90" s="1237">
        <v>101429</v>
      </c>
      <c r="C90" s="244">
        <f t="shared" si="109"/>
        <v>20</v>
      </c>
      <c r="D90" s="244"/>
      <c r="E90" s="244">
        <v>1</v>
      </c>
      <c r="F90" s="244"/>
      <c r="G90" s="320" t="s">
        <v>3959</v>
      </c>
      <c r="H90" s="812" t="s">
        <v>4011</v>
      </c>
      <c r="I90" s="294" t="s">
        <v>4012</v>
      </c>
      <c r="J90" s="207" t="str">
        <f t="shared" si="0"/>
        <v>Fabio  Verga</v>
      </c>
      <c r="K90" s="224" t="s">
        <v>4013</v>
      </c>
      <c r="L90" s="131"/>
      <c r="M90" s="131"/>
      <c r="N90" s="131" t="str">
        <f t="shared" si="1"/>
        <v>Gotaway</v>
      </c>
      <c r="O90" s="1287"/>
      <c r="P90" s="251"/>
      <c r="Q90" s="131"/>
      <c r="R90" s="131" t="s">
        <v>4014</v>
      </c>
      <c r="S90" s="254"/>
      <c r="T90" s="346"/>
      <c r="U90" s="253"/>
      <c r="V90" s="253"/>
      <c r="W90" s="251"/>
      <c r="X90" s="131"/>
      <c r="Y90" s="251"/>
      <c r="Z90" s="251"/>
      <c r="AA90" s="251"/>
      <c r="AB90" s="255"/>
      <c r="AC90" s="256"/>
      <c r="AD90" s="121" t="s">
        <v>4015</v>
      </c>
      <c r="AE90" s="207"/>
      <c r="AF90" s="211"/>
      <c r="AG90" s="155"/>
      <c r="AH90" s="155"/>
      <c r="AI90" s="155"/>
      <c r="AJ90" s="211"/>
      <c r="AK90" s="155"/>
      <c r="AL90" s="155"/>
      <c r="AM90" s="155"/>
      <c r="AN90" s="211"/>
      <c r="AO90" s="155" t="s">
        <v>115</v>
      </c>
      <c r="AP90" s="258"/>
      <c r="AQ90" s="155" t="s">
        <v>115</v>
      </c>
      <c r="AR90" s="211"/>
      <c r="AS90" s="121"/>
      <c r="AT90" s="19" t="s">
        <v>115</v>
      </c>
      <c r="AU90" s="121"/>
      <c r="AV90" s="211"/>
      <c r="AW90" s="121"/>
      <c r="AX90" s="121"/>
      <c r="AY90" s="121"/>
      <c r="AZ90" s="808">
        <f t="shared" si="100"/>
        <v>2997</v>
      </c>
      <c r="BA90" s="761">
        <f t="shared" si="98"/>
        <v>2997</v>
      </c>
      <c r="BB90" s="761">
        <f t="shared" si="4"/>
        <v>0</v>
      </c>
      <c r="BC90" s="110">
        <v>2997</v>
      </c>
      <c r="BD90" s="1230">
        <f>AZ90-BC90</f>
        <v>0</v>
      </c>
      <c r="BE90" s="1231"/>
      <c r="BF90" s="317" t="s">
        <v>262</v>
      </c>
      <c r="BG90" s="98">
        <v>0.15</v>
      </c>
      <c r="BH90" s="381">
        <f>AZ90*BG90</f>
        <v>449.55</v>
      </c>
      <c r="BI90" s="242"/>
      <c r="BJ90" s="1231"/>
      <c r="BK90" s="243" t="s">
        <v>3735</v>
      </c>
      <c r="BL90" s="772" t="s">
        <v>262</v>
      </c>
      <c r="BM90" s="98">
        <v>0.1</v>
      </c>
      <c r="BN90" s="381">
        <f>AZ90*BM90</f>
        <v>299.7</v>
      </c>
      <c r="BO90" s="242">
        <f t="shared" si="133"/>
        <v>0</v>
      </c>
      <c r="BP90" s="1231">
        <f t="shared" si="134"/>
        <v>0</v>
      </c>
      <c r="BQ90" s="243" t="s">
        <v>3735</v>
      </c>
      <c r="BR90" s="110">
        <v>2997</v>
      </c>
      <c r="BS90" s="226">
        <v>44728</v>
      </c>
      <c r="BT90" s="110">
        <v>2997</v>
      </c>
      <c r="BU90" s="263"/>
      <c r="BV90" s="110"/>
      <c r="BW90" s="226"/>
      <c r="BX90" s="110"/>
      <c r="BY90" s="263"/>
      <c r="BZ90" s="110"/>
      <c r="CA90" s="226"/>
      <c r="CB90" s="349"/>
      <c r="CC90" s="263"/>
      <c r="CD90" s="110"/>
      <c r="CE90" s="226"/>
      <c r="CF90" s="110"/>
      <c r="CG90" s="263"/>
      <c r="CH90" s="110"/>
      <c r="CI90" s="226"/>
      <c r="CJ90" s="110"/>
      <c r="CK90" s="245" t="s">
        <v>2612</v>
      </c>
      <c r="CL90" s="181" t="s">
        <v>2311</v>
      </c>
      <c r="CM90" s="246"/>
      <c r="CN90" s="207"/>
      <c r="CO90" s="282" t="s">
        <v>122</v>
      </c>
      <c r="CP90" s="155"/>
      <c r="CQ90" s="131"/>
      <c r="CR90" s="131" t="s">
        <v>4016</v>
      </c>
      <c r="CS90" s="116" t="str">
        <f t="shared" si="9"/>
        <v>Pacci</v>
      </c>
      <c r="CT90" s="242"/>
      <c r="CU90" s="242"/>
      <c r="CV90" s="116" t="str">
        <f t="shared" si="10"/>
        <v>Pacci</v>
      </c>
      <c r="CW90" s="181"/>
      <c r="CX90" s="779"/>
      <c r="CY90" s="729"/>
      <c r="CZ90" s="729"/>
      <c r="DA90" s="729"/>
      <c r="DB90" s="729"/>
      <c r="DC90" s="729"/>
    </row>
    <row r="91" spans="1:124" ht="30" customHeight="1">
      <c r="A91" s="228"/>
      <c r="B91" s="1237">
        <v>101410</v>
      </c>
      <c r="C91" s="155">
        <v>1</v>
      </c>
      <c r="D91" s="781">
        <v>1</v>
      </c>
      <c r="E91" s="781">
        <v>1</v>
      </c>
      <c r="F91" s="781">
        <v>1</v>
      </c>
      <c r="G91" s="1290" t="s">
        <v>4017</v>
      </c>
      <c r="H91" s="344" t="s">
        <v>4018</v>
      </c>
      <c r="I91" s="1234" t="s">
        <v>4019</v>
      </c>
      <c r="J91" s="207" t="str">
        <f t="shared" si="0"/>
        <v>Maksym Maffioli</v>
      </c>
      <c r="K91" s="156"/>
      <c r="L91" s="131"/>
      <c r="M91" s="131"/>
      <c r="N91" s="131" t="str">
        <f t="shared" si="1"/>
        <v>FIMI Group</v>
      </c>
      <c r="O91" s="1291"/>
      <c r="P91" s="251"/>
      <c r="Q91" s="131"/>
      <c r="R91" s="252" t="s">
        <v>1114</v>
      </c>
      <c r="S91" s="254"/>
      <c r="T91" s="346"/>
      <c r="U91" s="253"/>
      <c r="V91" s="253"/>
      <c r="W91" s="251"/>
      <c r="X91" s="131"/>
      <c r="Y91" s="251"/>
      <c r="Z91" s="251"/>
      <c r="AA91" s="251"/>
      <c r="AB91" s="255"/>
      <c r="AC91" s="256"/>
      <c r="AD91" s="121" t="s">
        <v>1115</v>
      </c>
      <c r="AE91" s="113" t="s">
        <v>1112</v>
      </c>
      <c r="AF91" s="211"/>
      <c r="AG91" s="155"/>
      <c r="AH91" s="155"/>
      <c r="AI91" s="155"/>
      <c r="AJ91" s="211"/>
      <c r="AK91" s="155"/>
      <c r="AL91" s="155"/>
      <c r="AM91" s="155"/>
      <c r="AN91" s="211"/>
      <c r="AO91" s="258"/>
      <c r="AP91" s="258"/>
      <c r="AQ91" s="258"/>
      <c r="AR91" s="211"/>
      <c r="AS91" s="121" t="s">
        <v>115</v>
      </c>
      <c r="AT91" s="121" t="s">
        <v>115</v>
      </c>
      <c r="AU91" s="259" t="s">
        <v>115</v>
      </c>
      <c r="AV91" s="211"/>
      <c r="AW91" s="121"/>
      <c r="AX91" s="121"/>
      <c r="AY91" s="121"/>
      <c r="AZ91" s="808">
        <f t="shared" si="100"/>
        <v>2797</v>
      </c>
      <c r="BA91" s="761">
        <f t="shared" si="98"/>
        <v>2797</v>
      </c>
      <c r="BB91" s="761">
        <f t="shared" si="4"/>
        <v>0</v>
      </c>
      <c r="BC91" s="110"/>
      <c r="BD91" s="1230">
        <v>2797</v>
      </c>
      <c r="BE91" s="1231"/>
      <c r="BF91" s="317" t="s">
        <v>184</v>
      </c>
      <c r="BG91" s="145">
        <v>0.05</v>
      </c>
      <c r="BH91" s="110"/>
      <c r="BI91" s="242">
        <f t="shared" ref="BI91:BI239" si="137">BD91*BG91</f>
        <v>139.85</v>
      </c>
      <c r="BJ91" s="1231">
        <f t="shared" ref="BJ91:BJ104" si="138">BE91*BG91</f>
        <v>0</v>
      </c>
      <c r="BK91" s="765" t="s">
        <v>1035</v>
      </c>
      <c r="BL91" s="772" t="s">
        <v>184</v>
      </c>
      <c r="BM91" s="98">
        <v>0.1</v>
      </c>
      <c r="BN91" s="110"/>
      <c r="BO91" s="242">
        <f t="shared" si="133"/>
        <v>279.7</v>
      </c>
      <c r="BP91" s="1231">
        <f t="shared" si="134"/>
        <v>0</v>
      </c>
      <c r="BQ91" s="765" t="s">
        <v>1035</v>
      </c>
      <c r="BR91" s="110">
        <f t="shared" ref="BR91:BR95" si="139">2797/2</f>
        <v>1398.5</v>
      </c>
      <c r="BS91" s="226">
        <v>44865</v>
      </c>
      <c r="BT91" s="110">
        <f t="shared" ref="BT91:BT95" si="140">2797/2</f>
        <v>1398.5</v>
      </c>
      <c r="BU91" s="263"/>
      <c r="BV91" s="110">
        <f t="shared" ref="BV91:BV95" si="141">2797/2</f>
        <v>1398.5</v>
      </c>
      <c r="BW91" s="348">
        <v>44895</v>
      </c>
      <c r="BX91" s="110">
        <f t="shared" ref="BX91:BX95" si="142">2797/2</f>
        <v>1398.5</v>
      </c>
      <c r="BY91" s="263"/>
      <c r="BZ91" s="110"/>
      <c r="CA91" s="263"/>
      <c r="CB91" s="349"/>
      <c r="CC91" s="263"/>
      <c r="CD91" s="110"/>
      <c r="CE91" s="226"/>
      <c r="CF91" s="110"/>
      <c r="CG91" s="263"/>
      <c r="CH91" s="110"/>
      <c r="CI91" s="226"/>
      <c r="CJ91" s="110"/>
      <c r="CK91" s="155">
        <v>1</v>
      </c>
      <c r="CL91" s="181" t="s">
        <v>1123</v>
      </c>
      <c r="CM91" s="246"/>
      <c r="CN91" s="207" t="s">
        <v>4020</v>
      </c>
      <c r="CO91" s="282" t="s">
        <v>122</v>
      </c>
      <c r="CP91" s="155"/>
      <c r="CQ91" s="131" t="s">
        <v>1116</v>
      </c>
      <c r="CR91" s="131" t="s">
        <v>1113</v>
      </c>
      <c r="CS91" s="116" t="str">
        <f t="shared" si="9"/>
        <v>Cristian A</v>
      </c>
      <c r="CT91" s="820">
        <f t="shared" ref="CT91:CT104" si="143">IF(OR(D91&gt;0,E91&gt;0,F91&gt;0),IF(BB91=0,BD91*BG91,0))</f>
        <v>139.85</v>
      </c>
      <c r="CU91" s="820">
        <f t="shared" ref="CU91:CU104" si="144">IF(OR(D91&gt;0,E91&gt;0,F91&gt;0),IF(BB91=0,BD91*BM91,0))</f>
        <v>279.7</v>
      </c>
      <c r="CV91" s="116" t="str">
        <f t="shared" si="10"/>
        <v>Cristian A</v>
      </c>
      <c r="CW91" s="181"/>
      <c r="CX91" s="779"/>
      <c r="CY91" s="729"/>
      <c r="CZ91" s="729"/>
      <c r="DA91" s="729"/>
      <c r="DB91" s="729"/>
      <c r="DC91" s="729"/>
      <c r="DD91" s="265"/>
      <c r="DE91" s="265"/>
      <c r="DF91" s="265"/>
      <c r="DG91" s="265"/>
      <c r="DH91" s="265"/>
      <c r="DI91" s="265"/>
      <c r="DJ91" s="265"/>
      <c r="DK91" s="265"/>
      <c r="DL91" s="265"/>
      <c r="DM91" s="265"/>
      <c r="DN91" s="265"/>
      <c r="DO91" s="265"/>
      <c r="DP91" s="265"/>
      <c r="DQ91" s="265"/>
      <c r="DR91" s="265"/>
      <c r="DS91" s="265"/>
      <c r="DT91" s="265"/>
    </row>
    <row r="92" spans="1:124" ht="30" customHeight="1">
      <c r="A92" s="228"/>
      <c r="B92" s="1237">
        <v>101410</v>
      </c>
      <c r="C92" s="155">
        <v>2</v>
      </c>
      <c r="D92" s="781"/>
      <c r="E92" s="781">
        <v>1</v>
      </c>
      <c r="F92" s="781">
        <v>1</v>
      </c>
      <c r="G92" s="1290" t="s">
        <v>1109</v>
      </c>
      <c r="H92" s="344" t="s">
        <v>1110</v>
      </c>
      <c r="I92" s="1234" t="s">
        <v>4021</v>
      </c>
      <c r="J92" s="207" t="str">
        <f t="shared" si="0"/>
        <v>Anton Krylov</v>
      </c>
      <c r="K92" s="156"/>
      <c r="L92" s="131"/>
      <c r="M92" s="131"/>
      <c r="N92" s="131" t="str">
        <f t="shared" si="1"/>
        <v>FIMI Group</v>
      </c>
      <c r="O92" s="1291"/>
      <c r="P92" s="251"/>
      <c r="Q92" s="131"/>
      <c r="R92" s="252" t="s">
        <v>1114</v>
      </c>
      <c r="S92" s="254"/>
      <c r="T92" s="346"/>
      <c r="U92" s="253"/>
      <c r="V92" s="253"/>
      <c r="W92" s="251"/>
      <c r="X92" s="131"/>
      <c r="Y92" s="251"/>
      <c r="Z92" s="251"/>
      <c r="AA92" s="251"/>
      <c r="AB92" s="255"/>
      <c r="AC92" s="256"/>
      <c r="AD92" s="121" t="s">
        <v>1115</v>
      </c>
      <c r="AE92" s="113" t="s">
        <v>1112</v>
      </c>
      <c r="AF92" s="211"/>
      <c r="AG92" s="155"/>
      <c r="AH92" s="155"/>
      <c r="AI92" s="155"/>
      <c r="AJ92" s="211"/>
      <c r="AK92" s="155"/>
      <c r="AL92" s="155"/>
      <c r="AM92" s="155"/>
      <c r="AN92" s="211"/>
      <c r="AO92" s="258"/>
      <c r="AP92" s="258"/>
      <c r="AQ92" s="258"/>
      <c r="AR92" s="211"/>
      <c r="AS92" s="124"/>
      <c r="AT92" s="121" t="s">
        <v>115</v>
      </c>
      <c r="AU92" s="259" t="s">
        <v>115</v>
      </c>
      <c r="AV92" s="211"/>
      <c r="AW92" s="259" t="s">
        <v>115</v>
      </c>
      <c r="AX92" s="121"/>
      <c r="AY92" s="121"/>
      <c r="AZ92" s="808">
        <f t="shared" si="100"/>
        <v>2797</v>
      </c>
      <c r="BA92" s="761">
        <f t="shared" si="98"/>
        <v>2797</v>
      </c>
      <c r="BB92" s="761">
        <f t="shared" si="4"/>
        <v>0</v>
      </c>
      <c r="BC92" s="110"/>
      <c r="BD92" s="1230">
        <v>2797</v>
      </c>
      <c r="BE92" s="1231"/>
      <c r="BF92" s="317" t="s">
        <v>184</v>
      </c>
      <c r="BG92" s="145">
        <v>0.05</v>
      </c>
      <c r="BH92" s="110"/>
      <c r="BI92" s="242">
        <f t="shared" si="137"/>
        <v>139.85</v>
      </c>
      <c r="BJ92" s="1231">
        <f t="shared" si="138"/>
        <v>0</v>
      </c>
      <c r="BK92" s="765" t="s">
        <v>1035</v>
      </c>
      <c r="BL92" s="772" t="s">
        <v>184</v>
      </c>
      <c r="BM92" s="98">
        <v>0.1</v>
      </c>
      <c r="BN92" s="110"/>
      <c r="BO92" s="242">
        <f t="shared" si="133"/>
        <v>279.7</v>
      </c>
      <c r="BP92" s="1231">
        <f t="shared" si="134"/>
        <v>0</v>
      </c>
      <c r="BQ92" s="765" t="s">
        <v>1035</v>
      </c>
      <c r="BR92" s="110">
        <f t="shared" si="139"/>
        <v>1398.5</v>
      </c>
      <c r="BS92" s="226">
        <v>44865</v>
      </c>
      <c r="BT92" s="110">
        <f t="shared" si="140"/>
        <v>1398.5</v>
      </c>
      <c r="BU92" s="263"/>
      <c r="BV92" s="110">
        <f t="shared" si="141"/>
        <v>1398.5</v>
      </c>
      <c r="BW92" s="348">
        <v>44895</v>
      </c>
      <c r="BX92" s="110">
        <f t="shared" si="142"/>
        <v>1398.5</v>
      </c>
      <c r="BY92" s="263"/>
      <c r="BZ92" s="110"/>
      <c r="CA92" s="263"/>
      <c r="CB92" s="349"/>
      <c r="CC92" s="263"/>
      <c r="CD92" s="110"/>
      <c r="CE92" s="226"/>
      <c r="CF92" s="110"/>
      <c r="CG92" s="263"/>
      <c r="CH92" s="110"/>
      <c r="CI92" s="226"/>
      <c r="CJ92" s="110"/>
      <c r="CK92" s="245"/>
      <c r="CL92" s="181"/>
      <c r="CM92" s="246"/>
      <c r="CN92" s="207"/>
      <c r="CO92" s="155" t="s">
        <v>122</v>
      </c>
      <c r="CP92" s="155"/>
      <c r="CQ92" s="131" t="s">
        <v>1116</v>
      </c>
      <c r="CR92" s="131" t="s">
        <v>1113</v>
      </c>
      <c r="CS92" s="116" t="str">
        <f t="shared" si="9"/>
        <v>Cristian A</v>
      </c>
      <c r="CT92" s="820">
        <f t="shared" si="143"/>
        <v>139.85</v>
      </c>
      <c r="CU92" s="820">
        <f t="shared" si="144"/>
        <v>279.7</v>
      </c>
      <c r="CV92" s="116" t="str">
        <f t="shared" si="10"/>
        <v>Cristian A</v>
      </c>
      <c r="CW92" s="181"/>
      <c r="CX92" s="779"/>
      <c r="CY92" s="729"/>
      <c r="CZ92" s="729"/>
      <c r="DA92" s="729"/>
      <c r="DB92" s="729"/>
      <c r="DC92" s="729"/>
      <c r="DD92" s="265"/>
      <c r="DE92" s="265"/>
      <c r="DF92" s="265"/>
      <c r="DG92" s="265"/>
      <c r="DH92" s="265"/>
      <c r="DI92" s="265"/>
      <c r="DJ92" s="265"/>
      <c r="DK92" s="265"/>
      <c r="DL92" s="265"/>
      <c r="DM92" s="265"/>
      <c r="DN92" s="265"/>
      <c r="DO92" s="265"/>
      <c r="DP92" s="265"/>
      <c r="DQ92" s="265"/>
      <c r="DR92" s="265"/>
      <c r="DS92" s="265"/>
      <c r="DT92" s="265"/>
    </row>
    <row r="93" spans="1:124" ht="30" customHeight="1">
      <c r="A93" s="228"/>
      <c r="B93" s="1237">
        <v>101410</v>
      </c>
      <c r="C93" s="155">
        <v>3</v>
      </c>
      <c r="D93" s="781">
        <v>1</v>
      </c>
      <c r="E93" s="781">
        <v>1</v>
      </c>
      <c r="F93" s="781">
        <v>1</v>
      </c>
      <c r="G93" s="1290" t="s">
        <v>275</v>
      </c>
      <c r="H93" s="344" t="s">
        <v>4022</v>
      </c>
      <c r="I93" s="1292" t="s">
        <v>4023</v>
      </c>
      <c r="J93" s="207" t="str">
        <f t="shared" si="0"/>
        <v>Chiara Zotti</v>
      </c>
      <c r="K93" s="156"/>
      <c r="L93" s="131"/>
      <c r="M93" s="131"/>
      <c r="N93" s="131" t="str">
        <f t="shared" si="1"/>
        <v>FIMI Group</v>
      </c>
      <c r="O93" s="1291"/>
      <c r="P93" s="251"/>
      <c r="Q93" s="131"/>
      <c r="R93" s="252" t="s">
        <v>1114</v>
      </c>
      <c r="S93" s="254"/>
      <c r="T93" s="346"/>
      <c r="U93" s="253"/>
      <c r="V93" s="253"/>
      <c r="W93" s="251"/>
      <c r="X93" s="131"/>
      <c r="Y93" s="251"/>
      <c r="Z93" s="251"/>
      <c r="AA93" s="251"/>
      <c r="AB93" s="255"/>
      <c r="AC93" s="256"/>
      <c r="AD93" s="121" t="s">
        <v>1115</v>
      </c>
      <c r="AE93" s="113" t="s">
        <v>1112</v>
      </c>
      <c r="AF93" s="211"/>
      <c r="AG93" s="155"/>
      <c r="AH93" s="155"/>
      <c r="AI93" s="155"/>
      <c r="AJ93" s="211"/>
      <c r="AK93" s="155"/>
      <c r="AL93" s="155"/>
      <c r="AM93" s="155"/>
      <c r="AN93" s="211"/>
      <c r="AO93" s="258"/>
      <c r="AP93" s="258"/>
      <c r="AQ93" s="258"/>
      <c r="AR93" s="211"/>
      <c r="AS93" s="121" t="s">
        <v>115</v>
      </c>
      <c r="AT93" s="121" t="s">
        <v>115</v>
      </c>
      <c r="AU93" s="259" t="s">
        <v>115</v>
      </c>
      <c r="AV93" s="211"/>
      <c r="AW93" s="121"/>
      <c r="AX93" s="121"/>
      <c r="AY93" s="121"/>
      <c r="AZ93" s="808">
        <f t="shared" si="100"/>
        <v>2797</v>
      </c>
      <c r="BA93" s="761">
        <f t="shared" si="98"/>
        <v>2797</v>
      </c>
      <c r="BB93" s="761">
        <f t="shared" si="4"/>
        <v>0</v>
      </c>
      <c r="BC93" s="110"/>
      <c r="BD93" s="1230">
        <v>2797</v>
      </c>
      <c r="BE93" s="1231"/>
      <c r="BF93" s="317" t="s">
        <v>184</v>
      </c>
      <c r="BG93" s="145">
        <v>0.05</v>
      </c>
      <c r="BH93" s="110"/>
      <c r="BI93" s="242">
        <f t="shared" si="137"/>
        <v>139.85</v>
      </c>
      <c r="BJ93" s="1231">
        <f t="shared" si="138"/>
        <v>0</v>
      </c>
      <c r="BK93" s="765" t="s">
        <v>1035</v>
      </c>
      <c r="BL93" s="772" t="s">
        <v>184</v>
      </c>
      <c r="BM93" s="98">
        <v>0.1</v>
      </c>
      <c r="BN93" s="110"/>
      <c r="BO93" s="242">
        <f t="shared" si="133"/>
        <v>279.7</v>
      </c>
      <c r="BP93" s="1231">
        <f t="shared" si="134"/>
        <v>0</v>
      </c>
      <c r="BQ93" s="765" t="s">
        <v>1035</v>
      </c>
      <c r="BR93" s="110">
        <f t="shared" si="139"/>
        <v>1398.5</v>
      </c>
      <c r="BS93" s="226">
        <v>44865</v>
      </c>
      <c r="BT93" s="110">
        <f t="shared" si="140"/>
        <v>1398.5</v>
      </c>
      <c r="BU93" s="263"/>
      <c r="BV93" s="110">
        <f t="shared" si="141"/>
        <v>1398.5</v>
      </c>
      <c r="BW93" s="348">
        <v>44895</v>
      </c>
      <c r="BX93" s="110">
        <f t="shared" si="142"/>
        <v>1398.5</v>
      </c>
      <c r="BY93" s="263"/>
      <c r="BZ93" s="110"/>
      <c r="CA93" s="263"/>
      <c r="CB93" s="349"/>
      <c r="CC93" s="263"/>
      <c r="CD93" s="110"/>
      <c r="CE93" s="226"/>
      <c r="CF93" s="110"/>
      <c r="CG93" s="263"/>
      <c r="CH93" s="110"/>
      <c r="CI93" s="226"/>
      <c r="CJ93" s="110"/>
      <c r="CK93" s="245"/>
      <c r="CL93" s="181"/>
      <c r="CM93" s="246"/>
      <c r="CN93" s="207"/>
      <c r="CO93" s="282" t="s">
        <v>122</v>
      </c>
      <c r="CP93" s="155"/>
      <c r="CQ93" s="131" t="s">
        <v>1116</v>
      </c>
      <c r="CR93" s="131" t="s">
        <v>1113</v>
      </c>
      <c r="CS93" s="116" t="str">
        <f t="shared" si="9"/>
        <v>Cristian A</v>
      </c>
      <c r="CT93" s="820">
        <f t="shared" si="143"/>
        <v>139.85</v>
      </c>
      <c r="CU93" s="820">
        <f t="shared" si="144"/>
        <v>279.7</v>
      </c>
      <c r="CV93" s="116" t="str">
        <f t="shared" si="10"/>
        <v>Cristian A</v>
      </c>
      <c r="CW93" s="181"/>
      <c r="CX93" s="779"/>
      <c r="CY93" s="729"/>
      <c r="CZ93" s="729"/>
      <c r="DA93" s="729"/>
      <c r="DB93" s="729"/>
      <c r="DC93" s="729"/>
      <c r="DD93" s="265"/>
      <c r="DE93" s="265"/>
      <c r="DF93" s="265"/>
      <c r="DG93" s="265"/>
      <c r="DH93" s="265"/>
      <c r="DI93" s="265"/>
      <c r="DJ93" s="265"/>
      <c r="DK93" s="265"/>
      <c r="DL93" s="265"/>
      <c r="DM93" s="265"/>
      <c r="DN93" s="265"/>
      <c r="DO93" s="265"/>
      <c r="DP93" s="265"/>
      <c r="DQ93" s="265"/>
      <c r="DR93" s="265"/>
      <c r="DS93" s="265"/>
      <c r="DT93" s="265"/>
    </row>
    <row r="94" spans="1:124" ht="30" customHeight="1">
      <c r="A94" s="228"/>
      <c r="B94" s="1237">
        <v>101410</v>
      </c>
      <c r="C94" s="155">
        <f t="shared" ref="C94:C114" si="145">C93+1</f>
        <v>4</v>
      </c>
      <c r="D94" s="781">
        <v>1</v>
      </c>
      <c r="E94" s="781">
        <v>1</v>
      </c>
      <c r="F94" s="781">
        <v>1</v>
      </c>
      <c r="G94" s="1290" t="s">
        <v>166</v>
      </c>
      <c r="H94" s="344" t="s">
        <v>4024</v>
      </c>
      <c r="I94" s="1234" t="s">
        <v>4025</v>
      </c>
      <c r="J94" s="207" t="str">
        <f t="shared" si="0"/>
        <v>Matteo Vicini</v>
      </c>
      <c r="K94" s="156"/>
      <c r="L94" s="131"/>
      <c r="M94" s="131"/>
      <c r="N94" s="131" t="str">
        <f t="shared" si="1"/>
        <v>FIMI Group</v>
      </c>
      <c r="O94" s="1291"/>
      <c r="P94" s="251"/>
      <c r="Q94" s="131"/>
      <c r="R94" s="252" t="s">
        <v>1114</v>
      </c>
      <c r="S94" s="254"/>
      <c r="T94" s="346"/>
      <c r="U94" s="253"/>
      <c r="V94" s="253"/>
      <c r="W94" s="251"/>
      <c r="X94" s="131"/>
      <c r="Y94" s="251"/>
      <c r="Z94" s="251"/>
      <c r="AA94" s="251"/>
      <c r="AB94" s="255"/>
      <c r="AC94" s="256"/>
      <c r="AD94" s="121" t="s">
        <v>1115</v>
      </c>
      <c r="AE94" s="113" t="s">
        <v>1112</v>
      </c>
      <c r="AF94" s="211"/>
      <c r="AG94" s="155"/>
      <c r="AH94" s="155"/>
      <c r="AI94" s="155"/>
      <c r="AJ94" s="211"/>
      <c r="AK94" s="155"/>
      <c r="AL94" s="155"/>
      <c r="AM94" s="155"/>
      <c r="AN94" s="211"/>
      <c r="AO94" s="258"/>
      <c r="AP94" s="258"/>
      <c r="AQ94" s="258"/>
      <c r="AR94" s="211"/>
      <c r="AS94" s="121" t="s">
        <v>115</v>
      </c>
      <c r="AT94" s="121" t="s">
        <v>115</v>
      </c>
      <c r="AU94" s="259" t="s">
        <v>115</v>
      </c>
      <c r="AV94" s="211"/>
      <c r="AW94" s="121"/>
      <c r="AX94" s="121"/>
      <c r="AY94" s="121"/>
      <c r="AZ94" s="808">
        <f t="shared" si="100"/>
        <v>2797</v>
      </c>
      <c r="BA94" s="761">
        <f t="shared" si="98"/>
        <v>2797</v>
      </c>
      <c r="BB94" s="761">
        <f t="shared" si="4"/>
        <v>0</v>
      </c>
      <c r="BC94" s="110"/>
      <c r="BD94" s="1230">
        <v>2797</v>
      </c>
      <c r="BE94" s="1231"/>
      <c r="BF94" s="317" t="s">
        <v>184</v>
      </c>
      <c r="BG94" s="145">
        <v>0.05</v>
      </c>
      <c r="BH94" s="110"/>
      <c r="BI94" s="242">
        <f t="shared" si="137"/>
        <v>139.85</v>
      </c>
      <c r="BJ94" s="1231">
        <f t="shared" si="138"/>
        <v>0</v>
      </c>
      <c r="BK94" s="765" t="s">
        <v>1035</v>
      </c>
      <c r="BL94" s="772" t="s">
        <v>184</v>
      </c>
      <c r="BM94" s="98">
        <v>0.1</v>
      </c>
      <c r="BN94" s="110"/>
      <c r="BO94" s="242">
        <f t="shared" si="133"/>
        <v>279.7</v>
      </c>
      <c r="BP94" s="1231">
        <f t="shared" si="134"/>
        <v>0</v>
      </c>
      <c r="BQ94" s="765" t="s">
        <v>1035</v>
      </c>
      <c r="BR94" s="110">
        <f t="shared" si="139"/>
        <v>1398.5</v>
      </c>
      <c r="BS94" s="226">
        <v>44865</v>
      </c>
      <c r="BT94" s="110">
        <f t="shared" si="140"/>
        <v>1398.5</v>
      </c>
      <c r="BU94" s="263"/>
      <c r="BV94" s="110">
        <f t="shared" si="141"/>
        <v>1398.5</v>
      </c>
      <c r="BW94" s="348">
        <v>44895</v>
      </c>
      <c r="BX94" s="110">
        <f t="shared" si="142"/>
        <v>1398.5</v>
      </c>
      <c r="BY94" s="263"/>
      <c r="BZ94" s="110"/>
      <c r="CA94" s="263"/>
      <c r="CB94" s="349"/>
      <c r="CC94" s="263"/>
      <c r="CD94" s="110"/>
      <c r="CE94" s="226"/>
      <c r="CF94" s="110"/>
      <c r="CG94" s="263"/>
      <c r="CH94" s="110"/>
      <c r="CI94" s="226"/>
      <c r="CJ94" s="110"/>
      <c r="CK94" s="245"/>
      <c r="CL94" s="181"/>
      <c r="CM94" s="246"/>
      <c r="CN94" s="207"/>
      <c r="CO94" s="282" t="s">
        <v>122</v>
      </c>
      <c r="CP94" s="155"/>
      <c r="CQ94" s="131" t="s">
        <v>1116</v>
      </c>
      <c r="CR94" s="131" t="s">
        <v>1113</v>
      </c>
      <c r="CS94" s="116" t="str">
        <f t="shared" si="9"/>
        <v>Cristian A</v>
      </c>
      <c r="CT94" s="820">
        <f t="shared" si="143"/>
        <v>139.85</v>
      </c>
      <c r="CU94" s="820">
        <f t="shared" si="144"/>
        <v>279.7</v>
      </c>
      <c r="CV94" s="116" t="str">
        <f t="shared" si="10"/>
        <v>Cristian A</v>
      </c>
      <c r="CW94" s="181"/>
      <c r="CX94" s="779"/>
      <c r="CY94" s="729"/>
      <c r="CZ94" s="729"/>
      <c r="DA94" s="729"/>
      <c r="DB94" s="729"/>
      <c r="DC94" s="729"/>
      <c r="DD94" s="265"/>
      <c r="DE94" s="265"/>
      <c r="DF94" s="265"/>
      <c r="DG94" s="265"/>
      <c r="DH94" s="265"/>
      <c r="DI94" s="265"/>
      <c r="DJ94" s="265"/>
      <c r="DK94" s="265"/>
      <c r="DL94" s="265"/>
      <c r="DM94" s="265"/>
      <c r="DN94" s="265"/>
      <c r="DO94" s="265"/>
      <c r="DP94" s="265"/>
      <c r="DQ94" s="265"/>
      <c r="DR94" s="265"/>
      <c r="DS94" s="265"/>
      <c r="DT94" s="265"/>
    </row>
    <row r="95" spans="1:124" ht="30" customHeight="1">
      <c r="A95" s="228"/>
      <c r="B95" s="1237">
        <v>101410</v>
      </c>
      <c r="C95" s="155">
        <f t="shared" si="145"/>
        <v>5</v>
      </c>
      <c r="D95" s="781">
        <v>1</v>
      </c>
      <c r="E95" s="781">
        <v>1</v>
      </c>
      <c r="F95" s="781">
        <v>1</v>
      </c>
      <c r="G95" s="1290" t="s">
        <v>710</v>
      </c>
      <c r="H95" s="344" t="s">
        <v>770</v>
      </c>
      <c r="I95" s="1292" t="s">
        <v>4026</v>
      </c>
      <c r="J95" s="207" t="str">
        <f t="shared" si="0"/>
        <v>Mario Colombo</v>
      </c>
      <c r="K95" s="156"/>
      <c r="L95" s="131"/>
      <c r="M95" s="131"/>
      <c r="N95" s="131" t="str">
        <f t="shared" si="1"/>
        <v>FIMI Group</v>
      </c>
      <c r="O95" s="1291"/>
      <c r="P95" s="251"/>
      <c r="Q95" s="131"/>
      <c r="R95" s="252" t="s">
        <v>1114</v>
      </c>
      <c r="S95" s="254"/>
      <c r="T95" s="346"/>
      <c r="U95" s="253"/>
      <c r="V95" s="253"/>
      <c r="W95" s="251"/>
      <c r="X95" s="131"/>
      <c r="Y95" s="251"/>
      <c r="Z95" s="251"/>
      <c r="AA95" s="251"/>
      <c r="AB95" s="255"/>
      <c r="AC95" s="256"/>
      <c r="AD95" s="121" t="s">
        <v>1115</v>
      </c>
      <c r="AE95" s="113" t="s">
        <v>1112</v>
      </c>
      <c r="AF95" s="211"/>
      <c r="AG95" s="155"/>
      <c r="AH95" s="155"/>
      <c r="AI95" s="155"/>
      <c r="AJ95" s="211"/>
      <c r="AK95" s="155"/>
      <c r="AL95" s="155"/>
      <c r="AM95" s="155"/>
      <c r="AN95" s="211"/>
      <c r="AO95" s="258"/>
      <c r="AP95" s="258"/>
      <c r="AQ95" s="258"/>
      <c r="AR95" s="211"/>
      <c r="AS95" s="259" t="s">
        <v>115</v>
      </c>
      <c r="AT95" s="259" t="s">
        <v>115</v>
      </c>
      <c r="AU95" s="259" t="s">
        <v>115</v>
      </c>
      <c r="AV95" s="211"/>
      <c r="AW95" s="121"/>
      <c r="AX95" s="121"/>
      <c r="AY95" s="121"/>
      <c r="AZ95" s="808">
        <f t="shared" si="100"/>
        <v>2797</v>
      </c>
      <c r="BA95" s="761">
        <f t="shared" si="98"/>
        <v>2797</v>
      </c>
      <c r="BB95" s="761">
        <f t="shared" si="4"/>
        <v>0</v>
      </c>
      <c r="BC95" s="110"/>
      <c r="BD95" s="1230">
        <v>2797</v>
      </c>
      <c r="BE95" s="1231"/>
      <c r="BF95" s="317" t="s">
        <v>184</v>
      </c>
      <c r="BG95" s="145">
        <v>0.05</v>
      </c>
      <c r="BH95" s="110"/>
      <c r="BI95" s="242">
        <f t="shared" si="137"/>
        <v>139.85</v>
      </c>
      <c r="BJ95" s="1231">
        <f t="shared" si="138"/>
        <v>0</v>
      </c>
      <c r="BK95" s="765" t="s">
        <v>1035</v>
      </c>
      <c r="BL95" s="1293" t="s">
        <v>184</v>
      </c>
      <c r="BM95" s="98">
        <v>0.1</v>
      </c>
      <c r="BN95" s="262"/>
      <c r="BO95" s="242">
        <f t="shared" si="133"/>
        <v>279.7</v>
      </c>
      <c r="BP95" s="1231">
        <f t="shared" si="134"/>
        <v>0</v>
      </c>
      <c r="BQ95" s="765" t="s">
        <v>1035</v>
      </c>
      <c r="BR95" s="110">
        <f t="shared" si="139"/>
        <v>1398.5</v>
      </c>
      <c r="BS95" s="984">
        <v>44865</v>
      </c>
      <c r="BT95" s="110">
        <f t="shared" si="140"/>
        <v>1398.5</v>
      </c>
      <c r="BU95" s="871"/>
      <c r="BV95" s="110">
        <f t="shared" si="141"/>
        <v>1398.5</v>
      </c>
      <c r="BW95" s="348">
        <v>44895</v>
      </c>
      <c r="BX95" s="110">
        <f t="shared" si="142"/>
        <v>1398.5</v>
      </c>
      <c r="BY95" s="871"/>
      <c r="BZ95" s="262"/>
      <c r="CA95" s="871"/>
      <c r="CB95" s="261"/>
      <c r="CC95" s="871"/>
      <c r="CD95" s="262"/>
      <c r="CE95" s="984"/>
      <c r="CF95" s="262"/>
      <c r="CG95" s="871"/>
      <c r="CH95" s="262"/>
      <c r="CI95" s="984"/>
      <c r="CJ95" s="262"/>
      <c r="CK95" s="933"/>
      <c r="CL95" s="969"/>
      <c r="CM95" s="1294"/>
      <c r="CN95" s="207"/>
      <c r="CO95" s="155" t="s">
        <v>215</v>
      </c>
      <c r="CP95" s="895"/>
      <c r="CQ95" s="801" t="s">
        <v>1116</v>
      </c>
      <c r="CR95" s="801" t="s">
        <v>1113</v>
      </c>
      <c r="CS95" s="116" t="str">
        <f t="shared" si="9"/>
        <v>Cristian A</v>
      </c>
      <c r="CT95" s="820">
        <f t="shared" si="143"/>
        <v>139.85</v>
      </c>
      <c r="CU95" s="820">
        <f t="shared" si="144"/>
        <v>279.7</v>
      </c>
      <c r="CV95" s="116" t="str">
        <f t="shared" si="10"/>
        <v>Cristian A</v>
      </c>
      <c r="CW95" s="181"/>
      <c r="CX95" s="779"/>
      <c r="CY95" s="729"/>
      <c r="CZ95" s="729"/>
      <c r="DA95" s="729"/>
      <c r="DB95" s="729"/>
      <c r="DC95" s="729"/>
      <c r="DD95" s="265"/>
      <c r="DE95" s="265"/>
      <c r="DF95" s="265"/>
      <c r="DG95" s="265"/>
      <c r="DH95" s="265"/>
      <c r="DI95" s="265"/>
      <c r="DJ95" s="265"/>
      <c r="DK95" s="265"/>
      <c r="DL95" s="265"/>
      <c r="DM95" s="265"/>
      <c r="DN95" s="265"/>
      <c r="DO95" s="265"/>
      <c r="DP95" s="265"/>
      <c r="DQ95" s="265"/>
      <c r="DR95" s="265"/>
      <c r="DS95" s="265"/>
      <c r="DT95" s="265"/>
    </row>
    <row r="96" spans="1:124" ht="30" customHeight="1">
      <c r="A96" s="228"/>
      <c r="B96" s="1237">
        <v>101151</v>
      </c>
      <c r="C96" s="155">
        <f t="shared" si="145"/>
        <v>6</v>
      </c>
      <c r="D96" s="781">
        <v>1</v>
      </c>
      <c r="E96" s="781">
        <v>1</v>
      </c>
      <c r="F96" s="781">
        <v>1</v>
      </c>
      <c r="G96" s="1295" t="s">
        <v>1091</v>
      </c>
      <c r="H96" s="344" t="s">
        <v>4027</v>
      </c>
      <c r="I96" s="1296" t="s">
        <v>4028</v>
      </c>
      <c r="J96" s="207" t="str">
        <f t="shared" si="0"/>
        <v>Claudio  Invernzzi</v>
      </c>
      <c r="K96" s="156" t="s">
        <v>4029</v>
      </c>
      <c r="L96" s="131"/>
      <c r="M96" s="131"/>
      <c r="N96" s="131" t="str">
        <f t="shared" si="1"/>
        <v>Invernizzi Assicurazioni</v>
      </c>
      <c r="O96" s="1297"/>
      <c r="P96" s="251"/>
      <c r="Q96" s="131"/>
      <c r="R96" s="252" t="s">
        <v>285</v>
      </c>
      <c r="S96" s="254"/>
      <c r="T96" s="346"/>
      <c r="U96" s="253"/>
      <c r="V96" s="253"/>
      <c r="W96" s="251"/>
      <c r="X96" s="131"/>
      <c r="Y96" s="251"/>
      <c r="Z96" s="251"/>
      <c r="AA96" s="251"/>
      <c r="AB96" s="255"/>
      <c r="AC96" s="256"/>
      <c r="AD96" s="121" t="s">
        <v>4030</v>
      </c>
      <c r="AE96" s="113">
        <f t="shared" ref="AE96:AE103" si="146">L96</f>
        <v>0</v>
      </c>
      <c r="AF96" s="257"/>
      <c r="AG96" s="155"/>
      <c r="AH96" s="155"/>
      <c r="AI96" s="155"/>
      <c r="AJ96" s="257"/>
      <c r="AK96" s="155"/>
      <c r="AL96" s="155"/>
      <c r="AM96" s="155"/>
      <c r="AN96" s="257"/>
      <c r="AO96" s="258"/>
      <c r="AP96" s="258"/>
      <c r="AQ96" s="258"/>
      <c r="AR96" s="211"/>
      <c r="AS96" s="121" t="s">
        <v>115</v>
      </c>
      <c r="AT96" s="259" t="s">
        <v>115</v>
      </c>
      <c r="AU96" s="259" t="s">
        <v>115</v>
      </c>
      <c r="AV96" s="211"/>
      <c r="AW96" s="259"/>
      <c r="AX96" s="259"/>
      <c r="AY96" s="259"/>
      <c r="AZ96" s="808">
        <f t="shared" si="100"/>
        <v>2997</v>
      </c>
      <c r="BA96" s="761">
        <f t="shared" si="98"/>
        <v>2997</v>
      </c>
      <c r="BB96" s="761">
        <f t="shared" si="4"/>
        <v>0</v>
      </c>
      <c r="BC96" s="262"/>
      <c r="BD96" s="824">
        <v>2997</v>
      </c>
      <c r="BE96" s="1231"/>
      <c r="BF96" s="317" t="s">
        <v>287</v>
      </c>
      <c r="BG96" s="98">
        <v>0.15</v>
      </c>
      <c r="BH96" s="262"/>
      <c r="BI96" s="242">
        <f t="shared" si="137"/>
        <v>449.55</v>
      </c>
      <c r="BJ96" s="1231">
        <f t="shared" si="138"/>
        <v>0</v>
      </c>
      <c r="BK96" s="772" t="s">
        <v>1076</v>
      </c>
      <c r="BL96" s="772" t="s">
        <v>133</v>
      </c>
      <c r="BM96" s="98">
        <v>0.1</v>
      </c>
      <c r="BN96" s="262"/>
      <c r="BO96" s="242">
        <f t="shared" si="133"/>
        <v>299.7</v>
      </c>
      <c r="BP96" s="1231">
        <f t="shared" si="134"/>
        <v>0</v>
      </c>
      <c r="BQ96" s="387" t="s">
        <v>1076</v>
      </c>
      <c r="BR96" s="110">
        <v>2997</v>
      </c>
      <c r="BS96" s="226">
        <v>44814</v>
      </c>
      <c r="BT96" s="110">
        <v>2997</v>
      </c>
      <c r="BU96" s="263"/>
      <c r="BV96" s="110"/>
      <c r="BW96" s="348"/>
      <c r="BX96" s="110"/>
      <c r="BY96" s="263"/>
      <c r="BZ96" s="110"/>
      <c r="CA96" s="263"/>
      <c r="CB96" s="110"/>
      <c r="CC96" s="263"/>
      <c r="CD96" s="110"/>
      <c r="CE96" s="226"/>
      <c r="CF96" s="110"/>
      <c r="CG96" s="263"/>
      <c r="CH96" s="110"/>
      <c r="CI96" s="226"/>
      <c r="CJ96" s="110"/>
      <c r="CK96" s="155">
        <v>1</v>
      </c>
      <c r="CL96" s="181" t="s">
        <v>1123</v>
      </c>
      <c r="CM96" s="181"/>
      <c r="CN96" s="207"/>
      <c r="CO96" s="282" t="s">
        <v>122</v>
      </c>
      <c r="CP96" s="155"/>
      <c r="CQ96" s="131" t="s">
        <v>4031</v>
      </c>
      <c r="CR96" s="823" t="s">
        <v>4032</v>
      </c>
      <c r="CS96" s="116" t="str">
        <f t="shared" si="9"/>
        <v>Riccardo</v>
      </c>
      <c r="CT96" s="820">
        <f t="shared" si="143"/>
        <v>449.55</v>
      </c>
      <c r="CU96" s="820">
        <f t="shared" si="144"/>
        <v>299.7</v>
      </c>
      <c r="CV96" s="116" t="str">
        <f t="shared" si="10"/>
        <v>Cristian B</v>
      </c>
      <c r="CW96" s="121">
        <v>1</v>
      </c>
      <c r="CX96" s="779"/>
      <c r="CY96" s="729"/>
      <c r="CZ96" s="729"/>
      <c r="DA96" s="729"/>
      <c r="DB96" s="729"/>
      <c r="DC96" s="729"/>
      <c r="DD96" s="265"/>
      <c r="DE96" s="265"/>
      <c r="DF96" s="265"/>
      <c r="DG96" s="265"/>
      <c r="DH96" s="265"/>
      <c r="DI96" s="265"/>
      <c r="DJ96" s="265"/>
      <c r="DK96" s="265"/>
      <c r="DL96" s="265"/>
      <c r="DM96" s="265"/>
      <c r="DN96" s="265"/>
      <c r="DO96" s="265"/>
      <c r="DP96" s="265"/>
      <c r="DQ96" s="265"/>
      <c r="DR96" s="265"/>
      <c r="DS96" s="265"/>
      <c r="DT96" s="265"/>
    </row>
    <row r="97" spans="1:124" ht="30" customHeight="1">
      <c r="A97" s="228"/>
      <c r="B97" s="1237">
        <v>100868</v>
      </c>
      <c r="C97" s="155">
        <f t="shared" si="145"/>
        <v>7</v>
      </c>
      <c r="D97" s="781">
        <v>1</v>
      </c>
      <c r="E97" s="781">
        <v>1</v>
      </c>
      <c r="F97" s="781">
        <v>1</v>
      </c>
      <c r="G97" s="1295" t="s">
        <v>135</v>
      </c>
      <c r="H97" s="344" t="s">
        <v>4033</v>
      </c>
      <c r="I97" s="1234" t="s">
        <v>4034</v>
      </c>
      <c r="J97" s="207" t="str">
        <f t="shared" si="0"/>
        <v>Alessandro Gheda</v>
      </c>
      <c r="K97" s="156"/>
      <c r="L97" s="131"/>
      <c r="M97" s="131"/>
      <c r="N97" s="131" t="str">
        <f t="shared" si="1"/>
        <v>Putelli</v>
      </c>
      <c r="O97" s="1297"/>
      <c r="P97" s="251"/>
      <c r="Q97" s="131"/>
      <c r="R97" s="252" t="s">
        <v>4035</v>
      </c>
      <c r="S97" s="254"/>
      <c r="T97" s="346"/>
      <c r="U97" s="253"/>
      <c r="V97" s="253"/>
      <c r="W97" s="251"/>
      <c r="X97" s="131"/>
      <c r="Y97" s="251"/>
      <c r="Z97" s="251"/>
      <c r="AA97" s="251"/>
      <c r="AB97" s="255"/>
      <c r="AC97" s="256"/>
      <c r="AD97" s="121" t="s">
        <v>4036</v>
      </c>
      <c r="AE97" s="80">
        <f t="shared" si="146"/>
        <v>0</v>
      </c>
      <c r="AF97" s="257"/>
      <c r="AG97" s="155"/>
      <c r="AH97" s="155"/>
      <c r="AI97" s="155"/>
      <c r="AJ97" s="257"/>
      <c r="AK97" s="155"/>
      <c r="AL97" s="155"/>
      <c r="AM97" s="155"/>
      <c r="AN97" s="257"/>
      <c r="AO97" s="258"/>
      <c r="AP97" s="258"/>
      <c r="AQ97" s="258"/>
      <c r="AR97" s="211"/>
      <c r="AS97" s="259" t="s">
        <v>115</v>
      </c>
      <c r="AT97" s="259" t="s">
        <v>115</v>
      </c>
      <c r="AU97" s="259" t="s">
        <v>115</v>
      </c>
      <c r="AV97" s="211"/>
      <c r="AW97" s="259"/>
      <c r="AX97" s="259"/>
      <c r="AY97" s="259"/>
      <c r="AZ97" s="808">
        <f t="shared" si="100"/>
        <v>2997</v>
      </c>
      <c r="BA97" s="761">
        <f t="shared" si="98"/>
        <v>2997</v>
      </c>
      <c r="BB97" s="761">
        <f t="shared" si="4"/>
        <v>0</v>
      </c>
      <c r="BC97" s="262"/>
      <c r="BD97" s="824">
        <f t="shared" ref="BD97:BD107" si="147">AZ97</f>
        <v>2997</v>
      </c>
      <c r="BE97" s="1231"/>
      <c r="BF97" s="317" t="s">
        <v>133</v>
      </c>
      <c r="BG97" s="98">
        <v>0.15</v>
      </c>
      <c r="BH97" s="262"/>
      <c r="BI97" s="242">
        <f t="shared" si="137"/>
        <v>449.55</v>
      </c>
      <c r="BJ97" s="1231">
        <f t="shared" si="138"/>
        <v>0</v>
      </c>
      <c r="BK97" s="772" t="s">
        <v>1076</v>
      </c>
      <c r="BL97" s="772" t="s">
        <v>133</v>
      </c>
      <c r="BM97" s="98">
        <v>0.1</v>
      </c>
      <c r="BN97" s="262"/>
      <c r="BO97" s="242">
        <f t="shared" si="133"/>
        <v>299.7</v>
      </c>
      <c r="BP97" s="1231">
        <f t="shared" si="134"/>
        <v>0</v>
      </c>
      <c r="BQ97" s="387" t="s">
        <v>1076</v>
      </c>
      <c r="BR97" s="110">
        <v>2997</v>
      </c>
      <c r="BS97" s="226">
        <v>44814</v>
      </c>
      <c r="BT97" s="110">
        <v>2997</v>
      </c>
      <c r="BU97" s="263"/>
      <c r="BV97" s="110"/>
      <c r="BW97" s="348"/>
      <c r="BX97" s="110"/>
      <c r="BY97" s="263"/>
      <c r="BZ97" s="110"/>
      <c r="CA97" s="263"/>
      <c r="CB97" s="110"/>
      <c r="CC97" s="263"/>
      <c r="CD97" s="110"/>
      <c r="CE97" s="226"/>
      <c r="CF97" s="110"/>
      <c r="CG97" s="263"/>
      <c r="CH97" s="110"/>
      <c r="CI97" s="226"/>
      <c r="CJ97" s="110"/>
      <c r="CK97" s="155" t="s">
        <v>1047</v>
      </c>
      <c r="CL97" s="181"/>
      <c r="CM97" s="181"/>
      <c r="CN97" s="207"/>
      <c r="CO97" s="155" t="s">
        <v>215</v>
      </c>
      <c r="CP97" s="155"/>
      <c r="CQ97" s="131" t="s">
        <v>4037</v>
      </c>
      <c r="CR97" s="823" t="s">
        <v>4038</v>
      </c>
      <c r="CS97" s="116" t="str">
        <f t="shared" si="9"/>
        <v>Cristian B</v>
      </c>
      <c r="CT97" s="820">
        <f t="shared" si="143"/>
        <v>449.55</v>
      </c>
      <c r="CU97" s="820">
        <f t="shared" si="144"/>
        <v>299.7</v>
      </c>
      <c r="CV97" s="116" t="str">
        <f t="shared" si="10"/>
        <v>Cristian B</v>
      </c>
      <c r="CW97" s="181"/>
      <c r="CX97" s="779"/>
      <c r="CY97" s="729"/>
      <c r="CZ97" s="729"/>
      <c r="DA97" s="729"/>
      <c r="DB97" s="729"/>
      <c r="DC97" s="729"/>
      <c r="DD97" s="265"/>
      <c r="DE97" s="265"/>
      <c r="DF97" s="265"/>
      <c r="DG97" s="265"/>
      <c r="DH97" s="265"/>
      <c r="DI97" s="265"/>
      <c r="DJ97" s="265"/>
      <c r="DK97" s="265"/>
      <c r="DL97" s="265"/>
      <c r="DM97" s="265"/>
      <c r="DN97" s="265"/>
      <c r="DO97" s="265"/>
      <c r="DP97" s="265"/>
      <c r="DQ97" s="265"/>
      <c r="DR97" s="265"/>
      <c r="DS97" s="265"/>
      <c r="DT97" s="265"/>
    </row>
    <row r="98" spans="1:124" ht="30" customHeight="1">
      <c r="A98" s="228"/>
      <c r="B98" s="1237">
        <v>100868</v>
      </c>
      <c r="C98" s="155">
        <f t="shared" si="145"/>
        <v>8</v>
      </c>
      <c r="D98" s="781">
        <v>1</v>
      </c>
      <c r="E98" s="781">
        <v>1</v>
      </c>
      <c r="F98" s="781">
        <v>1</v>
      </c>
      <c r="G98" s="1290" t="s">
        <v>188</v>
      </c>
      <c r="H98" s="344" t="s">
        <v>2215</v>
      </c>
      <c r="I98" s="1234" t="s">
        <v>4039</v>
      </c>
      <c r="J98" s="207" t="str">
        <f t="shared" si="0"/>
        <v>Andrea Venturini</v>
      </c>
      <c r="K98" s="156"/>
      <c r="L98" s="131"/>
      <c r="M98" s="131"/>
      <c r="N98" s="131" t="str">
        <f t="shared" si="1"/>
        <v>Putelli</v>
      </c>
      <c r="O98" s="1297"/>
      <c r="P98" s="251"/>
      <c r="Q98" s="131"/>
      <c r="R98" s="252" t="s">
        <v>4035</v>
      </c>
      <c r="S98" s="254"/>
      <c r="T98" s="346"/>
      <c r="U98" s="253"/>
      <c r="V98" s="253"/>
      <c r="W98" s="251"/>
      <c r="X98" s="131"/>
      <c r="Y98" s="251"/>
      <c r="Z98" s="251"/>
      <c r="AA98" s="251"/>
      <c r="AB98" s="255"/>
      <c r="AC98" s="256"/>
      <c r="AD98" s="121" t="s">
        <v>4036</v>
      </c>
      <c r="AE98" s="80">
        <f t="shared" si="146"/>
        <v>0</v>
      </c>
      <c r="AF98" s="257"/>
      <c r="AG98" s="155"/>
      <c r="AH98" s="155"/>
      <c r="AI98" s="155"/>
      <c r="AJ98" s="257"/>
      <c r="AK98" s="155"/>
      <c r="AL98" s="155"/>
      <c r="AM98" s="155"/>
      <c r="AN98" s="257"/>
      <c r="AO98" s="258"/>
      <c r="AP98" s="258"/>
      <c r="AQ98" s="258"/>
      <c r="AR98" s="211"/>
      <c r="AS98" s="259" t="s">
        <v>115</v>
      </c>
      <c r="AT98" s="259" t="s">
        <v>115</v>
      </c>
      <c r="AU98" s="259" t="s">
        <v>115</v>
      </c>
      <c r="AV98" s="211"/>
      <c r="AW98" s="259"/>
      <c r="AX98" s="259"/>
      <c r="AY98" s="259"/>
      <c r="AZ98" s="808">
        <f t="shared" si="100"/>
        <v>2997</v>
      </c>
      <c r="BA98" s="761">
        <f t="shared" si="98"/>
        <v>2997</v>
      </c>
      <c r="BB98" s="761">
        <f t="shared" si="4"/>
        <v>0</v>
      </c>
      <c r="BC98" s="262"/>
      <c r="BD98" s="824">
        <f t="shared" si="147"/>
        <v>2997</v>
      </c>
      <c r="BE98" s="1231"/>
      <c r="BF98" s="317" t="s">
        <v>133</v>
      </c>
      <c r="BG98" s="98">
        <v>0.15</v>
      </c>
      <c r="BH98" s="262"/>
      <c r="BI98" s="242">
        <f t="shared" si="137"/>
        <v>449.55</v>
      </c>
      <c r="BJ98" s="1231">
        <f t="shared" si="138"/>
        <v>0</v>
      </c>
      <c r="BK98" s="772" t="s">
        <v>1076</v>
      </c>
      <c r="BL98" s="772" t="s">
        <v>133</v>
      </c>
      <c r="BM98" s="98">
        <v>0.1</v>
      </c>
      <c r="BN98" s="262"/>
      <c r="BO98" s="242">
        <f t="shared" si="133"/>
        <v>299.7</v>
      </c>
      <c r="BP98" s="1231">
        <f t="shared" si="134"/>
        <v>0</v>
      </c>
      <c r="BQ98" s="387" t="s">
        <v>1076</v>
      </c>
      <c r="BR98" s="110">
        <v>2997</v>
      </c>
      <c r="BS98" s="226">
        <v>44814</v>
      </c>
      <c r="BT98" s="110">
        <v>2997</v>
      </c>
      <c r="BU98" s="263"/>
      <c r="BV98" s="110"/>
      <c r="BW98" s="348"/>
      <c r="BX98" s="110"/>
      <c r="BY98" s="263"/>
      <c r="BZ98" s="110"/>
      <c r="CA98" s="263"/>
      <c r="CB98" s="110"/>
      <c r="CC98" s="263"/>
      <c r="CD98" s="110"/>
      <c r="CE98" s="226"/>
      <c r="CF98" s="110"/>
      <c r="CG98" s="263"/>
      <c r="CH98" s="110"/>
      <c r="CI98" s="226"/>
      <c r="CJ98" s="110"/>
      <c r="CK98" s="155" t="s">
        <v>1047</v>
      </c>
      <c r="CL98" s="181"/>
      <c r="CM98" s="181"/>
      <c r="CN98" s="207"/>
      <c r="CO98" s="353" t="s">
        <v>215</v>
      </c>
      <c r="CP98" s="155"/>
      <c r="CQ98" s="131" t="s">
        <v>4037</v>
      </c>
      <c r="CR98" s="823" t="s">
        <v>4038</v>
      </c>
      <c r="CS98" s="116" t="str">
        <f t="shared" si="9"/>
        <v>Cristian B</v>
      </c>
      <c r="CT98" s="820">
        <f t="shared" si="143"/>
        <v>449.55</v>
      </c>
      <c r="CU98" s="820">
        <f t="shared" si="144"/>
        <v>299.7</v>
      </c>
      <c r="CV98" s="116" t="str">
        <f t="shared" si="10"/>
        <v>Cristian B</v>
      </c>
      <c r="CW98" s="181"/>
      <c r="CX98" s="779"/>
      <c r="CY98" s="729"/>
      <c r="CZ98" s="729"/>
      <c r="DA98" s="729"/>
      <c r="DB98" s="729"/>
      <c r="DC98" s="729"/>
      <c r="DD98" s="265"/>
      <c r="DE98" s="265"/>
      <c r="DF98" s="265"/>
      <c r="DG98" s="265"/>
      <c r="DH98" s="265"/>
      <c r="DI98" s="265"/>
      <c r="DJ98" s="265"/>
      <c r="DK98" s="265"/>
      <c r="DL98" s="265"/>
      <c r="DM98" s="265"/>
      <c r="DN98" s="265"/>
      <c r="DO98" s="265"/>
      <c r="DP98" s="265"/>
      <c r="DQ98" s="265"/>
      <c r="DR98" s="265"/>
      <c r="DS98" s="265"/>
      <c r="DT98" s="265"/>
    </row>
    <row r="99" spans="1:124" ht="30" customHeight="1">
      <c r="A99" s="228"/>
      <c r="B99" s="1237">
        <v>100868</v>
      </c>
      <c r="C99" s="155">
        <f t="shared" si="145"/>
        <v>9</v>
      </c>
      <c r="D99" s="781">
        <v>1</v>
      </c>
      <c r="E99" s="781">
        <v>1</v>
      </c>
      <c r="F99" s="781">
        <v>1</v>
      </c>
      <c r="G99" s="1290" t="s">
        <v>287</v>
      </c>
      <c r="H99" s="344" t="s">
        <v>2363</v>
      </c>
      <c r="I99" s="1234" t="s">
        <v>4040</v>
      </c>
      <c r="J99" s="207" t="str">
        <f t="shared" si="0"/>
        <v>Riccardo Migliorati</v>
      </c>
      <c r="K99" s="156"/>
      <c r="L99" s="131"/>
      <c r="M99" s="131"/>
      <c r="N99" s="131" t="str">
        <f t="shared" si="1"/>
        <v>Putelli</v>
      </c>
      <c r="O99" s="1297"/>
      <c r="P99" s="251"/>
      <c r="Q99" s="131"/>
      <c r="R99" s="252" t="s">
        <v>4035</v>
      </c>
      <c r="S99" s="254"/>
      <c r="T99" s="346"/>
      <c r="U99" s="253"/>
      <c r="V99" s="253"/>
      <c r="W99" s="251"/>
      <c r="X99" s="131"/>
      <c r="Y99" s="251"/>
      <c r="Z99" s="251"/>
      <c r="AA99" s="251"/>
      <c r="AB99" s="255"/>
      <c r="AC99" s="256"/>
      <c r="AD99" s="121" t="s">
        <v>4036</v>
      </c>
      <c r="AE99" s="80">
        <f t="shared" si="146"/>
        <v>0</v>
      </c>
      <c r="AF99" s="257"/>
      <c r="AG99" s="155"/>
      <c r="AH99" s="155"/>
      <c r="AI99" s="155"/>
      <c r="AJ99" s="257"/>
      <c r="AK99" s="155"/>
      <c r="AL99" s="155"/>
      <c r="AM99" s="155"/>
      <c r="AN99" s="257"/>
      <c r="AO99" s="258"/>
      <c r="AP99" s="258"/>
      <c r="AQ99" s="258"/>
      <c r="AR99" s="211"/>
      <c r="AS99" s="259" t="s">
        <v>115</v>
      </c>
      <c r="AT99" s="259" t="s">
        <v>115</v>
      </c>
      <c r="AU99" s="259" t="s">
        <v>115</v>
      </c>
      <c r="AV99" s="211"/>
      <c r="AW99" s="259"/>
      <c r="AX99" s="259"/>
      <c r="AY99" s="259"/>
      <c r="AZ99" s="808">
        <f t="shared" si="100"/>
        <v>2997</v>
      </c>
      <c r="BA99" s="761">
        <f t="shared" si="98"/>
        <v>2997</v>
      </c>
      <c r="BB99" s="761">
        <f t="shared" si="4"/>
        <v>0</v>
      </c>
      <c r="BC99" s="262"/>
      <c r="BD99" s="824">
        <f t="shared" si="147"/>
        <v>2997</v>
      </c>
      <c r="BE99" s="1231"/>
      <c r="BF99" s="317" t="s">
        <v>133</v>
      </c>
      <c r="BG99" s="98">
        <v>0.15</v>
      </c>
      <c r="BH99" s="262"/>
      <c r="BI99" s="242">
        <f t="shared" si="137"/>
        <v>449.55</v>
      </c>
      <c r="BJ99" s="1231">
        <f t="shared" si="138"/>
        <v>0</v>
      </c>
      <c r="BK99" s="772" t="s">
        <v>1076</v>
      </c>
      <c r="BL99" s="772" t="s">
        <v>133</v>
      </c>
      <c r="BM99" s="98">
        <v>0.1</v>
      </c>
      <c r="BN99" s="262"/>
      <c r="BO99" s="242">
        <f t="shared" si="133"/>
        <v>299.7</v>
      </c>
      <c r="BP99" s="1231">
        <f t="shared" si="134"/>
        <v>0</v>
      </c>
      <c r="BQ99" s="387" t="s">
        <v>1076</v>
      </c>
      <c r="BR99" s="110">
        <v>2997</v>
      </c>
      <c r="BS99" s="226">
        <v>44814</v>
      </c>
      <c r="BT99" s="110">
        <v>2997</v>
      </c>
      <c r="BU99" s="263"/>
      <c r="BV99" s="110"/>
      <c r="BW99" s="348"/>
      <c r="BX99" s="110"/>
      <c r="BY99" s="263"/>
      <c r="BZ99" s="110"/>
      <c r="CA99" s="263"/>
      <c r="CB99" s="110"/>
      <c r="CC99" s="263"/>
      <c r="CD99" s="110"/>
      <c r="CE99" s="226"/>
      <c r="CF99" s="110"/>
      <c r="CG99" s="263"/>
      <c r="CH99" s="110"/>
      <c r="CI99" s="226"/>
      <c r="CJ99" s="110"/>
      <c r="CK99" s="155" t="s">
        <v>1047</v>
      </c>
      <c r="CL99" s="181"/>
      <c r="CM99" s="181"/>
      <c r="CN99" s="207"/>
      <c r="CO99" s="282" t="s">
        <v>122</v>
      </c>
      <c r="CP99" s="155"/>
      <c r="CQ99" s="131" t="s">
        <v>4037</v>
      </c>
      <c r="CR99" s="823" t="s">
        <v>4038</v>
      </c>
      <c r="CS99" s="116" t="str">
        <f t="shared" si="9"/>
        <v>Cristian B</v>
      </c>
      <c r="CT99" s="820">
        <f t="shared" si="143"/>
        <v>449.55</v>
      </c>
      <c r="CU99" s="820">
        <f t="shared" si="144"/>
        <v>299.7</v>
      </c>
      <c r="CV99" s="116" t="str">
        <f t="shared" si="10"/>
        <v>Cristian B</v>
      </c>
      <c r="CW99" s="181"/>
      <c r="CX99" s="779"/>
      <c r="CY99" s="729"/>
      <c r="CZ99" s="729"/>
      <c r="DA99" s="729"/>
      <c r="DB99" s="729"/>
      <c r="DC99" s="729"/>
      <c r="DD99" s="265"/>
      <c r="DE99" s="265"/>
      <c r="DF99" s="265"/>
      <c r="DG99" s="265"/>
      <c r="DH99" s="265"/>
      <c r="DI99" s="265"/>
      <c r="DJ99" s="265"/>
      <c r="DK99" s="265"/>
      <c r="DL99" s="265"/>
      <c r="DM99" s="265"/>
      <c r="DN99" s="265"/>
      <c r="DO99" s="265"/>
      <c r="DP99" s="265"/>
      <c r="DQ99" s="265"/>
      <c r="DR99" s="265"/>
      <c r="DS99" s="265"/>
      <c r="DT99" s="265"/>
    </row>
    <row r="100" spans="1:124" ht="30" customHeight="1">
      <c r="A100" s="228"/>
      <c r="B100" s="1237">
        <v>100868</v>
      </c>
      <c r="C100" s="155">
        <f t="shared" si="145"/>
        <v>10</v>
      </c>
      <c r="D100" s="781">
        <v>1</v>
      </c>
      <c r="E100" s="781">
        <v>1</v>
      </c>
      <c r="F100" s="781">
        <v>1</v>
      </c>
      <c r="G100" s="1290" t="s">
        <v>3165</v>
      </c>
      <c r="H100" s="344" t="s">
        <v>4041</v>
      </c>
      <c r="I100" s="1234" t="s">
        <v>4042</v>
      </c>
      <c r="J100" s="207" t="str">
        <f t="shared" si="0"/>
        <v>Massimiliano Pianari</v>
      </c>
      <c r="K100" s="156"/>
      <c r="L100" s="131"/>
      <c r="M100" s="131"/>
      <c r="N100" s="131" t="str">
        <f t="shared" si="1"/>
        <v>Putelli</v>
      </c>
      <c r="O100" s="1297"/>
      <c r="P100" s="251"/>
      <c r="Q100" s="131"/>
      <c r="R100" s="252" t="s">
        <v>4035</v>
      </c>
      <c r="S100" s="254"/>
      <c r="T100" s="346"/>
      <c r="U100" s="253"/>
      <c r="V100" s="253"/>
      <c r="W100" s="251"/>
      <c r="X100" s="131"/>
      <c r="Y100" s="251"/>
      <c r="Z100" s="251"/>
      <c r="AA100" s="251"/>
      <c r="AB100" s="255"/>
      <c r="AC100" s="256"/>
      <c r="AD100" s="121" t="s">
        <v>4036</v>
      </c>
      <c r="AE100" s="80">
        <f t="shared" si="146"/>
        <v>0</v>
      </c>
      <c r="AF100" s="257"/>
      <c r="AG100" s="155"/>
      <c r="AH100" s="155"/>
      <c r="AI100" s="155"/>
      <c r="AJ100" s="257"/>
      <c r="AK100" s="155"/>
      <c r="AL100" s="155"/>
      <c r="AM100" s="155"/>
      <c r="AN100" s="257"/>
      <c r="AO100" s="258"/>
      <c r="AP100" s="258"/>
      <c r="AQ100" s="258"/>
      <c r="AR100" s="211"/>
      <c r="AS100" s="259" t="s">
        <v>115</v>
      </c>
      <c r="AT100" s="259" t="s">
        <v>115</v>
      </c>
      <c r="AU100" s="259" t="s">
        <v>115</v>
      </c>
      <c r="AV100" s="211"/>
      <c r="AW100" s="259"/>
      <c r="AX100" s="259"/>
      <c r="AY100" s="259"/>
      <c r="AZ100" s="808">
        <f t="shared" si="100"/>
        <v>2997</v>
      </c>
      <c r="BA100" s="761">
        <f t="shared" si="98"/>
        <v>2997</v>
      </c>
      <c r="BB100" s="761">
        <f t="shared" si="4"/>
        <v>0</v>
      </c>
      <c r="BC100" s="262"/>
      <c r="BD100" s="824">
        <f t="shared" si="147"/>
        <v>2997</v>
      </c>
      <c r="BE100" s="1231"/>
      <c r="BF100" s="317" t="s">
        <v>133</v>
      </c>
      <c r="BG100" s="98">
        <v>0.15</v>
      </c>
      <c r="BH100" s="262"/>
      <c r="BI100" s="242">
        <f t="shared" si="137"/>
        <v>449.55</v>
      </c>
      <c r="BJ100" s="1231">
        <f t="shared" si="138"/>
        <v>0</v>
      </c>
      <c r="BK100" s="772" t="s">
        <v>1076</v>
      </c>
      <c r="BL100" s="772" t="s">
        <v>133</v>
      </c>
      <c r="BM100" s="98">
        <v>0.1</v>
      </c>
      <c r="BN100" s="262"/>
      <c r="BO100" s="242">
        <f t="shared" si="133"/>
        <v>299.7</v>
      </c>
      <c r="BP100" s="1231">
        <f t="shared" si="134"/>
        <v>0</v>
      </c>
      <c r="BQ100" s="387" t="s">
        <v>1076</v>
      </c>
      <c r="BR100" s="110">
        <v>2997</v>
      </c>
      <c r="BS100" s="226">
        <v>44814</v>
      </c>
      <c r="BT100" s="110">
        <v>2997</v>
      </c>
      <c r="BU100" s="263"/>
      <c r="BV100" s="110"/>
      <c r="BW100" s="348"/>
      <c r="BX100" s="110"/>
      <c r="BY100" s="263"/>
      <c r="BZ100" s="110"/>
      <c r="CA100" s="263"/>
      <c r="CB100" s="110"/>
      <c r="CC100" s="263"/>
      <c r="CD100" s="110"/>
      <c r="CE100" s="226"/>
      <c r="CF100" s="110"/>
      <c r="CG100" s="263"/>
      <c r="CH100" s="110"/>
      <c r="CI100" s="226"/>
      <c r="CJ100" s="110"/>
      <c r="CK100" s="155" t="s">
        <v>1047</v>
      </c>
      <c r="CL100" s="181"/>
      <c r="CM100" s="181"/>
      <c r="CN100" s="207"/>
      <c r="CO100" s="282" t="s">
        <v>122</v>
      </c>
      <c r="CP100" s="155"/>
      <c r="CQ100" s="131" t="s">
        <v>4037</v>
      </c>
      <c r="CR100" s="823" t="s">
        <v>4038</v>
      </c>
      <c r="CS100" s="116" t="str">
        <f t="shared" si="9"/>
        <v>Cristian B</v>
      </c>
      <c r="CT100" s="820">
        <f t="shared" si="143"/>
        <v>449.55</v>
      </c>
      <c r="CU100" s="820">
        <f t="shared" si="144"/>
        <v>299.7</v>
      </c>
      <c r="CV100" s="116" t="str">
        <f t="shared" si="10"/>
        <v>Cristian B</v>
      </c>
      <c r="CW100" s="181"/>
      <c r="CX100" s="779"/>
      <c r="CY100" s="729"/>
      <c r="CZ100" s="729"/>
      <c r="DA100" s="729"/>
      <c r="DB100" s="729"/>
      <c r="DC100" s="729"/>
      <c r="DD100" s="265"/>
      <c r="DE100" s="265"/>
      <c r="DF100" s="265"/>
      <c r="DG100" s="265"/>
      <c r="DH100" s="265"/>
      <c r="DI100" s="265"/>
      <c r="DJ100" s="265"/>
      <c r="DK100" s="265"/>
      <c r="DL100" s="265"/>
      <c r="DM100" s="265"/>
      <c r="DN100" s="265"/>
      <c r="DO100" s="265"/>
      <c r="DP100" s="265"/>
      <c r="DQ100" s="265"/>
      <c r="DR100" s="265"/>
      <c r="DS100" s="265"/>
      <c r="DT100" s="265"/>
    </row>
    <row r="101" spans="1:124" ht="30" customHeight="1">
      <c r="A101" s="228"/>
      <c r="B101" s="1237">
        <v>100868</v>
      </c>
      <c r="C101" s="406">
        <f t="shared" si="145"/>
        <v>11</v>
      </c>
      <c r="D101" s="781">
        <v>1</v>
      </c>
      <c r="E101" s="781">
        <v>1</v>
      </c>
      <c r="F101" s="781">
        <v>1</v>
      </c>
      <c r="G101" s="1290" t="s">
        <v>622</v>
      </c>
      <c r="H101" s="1290" t="s">
        <v>4043</v>
      </c>
      <c r="I101" s="1234" t="s">
        <v>4044</v>
      </c>
      <c r="J101" s="207" t="str">
        <f t="shared" si="0"/>
        <v>Laura Marini</v>
      </c>
      <c r="K101" s="156"/>
      <c r="L101" s="131"/>
      <c r="M101" s="131"/>
      <c r="N101" s="131" t="str">
        <f t="shared" si="1"/>
        <v>Putelli</v>
      </c>
      <c r="O101" s="1297"/>
      <c r="P101" s="251"/>
      <c r="Q101" s="131"/>
      <c r="R101" s="252" t="s">
        <v>4035</v>
      </c>
      <c r="S101" s="254"/>
      <c r="T101" s="346"/>
      <c r="U101" s="253"/>
      <c r="V101" s="253"/>
      <c r="W101" s="251"/>
      <c r="X101" s="131"/>
      <c r="Y101" s="251"/>
      <c r="Z101" s="251"/>
      <c r="AA101" s="251"/>
      <c r="AB101" s="255"/>
      <c r="AC101" s="256"/>
      <c r="AD101" s="121" t="s">
        <v>4045</v>
      </c>
      <c r="AE101" s="80">
        <f t="shared" si="146"/>
        <v>0</v>
      </c>
      <c r="AF101" s="257"/>
      <c r="AG101" s="155"/>
      <c r="AH101" s="155"/>
      <c r="AI101" s="155"/>
      <c r="AJ101" s="257"/>
      <c r="AK101" s="155"/>
      <c r="AL101" s="155"/>
      <c r="AM101" s="155"/>
      <c r="AN101" s="257"/>
      <c r="AO101" s="258"/>
      <c r="AP101" s="258"/>
      <c r="AQ101" s="258"/>
      <c r="AR101" s="211"/>
      <c r="AS101" s="259" t="s">
        <v>115</v>
      </c>
      <c r="AT101" s="259" t="s">
        <v>115</v>
      </c>
      <c r="AU101" s="259" t="s">
        <v>115</v>
      </c>
      <c r="AV101" s="211"/>
      <c r="AW101" s="259"/>
      <c r="AX101" s="259"/>
      <c r="AY101" s="259"/>
      <c r="AZ101" s="808">
        <f t="shared" si="100"/>
        <v>1997</v>
      </c>
      <c r="BA101" s="761">
        <f t="shared" si="98"/>
        <v>1997</v>
      </c>
      <c r="BB101" s="761">
        <f t="shared" si="4"/>
        <v>0</v>
      </c>
      <c r="BC101" s="262"/>
      <c r="BD101" s="824">
        <f t="shared" si="147"/>
        <v>1997</v>
      </c>
      <c r="BE101" s="1231"/>
      <c r="BF101" s="317" t="s">
        <v>133</v>
      </c>
      <c r="BG101" s="98">
        <v>0.15</v>
      </c>
      <c r="BH101" s="262"/>
      <c r="BI101" s="242">
        <f t="shared" si="137"/>
        <v>299.55</v>
      </c>
      <c r="BJ101" s="1231">
        <f t="shared" si="138"/>
        <v>0</v>
      </c>
      <c r="BK101" s="772" t="s">
        <v>1076</v>
      </c>
      <c r="BL101" s="772" t="s">
        <v>133</v>
      </c>
      <c r="BM101" s="98">
        <v>0.1</v>
      </c>
      <c r="BN101" s="262"/>
      <c r="BO101" s="242">
        <f t="shared" si="133"/>
        <v>199.70000000000002</v>
      </c>
      <c r="BP101" s="1231">
        <f t="shared" si="134"/>
        <v>0</v>
      </c>
      <c r="BQ101" s="387" t="s">
        <v>1076</v>
      </c>
      <c r="BR101" s="110">
        <v>1997</v>
      </c>
      <c r="BS101" s="226">
        <v>44846</v>
      </c>
      <c r="BT101" s="110">
        <v>1997</v>
      </c>
      <c r="BU101" s="263"/>
      <c r="BV101" s="110"/>
      <c r="BW101" s="348"/>
      <c r="BX101" s="110"/>
      <c r="BY101" s="263"/>
      <c r="BZ101" s="110"/>
      <c r="CA101" s="263"/>
      <c r="CB101" s="110"/>
      <c r="CC101" s="263"/>
      <c r="CD101" s="110"/>
      <c r="CE101" s="226"/>
      <c r="CF101" s="110"/>
      <c r="CG101" s="263"/>
      <c r="CH101" s="110"/>
      <c r="CI101" s="226"/>
      <c r="CJ101" s="110"/>
      <c r="CK101" s="155" t="s">
        <v>1047</v>
      </c>
      <c r="CL101" s="181"/>
      <c r="CM101" s="181"/>
      <c r="CN101" s="207"/>
      <c r="CO101" s="282" t="s">
        <v>122</v>
      </c>
      <c r="CP101" s="155"/>
      <c r="CQ101" s="131" t="s">
        <v>4037</v>
      </c>
      <c r="CR101" s="823" t="s">
        <v>4038</v>
      </c>
      <c r="CS101" s="116" t="str">
        <f t="shared" si="9"/>
        <v>Cristian B</v>
      </c>
      <c r="CT101" s="820">
        <f t="shared" si="143"/>
        <v>299.55</v>
      </c>
      <c r="CU101" s="820">
        <f t="shared" si="144"/>
        <v>199.70000000000002</v>
      </c>
      <c r="CV101" s="116" t="str">
        <f t="shared" si="10"/>
        <v>Cristian B</v>
      </c>
      <c r="CW101" s="181"/>
      <c r="CX101" s="779"/>
      <c r="CY101" s="729"/>
      <c r="CZ101" s="729"/>
      <c r="DA101" s="729"/>
      <c r="DB101" s="729"/>
      <c r="DC101" s="729"/>
      <c r="DD101" s="265"/>
      <c r="DE101" s="265"/>
      <c r="DF101" s="265"/>
      <c r="DG101" s="265"/>
      <c r="DH101" s="265"/>
      <c r="DI101" s="265"/>
      <c r="DJ101" s="265"/>
      <c r="DK101" s="265"/>
      <c r="DL101" s="265"/>
      <c r="DM101" s="265"/>
      <c r="DN101" s="265"/>
      <c r="DO101" s="265"/>
      <c r="DP101" s="265"/>
      <c r="DQ101" s="265"/>
      <c r="DR101" s="265"/>
      <c r="DS101" s="265"/>
      <c r="DT101" s="265"/>
    </row>
    <row r="102" spans="1:124" ht="30" customHeight="1">
      <c r="A102" s="228"/>
      <c r="B102" s="1237">
        <v>101569</v>
      </c>
      <c r="C102" s="155">
        <f t="shared" si="145"/>
        <v>12</v>
      </c>
      <c r="D102" s="781">
        <v>1</v>
      </c>
      <c r="E102" s="781">
        <v>1</v>
      </c>
      <c r="F102" s="781">
        <v>1</v>
      </c>
      <c r="G102" s="1295" t="s">
        <v>4046</v>
      </c>
      <c r="H102" s="1290" t="s">
        <v>4047</v>
      </c>
      <c r="I102" s="1234" t="s">
        <v>4048</v>
      </c>
      <c r="J102" s="207" t="str">
        <f t="shared" si="0"/>
        <v>Giacomo Greggio</v>
      </c>
      <c r="K102" s="156"/>
      <c r="L102" s="131"/>
      <c r="M102" s="131"/>
      <c r="N102" s="131" t="str">
        <f t="shared" si="1"/>
        <v>Pac Service</v>
      </c>
      <c r="O102" s="1297"/>
      <c r="P102" s="251"/>
      <c r="Q102" s="131"/>
      <c r="R102" s="252" t="s">
        <v>4049</v>
      </c>
      <c r="S102" s="254"/>
      <c r="T102" s="346"/>
      <c r="U102" s="253"/>
      <c r="V102" s="253"/>
      <c r="W102" s="251"/>
      <c r="X102" s="131"/>
      <c r="Y102" s="251"/>
      <c r="Z102" s="251"/>
      <c r="AA102" s="251"/>
      <c r="AB102" s="255"/>
      <c r="AC102" s="256"/>
      <c r="AD102" s="121" t="s">
        <v>4050</v>
      </c>
      <c r="AE102" s="80">
        <f t="shared" si="146"/>
        <v>0</v>
      </c>
      <c r="AF102" s="257"/>
      <c r="AG102" s="155"/>
      <c r="AH102" s="155"/>
      <c r="AI102" s="155"/>
      <c r="AJ102" s="257"/>
      <c r="AK102" s="155"/>
      <c r="AL102" s="155"/>
      <c r="AM102" s="155"/>
      <c r="AN102" s="257"/>
      <c r="AO102" s="258"/>
      <c r="AP102" s="258"/>
      <c r="AQ102" s="258"/>
      <c r="AR102" s="211"/>
      <c r="AS102" s="259" t="s">
        <v>115</v>
      </c>
      <c r="AT102" s="259" t="s">
        <v>115</v>
      </c>
      <c r="AU102" s="259" t="s">
        <v>115</v>
      </c>
      <c r="AV102" s="211"/>
      <c r="AW102" s="259"/>
      <c r="AX102" s="259"/>
      <c r="AY102" s="259"/>
      <c r="AZ102" s="808">
        <f t="shared" si="100"/>
        <v>2997</v>
      </c>
      <c r="BA102" s="761">
        <f t="shared" si="98"/>
        <v>2997</v>
      </c>
      <c r="BB102" s="761">
        <f t="shared" si="4"/>
        <v>0</v>
      </c>
      <c r="BC102" s="262"/>
      <c r="BD102" s="824">
        <f t="shared" si="147"/>
        <v>2997</v>
      </c>
      <c r="BE102" s="1231"/>
      <c r="BF102" s="363" t="s">
        <v>117</v>
      </c>
      <c r="BG102" s="98">
        <v>0</v>
      </c>
      <c r="BH102" s="262"/>
      <c r="BI102" s="242">
        <f t="shared" si="137"/>
        <v>0</v>
      </c>
      <c r="BJ102" s="1231">
        <f t="shared" si="138"/>
        <v>0</v>
      </c>
      <c r="BK102" s="244" t="s">
        <v>118</v>
      </c>
      <c r="BL102" s="243" t="s">
        <v>160</v>
      </c>
      <c r="BM102" s="98">
        <v>0.1</v>
      </c>
      <c r="BN102" s="262"/>
      <c r="BO102" s="242">
        <f t="shared" si="133"/>
        <v>299.7</v>
      </c>
      <c r="BP102" s="1231">
        <f t="shared" si="134"/>
        <v>0</v>
      </c>
      <c r="BQ102" s="387" t="s">
        <v>1076</v>
      </c>
      <c r="BR102" s="110">
        <v>2997</v>
      </c>
      <c r="BS102" s="226">
        <v>44831</v>
      </c>
      <c r="BT102" s="110">
        <v>2997</v>
      </c>
      <c r="BU102" s="263"/>
      <c r="BV102" s="110"/>
      <c r="BW102" s="348"/>
      <c r="BX102" s="110"/>
      <c r="BY102" s="263"/>
      <c r="BZ102" s="110"/>
      <c r="CA102" s="263"/>
      <c r="CB102" s="110"/>
      <c r="CC102" s="263"/>
      <c r="CD102" s="110"/>
      <c r="CE102" s="226"/>
      <c r="CF102" s="110"/>
      <c r="CG102" s="263"/>
      <c r="CH102" s="110"/>
      <c r="CI102" s="226"/>
      <c r="CJ102" s="110"/>
      <c r="CK102" s="155">
        <v>1</v>
      </c>
      <c r="CL102" s="181" t="s">
        <v>1123</v>
      </c>
      <c r="CM102" s="181"/>
      <c r="CN102" s="207"/>
      <c r="CO102" s="353" t="s">
        <v>215</v>
      </c>
      <c r="CP102" s="155"/>
      <c r="CQ102" s="131"/>
      <c r="CR102" s="823" t="s">
        <v>4051</v>
      </c>
      <c r="CS102" s="116" t="str">
        <f t="shared" si="9"/>
        <v>blackship</v>
      </c>
      <c r="CT102" s="820">
        <f t="shared" si="143"/>
        <v>0</v>
      </c>
      <c r="CU102" s="820">
        <f t="shared" si="144"/>
        <v>299.7</v>
      </c>
      <c r="CV102" s="116" t="str">
        <f t="shared" si="10"/>
        <v>Gianluca</v>
      </c>
      <c r="CW102" s="181"/>
      <c r="CX102" s="779"/>
      <c r="CY102" s="729"/>
      <c r="CZ102" s="729"/>
      <c r="DA102" s="729"/>
      <c r="DB102" s="729"/>
      <c r="DC102" s="729"/>
      <c r="DD102" s="265"/>
      <c r="DE102" s="265"/>
      <c r="DF102" s="265"/>
      <c r="DG102" s="265"/>
      <c r="DH102" s="265"/>
      <c r="DI102" s="265"/>
      <c r="DJ102" s="265"/>
      <c r="DK102" s="265"/>
      <c r="DL102" s="265"/>
      <c r="DM102" s="265"/>
      <c r="DN102" s="265"/>
      <c r="DO102" s="265"/>
      <c r="DP102" s="265"/>
      <c r="DQ102" s="265"/>
      <c r="DR102" s="265"/>
      <c r="DS102" s="265"/>
      <c r="DT102" s="265"/>
    </row>
    <row r="103" spans="1:124" ht="30" customHeight="1">
      <c r="A103" s="228"/>
      <c r="B103" s="1237">
        <v>101569</v>
      </c>
      <c r="C103" s="155">
        <f t="shared" si="145"/>
        <v>13</v>
      </c>
      <c r="D103" s="781">
        <v>1</v>
      </c>
      <c r="E103" s="781">
        <v>1</v>
      </c>
      <c r="F103" s="781">
        <v>1</v>
      </c>
      <c r="G103" s="1295" t="s">
        <v>471</v>
      </c>
      <c r="H103" s="1290" t="s">
        <v>4052</v>
      </c>
      <c r="I103" s="1234" t="s">
        <v>4053</v>
      </c>
      <c r="J103" s="207" t="str">
        <f t="shared" si="0"/>
        <v>Federico Burlin</v>
      </c>
      <c r="K103" s="156" t="s">
        <v>4054</v>
      </c>
      <c r="L103" s="131"/>
      <c r="M103" s="131"/>
      <c r="N103" s="131" t="str">
        <f t="shared" si="1"/>
        <v>Pac Service</v>
      </c>
      <c r="O103" s="1297"/>
      <c r="P103" s="251"/>
      <c r="Q103" s="131"/>
      <c r="R103" s="252" t="s">
        <v>4049</v>
      </c>
      <c r="S103" s="254"/>
      <c r="T103" s="346"/>
      <c r="U103" s="253"/>
      <c r="V103" s="253"/>
      <c r="W103" s="251"/>
      <c r="X103" s="131"/>
      <c r="Y103" s="251"/>
      <c r="Z103" s="251"/>
      <c r="AA103" s="251"/>
      <c r="AB103" s="255"/>
      <c r="AC103" s="256"/>
      <c r="AD103" s="121" t="s">
        <v>4050</v>
      </c>
      <c r="AE103" s="80">
        <f t="shared" si="146"/>
        <v>0</v>
      </c>
      <c r="AF103" s="257"/>
      <c r="AG103" s="155"/>
      <c r="AH103" s="155"/>
      <c r="AI103" s="155"/>
      <c r="AJ103" s="257"/>
      <c r="AK103" s="155"/>
      <c r="AL103" s="155"/>
      <c r="AM103" s="155"/>
      <c r="AN103" s="257"/>
      <c r="AO103" s="258"/>
      <c r="AP103" s="258"/>
      <c r="AQ103" s="258"/>
      <c r="AR103" s="211"/>
      <c r="AS103" s="259" t="s">
        <v>115</v>
      </c>
      <c r="AT103" s="259" t="s">
        <v>115</v>
      </c>
      <c r="AU103" s="259" t="s">
        <v>115</v>
      </c>
      <c r="AV103" s="211"/>
      <c r="AW103" s="259"/>
      <c r="AX103" s="259"/>
      <c r="AY103" s="259"/>
      <c r="AZ103" s="808">
        <f t="shared" si="100"/>
        <v>2997</v>
      </c>
      <c r="BA103" s="761">
        <f t="shared" si="98"/>
        <v>2997</v>
      </c>
      <c r="BB103" s="761">
        <f t="shared" si="4"/>
        <v>0</v>
      </c>
      <c r="BC103" s="262"/>
      <c r="BD103" s="824">
        <f t="shared" si="147"/>
        <v>2997</v>
      </c>
      <c r="BE103" s="1231"/>
      <c r="BF103" s="363" t="s">
        <v>117</v>
      </c>
      <c r="BG103" s="98">
        <v>0</v>
      </c>
      <c r="BH103" s="262"/>
      <c r="BI103" s="242">
        <f t="shared" si="137"/>
        <v>0</v>
      </c>
      <c r="BJ103" s="1231">
        <f t="shared" si="138"/>
        <v>0</v>
      </c>
      <c r="BK103" s="244" t="s">
        <v>118</v>
      </c>
      <c r="BL103" s="243" t="s">
        <v>160</v>
      </c>
      <c r="BM103" s="98">
        <v>0.1</v>
      </c>
      <c r="BN103" s="262"/>
      <c r="BO103" s="242">
        <f t="shared" si="133"/>
        <v>299.7</v>
      </c>
      <c r="BP103" s="1231">
        <f t="shared" si="134"/>
        <v>0</v>
      </c>
      <c r="BQ103" s="387" t="s">
        <v>1076</v>
      </c>
      <c r="BR103" s="110">
        <v>2997</v>
      </c>
      <c r="BS103" s="226">
        <v>44831</v>
      </c>
      <c r="BT103" s="110">
        <v>2997</v>
      </c>
      <c r="BU103" s="263"/>
      <c r="BV103" s="110"/>
      <c r="BW103" s="348"/>
      <c r="BX103" s="110"/>
      <c r="BY103" s="263"/>
      <c r="BZ103" s="110"/>
      <c r="CA103" s="263"/>
      <c r="CB103" s="110"/>
      <c r="CC103" s="263"/>
      <c r="CD103" s="110"/>
      <c r="CE103" s="226"/>
      <c r="CF103" s="110"/>
      <c r="CG103" s="263"/>
      <c r="CH103" s="110"/>
      <c r="CI103" s="226"/>
      <c r="CJ103" s="110"/>
      <c r="CK103" s="155">
        <v>1</v>
      </c>
      <c r="CL103" s="181" t="s">
        <v>1123</v>
      </c>
      <c r="CM103" s="181"/>
      <c r="CN103" s="207"/>
      <c r="CO103" s="353" t="s">
        <v>215</v>
      </c>
      <c r="CP103" s="155"/>
      <c r="CQ103" s="131"/>
      <c r="CR103" s="823" t="s">
        <v>4051</v>
      </c>
      <c r="CS103" s="116" t="str">
        <f t="shared" si="9"/>
        <v>blackship</v>
      </c>
      <c r="CT103" s="820">
        <f t="shared" si="143"/>
        <v>0</v>
      </c>
      <c r="CU103" s="820">
        <f t="shared" si="144"/>
        <v>299.7</v>
      </c>
      <c r="CV103" s="116" t="str">
        <f t="shared" si="10"/>
        <v>Gianluca</v>
      </c>
      <c r="CW103" s="181"/>
      <c r="CX103" s="779"/>
      <c r="CY103" s="729"/>
      <c r="CZ103" s="729"/>
      <c r="DA103" s="729"/>
      <c r="DB103" s="729"/>
      <c r="DC103" s="729"/>
      <c r="DD103" s="265"/>
      <c r="DE103" s="265"/>
      <c r="DF103" s="265"/>
      <c r="DG103" s="265"/>
      <c r="DH103" s="265"/>
      <c r="DI103" s="265"/>
      <c r="DJ103" s="265"/>
      <c r="DK103" s="265"/>
      <c r="DL103" s="265"/>
      <c r="DM103" s="265"/>
      <c r="DN103" s="265"/>
      <c r="DO103" s="265"/>
      <c r="DP103" s="265"/>
      <c r="DQ103" s="265"/>
      <c r="DR103" s="265"/>
      <c r="DS103" s="265"/>
      <c r="DT103" s="265"/>
    </row>
    <row r="104" spans="1:124" ht="30" customHeight="1">
      <c r="A104" s="228"/>
      <c r="B104" s="1237">
        <v>101355</v>
      </c>
      <c r="C104" s="155">
        <f t="shared" si="145"/>
        <v>14</v>
      </c>
      <c r="D104" s="781">
        <v>1</v>
      </c>
      <c r="E104" s="781">
        <v>1</v>
      </c>
      <c r="F104" s="781">
        <v>1</v>
      </c>
      <c r="G104" s="1295" t="s">
        <v>2199</v>
      </c>
      <c r="H104" s="1295" t="s">
        <v>4055</v>
      </c>
      <c r="I104" s="1234" t="s">
        <v>4056</v>
      </c>
      <c r="J104" s="207" t="str">
        <f t="shared" si="0"/>
        <v>Maurizio Cristofaro</v>
      </c>
      <c r="K104" s="156"/>
      <c r="M104" s="131" t="s">
        <v>4057</v>
      </c>
      <c r="N104" s="131" t="str">
        <f t="shared" si="1"/>
        <v>Serin</v>
      </c>
      <c r="O104" s="1297"/>
      <c r="P104" s="251"/>
      <c r="Q104" s="131"/>
      <c r="R104" s="252"/>
      <c r="S104" s="254"/>
      <c r="T104" s="346"/>
      <c r="U104" s="253"/>
      <c r="V104" s="253"/>
      <c r="W104" s="251"/>
      <c r="X104" s="131"/>
      <c r="Y104" s="251"/>
      <c r="Z104" s="251"/>
      <c r="AA104" s="251"/>
      <c r="AB104" s="255"/>
      <c r="AC104" s="256"/>
      <c r="AD104" s="121" t="s">
        <v>4058</v>
      </c>
      <c r="AE104" s="80" t="str">
        <f>M104</f>
        <v>Commerciale / Tecnico</v>
      </c>
      <c r="AF104" s="257"/>
      <c r="AG104" s="155"/>
      <c r="AH104" s="155"/>
      <c r="AI104" s="155"/>
      <c r="AJ104" s="257"/>
      <c r="AK104" s="155"/>
      <c r="AL104" s="155"/>
      <c r="AM104" s="155"/>
      <c r="AN104" s="257"/>
      <c r="AO104" s="258"/>
      <c r="AP104" s="258"/>
      <c r="AQ104" s="258"/>
      <c r="AR104" s="211"/>
      <c r="AS104" s="259" t="s">
        <v>115</v>
      </c>
      <c r="AT104" s="259" t="s">
        <v>115</v>
      </c>
      <c r="AU104" s="259" t="s">
        <v>115</v>
      </c>
      <c r="AV104" s="211"/>
      <c r="AW104" s="121"/>
      <c r="AX104" s="121"/>
      <c r="AY104" s="121"/>
      <c r="AZ104" s="808">
        <f t="shared" si="100"/>
        <v>2997</v>
      </c>
      <c r="BA104" s="761">
        <f t="shared" si="98"/>
        <v>2997</v>
      </c>
      <c r="BB104" s="761">
        <f t="shared" si="4"/>
        <v>0</v>
      </c>
      <c r="BC104" s="262"/>
      <c r="BD104" s="824">
        <f t="shared" si="147"/>
        <v>2997</v>
      </c>
      <c r="BE104" s="1231"/>
      <c r="BF104" s="317" t="s">
        <v>133</v>
      </c>
      <c r="BG104" s="98">
        <v>0.15</v>
      </c>
      <c r="BH104" s="262"/>
      <c r="BI104" s="242">
        <f t="shared" si="137"/>
        <v>449.55</v>
      </c>
      <c r="BJ104" s="1231">
        <f t="shared" si="138"/>
        <v>0</v>
      </c>
      <c r="BK104" s="772" t="s">
        <v>1076</v>
      </c>
      <c r="BL104" s="772" t="s">
        <v>133</v>
      </c>
      <c r="BM104" s="145">
        <v>0.1</v>
      </c>
      <c r="BN104" s="262"/>
      <c r="BO104" s="242">
        <f t="shared" si="133"/>
        <v>299.7</v>
      </c>
      <c r="BP104" s="1231">
        <f t="shared" si="134"/>
        <v>0</v>
      </c>
      <c r="BQ104" s="387" t="s">
        <v>1076</v>
      </c>
      <c r="BR104" s="110">
        <v>2997</v>
      </c>
      <c r="BS104" s="226">
        <v>44831</v>
      </c>
      <c r="BT104" s="110">
        <v>2997</v>
      </c>
      <c r="BU104" s="263"/>
      <c r="BV104" s="110"/>
      <c r="BW104" s="348"/>
      <c r="BX104" s="110"/>
      <c r="BY104" s="263"/>
      <c r="BZ104" s="110"/>
      <c r="CA104" s="263"/>
      <c r="CB104" s="110"/>
      <c r="CC104" s="263"/>
      <c r="CD104" s="110"/>
      <c r="CE104" s="226"/>
      <c r="CF104" s="110"/>
      <c r="CG104" s="263"/>
      <c r="CH104" s="110"/>
      <c r="CI104" s="226"/>
      <c r="CJ104" s="110"/>
      <c r="CK104" s="155">
        <v>1</v>
      </c>
      <c r="CL104" s="181" t="s">
        <v>1123</v>
      </c>
      <c r="CM104" s="181"/>
      <c r="CN104" s="207"/>
      <c r="CO104" s="353" t="s">
        <v>215</v>
      </c>
      <c r="CP104" s="155"/>
      <c r="CQ104" s="131" t="s">
        <v>4059</v>
      </c>
      <c r="CR104" s="823" t="s">
        <v>980</v>
      </c>
      <c r="CS104" s="116" t="str">
        <f t="shared" si="9"/>
        <v>Cristian B</v>
      </c>
      <c r="CT104" s="820">
        <f t="shared" si="143"/>
        <v>449.55</v>
      </c>
      <c r="CU104" s="820">
        <f t="shared" si="144"/>
        <v>299.7</v>
      </c>
      <c r="CV104" s="116" t="str">
        <f t="shared" si="10"/>
        <v>Cristian B</v>
      </c>
      <c r="CW104" s="181"/>
      <c r="CX104" s="779"/>
      <c r="CY104" s="729"/>
      <c r="CZ104" s="729"/>
      <c r="DA104" s="729"/>
      <c r="DB104" s="729"/>
      <c r="DC104" s="729"/>
      <c r="DD104" s="265"/>
      <c r="DE104" s="265"/>
      <c r="DF104" s="265"/>
      <c r="DG104" s="265"/>
      <c r="DH104" s="265"/>
      <c r="DI104" s="265"/>
      <c r="DJ104" s="265"/>
      <c r="DK104" s="265"/>
      <c r="DL104" s="265"/>
      <c r="DM104" s="265"/>
      <c r="DN104" s="265"/>
      <c r="DO104" s="265"/>
      <c r="DP104" s="265"/>
      <c r="DQ104" s="265"/>
      <c r="DR104" s="265"/>
      <c r="DS104" s="265"/>
      <c r="DT104" s="265"/>
    </row>
    <row r="105" spans="1:124" ht="30" customHeight="1">
      <c r="A105" s="228"/>
      <c r="B105" s="1237"/>
      <c r="C105" s="155">
        <f t="shared" si="145"/>
        <v>15</v>
      </c>
      <c r="D105" s="781">
        <v>1</v>
      </c>
      <c r="E105" s="781"/>
      <c r="F105" s="781"/>
      <c r="G105" s="1295" t="s">
        <v>204</v>
      </c>
      <c r="H105" s="1295" t="s">
        <v>1117</v>
      </c>
      <c r="I105" s="207" t="s">
        <v>1118</v>
      </c>
      <c r="J105" s="207" t="str">
        <f t="shared" si="0"/>
        <v>Luca Ameli</v>
      </c>
      <c r="K105" s="156">
        <v>3292669744</v>
      </c>
      <c r="L105" s="204" t="s">
        <v>1119</v>
      </c>
      <c r="M105" s="131"/>
      <c r="N105" s="131" t="str">
        <f t="shared" si="1"/>
        <v>Binnova</v>
      </c>
      <c r="O105" s="1297"/>
      <c r="P105" s="251"/>
      <c r="Q105" s="131"/>
      <c r="R105" s="252" t="s">
        <v>1120</v>
      </c>
      <c r="S105" s="254"/>
      <c r="T105" s="346"/>
      <c r="U105" s="253"/>
      <c r="V105" s="253"/>
      <c r="W105" s="251"/>
      <c r="X105" s="131"/>
      <c r="Y105" s="251"/>
      <c r="Z105" s="251"/>
      <c r="AA105" s="251"/>
      <c r="AB105" s="255"/>
      <c r="AC105" s="256"/>
      <c r="AD105" s="121" t="s">
        <v>1121</v>
      </c>
      <c r="AE105" s="80" t="str">
        <f t="shared" ref="AE105:AE107" si="148">L105</f>
        <v>Inserito Importo MiV (binnova paga già decurtate provvigioni Daniele)</v>
      </c>
      <c r="AF105" s="257"/>
      <c r="AG105" s="155"/>
      <c r="AH105" s="155"/>
      <c r="AI105" s="155"/>
      <c r="AJ105" s="257"/>
      <c r="AK105" s="155"/>
      <c r="AL105" s="155"/>
      <c r="AM105" s="155"/>
      <c r="AN105" s="257"/>
      <c r="AO105" s="258"/>
      <c r="AP105" s="258"/>
      <c r="AQ105" s="258"/>
      <c r="AR105" s="211"/>
      <c r="AS105" s="350" t="s">
        <v>115</v>
      </c>
      <c r="AT105" s="259"/>
      <c r="AU105" s="259"/>
      <c r="AV105" s="211"/>
      <c r="AW105" s="259"/>
      <c r="AX105" s="259" t="s">
        <v>115</v>
      </c>
      <c r="AY105" s="259" t="s">
        <v>115</v>
      </c>
      <c r="AZ105" s="808">
        <f t="shared" si="100"/>
        <v>2797</v>
      </c>
      <c r="BA105" s="761">
        <f t="shared" si="98"/>
        <v>2797</v>
      </c>
      <c r="BB105" s="761">
        <f t="shared" si="4"/>
        <v>0</v>
      </c>
      <c r="BC105" s="262"/>
      <c r="BD105" s="824">
        <f t="shared" si="147"/>
        <v>2797</v>
      </c>
      <c r="BE105" s="1231"/>
      <c r="BF105" s="318" t="s">
        <v>141</v>
      </c>
      <c r="BG105" s="145">
        <v>0.15</v>
      </c>
      <c r="BH105" s="261"/>
      <c r="BI105" s="242">
        <f t="shared" si="137"/>
        <v>419.55</v>
      </c>
      <c r="BJ105" s="1231"/>
      <c r="BK105" s="243" t="s">
        <v>1122</v>
      </c>
      <c r="BL105" s="131" t="s">
        <v>141</v>
      </c>
      <c r="BM105" s="347">
        <v>0.1</v>
      </c>
      <c r="BN105" s="262"/>
      <c r="BO105" s="242">
        <f t="shared" si="133"/>
        <v>279.7</v>
      </c>
      <c r="BP105" s="1231">
        <f t="shared" si="134"/>
        <v>0</v>
      </c>
      <c r="BQ105" s="243" t="s">
        <v>1122</v>
      </c>
      <c r="BR105" s="110">
        <v>2797</v>
      </c>
      <c r="BS105" s="226">
        <v>44846</v>
      </c>
      <c r="BT105" s="110">
        <v>2797</v>
      </c>
      <c r="BU105" s="263"/>
      <c r="BV105" s="110"/>
      <c r="BW105" s="348"/>
      <c r="BX105" s="110"/>
      <c r="BY105" s="263"/>
      <c r="BZ105" s="110"/>
      <c r="CA105" s="263"/>
      <c r="CB105" s="110"/>
      <c r="CC105" s="263"/>
      <c r="CD105" s="110"/>
      <c r="CE105" s="226"/>
      <c r="CF105" s="110"/>
      <c r="CG105" s="263"/>
      <c r="CH105" s="110"/>
      <c r="CI105" s="226"/>
      <c r="CJ105" s="110"/>
      <c r="CK105" s="155">
        <v>1</v>
      </c>
      <c r="CL105" s="181" t="s">
        <v>1123</v>
      </c>
      <c r="CM105" s="181"/>
      <c r="CN105" s="207"/>
      <c r="CO105" s="353" t="s">
        <v>215</v>
      </c>
      <c r="CP105" s="155"/>
      <c r="CQ105" s="131"/>
      <c r="CR105" s="823" t="s">
        <v>907</v>
      </c>
      <c r="CS105" s="116" t="str">
        <f t="shared" si="9"/>
        <v>Daniele</v>
      </c>
      <c r="CT105" s="209"/>
      <c r="CU105" s="209"/>
      <c r="CV105" s="116" t="str">
        <f t="shared" si="10"/>
        <v>Daniele</v>
      </c>
      <c r="CW105" s="181"/>
      <c r="CX105" s="779"/>
      <c r="CY105" s="729"/>
      <c r="CZ105" s="729"/>
      <c r="DA105" s="729"/>
      <c r="DB105" s="729"/>
      <c r="DC105" s="729"/>
      <c r="DD105" s="265"/>
      <c r="DE105" s="265"/>
      <c r="DF105" s="265"/>
      <c r="DG105" s="265"/>
      <c r="DH105" s="265"/>
      <c r="DI105" s="265"/>
      <c r="DJ105" s="265"/>
      <c r="DK105" s="265"/>
      <c r="DL105" s="265"/>
      <c r="DM105" s="265"/>
      <c r="DN105" s="265"/>
      <c r="DO105" s="265"/>
      <c r="DP105" s="265"/>
      <c r="DQ105" s="265"/>
      <c r="DR105" s="265"/>
      <c r="DS105" s="265"/>
      <c r="DT105" s="265"/>
    </row>
    <row r="106" spans="1:124" ht="30" customHeight="1">
      <c r="A106" s="228"/>
      <c r="B106" s="1237"/>
      <c r="C106" s="155">
        <f t="shared" si="145"/>
        <v>16</v>
      </c>
      <c r="D106" s="781">
        <v>1</v>
      </c>
      <c r="E106" s="781"/>
      <c r="F106" s="781"/>
      <c r="G106" s="1295" t="s">
        <v>141</v>
      </c>
      <c r="H106" s="1295" t="s">
        <v>1124</v>
      </c>
      <c r="I106" s="207" t="s">
        <v>1125</v>
      </c>
      <c r="J106" s="207" t="str">
        <f t="shared" si="0"/>
        <v>Daniele Bettini</v>
      </c>
      <c r="K106" s="156">
        <v>3297941283</v>
      </c>
      <c r="L106" s="204" t="s">
        <v>1119</v>
      </c>
      <c r="M106" s="131"/>
      <c r="N106" s="131" t="str">
        <f t="shared" si="1"/>
        <v>Binnova</v>
      </c>
      <c r="O106" s="1297"/>
      <c r="P106" s="251"/>
      <c r="Q106" s="131"/>
      <c r="R106" s="252" t="s">
        <v>1120</v>
      </c>
      <c r="S106" s="254"/>
      <c r="T106" s="346"/>
      <c r="U106" s="253"/>
      <c r="V106" s="253"/>
      <c r="W106" s="251"/>
      <c r="X106" s="131"/>
      <c r="Y106" s="251"/>
      <c r="Z106" s="251"/>
      <c r="AA106" s="251"/>
      <c r="AB106" s="255"/>
      <c r="AC106" s="256"/>
      <c r="AD106" s="121" t="s">
        <v>1121</v>
      </c>
      <c r="AE106" s="80" t="str">
        <f t="shared" si="148"/>
        <v>Inserito Importo MiV (binnova paga già decurtate provvigioni Daniele)</v>
      </c>
      <c r="AF106" s="257"/>
      <c r="AG106" s="155"/>
      <c r="AH106" s="155"/>
      <c r="AI106" s="155"/>
      <c r="AJ106" s="257"/>
      <c r="AK106" s="155"/>
      <c r="AL106" s="155"/>
      <c r="AM106" s="155"/>
      <c r="AN106" s="257"/>
      <c r="AO106" s="258"/>
      <c r="AP106" s="258"/>
      <c r="AQ106" s="258"/>
      <c r="AR106" s="211"/>
      <c r="AS106" s="350" t="s">
        <v>115</v>
      </c>
      <c r="AT106" s="259"/>
      <c r="AU106" s="259"/>
      <c r="AV106" s="211"/>
      <c r="AW106" s="259"/>
      <c r="AX106" s="259" t="s">
        <v>115</v>
      </c>
      <c r="AY106" s="259" t="s">
        <v>115</v>
      </c>
      <c r="AZ106" s="808">
        <f t="shared" si="100"/>
        <v>2797</v>
      </c>
      <c r="BA106" s="761">
        <f t="shared" si="98"/>
        <v>2797</v>
      </c>
      <c r="BB106" s="761">
        <f t="shared" si="4"/>
        <v>0</v>
      </c>
      <c r="BC106" s="262"/>
      <c r="BD106" s="824">
        <f t="shared" si="147"/>
        <v>2797</v>
      </c>
      <c r="BE106" s="1231"/>
      <c r="BF106" s="318" t="s">
        <v>141</v>
      </c>
      <c r="BG106" s="145">
        <v>0.15</v>
      </c>
      <c r="BH106" s="261"/>
      <c r="BI106" s="242">
        <f t="shared" si="137"/>
        <v>419.55</v>
      </c>
      <c r="BJ106" s="1231"/>
      <c r="BK106" s="243" t="s">
        <v>1122</v>
      </c>
      <c r="BL106" s="131" t="s">
        <v>141</v>
      </c>
      <c r="BM106" s="347">
        <v>0.1</v>
      </c>
      <c r="BN106" s="262"/>
      <c r="BO106" s="242">
        <f t="shared" si="133"/>
        <v>279.7</v>
      </c>
      <c r="BP106" s="1231">
        <f t="shared" si="134"/>
        <v>0</v>
      </c>
      <c r="BQ106" s="243" t="s">
        <v>1122</v>
      </c>
      <c r="BR106" s="110">
        <v>2797</v>
      </c>
      <c r="BS106" s="226">
        <v>44846</v>
      </c>
      <c r="BT106" s="110">
        <v>2797</v>
      </c>
      <c r="BU106" s="263"/>
      <c r="BV106" s="110"/>
      <c r="BW106" s="348"/>
      <c r="BX106" s="110"/>
      <c r="BY106" s="263"/>
      <c r="BZ106" s="110"/>
      <c r="CA106" s="263"/>
      <c r="CB106" s="110"/>
      <c r="CC106" s="263"/>
      <c r="CD106" s="110"/>
      <c r="CE106" s="226"/>
      <c r="CF106" s="110"/>
      <c r="CG106" s="263"/>
      <c r="CH106" s="110"/>
      <c r="CI106" s="226"/>
      <c r="CJ106" s="110"/>
      <c r="CK106" s="155">
        <v>1</v>
      </c>
      <c r="CL106" s="181" t="s">
        <v>1123</v>
      </c>
      <c r="CM106" s="181"/>
      <c r="CN106" s="207"/>
      <c r="CO106" s="353" t="s">
        <v>215</v>
      </c>
      <c r="CP106" s="155"/>
      <c r="CQ106" s="131"/>
      <c r="CR106" s="823" t="s">
        <v>907</v>
      </c>
      <c r="CS106" s="116" t="str">
        <f t="shared" si="9"/>
        <v>Daniele</v>
      </c>
      <c r="CT106" s="209"/>
      <c r="CU106" s="209"/>
      <c r="CV106" s="116" t="str">
        <f t="shared" si="10"/>
        <v>Daniele</v>
      </c>
      <c r="CW106" s="181"/>
      <c r="CX106" s="779"/>
      <c r="CY106" s="729"/>
      <c r="CZ106" s="729"/>
      <c r="DA106" s="729"/>
      <c r="DB106" s="729"/>
      <c r="DC106" s="729"/>
      <c r="DD106" s="265"/>
      <c r="DE106" s="265"/>
      <c r="DF106" s="265"/>
      <c r="DG106" s="265"/>
      <c r="DH106" s="265"/>
      <c r="DI106" s="265"/>
      <c r="DJ106" s="265"/>
      <c r="DK106" s="265"/>
      <c r="DL106" s="265"/>
      <c r="DM106" s="265"/>
      <c r="DN106" s="265"/>
      <c r="DO106" s="265"/>
      <c r="DP106" s="265"/>
      <c r="DQ106" s="265"/>
      <c r="DR106" s="265"/>
      <c r="DS106" s="265"/>
      <c r="DT106" s="265"/>
    </row>
    <row r="107" spans="1:124" ht="30" customHeight="1">
      <c r="A107" s="228"/>
      <c r="B107" s="1237"/>
      <c r="C107" s="155">
        <f t="shared" si="145"/>
        <v>17</v>
      </c>
      <c r="D107" s="781">
        <v>1</v>
      </c>
      <c r="E107" s="781"/>
      <c r="F107" s="781"/>
      <c r="G107" s="1295" t="s">
        <v>141</v>
      </c>
      <c r="H107" s="1295" t="s">
        <v>1126</v>
      </c>
      <c r="I107" s="354" t="s">
        <v>1127</v>
      </c>
      <c r="J107" s="207" t="str">
        <f t="shared" si="0"/>
        <v>Daniele Andreani</v>
      </c>
      <c r="K107" s="156">
        <v>3939546800</v>
      </c>
      <c r="L107" s="204" t="s">
        <v>1119</v>
      </c>
      <c r="M107" s="131"/>
      <c r="N107" s="131" t="str">
        <f t="shared" si="1"/>
        <v>Binnova</v>
      </c>
      <c r="O107" s="1297"/>
      <c r="P107" s="251"/>
      <c r="Q107" s="131"/>
      <c r="R107" s="252" t="s">
        <v>1120</v>
      </c>
      <c r="S107" s="254"/>
      <c r="T107" s="346"/>
      <c r="U107" s="253"/>
      <c r="V107" s="253"/>
      <c r="W107" s="251"/>
      <c r="X107" s="131"/>
      <c r="Y107" s="251"/>
      <c r="Z107" s="251"/>
      <c r="AA107" s="251"/>
      <c r="AB107" s="255"/>
      <c r="AC107" s="256"/>
      <c r="AD107" s="121" t="s">
        <v>1121</v>
      </c>
      <c r="AE107" s="80" t="str">
        <f t="shared" si="148"/>
        <v>Inserito Importo MiV (binnova paga già decurtate provvigioni Daniele)</v>
      </c>
      <c r="AF107" s="257"/>
      <c r="AG107" s="155"/>
      <c r="AH107" s="155"/>
      <c r="AI107" s="155"/>
      <c r="AJ107" s="257"/>
      <c r="AK107" s="155"/>
      <c r="AL107" s="155"/>
      <c r="AM107" s="155"/>
      <c r="AN107" s="257"/>
      <c r="AO107" s="258"/>
      <c r="AP107" s="258"/>
      <c r="AQ107" s="258"/>
      <c r="AR107" s="211"/>
      <c r="AS107" s="350" t="s">
        <v>115</v>
      </c>
      <c r="AT107" s="259"/>
      <c r="AU107" s="259"/>
      <c r="AV107" s="211"/>
      <c r="AW107" s="259"/>
      <c r="AX107" s="259" t="s">
        <v>115</v>
      </c>
      <c r="AY107" s="259" t="s">
        <v>115</v>
      </c>
      <c r="AZ107" s="808">
        <f t="shared" si="100"/>
        <v>2797</v>
      </c>
      <c r="BA107" s="761">
        <f t="shared" si="98"/>
        <v>2797</v>
      </c>
      <c r="BB107" s="761">
        <f t="shared" si="4"/>
        <v>0</v>
      </c>
      <c r="BC107" s="262"/>
      <c r="BD107" s="824">
        <f t="shared" si="147"/>
        <v>2797</v>
      </c>
      <c r="BE107" s="1231"/>
      <c r="BF107" s="318" t="s">
        <v>141</v>
      </c>
      <c r="BG107" s="145">
        <v>0.15</v>
      </c>
      <c r="BH107" s="261"/>
      <c r="BI107" s="242">
        <f t="shared" si="137"/>
        <v>419.55</v>
      </c>
      <c r="BJ107" s="1231"/>
      <c r="BK107" s="243" t="s">
        <v>1122</v>
      </c>
      <c r="BL107" s="131" t="s">
        <v>141</v>
      </c>
      <c r="BM107" s="347">
        <v>0.1</v>
      </c>
      <c r="BN107" s="262"/>
      <c r="BO107" s="242">
        <f t="shared" si="133"/>
        <v>279.7</v>
      </c>
      <c r="BP107" s="1231">
        <f t="shared" si="134"/>
        <v>0</v>
      </c>
      <c r="BQ107" s="243" t="s">
        <v>1122</v>
      </c>
      <c r="BR107" s="110">
        <v>2797</v>
      </c>
      <c r="BS107" s="226">
        <v>44846</v>
      </c>
      <c r="BT107" s="110">
        <v>2797</v>
      </c>
      <c r="BU107" s="263"/>
      <c r="BV107" s="110"/>
      <c r="BW107" s="348"/>
      <c r="BX107" s="110"/>
      <c r="BY107" s="263"/>
      <c r="BZ107" s="110"/>
      <c r="CA107" s="263"/>
      <c r="CB107" s="110"/>
      <c r="CC107" s="263"/>
      <c r="CD107" s="110"/>
      <c r="CE107" s="226"/>
      <c r="CF107" s="110"/>
      <c r="CG107" s="263"/>
      <c r="CH107" s="110"/>
      <c r="CI107" s="226"/>
      <c r="CJ107" s="110"/>
      <c r="CK107" s="155">
        <v>1</v>
      </c>
      <c r="CL107" s="181" t="s">
        <v>1123</v>
      </c>
      <c r="CM107" s="181"/>
      <c r="CN107" s="207"/>
      <c r="CO107" s="353" t="s">
        <v>215</v>
      </c>
      <c r="CP107" s="155"/>
      <c r="CQ107" s="131"/>
      <c r="CR107" s="823" t="s">
        <v>907</v>
      </c>
      <c r="CS107" s="116" t="str">
        <f t="shared" si="9"/>
        <v>Daniele</v>
      </c>
      <c r="CT107" s="209"/>
      <c r="CU107" s="209"/>
      <c r="CV107" s="116" t="str">
        <f t="shared" si="10"/>
        <v>Daniele</v>
      </c>
      <c r="CW107" s="181"/>
      <c r="CX107" s="779"/>
      <c r="CY107" s="729"/>
      <c r="CZ107" s="729"/>
      <c r="DA107" s="729"/>
      <c r="DB107" s="729"/>
      <c r="DC107" s="729"/>
      <c r="DD107" s="265"/>
      <c r="DE107" s="265"/>
      <c r="DF107" s="265"/>
      <c r="DG107" s="265"/>
      <c r="DH107" s="265"/>
      <c r="DI107" s="265"/>
      <c r="DJ107" s="265"/>
      <c r="DK107" s="265"/>
      <c r="DL107" s="265"/>
      <c r="DM107" s="265"/>
      <c r="DN107" s="265"/>
      <c r="DO107" s="265"/>
      <c r="DP107" s="265"/>
      <c r="DQ107" s="265"/>
      <c r="DR107" s="265"/>
      <c r="DS107" s="265"/>
      <c r="DT107" s="265"/>
    </row>
    <row r="108" spans="1:124" ht="30" customHeight="1">
      <c r="A108" s="632"/>
      <c r="B108" s="155">
        <v>101421</v>
      </c>
      <c r="C108" s="155">
        <f t="shared" si="145"/>
        <v>18</v>
      </c>
      <c r="D108" s="781">
        <v>1</v>
      </c>
      <c r="E108" s="643"/>
      <c r="F108" s="643"/>
      <c r="G108" s="1295" t="s">
        <v>4060</v>
      </c>
      <c r="H108" s="1295" t="s">
        <v>4061</v>
      </c>
      <c r="I108" s="354" t="s">
        <v>4062</v>
      </c>
      <c r="J108" s="354" t="str">
        <f t="shared" si="0"/>
        <v>Marzio Moserle</v>
      </c>
      <c r="K108" s="594"/>
      <c r="L108" s="1298" t="s">
        <v>4063</v>
      </c>
      <c r="M108" s="594" t="s">
        <v>514</v>
      </c>
      <c r="N108" s="131" t="str">
        <f t="shared" si="1"/>
        <v>Digimax</v>
      </c>
      <c r="O108" s="641"/>
      <c r="P108" s="640"/>
      <c r="Q108" s="640"/>
      <c r="R108" s="354" t="s">
        <v>3746</v>
      </c>
      <c r="S108" s="594"/>
      <c r="T108" s="594"/>
      <c r="U108" s="594"/>
      <c r="V108" s="594"/>
      <c r="W108" s="640"/>
      <c r="X108" s="640"/>
      <c r="Y108" s="640"/>
      <c r="Z108" s="640"/>
      <c r="AA108" s="640"/>
      <c r="AB108" s="640"/>
      <c r="AC108" s="640"/>
      <c r="AD108" s="121" t="s">
        <v>4064</v>
      </c>
      <c r="AE108" s="594"/>
      <c r="AF108" s="641"/>
      <c r="AG108" s="594"/>
      <c r="AH108" s="594"/>
      <c r="AI108" s="594"/>
      <c r="AJ108" s="641"/>
      <c r="AK108" s="594"/>
      <c r="AL108" s="594"/>
      <c r="AM108" s="594"/>
      <c r="AN108" s="641"/>
      <c r="AO108" s="594"/>
      <c r="AP108" s="594"/>
      <c r="AQ108" s="594"/>
      <c r="AR108" s="641"/>
      <c r="AS108" s="1299" t="s">
        <v>115</v>
      </c>
      <c r="AT108" s="594"/>
      <c r="AU108" s="617"/>
      <c r="AV108" s="641"/>
      <c r="AW108" s="594"/>
      <c r="AX108" s="594"/>
      <c r="AY108" s="594"/>
      <c r="AZ108" s="1300">
        <f t="shared" si="100"/>
        <v>1097</v>
      </c>
      <c r="BA108" s="1301">
        <f t="shared" si="98"/>
        <v>1097</v>
      </c>
      <c r="BB108" s="1301">
        <f t="shared" si="4"/>
        <v>0</v>
      </c>
      <c r="BC108" s="1249"/>
      <c r="BD108" s="1302">
        <f>AZ108-BC108</f>
        <v>1097</v>
      </c>
      <c r="BE108" s="654"/>
      <c r="BF108" s="1303" t="s">
        <v>1034</v>
      </c>
      <c r="BG108" s="1304">
        <v>0.15</v>
      </c>
      <c r="BH108" s="261"/>
      <c r="BI108" s="242">
        <f t="shared" si="137"/>
        <v>164.54999999999998</v>
      </c>
      <c r="BJ108" s="1231"/>
      <c r="BK108" s="1305" t="s">
        <v>1076</v>
      </c>
      <c r="BL108" s="1305" t="s">
        <v>525</v>
      </c>
      <c r="BM108" s="347">
        <v>0.1</v>
      </c>
      <c r="BN108" s="262"/>
      <c r="BO108" s="242">
        <f t="shared" si="133"/>
        <v>109.7</v>
      </c>
      <c r="BP108" s="1231">
        <f t="shared" si="134"/>
        <v>0</v>
      </c>
      <c r="BQ108" s="387" t="s">
        <v>1076</v>
      </c>
      <c r="BR108" s="1249">
        <v>1097</v>
      </c>
      <c r="BS108" s="1306">
        <v>44849</v>
      </c>
      <c r="BT108" s="1249">
        <v>1097</v>
      </c>
      <c r="BU108" s="1307"/>
      <c r="BV108" s="1307"/>
      <c r="BW108" s="1307"/>
      <c r="BX108" s="1307"/>
      <c r="BY108" s="1307"/>
      <c r="BZ108" s="1307"/>
      <c r="CA108" s="1307"/>
      <c r="CB108" s="1307"/>
      <c r="CC108" s="1307"/>
      <c r="CD108" s="1307"/>
      <c r="CE108" s="1307"/>
      <c r="CF108" s="1307"/>
      <c r="CG108" s="1307"/>
      <c r="CH108" s="1307"/>
      <c r="CI108" s="1307"/>
      <c r="CJ108" s="1307"/>
      <c r="CK108" s="353" t="s">
        <v>2612</v>
      </c>
      <c r="CL108" s="594"/>
      <c r="CM108" s="594"/>
      <c r="CN108" s="354" t="s">
        <v>990</v>
      </c>
      <c r="CO108" s="353" t="s">
        <v>215</v>
      </c>
      <c r="CP108" s="594"/>
      <c r="CQ108" s="354" t="s">
        <v>1036</v>
      </c>
      <c r="CR108" s="131" t="s">
        <v>4065</v>
      </c>
      <c r="CS108" s="116" t="str">
        <f t="shared" si="9"/>
        <v>Mirco Gasparotto (OSA)</v>
      </c>
      <c r="CT108" s="820">
        <f t="shared" ref="CT108:CT159" si="149">IF(OR(D108&gt;0,E108&gt;0,F108&gt;0),IF(BB108=0,BD108*BG108,0))</f>
        <v>164.54999999999998</v>
      </c>
      <c r="CU108" s="820">
        <f t="shared" ref="CU108:CU159" si="150">IF(OR(D108&gt;0,E108&gt;0,F108&gt;0),IF(BB108=0,BD108*BM108,0))</f>
        <v>109.7</v>
      </c>
      <c r="CV108" s="116" t="str">
        <f t="shared" si="10"/>
        <v>Bruno</v>
      </c>
      <c r="CW108" s="124"/>
      <c r="CX108" s="1"/>
      <c r="CY108" s="1"/>
      <c r="CZ108" s="1"/>
      <c r="DA108" s="1"/>
      <c r="DB108" s="1"/>
      <c r="DC108" s="1"/>
      <c r="DD108" s="1"/>
      <c r="DE108" s="1"/>
      <c r="DF108" s="1"/>
      <c r="DG108" s="1"/>
      <c r="DH108" s="1"/>
      <c r="DI108" s="1"/>
      <c r="DJ108" s="1"/>
      <c r="DK108" s="1"/>
      <c r="DL108" s="1"/>
      <c r="DM108" s="1"/>
      <c r="DN108" s="1"/>
      <c r="DO108" s="1"/>
      <c r="DP108" s="1"/>
      <c r="DQ108" s="1"/>
      <c r="DR108" s="1"/>
      <c r="DS108" s="1"/>
      <c r="DT108" s="1"/>
    </row>
    <row r="109" spans="1:124" ht="30" customHeight="1">
      <c r="A109" s="228"/>
      <c r="B109" s="1237"/>
      <c r="C109" s="155">
        <f t="shared" si="145"/>
        <v>19</v>
      </c>
      <c r="D109" s="781"/>
      <c r="E109" s="1308">
        <v>1</v>
      </c>
      <c r="F109" s="1308">
        <v>1</v>
      </c>
      <c r="G109" s="1295" t="s">
        <v>451</v>
      </c>
      <c r="H109" s="1295" t="s">
        <v>770</v>
      </c>
      <c r="I109" s="1309" t="s">
        <v>4066</v>
      </c>
      <c r="J109" s="354" t="str">
        <f t="shared" si="0"/>
        <v>Fabio Colombo</v>
      </c>
      <c r="K109" s="1310" t="s">
        <v>4067</v>
      </c>
      <c r="L109" s="204"/>
      <c r="M109" s="305" t="s">
        <v>514</v>
      </c>
      <c r="N109" s="131" t="str">
        <f t="shared" si="1"/>
        <v>Zenit Sicurezza</v>
      </c>
      <c r="O109" s="1297"/>
      <c r="P109" s="318"/>
      <c r="Q109" s="305"/>
      <c r="R109" s="357"/>
      <c r="S109" s="358"/>
      <c r="T109" s="346"/>
      <c r="U109" s="346"/>
      <c r="V109" s="346"/>
      <c r="W109" s="318"/>
      <c r="X109" s="305"/>
      <c r="Y109" s="318"/>
      <c r="Z109" s="318"/>
      <c r="AA109" s="318"/>
      <c r="AB109" s="359"/>
      <c r="AC109" s="360"/>
      <c r="AD109" s="121"/>
      <c r="AE109" s="161"/>
      <c r="AF109" s="257"/>
      <c r="AG109" s="353"/>
      <c r="AH109" s="353"/>
      <c r="AI109" s="353"/>
      <c r="AJ109" s="257"/>
      <c r="AK109" s="353"/>
      <c r="AL109" s="353"/>
      <c r="AM109" s="353"/>
      <c r="AN109" s="257"/>
      <c r="AO109" s="361"/>
      <c r="AP109" s="361"/>
      <c r="AQ109" s="361"/>
      <c r="AR109" s="211"/>
      <c r="AS109" s="362"/>
      <c r="AT109" s="1299" t="s">
        <v>115</v>
      </c>
      <c r="AU109" s="362" t="s">
        <v>115</v>
      </c>
      <c r="AV109" s="211"/>
      <c r="AW109" s="362" t="s">
        <v>115</v>
      </c>
      <c r="AX109" s="362"/>
      <c r="AY109" s="362"/>
      <c r="AZ109" s="808">
        <f t="shared" si="100"/>
        <v>2997</v>
      </c>
      <c r="BA109" s="761">
        <f t="shared" si="98"/>
        <v>2997</v>
      </c>
      <c r="BB109" s="761">
        <f t="shared" si="4"/>
        <v>0</v>
      </c>
      <c r="BC109" s="262"/>
      <c r="BD109" s="824">
        <f t="shared" ref="BD109:BD111" si="151">AZ109</f>
        <v>2997</v>
      </c>
      <c r="BE109" s="1231"/>
      <c r="BF109" s="363" t="s">
        <v>117</v>
      </c>
      <c r="BG109" s="98">
        <v>0</v>
      </c>
      <c r="BH109" s="261"/>
      <c r="BI109" s="242">
        <f t="shared" si="137"/>
        <v>0</v>
      </c>
      <c r="BJ109" s="1231"/>
      <c r="BK109" s="244" t="s">
        <v>118</v>
      </c>
      <c r="BL109" s="305" t="s">
        <v>160</v>
      </c>
      <c r="BM109" s="347">
        <v>0.1</v>
      </c>
      <c r="BN109" s="262"/>
      <c r="BO109" s="242">
        <f t="shared" si="133"/>
        <v>299.7</v>
      </c>
      <c r="BP109" s="1231">
        <f t="shared" si="134"/>
        <v>0</v>
      </c>
      <c r="BQ109" s="285" t="s">
        <v>1205</v>
      </c>
      <c r="BR109" s="110">
        <v>2997</v>
      </c>
      <c r="BS109" s="365">
        <v>44868</v>
      </c>
      <c r="BT109" s="110">
        <v>2997</v>
      </c>
      <c r="BU109" s="368"/>
      <c r="BV109" s="366"/>
      <c r="BW109" s="367"/>
      <c r="BX109" s="366"/>
      <c r="BY109" s="368"/>
      <c r="BZ109" s="366"/>
      <c r="CA109" s="368"/>
      <c r="CB109" s="366"/>
      <c r="CC109" s="368"/>
      <c r="CD109" s="366"/>
      <c r="CE109" s="365"/>
      <c r="CF109" s="366"/>
      <c r="CG109" s="368"/>
      <c r="CH109" s="366"/>
      <c r="CI109" s="365"/>
      <c r="CJ109" s="366"/>
      <c r="CK109" s="353"/>
      <c r="CL109" s="181" t="s">
        <v>1123</v>
      </c>
      <c r="CM109" s="369"/>
      <c r="CN109" s="354"/>
      <c r="CO109" s="353" t="s">
        <v>122</v>
      </c>
      <c r="CP109" s="353"/>
      <c r="CQ109" s="305"/>
      <c r="CR109" s="823" t="s">
        <v>1132</v>
      </c>
      <c r="CS109" s="116" t="str">
        <f t="shared" si="9"/>
        <v>blackship</v>
      </c>
      <c r="CT109" s="820">
        <f t="shared" si="149"/>
        <v>0</v>
      </c>
      <c r="CU109" s="1311">
        <f t="shared" si="150"/>
        <v>299.7</v>
      </c>
      <c r="CV109" s="116" t="str">
        <f t="shared" si="10"/>
        <v>Gianluca</v>
      </c>
      <c r="CW109" s="181"/>
      <c r="CX109" s="779"/>
      <c r="CY109" s="729"/>
      <c r="CZ109" s="729"/>
      <c r="DA109" s="729"/>
      <c r="DB109" s="729"/>
      <c r="DC109" s="729"/>
      <c r="DD109" s="265"/>
      <c r="DE109" s="265"/>
      <c r="DF109" s="265"/>
      <c r="DG109" s="265"/>
      <c r="DH109" s="265"/>
      <c r="DI109" s="265"/>
      <c r="DJ109" s="265"/>
      <c r="DK109" s="265"/>
      <c r="DL109" s="265"/>
      <c r="DM109" s="265"/>
      <c r="DN109" s="265"/>
      <c r="DO109" s="265"/>
      <c r="DP109" s="265"/>
      <c r="DQ109" s="265"/>
      <c r="DR109" s="265"/>
      <c r="DS109" s="265"/>
      <c r="DT109" s="265"/>
    </row>
    <row r="110" spans="1:124" ht="30" customHeight="1">
      <c r="A110" s="228"/>
      <c r="B110" s="1237"/>
      <c r="C110" s="155">
        <f t="shared" si="145"/>
        <v>20</v>
      </c>
      <c r="D110" s="781"/>
      <c r="E110" s="1308">
        <v>1</v>
      </c>
      <c r="F110" s="1308">
        <v>1</v>
      </c>
      <c r="G110" s="1295" t="s">
        <v>246</v>
      </c>
      <c r="H110" s="1295" t="s">
        <v>4068</v>
      </c>
      <c r="I110" s="1309" t="s">
        <v>4069</v>
      </c>
      <c r="J110" s="354" t="str">
        <f t="shared" si="0"/>
        <v>Marco Ceruti</v>
      </c>
      <c r="K110" s="1310" t="s">
        <v>4070</v>
      </c>
      <c r="L110" s="204"/>
      <c r="M110" s="305" t="s">
        <v>514</v>
      </c>
      <c r="N110" s="131" t="str">
        <f t="shared" si="1"/>
        <v>Zenit Sicurezza</v>
      </c>
      <c r="O110" s="1297"/>
      <c r="P110" s="318"/>
      <c r="Q110" s="305"/>
      <c r="R110" s="357"/>
      <c r="S110" s="358"/>
      <c r="T110" s="346"/>
      <c r="U110" s="346"/>
      <c r="V110" s="346"/>
      <c r="W110" s="318"/>
      <c r="X110" s="305"/>
      <c r="Y110" s="318"/>
      <c r="Z110" s="318"/>
      <c r="AA110" s="318"/>
      <c r="AB110" s="359"/>
      <c r="AC110" s="360"/>
      <c r="AD110" s="121"/>
      <c r="AE110" s="161"/>
      <c r="AF110" s="257"/>
      <c r="AG110" s="353"/>
      <c r="AH110" s="353"/>
      <c r="AI110" s="353"/>
      <c r="AJ110" s="257"/>
      <c r="AK110" s="353"/>
      <c r="AL110" s="353"/>
      <c r="AM110" s="353"/>
      <c r="AN110" s="257"/>
      <c r="AO110" s="361"/>
      <c r="AP110" s="361"/>
      <c r="AQ110" s="361"/>
      <c r="AR110" s="211"/>
      <c r="AS110" s="362"/>
      <c r="AT110" s="1299" t="s">
        <v>115</v>
      </c>
      <c r="AU110" s="362" t="s">
        <v>115</v>
      </c>
      <c r="AV110" s="211"/>
      <c r="AW110" s="362" t="s">
        <v>115</v>
      </c>
      <c r="AX110" s="362"/>
      <c r="AY110" s="362"/>
      <c r="AZ110" s="808">
        <f t="shared" si="100"/>
        <v>2997</v>
      </c>
      <c r="BA110" s="761">
        <f t="shared" si="98"/>
        <v>2997</v>
      </c>
      <c r="BB110" s="761">
        <f t="shared" si="4"/>
        <v>0</v>
      </c>
      <c r="BC110" s="262"/>
      <c r="BD110" s="824">
        <f t="shared" si="151"/>
        <v>2997</v>
      </c>
      <c r="BE110" s="1231"/>
      <c r="BF110" s="363" t="s">
        <v>117</v>
      </c>
      <c r="BG110" s="98">
        <v>0</v>
      </c>
      <c r="BH110" s="261"/>
      <c r="BI110" s="242">
        <f t="shared" si="137"/>
        <v>0</v>
      </c>
      <c r="BJ110" s="1231"/>
      <c r="BK110" s="244" t="s">
        <v>118</v>
      </c>
      <c r="BL110" s="305" t="s">
        <v>160</v>
      </c>
      <c r="BM110" s="347">
        <v>0.1</v>
      </c>
      <c r="BN110" s="262"/>
      <c r="BO110" s="242">
        <f t="shared" si="133"/>
        <v>299.7</v>
      </c>
      <c r="BP110" s="1231">
        <f t="shared" si="134"/>
        <v>0</v>
      </c>
      <c r="BQ110" s="285" t="s">
        <v>1205</v>
      </c>
      <c r="BR110" s="110">
        <v>2997</v>
      </c>
      <c r="BS110" s="365">
        <v>44868</v>
      </c>
      <c r="BT110" s="110">
        <v>2997</v>
      </c>
      <c r="BU110" s="368"/>
      <c r="BV110" s="366"/>
      <c r="BW110" s="367"/>
      <c r="BX110" s="366"/>
      <c r="BY110" s="368"/>
      <c r="BZ110" s="366"/>
      <c r="CA110" s="368"/>
      <c r="CB110" s="366"/>
      <c r="CC110" s="368"/>
      <c r="CD110" s="366"/>
      <c r="CE110" s="365"/>
      <c r="CF110" s="366"/>
      <c r="CG110" s="368"/>
      <c r="CH110" s="366"/>
      <c r="CI110" s="365"/>
      <c r="CJ110" s="366"/>
      <c r="CK110" s="353"/>
      <c r="CL110" s="181" t="s">
        <v>1123</v>
      </c>
      <c r="CM110" s="369"/>
      <c r="CN110" s="354"/>
      <c r="CO110" s="353" t="s">
        <v>122</v>
      </c>
      <c r="CP110" s="353"/>
      <c r="CQ110" s="305"/>
      <c r="CR110" s="823" t="s">
        <v>1132</v>
      </c>
      <c r="CS110" s="116" t="str">
        <f t="shared" si="9"/>
        <v>blackship</v>
      </c>
      <c r="CT110" s="820">
        <f t="shared" si="149"/>
        <v>0</v>
      </c>
      <c r="CU110" s="1311">
        <f t="shared" si="150"/>
        <v>299.7</v>
      </c>
      <c r="CV110" s="116" t="str">
        <f t="shared" si="10"/>
        <v>Gianluca</v>
      </c>
      <c r="CW110" s="181"/>
      <c r="CX110" s="779"/>
      <c r="CY110" s="729"/>
      <c r="CZ110" s="729"/>
      <c r="DA110" s="729"/>
      <c r="DB110" s="729"/>
      <c r="DC110" s="729"/>
      <c r="DD110" s="265"/>
      <c r="DE110" s="265"/>
      <c r="DF110" s="265"/>
      <c r="DG110" s="265"/>
      <c r="DH110" s="265"/>
      <c r="DI110" s="265"/>
      <c r="DJ110" s="265"/>
      <c r="DK110" s="265"/>
      <c r="DL110" s="265"/>
      <c r="DM110" s="265"/>
      <c r="DN110" s="265"/>
      <c r="DO110" s="265"/>
      <c r="DP110" s="265"/>
      <c r="DQ110" s="265"/>
      <c r="DR110" s="265"/>
      <c r="DS110" s="265"/>
      <c r="DT110" s="265"/>
    </row>
    <row r="111" spans="1:124" ht="30" customHeight="1">
      <c r="A111" s="228"/>
      <c r="B111" s="1237"/>
      <c r="C111" s="155">
        <f t="shared" si="145"/>
        <v>21</v>
      </c>
      <c r="D111" s="781"/>
      <c r="E111" s="1308">
        <v>1</v>
      </c>
      <c r="F111" s="1308">
        <v>1</v>
      </c>
      <c r="G111" s="1295" t="s">
        <v>204</v>
      </c>
      <c r="H111" s="1295" t="s">
        <v>4071</v>
      </c>
      <c r="I111" s="1309" t="s">
        <v>4072</v>
      </c>
      <c r="J111" s="354" t="str">
        <f t="shared" si="0"/>
        <v>Luca Cò</v>
      </c>
      <c r="K111" s="1310" t="s">
        <v>4073</v>
      </c>
      <c r="L111" s="204"/>
      <c r="M111" s="305" t="s">
        <v>514</v>
      </c>
      <c r="N111" s="131" t="str">
        <f t="shared" si="1"/>
        <v>Zenit Sicurezza</v>
      </c>
      <c r="O111" s="1297"/>
      <c r="P111" s="318"/>
      <c r="Q111" s="305"/>
      <c r="R111" s="357"/>
      <c r="S111" s="358"/>
      <c r="T111" s="346"/>
      <c r="U111" s="346"/>
      <c r="V111" s="346"/>
      <c r="W111" s="318"/>
      <c r="X111" s="305"/>
      <c r="Y111" s="318"/>
      <c r="Z111" s="318"/>
      <c r="AA111" s="318"/>
      <c r="AB111" s="359"/>
      <c r="AC111" s="360"/>
      <c r="AD111" s="121"/>
      <c r="AE111" s="161"/>
      <c r="AF111" s="257"/>
      <c r="AG111" s="353"/>
      <c r="AH111" s="353"/>
      <c r="AI111" s="353"/>
      <c r="AJ111" s="257"/>
      <c r="AK111" s="353"/>
      <c r="AL111" s="353"/>
      <c r="AM111" s="353"/>
      <c r="AN111" s="257"/>
      <c r="AO111" s="361"/>
      <c r="AP111" s="361"/>
      <c r="AQ111" s="361"/>
      <c r="AR111" s="211"/>
      <c r="AS111" s="362"/>
      <c r="AT111" s="1299" t="s">
        <v>115</v>
      </c>
      <c r="AU111" s="362" t="s">
        <v>115</v>
      </c>
      <c r="AV111" s="211"/>
      <c r="AW111" s="362" t="s">
        <v>115</v>
      </c>
      <c r="AX111" s="362"/>
      <c r="AY111" s="362"/>
      <c r="AZ111" s="808">
        <f t="shared" si="100"/>
        <v>2997</v>
      </c>
      <c r="BA111" s="761">
        <f t="shared" si="98"/>
        <v>2997</v>
      </c>
      <c r="BB111" s="761">
        <f t="shared" si="4"/>
        <v>0</v>
      </c>
      <c r="BC111" s="262"/>
      <c r="BD111" s="824">
        <f t="shared" si="151"/>
        <v>2997</v>
      </c>
      <c r="BE111" s="1231"/>
      <c r="BF111" s="363" t="s">
        <v>117</v>
      </c>
      <c r="BG111" s="98">
        <v>0</v>
      </c>
      <c r="BH111" s="261"/>
      <c r="BI111" s="242">
        <f t="shared" si="137"/>
        <v>0</v>
      </c>
      <c r="BJ111" s="1231"/>
      <c r="BK111" s="244" t="s">
        <v>118</v>
      </c>
      <c r="BL111" s="305" t="s">
        <v>160</v>
      </c>
      <c r="BM111" s="347">
        <v>0.1</v>
      </c>
      <c r="BN111" s="262"/>
      <c r="BO111" s="242">
        <f t="shared" si="133"/>
        <v>299.7</v>
      </c>
      <c r="BP111" s="1231">
        <f t="shared" si="134"/>
        <v>0</v>
      </c>
      <c r="BQ111" s="285" t="s">
        <v>1205</v>
      </c>
      <c r="BR111" s="110">
        <v>2997</v>
      </c>
      <c r="BS111" s="365">
        <v>44868</v>
      </c>
      <c r="BT111" s="110">
        <v>2997</v>
      </c>
      <c r="BU111" s="368"/>
      <c r="BV111" s="366"/>
      <c r="BW111" s="367"/>
      <c r="BX111" s="366"/>
      <c r="BY111" s="368"/>
      <c r="BZ111" s="366"/>
      <c r="CA111" s="368"/>
      <c r="CB111" s="366"/>
      <c r="CC111" s="368"/>
      <c r="CD111" s="366"/>
      <c r="CE111" s="365"/>
      <c r="CF111" s="366"/>
      <c r="CG111" s="368"/>
      <c r="CH111" s="366"/>
      <c r="CI111" s="365"/>
      <c r="CJ111" s="366"/>
      <c r="CK111" s="353"/>
      <c r="CL111" s="181" t="s">
        <v>1123</v>
      </c>
      <c r="CM111" s="369"/>
      <c r="CN111" s="354"/>
      <c r="CO111" s="353" t="s">
        <v>122</v>
      </c>
      <c r="CP111" s="353"/>
      <c r="CQ111" s="305"/>
      <c r="CR111" s="823" t="s">
        <v>1132</v>
      </c>
      <c r="CS111" s="116" t="str">
        <f t="shared" si="9"/>
        <v>blackship</v>
      </c>
      <c r="CT111" s="820">
        <f t="shared" si="149"/>
        <v>0</v>
      </c>
      <c r="CU111" s="1311">
        <f t="shared" si="150"/>
        <v>299.7</v>
      </c>
      <c r="CV111" s="116" t="str">
        <f t="shared" si="10"/>
        <v>Gianluca</v>
      </c>
      <c r="CW111" s="181"/>
      <c r="CX111" s="779"/>
      <c r="CY111" s="729"/>
      <c r="CZ111" s="729"/>
      <c r="DA111" s="729"/>
      <c r="DB111" s="729"/>
      <c r="DC111" s="729"/>
      <c r="DD111" s="265"/>
      <c r="DE111" s="265"/>
      <c r="DF111" s="265"/>
      <c r="DG111" s="265"/>
      <c r="DH111" s="265"/>
      <c r="DI111" s="265"/>
      <c r="DJ111" s="265"/>
      <c r="DK111" s="265"/>
      <c r="DL111" s="265"/>
      <c r="DM111" s="265"/>
      <c r="DN111" s="265"/>
      <c r="DO111" s="265"/>
      <c r="DP111" s="265"/>
      <c r="DQ111" s="265"/>
      <c r="DR111" s="265"/>
      <c r="DS111" s="265"/>
      <c r="DT111" s="265"/>
    </row>
    <row r="112" spans="1:124" ht="30" customHeight="1">
      <c r="A112" s="228"/>
      <c r="B112" s="1237"/>
      <c r="C112" s="155">
        <f t="shared" si="145"/>
        <v>22</v>
      </c>
      <c r="D112" s="781"/>
      <c r="E112" s="1308"/>
      <c r="F112" s="1308"/>
      <c r="G112" s="1295" t="s">
        <v>4074</v>
      </c>
      <c r="H112" s="1295" t="s">
        <v>4075</v>
      </c>
      <c r="I112" s="354"/>
      <c r="J112" s="354" t="str">
        <f t="shared" si="0"/>
        <v>Partecipante 4 Zenit</v>
      </c>
      <c r="K112" s="1310"/>
      <c r="L112" s="204"/>
      <c r="M112" s="305"/>
      <c r="N112" s="131" t="str">
        <f t="shared" si="1"/>
        <v>Zenit Sicurezza</v>
      </c>
      <c r="O112" s="1297"/>
      <c r="P112" s="318"/>
      <c r="Q112" s="305"/>
      <c r="R112" s="357"/>
      <c r="S112" s="358"/>
      <c r="T112" s="346"/>
      <c r="U112" s="346"/>
      <c r="V112" s="346"/>
      <c r="W112" s="318"/>
      <c r="X112" s="305"/>
      <c r="Y112" s="318"/>
      <c r="Z112" s="318"/>
      <c r="AA112" s="318"/>
      <c r="AB112" s="359"/>
      <c r="AC112" s="360"/>
      <c r="AD112" s="121"/>
      <c r="AE112" s="161"/>
      <c r="AF112" s="257"/>
      <c r="AG112" s="353"/>
      <c r="AH112" s="353"/>
      <c r="AI112" s="353"/>
      <c r="AJ112" s="257"/>
      <c r="AK112" s="353"/>
      <c r="AL112" s="353"/>
      <c r="AM112" s="353"/>
      <c r="AN112" s="257"/>
      <c r="AO112" s="361"/>
      <c r="AP112" s="361"/>
      <c r="AQ112" s="361"/>
      <c r="AR112" s="211"/>
      <c r="AS112" s="362"/>
      <c r="AT112" s="362"/>
      <c r="AU112" s="362"/>
      <c r="AV112" s="211"/>
      <c r="AW112" s="362" t="s">
        <v>115</v>
      </c>
      <c r="AX112" s="259" t="s">
        <v>115</v>
      </c>
      <c r="AY112" s="259" t="s">
        <v>115</v>
      </c>
      <c r="AZ112" s="808">
        <f t="shared" si="100"/>
        <v>2997</v>
      </c>
      <c r="BA112" s="761">
        <f t="shared" si="98"/>
        <v>0</v>
      </c>
      <c r="BB112" s="761">
        <f t="shared" si="4"/>
        <v>2997</v>
      </c>
      <c r="BC112" s="262"/>
      <c r="BD112" s="824"/>
      <c r="BE112" s="1231">
        <v>2997</v>
      </c>
      <c r="BF112" s="363" t="s">
        <v>117</v>
      </c>
      <c r="BG112" s="98">
        <v>0</v>
      </c>
      <c r="BH112" s="261"/>
      <c r="BI112" s="242">
        <f t="shared" si="137"/>
        <v>0</v>
      </c>
      <c r="BJ112" s="1231">
        <f t="shared" ref="BJ112:BJ238" si="152">BE112*BG112</f>
        <v>0</v>
      </c>
      <c r="BK112" s="285"/>
      <c r="BL112" s="305" t="s">
        <v>160</v>
      </c>
      <c r="BM112" s="347">
        <v>0.1</v>
      </c>
      <c r="BN112" s="262"/>
      <c r="BO112" s="242">
        <f t="shared" si="133"/>
        <v>0</v>
      </c>
      <c r="BP112" s="1231">
        <f t="shared" si="134"/>
        <v>299.7</v>
      </c>
      <c r="BQ112" s="285"/>
      <c r="BR112" s="110">
        <v>2997</v>
      </c>
      <c r="BS112" s="365"/>
      <c r="BT112" s="366"/>
      <c r="BU112" s="368"/>
      <c r="BV112" s="366"/>
      <c r="BW112" s="367"/>
      <c r="BX112" s="366"/>
      <c r="BY112" s="368"/>
      <c r="BZ112" s="366"/>
      <c r="CA112" s="368"/>
      <c r="CB112" s="366"/>
      <c r="CC112" s="368"/>
      <c r="CD112" s="366"/>
      <c r="CE112" s="365"/>
      <c r="CF112" s="366"/>
      <c r="CG112" s="368"/>
      <c r="CH112" s="366"/>
      <c r="CI112" s="365"/>
      <c r="CJ112" s="366"/>
      <c r="CK112" s="353"/>
      <c r="CL112" s="181" t="s">
        <v>1123</v>
      </c>
      <c r="CM112" s="369"/>
      <c r="CN112" s="354"/>
      <c r="CO112" s="354"/>
      <c r="CP112" s="353"/>
      <c r="CQ112" s="305"/>
      <c r="CR112" s="823" t="s">
        <v>1132</v>
      </c>
      <c r="CS112" s="116" t="str">
        <f t="shared" si="9"/>
        <v>blackship</v>
      </c>
      <c r="CT112" s="820" t="b">
        <f t="shared" si="149"/>
        <v>0</v>
      </c>
      <c r="CU112" s="820" t="b">
        <f t="shared" si="150"/>
        <v>0</v>
      </c>
      <c r="CV112" s="116" t="str">
        <f t="shared" si="10"/>
        <v>Gianluca</v>
      </c>
      <c r="CW112" s="181"/>
      <c r="CX112" s="779"/>
      <c r="CY112" s="729"/>
      <c r="CZ112" s="729"/>
      <c r="DA112" s="729"/>
      <c r="DB112" s="729"/>
      <c r="DC112" s="729"/>
      <c r="DD112" s="265"/>
      <c r="DE112" s="265"/>
      <c r="DF112" s="265"/>
      <c r="DG112" s="265"/>
      <c r="DH112" s="265"/>
      <c r="DI112" s="265"/>
      <c r="DJ112" s="265"/>
      <c r="DK112" s="265"/>
      <c r="DL112" s="265"/>
      <c r="DM112" s="265"/>
      <c r="DN112" s="265"/>
      <c r="DO112" s="265"/>
      <c r="DP112" s="265"/>
      <c r="DQ112" s="265"/>
      <c r="DR112" s="265"/>
      <c r="DS112" s="265"/>
      <c r="DT112" s="265"/>
    </row>
    <row r="113" spans="1:124" ht="30" customHeight="1">
      <c r="A113" s="228"/>
      <c r="B113" s="1237"/>
      <c r="C113" s="155">
        <f t="shared" si="145"/>
        <v>23</v>
      </c>
      <c r="D113" s="781"/>
      <c r="E113" s="1308"/>
      <c r="F113" s="1308"/>
      <c r="G113" s="1295" t="s">
        <v>4076</v>
      </c>
      <c r="H113" s="1295" t="s">
        <v>4075</v>
      </c>
      <c r="I113" s="354"/>
      <c r="J113" s="354" t="str">
        <f t="shared" si="0"/>
        <v>Partecipante 5 Zenit</v>
      </c>
      <c r="K113" s="1310"/>
      <c r="L113" s="204"/>
      <c r="M113" s="305"/>
      <c r="N113" s="131" t="str">
        <f t="shared" si="1"/>
        <v>Zenit Sicurezza</v>
      </c>
      <c r="O113" s="1297"/>
      <c r="P113" s="318"/>
      <c r="Q113" s="305"/>
      <c r="R113" s="357"/>
      <c r="S113" s="358"/>
      <c r="T113" s="346"/>
      <c r="U113" s="346"/>
      <c r="V113" s="346"/>
      <c r="W113" s="318"/>
      <c r="X113" s="305"/>
      <c r="Y113" s="318"/>
      <c r="Z113" s="318"/>
      <c r="AA113" s="318"/>
      <c r="AB113" s="359"/>
      <c r="AC113" s="360"/>
      <c r="AD113" s="121"/>
      <c r="AE113" s="161"/>
      <c r="AF113" s="257"/>
      <c r="AG113" s="353"/>
      <c r="AH113" s="353"/>
      <c r="AI113" s="353"/>
      <c r="AJ113" s="257"/>
      <c r="AK113" s="353"/>
      <c r="AL113" s="353"/>
      <c r="AM113" s="353"/>
      <c r="AN113" s="257"/>
      <c r="AO113" s="361"/>
      <c r="AP113" s="361"/>
      <c r="AQ113" s="361"/>
      <c r="AR113" s="211"/>
      <c r="AS113" s="362"/>
      <c r="AT113" s="362"/>
      <c r="AU113" s="362"/>
      <c r="AV113" s="211"/>
      <c r="AW113" s="362" t="s">
        <v>115</v>
      </c>
      <c r="AX113" s="259" t="s">
        <v>115</v>
      </c>
      <c r="AY113" s="259" t="s">
        <v>115</v>
      </c>
      <c r="AZ113" s="808">
        <f t="shared" si="100"/>
        <v>2997</v>
      </c>
      <c r="BA113" s="761">
        <f t="shared" si="98"/>
        <v>0</v>
      </c>
      <c r="BB113" s="761">
        <f t="shared" si="4"/>
        <v>2997</v>
      </c>
      <c r="BC113" s="262"/>
      <c r="BD113" s="824"/>
      <c r="BE113" s="1231">
        <v>2997</v>
      </c>
      <c r="BF113" s="363" t="s">
        <v>117</v>
      </c>
      <c r="BG113" s="98">
        <v>0</v>
      </c>
      <c r="BH113" s="261"/>
      <c r="BI113" s="242">
        <f t="shared" si="137"/>
        <v>0</v>
      </c>
      <c r="BJ113" s="1231">
        <f t="shared" si="152"/>
        <v>0</v>
      </c>
      <c r="BK113" s="285"/>
      <c r="BL113" s="305" t="s">
        <v>160</v>
      </c>
      <c r="BM113" s="347">
        <v>0.1</v>
      </c>
      <c r="BN113" s="262"/>
      <c r="BO113" s="242">
        <f t="shared" si="133"/>
        <v>0</v>
      </c>
      <c r="BP113" s="1231">
        <f t="shared" si="134"/>
        <v>299.7</v>
      </c>
      <c r="BQ113" s="285"/>
      <c r="BR113" s="110">
        <v>2997</v>
      </c>
      <c r="BS113" s="365"/>
      <c r="BT113" s="366"/>
      <c r="BU113" s="368"/>
      <c r="BV113" s="366"/>
      <c r="BW113" s="367"/>
      <c r="BX113" s="366"/>
      <c r="BY113" s="368"/>
      <c r="BZ113" s="366"/>
      <c r="CA113" s="368"/>
      <c r="CB113" s="366"/>
      <c r="CC113" s="368"/>
      <c r="CD113" s="366"/>
      <c r="CE113" s="365"/>
      <c r="CF113" s="366"/>
      <c r="CG113" s="368"/>
      <c r="CH113" s="366"/>
      <c r="CI113" s="365"/>
      <c r="CJ113" s="366"/>
      <c r="CK113" s="353"/>
      <c r="CL113" s="181" t="s">
        <v>1123</v>
      </c>
      <c r="CM113" s="369"/>
      <c r="CN113" s="354"/>
      <c r="CO113" s="354"/>
      <c r="CP113" s="353"/>
      <c r="CQ113" s="305"/>
      <c r="CR113" s="823" t="s">
        <v>1132</v>
      </c>
      <c r="CS113" s="116" t="str">
        <f t="shared" si="9"/>
        <v>blackship</v>
      </c>
      <c r="CT113" s="820" t="b">
        <f t="shared" si="149"/>
        <v>0</v>
      </c>
      <c r="CU113" s="820" t="b">
        <f t="shared" si="150"/>
        <v>0</v>
      </c>
      <c r="CV113" s="116" t="str">
        <f t="shared" si="10"/>
        <v>Gianluca</v>
      </c>
      <c r="CW113" s="181"/>
      <c r="CX113" s="779"/>
      <c r="CY113" s="729"/>
      <c r="CZ113" s="729"/>
      <c r="DA113" s="729"/>
      <c r="DB113" s="729"/>
      <c r="DC113" s="729"/>
      <c r="DD113" s="265"/>
      <c r="DE113" s="265"/>
      <c r="DF113" s="265"/>
      <c r="DG113" s="265"/>
      <c r="DH113" s="265"/>
      <c r="DI113" s="265"/>
      <c r="DJ113" s="265"/>
      <c r="DK113" s="265"/>
      <c r="DL113" s="265"/>
      <c r="DM113" s="265"/>
      <c r="DN113" s="265"/>
      <c r="DO113" s="265"/>
      <c r="DP113" s="265"/>
      <c r="DQ113" s="265"/>
      <c r="DR113" s="265"/>
      <c r="DS113" s="265"/>
      <c r="DT113" s="265"/>
    </row>
    <row r="114" spans="1:124" ht="30" customHeight="1">
      <c r="A114" s="228"/>
      <c r="B114" s="1237"/>
      <c r="C114" s="155">
        <f t="shared" si="145"/>
        <v>24</v>
      </c>
      <c r="D114" s="781"/>
      <c r="E114" s="1308"/>
      <c r="F114" s="1308"/>
      <c r="G114" s="1295" t="s">
        <v>4077</v>
      </c>
      <c r="H114" s="1295" t="s">
        <v>4075</v>
      </c>
      <c r="I114" s="354"/>
      <c r="J114" s="354" t="str">
        <f t="shared" si="0"/>
        <v>Partecipante 6 Zenit</v>
      </c>
      <c r="K114" s="1310"/>
      <c r="L114" s="204"/>
      <c r="M114" s="305"/>
      <c r="N114" s="131" t="str">
        <f t="shared" si="1"/>
        <v>Zenit Sicurezza</v>
      </c>
      <c r="O114" s="1297"/>
      <c r="P114" s="318"/>
      <c r="Q114" s="305"/>
      <c r="R114" s="357"/>
      <c r="S114" s="358"/>
      <c r="T114" s="346"/>
      <c r="U114" s="346"/>
      <c r="V114" s="346"/>
      <c r="W114" s="318"/>
      <c r="X114" s="305"/>
      <c r="Y114" s="318"/>
      <c r="Z114" s="318"/>
      <c r="AA114" s="318"/>
      <c r="AB114" s="359"/>
      <c r="AC114" s="360"/>
      <c r="AD114" s="121"/>
      <c r="AE114" s="161"/>
      <c r="AF114" s="257"/>
      <c r="AG114" s="353"/>
      <c r="AH114" s="353"/>
      <c r="AI114" s="353"/>
      <c r="AJ114" s="257"/>
      <c r="AK114" s="353"/>
      <c r="AL114" s="353"/>
      <c r="AM114" s="353"/>
      <c r="AN114" s="257"/>
      <c r="AO114" s="361"/>
      <c r="AP114" s="361"/>
      <c r="AQ114" s="361"/>
      <c r="AR114" s="211"/>
      <c r="AS114" s="362"/>
      <c r="AT114" s="362"/>
      <c r="AU114" s="362"/>
      <c r="AV114" s="211"/>
      <c r="AW114" s="362" t="s">
        <v>115</v>
      </c>
      <c r="AX114" s="259" t="s">
        <v>115</v>
      </c>
      <c r="AY114" s="259" t="s">
        <v>115</v>
      </c>
      <c r="AZ114" s="808">
        <f t="shared" si="100"/>
        <v>2997</v>
      </c>
      <c r="BA114" s="761">
        <f t="shared" si="98"/>
        <v>0</v>
      </c>
      <c r="BB114" s="761">
        <f t="shared" si="4"/>
        <v>2997</v>
      </c>
      <c r="BC114" s="262"/>
      <c r="BD114" s="824"/>
      <c r="BE114" s="1231">
        <v>2997</v>
      </c>
      <c r="BF114" s="363" t="s">
        <v>117</v>
      </c>
      <c r="BG114" s="98">
        <v>0</v>
      </c>
      <c r="BH114" s="261"/>
      <c r="BI114" s="242">
        <f t="shared" si="137"/>
        <v>0</v>
      </c>
      <c r="BJ114" s="1231">
        <f t="shared" si="152"/>
        <v>0</v>
      </c>
      <c r="BK114" s="285"/>
      <c r="BL114" s="305" t="s">
        <v>160</v>
      </c>
      <c r="BM114" s="347">
        <v>0.1</v>
      </c>
      <c r="BN114" s="262"/>
      <c r="BO114" s="242">
        <f t="shared" si="133"/>
        <v>0</v>
      </c>
      <c r="BP114" s="1231">
        <f t="shared" si="134"/>
        <v>299.7</v>
      </c>
      <c r="BQ114" s="285"/>
      <c r="BR114" s="110">
        <v>2997</v>
      </c>
      <c r="BS114" s="365"/>
      <c r="BT114" s="366"/>
      <c r="BU114" s="368"/>
      <c r="BV114" s="366"/>
      <c r="BW114" s="367"/>
      <c r="BX114" s="366"/>
      <c r="BY114" s="368"/>
      <c r="BZ114" s="366"/>
      <c r="CA114" s="368"/>
      <c r="CB114" s="366"/>
      <c r="CC114" s="368"/>
      <c r="CD114" s="366"/>
      <c r="CE114" s="365"/>
      <c r="CF114" s="366"/>
      <c r="CG114" s="368"/>
      <c r="CH114" s="366"/>
      <c r="CI114" s="365"/>
      <c r="CJ114" s="366"/>
      <c r="CK114" s="353"/>
      <c r="CL114" s="181" t="s">
        <v>1123</v>
      </c>
      <c r="CM114" s="369"/>
      <c r="CN114" s="354"/>
      <c r="CO114" s="354"/>
      <c r="CP114" s="353"/>
      <c r="CQ114" s="305"/>
      <c r="CR114" s="823" t="s">
        <v>1132</v>
      </c>
      <c r="CS114" s="116" t="str">
        <f t="shared" si="9"/>
        <v>blackship</v>
      </c>
      <c r="CT114" s="820" t="b">
        <f t="shared" si="149"/>
        <v>0</v>
      </c>
      <c r="CU114" s="820" t="b">
        <f t="shared" si="150"/>
        <v>0</v>
      </c>
      <c r="CV114" s="116" t="str">
        <f t="shared" si="10"/>
        <v>Gianluca</v>
      </c>
      <c r="CW114" s="181"/>
      <c r="CX114" s="779"/>
      <c r="CY114" s="729"/>
      <c r="CZ114" s="729"/>
      <c r="DA114" s="729"/>
      <c r="DB114" s="729"/>
      <c r="DC114" s="729"/>
      <c r="DD114" s="265"/>
      <c r="DE114" s="265"/>
      <c r="DF114" s="265"/>
      <c r="DG114" s="265"/>
      <c r="DH114" s="265"/>
      <c r="DI114" s="265"/>
      <c r="DJ114" s="265"/>
      <c r="DK114" s="265"/>
      <c r="DL114" s="265"/>
      <c r="DM114" s="265"/>
      <c r="DN114" s="265"/>
      <c r="DO114" s="265"/>
      <c r="DP114" s="265"/>
      <c r="DQ114" s="265"/>
      <c r="DR114" s="265"/>
      <c r="DS114" s="265"/>
      <c r="DT114" s="265"/>
    </row>
    <row r="115" spans="1:124" ht="30" customHeight="1">
      <c r="A115" s="228"/>
      <c r="B115" s="1237"/>
      <c r="C115" s="155">
        <v>1</v>
      </c>
      <c r="D115" s="781">
        <v>1</v>
      </c>
      <c r="E115" s="781"/>
      <c r="F115" s="781"/>
      <c r="G115" s="112" t="s">
        <v>1185</v>
      </c>
      <c r="H115" s="112" t="s">
        <v>1186</v>
      </c>
      <c r="I115" s="354" t="s">
        <v>1187</v>
      </c>
      <c r="J115" s="207" t="str">
        <f t="shared" si="0"/>
        <v>Angelo Piccoli</v>
      </c>
      <c r="K115" s="156">
        <v>3460522558</v>
      </c>
      <c r="L115" s="204" t="s">
        <v>1188</v>
      </c>
      <c r="M115" s="131"/>
      <c r="N115" s="131" t="str">
        <f t="shared" si="1"/>
        <v>Binnova</v>
      </c>
      <c r="O115" s="1297"/>
      <c r="P115" s="251"/>
      <c r="Q115" s="131"/>
      <c r="R115" s="252" t="s">
        <v>1120</v>
      </c>
      <c r="S115" s="254"/>
      <c r="T115" s="346"/>
      <c r="U115" s="253"/>
      <c r="V115" s="253"/>
      <c r="W115" s="251"/>
      <c r="X115" s="131"/>
      <c r="Y115" s="251"/>
      <c r="Z115" s="251"/>
      <c r="AA115" s="251"/>
      <c r="AB115" s="255"/>
      <c r="AC115" s="256"/>
      <c r="AD115" s="121" t="s">
        <v>118</v>
      </c>
      <c r="AE115" s="80" t="str">
        <f t="shared" ref="AE115:AE118" si="153">L115</f>
        <v>Vincitore Quizzone VB2B Sett. 22</v>
      </c>
      <c r="AF115" s="257"/>
      <c r="AG115" s="155"/>
      <c r="AH115" s="155"/>
      <c r="AI115" s="155"/>
      <c r="AJ115" s="257"/>
      <c r="AK115" s="155"/>
      <c r="AL115" s="155"/>
      <c r="AM115" s="155"/>
      <c r="AN115" s="257"/>
      <c r="AO115" s="258"/>
      <c r="AP115" s="258"/>
      <c r="AQ115" s="258"/>
      <c r="AR115" s="211"/>
      <c r="AS115" s="350" t="s">
        <v>115</v>
      </c>
      <c r="AT115" s="259"/>
      <c r="AU115" s="259"/>
      <c r="AV115" s="211"/>
      <c r="AW115" s="259"/>
      <c r="AX115" s="259" t="s">
        <v>115</v>
      </c>
      <c r="AY115" s="259" t="s">
        <v>115</v>
      </c>
      <c r="AZ115" s="808">
        <f t="shared" si="100"/>
        <v>0</v>
      </c>
      <c r="BA115" s="761">
        <f t="shared" si="98"/>
        <v>0</v>
      </c>
      <c r="BB115" s="761">
        <f t="shared" si="4"/>
        <v>0</v>
      </c>
      <c r="BC115" s="262"/>
      <c r="BD115" s="824">
        <f>AZ115</f>
        <v>0</v>
      </c>
      <c r="BE115" s="1231"/>
      <c r="BF115" s="131" t="s">
        <v>141</v>
      </c>
      <c r="BG115" s="145">
        <v>0</v>
      </c>
      <c r="BH115" s="261"/>
      <c r="BI115" s="242">
        <f t="shared" si="137"/>
        <v>0</v>
      </c>
      <c r="BJ115" s="1231">
        <f t="shared" si="152"/>
        <v>0</v>
      </c>
      <c r="BK115" s="244" t="s">
        <v>118</v>
      </c>
      <c r="BL115" s="131" t="s">
        <v>141</v>
      </c>
      <c r="BM115" s="347">
        <v>0</v>
      </c>
      <c r="BN115" s="262"/>
      <c r="BO115" s="242">
        <f t="shared" si="133"/>
        <v>0</v>
      </c>
      <c r="BP115" s="1231">
        <f t="shared" si="134"/>
        <v>0</v>
      </c>
      <c r="BQ115" s="243"/>
      <c r="BR115" s="110"/>
      <c r="BS115" s="226"/>
      <c r="BT115" s="110"/>
      <c r="BU115" s="263"/>
      <c r="BV115" s="110"/>
      <c r="BW115" s="348"/>
      <c r="BX115" s="110"/>
      <c r="BY115" s="263"/>
      <c r="BZ115" s="110"/>
      <c r="CA115" s="263"/>
      <c r="CB115" s="110"/>
      <c r="CC115" s="263"/>
      <c r="CD115" s="110"/>
      <c r="CE115" s="226"/>
      <c r="CF115" s="110"/>
      <c r="CG115" s="263"/>
      <c r="CH115" s="110"/>
      <c r="CI115" s="226"/>
      <c r="CJ115" s="110"/>
      <c r="CK115" s="155">
        <v>1</v>
      </c>
      <c r="CL115" s="181" t="s">
        <v>1123</v>
      </c>
      <c r="CM115" s="181"/>
      <c r="CN115" s="207"/>
      <c r="CO115" s="282" t="s">
        <v>122</v>
      </c>
      <c r="CP115" s="155"/>
      <c r="CQ115" s="131"/>
      <c r="CR115" s="823" t="s">
        <v>907</v>
      </c>
      <c r="CS115" s="116" t="str">
        <f t="shared" si="9"/>
        <v>Daniele</v>
      </c>
      <c r="CT115" s="820">
        <f t="shared" si="149"/>
        <v>0</v>
      </c>
      <c r="CU115" s="820">
        <f t="shared" si="150"/>
        <v>0</v>
      </c>
      <c r="CV115" s="116" t="str">
        <f t="shared" si="10"/>
        <v>Daniele</v>
      </c>
      <c r="CW115" s="181"/>
      <c r="CX115" s="779"/>
      <c r="CY115" s="729"/>
      <c r="CZ115" s="729"/>
      <c r="DA115" s="729"/>
      <c r="DB115" s="729"/>
      <c r="DC115" s="729"/>
      <c r="DD115" s="265"/>
      <c r="DE115" s="265"/>
      <c r="DF115" s="265"/>
      <c r="DG115" s="265"/>
      <c r="DH115" s="265"/>
      <c r="DI115" s="265"/>
      <c r="DJ115" s="265"/>
      <c r="DK115" s="265"/>
      <c r="DL115" s="265"/>
      <c r="DM115" s="265"/>
      <c r="DN115" s="265"/>
      <c r="DO115" s="265"/>
      <c r="DP115" s="265"/>
      <c r="DQ115" s="265"/>
      <c r="DR115" s="265"/>
      <c r="DS115" s="265"/>
      <c r="DT115" s="265"/>
    </row>
    <row r="116" spans="1:124" ht="30" customHeight="1">
      <c r="A116" s="228"/>
      <c r="B116" s="331"/>
      <c r="C116" s="155">
        <f t="shared" ref="C116:C247" si="154">C115+1</f>
        <v>2</v>
      </c>
      <c r="D116" s="781"/>
      <c r="E116" s="781"/>
      <c r="F116" s="781"/>
      <c r="G116" s="112" t="s">
        <v>135</v>
      </c>
      <c r="H116" s="112" t="s">
        <v>3829</v>
      </c>
      <c r="I116" s="207" t="s">
        <v>4078</v>
      </c>
      <c r="J116" s="207" t="str">
        <f t="shared" si="0"/>
        <v>Alessandro Arlanch</v>
      </c>
      <c r="K116" s="156" t="s">
        <v>4079</v>
      </c>
      <c r="L116" s="131"/>
      <c r="M116" s="131" t="s">
        <v>4080</v>
      </c>
      <c r="N116" s="131" t="str">
        <f t="shared" si="1"/>
        <v>OPT Surgisystems</v>
      </c>
      <c r="O116" s="1297"/>
      <c r="P116" s="251"/>
      <c r="Q116" s="131"/>
      <c r="R116" s="252"/>
      <c r="S116" s="254"/>
      <c r="T116" s="346"/>
      <c r="U116" s="253"/>
      <c r="V116" s="253"/>
      <c r="W116" s="251"/>
      <c r="X116" s="131"/>
      <c r="Y116" s="251"/>
      <c r="Z116" s="251"/>
      <c r="AA116" s="251"/>
      <c r="AB116" s="255"/>
      <c r="AC116" s="256"/>
      <c r="AD116" s="121"/>
      <c r="AE116" s="80">
        <f t="shared" si="153"/>
        <v>0</v>
      </c>
      <c r="AF116" s="257"/>
      <c r="AG116" s="155"/>
      <c r="AH116" s="155"/>
      <c r="AI116" s="155"/>
      <c r="AJ116" s="257"/>
      <c r="AK116" s="155"/>
      <c r="AL116" s="155"/>
      <c r="AM116" s="155"/>
      <c r="AN116" s="257"/>
      <c r="AO116" s="258"/>
      <c r="AP116" s="258"/>
      <c r="AQ116" s="258"/>
      <c r="AR116" s="211"/>
      <c r="AS116" s="259"/>
      <c r="AT116" s="259"/>
      <c r="AU116" s="259"/>
      <c r="AV116" s="211"/>
      <c r="AW116" s="121" t="s">
        <v>115</v>
      </c>
      <c r="AX116" s="121" t="s">
        <v>115</v>
      </c>
      <c r="AY116" s="121" t="s">
        <v>115</v>
      </c>
      <c r="AZ116" s="808">
        <f t="shared" si="100"/>
        <v>2997</v>
      </c>
      <c r="BA116" s="761">
        <f t="shared" si="98"/>
        <v>0</v>
      </c>
      <c r="BB116" s="761">
        <f t="shared" si="4"/>
        <v>2997</v>
      </c>
      <c r="BC116" s="262"/>
      <c r="BD116" s="824"/>
      <c r="BE116" s="1231">
        <v>2997</v>
      </c>
      <c r="BF116" s="392" t="s">
        <v>133</v>
      </c>
      <c r="BG116" s="145">
        <v>0.15</v>
      </c>
      <c r="BH116" s="262"/>
      <c r="BI116" s="242">
        <f t="shared" si="137"/>
        <v>0</v>
      </c>
      <c r="BJ116" s="1231">
        <f t="shared" si="152"/>
        <v>449.55</v>
      </c>
      <c r="BK116" s="772"/>
      <c r="BL116" s="826" t="s">
        <v>133</v>
      </c>
      <c r="BM116" s="145">
        <v>0.05</v>
      </c>
      <c r="BN116" s="262"/>
      <c r="BO116" s="242">
        <f t="shared" si="133"/>
        <v>0</v>
      </c>
      <c r="BP116" s="1231">
        <f t="shared" si="134"/>
        <v>149.85</v>
      </c>
      <c r="BQ116" s="243"/>
      <c r="BR116" s="110">
        <v>2997</v>
      </c>
      <c r="BS116" s="226">
        <v>44834</v>
      </c>
      <c r="BT116" s="110"/>
      <c r="BU116" s="263"/>
      <c r="BV116" s="110"/>
      <c r="BW116" s="348"/>
      <c r="BX116" s="110"/>
      <c r="BY116" s="263"/>
      <c r="BZ116" s="110"/>
      <c r="CA116" s="263"/>
      <c r="CB116" s="110"/>
      <c r="CC116" s="263"/>
      <c r="CD116" s="110"/>
      <c r="CE116" s="226"/>
      <c r="CF116" s="110"/>
      <c r="CG116" s="263"/>
      <c r="CH116" s="110"/>
      <c r="CI116" s="226"/>
      <c r="CJ116" s="110"/>
      <c r="CK116" s="155">
        <v>1</v>
      </c>
      <c r="CL116" s="181" t="s">
        <v>1123</v>
      </c>
      <c r="CM116" s="181"/>
      <c r="CN116" s="207"/>
      <c r="CO116" s="282" t="s">
        <v>122</v>
      </c>
      <c r="CP116" s="155"/>
      <c r="CQ116" s="131" t="s">
        <v>375</v>
      </c>
      <c r="CR116" s="823" t="s">
        <v>4081</v>
      </c>
      <c r="CS116" s="116" t="str">
        <f t="shared" si="9"/>
        <v>Cristian B</v>
      </c>
      <c r="CT116" s="820" t="b">
        <f t="shared" si="149"/>
        <v>0</v>
      </c>
      <c r="CU116" s="820" t="b">
        <f t="shared" si="150"/>
        <v>0</v>
      </c>
      <c r="CV116" s="116" t="str">
        <f t="shared" si="10"/>
        <v>Cristian B</v>
      </c>
      <c r="CW116" s="181"/>
      <c r="CX116" s="779"/>
      <c r="CY116" s="729"/>
      <c r="CZ116" s="729"/>
      <c r="DA116" s="729"/>
      <c r="DB116" s="729"/>
      <c r="DC116" s="729"/>
      <c r="DD116" s="265"/>
      <c r="DE116" s="265"/>
      <c r="DF116" s="265"/>
      <c r="DG116" s="265"/>
      <c r="DH116" s="265"/>
      <c r="DI116" s="265"/>
      <c r="DJ116" s="265"/>
      <c r="DK116" s="265"/>
      <c r="DL116" s="265"/>
      <c r="DM116" s="265"/>
      <c r="DN116" s="265"/>
      <c r="DO116" s="265"/>
      <c r="DP116" s="265"/>
      <c r="DQ116" s="265"/>
      <c r="DR116" s="265"/>
      <c r="DS116" s="265"/>
      <c r="DT116" s="265"/>
    </row>
    <row r="117" spans="1:124" ht="30" customHeight="1">
      <c r="A117" s="228"/>
      <c r="B117" s="1237"/>
      <c r="C117" s="155">
        <f t="shared" si="154"/>
        <v>3</v>
      </c>
      <c r="D117" s="781"/>
      <c r="E117" s="781"/>
      <c r="F117" s="781"/>
      <c r="G117" s="112" t="s">
        <v>135</v>
      </c>
      <c r="H117" s="112" t="s">
        <v>1140</v>
      </c>
      <c r="I117" s="207" t="s">
        <v>1141</v>
      </c>
      <c r="J117" s="207" t="str">
        <f t="shared" si="0"/>
        <v>Alessandro Berizzi</v>
      </c>
      <c r="K117" s="156" t="s">
        <v>1142</v>
      </c>
      <c r="L117" s="204" t="s">
        <v>1143</v>
      </c>
      <c r="M117" s="131" t="s">
        <v>138</v>
      </c>
      <c r="N117" s="131" t="str">
        <f t="shared" si="1"/>
        <v>Emironet</v>
      </c>
      <c r="O117" s="1297"/>
      <c r="P117" s="251"/>
      <c r="Q117" s="131"/>
      <c r="R117" s="252"/>
      <c r="S117" s="254"/>
      <c r="T117" s="346"/>
      <c r="U117" s="253"/>
      <c r="V117" s="253"/>
      <c r="W117" s="251"/>
      <c r="X117" s="131"/>
      <c r="Y117" s="251"/>
      <c r="Z117" s="251"/>
      <c r="AA117" s="251"/>
      <c r="AB117" s="255"/>
      <c r="AC117" s="256"/>
      <c r="AD117" s="121"/>
      <c r="AE117" s="80" t="str">
        <f t="shared" si="153"/>
        <v>DA Raffa il 13.10.22: ha capito l’importanza di farlo subito, deve organizzarsi: domani ora di pranzo last chance. In ogni caso lo fa, eventualmente a primavera.</v>
      </c>
      <c r="AF117" s="257"/>
      <c r="AG117" s="155"/>
      <c r="AH117" s="155"/>
      <c r="AI117" s="155"/>
      <c r="AJ117" s="257"/>
      <c r="AK117" s="155"/>
      <c r="AL117" s="155"/>
      <c r="AM117" s="155"/>
      <c r="AN117" s="257"/>
      <c r="AO117" s="258"/>
      <c r="AP117" s="258"/>
      <c r="AQ117" s="258"/>
      <c r="AR117" s="211"/>
      <c r="AS117" s="124"/>
      <c r="AT117" s="124"/>
      <c r="AU117" s="124"/>
      <c r="AV117" s="211"/>
      <c r="AW117" s="259" t="s">
        <v>151</v>
      </c>
      <c r="AX117" s="259" t="s">
        <v>151</v>
      </c>
      <c r="AY117" s="259" t="s">
        <v>151</v>
      </c>
      <c r="AZ117" s="808">
        <f t="shared" si="100"/>
        <v>2997</v>
      </c>
      <c r="BA117" s="761">
        <f t="shared" si="98"/>
        <v>0</v>
      </c>
      <c r="BB117" s="761">
        <f t="shared" si="4"/>
        <v>2997</v>
      </c>
      <c r="BC117" s="262"/>
      <c r="BD117" s="824"/>
      <c r="BE117" s="1231">
        <v>2997</v>
      </c>
      <c r="BF117" s="372" t="s">
        <v>184</v>
      </c>
      <c r="BG117" s="145">
        <v>0.15</v>
      </c>
      <c r="BH117" s="262"/>
      <c r="BI117" s="242">
        <f t="shared" si="137"/>
        <v>0</v>
      </c>
      <c r="BJ117" s="1231">
        <f t="shared" si="152"/>
        <v>449.55</v>
      </c>
      <c r="BK117" s="772"/>
      <c r="BL117" s="1312" t="s">
        <v>184</v>
      </c>
      <c r="BM117" s="145">
        <v>0.05</v>
      </c>
      <c r="BN117" s="262"/>
      <c r="BO117" s="242">
        <f t="shared" si="133"/>
        <v>0</v>
      </c>
      <c r="BP117" s="1231">
        <f t="shared" si="134"/>
        <v>149.85</v>
      </c>
      <c r="BQ117" s="243"/>
      <c r="BR117" s="110">
        <v>2997</v>
      </c>
      <c r="BS117" s="226">
        <v>44834</v>
      </c>
      <c r="BT117" s="110"/>
      <c r="BU117" s="263"/>
      <c r="BV117" s="110"/>
      <c r="BW117" s="348"/>
      <c r="BX117" s="110"/>
      <c r="BY117" s="263"/>
      <c r="BZ117" s="110"/>
      <c r="CA117" s="263"/>
      <c r="CB117" s="110"/>
      <c r="CC117" s="263"/>
      <c r="CD117" s="110"/>
      <c r="CE117" s="226"/>
      <c r="CF117" s="110"/>
      <c r="CG117" s="263"/>
      <c r="CH117" s="110"/>
      <c r="CI117" s="226"/>
      <c r="CJ117" s="110"/>
      <c r="CK117" s="155">
        <v>1</v>
      </c>
      <c r="CL117" s="181" t="s">
        <v>1123</v>
      </c>
      <c r="CM117" s="181"/>
      <c r="CN117" s="207"/>
      <c r="CO117" s="282" t="s">
        <v>122</v>
      </c>
      <c r="CP117" s="155"/>
      <c r="CQ117" s="131" t="s">
        <v>118</v>
      </c>
      <c r="CR117" s="823" t="s">
        <v>1144</v>
      </c>
      <c r="CS117" s="116" t="str">
        <f t="shared" si="9"/>
        <v>Cristian A</v>
      </c>
      <c r="CT117" s="820" t="b">
        <f t="shared" si="149"/>
        <v>0</v>
      </c>
      <c r="CU117" s="820" t="b">
        <f t="shared" si="150"/>
        <v>0</v>
      </c>
      <c r="CV117" s="116" t="str">
        <f t="shared" si="10"/>
        <v>Cristian A</v>
      </c>
      <c r="CW117" s="181"/>
      <c r="CX117" s="779"/>
      <c r="CY117" s="729"/>
      <c r="CZ117" s="729"/>
      <c r="DA117" s="729"/>
      <c r="DB117" s="729"/>
      <c r="DC117" s="729"/>
      <c r="DD117" s="265"/>
      <c r="DE117" s="265"/>
      <c r="DF117" s="265"/>
      <c r="DG117" s="265"/>
      <c r="DH117" s="265"/>
      <c r="DI117" s="265"/>
      <c r="DJ117" s="265"/>
      <c r="DK117" s="265"/>
      <c r="DL117" s="265"/>
      <c r="DM117" s="265"/>
      <c r="DN117" s="265"/>
      <c r="DO117" s="265"/>
      <c r="DP117" s="265"/>
      <c r="DQ117" s="265"/>
      <c r="DR117" s="265"/>
      <c r="DS117" s="265"/>
      <c r="DT117" s="265"/>
    </row>
    <row r="118" spans="1:124" ht="30" customHeight="1">
      <c r="A118" s="228"/>
      <c r="B118" s="1237"/>
      <c r="C118" s="155">
        <f t="shared" si="154"/>
        <v>4</v>
      </c>
      <c r="D118" s="781">
        <v>1</v>
      </c>
      <c r="E118" s="781">
        <v>1</v>
      </c>
      <c r="F118" s="781">
        <v>1</v>
      </c>
      <c r="G118" s="112" t="s">
        <v>135</v>
      </c>
      <c r="H118" s="112" t="s">
        <v>2517</v>
      </c>
      <c r="I118" s="1234" t="s">
        <v>2518</v>
      </c>
      <c r="J118" s="207" t="str">
        <f t="shared" si="0"/>
        <v>Alessandro Gigliotti</v>
      </c>
      <c r="K118" s="156">
        <v>335246940</v>
      </c>
      <c r="L118" s="131"/>
      <c r="M118" s="131" t="s">
        <v>1148</v>
      </c>
      <c r="N118" s="131" t="str">
        <f t="shared" si="1"/>
        <v>Global-Com</v>
      </c>
      <c r="O118" s="1297"/>
      <c r="P118" s="251"/>
      <c r="Q118" s="131"/>
      <c r="R118" s="252"/>
      <c r="S118" s="254"/>
      <c r="T118" s="346"/>
      <c r="U118" s="253"/>
      <c r="V118" s="253"/>
      <c r="W118" s="251"/>
      <c r="X118" s="131"/>
      <c r="Y118" s="251"/>
      <c r="Z118" s="251"/>
      <c r="AA118" s="251"/>
      <c r="AB118" s="255"/>
      <c r="AC118" s="256"/>
      <c r="AD118" s="121" t="s">
        <v>4082</v>
      </c>
      <c r="AE118" s="80">
        <f t="shared" si="153"/>
        <v>0</v>
      </c>
      <c r="AF118" s="257"/>
      <c r="AG118" s="155"/>
      <c r="AH118" s="155"/>
      <c r="AI118" s="155"/>
      <c r="AJ118" s="257"/>
      <c r="AK118" s="155"/>
      <c r="AL118" s="155"/>
      <c r="AM118" s="155"/>
      <c r="AN118" s="257"/>
      <c r="AO118" s="258"/>
      <c r="AP118" s="258"/>
      <c r="AQ118" s="258"/>
      <c r="AR118" s="211"/>
      <c r="AS118" s="259" t="s">
        <v>115</v>
      </c>
      <c r="AT118" s="259" t="s">
        <v>115</v>
      </c>
      <c r="AU118" s="259" t="s">
        <v>115</v>
      </c>
      <c r="AV118" s="211"/>
      <c r="AW118" s="259"/>
      <c r="AX118" s="259"/>
      <c r="AY118" s="259"/>
      <c r="AZ118" s="808">
        <f t="shared" si="100"/>
        <v>2997</v>
      </c>
      <c r="BA118" s="761">
        <f t="shared" si="98"/>
        <v>2997</v>
      </c>
      <c r="BB118" s="761">
        <f t="shared" si="4"/>
        <v>0</v>
      </c>
      <c r="BC118" s="262"/>
      <c r="BD118" s="824">
        <f>AZ118</f>
        <v>2997</v>
      </c>
      <c r="BE118" s="1231"/>
      <c r="BF118" s="363" t="s">
        <v>117</v>
      </c>
      <c r="BG118" s="98">
        <v>0</v>
      </c>
      <c r="BH118" s="262"/>
      <c r="BI118" s="242">
        <f t="shared" si="137"/>
        <v>0</v>
      </c>
      <c r="BJ118" s="1231">
        <f t="shared" si="152"/>
        <v>0</v>
      </c>
      <c r="BK118" s="244" t="s">
        <v>118</v>
      </c>
      <c r="BL118" s="828" t="s">
        <v>152</v>
      </c>
      <c r="BM118" s="145">
        <v>0.05</v>
      </c>
      <c r="BN118" s="262"/>
      <c r="BO118" s="242">
        <f t="shared" si="133"/>
        <v>149.85</v>
      </c>
      <c r="BP118" s="1231">
        <f t="shared" si="134"/>
        <v>0</v>
      </c>
      <c r="BQ118" s="387" t="s">
        <v>1076</v>
      </c>
      <c r="BR118" s="110">
        <v>2997</v>
      </c>
      <c r="BS118" s="226">
        <v>44834</v>
      </c>
      <c r="BT118" s="110">
        <f>BR118</f>
        <v>2997</v>
      </c>
      <c r="BU118" s="263"/>
      <c r="BV118" s="110"/>
      <c r="BW118" s="348"/>
      <c r="BX118" s="110"/>
      <c r="BY118" s="263"/>
      <c r="BZ118" s="110"/>
      <c r="CA118" s="263"/>
      <c r="CB118" s="110"/>
      <c r="CC118" s="263"/>
      <c r="CD118" s="110"/>
      <c r="CE118" s="226"/>
      <c r="CF118" s="110"/>
      <c r="CG118" s="263"/>
      <c r="CH118" s="110"/>
      <c r="CI118" s="226"/>
      <c r="CJ118" s="110"/>
      <c r="CK118" s="155">
        <v>1</v>
      </c>
      <c r="CL118" s="181" t="s">
        <v>1123</v>
      </c>
      <c r="CM118" s="181"/>
      <c r="CN118" s="207"/>
      <c r="CO118" s="282" t="s">
        <v>122</v>
      </c>
      <c r="CP118" s="155"/>
      <c r="CQ118" s="131" t="s">
        <v>4083</v>
      </c>
      <c r="CR118" s="823" t="s">
        <v>2519</v>
      </c>
      <c r="CS118" s="116" t="str">
        <f t="shared" si="9"/>
        <v>blackship</v>
      </c>
      <c r="CT118" s="820">
        <f t="shared" si="149"/>
        <v>0</v>
      </c>
      <c r="CU118" s="820">
        <f t="shared" si="150"/>
        <v>149.85</v>
      </c>
      <c r="CV118" s="116" t="str">
        <f t="shared" si="10"/>
        <v>Client Angel</v>
      </c>
      <c r="CW118" s="121">
        <v>1</v>
      </c>
      <c r="CX118" s="779"/>
      <c r="CY118" s="729"/>
      <c r="CZ118" s="729"/>
      <c r="DA118" s="729"/>
      <c r="DB118" s="729"/>
      <c r="DC118" s="729"/>
      <c r="DD118" s="265"/>
      <c r="DE118" s="265"/>
      <c r="DF118" s="265"/>
      <c r="DG118" s="265"/>
      <c r="DH118" s="265"/>
      <c r="DI118" s="265"/>
      <c r="DJ118" s="265"/>
      <c r="DK118" s="265"/>
      <c r="DL118" s="265"/>
      <c r="DM118" s="265"/>
      <c r="DN118" s="265"/>
      <c r="DO118" s="265"/>
      <c r="DP118" s="265"/>
      <c r="DQ118" s="265"/>
      <c r="DR118" s="265"/>
      <c r="DS118" s="265"/>
      <c r="DT118" s="265"/>
    </row>
    <row r="119" spans="1:124" ht="30" customHeight="1">
      <c r="A119" s="228"/>
      <c r="B119" s="1237"/>
      <c r="C119" s="155">
        <f t="shared" si="154"/>
        <v>5</v>
      </c>
      <c r="D119" s="781">
        <v>1</v>
      </c>
      <c r="E119" s="781">
        <v>1</v>
      </c>
      <c r="F119" s="781">
        <v>1</v>
      </c>
      <c r="G119" s="112" t="s">
        <v>4084</v>
      </c>
      <c r="H119" s="112" t="s">
        <v>4085</v>
      </c>
      <c r="I119" s="1234" t="s">
        <v>4086</v>
      </c>
      <c r="J119" s="207" t="str">
        <f t="shared" si="0"/>
        <v>Alessandro  Chilosi</v>
      </c>
      <c r="K119" s="156" t="s">
        <v>4087</v>
      </c>
      <c r="M119" s="131" t="s">
        <v>347</v>
      </c>
      <c r="N119" s="131" t="str">
        <f t="shared" si="1"/>
        <v>Envalue Consulting</v>
      </c>
      <c r="O119" s="1297"/>
      <c r="P119" s="251"/>
      <c r="Q119" s="131"/>
      <c r="R119" s="252"/>
      <c r="S119" s="254"/>
      <c r="T119" s="346"/>
      <c r="U119" s="253"/>
      <c r="V119" s="253"/>
      <c r="W119" s="251"/>
      <c r="X119" s="131"/>
      <c r="Y119" s="251"/>
      <c r="Z119" s="251"/>
      <c r="AA119" s="251"/>
      <c r="AB119" s="255"/>
      <c r="AC119" s="256"/>
      <c r="AD119" s="121" t="s">
        <v>4088</v>
      </c>
      <c r="AE119" s="80" t="str">
        <f>M119</f>
        <v>Amministratore Unico</v>
      </c>
      <c r="AF119" s="257"/>
      <c r="AG119" s="155"/>
      <c r="AH119" s="155"/>
      <c r="AI119" s="155"/>
      <c r="AJ119" s="257"/>
      <c r="AK119" s="155"/>
      <c r="AL119" s="155"/>
      <c r="AM119" s="155"/>
      <c r="AN119" s="257"/>
      <c r="AO119" s="258"/>
      <c r="AP119" s="258"/>
      <c r="AQ119" s="258"/>
      <c r="AR119" s="211"/>
      <c r="AS119" s="259" t="s">
        <v>115</v>
      </c>
      <c r="AT119" s="259" t="s">
        <v>115</v>
      </c>
      <c r="AU119" s="259" t="s">
        <v>115</v>
      </c>
      <c r="AV119" s="211"/>
      <c r="AW119" s="259"/>
      <c r="AX119" s="259"/>
      <c r="AY119" s="259"/>
      <c r="AZ119" s="808">
        <f t="shared" si="100"/>
        <v>2997</v>
      </c>
      <c r="BA119" s="761">
        <f t="shared" si="98"/>
        <v>2997</v>
      </c>
      <c r="BB119" s="761">
        <f t="shared" si="4"/>
        <v>0</v>
      </c>
      <c r="BC119" s="262"/>
      <c r="BD119" s="824">
        <v>2997</v>
      </c>
      <c r="BE119" s="1231"/>
      <c r="BF119" s="363" t="s">
        <v>117</v>
      </c>
      <c r="BG119" s="98">
        <v>0</v>
      </c>
      <c r="BH119" s="262"/>
      <c r="BI119" s="242">
        <f t="shared" si="137"/>
        <v>0</v>
      </c>
      <c r="BJ119" s="1231">
        <f t="shared" si="152"/>
        <v>0</v>
      </c>
      <c r="BK119" s="244" t="s">
        <v>118</v>
      </c>
      <c r="BL119" s="828" t="s">
        <v>152</v>
      </c>
      <c r="BM119" s="145">
        <v>0.05</v>
      </c>
      <c r="BN119" s="262"/>
      <c r="BO119" s="242">
        <f t="shared" si="133"/>
        <v>149.85</v>
      </c>
      <c r="BP119" s="1231">
        <f t="shared" si="134"/>
        <v>0</v>
      </c>
      <c r="BQ119" s="243" t="s">
        <v>1205</v>
      </c>
      <c r="BR119" s="110">
        <v>2997</v>
      </c>
      <c r="BS119" s="226">
        <v>44834</v>
      </c>
      <c r="BT119" s="110">
        <v>2997</v>
      </c>
      <c r="BU119" s="263"/>
      <c r="BV119" s="110"/>
      <c r="BW119" s="348"/>
      <c r="BX119" s="110"/>
      <c r="BY119" s="263"/>
      <c r="BZ119" s="110"/>
      <c r="CA119" s="263"/>
      <c r="CB119" s="110"/>
      <c r="CC119" s="263"/>
      <c r="CD119" s="110"/>
      <c r="CE119" s="226"/>
      <c r="CF119" s="110"/>
      <c r="CG119" s="263"/>
      <c r="CH119" s="110"/>
      <c r="CI119" s="226"/>
      <c r="CJ119" s="110"/>
      <c r="CK119" s="155">
        <v>1</v>
      </c>
      <c r="CL119" s="181" t="s">
        <v>1123</v>
      </c>
      <c r="CM119" s="181"/>
      <c r="CN119" s="207"/>
      <c r="CO119" s="282" t="s">
        <v>122</v>
      </c>
      <c r="CP119" s="155"/>
      <c r="CQ119" s="131" t="s">
        <v>4089</v>
      </c>
      <c r="CR119" s="823" t="s">
        <v>4090</v>
      </c>
      <c r="CS119" s="116" t="str">
        <f t="shared" si="9"/>
        <v>blackship</v>
      </c>
      <c r="CT119" s="820">
        <f t="shared" si="149"/>
        <v>0</v>
      </c>
      <c r="CU119" s="820">
        <f t="shared" si="150"/>
        <v>149.85</v>
      </c>
      <c r="CV119" s="116" t="str">
        <f t="shared" si="10"/>
        <v>Client Angel</v>
      </c>
      <c r="CW119" s="181"/>
      <c r="CX119" s="779"/>
      <c r="CY119" s="729"/>
      <c r="CZ119" s="729"/>
      <c r="DA119" s="729"/>
      <c r="DB119" s="729"/>
      <c r="DC119" s="729"/>
      <c r="DD119" s="265"/>
      <c r="DE119" s="265"/>
      <c r="DF119" s="265"/>
      <c r="DG119" s="265"/>
      <c r="DH119" s="265"/>
      <c r="DI119" s="265"/>
      <c r="DJ119" s="265"/>
      <c r="DK119" s="265"/>
      <c r="DL119" s="265"/>
      <c r="DM119" s="265"/>
      <c r="DN119" s="265"/>
      <c r="DO119" s="265"/>
      <c r="DP119" s="265"/>
      <c r="DQ119" s="265"/>
      <c r="DR119" s="265"/>
      <c r="DS119" s="265"/>
      <c r="DT119" s="265"/>
    </row>
    <row r="120" spans="1:124" ht="30" customHeight="1">
      <c r="A120" s="228"/>
      <c r="B120" s="1237"/>
      <c r="C120" s="155">
        <f t="shared" si="154"/>
        <v>6</v>
      </c>
      <c r="D120" s="781"/>
      <c r="E120" s="781"/>
      <c r="F120" s="781"/>
      <c r="G120" s="112" t="s">
        <v>1152</v>
      </c>
      <c r="H120" s="112" t="s">
        <v>1153</v>
      </c>
      <c r="I120" s="207" t="s">
        <v>1154</v>
      </c>
      <c r="J120" s="207" t="str">
        <f t="shared" si="0"/>
        <v>Alexandra Stefania Andras</v>
      </c>
      <c r="K120" s="156" t="s">
        <v>1155</v>
      </c>
      <c r="L120" s="131"/>
      <c r="M120" s="131" t="s">
        <v>514</v>
      </c>
      <c r="N120" s="131" t="str">
        <f t="shared" si="1"/>
        <v>Erretielle</v>
      </c>
      <c r="O120" s="1297"/>
      <c r="P120" s="251"/>
      <c r="Q120" s="131"/>
      <c r="R120" s="252"/>
      <c r="S120" s="254"/>
      <c r="T120" s="346"/>
      <c r="U120" s="253"/>
      <c r="V120" s="253"/>
      <c r="W120" s="251"/>
      <c r="X120" s="131"/>
      <c r="Y120" s="251"/>
      <c r="Z120" s="251"/>
      <c r="AA120" s="251"/>
      <c r="AB120" s="255"/>
      <c r="AC120" s="256"/>
      <c r="AD120" s="121" t="s">
        <v>4091</v>
      </c>
      <c r="AE120" s="80">
        <f t="shared" ref="AE120:AE121" si="155">L120</f>
        <v>0</v>
      </c>
      <c r="AF120" s="257"/>
      <c r="AG120" s="155"/>
      <c r="AH120" s="155"/>
      <c r="AI120" s="155"/>
      <c r="AJ120" s="257"/>
      <c r="AK120" s="155"/>
      <c r="AL120" s="155"/>
      <c r="AM120" s="155"/>
      <c r="AN120" s="257"/>
      <c r="AO120" s="258"/>
      <c r="AP120" s="258"/>
      <c r="AQ120" s="258"/>
      <c r="AR120" s="211"/>
      <c r="AS120" s="259"/>
      <c r="AT120" s="259"/>
      <c r="AU120" s="259"/>
      <c r="AV120" s="211"/>
      <c r="AW120" s="259" t="s">
        <v>27</v>
      </c>
      <c r="AX120" s="259" t="s">
        <v>27</v>
      </c>
      <c r="AY120" s="259" t="s">
        <v>27</v>
      </c>
      <c r="AZ120" s="808">
        <f t="shared" si="100"/>
        <v>3497</v>
      </c>
      <c r="BA120" s="761">
        <f t="shared" si="98"/>
        <v>1573.77</v>
      </c>
      <c r="BB120" s="1313">
        <f t="shared" si="4"/>
        <v>1923.23</v>
      </c>
      <c r="BC120" s="110"/>
      <c r="BD120" s="1230"/>
      <c r="BE120" s="1231">
        <v>3497</v>
      </c>
      <c r="BF120" s="363" t="s">
        <v>117</v>
      </c>
      <c r="BG120" s="98">
        <v>0</v>
      </c>
      <c r="BH120" s="262"/>
      <c r="BI120" s="242">
        <f t="shared" si="137"/>
        <v>0</v>
      </c>
      <c r="BJ120" s="1231">
        <f t="shared" si="152"/>
        <v>0</v>
      </c>
      <c r="BK120" s="772"/>
      <c r="BL120" s="828" t="s">
        <v>166</v>
      </c>
      <c r="BM120" s="145">
        <v>0.05</v>
      </c>
      <c r="BN120" s="110"/>
      <c r="BO120" s="242">
        <f t="shared" si="133"/>
        <v>0</v>
      </c>
      <c r="BP120" s="1231">
        <f t="shared" si="134"/>
        <v>174.85000000000002</v>
      </c>
      <c r="BQ120" s="243"/>
      <c r="BR120" s="110">
        <v>163.93</v>
      </c>
      <c r="BS120" s="226">
        <v>44834</v>
      </c>
      <c r="BT120" s="110">
        <v>163.93</v>
      </c>
      <c r="BU120" s="263"/>
      <c r="BV120" s="110">
        <v>1409.84</v>
      </c>
      <c r="BW120" s="348">
        <v>44841</v>
      </c>
      <c r="BX120" s="110">
        <v>1409.84</v>
      </c>
      <c r="BY120" s="263"/>
      <c r="BZ120" s="110">
        <v>1923.23</v>
      </c>
      <c r="CA120" s="348">
        <v>44854</v>
      </c>
      <c r="CB120" s="110"/>
      <c r="CC120" s="263"/>
      <c r="CD120" s="110"/>
      <c r="CE120" s="226"/>
      <c r="CF120" s="110"/>
      <c r="CG120" s="263"/>
      <c r="CH120" s="110"/>
      <c r="CI120" s="226"/>
      <c r="CJ120" s="110"/>
      <c r="CK120" s="155"/>
      <c r="CL120" s="181"/>
      <c r="CM120" s="181"/>
      <c r="CN120" s="207"/>
      <c r="CO120" s="207"/>
      <c r="CP120" s="155"/>
      <c r="CQ120" s="131"/>
      <c r="CR120" s="823" t="s">
        <v>1149</v>
      </c>
      <c r="CS120" s="116" t="str">
        <f t="shared" si="9"/>
        <v>blackship</v>
      </c>
      <c r="CT120" s="820" t="b">
        <f t="shared" si="149"/>
        <v>0</v>
      </c>
      <c r="CU120" s="820" t="b">
        <f t="shared" si="150"/>
        <v>0</v>
      </c>
      <c r="CV120" s="116" t="str">
        <f t="shared" si="10"/>
        <v>Matteo</v>
      </c>
      <c r="CW120" s="181"/>
      <c r="CX120" s="779"/>
      <c r="CY120" s="729"/>
      <c r="CZ120" s="729"/>
      <c r="DA120" s="729"/>
      <c r="DB120" s="729"/>
      <c r="DC120" s="729"/>
      <c r="DD120" s="265"/>
      <c r="DE120" s="265"/>
      <c r="DF120" s="265"/>
      <c r="DG120" s="265"/>
      <c r="DH120" s="265"/>
      <c r="DI120" s="265"/>
      <c r="DJ120" s="265"/>
      <c r="DK120" s="265"/>
      <c r="DL120" s="265"/>
      <c r="DM120" s="265"/>
      <c r="DN120" s="265"/>
      <c r="DO120" s="265"/>
      <c r="DP120" s="265"/>
      <c r="DQ120" s="265"/>
      <c r="DR120" s="265"/>
      <c r="DS120" s="265"/>
      <c r="DT120" s="265"/>
    </row>
    <row r="121" spans="1:124" ht="30" customHeight="1">
      <c r="A121" s="228"/>
      <c r="B121" s="1314"/>
      <c r="C121" s="155">
        <f t="shared" si="154"/>
        <v>7</v>
      </c>
      <c r="D121" s="781"/>
      <c r="E121" s="781"/>
      <c r="F121" s="781"/>
      <c r="G121" s="112" t="s">
        <v>188</v>
      </c>
      <c r="H121" s="112" t="s">
        <v>1157</v>
      </c>
      <c r="I121" s="207" t="s">
        <v>1158</v>
      </c>
      <c r="J121" s="207" t="str">
        <f t="shared" si="0"/>
        <v>Andrea Formaggi</v>
      </c>
      <c r="K121" s="156" t="s">
        <v>1159</v>
      </c>
      <c r="L121" s="204" t="s">
        <v>1160</v>
      </c>
      <c r="M121" s="131" t="s">
        <v>1161</v>
      </c>
      <c r="N121" s="131" t="str">
        <f t="shared" si="1"/>
        <v>Studio Fisioterapia Andrea Formaggi</v>
      </c>
      <c r="O121" s="1297"/>
      <c r="P121" s="251"/>
      <c r="Q121" s="131"/>
      <c r="R121" s="252"/>
      <c r="S121" s="254"/>
      <c r="T121" s="346"/>
      <c r="U121" s="253"/>
      <c r="V121" s="253"/>
      <c r="W121" s="251"/>
      <c r="X121" s="131"/>
      <c r="Y121" s="251"/>
      <c r="Z121" s="251"/>
      <c r="AA121" s="251"/>
      <c r="AB121" s="255"/>
      <c r="AC121" s="256"/>
      <c r="AD121" s="121" t="s">
        <v>1163</v>
      </c>
      <c r="AE121" s="131" t="str">
        <f t="shared" si="155"/>
        <v xml:space="preserve">Concesso p/to in 2 tranche 200 + iva al 3/10 e saldo 31/03/2023 </v>
      </c>
      <c r="AF121" s="257"/>
      <c r="AG121" s="155"/>
      <c r="AH121" s="155"/>
      <c r="AI121" s="155"/>
      <c r="AJ121" s="257"/>
      <c r="AK121" s="155"/>
      <c r="AL121" s="155"/>
      <c r="AM121" s="155"/>
      <c r="AN121" s="257"/>
      <c r="AO121" s="258"/>
      <c r="AP121" s="258"/>
      <c r="AQ121" s="258"/>
      <c r="AR121" s="211"/>
      <c r="AS121" s="259"/>
      <c r="AT121" s="259"/>
      <c r="AU121" s="259"/>
      <c r="AV121" s="211"/>
      <c r="AW121" s="259" t="s">
        <v>27</v>
      </c>
      <c r="AX121" s="259" t="s">
        <v>27</v>
      </c>
      <c r="AY121" s="259" t="s">
        <v>27</v>
      </c>
      <c r="AZ121" s="808">
        <f t="shared" si="100"/>
        <v>2997</v>
      </c>
      <c r="BA121" s="761">
        <f t="shared" si="98"/>
        <v>200</v>
      </c>
      <c r="BB121" s="761">
        <f t="shared" si="4"/>
        <v>2797</v>
      </c>
      <c r="BC121" s="378"/>
      <c r="BD121" s="1315"/>
      <c r="BE121" s="1231">
        <v>2997</v>
      </c>
      <c r="BF121" s="377" t="s">
        <v>487</v>
      </c>
      <c r="BG121" s="145">
        <v>0.15</v>
      </c>
      <c r="BH121" s="262"/>
      <c r="BI121" s="242">
        <f t="shared" si="137"/>
        <v>0</v>
      </c>
      <c r="BJ121" s="1231">
        <f t="shared" si="152"/>
        <v>449.55</v>
      </c>
      <c r="BK121" s="772"/>
      <c r="BL121" s="1316" t="s">
        <v>487</v>
      </c>
      <c r="BM121" s="145">
        <v>0.05</v>
      </c>
      <c r="BN121" s="378"/>
      <c r="BO121" s="242">
        <f t="shared" si="133"/>
        <v>0</v>
      </c>
      <c r="BP121" s="1231">
        <f t="shared" si="134"/>
        <v>149.85</v>
      </c>
      <c r="BQ121" s="243"/>
      <c r="BR121" s="110">
        <v>200</v>
      </c>
      <c r="BS121" s="226">
        <v>44837</v>
      </c>
      <c r="BT121" s="110">
        <v>200</v>
      </c>
      <c r="BU121" s="263"/>
      <c r="BV121" s="110">
        <v>2797</v>
      </c>
      <c r="BW121" s="348">
        <v>45016</v>
      </c>
      <c r="BX121" s="110"/>
      <c r="BY121" s="263"/>
      <c r="BZ121" s="110"/>
      <c r="CA121" s="263"/>
      <c r="CB121" s="110"/>
      <c r="CC121" s="263"/>
      <c r="CD121" s="110"/>
      <c r="CE121" s="226"/>
      <c r="CF121" s="110"/>
      <c r="CG121" s="263"/>
      <c r="CH121" s="110"/>
      <c r="CI121" s="226"/>
      <c r="CJ121" s="110"/>
      <c r="CK121" s="155">
        <v>1</v>
      </c>
      <c r="CL121" s="181" t="s">
        <v>1123</v>
      </c>
      <c r="CM121" s="181"/>
      <c r="CN121" s="207"/>
      <c r="CO121" s="282" t="s">
        <v>122</v>
      </c>
      <c r="CP121" s="155"/>
      <c r="CQ121" s="131"/>
      <c r="CR121" s="823" t="s">
        <v>1162</v>
      </c>
      <c r="CS121" s="116" t="str">
        <f t="shared" si="9"/>
        <v>Daniela</v>
      </c>
      <c r="CT121" s="820" t="b">
        <f t="shared" si="149"/>
        <v>0</v>
      </c>
      <c r="CU121" s="820" t="b">
        <f t="shared" si="150"/>
        <v>0</v>
      </c>
      <c r="CV121" s="116" t="str">
        <f t="shared" si="10"/>
        <v>Daniela</v>
      </c>
      <c r="CW121" s="181"/>
      <c r="CX121" s="779"/>
      <c r="CY121" s="729"/>
      <c r="CZ121" s="729"/>
      <c r="DA121" s="729"/>
      <c r="DB121" s="729"/>
      <c r="DC121" s="729"/>
      <c r="DD121" s="265"/>
      <c r="DE121" s="265"/>
      <c r="DF121" s="265"/>
      <c r="DG121" s="265"/>
      <c r="DH121" s="265"/>
      <c r="DI121" s="265"/>
      <c r="DJ121" s="265"/>
      <c r="DK121" s="265"/>
      <c r="DL121" s="265"/>
      <c r="DM121" s="265"/>
      <c r="DN121" s="265"/>
      <c r="DO121" s="265"/>
      <c r="DP121" s="265"/>
      <c r="DQ121" s="265"/>
      <c r="DR121" s="265"/>
      <c r="DS121" s="265"/>
      <c r="DT121" s="265"/>
    </row>
    <row r="122" spans="1:124" ht="51.75">
      <c r="A122" s="228"/>
      <c r="B122" s="1237"/>
      <c r="C122" s="155">
        <f t="shared" si="154"/>
        <v>8</v>
      </c>
      <c r="D122" s="781">
        <v>1</v>
      </c>
      <c r="E122" s="781">
        <v>1</v>
      </c>
      <c r="F122" s="781">
        <v>1</v>
      </c>
      <c r="G122" s="112" t="s">
        <v>188</v>
      </c>
      <c r="H122" s="112" t="s">
        <v>2381</v>
      </c>
      <c r="I122" s="1234" t="s">
        <v>4092</v>
      </c>
      <c r="J122" s="207" t="str">
        <f t="shared" si="0"/>
        <v>Andrea Impiombato Andreani</v>
      </c>
      <c r="K122" s="156">
        <v>3316402258</v>
      </c>
      <c r="L122" s="204" t="s">
        <v>4093</v>
      </c>
      <c r="M122" s="131"/>
      <c r="N122" s="131" t="str">
        <f t="shared" si="1"/>
        <v>Andreani Spazi di Valore</v>
      </c>
      <c r="O122" s="1297"/>
      <c r="P122" s="251"/>
      <c r="Q122" s="131"/>
      <c r="R122" s="252" t="s">
        <v>1290</v>
      </c>
      <c r="S122" s="254"/>
      <c r="T122" s="346"/>
      <c r="U122" s="253"/>
      <c r="V122" s="253"/>
      <c r="W122" s="251"/>
      <c r="X122" s="131"/>
      <c r="Y122" s="251"/>
      <c r="Z122" s="251"/>
      <c r="AA122" s="251"/>
      <c r="AB122" s="255"/>
      <c r="AC122" s="256"/>
      <c r="AD122" s="121" t="s">
        <v>4094</v>
      </c>
      <c r="AE122" s="80"/>
      <c r="AF122" s="257"/>
      <c r="AG122" s="155"/>
      <c r="AH122" s="155"/>
      <c r="AI122" s="155"/>
      <c r="AJ122" s="257"/>
      <c r="AK122" s="155"/>
      <c r="AL122" s="155"/>
      <c r="AM122" s="155"/>
      <c r="AN122" s="257"/>
      <c r="AO122" s="258"/>
      <c r="AP122" s="258"/>
      <c r="AQ122" s="258"/>
      <c r="AR122" s="211"/>
      <c r="AS122" s="1317" t="s">
        <v>115</v>
      </c>
      <c r="AT122" s="1317" t="s">
        <v>115</v>
      </c>
      <c r="AU122" s="1317" t="s">
        <v>115</v>
      </c>
      <c r="AV122" s="211"/>
      <c r="AW122" s="259"/>
      <c r="AX122" s="259"/>
      <c r="AY122" s="259"/>
      <c r="AZ122" s="808">
        <f t="shared" si="100"/>
        <v>2997</v>
      </c>
      <c r="BA122" s="761">
        <f t="shared" si="98"/>
        <v>2997</v>
      </c>
      <c r="BB122" s="761">
        <f t="shared" si="4"/>
        <v>0</v>
      </c>
      <c r="BC122" s="262"/>
      <c r="BD122" s="824">
        <f>AZ122</f>
        <v>2997</v>
      </c>
      <c r="BE122" s="1231"/>
      <c r="BF122" s="306" t="s">
        <v>1034</v>
      </c>
      <c r="BG122" s="145">
        <v>0.15</v>
      </c>
      <c r="BH122" s="262"/>
      <c r="BI122" s="242">
        <f t="shared" si="137"/>
        <v>449.55</v>
      </c>
      <c r="BJ122" s="1231">
        <f t="shared" si="152"/>
        <v>0</v>
      </c>
      <c r="BK122" s="387" t="s">
        <v>1076</v>
      </c>
      <c r="BL122" s="243" t="s">
        <v>262</v>
      </c>
      <c r="BM122" s="145">
        <v>0.05</v>
      </c>
      <c r="BN122" s="262"/>
      <c r="BO122" s="242">
        <f t="shared" si="133"/>
        <v>149.85</v>
      </c>
      <c r="BP122" s="1231">
        <f t="shared" si="134"/>
        <v>0</v>
      </c>
      <c r="BQ122" s="387" t="s">
        <v>1076</v>
      </c>
      <c r="BR122" s="110">
        <v>2997</v>
      </c>
      <c r="BS122" s="226">
        <v>44841</v>
      </c>
      <c r="BT122" s="110">
        <v>2997</v>
      </c>
      <c r="BU122" s="263"/>
      <c r="BV122" s="110"/>
      <c r="BW122" s="348"/>
      <c r="BX122" s="110"/>
      <c r="BY122" s="263"/>
      <c r="BZ122" s="110"/>
      <c r="CA122" s="263"/>
      <c r="CB122" s="110"/>
      <c r="CC122" s="263"/>
      <c r="CD122" s="110"/>
      <c r="CE122" s="226"/>
      <c r="CF122" s="110"/>
      <c r="CG122" s="263"/>
      <c r="CH122" s="110"/>
      <c r="CI122" s="226"/>
      <c r="CJ122" s="110"/>
      <c r="CK122" s="155">
        <v>1</v>
      </c>
      <c r="CL122" s="181" t="s">
        <v>1123</v>
      </c>
      <c r="CM122" s="181"/>
      <c r="CN122" s="207"/>
      <c r="CO122" s="282" t="s">
        <v>122</v>
      </c>
      <c r="CP122" s="155"/>
      <c r="CQ122" s="131"/>
      <c r="CR122" s="823" t="s">
        <v>4095</v>
      </c>
      <c r="CS122" s="116" t="str">
        <f t="shared" si="9"/>
        <v>Mirco Gasparotto (OSA)</v>
      </c>
      <c r="CT122" s="820">
        <f t="shared" si="149"/>
        <v>449.55</v>
      </c>
      <c r="CU122" s="820">
        <f t="shared" si="150"/>
        <v>149.85</v>
      </c>
      <c r="CV122" s="116" t="str">
        <f t="shared" si="10"/>
        <v>Pacci</v>
      </c>
      <c r="CW122" s="181"/>
      <c r="CX122" s="779"/>
      <c r="CY122" s="729"/>
      <c r="CZ122" s="729"/>
      <c r="DA122" s="729"/>
      <c r="DB122" s="729"/>
      <c r="DC122" s="729"/>
      <c r="DD122" s="265"/>
      <c r="DE122" s="265"/>
      <c r="DF122" s="265"/>
      <c r="DG122" s="265"/>
      <c r="DH122" s="265"/>
      <c r="DI122" s="265"/>
      <c r="DJ122" s="265"/>
      <c r="DK122" s="265"/>
      <c r="DL122" s="265"/>
      <c r="DM122" s="265"/>
      <c r="DN122" s="265"/>
      <c r="DO122" s="265"/>
      <c r="DP122" s="265"/>
      <c r="DQ122" s="265"/>
      <c r="DR122" s="265"/>
      <c r="DS122" s="265"/>
      <c r="DT122" s="265"/>
    </row>
    <row r="123" spans="1:124" ht="30" customHeight="1">
      <c r="A123" s="228"/>
      <c r="B123" s="1237"/>
      <c r="C123" s="155">
        <f t="shared" si="154"/>
        <v>9</v>
      </c>
      <c r="D123" s="781"/>
      <c r="E123" s="781"/>
      <c r="F123" s="781"/>
      <c r="G123" s="620" t="s">
        <v>4096</v>
      </c>
      <c r="H123" s="620"/>
      <c r="I123" s="207"/>
      <c r="J123" s="207" t="str">
        <f t="shared" si="0"/>
        <v xml:space="preserve">Ospite 1 Andrea Impiombato Andreani </v>
      </c>
      <c r="K123" s="156"/>
      <c r="L123" s="204" t="s">
        <v>4097</v>
      </c>
      <c r="M123" s="131"/>
      <c r="N123" s="131" t="str">
        <f t="shared" si="1"/>
        <v>Andrea Spazi di Valore</v>
      </c>
      <c r="O123" s="1297"/>
      <c r="P123" s="251"/>
      <c r="Q123" s="131"/>
      <c r="R123" s="252" t="s">
        <v>1290</v>
      </c>
      <c r="S123" s="254"/>
      <c r="T123" s="346"/>
      <c r="U123" s="253"/>
      <c r="V123" s="253"/>
      <c r="W123" s="251"/>
      <c r="X123" s="131"/>
      <c r="Y123" s="251"/>
      <c r="Z123" s="251"/>
      <c r="AA123" s="251"/>
      <c r="AB123" s="255"/>
      <c r="AC123" s="256"/>
      <c r="AD123" s="121"/>
      <c r="AE123" s="80" t="str">
        <f t="shared" ref="AE123:AE159" si="156">L123</f>
        <v>Conferma Entro Fine Novembre</v>
      </c>
      <c r="AF123" s="257"/>
      <c r="AG123" s="155"/>
      <c r="AH123" s="155"/>
      <c r="AI123" s="155"/>
      <c r="AJ123" s="257"/>
      <c r="AK123" s="155"/>
      <c r="AL123" s="155"/>
      <c r="AM123" s="155"/>
      <c r="AN123" s="257"/>
      <c r="AO123" s="258"/>
      <c r="AP123" s="258"/>
      <c r="AQ123" s="258"/>
      <c r="AR123" s="211"/>
      <c r="AS123" s="259"/>
      <c r="AT123" s="259"/>
      <c r="AU123" s="259"/>
      <c r="AV123" s="211"/>
      <c r="AW123" s="259" t="s">
        <v>27</v>
      </c>
      <c r="AX123" s="259" t="s">
        <v>27</v>
      </c>
      <c r="AY123" s="259" t="s">
        <v>27</v>
      </c>
      <c r="AZ123" s="808">
        <f t="shared" si="100"/>
        <v>2597</v>
      </c>
      <c r="BA123" s="761">
        <f t="shared" si="98"/>
        <v>0</v>
      </c>
      <c r="BB123" s="761">
        <f t="shared" si="4"/>
        <v>2597</v>
      </c>
      <c r="BC123" s="262"/>
      <c r="BD123" s="824">
        <v>0</v>
      </c>
      <c r="BE123" s="1231">
        <f t="shared" ref="BE123:BE127" si="157">BB123</f>
        <v>2597</v>
      </c>
      <c r="BF123" s="306" t="s">
        <v>1034</v>
      </c>
      <c r="BG123" s="145">
        <v>0.15</v>
      </c>
      <c r="BH123" s="262"/>
      <c r="BI123" s="242">
        <f t="shared" si="137"/>
        <v>0</v>
      </c>
      <c r="BJ123" s="1231">
        <f t="shared" si="152"/>
        <v>389.55</v>
      </c>
      <c r="BK123" s="772"/>
      <c r="BL123" s="243" t="s">
        <v>262</v>
      </c>
      <c r="BM123" s="145">
        <v>0.05</v>
      </c>
      <c r="BN123" s="262"/>
      <c r="BO123" s="242">
        <f t="shared" si="133"/>
        <v>0</v>
      </c>
      <c r="BP123" s="1231">
        <f t="shared" si="134"/>
        <v>129.85</v>
      </c>
      <c r="BQ123" s="243"/>
      <c r="BR123" s="110">
        <v>2597</v>
      </c>
      <c r="BS123" s="226">
        <v>44841</v>
      </c>
      <c r="BT123" s="110"/>
      <c r="BU123" s="263"/>
      <c r="BV123" s="110"/>
      <c r="BW123" s="348"/>
      <c r="BX123" s="110"/>
      <c r="BY123" s="263"/>
      <c r="BZ123" s="110"/>
      <c r="CA123" s="263"/>
      <c r="CB123" s="110"/>
      <c r="CC123" s="263"/>
      <c r="CD123" s="110"/>
      <c r="CE123" s="226"/>
      <c r="CF123" s="110"/>
      <c r="CG123" s="263"/>
      <c r="CH123" s="110"/>
      <c r="CI123" s="226"/>
      <c r="CJ123" s="110"/>
      <c r="CK123" s="155">
        <v>1</v>
      </c>
      <c r="CL123" s="181" t="s">
        <v>1123</v>
      </c>
      <c r="CM123" s="181"/>
      <c r="CN123" s="207"/>
      <c r="CO123" s="207"/>
      <c r="CP123" s="155"/>
      <c r="CQ123" s="131"/>
      <c r="CR123" s="823" t="s">
        <v>4098</v>
      </c>
      <c r="CS123" s="116" t="str">
        <f t="shared" si="9"/>
        <v>Mirco Gasparotto (OSA)</v>
      </c>
      <c r="CT123" s="820" t="b">
        <f t="shared" si="149"/>
        <v>0</v>
      </c>
      <c r="CU123" s="820" t="b">
        <f t="shared" si="150"/>
        <v>0</v>
      </c>
      <c r="CV123" s="116" t="str">
        <f t="shared" si="10"/>
        <v>Pacci</v>
      </c>
      <c r="CW123" s="181"/>
      <c r="CX123" s="779"/>
      <c r="CY123" s="729"/>
      <c r="CZ123" s="729"/>
      <c r="DA123" s="729"/>
      <c r="DB123" s="729"/>
      <c r="DC123" s="729"/>
      <c r="DD123" s="265"/>
      <c r="DE123" s="265"/>
      <c r="DF123" s="265"/>
      <c r="DG123" s="265"/>
      <c r="DH123" s="265"/>
      <c r="DI123" s="265"/>
      <c r="DJ123" s="265"/>
      <c r="DK123" s="265"/>
      <c r="DL123" s="265"/>
      <c r="DM123" s="265"/>
      <c r="DN123" s="265"/>
      <c r="DO123" s="265"/>
      <c r="DP123" s="265"/>
      <c r="DQ123" s="265"/>
      <c r="DR123" s="265"/>
      <c r="DS123" s="265"/>
      <c r="DT123" s="265"/>
    </row>
    <row r="124" spans="1:124" ht="30" customHeight="1">
      <c r="A124" s="228"/>
      <c r="B124" s="1237"/>
      <c r="C124" s="155">
        <f t="shared" si="154"/>
        <v>10</v>
      </c>
      <c r="D124" s="781"/>
      <c r="E124" s="781"/>
      <c r="F124" s="781"/>
      <c r="G124" s="620" t="s">
        <v>4099</v>
      </c>
      <c r="H124" s="620"/>
      <c r="I124" s="207"/>
      <c r="J124" s="207" t="str">
        <f t="shared" si="0"/>
        <v xml:space="preserve">Ospite 2 Andrea Impiombato Andreani </v>
      </c>
      <c r="K124" s="156"/>
      <c r="L124" s="204" t="s">
        <v>4097</v>
      </c>
      <c r="M124" s="131"/>
      <c r="N124" s="131" t="str">
        <f t="shared" si="1"/>
        <v>Andrea Spazi di Valore</v>
      </c>
      <c r="O124" s="1297"/>
      <c r="P124" s="251"/>
      <c r="Q124" s="131"/>
      <c r="R124" s="252" t="s">
        <v>1290</v>
      </c>
      <c r="S124" s="254"/>
      <c r="T124" s="346"/>
      <c r="U124" s="253"/>
      <c r="V124" s="253"/>
      <c r="W124" s="251"/>
      <c r="X124" s="131"/>
      <c r="Y124" s="251"/>
      <c r="Z124" s="251"/>
      <c r="AA124" s="251"/>
      <c r="AB124" s="255"/>
      <c r="AC124" s="256"/>
      <c r="AD124" s="121"/>
      <c r="AE124" s="80" t="str">
        <f t="shared" si="156"/>
        <v>Conferma Entro Fine Novembre</v>
      </c>
      <c r="AF124" s="257"/>
      <c r="AG124" s="155"/>
      <c r="AH124" s="155"/>
      <c r="AI124" s="155"/>
      <c r="AJ124" s="257"/>
      <c r="AK124" s="155"/>
      <c r="AL124" s="155"/>
      <c r="AM124" s="155"/>
      <c r="AN124" s="257"/>
      <c r="AO124" s="258"/>
      <c r="AP124" s="258"/>
      <c r="AQ124" s="258"/>
      <c r="AR124" s="211"/>
      <c r="AS124" s="259"/>
      <c r="AT124" s="259"/>
      <c r="AU124" s="259"/>
      <c r="AV124" s="211"/>
      <c r="AW124" s="259" t="s">
        <v>27</v>
      </c>
      <c r="AX124" s="259" t="s">
        <v>27</v>
      </c>
      <c r="AY124" s="259" t="s">
        <v>27</v>
      </c>
      <c r="AZ124" s="808">
        <f t="shared" si="100"/>
        <v>2597</v>
      </c>
      <c r="BA124" s="761">
        <f t="shared" si="98"/>
        <v>0</v>
      </c>
      <c r="BB124" s="761">
        <f t="shared" si="4"/>
        <v>2597</v>
      </c>
      <c r="BC124" s="262"/>
      <c r="BD124" s="824">
        <v>0</v>
      </c>
      <c r="BE124" s="1231">
        <f t="shared" si="157"/>
        <v>2597</v>
      </c>
      <c r="BF124" s="306" t="s">
        <v>1034</v>
      </c>
      <c r="BG124" s="145">
        <v>0.15</v>
      </c>
      <c r="BH124" s="262"/>
      <c r="BI124" s="242">
        <f t="shared" si="137"/>
        <v>0</v>
      </c>
      <c r="BJ124" s="1231">
        <f t="shared" si="152"/>
        <v>389.55</v>
      </c>
      <c r="BK124" s="772"/>
      <c r="BL124" s="243" t="s">
        <v>262</v>
      </c>
      <c r="BM124" s="145">
        <v>0.05</v>
      </c>
      <c r="BN124" s="262"/>
      <c r="BO124" s="242">
        <f t="shared" si="133"/>
        <v>0</v>
      </c>
      <c r="BP124" s="1231">
        <f t="shared" si="134"/>
        <v>129.85</v>
      </c>
      <c r="BQ124" s="243"/>
      <c r="BR124" s="110">
        <v>2597</v>
      </c>
      <c r="BS124" s="226">
        <v>44841</v>
      </c>
      <c r="BT124" s="110"/>
      <c r="BU124" s="263"/>
      <c r="BV124" s="110"/>
      <c r="BW124" s="348"/>
      <c r="BX124" s="110"/>
      <c r="BY124" s="263"/>
      <c r="BZ124" s="110"/>
      <c r="CA124" s="263"/>
      <c r="CB124" s="110"/>
      <c r="CC124" s="263"/>
      <c r="CD124" s="110"/>
      <c r="CE124" s="226"/>
      <c r="CF124" s="110"/>
      <c r="CG124" s="263"/>
      <c r="CH124" s="110"/>
      <c r="CI124" s="226"/>
      <c r="CJ124" s="110"/>
      <c r="CK124" s="155">
        <v>1</v>
      </c>
      <c r="CL124" s="181" t="s">
        <v>1123</v>
      </c>
      <c r="CM124" s="181"/>
      <c r="CN124" s="207"/>
      <c r="CO124" s="207"/>
      <c r="CP124" s="155"/>
      <c r="CQ124" s="131"/>
      <c r="CR124" s="823" t="s">
        <v>4098</v>
      </c>
      <c r="CS124" s="116" t="str">
        <f t="shared" si="9"/>
        <v>Mirco Gasparotto (OSA)</v>
      </c>
      <c r="CT124" s="820" t="b">
        <f t="shared" si="149"/>
        <v>0</v>
      </c>
      <c r="CU124" s="820" t="b">
        <f t="shared" si="150"/>
        <v>0</v>
      </c>
      <c r="CV124" s="116" t="str">
        <f t="shared" si="10"/>
        <v>Pacci</v>
      </c>
      <c r="CW124" s="181"/>
      <c r="CX124" s="779"/>
      <c r="CY124" s="729"/>
      <c r="CZ124" s="729"/>
      <c r="DA124" s="729"/>
      <c r="DB124" s="729"/>
      <c r="DC124" s="729"/>
      <c r="DD124" s="265"/>
      <c r="DE124" s="265"/>
      <c r="DF124" s="265"/>
      <c r="DG124" s="265"/>
      <c r="DH124" s="265"/>
      <c r="DI124" s="265"/>
      <c r="DJ124" s="265"/>
      <c r="DK124" s="265"/>
      <c r="DL124" s="265"/>
      <c r="DM124" s="265"/>
      <c r="DN124" s="265"/>
      <c r="DO124" s="265"/>
      <c r="DP124" s="265"/>
      <c r="DQ124" s="265"/>
      <c r="DR124" s="265"/>
      <c r="DS124" s="265"/>
      <c r="DT124" s="265"/>
    </row>
    <row r="125" spans="1:124" ht="30" customHeight="1">
      <c r="A125" s="228"/>
      <c r="B125" s="1237"/>
      <c r="C125" s="155">
        <f t="shared" si="154"/>
        <v>11</v>
      </c>
      <c r="D125" s="781"/>
      <c r="E125" s="781"/>
      <c r="F125" s="781"/>
      <c r="G125" s="620" t="s">
        <v>4100</v>
      </c>
      <c r="H125" s="620"/>
      <c r="I125" s="207"/>
      <c r="J125" s="207" t="str">
        <f t="shared" si="0"/>
        <v xml:space="preserve">Ospite 3 Andrea Impiombato Andreani </v>
      </c>
      <c r="K125" s="156"/>
      <c r="L125" s="204" t="s">
        <v>4097</v>
      </c>
      <c r="M125" s="131"/>
      <c r="N125" s="131" t="str">
        <f t="shared" si="1"/>
        <v>Andrea Spazi di Valore</v>
      </c>
      <c r="O125" s="1297"/>
      <c r="P125" s="251"/>
      <c r="Q125" s="131"/>
      <c r="R125" s="252" t="s">
        <v>1290</v>
      </c>
      <c r="S125" s="254"/>
      <c r="T125" s="346"/>
      <c r="U125" s="253"/>
      <c r="V125" s="253"/>
      <c r="W125" s="251"/>
      <c r="X125" s="131"/>
      <c r="Y125" s="251"/>
      <c r="Z125" s="251"/>
      <c r="AA125" s="251"/>
      <c r="AB125" s="255"/>
      <c r="AC125" s="256"/>
      <c r="AD125" s="121"/>
      <c r="AE125" s="80" t="str">
        <f t="shared" si="156"/>
        <v>Conferma Entro Fine Novembre</v>
      </c>
      <c r="AF125" s="257"/>
      <c r="AG125" s="155"/>
      <c r="AH125" s="155"/>
      <c r="AI125" s="155"/>
      <c r="AJ125" s="257"/>
      <c r="AK125" s="155"/>
      <c r="AL125" s="155"/>
      <c r="AM125" s="155"/>
      <c r="AN125" s="257"/>
      <c r="AO125" s="258"/>
      <c r="AP125" s="258"/>
      <c r="AQ125" s="258"/>
      <c r="AR125" s="211"/>
      <c r="AS125" s="259"/>
      <c r="AT125" s="259"/>
      <c r="AU125" s="259"/>
      <c r="AV125" s="211"/>
      <c r="AW125" s="259" t="s">
        <v>27</v>
      </c>
      <c r="AX125" s="259" t="s">
        <v>27</v>
      </c>
      <c r="AY125" s="259" t="s">
        <v>27</v>
      </c>
      <c r="AZ125" s="808">
        <f t="shared" si="100"/>
        <v>2597</v>
      </c>
      <c r="BA125" s="761">
        <f t="shared" si="98"/>
        <v>0</v>
      </c>
      <c r="BB125" s="761">
        <f t="shared" si="4"/>
        <v>2597</v>
      </c>
      <c r="BC125" s="262"/>
      <c r="BD125" s="824">
        <v>0</v>
      </c>
      <c r="BE125" s="1231">
        <f t="shared" si="157"/>
        <v>2597</v>
      </c>
      <c r="BF125" s="306" t="s">
        <v>1034</v>
      </c>
      <c r="BG125" s="145">
        <v>0.15</v>
      </c>
      <c r="BH125" s="262"/>
      <c r="BI125" s="242">
        <f t="shared" si="137"/>
        <v>0</v>
      </c>
      <c r="BJ125" s="1231">
        <f t="shared" si="152"/>
        <v>389.55</v>
      </c>
      <c r="BK125" s="772"/>
      <c r="BL125" s="243" t="s">
        <v>262</v>
      </c>
      <c r="BM125" s="145">
        <v>0.05</v>
      </c>
      <c r="BN125" s="262"/>
      <c r="BO125" s="242">
        <f t="shared" si="133"/>
        <v>0</v>
      </c>
      <c r="BP125" s="1231">
        <f t="shared" si="134"/>
        <v>129.85</v>
      </c>
      <c r="BQ125" s="243"/>
      <c r="BR125" s="110">
        <v>2597</v>
      </c>
      <c r="BS125" s="226">
        <v>44841</v>
      </c>
      <c r="BT125" s="110"/>
      <c r="BU125" s="263"/>
      <c r="BV125" s="110"/>
      <c r="BW125" s="348"/>
      <c r="BX125" s="110"/>
      <c r="BY125" s="263"/>
      <c r="BZ125" s="110"/>
      <c r="CA125" s="263"/>
      <c r="CB125" s="110"/>
      <c r="CC125" s="263"/>
      <c r="CD125" s="110"/>
      <c r="CE125" s="226"/>
      <c r="CF125" s="110"/>
      <c r="CG125" s="263"/>
      <c r="CH125" s="110"/>
      <c r="CI125" s="226"/>
      <c r="CJ125" s="110"/>
      <c r="CK125" s="155">
        <v>1</v>
      </c>
      <c r="CL125" s="181" t="s">
        <v>1123</v>
      </c>
      <c r="CM125" s="181"/>
      <c r="CN125" s="207"/>
      <c r="CO125" s="207"/>
      <c r="CP125" s="155"/>
      <c r="CQ125" s="131"/>
      <c r="CR125" s="823" t="s">
        <v>4098</v>
      </c>
      <c r="CS125" s="116" t="str">
        <f t="shared" si="9"/>
        <v>Mirco Gasparotto (OSA)</v>
      </c>
      <c r="CT125" s="820" t="b">
        <f t="shared" si="149"/>
        <v>0</v>
      </c>
      <c r="CU125" s="820" t="b">
        <f t="shared" si="150"/>
        <v>0</v>
      </c>
      <c r="CV125" s="116" t="str">
        <f t="shared" si="10"/>
        <v>Pacci</v>
      </c>
      <c r="CW125" s="181"/>
      <c r="CX125" s="779"/>
      <c r="CY125" s="729"/>
      <c r="CZ125" s="729"/>
      <c r="DA125" s="729"/>
      <c r="DB125" s="729"/>
      <c r="DC125" s="729"/>
      <c r="DD125" s="265"/>
      <c r="DE125" s="265"/>
      <c r="DF125" s="265"/>
      <c r="DG125" s="265"/>
      <c r="DH125" s="265"/>
      <c r="DI125" s="265"/>
      <c r="DJ125" s="265"/>
      <c r="DK125" s="265"/>
      <c r="DL125" s="265"/>
      <c r="DM125" s="265"/>
      <c r="DN125" s="265"/>
      <c r="DO125" s="265"/>
      <c r="DP125" s="265"/>
      <c r="DQ125" s="265"/>
      <c r="DR125" s="265"/>
      <c r="DS125" s="265"/>
      <c r="DT125" s="265"/>
    </row>
    <row r="126" spans="1:124" ht="30" customHeight="1">
      <c r="A126" s="228"/>
      <c r="B126" s="1237"/>
      <c r="C126" s="155">
        <f t="shared" si="154"/>
        <v>12</v>
      </c>
      <c r="D126" s="781"/>
      <c r="E126" s="781"/>
      <c r="F126" s="781"/>
      <c r="G126" s="620" t="s">
        <v>4101</v>
      </c>
      <c r="H126" s="620"/>
      <c r="I126" s="207"/>
      <c r="J126" s="207" t="str">
        <f t="shared" si="0"/>
        <v xml:space="preserve">Ospite 4 Andrea Impiombato Andreani </v>
      </c>
      <c r="K126" s="156"/>
      <c r="L126" s="204" t="s">
        <v>4097</v>
      </c>
      <c r="M126" s="131"/>
      <c r="N126" s="131" t="str">
        <f t="shared" si="1"/>
        <v>Andrea Spazi di Valore</v>
      </c>
      <c r="O126" s="1297"/>
      <c r="P126" s="251"/>
      <c r="Q126" s="131"/>
      <c r="R126" s="252" t="s">
        <v>1290</v>
      </c>
      <c r="S126" s="254"/>
      <c r="T126" s="346"/>
      <c r="U126" s="253"/>
      <c r="V126" s="253"/>
      <c r="W126" s="251"/>
      <c r="X126" s="131"/>
      <c r="Y126" s="251"/>
      <c r="Z126" s="251"/>
      <c r="AA126" s="251"/>
      <c r="AB126" s="255"/>
      <c r="AC126" s="256"/>
      <c r="AD126" s="121"/>
      <c r="AE126" s="80" t="str">
        <f t="shared" si="156"/>
        <v>Conferma Entro Fine Novembre</v>
      </c>
      <c r="AF126" s="257"/>
      <c r="AG126" s="155"/>
      <c r="AH126" s="155"/>
      <c r="AI126" s="155"/>
      <c r="AJ126" s="257"/>
      <c r="AK126" s="155"/>
      <c r="AL126" s="155"/>
      <c r="AM126" s="155"/>
      <c r="AN126" s="257"/>
      <c r="AO126" s="258"/>
      <c r="AP126" s="258"/>
      <c r="AQ126" s="258"/>
      <c r="AR126" s="211"/>
      <c r="AS126" s="259"/>
      <c r="AT126" s="259"/>
      <c r="AU126" s="259"/>
      <c r="AV126" s="211"/>
      <c r="AW126" s="259" t="s">
        <v>27</v>
      </c>
      <c r="AX126" s="259" t="s">
        <v>27</v>
      </c>
      <c r="AY126" s="259" t="s">
        <v>27</v>
      </c>
      <c r="AZ126" s="808">
        <f t="shared" si="100"/>
        <v>2597</v>
      </c>
      <c r="BA126" s="761">
        <f t="shared" si="98"/>
        <v>0</v>
      </c>
      <c r="BB126" s="761">
        <f t="shared" si="4"/>
        <v>2597</v>
      </c>
      <c r="BC126" s="262"/>
      <c r="BD126" s="824">
        <v>0</v>
      </c>
      <c r="BE126" s="1231">
        <f t="shared" si="157"/>
        <v>2597</v>
      </c>
      <c r="BF126" s="306" t="s">
        <v>1034</v>
      </c>
      <c r="BG126" s="145">
        <v>0.15</v>
      </c>
      <c r="BH126" s="262"/>
      <c r="BI126" s="242">
        <f t="shared" si="137"/>
        <v>0</v>
      </c>
      <c r="BJ126" s="1231">
        <f t="shared" si="152"/>
        <v>389.55</v>
      </c>
      <c r="BK126" s="772"/>
      <c r="BL126" s="243" t="s">
        <v>262</v>
      </c>
      <c r="BM126" s="145">
        <v>0.05</v>
      </c>
      <c r="BN126" s="262"/>
      <c r="BO126" s="242">
        <f t="shared" si="133"/>
        <v>0</v>
      </c>
      <c r="BP126" s="1231">
        <f t="shared" si="134"/>
        <v>129.85</v>
      </c>
      <c r="BQ126" s="243"/>
      <c r="BR126" s="110">
        <v>2597</v>
      </c>
      <c r="BS126" s="226">
        <v>44841</v>
      </c>
      <c r="BT126" s="110"/>
      <c r="BU126" s="263"/>
      <c r="BV126" s="110"/>
      <c r="BW126" s="348"/>
      <c r="BX126" s="110"/>
      <c r="BY126" s="263"/>
      <c r="BZ126" s="110"/>
      <c r="CA126" s="263"/>
      <c r="CB126" s="110"/>
      <c r="CC126" s="263"/>
      <c r="CD126" s="110"/>
      <c r="CE126" s="226"/>
      <c r="CF126" s="110"/>
      <c r="CG126" s="263"/>
      <c r="CH126" s="110"/>
      <c r="CI126" s="226"/>
      <c r="CJ126" s="110"/>
      <c r="CK126" s="155">
        <v>1</v>
      </c>
      <c r="CL126" s="181" t="s">
        <v>1123</v>
      </c>
      <c r="CM126" s="181"/>
      <c r="CN126" s="207"/>
      <c r="CO126" s="207"/>
      <c r="CP126" s="155"/>
      <c r="CQ126" s="131"/>
      <c r="CR126" s="823" t="s">
        <v>4098</v>
      </c>
      <c r="CS126" s="116" t="str">
        <f t="shared" si="9"/>
        <v>Mirco Gasparotto (OSA)</v>
      </c>
      <c r="CT126" s="820" t="b">
        <f t="shared" si="149"/>
        <v>0</v>
      </c>
      <c r="CU126" s="820" t="b">
        <f t="shared" si="150"/>
        <v>0</v>
      </c>
      <c r="CV126" s="116" t="str">
        <f t="shared" si="10"/>
        <v>Pacci</v>
      </c>
      <c r="CW126" s="181"/>
      <c r="CX126" s="779"/>
      <c r="CY126" s="729"/>
      <c r="CZ126" s="729"/>
      <c r="DA126" s="729"/>
      <c r="DB126" s="729"/>
      <c r="DC126" s="729"/>
      <c r="DD126" s="265"/>
      <c r="DE126" s="265"/>
      <c r="DF126" s="265"/>
      <c r="DG126" s="265"/>
      <c r="DH126" s="265"/>
      <c r="DI126" s="265"/>
      <c r="DJ126" s="265"/>
      <c r="DK126" s="265"/>
      <c r="DL126" s="265"/>
      <c r="DM126" s="265"/>
      <c r="DN126" s="265"/>
      <c r="DO126" s="265"/>
      <c r="DP126" s="265"/>
      <c r="DQ126" s="265"/>
      <c r="DR126" s="265"/>
      <c r="DS126" s="265"/>
      <c r="DT126" s="265"/>
    </row>
    <row r="127" spans="1:124" ht="30" customHeight="1">
      <c r="A127" s="228"/>
      <c r="B127" s="1237"/>
      <c r="C127" s="155">
        <f t="shared" si="154"/>
        <v>13</v>
      </c>
      <c r="D127" s="781"/>
      <c r="E127" s="781"/>
      <c r="F127" s="781"/>
      <c r="G127" s="620" t="s">
        <v>4102</v>
      </c>
      <c r="H127" s="620"/>
      <c r="I127" s="207"/>
      <c r="J127" s="207" t="str">
        <f t="shared" si="0"/>
        <v xml:space="preserve">Ospite 5 Andrea Impiombato Andreani </v>
      </c>
      <c r="K127" s="156"/>
      <c r="L127" s="204" t="s">
        <v>4097</v>
      </c>
      <c r="M127" s="131"/>
      <c r="N127" s="131" t="str">
        <f t="shared" si="1"/>
        <v>Andrea Spazi di Valore</v>
      </c>
      <c r="O127" s="1297"/>
      <c r="P127" s="251"/>
      <c r="Q127" s="131"/>
      <c r="R127" s="252" t="s">
        <v>1290</v>
      </c>
      <c r="S127" s="254"/>
      <c r="T127" s="346"/>
      <c r="U127" s="253"/>
      <c r="V127" s="253"/>
      <c r="W127" s="251"/>
      <c r="X127" s="131"/>
      <c r="Y127" s="251"/>
      <c r="Z127" s="251"/>
      <c r="AA127" s="251"/>
      <c r="AB127" s="255"/>
      <c r="AC127" s="256"/>
      <c r="AD127" s="121"/>
      <c r="AE127" s="80" t="str">
        <f t="shared" si="156"/>
        <v>Conferma Entro Fine Novembre</v>
      </c>
      <c r="AF127" s="257"/>
      <c r="AG127" s="155"/>
      <c r="AH127" s="155"/>
      <c r="AI127" s="155"/>
      <c r="AJ127" s="257"/>
      <c r="AK127" s="155"/>
      <c r="AL127" s="155"/>
      <c r="AM127" s="155"/>
      <c r="AN127" s="257"/>
      <c r="AO127" s="258"/>
      <c r="AP127" s="258"/>
      <c r="AQ127" s="258"/>
      <c r="AR127" s="211"/>
      <c r="AS127" s="259"/>
      <c r="AT127" s="259"/>
      <c r="AU127" s="259"/>
      <c r="AV127" s="211"/>
      <c r="AW127" s="259" t="s">
        <v>27</v>
      </c>
      <c r="AX127" s="259" t="s">
        <v>27</v>
      </c>
      <c r="AY127" s="259" t="s">
        <v>27</v>
      </c>
      <c r="AZ127" s="808">
        <f t="shared" si="100"/>
        <v>2597</v>
      </c>
      <c r="BA127" s="761">
        <f t="shared" si="98"/>
        <v>0</v>
      </c>
      <c r="BB127" s="761">
        <f t="shared" si="4"/>
        <v>2597</v>
      </c>
      <c r="BC127" s="262"/>
      <c r="BD127" s="824">
        <v>0</v>
      </c>
      <c r="BE127" s="1231">
        <f t="shared" si="157"/>
        <v>2597</v>
      </c>
      <c r="BF127" s="306" t="s">
        <v>1034</v>
      </c>
      <c r="BG127" s="145">
        <v>0.15</v>
      </c>
      <c r="BH127" s="262"/>
      <c r="BI127" s="242">
        <f t="shared" si="137"/>
        <v>0</v>
      </c>
      <c r="BJ127" s="1231">
        <f t="shared" si="152"/>
        <v>389.55</v>
      </c>
      <c r="BK127" s="772"/>
      <c r="BL127" s="243" t="s">
        <v>262</v>
      </c>
      <c r="BM127" s="145">
        <v>0.05</v>
      </c>
      <c r="BN127" s="262"/>
      <c r="BO127" s="242">
        <f t="shared" si="133"/>
        <v>0</v>
      </c>
      <c r="BP127" s="1231">
        <f t="shared" si="134"/>
        <v>129.85</v>
      </c>
      <c r="BQ127" s="243"/>
      <c r="BR127" s="110">
        <v>2597</v>
      </c>
      <c r="BS127" s="226">
        <v>44841</v>
      </c>
      <c r="BT127" s="110"/>
      <c r="BU127" s="263"/>
      <c r="BV127" s="110"/>
      <c r="BW127" s="348"/>
      <c r="BX127" s="110"/>
      <c r="BY127" s="263"/>
      <c r="BZ127" s="110"/>
      <c r="CA127" s="263"/>
      <c r="CB127" s="110"/>
      <c r="CC127" s="263"/>
      <c r="CD127" s="110"/>
      <c r="CE127" s="226"/>
      <c r="CF127" s="110"/>
      <c r="CG127" s="263"/>
      <c r="CH127" s="110"/>
      <c r="CI127" s="226"/>
      <c r="CJ127" s="110"/>
      <c r="CK127" s="155">
        <v>1</v>
      </c>
      <c r="CL127" s="181" t="s">
        <v>1123</v>
      </c>
      <c r="CM127" s="181"/>
      <c r="CN127" s="207"/>
      <c r="CO127" s="207"/>
      <c r="CP127" s="155"/>
      <c r="CQ127" s="131"/>
      <c r="CR127" s="823" t="s">
        <v>4098</v>
      </c>
      <c r="CS127" s="116" t="str">
        <f t="shared" si="9"/>
        <v>Mirco Gasparotto (OSA)</v>
      </c>
      <c r="CT127" s="820" t="b">
        <f t="shared" si="149"/>
        <v>0</v>
      </c>
      <c r="CU127" s="820" t="b">
        <f t="shared" si="150"/>
        <v>0</v>
      </c>
      <c r="CV127" s="116" t="str">
        <f t="shared" si="10"/>
        <v>Pacci</v>
      </c>
      <c r="CW127" s="181"/>
      <c r="CX127" s="779"/>
      <c r="CY127" s="729"/>
      <c r="CZ127" s="729"/>
      <c r="DA127" s="729"/>
      <c r="DB127" s="729"/>
      <c r="DC127" s="729"/>
      <c r="DD127" s="265"/>
      <c r="DE127" s="265"/>
      <c r="DF127" s="265"/>
      <c r="DG127" s="265"/>
      <c r="DH127" s="265"/>
      <c r="DI127" s="265"/>
      <c r="DJ127" s="265"/>
      <c r="DK127" s="265"/>
      <c r="DL127" s="265"/>
      <c r="DM127" s="265"/>
      <c r="DN127" s="265"/>
      <c r="DO127" s="265"/>
      <c r="DP127" s="265"/>
      <c r="DQ127" s="265"/>
      <c r="DR127" s="265"/>
      <c r="DS127" s="265"/>
      <c r="DT127" s="265"/>
    </row>
    <row r="128" spans="1:124" ht="30" customHeight="1">
      <c r="A128" s="228"/>
      <c r="B128" s="331"/>
      <c r="C128" s="155">
        <f t="shared" si="154"/>
        <v>14</v>
      </c>
      <c r="D128" s="781">
        <v>1</v>
      </c>
      <c r="E128" s="781">
        <v>1</v>
      </c>
      <c r="F128" s="781">
        <v>1</v>
      </c>
      <c r="G128" s="112" t="s">
        <v>188</v>
      </c>
      <c r="H128" s="112" t="s">
        <v>4103</v>
      </c>
      <c r="I128" s="1296" t="s">
        <v>4104</v>
      </c>
      <c r="J128" s="207" t="str">
        <f t="shared" si="0"/>
        <v>Andrea Lombardino</v>
      </c>
      <c r="K128" s="156">
        <v>3407110141</v>
      </c>
      <c r="L128" s="131"/>
      <c r="M128" s="131" t="s">
        <v>4105</v>
      </c>
      <c r="N128" s="131" t="str">
        <f t="shared" si="1"/>
        <v>Air Sea Italia</v>
      </c>
      <c r="O128" s="1297"/>
      <c r="P128" s="251"/>
      <c r="Q128" s="131"/>
      <c r="R128" s="252" t="s">
        <v>4106</v>
      </c>
      <c r="S128" s="254"/>
      <c r="T128" s="346"/>
      <c r="U128" s="253"/>
      <c r="V128" s="253"/>
      <c r="W128" s="251"/>
      <c r="X128" s="131"/>
      <c r="Y128" s="251"/>
      <c r="Z128" s="251"/>
      <c r="AA128" s="251"/>
      <c r="AB128" s="255"/>
      <c r="AC128" s="256"/>
      <c r="AD128" s="121" t="s">
        <v>4107</v>
      </c>
      <c r="AE128" s="80">
        <f t="shared" si="156"/>
        <v>0</v>
      </c>
      <c r="AF128" s="257"/>
      <c r="AG128" s="155"/>
      <c r="AH128" s="155"/>
      <c r="AI128" s="155"/>
      <c r="AJ128" s="257"/>
      <c r="AK128" s="155"/>
      <c r="AL128" s="155"/>
      <c r="AM128" s="155"/>
      <c r="AN128" s="257"/>
      <c r="AO128" s="258"/>
      <c r="AP128" s="258"/>
      <c r="AQ128" s="258"/>
      <c r="AR128" s="211"/>
      <c r="AS128" s="259" t="s">
        <v>115</v>
      </c>
      <c r="AT128" s="259" t="s">
        <v>115</v>
      </c>
      <c r="AU128" s="259" t="s">
        <v>115</v>
      </c>
      <c r="AV128" s="211"/>
      <c r="AW128" s="259"/>
      <c r="AX128" s="259"/>
      <c r="AY128" s="259"/>
      <c r="AZ128" s="808">
        <f t="shared" si="100"/>
        <v>2997</v>
      </c>
      <c r="BA128" s="761">
        <f t="shared" si="98"/>
        <v>2997</v>
      </c>
      <c r="BB128" s="761">
        <f t="shared" si="4"/>
        <v>0</v>
      </c>
      <c r="BC128" s="262"/>
      <c r="BD128" s="824">
        <f>AZ128</f>
        <v>2997</v>
      </c>
      <c r="BE128" s="1231"/>
      <c r="BF128" s="1318" t="s">
        <v>616</v>
      </c>
      <c r="BG128" s="145">
        <v>0.15</v>
      </c>
      <c r="BH128" s="262"/>
      <c r="BI128" s="242">
        <f t="shared" si="137"/>
        <v>449.55</v>
      </c>
      <c r="BJ128" s="1231">
        <f t="shared" si="152"/>
        <v>0</v>
      </c>
      <c r="BK128" s="387" t="s">
        <v>1076</v>
      </c>
      <c r="BL128" s="1319" t="s">
        <v>184</v>
      </c>
      <c r="BM128" s="145">
        <v>0.05</v>
      </c>
      <c r="BN128" s="262"/>
      <c r="BO128" s="242">
        <f t="shared" si="133"/>
        <v>149.85</v>
      </c>
      <c r="BP128" s="1231">
        <f t="shared" si="134"/>
        <v>0</v>
      </c>
      <c r="BQ128" s="387" t="s">
        <v>1076</v>
      </c>
      <c r="BR128" s="110">
        <v>2997</v>
      </c>
      <c r="BS128" s="226">
        <v>44834</v>
      </c>
      <c r="BT128" s="110">
        <v>2997</v>
      </c>
      <c r="BU128" s="263"/>
      <c r="BV128" s="110"/>
      <c r="BW128" s="348"/>
      <c r="BX128" s="110"/>
      <c r="BY128" s="263"/>
      <c r="BZ128" s="110"/>
      <c r="CA128" s="263"/>
      <c r="CB128" s="110"/>
      <c r="CC128" s="263"/>
      <c r="CD128" s="110"/>
      <c r="CE128" s="226"/>
      <c r="CF128" s="110"/>
      <c r="CG128" s="263"/>
      <c r="CH128" s="110"/>
      <c r="CI128" s="226"/>
      <c r="CJ128" s="110"/>
      <c r="CK128" s="155">
        <v>1</v>
      </c>
      <c r="CL128" s="181" t="s">
        <v>1123</v>
      </c>
      <c r="CM128" s="181"/>
      <c r="CN128" s="207"/>
      <c r="CO128" s="282" t="s">
        <v>122</v>
      </c>
      <c r="CP128" s="155"/>
      <c r="CQ128" s="131" t="s">
        <v>3939</v>
      </c>
      <c r="CR128" s="823" t="s">
        <v>3937</v>
      </c>
      <c r="CS128" s="116" t="str">
        <f t="shared" si="9"/>
        <v>Gian Luca Boarini</v>
      </c>
      <c r="CT128" s="820">
        <f t="shared" si="149"/>
        <v>449.55</v>
      </c>
      <c r="CU128" s="820">
        <f t="shared" si="150"/>
        <v>149.85</v>
      </c>
      <c r="CV128" s="116" t="str">
        <f t="shared" si="10"/>
        <v>Cristian A</v>
      </c>
      <c r="CW128" s="181"/>
      <c r="CX128" s="779"/>
      <c r="CY128" s="729"/>
      <c r="CZ128" s="729"/>
      <c r="DA128" s="729"/>
      <c r="DB128" s="729"/>
      <c r="DC128" s="729"/>
      <c r="DD128" s="265"/>
      <c r="DE128" s="265"/>
      <c r="DF128" s="265"/>
      <c r="DG128" s="265"/>
      <c r="DH128" s="265"/>
      <c r="DI128" s="265"/>
      <c r="DJ128" s="265"/>
      <c r="DK128" s="265"/>
      <c r="DL128" s="265"/>
      <c r="DM128" s="265"/>
      <c r="DN128" s="265"/>
      <c r="DO128" s="265"/>
      <c r="DP128" s="265"/>
      <c r="DQ128" s="265"/>
      <c r="DR128" s="265"/>
      <c r="DS128" s="265"/>
      <c r="DT128" s="265"/>
    </row>
    <row r="129" spans="1:124" ht="30" customHeight="1">
      <c r="A129" s="228"/>
      <c r="B129" s="1237"/>
      <c r="C129" s="155">
        <f t="shared" si="154"/>
        <v>15</v>
      </c>
      <c r="D129" s="781"/>
      <c r="E129" s="781"/>
      <c r="F129" s="781"/>
      <c r="G129" s="112" t="s">
        <v>188</v>
      </c>
      <c r="H129" s="112" t="s">
        <v>1167</v>
      </c>
      <c r="I129" s="207" t="s">
        <v>1168</v>
      </c>
      <c r="J129" s="207" t="str">
        <f t="shared" si="0"/>
        <v>Andrea Mugerli</v>
      </c>
      <c r="K129" s="156">
        <v>3339714528</v>
      </c>
      <c r="L129" s="131"/>
      <c r="M129" s="131" t="s">
        <v>1177</v>
      </c>
      <c r="N129" s="131" t="str">
        <f t="shared" si="1"/>
        <v>Andrea Mugerli</v>
      </c>
      <c r="O129" s="1297"/>
      <c r="P129" s="251"/>
      <c r="Q129" s="131"/>
      <c r="R129" s="252"/>
      <c r="S129" s="254"/>
      <c r="T129" s="346"/>
      <c r="U129" s="253"/>
      <c r="V129" s="253"/>
      <c r="W129" s="251"/>
      <c r="X129" s="131"/>
      <c r="Y129" s="251"/>
      <c r="Z129" s="251"/>
      <c r="AA129" s="251"/>
      <c r="AB129" s="255"/>
      <c r="AC129" s="256"/>
      <c r="AD129" s="121" t="s">
        <v>1170</v>
      </c>
      <c r="AE129" s="80">
        <f t="shared" si="156"/>
        <v>0</v>
      </c>
      <c r="AF129" s="257"/>
      <c r="AG129" s="155"/>
      <c r="AH129" s="155"/>
      <c r="AI129" s="155"/>
      <c r="AJ129" s="257"/>
      <c r="AK129" s="155"/>
      <c r="AL129" s="155"/>
      <c r="AM129" s="155"/>
      <c r="AN129" s="257"/>
      <c r="AO129" s="258"/>
      <c r="AP129" s="258"/>
      <c r="AQ129" s="258"/>
      <c r="AR129" s="211"/>
      <c r="AS129" s="259"/>
      <c r="AT129" s="259"/>
      <c r="AU129" s="259"/>
      <c r="AV129" s="211"/>
      <c r="AW129" s="259" t="s">
        <v>115</v>
      </c>
      <c r="AX129" s="259" t="s">
        <v>115</v>
      </c>
      <c r="AY129" s="259" t="s">
        <v>115</v>
      </c>
      <c r="AZ129" s="808">
        <f t="shared" si="100"/>
        <v>2997</v>
      </c>
      <c r="BA129" s="761">
        <f t="shared" si="98"/>
        <v>2997</v>
      </c>
      <c r="BB129" s="761">
        <f t="shared" si="4"/>
        <v>0</v>
      </c>
      <c r="BC129" s="262"/>
      <c r="BD129" s="824"/>
      <c r="BE129" s="1231">
        <v>2997</v>
      </c>
      <c r="BF129" s="380" t="s">
        <v>117</v>
      </c>
      <c r="BG129" s="98">
        <v>0</v>
      </c>
      <c r="BH129" s="262"/>
      <c r="BI129" s="242">
        <f t="shared" si="137"/>
        <v>0</v>
      </c>
      <c r="BJ129" s="1231">
        <f t="shared" si="152"/>
        <v>0</v>
      </c>
      <c r="BK129" s="1267" t="s">
        <v>118</v>
      </c>
      <c r="BL129" s="825" t="s">
        <v>119</v>
      </c>
      <c r="BM129" s="145">
        <v>0.05</v>
      </c>
      <c r="BN129" s="262"/>
      <c r="BO129" s="242">
        <f t="shared" si="133"/>
        <v>0</v>
      </c>
      <c r="BP129" s="1231">
        <f t="shared" si="134"/>
        <v>149.85</v>
      </c>
      <c r="BQ129" s="243"/>
      <c r="BR129" s="110">
        <v>2997</v>
      </c>
      <c r="BS129" s="226">
        <v>44834</v>
      </c>
      <c r="BT129" s="110">
        <f>BR129</f>
        <v>2997</v>
      </c>
      <c r="BU129" s="263"/>
      <c r="BV129" s="110"/>
      <c r="BW129" s="348"/>
      <c r="BX129" s="110"/>
      <c r="BY129" s="263"/>
      <c r="BZ129" s="110"/>
      <c r="CA129" s="263"/>
      <c r="CB129" s="110"/>
      <c r="CC129" s="263"/>
      <c r="CD129" s="110"/>
      <c r="CE129" s="226"/>
      <c r="CF129" s="110"/>
      <c r="CG129" s="263"/>
      <c r="CH129" s="110"/>
      <c r="CI129" s="226"/>
      <c r="CJ129" s="110"/>
      <c r="CK129" s="155">
        <v>1</v>
      </c>
      <c r="CL129" s="181" t="s">
        <v>1123</v>
      </c>
      <c r="CM129" s="181"/>
      <c r="CN129" s="207"/>
      <c r="CO129" s="282" t="s">
        <v>122</v>
      </c>
      <c r="CP129" s="155"/>
      <c r="CQ129" s="131" t="s">
        <v>808</v>
      </c>
      <c r="CR129" s="823" t="s">
        <v>4108</v>
      </c>
      <c r="CS129" s="116" t="str">
        <f t="shared" si="9"/>
        <v>blackship</v>
      </c>
      <c r="CT129" s="820" t="b">
        <f t="shared" si="149"/>
        <v>0</v>
      </c>
      <c r="CU129" s="820" t="b">
        <f t="shared" si="150"/>
        <v>0</v>
      </c>
      <c r="CV129" s="116" t="str">
        <f t="shared" si="10"/>
        <v>Raffaella</v>
      </c>
      <c r="CW129" s="181"/>
      <c r="CX129" s="779"/>
      <c r="CY129" s="729"/>
      <c r="CZ129" s="729"/>
      <c r="DA129" s="729"/>
      <c r="DB129" s="729"/>
      <c r="DC129" s="729"/>
      <c r="DD129" s="265"/>
      <c r="DE129" s="265"/>
      <c r="DF129" s="265"/>
      <c r="DG129" s="265"/>
      <c r="DH129" s="265"/>
      <c r="DI129" s="265"/>
      <c r="DJ129" s="265"/>
      <c r="DK129" s="265"/>
      <c r="DL129" s="265"/>
      <c r="DM129" s="265"/>
      <c r="DN129" s="265"/>
      <c r="DO129" s="265"/>
      <c r="DP129" s="265"/>
      <c r="DQ129" s="265"/>
      <c r="DR129" s="265"/>
      <c r="DS129" s="265"/>
      <c r="DT129" s="265"/>
    </row>
    <row r="130" spans="1:124" ht="30" customHeight="1">
      <c r="A130" s="228"/>
      <c r="B130" s="1237"/>
      <c r="C130" s="155">
        <f t="shared" si="154"/>
        <v>16</v>
      </c>
      <c r="D130" s="781"/>
      <c r="E130" s="781"/>
      <c r="F130" s="781"/>
      <c r="G130" s="112" t="s">
        <v>188</v>
      </c>
      <c r="H130" s="112" t="s">
        <v>1173</v>
      </c>
      <c r="I130" s="207" t="s">
        <v>1174</v>
      </c>
      <c r="J130" s="207" t="str">
        <f t="shared" si="0"/>
        <v>Andrea Salaris</v>
      </c>
      <c r="K130" s="156" t="s">
        <v>1175</v>
      </c>
      <c r="L130" s="204" t="s">
        <v>1176</v>
      </c>
      <c r="M130" s="131" t="s">
        <v>1177</v>
      </c>
      <c r="N130" s="131" t="str">
        <f t="shared" si="1"/>
        <v>Andrea Salaris</v>
      </c>
      <c r="O130" s="1297"/>
      <c r="P130" s="251"/>
      <c r="Q130" s="131"/>
      <c r="R130" s="252"/>
      <c r="S130" s="254"/>
      <c r="T130" s="346"/>
      <c r="U130" s="253"/>
      <c r="V130" s="253"/>
      <c r="W130" s="251"/>
      <c r="X130" s="131"/>
      <c r="Y130" s="251"/>
      <c r="Z130" s="251"/>
      <c r="AA130" s="251"/>
      <c r="AB130" s="255"/>
      <c r="AC130" s="256"/>
      <c r="AD130" s="121"/>
      <c r="AE130" s="80" t="str">
        <f t="shared" si="156"/>
        <v>Condizioni pagamento concordate con Gluca 200 euro 30/9 - 1720 entro il 28/4/2023 e saldo entro il 13/05/2023</v>
      </c>
      <c r="AF130" s="257"/>
      <c r="AG130" s="155"/>
      <c r="AH130" s="155"/>
      <c r="AI130" s="155"/>
      <c r="AJ130" s="257"/>
      <c r="AK130" s="155"/>
      <c r="AL130" s="155"/>
      <c r="AM130" s="155"/>
      <c r="AN130" s="257"/>
      <c r="AO130" s="258"/>
      <c r="AP130" s="258"/>
      <c r="AQ130" s="258"/>
      <c r="AR130" s="211"/>
      <c r="AS130" s="259"/>
      <c r="AT130" s="259"/>
      <c r="AU130" s="259"/>
      <c r="AV130" s="211"/>
      <c r="AW130" s="259" t="s">
        <v>115</v>
      </c>
      <c r="AX130" s="259" t="s">
        <v>115</v>
      </c>
      <c r="AY130" s="259" t="s">
        <v>115</v>
      </c>
      <c r="AZ130" s="808">
        <f t="shared" si="100"/>
        <v>3497</v>
      </c>
      <c r="BA130" s="761">
        <f t="shared" si="98"/>
        <v>0</v>
      </c>
      <c r="BB130" s="761">
        <f t="shared" si="4"/>
        <v>3497</v>
      </c>
      <c r="BC130" s="262"/>
      <c r="BD130" s="824"/>
      <c r="BE130" s="1231">
        <v>3497</v>
      </c>
      <c r="BF130" s="363" t="s">
        <v>117</v>
      </c>
      <c r="BG130" s="98">
        <v>0</v>
      </c>
      <c r="BH130" s="262"/>
      <c r="BI130" s="242">
        <f t="shared" si="137"/>
        <v>0</v>
      </c>
      <c r="BJ130" s="1231">
        <f t="shared" si="152"/>
        <v>0</v>
      </c>
      <c r="BK130" s="772"/>
      <c r="BL130" s="828" t="s">
        <v>152</v>
      </c>
      <c r="BM130" s="145">
        <v>0.05</v>
      </c>
      <c r="BN130" s="262"/>
      <c r="BO130" s="242">
        <f t="shared" si="133"/>
        <v>0</v>
      </c>
      <c r="BP130" s="1231">
        <f t="shared" si="134"/>
        <v>174.85000000000002</v>
      </c>
      <c r="BQ130" s="243"/>
      <c r="BR130" s="110">
        <v>163.93</v>
      </c>
      <c r="BS130" s="226">
        <v>44834</v>
      </c>
      <c r="BT130" s="110"/>
      <c r="BU130" s="263"/>
      <c r="BV130" s="110">
        <v>1409.84</v>
      </c>
      <c r="BW130" s="348">
        <v>45044</v>
      </c>
      <c r="BX130" s="110"/>
      <c r="BY130" s="263"/>
      <c r="BZ130" s="110">
        <v>1923.23</v>
      </c>
      <c r="CA130" s="348">
        <v>45059</v>
      </c>
      <c r="CB130" s="110"/>
      <c r="CC130" s="263"/>
      <c r="CD130" s="110"/>
      <c r="CE130" s="226"/>
      <c r="CF130" s="110"/>
      <c r="CG130" s="263"/>
      <c r="CH130" s="110"/>
      <c r="CI130" s="226"/>
      <c r="CJ130" s="110"/>
      <c r="CK130" s="155">
        <v>1</v>
      </c>
      <c r="CL130" s="181" t="s">
        <v>1123</v>
      </c>
      <c r="CM130" s="181"/>
      <c r="CN130" s="207"/>
      <c r="CO130" s="282" t="s">
        <v>122</v>
      </c>
      <c r="CP130" s="155"/>
      <c r="CQ130" s="131"/>
      <c r="CR130" s="823" t="s">
        <v>1178</v>
      </c>
      <c r="CS130" s="116" t="str">
        <f t="shared" si="9"/>
        <v>blackship</v>
      </c>
      <c r="CT130" s="820" t="b">
        <f t="shared" si="149"/>
        <v>0</v>
      </c>
      <c r="CU130" s="820" t="b">
        <f t="shared" si="150"/>
        <v>0</v>
      </c>
      <c r="CV130" s="116" t="str">
        <f t="shared" si="10"/>
        <v>Client Angel</v>
      </c>
      <c r="CW130" s="181"/>
      <c r="CX130" s="779"/>
      <c r="CY130" s="729"/>
      <c r="CZ130" s="729"/>
      <c r="DA130" s="729"/>
      <c r="DB130" s="729"/>
      <c r="DC130" s="729"/>
      <c r="DD130" s="265"/>
      <c r="DE130" s="265"/>
      <c r="DF130" s="265"/>
      <c r="DG130" s="265"/>
      <c r="DH130" s="265"/>
      <c r="DI130" s="265"/>
      <c r="DJ130" s="265"/>
      <c r="DK130" s="265"/>
      <c r="DL130" s="265"/>
      <c r="DM130" s="265"/>
      <c r="DN130" s="265"/>
      <c r="DO130" s="265"/>
      <c r="DP130" s="265"/>
      <c r="DQ130" s="265"/>
      <c r="DR130" s="265"/>
      <c r="DS130" s="265"/>
      <c r="DT130" s="265"/>
    </row>
    <row r="131" spans="1:124" ht="30" customHeight="1">
      <c r="A131" s="228"/>
      <c r="B131" s="1237"/>
      <c r="C131" s="155">
        <f t="shared" si="154"/>
        <v>17</v>
      </c>
      <c r="D131" s="781"/>
      <c r="E131" s="781"/>
      <c r="F131" s="781"/>
      <c r="G131" s="112" t="s">
        <v>1179</v>
      </c>
      <c r="H131" s="112" t="s">
        <v>1180</v>
      </c>
      <c r="I131" s="207" t="s">
        <v>1181</v>
      </c>
      <c r="J131" s="207" t="str">
        <f t="shared" si="0"/>
        <v>Andrew Boscaini</v>
      </c>
      <c r="K131" s="156">
        <v>3202321248</v>
      </c>
      <c r="L131" s="204" t="s">
        <v>4109</v>
      </c>
      <c r="M131" s="131" t="s">
        <v>1183</v>
      </c>
      <c r="N131" s="131" t="str">
        <f t="shared" si="1"/>
        <v>Cribis</v>
      </c>
      <c r="O131" s="1297"/>
      <c r="P131" s="251"/>
      <c r="Q131" s="131"/>
      <c r="R131" s="252"/>
      <c r="S131" s="254"/>
      <c r="T131" s="346"/>
      <c r="U131" s="253"/>
      <c r="V131" s="253"/>
      <c r="W131" s="251"/>
      <c r="X131" s="131"/>
      <c r="Y131" s="251"/>
      <c r="Z131" s="251"/>
      <c r="AA131" s="251"/>
      <c r="AB131" s="255"/>
      <c r="AC131" s="256"/>
      <c r="AD131" s="121"/>
      <c r="AE131" s="80" t="str">
        <f t="shared" si="156"/>
        <v>Condizioni pagamento concordate con Gluca 200 euro 30/9 - saldo entro 2023???</v>
      </c>
      <c r="AF131" s="257"/>
      <c r="AG131" s="155"/>
      <c r="AH131" s="155"/>
      <c r="AI131" s="155"/>
      <c r="AJ131" s="257"/>
      <c r="AK131" s="155"/>
      <c r="AL131" s="155"/>
      <c r="AM131" s="155"/>
      <c r="AN131" s="257"/>
      <c r="AO131" s="258"/>
      <c r="AP131" s="258"/>
      <c r="AQ131" s="258"/>
      <c r="AR131" s="211"/>
      <c r="AS131" s="259"/>
      <c r="AT131" s="259"/>
      <c r="AU131" s="259"/>
      <c r="AV131" s="211"/>
      <c r="AW131" s="259" t="s">
        <v>115</v>
      </c>
      <c r="AX131" s="259" t="s">
        <v>115</v>
      </c>
      <c r="AY131" s="259" t="s">
        <v>115</v>
      </c>
      <c r="AZ131" s="808">
        <f t="shared" si="100"/>
        <v>3496.9999999999995</v>
      </c>
      <c r="BA131" s="761">
        <f t="shared" si="98"/>
        <v>0</v>
      </c>
      <c r="BB131" s="761">
        <f t="shared" si="4"/>
        <v>3496.9999999999995</v>
      </c>
      <c r="BC131" s="262"/>
      <c r="BD131" s="824"/>
      <c r="BE131" s="1231">
        <v>3497</v>
      </c>
      <c r="BF131" s="380" t="s">
        <v>160</v>
      </c>
      <c r="BG131" s="145">
        <v>0.05</v>
      </c>
      <c r="BH131" s="262"/>
      <c r="BI131" s="242">
        <f t="shared" si="137"/>
        <v>0</v>
      </c>
      <c r="BJ131" s="1231">
        <f t="shared" si="152"/>
        <v>174.85000000000002</v>
      </c>
      <c r="BK131" s="772"/>
      <c r="BL131" s="825" t="s">
        <v>160</v>
      </c>
      <c r="BM131" s="145">
        <v>0.05</v>
      </c>
      <c r="BN131" s="262"/>
      <c r="BO131" s="242">
        <f t="shared" si="133"/>
        <v>0</v>
      </c>
      <c r="BP131" s="1231">
        <f t="shared" si="134"/>
        <v>174.85000000000002</v>
      </c>
      <c r="BQ131" s="243"/>
      <c r="BR131" s="110">
        <v>163.93</v>
      </c>
      <c r="BS131" s="226">
        <v>44834</v>
      </c>
      <c r="BT131" s="110"/>
      <c r="BU131" s="263"/>
      <c r="BV131" s="110">
        <f>1409.84+1923.23</f>
        <v>3333.0699999999997</v>
      </c>
      <c r="BW131" s="348" t="s">
        <v>1047</v>
      </c>
      <c r="BX131" s="110"/>
      <c r="BY131" s="263"/>
      <c r="BZ131" s="110"/>
      <c r="CA131" s="263"/>
      <c r="CB131" s="110"/>
      <c r="CC131" s="263"/>
      <c r="CD131" s="110"/>
      <c r="CE131" s="226"/>
      <c r="CF131" s="110"/>
      <c r="CG131" s="263"/>
      <c r="CH131" s="110"/>
      <c r="CI131" s="226"/>
      <c r="CJ131" s="110"/>
      <c r="CK131" s="155">
        <v>1</v>
      </c>
      <c r="CL131" s="181" t="s">
        <v>1123</v>
      </c>
      <c r="CM131" s="181"/>
      <c r="CN131" s="207"/>
      <c r="CO131" s="282" t="s">
        <v>122</v>
      </c>
      <c r="CP131" s="155"/>
      <c r="CQ131" s="131"/>
      <c r="CR131" s="823" t="s">
        <v>1184</v>
      </c>
      <c r="CS131" s="116" t="str">
        <f t="shared" si="9"/>
        <v>Gianluca</v>
      </c>
      <c r="CT131" s="820" t="b">
        <f t="shared" si="149"/>
        <v>0</v>
      </c>
      <c r="CU131" s="820" t="b">
        <f t="shared" si="150"/>
        <v>0</v>
      </c>
      <c r="CV131" s="116" t="str">
        <f t="shared" si="10"/>
        <v>Gianluca</v>
      </c>
      <c r="CW131" s="181"/>
      <c r="CX131" s="779"/>
      <c r="CY131" s="729"/>
      <c r="CZ131" s="729"/>
      <c r="DA131" s="729"/>
      <c r="DB131" s="729"/>
      <c r="DC131" s="729"/>
      <c r="DD131" s="265"/>
      <c r="DE131" s="265"/>
      <c r="DF131" s="265"/>
      <c r="DG131" s="265"/>
      <c r="DH131" s="265"/>
      <c r="DI131" s="265"/>
      <c r="DJ131" s="265"/>
      <c r="DK131" s="265"/>
      <c r="DL131" s="265"/>
      <c r="DM131" s="265"/>
      <c r="DN131" s="265"/>
      <c r="DO131" s="265"/>
      <c r="DP131" s="265"/>
      <c r="DQ131" s="265"/>
      <c r="DR131" s="265"/>
      <c r="DS131" s="265"/>
      <c r="DT131" s="265"/>
    </row>
    <row r="132" spans="1:124" ht="30" customHeight="1">
      <c r="A132" s="228"/>
      <c r="B132" s="1237"/>
      <c r="C132" s="155">
        <f t="shared" si="154"/>
        <v>18</v>
      </c>
      <c r="D132" s="781">
        <v>1</v>
      </c>
      <c r="E132" s="781">
        <v>1</v>
      </c>
      <c r="F132" s="781">
        <v>1</v>
      </c>
      <c r="G132" s="112" t="s">
        <v>4110</v>
      </c>
      <c r="H132" s="112" t="s">
        <v>2623</v>
      </c>
      <c r="I132" s="1234" t="s">
        <v>4111</v>
      </c>
      <c r="J132" s="207" t="str">
        <f t="shared" si="0"/>
        <v>Aniello (Lillo) Buono</v>
      </c>
      <c r="K132" s="156">
        <v>3381393122</v>
      </c>
      <c r="L132" s="131"/>
      <c r="M132" s="131" t="s">
        <v>4112</v>
      </c>
      <c r="N132" s="131" t="str">
        <f t="shared" si="1"/>
        <v>Red Apple</v>
      </c>
      <c r="O132" s="1297"/>
      <c r="P132" s="251"/>
      <c r="Q132" s="131"/>
      <c r="R132" s="252"/>
      <c r="S132" s="254"/>
      <c r="T132" s="346"/>
      <c r="U132" s="253"/>
      <c r="V132" s="253"/>
      <c r="W132" s="251"/>
      <c r="X132" s="131"/>
      <c r="Y132" s="251"/>
      <c r="Z132" s="251"/>
      <c r="AA132" s="251"/>
      <c r="AB132" s="255"/>
      <c r="AC132" s="256"/>
      <c r="AD132" s="121" t="s">
        <v>4113</v>
      </c>
      <c r="AE132" s="80">
        <f t="shared" si="156"/>
        <v>0</v>
      </c>
      <c r="AF132" s="257"/>
      <c r="AG132" s="155"/>
      <c r="AH132" s="155"/>
      <c r="AI132" s="155"/>
      <c r="AJ132" s="257"/>
      <c r="AK132" s="155"/>
      <c r="AL132" s="155"/>
      <c r="AM132" s="155"/>
      <c r="AN132" s="257"/>
      <c r="AO132" s="258"/>
      <c r="AP132" s="258"/>
      <c r="AQ132" s="258"/>
      <c r="AR132" s="211"/>
      <c r="AS132" s="259" t="s">
        <v>115</v>
      </c>
      <c r="AT132" s="259" t="s">
        <v>115</v>
      </c>
      <c r="AU132" s="259" t="s">
        <v>115</v>
      </c>
      <c r="AV132" s="211"/>
      <c r="AW132" s="259"/>
      <c r="AX132" s="259"/>
      <c r="AY132" s="259"/>
      <c r="AZ132" s="808">
        <f t="shared" si="100"/>
        <v>2997</v>
      </c>
      <c r="BA132" s="761">
        <f t="shared" si="98"/>
        <v>2997</v>
      </c>
      <c r="BB132" s="761">
        <f t="shared" si="4"/>
        <v>0</v>
      </c>
      <c r="BC132" s="262"/>
      <c r="BD132" s="824">
        <f>AZ132</f>
        <v>2997</v>
      </c>
      <c r="BE132" s="1231"/>
      <c r="BF132" s="105" t="s">
        <v>133</v>
      </c>
      <c r="BG132" s="145">
        <v>0.15</v>
      </c>
      <c r="BH132" s="262"/>
      <c r="BI132" s="242">
        <f t="shared" si="137"/>
        <v>449.55</v>
      </c>
      <c r="BJ132" s="1231">
        <f t="shared" si="152"/>
        <v>0</v>
      </c>
      <c r="BK132" s="387" t="s">
        <v>1076</v>
      </c>
      <c r="BL132" s="822" t="s">
        <v>133</v>
      </c>
      <c r="BM132" s="145">
        <v>0.05</v>
      </c>
      <c r="BN132" s="262"/>
      <c r="BO132" s="242">
        <f t="shared" si="133"/>
        <v>149.85</v>
      </c>
      <c r="BP132" s="1231">
        <f t="shared" si="134"/>
        <v>0</v>
      </c>
      <c r="BQ132" s="387" t="s">
        <v>1076</v>
      </c>
      <c r="BR132" s="110">
        <v>2997</v>
      </c>
      <c r="BS132" s="226">
        <v>44834</v>
      </c>
      <c r="BT132" s="110">
        <f>BR132</f>
        <v>2997</v>
      </c>
      <c r="BU132" s="263"/>
      <c r="BV132" s="110"/>
      <c r="BW132" s="348"/>
      <c r="BX132" s="110"/>
      <c r="BY132" s="263"/>
      <c r="BZ132" s="110"/>
      <c r="CA132" s="263"/>
      <c r="CB132" s="110"/>
      <c r="CC132" s="263"/>
      <c r="CD132" s="110"/>
      <c r="CE132" s="226"/>
      <c r="CF132" s="110"/>
      <c r="CG132" s="263"/>
      <c r="CH132" s="110"/>
      <c r="CI132" s="226"/>
      <c r="CJ132" s="110"/>
      <c r="CK132" s="155">
        <v>1</v>
      </c>
      <c r="CL132" s="181" t="s">
        <v>1123</v>
      </c>
      <c r="CM132" s="181"/>
      <c r="CN132" s="207"/>
      <c r="CO132" s="282" t="s">
        <v>122</v>
      </c>
      <c r="CP132" s="155"/>
      <c r="CQ132" s="131" t="s">
        <v>4114</v>
      </c>
      <c r="CR132" s="823" t="s">
        <v>4115</v>
      </c>
      <c r="CS132" s="116" t="str">
        <f t="shared" si="9"/>
        <v>Cristian B</v>
      </c>
      <c r="CT132" s="820">
        <f t="shared" si="149"/>
        <v>449.55</v>
      </c>
      <c r="CU132" s="820">
        <f t="shared" si="150"/>
        <v>149.85</v>
      </c>
      <c r="CV132" s="116" t="str">
        <f t="shared" si="10"/>
        <v>Cristian B</v>
      </c>
      <c r="CW132" s="121">
        <v>1</v>
      </c>
      <c r="CX132" s="779"/>
      <c r="CY132" s="729"/>
      <c r="CZ132" s="729"/>
      <c r="DA132" s="729"/>
      <c r="DB132" s="729"/>
      <c r="DC132" s="729"/>
      <c r="DD132" s="265"/>
      <c r="DE132" s="265"/>
      <c r="DF132" s="265"/>
      <c r="DG132" s="265"/>
      <c r="DH132" s="265"/>
      <c r="DI132" s="265"/>
      <c r="DJ132" s="265"/>
      <c r="DK132" s="265"/>
      <c r="DL132" s="265"/>
      <c r="DM132" s="265"/>
      <c r="DN132" s="265"/>
      <c r="DO132" s="265"/>
      <c r="DP132" s="265"/>
      <c r="DQ132" s="265"/>
      <c r="DR132" s="265"/>
      <c r="DS132" s="265"/>
      <c r="DT132" s="265"/>
    </row>
    <row r="133" spans="1:124" ht="30" customHeight="1">
      <c r="A133" s="228"/>
      <c r="B133" s="1237"/>
      <c r="C133" s="155">
        <f t="shared" si="154"/>
        <v>19</v>
      </c>
      <c r="D133" s="781"/>
      <c r="E133" s="781"/>
      <c r="F133" s="781"/>
      <c r="G133" s="112" t="s">
        <v>1293</v>
      </c>
      <c r="H133" s="112" t="s">
        <v>1294</v>
      </c>
      <c r="I133" s="207" t="s">
        <v>1295</v>
      </c>
      <c r="J133" s="207" t="str">
        <f t="shared" si="0"/>
        <v>Rita Anna Galanto</v>
      </c>
      <c r="K133" s="156">
        <v>3928481869</v>
      </c>
      <c r="L133" s="204" t="s">
        <v>1296</v>
      </c>
      <c r="M133" s="131" t="s">
        <v>1297</v>
      </c>
      <c r="N133" s="131" t="str">
        <f t="shared" si="1"/>
        <v>Anna Rita Galanto</v>
      </c>
      <c r="O133" s="1297"/>
      <c r="P133" s="251"/>
      <c r="Q133" s="131"/>
      <c r="R133" s="252"/>
      <c r="S133" s="254"/>
      <c r="T133" s="346"/>
      <c r="U133" s="253"/>
      <c r="V133" s="253"/>
      <c r="W133" s="251"/>
      <c r="X133" s="131"/>
      <c r="Y133" s="251"/>
      <c r="Z133" s="251"/>
      <c r="AA133" s="251"/>
      <c r="AB133" s="255"/>
      <c r="AC133" s="256"/>
      <c r="AD133" s="121"/>
      <c r="AE133" s="80" t="str">
        <f t="shared" si="156"/>
        <v>CONFERMA ENTRO IL 4/10/22</v>
      </c>
      <c r="AF133" s="257"/>
      <c r="AG133" s="155"/>
      <c r="AH133" s="155"/>
      <c r="AI133" s="155"/>
      <c r="AJ133" s="257"/>
      <c r="AK133" s="155"/>
      <c r="AL133" s="155"/>
      <c r="AM133" s="155"/>
      <c r="AN133" s="257"/>
      <c r="AO133" s="258"/>
      <c r="AP133" s="258"/>
      <c r="AQ133" s="258"/>
      <c r="AR133" s="211"/>
      <c r="AS133" s="259"/>
      <c r="AT133" s="259"/>
      <c r="AU133" s="259"/>
      <c r="AV133" s="211"/>
      <c r="AW133" s="259" t="s">
        <v>151</v>
      </c>
      <c r="AX133" s="259" t="s">
        <v>151</v>
      </c>
      <c r="AY133" s="259" t="s">
        <v>151</v>
      </c>
      <c r="AZ133" s="808">
        <f t="shared" si="100"/>
        <v>2997</v>
      </c>
      <c r="BA133" s="761">
        <f t="shared" si="98"/>
        <v>0</v>
      </c>
      <c r="BB133" s="761">
        <f t="shared" si="4"/>
        <v>2997</v>
      </c>
      <c r="BC133" s="262"/>
      <c r="BD133" s="824">
        <v>0</v>
      </c>
      <c r="BE133" s="1231">
        <v>2997</v>
      </c>
      <c r="BF133" s="380" t="s">
        <v>451</v>
      </c>
      <c r="BG133" s="145">
        <v>0.15</v>
      </c>
      <c r="BH133" s="262"/>
      <c r="BI133" s="242">
        <f t="shared" si="137"/>
        <v>0</v>
      </c>
      <c r="BJ133" s="1232">
        <f t="shared" si="152"/>
        <v>449.55</v>
      </c>
      <c r="BK133" s="772"/>
      <c r="BL133" s="825" t="s">
        <v>451</v>
      </c>
      <c r="BM133" s="145">
        <v>0.05</v>
      </c>
      <c r="BN133" s="262"/>
      <c r="BO133" s="242">
        <f t="shared" si="133"/>
        <v>0</v>
      </c>
      <c r="BP133" s="1231">
        <f t="shared" si="134"/>
        <v>149.85</v>
      </c>
      <c r="BQ133" s="243"/>
      <c r="BR133" s="110">
        <v>2997</v>
      </c>
      <c r="BS133" s="226">
        <v>44834</v>
      </c>
      <c r="BT133" s="110"/>
      <c r="BU133" s="263"/>
      <c r="BV133" s="110"/>
      <c r="BW133" s="348"/>
      <c r="BX133" s="110"/>
      <c r="BY133" s="263"/>
      <c r="BZ133" s="110"/>
      <c r="CA133" s="263"/>
      <c r="CB133" s="110"/>
      <c r="CC133" s="263"/>
      <c r="CD133" s="110"/>
      <c r="CE133" s="226"/>
      <c r="CF133" s="110"/>
      <c r="CG133" s="263"/>
      <c r="CH133" s="110"/>
      <c r="CI133" s="226"/>
      <c r="CJ133" s="110"/>
      <c r="CK133" s="155">
        <v>1</v>
      </c>
      <c r="CL133" s="181" t="s">
        <v>1123</v>
      </c>
      <c r="CM133" s="181"/>
      <c r="CN133" s="207"/>
      <c r="CO133" s="207"/>
      <c r="CP133" s="155"/>
      <c r="CQ133" s="131"/>
      <c r="CR133" s="823" t="s">
        <v>1298</v>
      </c>
      <c r="CS133" s="116" t="str">
        <f t="shared" si="9"/>
        <v>Fabio</v>
      </c>
      <c r="CT133" s="820" t="b">
        <f t="shared" si="149"/>
        <v>0</v>
      </c>
      <c r="CU133" s="820" t="b">
        <f t="shared" si="150"/>
        <v>0</v>
      </c>
      <c r="CV133" s="116" t="str">
        <f t="shared" si="10"/>
        <v>Fabio</v>
      </c>
      <c r="CW133" s="181"/>
      <c r="CX133" s="779"/>
      <c r="CY133" s="729"/>
      <c r="CZ133" s="729"/>
      <c r="DA133" s="729"/>
      <c r="DB133" s="729"/>
      <c r="DC133" s="729"/>
      <c r="DD133" s="265"/>
      <c r="DE133" s="265"/>
      <c r="DF133" s="265"/>
      <c r="DG133" s="265"/>
      <c r="DH133" s="265"/>
      <c r="DI133" s="265"/>
      <c r="DJ133" s="265"/>
      <c r="DK133" s="265"/>
      <c r="DL133" s="265"/>
      <c r="DM133" s="265"/>
      <c r="DN133" s="265"/>
      <c r="DO133" s="265"/>
      <c r="DP133" s="265"/>
      <c r="DQ133" s="265"/>
      <c r="DR133" s="265"/>
      <c r="DS133" s="265"/>
      <c r="DT133" s="265"/>
    </row>
    <row r="134" spans="1:124" ht="30" customHeight="1">
      <c r="A134" s="228"/>
      <c r="B134" s="331"/>
      <c r="C134" s="155">
        <f t="shared" si="154"/>
        <v>20</v>
      </c>
      <c r="D134" s="781"/>
      <c r="E134" s="781"/>
      <c r="F134" s="781"/>
      <c r="G134" s="112" t="s">
        <v>977</v>
      </c>
      <c r="H134" s="112" t="s">
        <v>4116</v>
      </c>
      <c r="I134" s="1320"/>
      <c r="J134" s="207" t="str">
        <f t="shared" si="0"/>
        <v>Antonio Tricarico</v>
      </c>
      <c r="K134" s="156">
        <v>3357123315</v>
      </c>
      <c r="L134" s="204" t="s">
        <v>4117</v>
      </c>
      <c r="M134" s="131"/>
      <c r="N134" s="131" t="str">
        <f t="shared" si="1"/>
        <v>Autobersana</v>
      </c>
      <c r="O134" s="1297"/>
      <c r="P134" s="251"/>
      <c r="Q134" s="131"/>
      <c r="R134" s="252"/>
      <c r="S134" s="254"/>
      <c r="T134" s="346"/>
      <c r="U134" s="253"/>
      <c r="V134" s="253"/>
      <c r="W134" s="251"/>
      <c r="X134" s="131"/>
      <c r="Y134" s="251"/>
      <c r="Z134" s="251"/>
      <c r="AA134" s="251"/>
      <c r="AB134" s="255"/>
      <c r="AC134" s="256"/>
      <c r="AD134" s="121"/>
      <c r="AE134" s="80" t="str">
        <f t="shared" si="156"/>
        <v>Mail del 5.10.22: concesso acconto 200 entro il 15/10 per bloccare il prezzo.A marzo 2023 procederai al pagamento del tuo Master in Vendita, scegliendo con pagamento in unica soluzione o rateale, mantenendo le attuali condizioni sottoscritte a Vendita B2B</v>
      </c>
      <c r="AF134" s="257"/>
      <c r="AG134" s="155"/>
      <c r="AH134" s="155"/>
      <c r="AI134" s="155"/>
      <c r="AJ134" s="257"/>
      <c r="AK134" s="155"/>
      <c r="AL134" s="155"/>
      <c r="AM134" s="155"/>
      <c r="AN134" s="257"/>
      <c r="AO134" s="258"/>
      <c r="AP134" s="258"/>
      <c r="AQ134" s="258"/>
      <c r="AR134" s="211"/>
      <c r="AS134" s="259"/>
      <c r="AT134" s="259"/>
      <c r="AU134" s="259"/>
      <c r="AV134" s="211"/>
      <c r="AW134" s="259" t="s">
        <v>115</v>
      </c>
      <c r="AX134" s="259" t="s">
        <v>115</v>
      </c>
      <c r="AY134" s="259" t="s">
        <v>115</v>
      </c>
      <c r="AZ134" s="808">
        <f t="shared" si="100"/>
        <v>3497</v>
      </c>
      <c r="BA134" s="761">
        <f t="shared" si="98"/>
        <v>0</v>
      </c>
      <c r="BB134" s="761">
        <f t="shared" si="4"/>
        <v>3497</v>
      </c>
      <c r="BC134" s="262"/>
      <c r="BD134" s="824"/>
      <c r="BE134" s="1231">
        <v>2997</v>
      </c>
      <c r="BF134" s="380" t="s">
        <v>117</v>
      </c>
      <c r="BG134" s="98">
        <v>0</v>
      </c>
      <c r="BH134" s="262"/>
      <c r="BI134" s="242">
        <f t="shared" si="137"/>
        <v>0</v>
      </c>
      <c r="BJ134" s="1232">
        <f t="shared" si="152"/>
        <v>0</v>
      </c>
      <c r="BK134" s="772"/>
      <c r="BL134" s="825" t="s">
        <v>152</v>
      </c>
      <c r="BM134" s="145">
        <v>0.05</v>
      </c>
      <c r="BN134" s="262"/>
      <c r="BO134" s="242">
        <f t="shared" si="133"/>
        <v>0</v>
      </c>
      <c r="BP134" s="1231">
        <f t="shared" si="134"/>
        <v>149.85</v>
      </c>
      <c r="BQ134" s="243"/>
      <c r="BR134" s="110">
        <v>163.93</v>
      </c>
      <c r="BS134" s="226">
        <v>44849</v>
      </c>
      <c r="BT134" s="110"/>
      <c r="BU134" s="263"/>
      <c r="BV134" s="110">
        <v>1409.84</v>
      </c>
      <c r="BW134" s="348">
        <v>45016</v>
      </c>
      <c r="BX134" s="110"/>
      <c r="BY134" s="263"/>
      <c r="BZ134" s="110">
        <v>1923.23</v>
      </c>
      <c r="CA134" s="348">
        <v>45016</v>
      </c>
      <c r="CB134" s="110"/>
      <c r="CC134" s="263"/>
      <c r="CD134" s="110"/>
      <c r="CE134" s="226"/>
      <c r="CF134" s="110"/>
      <c r="CG134" s="263"/>
      <c r="CH134" s="110"/>
      <c r="CI134" s="226"/>
      <c r="CJ134" s="110"/>
      <c r="CK134" s="155">
        <v>1</v>
      </c>
      <c r="CL134" s="181" t="s">
        <v>1123</v>
      </c>
      <c r="CM134" s="181"/>
      <c r="CN134" s="207"/>
      <c r="CO134" s="207"/>
      <c r="CP134" s="155"/>
      <c r="CQ134" s="131" t="s">
        <v>4118</v>
      </c>
      <c r="CR134" s="823" t="s">
        <v>4119</v>
      </c>
      <c r="CS134" s="116" t="str">
        <f t="shared" si="9"/>
        <v>blackship</v>
      </c>
      <c r="CT134" s="820" t="b">
        <f t="shared" si="149"/>
        <v>0</v>
      </c>
      <c r="CU134" s="820" t="b">
        <f t="shared" si="150"/>
        <v>0</v>
      </c>
      <c r="CV134" s="116" t="str">
        <f t="shared" si="10"/>
        <v>Client Angel</v>
      </c>
      <c r="CW134" s="181"/>
      <c r="CX134" s="779"/>
      <c r="CY134" s="729"/>
      <c r="CZ134" s="729"/>
      <c r="DA134" s="729"/>
      <c r="DB134" s="729"/>
      <c r="DC134" s="729"/>
      <c r="DD134" s="265"/>
      <c r="DE134" s="265"/>
      <c r="DF134" s="265"/>
      <c r="DG134" s="265"/>
      <c r="DH134" s="265"/>
      <c r="DI134" s="265"/>
      <c r="DJ134" s="265"/>
      <c r="DK134" s="265"/>
      <c r="DL134" s="265"/>
      <c r="DM134" s="265"/>
      <c r="DN134" s="265"/>
      <c r="DO134" s="265"/>
      <c r="DP134" s="265"/>
      <c r="DQ134" s="265"/>
      <c r="DR134" s="265"/>
      <c r="DS134" s="265"/>
      <c r="DT134" s="265"/>
    </row>
    <row r="135" spans="1:124" ht="30" customHeight="1">
      <c r="A135" s="228"/>
      <c r="B135" s="1237"/>
      <c r="C135" s="155">
        <f t="shared" si="154"/>
        <v>21</v>
      </c>
      <c r="D135" s="781"/>
      <c r="E135" s="781"/>
      <c r="F135" s="781">
        <v>1</v>
      </c>
      <c r="G135" s="112" t="s">
        <v>238</v>
      </c>
      <c r="H135" s="112" t="s">
        <v>1189</v>
      </c>
      <c r="I135" s="382" t="s">
        <v>1190</v>
      </c>
      <c r="J135" s="207" t="str">
        <f t="shared" si="0"/>
        <v>Carlo Barbanti</v>
      </c>
      <c r="K135" s="156"/>
      <c r="L135" s="131"/>
      <c r="M135" s="131"/>
      <c r="N135" s="131" t="str">
        <f t="shared" si="1"/>
        <v>Albatros Ecologia Ambiente Sicurezza</v>
      </c>
      <c r="O135" s="1297"/>
      <c r="P135" s="251"/>
      <c r="Q135" s="131"/>
      <c r="R135" s="252"/>
      <c r="S135" s="254"/>
      <c r="T135" s="346"/>
      <c r="U135" s="253"/>
      <c r="V135" s="253"/>
      <c r="W135" s="251"/>
      <c r="X135" s="131"/>
      <c r="Y135" s="251"/>
      <c r="Z135" s="251"/>
      <c r="AA135" s="251"/>
      <c r="AB135" s="255"/>
      <c r="AC135" s="256"/>
      <c r="AD135" s="121" t="s">
        <v>1192</v>
      </c>
      <c r="AE135" s="80">
        <f t="shared" si="156"/>
        <v>0</v>
      </c>
      <c r="AF135" s="257"/>
      <c r="AG135" s="155"/>
      <c r="AH135" s="155"/>
      <c r="AI135" s="155"/>
      <c r="AJ135" s="257"/>
      <c r="AK135" s="155"/>
      <c r="AL135" s="155"/>
      <c r="AM135" s="155"/>
      <c r="AN135" s="257"/>
      <c r="AO135" s="258"/>
      <c r="AP135" s="258"/>
      <c r="AQ135" s="258"/>
      <c r="AR135" s="211"/>
      <c r="AS135" s="259"/>
      <c r="AT135" s="259"/>
      <c r="AU135" s="259" t="s">
        <v>115</v>
      </c>
      <c r="AV135" s="211"/>
      <c r="AW135" s="259" t="s">
        <v>115</v>
      </c>
      <c r="AX135" s="259" t="s">
        <v>115</v>
      </c>
      <c r="AZ135" s="808">
        <f t="shared" si="100"/>
        <v>2997</v>
      </c>
      <c r="BA135" s="761">
        <f t="shared" si="98"/>
        <v>2997</v>
      </c>
      <c r="BB135" s="761">
        <f t="shared" si="4"/>
        <v>0</v>
      </c>
      <c r="BC135" s="262"/>
      <c r="BD135" s="824">
        <v>2997</v>
      </c>
      <c r="BE135" s="1231"/>
      <c r="BF135" s="392" t="s">
        <v>407</v>
      </c>
      <c r="BG135" s="145">
        <v>0.15</v>
      </c>
      <c r="BH135" s="262"/>
      <c r="BI135" s="242">
        <f t="shared" si="137"/>
        <v>449.55</v>
      </c>
      <c r="BJ135" s="1232">
        <f t="shared" si="152"/>
        <v>0</v>
      </c>
      <c r="BK135" s="765" t="s">
        <v>1035</v>
      </c>
      <c r="BL135" s="289" t="s">
        <v>407</v>
      </c>
      <c r="BM135" s="145">
        <v>0.05</v>
      </c>
      <c r="BN135" s="262"/>
      <c r="BO135" s="242">
        <f t="shared" si="133"/>
        <v>149.85</v>
      </c>
      <c r="BP135" s="1231">
        <f t="shared" si="134"/>
        <v>0</v>
      </c>
      <c r="BQ135" s="765" t="s">
        <v>1035</v>
      </c>
      <c r="BR135" s="110">
        <v>2997</v>
      </c>
      <c r="BS135" s="226">
        <v>44834</v>
      </c>
      <c r="BT135" s="110">
        <v>2997</v>
      </c>
      <c r="BU135" s="263"/>
      <c r="BV135" s="110"/>
      <c r="BW135" s="348"/>
      <c r="BX135" s="110"/>
      <c r="BY135" s="263"/>
      <c r="BZ135" s="110"/>
      <c r="CA135" s="263"/>
      <c r="CB135" s="110"/>
      <c r="CC135" s="263"/>
      <c r="CD135" s="110"/>
      <c r="CE135" s="226"/>
      <c r="CF135" s="110"/>
      <c r="CG135" s="263"/>
      <c r="CH135" s="110"/>
      <c r="CI135" s="226"/>
      <c r="CJ135" s="110"/>
      <c r="CK135" s="155"/>
      <c r="CL135" s="181"/>
      <c r="CM135" s="181"/>
      <c r="CN135" s="207"/>
      <c r="CO135" s="207"/>
      <c r="CP135" s="155"/>
      <c r="CQ135" s="131" t="s">
        <v>4120</v>
      </c>
      <c r="CR135" s="823" t="s">
        <v>4121</v>
      </c>
      <c r="CS135" s="116" t="str">
        <f t="shared" si="9"/>
        <v>Stefano</v>
      </c>
      <c r="CT135" s="820">
        <f t="shared" si="149"/>
        <v>449.55</v>
      </c>
      <c r="CU135" s="820">
        <f t="shared" si="150"/>
        <v>149.85</v>
      </c>
      <c r="CV135" s="116" t="str">
        <f t="shared" si="10"/>
        <v>Stefano</v>
      </c>
      <c r="CW135" s="181"/>
      <c r="CX135" s="779"/>
      <c r="CY135" s="729"/>
      <c r="CZ135" s="729"/>
      <c r="DA135" s="729"/>
      <c r="DB135" s="729"/>
      <c r="DC135" s="729"/>
      <c r="DD135" s="265"/>
      <c r="DE135" s="265"/>
      <c r="DF135" s="265"/>
      <c r="DG135" s="265"/>
      <c r="DH135" s="265"/>
      <c r="DI135" s="265"/>
      <c r="DJ135" s="265"/>
      <c r="DK135" s="265"/>
      <c r="DL135" s="265"/>
      <c r="DM135" s="265"/>
      <c r="DN135" s="265"/>
      <c r="DO135" s="265"/>
      <c r="DP135" s="265"/>
      <c r="DQ135" s="265"/>
      <c r="DR135" s="265"/>
      <c r="DS135" s="265"/>
      <c r="DT135" s="265"/>
    </row>
    <row r="136" spans="1:124" ht="30" customHeight="1">
      <c r="A136" s="228"/>
      <c r="B136" s="1237"/>
      <c r="C136" s="155">
        <f t="shared" si="154"/>
        <v>22</v>
      </c>
      <c r="D136" s="781"/>
      <c r="E136" s="781"/>
      <c r="F136" s="781"/>
      <c r="G136" s="112" t="s">
        <v>2588</v>
      </c>
      <c r="H136" s="112" t="s">
        <v>2589</v>
      </c>
      <c r="I136" s="207" t="s">
        <v>4122</v>
      </c>
      <c r="J136" s="207" t="str">
        <f t="shared" si="0"/>
        <v>Cesare Bagnari</v>
      </c>
      <c r="K136" s="156" t="s">
        <v>4123</v>
      </c>
      <c r="L136" s="131"/>
      <c r="M136" s="131" t="s">
        <v>4124</v>
      </c>
      <c r="N136" s="131" t="str">
        <f t="shared" si="1"/>
        <v>Ciclat Trasporti Ambiente</v>
      </c>
      <c r="O136" s="1297"/>
      <c r="P136" s="251"/>
      <c r="Q136" s="131"/>
      <c r="R136" s="252"/>
      <c r="S136" s="254"/>
      <c r="T136" s="346"/>
      <c r="U136" s="253"/>
      <c r="V136" s="253"/>
      <c r="W136" s="251"/>
      <c r="X136" s="131"/>
      <c r="Y136" s="251"/>
      <c r="Z136" s="251"/>
      <c r="AA136" s="251"/>
      <c r="AB136" s="255"/>
      <c r="AC136" s="256"/>
      <c r="AD136" s="121" t="s">
        <v>4125</v>
      </c>
      <c r="AE136" s="80">
        <f t="shared" si="156"/>
        <v>0</v>
      </c>
      <c r="AF136" s="257"/>
      <c r="AG136" s="155"/>
      <c r="AH136" s="155"/>
      <c r="AI136" s="155"/>
      <c r="AJ136" s="257"/>
      <c r="AK136" s="155"/>
      <c r="AL136" s="155"/>
      <c r="AM136" s="155"/>
      <c r="AN136" s="257"/>
      <c r="AO136" s="258"/>
      <c r="AP136" s="258"/>
      <c r="AQ136" s="258"/>
      <c r="AR136" s="211"/>
      <c r="AS136" s="259"/>
      <c r="AT136" s="259"/>
      <c r="AU136" s="259"/>
      <c r="AV136" s="211"/>
      <c r="AW136" s="259" t="s">
        <v>115</v>
      </c>
      <c r="AX136" s="259" t="s">
        <v>115</v>
      </c>
      <c r="AY136" s="259" t="s">
        <v>115</v>
      </c>
      <c r="AZ136" s="808">
        <f t="shared" si="100"/>
        <v>2997</v>
      </c>
      <c r="BA136" s="761">
        <f t="shared" si="98"/>
        <v>2997</v>
      </c>
      <c r="BB136" s="761">
        <f t="shared" si="4"/>
        <v>0</v>
      </c>
      <c r="BC136" s="262"/>
      <c r="BD136" s="824">
        <v>0</v>
      </c>
      <c r="BE136" s="1231">
        <f>BA136</f>
        <v>2997</v>
      </c>
      <c r="BF136" s="383" t="s">
        <v>407</v>
      </c>
      <c r="BG136" s="145">
        <v>0.15</v>
      </c>
      <c r="BH136" s="262"/>
      <c r="BI136" s="242">
        <f t="shared" si="137"/>
        <v>0</v>
      </c>
      <c r="BJ136" s="1232">
        <f t="shared" si="152"/>
        <v>449.55</v>
      </c>
      <c r="BK136" s="243"/>
      <c r="BL136" s="289" t="s">
        <v>407</v>
      </c>
      <c r="BM136" s="145">
        <v>0.05</v>
      </c>
      <c r="BN136" s="262"/>
      <c r="BO136" s="242">
        <f t="shared" si="133"/>
        <v>0</v>
      </c>
      <c r="BP136" s="1231">
        <f t="shared" si="134"/>
        <v>149.85</v>
      </c>
      <c r="BQ136" s="243"/>
      <c r="BR136" s="110">
        <v>2997</v>
      </c>
      <c r="BS136" s="226">
        <v>44834</v>
      </c>
      <c r="BT136" s="110">
        <f>BR136</f>
        <v>2997</v>
      </c>
      <c r="BU136" s="263"/>
      <c r="BV136" s="110"/>
      <c r="BW136" s="348"/>
      <c r="BX136" s="110"/>
      <c r="BY136" s="263"/>
      <c r="BZ136" s="110"/>
      <c r="CA136" s="263"/>
      <c r="CB136" s="110"/>
      <c r="CC136" s="263"/>
      <c r="CD136" s="110"/>
      <c r="CE136" s="226"/>
      <c r="CF136" s="110"/>
      <c r="CG136" s="263"/>
      <c r="CH136" s="110"/>
      <c r="CI136" s="226"/>
      <c r="CJ136" s="110"/>
      <c r="CK136" s="155">
        <v>1</v>
      </c>
      <c r="CL136" s="181" t="s">
        <v>1123</v>
      </c>
      <c r="CM136" s="181"/>
      <c r="CN136" s="207"/>
      <c r="CO136" s="207"/>
      <c r="CP136" s="155"/>
      <c r="CQ136" s="131"/>
      <c r="CR136" s="823" t="s">
        <v>1913</v>
      </c>
      <c r="CS136" s="116" t="str">
        <f t="shared" si="9"/>
        <v>Stefano</v>
      </c>
      <c r="CT136" s="820" t="b">
        <f t="shared" si="149"/>
        <v>0</v>
      </c>
      <c r="CU136" s="820" t="b">
        <f t="shared" si="150"/>
        <v>0</v>
      </c>
      <c r="CV136" s="116" t="str">
        <f t="shared" si="10"/>
        <v>Stefano</v>
      </c>
      <c r="CW136" s="181"/>
      <c r="CX136" s="779"/>
      <c r="CY136" s="729"/>
      <c r="CZ136" s="729"/>
      <c r="DA136" s="729"/>
      <c r="DB136" s="729"/>
      <c r="DC136" s="729"/>
      <c r="DD136" s="265"/>
      <c r="DE136" s="265"/>
      <c r="DF136" s="265"/>
      <c r="DG136" s="265"/>
      <c r="DH136" s="265"/>
      <c r="DI136" s="265"/>
      <c r="DJ136" s="265"/>
      <c r="DK136" s="265"/>
      <c r="DL136" s="265"/>
      <c r="DM136" s="265"/>
      <c r="DN136" s="265"/>
      <c r="DO136" s="265"/>
      <c r="DP136" s="265"/>
      <c r="DQ136" s="265"/>
      <c r="DR136" s="265"/>
      <c r="DS136" s="265"/>
      <c r="DT136" s="265"/>
    </row>
    <row r="137" spans="1:124" ht="30" customHeight="1">
      <c r="A137" s="228"/>
      <c r="B137" s="1314"/>
      <c r="C137" s="155">
        <f t="shared" si="154"/>
        <v>23</v>
      </c>
      <c r="D137" s="781">
        <v>1</v>
      </c>
      <c r="E137" s="781">
        <v>1</v>
      </c>
      <c r="F137" s="781">
        <v>1</v>
      </c>
      <c r="G137" s="112" t="s">
        <v>4126</v>
      </c>
      <c r="H137" s="112" t="s">
        <v>4127</v>
      </c>
      <c r="I137" s="1246" t="s">
        <v>4128</v>
      </c>
      <c r="J137" s="207" t="str">
        <f t="shared" si="0"/>
        <v>Cipriano Quadrano</v>
      </c>
      <c r="K137" s="156" t="s">
        <v>4129</v>
      </c>
      <c r="L137" s="131"/>
      <c r="M137" s="131" t="s">
        <v>4130</v>
      </c>
      <c r="N137" s="131" t="str">
        <f t="shared" si="1"/>
        <v>F.M.C. Comunicare</v>
      </c>
      <c r="O137" s="1297"/>
      <c r="P137" s="251"/>
      <c r="Q137" s="131"/>
      <c r="R137" s="252"/>
      <c r="S137" s="254"/>
      <c r="T137" s="346"/>
      <c r="U137" s="253"/>
      <c r="V137" s="253"/>
      <c r="W137" s="251"/>
      <c r="X137" s="131"/>
      <c r="Y137" s="251"/>
      <c r="Z137" s="251"/>
      <c r="AA137" s="251"/>
      <c r="AB137" s="255"/>
      <c r="AC137" s="256"/>
      <c r="AD137" s="121" t="s">
        <v>4131</v>
      </c>
      <c r="AE137" s="80">
        <f t="shared" si="156"/>
        <v>0</v>
      </c>
      <c r="AF137" s="257"/>
      <c r="AG137" s="155"/>
      <c r="AH137" s="155"/>
      <c r="AI137" s="155"/>
      <c r="AJ137" s="257"/>
      <c r="AK137" s="155"/>
      <c r="AL137" s="155"/>
      <c r="AM137" s="155"/>
      <c r="AN137" s="257"/>
      <c r="AO137" s="259"/>
      <c r="AP137" s="258"/>
      <c r="AQ137" s="258"/>
      <c r="AR137" s="211"/>
      <c r="AS137" s="259" t="s">
        <v>115</v>
      </c>
      <c r="AT137" s="259" t="s">
        <v>115</v>
      </c>
      <c r="AU137" s="259" t="s">
        <v>115</v>
      </c>
      <c r="AV137" s="211"/>
      <c r="AW137" s="259"/>
      <c r="AX137" s="259"/>
      <c r="AY137" s="259"/>
      <c r="AZ137" s="808">
        <f t="shared" si="100"/>
        <v>2997</v>
      </c>
      <c r="BA137" s="761">
        <f t="shared" si="98"/>
        <v>2997</v>
      </c>
      <c r="BB137" s="761">
        <f t="shared" si="4"/>
        <v>0</v>
      </c>
      <c r="BC137" s="262"/>
      <c r="BD137" s="824">
        <f>AZ137</f>
        <v>2997</v>
      </c>
      <c r="BE137" s="1231"/>
      <c r="BF137" s="827" t="s">
        <v>117</v>
      </c>
      <c r="BG137" s="98">
        <v>0</v>
      </c>
      <c r="BH137" s="262"/>
      <c r="BI137" s="242">
        <f t="shared" si="137"/>
        <v>0</v>
      </c>
      <c r="BJ137" s="1232">
        <f t="shared" si="152"/>
        <v>0</v>
      </c>
      <c r="BK137" s="244" t="s">
        <v>118</v>
      </c>
      <c r="BL137" s="1321" t="s">
        <v>152</v>
      </c>
      <c r="BM137" s="145">
        <v>0.05</v>
      </c>
      <c r="BN137" s="262"/>
      <c r="BO137" s="242">
        <f t="shared" si="133"/>
        <v>149.85</v>
      </c>
      <c r="BP137" s="1231">
        <f t="shared" si="134"/>
        <v>0</v>
      </c>
      <c r="BQ137" s="387" t="s">
        <v>1076</v>
      </c>
      <c r="BR137" s="110">
        <v>2997</v>
      </c>
      <c r="BS137" s="226">
        <v>44834</v>
      </c>
      <c r="BT137" s="110">
        <v>2997</v>
      </c>
      <c r="BU137" s="263"/>
      <c r="BV137" s="110"/>
      <c r="BW137" s="348"/>
      <c r="BX137" s="110"/>
      <c r="BY137" s="263"/>
      <c r="BZ137" s="110"/>
      <c r="CA137" s="263"/>
      <c r="CB137" s="110"/>
      <c r="CC137" s="263"/>
      <c r="CD137" s="110"/>
      <c r="CE137" s="226"/>
      <c r="CF137" s="110"/>
      <c r="CG137" s="263"/>
      <c r="CH137" s="110"/>
      <c r="CI137" s="226"/>
      <c r="CJ137" s="110"/>
      <c r="CK137" s="155">
        <v>1</v>
      </c>
      <c r="CL137" s="181" t="s">
        <v>1123</v>
      </c>
      <c r="CM137" s="181"/>
      <c r="CN137" s="207"/>
      <c r="CO137" s="155" t="s">
        <v>122</v>
      </c>
      <c r="CP137" s="155"/>
      <c r="CQ137" s="131" t="s">
        <v>1247</v>
      </c>
      <c r="CR137" s="823" t="s">
        <v>4132</v>
      </c>
      <c r="CS137" s="116" t="str">
        <f t="shared" si="9"/>
        <v>blackship</v>
      </c>
      <c r="CT137" s="820">
        <f t="shared" si="149"/>
        <v>0</v>
      </c>
      <c r="CU137" s="820">
        <f t="shared" si="150"/>
        <v>149.85</v>
      </c>
      <c r="CV137" s="116" t="str">
        <f t="shared" si="10"/>
        <v>Client Angel</v>
      </c>
      <c r="CW137" s="121">
        <v>1</v>
      </c>
      <c r="CX137" s="779"/>
      <c r="CY137" s="729"/>
      <c r="CZ137" s="729"/>
      <c r="DA137" s="729"/>
      <c r="DB137" s="729"/>
      <c r="DC137" s="729"/>
      <c r="DD137" s="265"/>
      <c r="DE137" s="265"/>
      <c r="DF137" s="265"/>
      <c r="DG137" s="265"/>
      <c r="DH137" s="265"/>
      <c r="DI137" s="265"/>
      <c r="DJ137" s="265"/>
      <c r="DK137" s="265"/>
      <c r="DL137" s="265"/>
      <c r="DM137" s="265"/>
      <c r="DN137" s="265"/>
      <c r="DO137" s="265"/>
      <c r="DP137" s="265"/>
      <c r="DQ137" s="265"/>
      <c r="DR137" s="265"/>
      <c r="DS137" s="265"/>
      <c r="DT137" s="265"/>
    </row>
    <row r="138" spans="1:124" ht="30" customHeight="1">
      <c r="A138" s="228"/>
      <c r="B138" s="1237"/>
      <c r="C138" s="155">
        <f t="shared" si="154"/>
        <v>24</v>
      </c>
      <c r="D138" s="781"/>
      <c r="E138" s="781"/>
      <c r="F138" s="781"/>
      <c r="G138" s="112" t="s">
        <v>290</v>
      </c>
      <c r="H138" s="112" t="s">
        <v>1196</v>
      </c>
      <c r="I138" s="207" t="s">
        <v>1197</v>
      </c>
      <c r="J138" s="207" t="str">
        <f t="shared" si="0"/>
        <v>Claudio Cosa</v>
      </c>
      <c r="K138" s="156">
        <v>3664825003</v>
      </c>
      <c r="L138" s="131"/>
      <c r="M138" s="131" t="s">
        <v>1198</v>
      </c>
      <c r="N138" s="131" t="str">
        <f t="shared" si="1"/>
        <v>Ido Promotion</v>
      </c>
      <c r="O138" s="1297"/>
      <c r="P138" s="251"/>
      <c r="Q138" s="131"/>
      <c r="R138" s="252"/>
      <c r="S138" s="254"/>
      <c r="T138" s="346"/>
      <c r="U138" s="253"/>
      <c r="V138" s="253"/>
      <c r="W138" s="251"/>
      <c r="X138" s="131"/>
      <c r="Y138" s="251"/>
      <c r="Z138" s="251"/>
      <c r="AA138" s="251"/>
      <c r="AB138" s="255"/>
      <c r="AC138" s="256"/>
      <c r="AD138" s="121"/>
      <c r="AE138" s="80">
        <f t="shared" si="156"/>
        <v>0</v>
      </c>
      <c r="AF138" s="257"/>
      <c r="AG138" s="155"/>
      <c r="AH138" s="155"/>
      <c r="AI138" s="155"/>
      <c r="AJ138" s="257"/>
      <c r="AK138" s="155"/>
      <c r="AL138" s="155"/>
      <c r="AM138" s="155"/>
      <c r="AN138" s="257"/>
      <c r="AO138" s="258"/>
      <c r="AP138" s="258"/>
      <c r="AQ138" s="258"/>
      <c r="AR138" s="211"/>
      <c r="AS138" s="258"/>
      <c r="AT138" s="258"/>
      <c r="AU138" s="258"/>
      <c r="AV138" s="211"/>
      <c r="AW138" s="1322" t="s">
        <v>27</v>
      </c>
      <c r="AX138" s="1322" t="s">
        <v>27</v>
      </c>
      <c r="AY138" s="259" t="s">
        <v>115</v>
      </c>
      <c r="AZ138" s="808">
        <f t="shared" si="100"/>
        <v>3497</v>
      </c>
      <c r="BA138" s="761">
        <f t="shared" si="98"/>
        <v>0</v>
      </c>
      <c r="BB138" s="761">
        <f t="shared" si="4"/>
        <v>3497</v>
      </c>
      <c r="BC138" s="262"/>
      <c r="BD138" s="824">
        <v>0</v>
      </c>
      <c r="BE138" s="1231">
        <v>3497</v>
      </c>
      <c r="BF138" s="392" t="s">
        <v>262</v>
      </c>
      <c r="BG138" s="145">
        <v>0.15</v>
      </c>
      <c r="BH138" s="262"/>
      <c r="BI138" s="242">
        <f t="shared" si="137"/>
        <v>0</v>
      </c>
      <c r="BJ138" s="1232">
        <f t="shared" si="152"/>
        <v>524.54999999999995</v>
      </c>
      <c r="BK138" s="772"/>
      <c r="BL138" s="826" t="s">
        <v>262</v>
      </c>
      <c r="BM138" s="145">
        <v>0.05</v>
      </c>
      <c r="BN138" s="262"/>
      <c r="BO138" s="242">
        <f t="shared" si="133"/>
        <v>0</v>
      </c>
      <c r="BP138" s="1231">
        <f t="shared" si="134"/>
        <v>174.85000000000002</v>
      </c>
      <c r="BQ138" s="243"/>
      <c r="BR138" s="110">
        <v>163.93</v>
      </c>
      <c r="BS138" s="226">
        <v>44834</v>
      </c>
      <c r="BT138" s="110"/>
      <c r="BU138" s="263"/>
      <c r="BV138" s="110">
        <v>1409.84</v>
      </c>
      <c r="BW138" s="348">
        <v>45044</v>
      </c>
      <c r="BX138" s="110"/>
      <c r="BY138" s="263"/>
      <c r="BZ138" s="110">
        <v>1923.23</v>
      </c>
      <c r="CA138" s="348">
        <v>45059</v>
      </c>
      <c r="CB138" s="110"/>
      <c r="CC138" s="263"/>
      <c r="CD138" s="110"/>
      <c r="CE138" s="226"/>
      <c r="CF138" s="110"/>
      <c r="CG138" s="263"/>
      <c r="CH138" s="110"/>
      <c r="CI138" s="226"/>
      <c r="CJ138" s="110"/>
      <c r="CK138" s="155">
        <v>1</v>
      </c>
      <c r="CL138" s="181" t="s">
        <v>1123</v>
      </c>
      <c r="CM138" s="181"/>
      <c r="CN138" s="207"/>
      <c r="CO138" s="207"/>
      <c r="CP138" s="155"/>
      <c r="CQ138" s="131" t="s">
        <v>1200</v>
      </c>
      <c r="CR138" s="823" t="s">
        <v>1199</v>
      </c>
      <c r="CS138" s="116" t="str">
        <f t="shared" si="9"/>
        <v>Pacci</v>
      </c>
      <c r="CT138" s="820" t="b">
        <f t="shared" si="149"/>
        <v>0</v>
      </c>
      <c r="CU138" s="820" t="b">
        <f t="shared" si="150"/>
        <v>0</v>
      </c>
      <c r="CV138" s="116" t="str">
        <f t="shared" si="10"/>
        <v>Pacci</v>
      </c>
      <c r="CW138" s="181"/>
      <c r="CX138" s="779"/>
      <c r="CY138" s="729"/>
      <c r="CZ138" s="729"/>
      <c r="DA138" s="729"/>
      <c r="DB138" s="729"/>
      <c r="DC138" s="729"/>
      <c r="DD138" s="265"/>
      <c r="DE138" s="265"/>
      <c r="DF138" s="265"/>
      <c r="DG138" s="265"/>
      <c r="DH138" s="265"/>
      <c r="DI138" s="265"/>
      <c r="DJ138" s="265"/>
      <c r="DK138" s="265"/>
      <c r="DL138" s="265"/>
      <c r="DM138" s="265"/>
      <c r="DN138" s="265"/>
      <c r="DO138" s="265"/>
      <c r="DP138" s="265"/>
      <c r="DQ138" s="265"/>
      <c r="DR138" s="265"/>
      <c r="DS138" s="265"/>
      <c r="DT138" s="265"/>
    </row>
    <row r="139" spans="1:124" ht="30" customHeight="1">
      <c r="A139" s="228"/>
      <c r="B139" s="331"/>
      <c r="C139" s="155">
        <f t="shared" si="154"/>
        <v>25</v>
      </c>
      <c r="D139" s="781"/>
      <c r="E139" s="781"/>
      <c r="F139" s="781"/>
      <c r="G139" s="112" t="s">
        <v>290</v>
      </c>
      <c r="H139" s="112" t="s">
        <v>4133</v>
      </c>
      <c r="I139" s="207" t="s">
        <v>4134</v>
      </c>
      <c r="J139" s="207" t="str">
        <f t="shared" si="0"/>
        <v>Claudio Givogre</v>
      </c>
      <c r="K139" s="156" t="s">
        <v>4135</v>
      </c>
      <c r="L139" s="204" t="s">
        <v>4136</v>
      </c>
      <c r="M139" s="131" t="s">
        <v>4137</v>
      </c>
      <c r="N139" s="131" t="str">
        <f t="shared" si="1"/>
        <v>Alba Consulting</v>
      </c>
      <c r="O139" s="1297"/>
      <c r="P139" s="251"/>
      <c r="Q139" s="131"/>
      <c r="R139" s="252"/>
      <c r="S139" s="254"/>
      <c r="T139" s="346"/>
      <c r="U139" s="253"/>
      <c r="V139" s="253"/>
      <c r="W139" s="251"/>
      <c r="X139" s="131"/>
      <c r="Y139" s="251"/>
      <c r="Z139" s="251"/>
      <c r="AA139" s="251"/>
      <c r="AB139" s="255"/>
      <c r="AC139" s="256"/>
      <c r="AD139" s="121"/>
      <c r="AE139" s="80" t="str">
        <f t="shared" si="156"/>
        <v>Inconto in azienda da loro il 17/10 con Matte e successivamente pagheranno</v>
      </c>
      <c r="AF139" s="257"/>
      <c r="AG139" s="155"/>
      <c r="AH139" s="155"/>
      <c r="AI139" s="155"/>
      <c r="AJ139" s="257"/>
      <c r="AK139" s="155"/>
      <c r="AL139" s="155"/>
      <c r="AM139" s="155"/>
      <c r="AN139" s="257"/>
      <c r="AO139" s="258"/>
      <c r="AP139" s="258"/>
      <c r="AQ139" s="258"/>
      <c r="AR139" s="211"/>
      <c r="AS139" s="258"/>
      <c r="AT139" s="258"/>
      <c r="AU139" s="258"/>
      <c r="AV139" s="211"/>
      <c r="AW139" s="259" t="s">
        <v>27</v>
      </c>
      <c r="AX139" s="259" t="s">
        <v>27</v>
      </c>
      <c r="AY139" s="259" t="s">
        <v>27</v>
      </c>
      <c r="AZ139" s="808">
        <f t="shared" si="100"/>
        <v>2997</v>
      </c>
      <c r="BA139" s="761">
        <f t="shared" si="98"/>
        <v>0</v>
      </c>
      <c r="BB139" s="761">
        <f t="shared" si="4"/>
        <v>2997</v>
      </c>
      <c r="BC139" s="262"/>
      <c r="BD139" s="824"/>
      <c r="BE139" s="1231">
        <v>2997</v>
      </c>
      <c r="BF139" s="392" t="s">
        <v>166</v>
      </c>
      <c r="BG139" s="145">
        <v>0.15</v>
      </c>
      <c r="BH139" s="262"/>
      <c r="BI139" s="242">
        <f t="shared" si="137"/>
        <v>0</v>
      </c>
      <c r="BJ139" s="1232">
        <f t="shared" si="152"/>
        <v>449.55</v>
      </c>
      <c r="BK139" s="772"/>
      <c r="BL139" s="826" t="s">
        <v>166</v>
      </c>
      <c r="BM139" s="145">
        <v>0.05</v>
      </c>
      <c r="BN139" s="262"/>
      <c r="BO139" s="242">
        <f t="shared" si="133"/>
        <v>0</v>
      </c>
      <c r="BP139" s="1231">
        <f t="shared" si="134"/>
        <v>149.85</v>
      </c>
      <c r="BQ139" s="243"/>
      <c r="BR139" s="110">
        <v>2997</v>
      </c>
      <c r="BS139" s="226">
        <v>44854</v>
      </c>
      <c r="BT139" s="110"/>
      <c r="BU139" s="263"/>
      <c r="BV139" s="110"/>
      <c r="BW139" s="348"/>
      <c r="BX139" s="110"/>
      <c r="BY139" s="263"/>
      <c r="BZ139" s="110"/>
      <c r="CA139" s="263"/>
      <c r="CB139" s="110"/>
      <c r="CC139" s="263"/>
      <c r="CD139" s="110"/>
      <c r="CE139" s="226"/>
      <c r="CF139" s="110"/>
      <c r="CG139" s="263"/>
      <c r="CH139" s="110"/>
      <c r="CI139" s="226"/>
      <c r="CJ139" s="110"/>
      <c r="CK139" s="155">
        <v>1</v>
      </c>
      <c r="CL139" s="181" t="s">
        <v>1123</v>
      </c>
      <c r="CM139" s="181"/>
      <c r="CN139" s="207"/>
      <c r="CO139" s="207"/>
      <c r="CP139" s="155"/>
      <c r="CQ139" s="131" t="s">
        <v>4138</v>
      </c>
      <c r="CR139" s="823" t="s">
        <v>4139</v>
      </c>
      <c r="CS139" s="116" t="str">
        <f t="shared" si="9"/>
        <v>Matteo</v>
      </c>
      <c r="CT139" s="820" t="b">
        <f t="shared" si="149"/>
        <v>0</v>
      </c>
      <c r="CU139" s="820" t="b">
        <f t="shared" si="150"/>
        <v>0</v>
      </c>
      <c r="CV139" s="116" t="str">
        <f t="shared" si="10"/>
        <v>Matteo</v>
      </c>
      <c r="CW139" s="181"/>
      <c r="CX139" s="779"/>
      <c r="CY139" s="729"/>
      <c r="CZ139" s="729"/>
      <c r="DA139" s="729"/>
      <c r="DB139" s="729"/>
      <c r="DC139" s="729"/>
      <c r="DD139" s="265"/>
      <c r="DE139" s="265"/>
      <c r="DF139" s="265"/>
      <c r="DG139" s="265"/>
      <c r="DH139" s="265"/>
      <c r="DI139" s="265"/>
      <c r="DJ139" s="265"/>
      <c r="DK139" s="265"/>
      <c r="DL139" s="265"/>
      <c r="DM139" s="265"/>
      <c r="DN139" s="265"/>
      <c r="DO139" s="265"/>
      <c r="DP139" s="265"/>
      <c r="DQ139" s="265"/>
      <c r="DR139" s="265"/>
      <c r="DS139" s="265"/>
      <c r="DT139" s="265"/>
    </row>
    <row r="140" spans="1:124" ht="30" customHeight="1">
      <c r="A140" s="228"/>
      <c r="B140" s="1237"/>
      <c r="C140" s="155">
        <f t="shared" si="154"/>
        <v>26</v>
      </c>
      <c r="D140" s="781">
        <v>1</v>
      </c>
      <c r="E140" s="781">
        <v>1</v>
      </c>
      <c r="F140" s="781">
        <v>1</v>
      </c>
      <c r="G140" s="112" t="s">
        <v>1325</v>
      </c>
      <c r="H140" s="112" t="s">
        <v>4140</v>
      </c>
      <c r="I140" s="1234" t="s">
        <v>4141</v>
      </c>
      <c r="J140" s="207" t="str">
        <f t="shared" si="0"/>
        <v>Corrado Oliveri</v>
      </c>
      <c r="K140" s="156">
        <v>3319803435</v>
      </c>
      <c r="L140" s="131"/>
      <c r="M140" s="131" t="s">
        <v>4142</v>
      </c>
      <c r="N140" s="131" t="str">
        <f t="shared" si="1"/>
        <v>Delta Savona</v>
      </c>
      <c r="O140" s="1297"/>
      <c r="P140" s="251"/>
      <c r="Q140" s="131"/>
      <c r="R140" s="252"/>
      <c r="S140" s="254"/>
      <c r="T140" s="346"/>
      <c r="U140" s="253"/>
      <c r="V140" s="253"/>
      <c r="W140" s="251"/>
      <c r="X140" s="131"/>
      <c r="Y140" s="251"/>
      <c r="Z140" s="251"/>
      <c r="AA140" s="251"/>
      <c r="AB140" s="255"/>
      <c r="AC140" s="256"/>
      <c r="AD140" s="121" t="s">
        <v>4143</v>
      </c>
      <c r="AE140" s="80">
        <f t="shared" si="156"/>
        <v>0</v>
      </c>
      <c r="AF140" s="257"/>
      <c r="AG140" s="155"/>
      <c r="AH140" s="155"/>
      <c r="AI140" s="155"/>
      <c r="AJ140" s="257"/>
      <c r="AK140" s="155"/>
      <c r="AL140" s="155"/>
      <c r="AM140" s="155"/>
      <c r="AN140" s="257"/>
      <c r="AO140" s="258"/>
      <c r="AP140" s="258"/>
      <c r="AQ140" s="258"/>
      <c r="AR140" s="211"/>
      <c r="AS140" s="259" t="s">
        <v>115</v>
      </c>
      <c r="AT140" s="259" t="s">
        <v>115</v>
      </c>
      <c r="AU140" s="259" t="s">
        <v>115</v>
      </c>
      <c r="AV140" s="211"/>
      <c r="AW140" s="124"/>
      <c r="AX140" s="124"/>
      <c r="AY140" s="124"/>
      <c r="AZ140" s="808">
        <f t="shared" si="100"/>
        <v>2997</v>
      </c>
      <c r="BA140" s="761">
        <f t="shared" si="98"/>
        <v>2997</v>
      </c>
      <c r="BB140" s="761">
        <f t="shared" si="4"/>
        <v>0</v>
      </c>
      <c r="BC140" s="262"/>
      <c r="BD140" s="824">
        <f t="shared" ref="BD140:BD148" si="158">AZ140</f>
        <v>2997</v>
      </c>
      <c r="BE140" s="1231"/>
      <c r="BF140" s="275" t="s">
        <v>117</v>
      </c>
      <c r="BG140" s="98">
        <v>0</v>
      </c>
      <c r="BH140" s="262"/>
      <c r="BI140" s="242">
        <f t="shared" si="137"/>
        <v>0</v>
      </c>
      <c r="BJ140" s="1232">
        <f t="shared" si="152"/>
        <v>0</v>
      </c>
      <c r="BK140" s="244" t="s">
        <v>118</v>
      </c>
      <c r="BL140" s="277" t="s">
        <v>152</v>
      </c>
      <c r="BM140" s="145">
        <v>0.05</v>
      </c>
      <c r="BN140" s="262"/>
      <c r="BO140" s="242">
        <f t="shared" si="133"/>
        <v>149.85</v>
      </c>
      <c r="BP140" s="1231">
        <f t="shared" si="134"/>
        <v>0</v>
      </c>
      <c r="BQ140" s="387" t="s">
        <v>1076</v>
      </c>
      <c r="BR140" s="110">
        <v>2997</v>
      </c>
      <c r="BS140" s="226">
        <v>44834</v>
      </c>
      <c r="BT140" s="110">
        <v>2997</v>
      </c>
      <c r="BU140" s="263"/>
      <c r="BV140" s="110"/>
      <c r="BW140" s="348"/>
      <c r="BX140" s="110"/>
      <c r="BY140" s="263"/>
      <c r="BZ140" s="110"/>
      <c r="CA140" s="263"/>
      <c r="CB140" s="110"/>
      <c r="CC140" s="263"/>
      <c r="CD140" s="110"/>
      <c r="CE140" s="226"/>
      <c r="CF140" s="110"/>
      <c r="CG140" s="263"/>
      <c r="CH140" s="110"/>
      <c r="CI140" s="226"/>
      <c r="CJ140" s="110"/>
      <c r="CK140" s="155">
        <v>1</v>
      </c>
      <c r="CL140" s="181" t="s">
        <v>1123</v>
      </c>
      <c r="CM140" s="181"/>
      <c r="CN140" s="207"/>
      <c r="CO140" s="155" t="s">
        <v>122</v>
      </c>
      <c r="CP140" s="155"/>
      <c r="CQ140" s="131" t="s">
        <v>4144</v>
      </c>
      <c r="CR140" s="823" t="s">
        <v>4145</v>
      </c>
      <c r="CS140" s="116" t="str">
        <f t="shared" si="9"/>
        <v>blackship</v>
      </c>
      <c r="CT140" s="820">
        <f t="shared" si="149"/>
        <v>0</v>
      </c>
      <c r="CU140" s="820">
        <f t="shared" si="150"/>
        <v>149.85</v>
      </c>
      <c r="CV140" s="116" t="str">
        <f t="shared" si="10"/>
        <v>Client Angel</v>
      </c>
      <c r="CW140" s="121">
        <v>1</v>
      </c>
      <c r="CX140" s="779"/>
      <c r="CY140" s="729"/>
      <c r="CZ140" s="729"/>
      <c r="DA140" s="729"/>
      <c r="DB140" s="729"/>
      <c r="DC140" s="729"/>
      <c r="DD140" s="265"/>
      <c r="DE140" s="265"/>
      <c r="DF140" s="265"/>
      <c r="DG140" s="265"/>
      <c r="DH140" s="265"/>
      <c r="DI140" s="265"/>
      <c r="DJ140" s="265"/>
      <c r="DK140" s="265"/>
      <c r="DL140" s="265"/>
      <c r="DM140" s="265"/>
      <c r="DN140" s="265"/>
      <c r="DO140" s="265"/>
      <c r="DP140" s="265"/>
      <c r="DQ140" s="265"/>
      <c r="DR140" s="265"/>
      <c r="DS140" s="265"/>
      <c r="DT140" s="265"/>
    </row>
    <row r="141" spans="1:124" ht="30" customHeight="1">
      <c r="A141" s="228"/>
      <c r="B141" s="1237"/>
      <c r="C141" s="155">
        <f t="shared" si="154"/>
        <v>27</v>
      </c>
      <c r="D141" s="781">
        <v>1</v>
      </c>
      <c r="E141" s="781">
        <v>1</v>
      </c>
      <c r="F141" s="781"/>
      <c r="G141" s="112" t="s">
        <v>246</v>
      </c>
      <c r="H141" s="112" t="s">
        <v>1261</v>
      </c>
      <c r="I141" s="1296" t="s">
        <v>1262</v>
      </c>
      <c r="J141" s="207" t="str">
        <f t="shared" si="0"/>
        <v>Marco Ciotoli</v>
      </c>
      <c r="K141" s="156">
        <v>3920150975</v>
      </c>
      <c r="L141" s="207" t="s">
        <v>1263</v>
      </c>
      <c r="M141" s="131"/>
      <c r="N141" s="131" t="str">
        <f t="shared" si="1"/>
        <v>Kromin</v>
      </c>
      <c r="O141" s="1297"/>
      <c r="P141" s="251"/>
      <c r="Q141" s="131"/>
      <c r="R141" s="252"/>
      <c r="S141" s="254"/>
      <c r="T141" s="346"/>
      <c r="U141" s="253"/>
      <c r="V141" s="253"/>
      <c r="W141" s="251"/>
      <c r="X141" s="131"/>
      <c r="Y141" s="251"/>
      <c r="Z141" s="251"/>
      <c r="AA141" s="251"/>
      <c r="AB141" s="255"/>
      <c r="AC141" s="256"/>
      <c r="AD141" s="121" t="s">
        <v>1265</v>
      </c>
      <c r="AE141" s="80" t="str">
        <f t="shared" si="156"/>
        <v>p/to 50% subito, saldo entro venerdì 28 ottobre</v>
      </c>
      <c r="AF141" s="257"/>
      <c r="AG141" s="155"/>
      <c r="AH141" s="155"/>
      <c r="AI141" s="155"/>
      <c r="AJ141" s="257"/>
      <c r="AK141" s="155"/>
      <c r="AL141" s="155"/>
      <c r="AM141" s="155"/>
      <c r="AN141" s="257"/>
      <c r="AO141" s="258"/>
      <c r="AP141" s="258"/>
      <c r="AQ141" s="258"/>
      <c r="AR141" s="211"/>
      <c r="AS141" s="259" t="s">
        <v>115</v>
      </c>
      <c r="AT141" s="259" t="s">
        <v>115</v>
      </c>
      <c r="AU141" s="395" t="s">
        <v>194</v>
      </c>
      <c r="AV141" s="211"/>
      <c r="AW141" s="124"/>
      <c r="AX141" s="124"/>
      <c r="AY141" s="121" t="s">
        <v>115</v>
      </c>
      <c r="AZ141" s="808">
        <f t="shared" si="100"/>
        <v>2797</v>
      </c>
      <c r="BA141" s="761">
        <f t="shared" si="98"/>
        <v>2797</v>
      </c>
      <c r="BB141" s="761">
        <f t="shared" si="4"/>
        <v>0</v>
      </c>
      <c r="BC141" s="262"/>
      <c r="BD141" s="824">
        <f t="shared" si="158"/>
        <v>2797</v>
      </c>
      <c r="BE141" s="1231"/>
      <c r="BF141" s="392" t="s">
        <v>262</v>
      </c>
      <c r="BG141" s="145">
        <v>0.15</v>
      </c>
      <c r="BH141" s="262"/>
      <c r="BI141" s="242">
        <f t="shared" si="137"/>
        <v>419.55</v>
      </c>
      <c r="BJ141" s="1232">
        <f t="shared" si="152"/>
        <v>0</v>
      </c>
      <c r="BK141" s="772" t="s">
        <v>1205</v>
      </c>
      <c r="BL141" s="826" t="s">
        <v>262</v>
      </c>
      <c r="BM141" s="145">
        <v>0.05</v>
      </c>
      <c r="BN141" s="262"/>
      <c r="BO141" s="242">
        <f t="shared" si="133"/>
        <v>139.85</v>
      </c>
      <c r="BP141" s="1231">
        <f t="shared" si="134"/>
        <v>0</v>
      </c>
      <c r="BQ141" s="772" t="s">
        <v>1205</v>
      </c>
      <c r="BR141" s="110">
        <v>1398.5</v>
      </c>
      <c r="BS141" s="226">
        <v>44841</v>
      </c>
      <c r="BT141" s="110">
        <v>1398.5</v>
      </c>
      <c r="BU141" s="263"/>
      <c r="BV141" s="110">
        <v>1398.5</v>
      </c>
      <c r="BW141" s="348">
        <v>44867</v>
      </c>
      <c r="BX141" s="110">
        <v>1398.5</v>
      </c>
      <c r="BY141" s="263"/>
      <c r="BZ141" s="110"/>
      <c r="CA141" s="263"/>
      <c r="CB141" s="110"/>
      <c r="CC141" s="263"/>
      <c r="CD141" s="110"/>
      <c r="CE141" s="226"/>
      <c r="CF141" s="110"/>
      <c r="CG141" s="263"/>
      <c r="CH141" s="110"/>
      <c r="CI141" s="226"/>
      <c r="CJ141" s="110"/>
      <c r="CK141" s="155"/>
      <c r="CL141" s="181"/>
      <c r="CM141" s="181"/>
      <c r="CN141" s="207"/>
      <c r="CO141" s="155" t="s">
        <v>122</v>
      </c>
      <c r="CP141" s="155"/>
      <c r="CQ141" s="131"/>
      <c r="CR141" s="823" t="s">
        <v>1264</v>
      </c>
      <c r="CS141" s="116" t="str">
        <f t="shared" si="9"/>
        <v>Pacci</v>
      </c>
      <c r="CT141" s="1311">
        <f t="shared" si="149"/>
        <v>419.55</v>
      </c>
      <c r="CU141" s="1311">
        <f t="shared" si="150"/>
        <v>139.85</v>
      </c>
      <c r="CV141" s="116" t="str">
        <f t="shared" si="10"/>
        <v>Pacci</v>
      </c>
      <c r="CW141" s="181"/>
      <c r="CX141" s="779"/>
      <c r="CY141" s="729"/>
      <c r="CZ141" s="729"/>
      <c r="DA141" s="729"/>
      <c r="DB141" s="729"/>
      <c r="DC141" s="729"/>
      <c r="DD141" s="265"/>
      <c r="DE141" s="265"/>
      <c r="DF141" s="265"/>
      <c r="DG141" s="265"/>
      <c r="DH141" s="265"/>
      <c r="DI141" s="265"/>
      <c r="DJ141" s="265"/>
      <c r="DK141" s="265"/>
      <c r="DL141" s="265"/>
      <c r="DM141" s="265"/>
      <c r="DN141" s="265"/>
      <c r="DO141" s="265"/>
      <c r="DP141" s="265"/>
      <c r="DQ141" s="265"/>
      <c r="DR141" s="265"/>
      <c r="DS141" s="265"/>
      <c r="DT141" s="265"/>
    </row>
    <row r="142" spans="1:124" ht="30" customHeight="1">
      <c r="A142" s="228"/>
      <c r="B142" s="1237"/>
      <c r="C142" s="155">
        <f t="shared" si="154"/>
        <v>28</v>
      </c>
      <c r="D142" s="781">
        <v>1</v>
      </c>
      <c r="E142" s="781">
        <v>1</v>
      </c>
      <c r="F142" s="781">
        <v>1</v>
      </c>
      <c r="G142" s="112" t="s">
        <v>4146</v>
      </c>
      <c r="H142" s="112" t="s">
        <v>2394</v>
      </c>
      <c r="I142" s="1234" t="s">
        <v>4147</v>
      </c>
      <c r="J142" s="207" t="str">
        <f t="shared" si="0"/>
        <v>Emanuele Esposito</v>
      </c>
      <c r="K142" s="156"/>
      <c r="L142" s="207" t="s">
        <v>1263</v>
      </c>
      <c r="M142" s="131"/>
      <c r="N142" s="131" t="str">
        <f t="shared" si="1"/>
        <v>Kromin</v>
      </c>
      <c r="O142" s="1297"/>
      <c r="P142" s="251"/>
      <c r="Q142" s="131"/>
      <c r="R142" s="252"/>
      <c r="S142" s="254"/>
      <c r="T142" s="346"/>
      <c r="U142" s="253"/>
      <c r="V142" s="253"/>
      <c r="W142" s="251"/>
      <c r="X142" s="131"/>
      <c r="Y142" s="251"/>
      <c r="Z142" s="251"/>
      <c r="AA142" s="251"/>
      <c r="AB142" s="255"/>
      <c r="AC142" s="256"/>
      <c r="AD142" s="121" t="s">
        <v>1265</v>
      </c>
      <c r="AE142" s="80" t="str">
        <f t="shared" si="156"/>
        <v>p/to 50% subito, saldo entro venerdì 28 ottobre</v>
      </c>
      <c r="AF142" s="257"/>
      <c r="AG142" s="155"/>
      <c r="AH142" s="155"/>
      <c r="AI142" s="155"/>
      <c r="AJ142" s="257"/>
      <c r="AK142" s="155"/>
      <c r="AL142" s="155"/>
      <c r="AM142" s="155"/>
      <c r="AN142" s="257"/>
      <c r="AO142" s="258"/>
      <c r="AP142" s="258"/>
      <c r="AQ142" s="258"/>
      <c r="AR142" s="211"/>
      <c r="AS142" s="259" t="s">
        <v>115</v>
      </c>
      <c r="AT142" s="259" t="s">
        <v>115</v>
      </c>
      <c r="AU142" s="259" t="s">
        <v>115</v>
      </c>
      <c r="AV142" s="211"/>
      <c r="AW142" s="124"/>
      <c r="AX142" s="124"/>
      <c r="AY142" s="124"/>
      <c r="AZ142" s="808">
        <f t="shared" si="100"/>
        <v>2797</v>
      </c>
      <c r="BA142" s="761">
        <f t="shared" si="98"/>
        <v>2797</v>
      </c>
      <c r="BB142" s="761">
        <f t="shared" si="4"/>
        <v>0</v>
      </c>
      <c r="BC142" s="262"/>
      <c r="BD142" s="824">
        <f t="shared" si="158"/>
        <v>2797</v>
      </c>
      <c r="BE142" s="1231"/>
      <c r="BF142" s="392" t="s">
        <v>262</v>
      </c>
      <c r="BG142" s="145">
        <v>0.15</v>
      </c>
      <c r="BH142" s="262"/>
      <c r="BI142" s="242">
        <f t="shared" si="137"/>
        <v>419.55</v>
      </c>
      <c r="BJ142" s="1232">
        <f t="shared" si="152"/>
        <v>0</v>
      </c>
      <c r="BK142" s="772" t="s">
        <v>1205</v>
      </c>
      <c r="BL142" s="826" t="s">
        <v>262</v>
      </c>
      <c r="BM142" s="145">
        <v>0.05</v>
      </c>
      <c r="BN142" s="262"/>
      <c r="BO142" s="242">
        <f t="shared" si="133"/>
        <v>139.85</v>
      </c>
      <c r="BP142" s="1231">
        <f t="shared" si="134"/>
        <v>0</v>
      </c>
      <c r="BQ142" s="772" t="s">
        <v>1205</v>
      </c>
      <c r="BR142" s="110">
        <v>1398.5</v>
      </c>
      <c r="BS142" s="226">
        <v>44841</v>
      </c>
      <c r="BT142" s="110">
        <v>1398.5</v>
      </c>
      <c r="BU142" s="263"/>
      <c r="BV142" s="110">
        <v>1398.5</v>
      </c>
      <c r="BW142" s="348">
        <v>44867</v>
      </c>
      <c r="BX142" s="110">
        <v>1398.5</v>
      </c>
      <c r="BY142" s="263"/>
      <c r="BZ142" s="110"/>
      <c r="CA142" s="263"/>
      <c r="CB142" s="110"/>
      <c r="CC142" s="263"/>
      <c r="CD142" s="110"/>
      <c r="CE142" s="226"/>
      <c r="CF142" s="110"/>
      <c r="CG142" s="263"/>
      <c r="CH142" s="110"/>
      <c r="CI142" s="226"/>
      <c r="CJ142" s="110"/>
      <c r="CK142" s="155"/>
      <c r="CL142" s="181"/>
      <c r="CM142" s="181"/>
      <c r="CN142" s="207"/>
      <c r="CO142" s="155" t="s">
        <v>122</v>
      </c>
      <c r="CP142" s="155"/>
      <c r="CQ142" s="131"/>
      <c r="CR142" s="823" t="s">
        <v>1264</v>
      </c>
      <c r="CS142" s="116" t="str">
        <f t="shared" si="9"/>
        <v>Pacci</v>
      </c>
      <c r="CT142" s="1311">
        <f t="shared" si="149"/>
        <v>419.55</v>
      </c>
      <c r="CU142" s="1311">
        <f t="shared" si="150"/>
        <v>139.85</v>
      </c>
      <c r="CV142" s="116" t="str">
        <f t="shared" si="10"/>
        <v>Pacci</v>
      </c>
      <c r="CW142" s="181"/>
      <c r="CX142" s="779"/>
      <c r="CY142" s="729"/>
      <c r="CZ142" s="729"/>
      <c r="DA142" s="729"/>
      <c r="DB142" s="729"/>
      <c r="DC142" s="729"/>
      <c r="DD142" s="265"/>
      <c r="DE142" s="265"/>
      <c r="DF142" s="265"/>
      <c r="DG142" s="265"/>
      <c r="DH142" s="265"/>
      <c r="DI142" s="265"/>
      <c r="DJ142" s="265"/>
      <c r="DK142" s="265"/>
      <c r="DL142" s="265"/>
      <c r="DM142" s="265"/>
      <c r="DN142" s="265"/>
      <c r="DO142" s="265"/>
      <c r="DP142" s="265"/>
      <c r="DQ142" s="265"/>
      <c r="DR142" s="265"/>
      <c r="DS142" s="265"/>
      <c r="DT142" s="265"/>
    </row>
    <row r="143" spans="1:124" ht="30" customHeight="1">
      <c r="A143" s="228"/>
      <c r="B143" s="1237"/>
      <c r="C143" s="155">
        <f t="shared" si="154"/>
        <v>29</v>
      </c>
      <c r="D143" s="781">
        <v>1</v>
      </c>
      <c r="E143" s="781">
        <v>1</v>
      </c>
      <c r="F143" s="781">
        <v>1</v>
      </c>
      <c r="G143" s="112" t="s">
        <v>2175</v>
      </c>
      <c r="H143" s="112" t="s">
        <v>4148</v>
      </c>
      <c r="I143" s="1296" t="s">
        <v>4149</v>
      </c>
      <c r="J143" s="207" t="str">
        <f t="shared" si="0"/>
        <v>Vincenzo Ruffa</v>
      </c>
      <c r="K143" s="156"/>
      <c r="L143" s="207" t="s">
        <v>1263</v>
      </c>
      <c r="M143" s="131"/>
      <c r="N143" s="131" t="str">
        <f t="shared" si="1"/>
        <v>Kromin</v>
      </c>
      <c r="O143" s="1297"/>
      <c r="P143" s="251"/>
      <c r="Q143" s="131"/>
      <c r="R143" s="252"/>
      <c r="S143" s="254"/>
      <c r="T143" s="346"/>
      <c r="U143" s="253"/>
      <c r="V143" s="253"/>
      <c r="W143" s="251"/>
      <c r="X143" s="131"/>
      <c r="Y143" s="251"/>
      <c r="Z143" s="251"/>
      <c r="AA143" s="251"/>
      <c r="AB143" s="255"/>
      <c r="AC143" s="256"/>
      <c r="AD143" s="121" t="s">
        <v>1265</v>
      </c>
      <c r="AE143" s="80" t="str">
        <f t="shared" si="156"/>
        <v>p/to 50% subito, saldo entro venerdì 28 ottobre</v>
      </c>
      <c r="AF143" s="257"/>
      <c r="AG143" s="155"/>
      <c r="AH143" s="155"/>
      <c r="AI143" s="155"/>
      <c r="AJ143" s="257"/>
      <c r="AK143" s="155"/>
      <c r="AL143" s="155"/>
      <c r="AM143" s="155"/>
      <c r="AN143" s="257"/>
      <c r="AO143" s="258"/>
      <c r="AP143" s="258"/>
      <c r="AQ143" s="258"/>
      <c r="AR143" s="211"/>
      <c r="AS143" s="259" t="s">
        <v>115</v>
      </c>
      <c r="AT143" s="259" t="s">
        <v>115</v>
      </c>
      <c r="AU143" s="259" t="s">
        <v>115</v>
      </c>
      <c r="AV143" s="211"/>
      <c r="AW143" s="124"/>
      <c r="AX143" s="124"/>
      <c r="AY143" s="124"/>
      <c r="AZ143" s="808">
        <f t="shared" si="100"/>
        <v>2797</v>
      </c>
      <c r="BA143" s="761">
        <f t="shared" si="98"/>
        <v>2797</v>
      </c>
      <c r="BB143" s="761">
        <f t="shared" si="4"/>
        <v>0</v>
      </c>
      <c r="BC143" s="262"/>
      <c r="BD143" s="824">
        <f t="shared" si="158"/>
        <v>2797</v>
      </c>
      <c r="BE143" s="1231"/>
      <c r="BF143" s="392" t="s">
        <v>262</v>
      </c>
      <c r="BG143" s="145">
        <v>0.15</v>
      </c>
      <c r="BH143" s="262"/>
      <c r="BI143" s="242">
        <f t="shared" si="137"/>
        <v>419.55</v>
      </c>
      <c r="BJ143" s="1232">
        <f t="shared" si="152"/>
        <v>0</v>
      </c>
      <c r="BK143" s="772" t="s">
        <v>1205</v>
      </c>
      <c r="BL143" s="826" t="s">
        <v>262</v>
      </c>
      <c r="BM143" s="145">
        <v>0.05</v>
      </c>
      <c r="BN143" s="262"/>
      <c r="BO143" s="242">
        <f t="shared" si="133"/>
        <v>139.85</v>
      </c>
      <c r="BP143" s="1231">
        <f t="shared" si="134"/>
        <v>0</v>
      </c>
      <c r="BQ143" s="772" t="s">
        <v>1205</v>
      </c>
      <c r="BR143" s="110">
        <v>1398.5</v>
      </c>
      <c r="BS143" s="226">
        <v>44841</v>
      </c>
      <c r="BT143" s="110">
        <v>1398.5</v>
      </c>
      <c r="BU143" s="263"/>
      <c r="BV143" s="110">
        <v>1398.5</v>
      </c>
      <c r="BW143" s="348">
        <v>44867</v>
      </c>
      <c r="BX143" s="110">
        <v>1398.5</v>
      </c>
      <c r="BY143" s="263"/>
      <c r="BZ143" s="110"/>
      <c r="CA143" s="263"/>
      <c r="CB143" s="110"/>
      <c r="CC143" s="263"/>
      <c r="CD143" s="110"/>
      <c r="CE143" s="226"/>
      <c r="CF143" s="110"/>
      <c r="CG143" s="263"/>
      <c r="CH143" s="110"/>
      <c r="CI143" s="226"/>
      <c r="CJ143" s="110"/>
      <c r="CK143" s="155"/>
      <c r="CL143" s="181"/>
      <c r="CM143" s="181"/>
      <c r="CN143" s="207"/>
      <c r="CO143" s="155" t="s">
        <v>122</v>
      </c>
      <c r="CP143" s="155"/>
      <c r="CQ143" s="131"/>
      <c r="CR143" s="823" t="s">
        <v>1264</v>
      </c>
      <c r="CS143" s="116" t="str">
        <f t="shared" si="9"/>
        <v>Pacci</v>
      </c>
      <c r="CT143" s="1311">
        <f t="shared" si="149"/>
        <v>419.55</v>
      </c>
      <c r="CU143" s="1311">
        <f t="shared" si="150"/>
        <v>139.85</v>
      </c>
      <c r="CV143" s="116" t="str">
        <f t="shared" si="10"/>
        <v>Pacci</v>
      </c>
      <c r="CW143" s="181"/>
      <c r="CX143" s="779"/>
      <c r="CY143" s="729"/>
      <c r="CZ143" s="729"/>
      <c r="DA143" s="729"/>
      <c r="DB143" s="729"/>
      <c r="DC143" s="729"/>
      <c r="DD143" s="265"/>
      <c r="DE143" s="265"/>
      <c r="DF143" s="265"/>
      <c r="DG143" s="265"/>
      <c r="DH143" s="265"/>
      <c r="DI143" s="265"/>
      <c r="DJ143" s="265"/>
      <c r="DK143" s="265"/>
      <c r="DL143" s="265"/>
      <c r="DM143" s="265"/>
      <c r="DN143" s="265"/>
      <c r="DO143" s="265"/>
      <c r="DP143" s="265"/>
      <c r="DQ143" s="265"/>
      <c r="DR143" s="265"/>
      <c r="DS143" s="265"/>
      <c r="DT143" s="265"/>
    </row>
    <row r="144" spans="1:124" ht="30" customHeight="1">
      <c r="A144" s="228"/>
      <c r="B144" s="1237"/>
      <c r="C144" s="155">
        <f t="shared" si="154"/>
        <v>30</v>
      </c>
      <c r="D144" s="781">
        <v>1</v>
      </c>
      <c r="E144" s="781">
        <v>1</v>
      </c>
      <c r="F144" s="781">
        <v>1</v>
      </c>
      <c r="G144" s="112" t="s">
        <v>4150</v>
      </c>
      <c r="H144" s="112" t="s">
        <v>4151</v>
      </c>
      <c r="I144" s="1234" t="s">
        <v>4152</v>
      </c>
      <c r="J144" s="207" t="str">
        <f t="shared" si="0"/>
        <v>Pasquale Gallo</v>
      </c>
      <c r="K144" s="156"/>
      <c r="L144" s="207" t="s">
        <v>1263</v>
      </c>
      <c r="M144" s="131"/>
      <c r="N144" s="131" t="str">
        <f t="shared" si="1"/>
        <v>Kromin</v>
      </c>
      <c r="O144" s="1297"/>
      <c r="P144" s="251"/>
      <c r="Q144" s="131"/>
      <c r="R144" s="252"/>
      <c r="S144" s="254"/>
      <c r="T144" s="346"/>
      <c r="U144" s="253"/>
      <c r="V144" s="253"/>
      <c r="W144" s="251"/>
      <c r="X144" s="131"/>
      <c r="Y144" s="251"/>
      <c r="Z144" s="251"/>
      <c r="AA144" s="251"/>
      <c r="AB144" s="255"/>
      <c r="AC144" s="256"/>
      <c r="AD144" s="121" t="s">
        <v>1265</v>
      </c>
      <c r="AE144" s="80" t="str">
        <f t="shared" si="156"/>
        <v>p/to 50% subito, saldo entro venerdì 28 ottobre</v>
      </c>
      <c r="AF144" s="257"/>
      <c r="AG144" s="155"/>
      <c r="AH144" s="155"/>
      <c r="AI144" s="155"/>
      <c r="AJ144" s="257"/>
      <c r="AK144" s="155"/>
      <c r="AL144" s="155"/>
      <c r="AM144" s="155"/>
      <c r="AN144" s="257"/>
      <c r="AO144" s="258"/>
      <c r="AP144" s="258"/>
      <c r="AQ144" s="258"/>
      <c r="AR144" s="211"/>
      <c r="AS144" s="259" t="s">
        <v>115</v>
      </c>
      <c r="AT144" s="259" t="s">
        <v>115</v>
      </c>
      <c r="AU144" s="259" t="s">
        <v>115</v>
      </c>
      <c r="AV144" s="211"/>
      <c r="AW144" s="124"/>
      <c r="AX144" s="124"/>
      <c r="AY144" s="124"/>
      <c r="AZ144" s="808">
        <f t="shared" si="100"/>
        <v>2797</v>
      </c>
      <c r="BA144" s="761">
        <f t="shared" si="98"/>
        <v>2797</v>
      </c>
      <c r="BB144" s="761">
        <f t="shared" si="4"/>
        <v>0</v>
      </c>
      <c r="BC144" s="262"/>
      <c r="BD144" s="824">
        <f t="shared" si="158"/>
        <v>2797</v>
      </c>
      <c r="BE144" s="1231"/>
      <c r="BF144" s="392" t="s">
        <v>262</v>
      </c>
      <c r="BG144" s="145">
        <v>0.15</v>
      </c>
      <c r="BH144" s="262"/>
      <c r="BI144" s="242">
        <f t="shared" si="137"/>
        <v>419.55</v>
      </c>
      <c r="BJ144" s="1232">
        <f t="shared" si="152"/>
        <v>0</v>
      </c>
      <c r="BK144" s="772" t="s">
        <v>1205</v>
      </c>
      <c r="BL144" s="826" t="s">
        <v>262</v>
      </c>
      <c r="BM144" s="145">
        <v>0.05</v>
      </c>
      <c r="BN144" s="262"/>
      <c r="BO144" s="242">
        <f t="shared" si="133"/>
        <v>139.85</v>
      </c>
      <c r="BP144" s="1231">
        <f t="shared" si="134"/>
        <v>0</v>
      </c>
      <c r="BQ144" s="772" t="s">
        <v>1205</v>
      </c>
      <c r="BR144" s="110">
        <v>1398.5</v>
      </c>
      <c r="BS144" s="226">
        <v>44841</v>
      </c>
      <c r="BT144" s="110">
        <v>1398.5</v>
      </c>
      <c r="BU144" s="263"/>
      <c r="BV144" s="110">
        <v>1398.5</v>
      </c>
      <c r="BW144" s="348">
        <v>44867</v>
      </c>
      <c r="BX144" s="110">
        <v>1398.5</v>
      </c>
      <c r="BY144" s="263"/>
      <c r="BZ144" s="110"/>
      <c r="CA144" s="263"/>
      <c r="CB144" s="110"/>
      <c r="CC144" s="263"/>
      <c r="CD144" s="110"/>
      <c r="CE144" s="226"/>
      <c r="CF144" s="110"/>
      <c r="CG144" s="263"/>
      <c r="CH144" s="110"/>
      <c r="CI144" s="226"/>
      <c r="CJ144" s="110"/>
      <c r="CK144" s="155"/>
      <c r="CL144" s="181"/>
      <c r="CM144" s="181"/>
      <c r="CN144" s="207"/>
      <c r="CO144" s="155" t="s">
        <v>122</v>
      </c>
      <c r="CP144" s="155"/>
      <c r="CQ144" s="131"/>
      <c r="CR144" s="823" t="s">
        <v>1264</v>
      </c>
      <c r="CS144" s="116" t="str">
        <f t="shared" si="9"/>
        <v>Pacci</v>
      </c>
      <c r="CT144" s="1311">
        <f t="shared" si="149"/>
        <v>419.55</v>
      </c>
      <c r="CU144" s="1311">
        <f t="shared" si="150"/>
        <v>139.85</v>
      </c>
      <c r="CV144" s="116" t="str">
        <f t="shared" si="10"/>
        <v>Pacci</v>
      </c>
      <c r="CW144" s="181"/>
      <c r="CX144" s="779"/>
      <c r="CY144" s="729"/>
      <c r="CZ144" s="729"/>
      <c r="DA144" s="729"/>
      <c r="DB144" s="729"/>
      <c r="DC144" s="729"/>
      <c r="DD144" s="265"/>
      <c r="DE144" s="265"/>
      <c r="DF144" s="265"/>
      <c r="DG144" s="265"/>
      <c r="DH144" s="265"/>
      <c r="DI144" s="265"/>
      <c r="DJ144" s="265"/>
      <c r="DK144" s="265"/>
      <c r="DL144" s="265"/>
      <c r="DM144" s="265"/>
      <c r="DN144" s="265"/>
      <c r="DO144" s="265"/>
      <c r="DP144" s="265"/>
      <c r="DQ144" s="265"/>
      <c r="DR144" s="265"/>
      <c r="DS144" s="265"/>
      <c r="DT144" s="265"/>
    </row>
    <row r="145" spans="1:124" ht="30" customHeight="1">
      <c r="A145" s="228"/>
      <c r="B145" s="1314"/>
      <c r="C145" s="155">
        <f t="shared" si="154"/>
        <v>31</v>
      </c>
      <c r="D145" s="781">
        <v>1</v>
      </c>
      <c r="E145" s="781">
        <v>1</v>
      </c>
      <c r="F145" s="781">
        <v>1</v>
      </c>
      <c r="G145" s="112" t="s">
        <v>300</v>
      </c>
      <c r="H145" s="112" t="s">
        <v>2481</v>
      </c>
      <c r="I145" s="1234" t="s">
        <v>4153</v>
      </c>
      <c r="J145" s="207" t="str">
        <f t="shared" si="0"/>
        <v>Cristina Pezzaglia</v>
      </c>
      <c r="K145" s="156">
        <v>3402661446</v>
      </c>
      <c r="L145" s="131"/>
      <c r="M145" s="131" t="s">
        <v>1321</v>
      </c>
      <c r="N145" s="131" t="str">
        <f t="shared" si="1"/>
        <v>Studio Associato Mascheroni Pezzaglia Architetti</v>
      </c>
      <c r="O145" s="1297"/>
      <c r="P145" s="251"/>
      <c r="Q145" s="131"/>
      <c r="R145" s="252"/>
      <c r="S145" s="254"/>
      <c r="T145" s="346"/>
      <c r="U145" s="253"/>
      <c r="V145" s="253"/>
      <c r="W145" s="251"/>
      <c r="X145" s="131"/>
      <c r="Y145" s="251"/>
      <c r="Z145" s="251"/>
      <c r="AA145" s="251"/>
      <c r="AB145" s="255"/>
      <c r="AC145" s="256"/>
      <c r="AD145" s="121" t="s">
        <v>4154</v>
      </c>
      <c r="AE145" s="80">
        <f t="shared" si="156"/>
        <v>0</v>
      </c>
      <c r="AF145" s="257"/>
      <c r="AG145" s="155"/>
      <c r="AH145" s="155"/>
      <c r="AI145" s="155"/>
      <c r="AJ145" s="257"/>
      <c r="AK145" s="155"/>
      <c r="AL145" s="155"/>
      <c r="AM145" s="155"/>
      <c r="AN145" s="257"/>
      <c r="AO145" s="258"/>
      <c r="AP145" s="258"/>
      <c r="AQ145" s="258"/>
      <c r="AR145" s="211"/>
      <c r="AS145" s="259" t="s">
        <v>115</v>
      </c>
      <c r="AT145" s="259" t="s">
        <v>115</v>
      </c>
      <c r="AU145" s="259" t="s">
        <v>115</v>
      </c>
      <c r="AV145" s="211"/>
      <c r="AW145" s="124"/>
      <c r="AX145" s="124"/>
      <c r="AY145" s="124"/>
      <c r="AZ145" s="808">
        <f t="shared" si="100"/>
        <v>2997</v>
      </c>
      <c r="BA145" s="761">
        <f t="shared" si="98"/>
        <v>2997</v>
      </c>
      <c r="BB145" s="761">
        <f t="shared" si="4"/>
        <v>0</v>
      </c>
      <c r="BC145" s="262"/>
      <c r="BD145" s="824">
        <f t="shared" si="158"/>
        <v>2997</v>
      </c>
      <c r="BE145" s="1231"/>
      <c r="BF145" s="105" t="s">
        <v>117</v>
      </c>
      <c r="BG145" s="98">
        <v>0</v>
      </c>
      <c r="BH145" s="262"/>
      <c r="BI145" s="242">
        <f t="shared" si="137"/>
        <v>0</v>
      </c>
      <c r="BJ145" s="1232">
        <f t="shared" si="152"/>
        <v>0</v>
      </c>
      <c r="BK145" s="244" t="s">
        <v>118</v>
      </c>
      <c r="BL145" s="822" t="s">
        <v>152</v>
      </c>
      <c r="BM145" s="145">
        <v>0.05</v>
      </c>
      <c r="BN145" s="262"/>
      <c r="BO145" s="242">
        <f t="shared" si="133"/>
        <v>149.85</v>
      </c>
      <c r="BP145" s="1231">
        <f t="shared" si="134"/>
        <v>0</v>
      </c>
      <c r="BQ145" s="387" t="s">
        <v>1076</v>
      </c>
      <c r="BR145" s="110">
        <v>2997</v>
      </c>
      <c r="BS145" s="226">
        <v>44834</v>
      </c>
      <c r="BT145" s="110">
        <f>BR145</f>
        <v>2997</v>
      </c>
      <c r="BU145" s="263"/>
      <c r="BV145" s="110"/>
      <c r="BW145" s="348"/>
      <c r="BX145" s="110"/>
      <c r="BY145" s="263"/>
      <c r="BZ145" s="110"/>
      <c r="CA145" s="263"/>
      <c r="CB145" s="110"/>
      <c r="CC145" s="263"/>
      <c r="CD145" s="110"/>
      <c r="CE145" s="226"/>
      <c r="CF145" s="110"/>
      <c r="CG145" s="263"/>
      <c r="CH145" s="110"/>
      <c r="CI145" s="226"/>
      <c r="CJ145" s="110"/>
      <c r="CK145" s="155">
        <v>1</v>
      </c>
      <c r="CL145" s="181" t="s">
        <v>1123</v>
      </c>
      <c r="CM145" s="181"/>
      <c r="CN145" s="207"/>
      <c r="CO145" s="155" t="s">
        <v>122</v>
      </c>
      <c r="CP145" s="155"/>
      <c r="CQ145" s="131" t="s">
        <v>4155</v>
      </c>
      <c r="CR145" s="823" t="s">
        <v>4156</v>
      </c>
      <c r="CS145" s="116" t="str">
        <f t="shared" si="9"/>
        <v>blackship</v>
      </c>
      <c r="CT145" s="820">
        <f t="shared" si="149"/>
        <v>0</v>
      </c>
      <c r="CU145" s="820">
        <f t="shared" si="150"/>
        <v>149.85</v>
      </c>
      <c r="CV145" s="116" t="str">
        <f t="shared" si="10"/>
        <v>Client Angel</v>
      </c>
      <c r="CW145" s="121">
        <v>1</v>
      </c>
      <c r="CX145" s="779"/>
      <c r="CY145" s="729"/>
      <c r="CZ145" s="729"/>
      <c r="DA145" s="729"/>
      <c r="DB145" s="729"/>
      <c r="DC145" s="729"/>
      <c r="DD145" s="265"/>
      <c r="DE145" s="265"/>
      <c r="DF145" s="265"/>
      <c r="DG145" s="265"/>
      <c r="DH145" s="265"/>
      <c r="DI145" s="265"/>
      <c r="DJ145" s="265"/>
      <c r="DK145" s="265"/>
      <c r="DL145" s="265"/>
      <c r="DM145" s="265"/>
      <c r="DN145" s="265"/>
      <c r="DO145" s="265"/>
      <c r="DP145" s="265"/>
      <c r="DQ145" s="265"/>
      <c r="DR145" s="265"/>
      <c r="DS145" s="265"/>
      <c r="DT145" s="265"/>
    </row>
    <row r="146" spans="1:124" ht="30" customHeight="1">
      <c r="A146" s="228"/>
      <c r="B146" s="1237"/>
      <c r="C146" s="155">
        <f t="shared" si="154"/>
        <v>32</v>
      </c>
      <c r="D146" s="781"/>
      <c r="E146" s="781">
        <v>1</v>
      </c>
      <c r="F146" s="781">
        <v>1</v>
      </c>
      <c r="G146" s="112" t="s">
        <v>141</v>
      </c>
      <c r="H146" s="112" t="s">
        <v>1201</v>
      </c>
      <c r="I146" s="1234" t="s">
        <v>1202</v>
      </c>
      <c r="J146" s="207" t="str">
        <f t="shared" si="0"/>
        <v>Daniele Rocca</v>
      </c>
      <c r="K146" s="156" t="s">
        <v>4157</v>
      </c>
      <c r="L146" s="131"/>
      <c r="M146" s="131" t="s">
        <v>138</v>
      </c>
      <c r="N146" s="131" t="str">
        <f t="shared" si="1"/>
        <v>NSE LED Europa</v>
      </c>
      <c r="O146" s="1297"/>
      <c r="P146" s="251"/>
      <c r="Q146" s="131"/>
      <c r="R146" s="252"/>
      <c r="S146" s="254"/>
      <c r="T146" s="346"/>
      <c r="U146" s="253"/>
      <c r="V146" s="253"/>
      <c r="W146" s="251"/>
      <c r="X146" s="131"/>
      <c r="Y146" s="251"/>
      <c r="Z146" s="251"/>
      <c r="AA146" s="251"/>
      <c r="AB146" s="255"/>
      <c r="AC146" s="256"/>
      <c r="AD146" s="121" t="s">
        <v>1204</v>
      </c>
      <c r="AE146" s="80">
        <f t="shared" si="156"/>
        <v>0</v>
      </c>
      <c r="AF146" s="257"/>
      <c r="AG146" s="155"/>
      <c r="AH146" s="155"/>
      <c r="AI146" s="155"/>
      <c r="AJ146" s="257"/>
      <c r="AK146" s="155"/>
      <c r="AL146" s="155"/>
      <c r="AM146" s="155"/>
      <c r="AN146" s="257"/>
      <c r="AO146" s="258"/>
      <c r="AP146" s="258"/>
      <c r="AQ146" s="258"/>
      <c r="AR146" s="211"/>
      <c r="AS146" s="259"/>
      <c r="AT146" s="259" t="s">
        <v>115</v>
      </c>
      <c r="AU146" s="259" t="s">
        <v>115</v>
      </c>
      <c r="AV146" s="211"/>
      <c r="AW146" s="259" t="s">
        <v>115</v>
      </c>
      <c r="AX146" s="259"/>
      <c r="AY146" s="259"/>
      <c r="AZ146" s="808">
        <f t="shared" si="100"/>
        <v>2997</v>
      </c>
      <c r="BA146" s="761">
        <f t="shared" si="98"/>
        <v>2997</v>
      </c>
      <c r="BB146" s="761">
        <f t="shared" si="4"/>
        <v>0</v>
      </c>
      <c r="BC146" s="262"/>
      <c r="BD146" s="824">
        <f t="shared" si="158"/>
        <v>2997</v>
      </c>
      <c r="BE146" s="1231"/>
      <c r="BF146" s="1323" t="s">
        <v>119</v>
      </c>
      <c r="BG146" s="145">
        <v>0.15</v>
      </c>
      <c r="BH146" s="262"/>
      <c r="BI146" s="242">
        <f t="shared" si="137"/>
        <v>449.55</v>
      </c>
      <c r="BJ146" s="1232">
        <f t="shared" si="152"/>
        <v>0</v>
      </c>
      <c r="BK146" s="1281" t="s">
        <v>1205</v>
      </c>
      <c r="BL146" s="822" t="s">
        <v>119</v>
      </c>
      <c r="BM146" s="145">
        <v>0.05</v>
      </c>
      <c r="BN146" s="262"/>
      <c r="BO146" s="242">
        <f t="shared" si="133"/>
        <v>149.85</v>
      </c>
      <c r="BP146" s="1231">
        <f t="shared" si="134"/>
        <v>0</v>
      </c>
      <c r="BQ146" s="1281" t="s">
        <v>1205</v>
      </c>
      <c r="BR146" s="110">
        <v>2997</v>
      </c>
      <c r="BS146" s="226">
        <v>44846</v>
      </c>
      <c r="BT146" s="110">
        <v>2997</v>
      </c>
      <c r="BU146" s="263"/>
      <c r="BV146" s="110"/>
      <c r="BW146" s="348"/>
      <c r="BX146" s="110"/>
      <c r="BY146" s="263"/>
      <c r="BZ146" s="110"/>
      <c r="CA146" s="263"/>
      <c r="CB146" s="110"/>
      <c r="CC146" s="263"/>
      <c r="CD146" s="110"/>
      <c r="CE146" s="226"/>
      <c r="CF146" s="110"/>
      <c r="CG146" s="263"/>
      <c r="CH146" s="110"/>
      <c r="CI146" s="226"/>
      <c r="CJ146" s="110"/>
      <c r="CK146" s="155">
        <v>1</v>
      </c>
      <c r="CL146" s="181" t="s">
        <v>1123</v>
      </c>
      <c r="CM146" s="181"/>
      <c r="CN146" s="207"/>
      <c r="CO146" s="312"/>
      <c r="CP146" s="155"/>
      <c r="CQ146" s="131"/>
      <c r="CR146" s="823" t="s">
        <v>1203</v>
      </c>
      <c r="CS146" s="116" t="str">
        <f t="shared" si="9"/>
        <v>Raffaella</v>
      </c>
      <c r="CT146" s="820">
        <f t="shared" si="149"/>
        <v>449.55</v>
      </c>
      <c r="CU146" s="820">
        <f t="shared" si="150"/>
        <v>149.85</v>
      </c>
      <c r="CV146" s="116" t="str">
        <f t="shared" si="10"/>
        <v>Raffaella</v>
      </c>
      <c r="CW146" s="181"/>
      <c r="CX146" s="779"/>
      <c r="CY146" s="729"/>
      <c r="CZ146" s="729"/>
      <c r="DA146" s="729"/>
      <c r="DB146" s="729"/>
      <c r="DC146" s="729"/>
      <c r="DD146" s="265"/>
      <c r="DE146" s="265"/>
      <c r="DF146" s="265"/>
      <c r="DG146" s="265"/>
      <c r="DH146" s="265"/>
      <c r="DI146" s="265"/>
      <c r="DJ146" s="265"/>
      <c r="DK146" s="265"/>
      <c r="DL146" s="265"/>
      <c r="DM146" s="265"/>
      <c r="DN146" s="265"/>
      <c r="DO146" s="265"/>
      <c r="DP146" s="265"/>
      <c r="DQ146" s="265"/>
      <c r="DR146" s="265"/>
      <c r="DS146" s="265"/>
      <c r="DT146" s="265"/>
    </row>
    <row r="147" spans="1:124" ht="30" customHeight="1">
      <c r="A147" s="228"/>
      <c r="B147" s="331"/>
      <c r="C147" s="155">
        <f t="shared" si="154"/>
        <v>33</v>
      </c>
      <c r="D147" s="781">
        <v>1</v>
      </c>
      <c r="E147" s="781">
        <v>1</v>
      </c>
      <c r="F147" s="781">
        <v>1</v>
      </c>
      <c r="G147" s="112" t="s">
        <v>321</v>
      </c>
      <c r="H147" s="112" t="s">
        <v>4158</v>
      </c>
      <c r="I147" s="1234" t="s">
        <v>4159</v>
      </c>
      <c r="J147" s="207" t="str">
        <f t="shared" si="0"/>
        <v>Davide Maso</v>
      </c>
      <c r="K147" s="156" t="s">
        <v>4160</v>
      </c>
      <c r="L147" s="673" t="s">
        <v>4161</v>
      </c>
      <c r="M147" s="823" t="s">
        <v>4162</v>
      </c>
      <c r="N147" s="131" t="str">
        <f t="shared" si="1"/>
        <v>Davide Maso</v>
      </c>
      <c r="O147" s="1297"/>
      <c r="P147" s="251"/>
      <c r="Q147" s="131"/>
      <c r="R147" s="252"/>
      <c r="S147" s="254"/>
      <c r="T147" s="346"/>
      <c r="U147" s="253"/>
      <c r="V147" s="253"/>
      <c r="W147" s="251"/>
      <c r="X147" s="131"/>
      <c r="Y147" s="251"/>
      <c r="Z147" s="251"/>
      <c r="AA147" s="251"/>
      <c r="AB147" s="255"/>
      <c r="AC147" s="256"/>
      <c r="AD147" s="121" t="s">
        <v>4163</v>
      </c>
      <c r="AE147" s="80" t="str">
        <f t="shared" si="156"/>
        <v>data possiblità di pagare acconto 200 euro per bloccare prezzo a 2997+iva</v>
      </c>
      <c r="AF147" s="257"/>
      <c r="AG147" s="155"/>
      <c r="AH147" s="155"/>
      <c r="AI147" s="155"/>
      <c r="AJ147" s="257"/>
      <c r="AK147" s="155"/>
      <c r="AL147" s="155"/>
      <c r="AM147" s="155"/>
      <c r="AN147" s="257"/>
      <c r="AO147" s="258"/>
      <c r="AP147" s="258"/>
      <c r="AQ147" s="258"/>
      <c r="AR147" s="211"/>
      <c r="AS147" s="259" t="s">
        <v>115</v>
      </c>
      <c r="AT147" s="259" t="s">
        <v>115</v>
      </c>
      <c r="AU147" s="259" t="s">
        <v>115</v>
      </c>
      <c r="AV147" s="211"/>
      <c r="AW147" s="259"/>
      <c r="AX147" s="259"/>
      <c r="AY147" s="259"/>
      <c r="AZ147" s="808">
        <v>2997</v>
      </c>
      <c r="BA147" s="761">
        <f t="shared" si="98"/>
        <v>2997</v>
      </c>
      <c r="BB147" s="761">
        <f t="shared" si="4"/>
        <v>0</v>
      </c>
      <c r="BC147" s="262"/>
      <c r="BD147" s="824">
        <f t="shared" si="158"/>
        <v>2997</v>
      </c>
      <c r="BE147" s="1231"/>
      <c r="BF147" s="392" t="s">
        <v>117</v>
      </c>
      <c r="BG147" s="98">
        <v>0</v>
      </c>
      <c r="BH147" s="262"/>
      <c r="BI147" s="242">
        <f t="shared" si="137"/>
        <v>0</v>
      </c>
      <c r="BJ147" s="1232">
        <f t="shared" si="152"/>
        <v>0</v>
      </c>
      <c r="BK147" s="244" t="s">
        <v>118</v>
      </c>
      <c r="BL147" s="826" t="s">
        <v>152</v>
      </c>
      <c r="BM147" s="145">
        <v>0.05</v>
      </c>
      <c r="BN147" s="262"/>
      <c r="BO147" s="242">
        <f t="shared" si="133"/>
        <v>149.85</v>
      </c>
      <c r="BP147" s="1231">
        <f t="shared" si="134"/>
        <v>0</v>
      </c>
      <c r="BQ147" s="387" t="s">
        <v>1076</v>
      </c>
      <c r="BR147" s="110">
        <v>163.93</v>
      </c>
      <c r="BS147" s="226">
        <v>44834</v>
      </c>
      <c r="BT147" s="110">
        <v>163.93</v>
      </c>
      <c r="BU147" s="263"/>
      <c r="BV147" s="110">
        <f>2997-163.93</f>
        <v>2833.07</v>
      </c>
      <c r="BW147" s="348">
        <v>44840</v>
      </c>
      <c r="BX147" s="110">
        <f>2997-163.93</f>
        <v>2833.07</v>
      </c>
      <c r="BY147" s="263"/>
      <c r="BZ147" s="110"/>
      <c r="CA147" s="263"/>
      <c r="CB147" s="110"/>
      <c r="CC147" s="263"/>
      <c r="CD147" s="110"/>
      <c r="CE147" s="226"/>
      <c r="CF147" s="110"/>
      <c r="CG147" s="263"/>
      <c r="CH147" s="110"/>
      <c r="CI147" s="226"/>
      <c r="CJ147" s="110"/>
      <c r="CK147" s="155">
        <v>1</v>
      </c>
      <c r="CL147" s="181" t="s">
        <v>1123</v>
      </c>
      <c r="CM147" s="181"/>
      <c r="CN147" s="207"/>
      <c r="CO147" s="155" t="s">
        <v>122</v>
      </c>
      <c r="CP147" s="155"/>
      <c r="CQ147" s="131" t="s">
        <v>4164</v>
      </c>
      <c r="CR147" s="823" t="s">
        <v>3693</v>
      </c>
      <c r="CS147" s="116" t="str">
        <f t="shared" si="9"/>
        <v>blackship</v>
      </c>
      <c r="CT147" s="820">
        <f t="shared" si="149"/>
        <v>0</v>
      </c>
      <c r="CU147" s="820">
        <f t="shared" si="150"/>
        <v>149.85</v>
      </c>
      <c r="CV147" s="116" t="str">
        <f t="shared" si="10"/>
        <v>Client Angel</v>
      </c>
      <c r="CW147" s="181"/>
      <c r="CX147" s="779"/>
      <c r="CY147" s="729"/>
      <c r="CZ147" s="729"/>
      <c r="DA147" s="729"/>
      <c r="DB147" s="729"/>
      <c r="DC147" s="729"/>
      <c r="DD147" s="265"/>
      <c r="DE147" s="265"/>
      <c r="DF147" s="265"/>
      <c r="DG147" s="265"/>
      <c r="DH147" s="265"/>
      <c r="DI147" s="265"/>
      <c r="DJ147" s="265"/>
      <c r="DK147" s="265"/>
      <c r="DL147" s="265"/>
      <c r="DM147" s="265"/>
      <c r="DN147" s="265"/>
      <c r="DO147" s="265"/>
      <c r="DP147" s="265"/>
      <c r="DQ147" s="265"/>
      <c r="DR147" s="265"/>
      <c r="DS147" s="265"/>
      <c r="DT147" s="265"/>
    </row>
    <row r="148" spans="1:124" ht="30" customHeight="1">
      <c r="A148" s="228"/>
      <c r="B148" s="1237"/>
      <c r="C148" s="155">
        <f t="shared" si="154"/>
        <v>34</v>
      </c>
      <c r="D148" s="781">
        <v>1</v>
      </c>
      <c r="E148" s="781">
        <v>1</v>
      </c>
      <c r="F148" s="781">
        <v>1</v>
      </c>
      <c r="G148" s="112" t="s">
        <v>321</v>
      </c>
      <c r="H148" s="112" t="s">
        <v>4165</v>
      </c>
      <c r="I148" s="1234" t="s">
        <v>4166</v>
      </c>
      <c r="J148" s="207" t="str">
        <f t="shared" si="0"/>
        <v>Davide Minotti</v>
      </c>
      <c r="K148" s="156" t="s">
        <v>4167</v>
      </c>
      <c r="L148" s="131"/>
      <c r="M148" s="131" t="s">
        <v>4168</v>
      </c>
      <c r="N148" s="131" t="str">
        <f t="shared" si="1"/>
        <v>Inn Projekt</v>
      </c>
      <c r="O148" s="1297"/>
      <c r="P148" s="251"/>
      <c r="Q148" s="131"/>
      <c r="R148" s="252"/>
      <c r="S148" s="254"/>
      <c r="T148" s="346"/>
      <c r="U148" s="253"/>
      <c r="V148" s="253"/>
      <c r="W148" s="251"/>
      <c r="X148" s="131"/>
      <c r="Y148" s="251"/>
      <c r="Z148" s="251"/>
      <c r="AA148" s="251"/>
      <c r="AB148" s="255"/>
      <c r="AC148" s="256"/>
      <c r="AD148" s="121" t="s">
        <v>4169</v>
      </c>
      <c r="AE148" s="80">
        <f t="shared" si="156"/>
        <v>0</v>
      </c>
      <c r="AF148" s="257"/>
      <c r="AG148" s="155"/>
      <c r="AH148" s="155"/>
      <c r="AI148" s="155"/>
      <c r="AJ148" s="257"/>
      <c r="AK148" s="155"/>
      <c r="AL148" s="155"/>
      <c r="AM148" s="155"/>
      <c r="AN148" s="257"/>
      <c r="AO148" s="258"/>
      <c r="AP148" s="258"/>
      <c r="AQ148" s="258"/>
      <c r="AR148" s="211"/>
      <c r="AS148" s="259" t="s">
        <v>115</v>
      </c>
      <c r="AT148" s="259" t="s">
        <v>115</v>
      </c>
      <c r="AU148" s="259" t="s">
        <v>115</v>
      </c>
      <c r="AV148" s="211"/>
      <c r="AW148" s="259"/>
      <c r="AX148" s="259"/>
      <c r="AY148" s="259"/>
      <c r="AZ148" s="808">
        <f t="shared" ref="AZ148:AZ187" si="159">BR148+BV148+BZ148+CD148+CH148</f>
        <v>2997</v>
      </c>
      <c r="BA148" s="761">
        <f t="shared" si="98"/>
        <v>2997</v>
      </c>
      <c r="BB148" s="761">
        <f t="shared" si="4"/>
        <v>0</v>
      </c>
      <c r="BC148" s="262"/>
      <c r="BD148" s="824">
        <f t="shared" si="158"/>
        <v>2997</v>
      </c>
      <c r="BE148" s="1231"/>
      <c r="BF148" s="383" t="s">
        <v>160</v>
      </c>
      <c r="BG148" s="145">
        <v>0.15</v>
      </c>
      <c r="BH148" s="262"/>
      <c r="BI148" s="242">
        <f t="shared" si="137"/>
        <v>449.55</v>
      </c>
      <c r="BJ148" s="1232">
        <f t="shared" si="152"/>
        <v>0</v>
      </c>
      <c r="BK148" s="387" t="s">
        <v>1076</v>
      </c>
      <c r="BL148" s="289" t="s">
        <v>160</v>
      </c>
      <c r="BM148" s="145">
        <v>0.05</v>
      </c>
      <c r="BN148" s="262"/>
      <c r="BO148" s="242">
        <f t="shared" si="133"/>
        <v>149.85</v>
      </c>
      <c r="BP148" s="1231">
        <f t="shared" si="134"/>
        <v>0</v>
      </c>
      <c r="BQ148" s="387" t="s">
        <v>1076</v>
      </c>
      <c r="BR148" s="110">
        <v>2997</v>
      </c>
      <c r="BS148" s="226">
        <v>44834</v>
      </c>
      <c r="BT148" s="110">
        <v>2997</v>
      </c>
      <c r="BU148" s="263"/>
      <c r="BV148" s="110"/>
      <c r="BW148" s="348"/>
      <c r="BX148" s="110"/>
      <c r="BY148" s="263"/>
      <c r="BZ148" s="110"/>
      <c r="CA148" s="263"/>
      <c r="CB148" s="110"/>
      <c r="CC148" s="263"/>
      <c r="CD148" s="110"/>
      <c r="CE148" s="226"/>
      <c r="CF148" s="110"/>
      <c r="CG148" s="263"/>
      <c r="CH148" s="110"/>
      <c r="CI148" s="226"/>
      <c r="CJ148" s="110"/>
      <c r="CK148" s="155">
        <v>1</v>
      </c>
      <c r="CL148" s="181" t="s">
        <v>1123</v>
      </c>
      <c r="CM148" s="181"/>
      <c r="CN148" s="207"/>
      <c r="CO148" s="155" t="s">
        <v>122</v>
      </c>
      <c r="CP148" s="155"/>
      <c r="CQ148" s="131" t="s">
        <v>4170</v>
      </c>
      <c r="CR148" s="823" t="s">
        <v>4171</v>
      </c>
      <c r="CS148" s="116" t="str">
        <f t="shared" si="9"/>
        <v>Gianluca</v>
      </c>
      <c r="CT148" s="820">
        <f t="shared" si="149"/>
        <v>449.55</v>
      </c>
      <c r="CU148" s="820">
        <f t="shared" si="150"/>
        <v>149.85</v>
      </c>
      <c r="CV148" s="116" t="str">
        <f t="shared" si="10"/>
        <v>Gianluca</v>
      </c>
      <c r="CW148" s="181"/>
      <c r="CX148" s="779"/>
      <c r="CY148" s="729"/>
      <c r="CZ148" s="729"/>
      <c r="DA148" s="729"/>
      <c r="DB148" s="729"/>
      <c r="DC148" s="729"/>
      <c r="DD148" s="265"/>
      <c r="DE148" s="265"/>
      <c r="DF148" s="265"/>
      <c r="DG148" s="265"/>
      <c r="DH148" s="265"/>
      <c r="DI148" s="265"/>
      <c r="DJ148" s="265"/>
      <c r="DK148" s="265"/>
      <c r="DL148" s="265"/>
      <c r="DM148" s="265"/>
      <c r="DN148" s="265"/>
      <c r="DO148" s="265"/>
      <c r="DP148" s="265"/>
      <c r="DQ148" s="265"/>
      <c r="DR148" s="265"/>
      <c r="DS148" s="265"/>
      <c r="DT148" s="265"/>
    </row>
    <row r="149" spans="1:124" ht="30" customHeight="1">
      <c r="A149" s="228"/>
      <c r="B149" s="1314"/>
      <c r="C149" s="155">
        <f t="shared" si="154"/>
        <v>35</v>
      </c>
      <c r="D149" s="781"/>
      <c r="E149" s="781"/>
      <c r="F149" s="781"/>
      <c r="G149" s="112" t="s">
        <v>321</v>
      </c>
      <c r="H149" s="112" t="s">
        <v>4172</v>
      </c>
      <c r="I149" s="207" t="s">
        <v>4173</v>
      </c>
      <c r="J149" s="207" t="str">
        <f t="shared" si="0"/>
        <v>Davide Ozzarini</v>
      </c>
      <c r="K149" s="156" t="s">
        <v>4174</v>
      </c>
      <c r="L149" s="204" t="s">
        <v>4175</v>
      </c>
      <c r="M149" s="131" t="s">
        <v>138</v>
      </c>
      <c r="N149" s="131" t="str">
        <f t="shared" si="1"/>
        <v>Ds Comunicazione</v>
      </c>
      <c r="O149" s="1297"/>
      <c r="P149" s="251"/>
      <c r="Q149" s="131"/>
      <c r="R149" s="252"/>
      <c r="S149" s="254"/>
      <c r="T149" s="346"/>
      <c r="U149" s="253"/>
      <c r="V149" s="253"/>
      <c r="W149" s="251"/>
      <c r="X149" s="131"/>
      <c r="Y149" s="251"/>
      <c r="Z149" s="251"/>
      <c r="AA149" s="251"/>
      <c r="AB149" s="255"/>
      <c r="AC149" s="256"/>
      <c r="AD149" s="121" t="s">
        <v>4176</v>
      </c>
      <c r="AE149" s="131" t="str">
        <f t="shared" si="156"/>
        <v>fattura con dicitura particolare</v>
      </c>
      <c r="AF149" s="257"/>
      <c r="AG149" s="155"/>
      <c r="AH149" s="155"/>
      <c r="AI149" s="155"/>
      <c r="AJ149" s="257"/>
      <c r="AK149" s="155"/>
      <c r="AL149" s="155"/>
      <c r="AM149" s="155"/>
      <c r="AN149" s="257"/>
      <c r="AO149" s="258"/>
      <c r="AP149" s="258"/>
      <c r="AQ149" s="258"/>
      <c r="AR149" s="211"/>
      <c r="AS149" s="259"/>
      <c r="AT149" s="259"/>
      <c r="AU149" s="259"/>
      <c r="AV149" s="211"/>
      <c r="AW149" s="259" t="s">
        <v>115</v>
      </c>
      <c r="AX149" s="259" t="s">
        <v>115</v>
      </c>
      <c r="AY149" s="259" t="s">
        <v>115</v>
      </c>
      <c r="AZ149" s="808">
        <f t="shared" si="159"/>
        <v>2797</v>
      </c>
      <c r="BA149" s="761">
        <f t="shared" si="98"/>
        <v>2797</v>
      </c>
      <c r="BB149" s="761">
        <f t="shared" si="4"/>
        <v>0</v>
      </c>
      <c r="BC149" s="262"/>
      <c r="BD149" s="824"/>
      <c r="BE149" s="1231">
        <v>2797</v>
      </c>
      <c r="BF149" s="105" t="s">
        <v>166</v>
      </c>
      <c r="BG149" s="145">
        <v>0.15</v>
      </c>
      <c r="BH149" s="262"/>
      <c r="BI149" s="242">
        <f t="shared" si="137"/>
        <v>0</v>
      </c>
      <c r="BJ149" s="1232">
        <f t="shared" si="152"/>
        <v>419.55</v>
      </c>
      <c r="BK149" s="772"/>
      <c r="BL149" s="822" t="s">
        <v>166</v>
      </c>
      <c r="BM149" s="145">
        <v>0.05</v>
      </c>
      <c r="BN149" s="262"/>
      <c r="BO149" s="242">
        <f t="shared" si="133"/>
        <v>0</v>
      </c>
      <c r="BP149" s="1231">
        <f t="shared" si="134"/>
        <v>139.85</v>
      </c>
      <c r="BQ149" s="243"/>
      <c r="BR149" s="110">
        <v>2797</v>
      </c>
      <c r="BS149" s="226">
        <v>44834</v>
      </c>
      <c r="BT149" s="110">
        <v>2797</v>
      </c>
      <c r="BU149" s="263"/>
      <c r="BV149" s="110"/>
      <c r="BW149" s="348"/>
      <c r="BX149" s="110"/>
      <c r="BY149" s="263"/>
      <c r="BZ149" s="110"/>
      <c r="CA149" s="263"/>
      <c r="CB149" s="110"/>
      <c r="CC149" s="263"/>
      <c r="CD149" s="110"/>
      <c r="CE149" s="226"/>
      <c r="CF149" s="110"/>
      <c r="CG149" s="263"/>
      <c r="CH149" s="110"/>
      <c r="CI149" s="226"/>
      <c r="CJ149" s="110"/>
      <c r="CK149" s="155">
        <v>1</v>
      </c>
      <c r="CL149" s="181" t="s">
        <v>1123</v>
      </c>
      <c r="CM149" s="181"/>
      <c r="CN149" s="207"/>
      <c r="CO149" s="207"/>
      <c r="CP149" s="155"/>
      <c r="CQ149" s="131" t="s">
        <v>4177</v>
      </c>
      <c r="CR149" s="823" t="s">
        <v>4178</v>
      </c>
      <c r="CS149" s="116" t="str">
        <f t="shared" si="9"/>
        <v>Matteo</v>
      </c>
      <c r="CT149" s="820" t="b">
        <f t="shared" si="149"/>
        <v>0</v>
      </c>
      <c r="CU149" s="820" t="b">
        <f t="shared" si="150"/>
        <v>0</v>
      </c>
      <c r="CV149" s="116" t="str">
        <f t="shared" si="10"/>
        <v>Matteo</v>
      </c>
      <c r="CW149" s="181"/>
      <c r="CX149" s="779"/>
      <c r="CY149" s="729"/>
      <c r="CZ149" s="729"/>
      <c r="DA149" s="729"/>
      <c r="DB149" s="729"/>
      <c r="DC149" s="729"/>
      <c r="DD149" s="265"/>
      <c r="DE149" s="265"/>
      <c r="DF149" s="265"/>
      <c r="DG149" s="265"/>
      <c r="DH149" s="265"/>
      <c r="DI149" s="265"/>
      <c r="DJ149" s="265"/>
      <c r="DK149" s="265"/>
      <c r="DL149" s="265"/>
      <c r="DM149" s="265"/>
      <c r="DN149" s="265"/>
      <c r="DO149" s="265"/>
      <c r="DP149" s="265"/>
      <c r="DQ149" s="265"/>
      <c r="DR149" s="265"/>
      <c r="DS149" s="265"/>
      <c r="DT149" s="265"/>
    </row>
    <row r="150" spans="1:124" ht="30" customHeight="1">
      <c r="A150" s="228"/>
      <c r="B150" s="1237"/>
      <c r="C150" s="155">
        <f t="shared" si="154"/>
        <v>36</v>
      </c>
      <c r="D150" s="781"/>
      <c r="E150" s="781"/>
      <c r="F150" s="781"/>
      <c r="G150" s="112" t="s">
        <v>321</v>
      </c>
      <c r="H150" s="112" t="s">
        <v>4179</v>
      </c>
      <c r="I150" s="207" t="s">
        <v>4180</v>
      </c>
      <c r="J150" s="207" t="str">
        <f t="shared" si="0"/>
        <v>Davide Spitale</v>
      </c>
      <c r="K150" s="156">
        <v>3348179732</v>
      </c>
      <c r="L150" s="204" t="s">
        <v>4181</v>
      </c>
      <c r="M150" s="131" t="s">
        <v>4182</v>
      </c>
      <c r="N150" s="131" t="str">
        <f t="shared" si="1"/>
        <v>Alzarating</v>
      </c>
      <c r="O150" s="1297"/>
      <c r="P150" s="251"/>
      <c r="Q150" s="131"/>
      <c r="R150" s="252"/>
      <c r="S150" s="254"/>
      <c r="T150" s="346"/>
      <c r="U150" s="253"/>
      <c r="V150" s="253"/>
      <c r="W150" s="251"/>
      <c r="X150" s="131"/>
      <c r="Y150" s="251"/>
      <c r="Z150" s="251"/>
      <c r="AA150" s="251"/>
      <c r="AB150" s="255"/>
      <c r="AC150" s="256"/>
      <c r="AD150" s="121" t="s">
        <v>4183</v>
      </c>
      <c r="AE150" s="131" t="str">
        <f t="shared" si="156"/>
        <v>Proposta prezzo bloccato con acconnto di 200 Euro e partecipazione anno prossimo</v>
      </c>
      <c r="AF150" s="257"/>
      <c r="AG150" s="155"/>
      <c r="AH150" s="155"/>
      <c r="AI150" s="155"/>
      <c r="AJ150" s="257"/>
      <c r="AK150" s="155"/>
      <c r="AL150" s="155"/>
      <c r="AM150" s="155"/>
      <c r="AN150" s="257"/>
      <c r="AO150" s="258"/>
      <c r="AP150" s="258"/>
      <c r="AQ150" s="258"/>
      <c r="AR150" s="211"/>
      <c r="AS150" s="259"/>
      <c r="AT150" s="259"/>
      <c r="AU150" s="259"/>
      <c r="AV150" s="211"/>
      <c r="AW150" s="259" t="s">
        <v>115</v>
      </c>
      <c r="AX150" s="259" t="s">
        <v>115</v>
      </c>
      <c r="AY150" s="259" t="s">
        <v>115</v>
      </c>
      <c r="AZ150" s="808">
        <f t="shared" si="159"/>
        <v>3497.0000000000005</v>
      </c>
      <c r="BA150" s="761">
        <f t="shared" si="98"/>
        <v>163.9344262295082</v>
      </c>
      <c r="BB150" s="761">
        <f t="shared" si="4"/>
        <v>3333.0655737704924</v>
      </c>
      <c r="BC150" s="262"/>
      <c r="BD150" s="824"/>
      <c r="BE150" s="1231">
        <v>3497</v>
      </c>
      <c r="BF150" s="1323" t="s">
        <v>4184</v>
      </c>
      <c r="BG150" s="145">
        <v>0.15</v>
      </c>
      <c r="BH150" s="262"/>
      <c r="BI150" s="242">
        <f t="shared" si="137"/>
        <v>0</v>
      </c>
      <c r="BJ150" s="1232">
        <f t="shared" si="152"/>
        <v>524.54999999999995</v>
      </c>
      <c r="BK150" s="772"/>
      <c r="BL150" s="825" t="s">
        <v>166</v>
      </c>
      <c r="BM150" s="145">
        <v>0.05</v>
      </c>
      <c r="BN150" s="262"/>
      <c r="BO150" s="242">
        <f t="shared" si="133"/>
        <v>0</v>
      </c>
      <c r="BP150" s="1231">
        <f t="shared" si="134"/>
        <v>174.85000000000002</v>
      </c>
      <c r="BQ150" s="243"/>
      <c r="BR150" s="110">
        <f>200/1.22</f>
        <v>163.9344262295082</v>
      </c>
      <c r="BS150" s="365">
        <v>44834</v>
      </c>
      <c r="BT150" s="110">
        <f>200/1.22</f>
        <v>163.9344262295082</v>
      </c>
      <c r="BU150" s="206"/>
      <c r="BV150" s="110">
        <f>1720/1.22</f>
        <v>1409.8360655737706</v>
      </c>
      <c r="BW150" s="226">
        <v>44841</v>
      </c>
      <c r="BX150" s="110"/>
      <c r="BY150" s="206"/>
      <c r="BZ150" s="110">
        <f>2346.34/1.22</f>
        <v>1923.2295081967216</v>
      </c>
      <c r="CA150" s="348">
        <v>44854</v>
      </c>
      <c r="CB150" s="110"/>
      <c r="CC150" s="263"/>
      <c r="CD150" s="110"/>
      <c r="CE150" s="226"/>
      <c r="CF150" s="110"/>
      <c r="CG150" s="263"/>
      <c r="CH150" s="110"/>
      <c r="CI150" s="226"/>
      <c r="CJ150" s="110"/>
      <c r="CK150" s="155"/>
      <c r="CL150" s="181"/>
      <c r="CM150" s="181"/>
      <c r="CN150" s="207"/>
      <c r="CO150" s="207"/>
      <c r="CP150" s="155"/>
      <c r="CQ150" s="131"/>
      <c r="CR150" s="823" t="s">
        <v>4185</v>
      </c>
      <c r="CS150" s="116" t="str">
        <f t="shared" si="9"/>
        <v>Wisee 10%  - Matteo 5%</v>
      </c>
      <c r="CT150" s="820" t="b">
        <f t="shared" si="149"/>
        <v>0</v>
      </c>
      <c r="CU150" s="820" t="b">
        <f t="shared" si="150"/>
        <v>0</v>
      </c>
      <c r="CV150" s="116" t="str">
        <f t="shared" si="10"/>
        <v>Matteo</v>
      </c>
      <c r="CW150" s="181"/>
      <c r="CX150" s="779"/>
      <c r="CY150" s="729"/>
      <c r="CZ150" s="729"/>
      <c r="DA150" s="729"/>
      <c r="DB150" s="729"/>
      <c r="DC150" s="729"/>
      <c r="DD150" s="265"/>
      <c r="DE150" s="265"/>
      <c r="DF150" s="265"/>
      <c r="DG150" s="265"/>
      <c r="DH150" s="265"/>
      <c r="DI150" s="265"/>
      <c r="DJ150" s="265"/>
      <c r="DK150" s="265"/>
      <c r="DL150" s="265"/>
      <c r="DM150" s="265"/>
      <c r="DN150" s="265"/>
      <c r="DO150" s="265"/>
      <c r="DP150" s="265"/>
      <c r="DQ150" s="265"/>
      <c r="DR150" s="265"/>
      <c r="DS150" s="265"/>
      <c r="DT150" s="265"/>
    </row>
    <row r="151" spans="1:124" ht="30" customHeight="1">
      <c r="A151" s="228"/>
      <c r="B151" s="1237"/>
      <c r="C151" s="155">
        <f t="shared" si="154"/>
        <v>37</v>
      </c>
      <c r="D151" s="781">
        <v>1</v>
      </c>
      <c r="E151" s="781">
        <v>1</v>
      </c>
      <c r="F151" s="781">
        <v>1</v>
      </c>
      <c r="G151" s="112" t="s">
        <v>3047</v>
      </c>
      <c r="H151" s="112" t="s">
        <v>4186</v>
      </c>
      <c r="I151" s="1234" t="s">
        <v>4187</v>
      </c>
      <c r="J151" s="207" t="str">
        <f t="shared" si="0"/>
        <v>Deborah Basileo</v>
      </c>
      <c r="K151" s="156" t="s">
        <v>4188</v>
      </c>
      <c r="L151" s="204" t="s">
        <v>4189</v>
      </c>
      <c r="M151" s="131"/>
      <c r="N151" s="131" t="str">
        <f t="shared" si="1"/>
        <v>DBLegal</v>
      </c>
      <c r="O151" s="1297"/>
      <c r="P151" s="251"/>
      <c r="Q151" s="131"/>
      <c r="R151" s="252"/>
      <c r="S151" s="254"/>
      <c r="T151" s="346"/>
      <c r="U151" s="253"/>
      <c r="V151" s="253"/>
      <c r="W151" s="251"/>
      <c r="X151" s="131"/>
      <c r="Y151" s="251"/>
      <c r="Z151" s="251"/>
      <c r="AA151" s="251"/>
      <c r="AB151" s="255"/>
      <c r="AC151" s="256"/>
      <c r="AD151" s="121" t="s">
        <v>4190</v>
      </c>
      <c r="AE151" s="131" t="str">
        <f t="shared" si="156"/>
        <v>Mail 10.10 per pagamento</v>
      </c>
      <c r="AF151" s="257"/>
      <c r="AG151" s="155"/>
      <c r="AH151" s="155"/>
      <c r="AI151" s="155"/>
      <c r="AJ151" s="257"/>
      <c r="AK151" s="155"/>
      <c r="AL151" s="155"/>
      <c r="AM151" s="155"/>
      <c r="AN151" s="257"/>
      <c r="AO151" s="258"/>
      <c r="AP151" s="258"/>
      <c r="AQ151" s="258"/>
      <c r="AR151" s="211"/>
      <c r="AS151" s="259" t="s">
        <v>115</v>
      </c>
      <c r="AT151" s="259" t="s">
        <v>115</v>
      </c>
      <c r="AU151" s="259" t="s">
        <v>115</v>
      </c>
      <c r="AV151" s="211"/>
      <c r="AW151" s="259"/>
      <c r="AX151" s="259"/>
      <c r="AY151" s="259"/>
      <c r="AZ151" s="808">
        <f t="shared" si="159"/>
        <v>2997</v>
      </c>
      <c r="BA151" s="761">
        <f t="shared" si="98"/>
        <v>2997</v>
      </c>
      <c r="BB151" s="761">
        <f t="shared" si="4"/>
        <v>0</v>
      </c>
      <c r="BC151" s="262"/>
      <c r="BD151" s="824">
        <f t="shared" ref="BD151:BD153" si="160">AZ151</f>
        <v>2997</v>
      </c>
      <c r="BE151" s="1231"/>
      <c r="BF151" s="1323" t="s">
        <v>4184</v>
      </c>
      <c r="BG151" s="145">
        <v>0.15</v>
      </c>
      <c r="BH151" s="262"/>
      <c r="BI151" s="242">
        <f t="shared" si="137"/>
        <v>449.55</v>
      </c>
      <c r="BJ151" s="1232">
        <f t="shared" si="152"/>
        <v>0</v>
      </c>
      <c r="BK151" s="387" t="s">
        <v>1076</v>
      </c>
      <c r="BL151" s="822" t="s">
        <v>166</v>
      </c>
      <c r="BM151" s="145">
        <v>0.05</v>
      </c>
      <c r="BN151" s="262"/>
      <c r="BO151" s="242">
        <f t="shared" si="133"/>
        <v>149.85</v>
      </c>
      <c r="BP151" s="1231">
        <f t="shared" si="134"/>
        <v>0</v>
      </c>
      <c r="BQ151" s="387" t="s">
        <v>1076</v>
      </c>
      <c r="BR151" s="110">
        <v>2997</v>
      </c>
      <c r="BS151" s="226">
        <v>44848</v>
      </c>
      <c r="BT151" s="110">
        <v>2997</v>
      </c>
      <c r="BU151" s="263"/>
      <c r="BV151" s="110"/>
      <c r="BW151" s="348"/>
      <c r="BX151" s="110"/>
      <c r="BY151" s="263"/>
      <c r="BZ151" s="110"/>
      <c r="CA151" s="263"/>
      <c r="CB151" s="110"/>
      <c r="CC151" s="263"/>
      <c r="CD151" s="110"/>
      <c r="CE151" s="226"/>
      <c r="CF151" s="110"/>
      <c r="CG151" s="263"/>
      <c r="CH151" s="110"/>
      <c r="CI151" s="226"/>
      <c r="CJ151" s="110"/>
      <c r="CK151" s="155">
        <v>1</v>
      </c>
      <c r="CL151" s="181" t="s">
        <v>1123</v>
      </c>
      <c r="CM151" s="181"/>
      <c r="CN151" s="207"/>
      <c r="CO151" s="155" t="s">
        <v>122</v>
      </c>
      <c r="CP151" s="155"/>
      <c r="CQ151" s="131" t="s">
        <v>4191</v>
      </c>
      <c r="CR151" s="823" t="s">
        <v>4192</v>
      </c>
      <c r="CS151" s="116" t="str">
        <f t="shared" si="9"/>
        <v>Wisee 10%  - Matteo 5%</v>
      </c>
      <c r="CT151" s="820">
        <f t="shared" si="149"/>
        <v>449.55</v>
      </c>
      <c r="CU151" s="820">
        <f t="shared" si="150"/>
        <v>149.85</v>
      </c>
      <c r="CV151" s="116" t="str">
        <f t="shared" si="10"/>
        <v>Matteo</v>
      </c>
      <c r="CW151" s="121">
        <v>1</v>
      </c>
      <c r="CX151" s="779"/>
      <c r="CY151" s="729"/>
      <c r="CZ151" s="729"/>
      <c r="DA151" s="729"/>
      <c r="DB151" s="729"/>
      <c r="DC151" s="729"/>
      <c r="DD151" s="265"/>
      <c r="DE151" s="265"/>
      <c r="DF151" s="265"/>
      <c r="DG151" s="265"/>
      <c r="DH151" s="265"/>
      <c r="DI151" s="265"/>
      <c r="DJ151" s="265"/>
      <c r="DK151" s="265"/>
      <c r="DL151" s="265"/>
      <c r="DM151" s="265"/>
      <c r="DN151" s="265"/>
      <c r="DO151" s="265"/>
      <c r="DP151" s="265"/>
      <c r="DQ151" s="265"/>
      <c r="DR151" s="265"/>
      <c r="DS151" s="265"/>
      <c r="DT151" s="265"/>
    </row>
    <row r="152" spans="1:124" ht="30" customHeight="1">
      <c r="A152" s="228"/>
      <c r="B152" s="1237"/>
      <c r="C152" s="155">
        <f t="shared" si="154"/>
        <v>38</v>
      </c>
      <c r="D152" s="781"/>
      <c r="E152" s="781">
        <v>1</v>
      </c>
      <c r="F152" s="781"/>
      <c r="G152" s="112" t="s">
        <v>4193</v>
      </c>
      <c r="H152" s="112" t="s">
        <v>4194</v>
      </c>
      <c r="I152" s="294" t="s">
        <v>4195</v>
      </c>
      <c r="J152" s="207" t="str">
        <f t="shared" si="0"/>
        <v>Eglantina Olldashi</v>
      </c>
      <c r="K152" s="156" t="s">
        <v>4196</v>
      </c>
      <c r="L152" s="131"/>
      <c r="M152" s="131" t="s">
        <v>514</v>
      </c>
      <c r="N152" s="131" t="str">
        <f t="shared" si="1"/>
        <v>MBR</v>
      </c>
      <c r="O152" s="1297"/>
      <c r="P152" s="251"/>
      <c r="Q152" s="131"/>
      <c r="R152" s="252"/>
      <c r="S152" s="254"/>
      <c r="T152" s="346"/>
      <c r="U152" s="253"/>
      <c r="V152" s="253"/>
      <c r="W152" s="251"/>
      <c r="X152" s="131"/>
      <c r="Y152" s="251"/>
      <c r="Z152" s="251"/>
      <c r="AA152" s="251"/>
      <c r="AB152" s="255"/>
      <c r="AC152" s="256"/>
      <c r="AD152" s="121" t="s">
        <v>4197</v>
      </c>
      <c r="AE152" s="80">
        <f t="shared" si="156"/>
        <v>0</v>
      </c>
      <c r="AF152" s="257"/>
      <c r="AG152" s="155"/>
      <c r="AH152" s="155"/>
      <c r="AI152" s="155"/>
      <c r="AJ152" s="257"/>
      <c r="AK152" s="155"/>
      <c r="AL152" s="155"/>
      <c r="AM152" s="155"/>
      <c r="AN152" s="257"/>
      <c r="AO152" s="258"/>
      <c r="AP152" s="258"/>
      <c r="AQ152" s="258"/>
      <c r="AR152" s="211"/>
      <c r="AS152" s="259"/>
      <c r="AT152" s="1223" t="s">
        <v>115</v>
      </c>
      <c r="AU152" s="259"/>
      <c r="AV152" s="211"/>
      <c r="AW152" s="259" t="s">
        <v>115</v>
      </c>
      <c r="AX152" s="872"/>
      <c r="AY152" s="259" t="s">
        <v>115</v>
      </c>
      <c r="AZ152" s="808">
        <f t="shared" si="159"/>
        <v>2997</v>
      </c>
      <c r="BA152" s="761">
        <f t="shared" si="98"/>
        <v>2997</v>
      </c>
      <c r="BB152" s="761">
        <f t="shared" si="4"/>
        <v>0</v>
      </c>
      <c r="BC152" s="262"/>
      <c r="BD152" s="824">
        <f t="shared" si="160"/>
        <v>2997</v>
      </c>
      <c r="BE152" s="1231"/>
      <c r="BF152" s="392" t="s">
        <v>141</v>
      </c>
      <c r="BG152" s="145">
        <v>0.15</v>
      </c>
      <c r="BH152" s="262"/>
      <c r="BI152" s="242">
        <f t="shared" si="137"/>
        <v>449.55</v>
      </c>
      <c r="BJ152" s="1232">
        <f t="shared" si="152"/>
        <v>0</v>
      </c>
      <c r="BK152" s="1281" t="s">
        <v>1205</v>
      </c>
      <c r="BL152" s="826" t="s">
        <v>141</v>
      </c>
      <c r="BM152" s="145">
        <v>0.05</v>
      </c>
      <c r="BN152" s="262"/>
      <c r="BO152" s="242">
        <f t="shared" si="133"/>
        <v>149.85</v>
      </c>
      <c r="BP152" s="1231">
        <f t="shared" si="134"/>
        <v>0</v>
      </c>
      <c r="BQ152" s="1281" t="s">
        <v>1205</v>
      </c>
      <c r="BR152" s="110">
        <v>2997</v>
      </c>
      <c r="BS152" s="226">
        <v>44834</v>
      </c>
      <c r="BT152" s="110">
        <f>BR152</f>
        <v>2997</v>
      </c>
      <c r="BU152" s="263"/>
      <c r="BV152" s="110"/>
      <c r="BW152" s="348"/>
      <c r="BX152" s="110"/>
      <c r="BY152" s="263"/>
      <c r="BZ152" s="110"/>
      <c r="CA152" s="263"/>
      <c r="CB152" s="110"/>
      <c r="CC152" s="263"/>
      <c r="CD152" s="110"/>
      <c r="CE152" s="226"/>
      <c r="CF152" s="110"/>
      <c r="CG152" s="263"/>
      <c r="CH152" s="110"/>
      <c r="CI152" s="226"/>
      <c r="CJ152" s="110"/>
      <c r="CK152" s="155">
        <v>1</v>
      </c>
      <c r="CL152" s="181" t="s">
        <v>1123</v>
      </c>
      <c r="CM152" s="181"/>
      <c r="CN152" s="207"/>
      <c r="CO152" s="312"/>
      <c r="CP152" s="155"/>
      <c r="CQ152" s="131" t="s">
        <v>4198</v>
      </c>
      <c r="CR152" s="823" t="s">
        <v>4199</v>
      </c>
      <c r="CS152" s="116" t="str">
        <f t="shared" si="9"/>
        <v>Daniele</v>
      </c>
      <c r="CT152" s="820">
        <f t="shared" si="149"/>
        <v>449.55</v>
      </c>
      <c r="CU152" s="820">
        <f t="shared" si="150"/>
        <v>149.85</v>
      </c>
      <c r="CV152" s="116" t="str">
        <f t="shared" si="10"/>
        <v>Daniele</v>
      </c>
      <c r="CW152" s="181"/>
      <c r="CX152" s="779"/>
      <c r="CY152" s="729"/>
      <c r="CZ152" s="729"/>
      <c r="DA152" s="729"/>
      <c r="DB152" s="729"/>
      <c r="DC152" s="729"/>
      <c r="DD152" s="265"/>
      <c r="DE152" s="265"/>
      <c r="DF152" s="265"/>
      <c r="DG152" s="265"/>
      <c r="DH152" s="265"/>
      <c r="DI152" s="265"/>
      <c r="DJ152" s="265"/>
      <c r="DK152" s="265"/>
      <c r="DL152" s="265"/>
      <c r="DM152" s="265"/>
      <c r="DN152" s="265"/>
      <c r="DO152" s="265"/>
      <c r="DP152" s="265"/>
      <c r="DQ152" s="265"/>
      <c r="DR152" s="265"/>
      <c r="DS152" s="265"/>
      <c r="DT152" s="265"/>
    </row>
    <row r="153" spans="1:124" ht="30" customHeight="1">
      <c r="A153" s="228"/>
      <c r="B153" s="155" t="s">
        <v>3670</v>
      </c>
      <c r="C153" s="155">
        <f t="shared" si="154"/>
        <v>39</v>
      </c>
      <c r="D153" s="781">
        <v>1</v>
      </c>
      <c r="E153" s="781">
        <v>1</v>
      </c>
      <c r="F153" s="781">
        <v>1</v>
      </c>
      <c r="G153" s="112" t="s">
        <v>392</v>
      </c>
      <c r="H153" s="112" t="s">
        <v>4200</v>
      </c>
      <c r="I153" s="1234" t="s">
        <v>4201</v>
      </c>
      <c r="J153" s="207" t="str">
        <f t="shared" si="0"/>
        <v>Elena Azzoni</v>
      </c>
      <c r="K153" s="156" t="s">
        <v>4202</v>
      </c>
      <c r="L153" s="131"/>
      <c r="M153" s="131" t="s">
        <v>1177</v>
      </c>
      <c r="N153" s="131" t="str">
        <f t="shared" si="1"/>
        <v>T4B Consulting</v>
      </c>
      <c r="O153" s="1297"/>
      <c r="P153" s="251"/>
      <c r="Q153" s="131"/>
      <c r="R153" s="252"/>
      <c r="S153" s="254"/>
      <c r="T153" s="346"/>
      <c r="U153" s="253"/>
      <c r="V153" s="253"/>
      <c r="W153" s="251"/>
      <c r="X153" s="131"/>
      <c r="Y153" s="251"/>
      <c r="Z153" s="251"/>
      <c r="AA153" s="251"/>
      <c r="AB153" s="255"/>
      <c r="AC153" s="256"/>
      <c r="AD153" s="121" t="s">
        <v>4203</v>
      </c>
      <c r="AE153" s="80">
        <f t="shared" si="156"/>
        <v>0</v>
      </c>
      <c r="AF153" s="257"/>
      <c r="AG153" s="155"/>
      <c r="AH153" s="155"/>
      <c r="AI153" s="155"/>
      <c r="AJ153" s="257"/>
      <c r="AK153" s="155"/>
      <c r="AL153" s="155"/>
      <c r="AM153" s="155"/>
      <c r="AN153" s="257"/>
      <c r="AO153" s="258"/>
      <c r="AP153" s="258"/>
      <c r="AQ153" s="258"/>
      <c r="AR153" s="211"/>
      <c r="AS153" s="259" t="s">
        <v>115</v>
      </c>
      <c r="AT153" s="259" t="s">
        <v>115</v>
      </c>
      <c r="AU153" s="259" t="s">
        <v>115</v>
      </c>
      <c r="AV153" s="211"/>
      <c r="AW153" s="872"/>
      <c r="AX153" s="872"/>
      <c r="AY153" s="872"/>
      <c r="AZ153" s="808">
        <f t="shared" si="159"/>
        <v>2997</v>
      </c>
      <c r="BA153" s="761">
        <f t="shared" si="98"/>
        <v>2997</v>
      </c>
      <c r="BB153" s="761">
        <f t="shared" si="4"/>
        <v>0</v>
      </c>
      <c r="BC153" s="262"/>
      <c r="BD153" s="824">
        <f t="shared" si="160"/>
        <v>2997</v>
      </c>
      <c r="BE153" s="1231"/>
      <c r="BF153" s="399" t="s">
        <v>166</v>
      </c>
      <c r="BG153" s="145">
        <v>0.15</v>
      </c>
      <c r="BH153" s="262"/>
      <c r="BI153" s="242">
        <f t="shared" si="137"/>
        <v>449.55</v>
      </c>
      <c r="BJ153" s="1232">
        <f t="shared" si="152"/>
        <v>0</v>
      </c>
      <c r="BK153" s="387" t="s">
        <v>1076</v>
      </c>
      <c r="BL153" s="833" t="s">
        <v>166</v>
      </c>
      <c r="BM153" s="145">
        <v>0.05</v>
      </c>
      <c r="BN153" s="262"/>
      <c r="BO153" s="242">
        <f t="shared" si="133"/>
        <v>149.85</v>
      </c>
      <c r="BP153" s="1231">
        <f t="shared" si="134"/>
        <v>0</v>
      </c>
      <c r="BQ153" s="387" t="s">
        <v>1076</v>
      </c>
      <c r="BR153" s="110">
        <v>2997</v>
      </c>
      <c r="BS153" s="226">
        <v>44834</v>
      </c>
      <c r="BT153" s="110">
        <v>2997</v>
      </c>
      <c r="BU153" s="263"/>
      <c r="BV153" s="110"/>
      <c r="BW153" s="348"/>
      <c r="BX153" s="110"/>
      <c r="BY153" s="263"/>
      <c r="BZ153" s="110"/>
      <c r="CA153" s="263"/>
      <c r="CB153" s="110"/>
      <c r="CC153" s="263"/>
      <c r="CD153" s="110"/>
      <c r="CE153" s="226"/>
      <c r="CF153" s="110"/>
      <c r="CG153" s="263"/>
      <c r="CH153" s="110"/>
      <c r="CI153" s="226"/>
      <c r="CJ153" s="110"/>
      <c r="CK153" s="155">
        <v>1</v>
      </c>
      <c r="CL153" s="181" t="s">
        <v>1123</v>
      </c>
      <c r="CM153" s="181"/>
      <c r="CN153" s="207"/>
      <c r="CO153" s="155" t="s">
        <v>122</v>
      </c>
      <c r="CP153" s="155"/>
      <c r="CQ153" s="131" t="s">
        <v>4204</v>
      </c>
      <c r="CR153" s="823" t="s">
        <v>4205</v>
      </c>
      <c r="CS153" s="116" t="str">
        <f t="shared" si="9"/>
        <v>Matteo</v>
      </c>
      <c r="CT153" s="820">
        <f t="shared" si="149"/>
        <v>449.55</v>
      </c>
      <c r="CU153" s="820">
        <f t="shared" si="150"/>
        <v>149.85</v>
      </c>
      <c r="CV153" s="116" t="str">
        <f t="shared" si="10"/>
        <v>Matteo</v>
      </c>
      <c r="CW153" s="121" t="s">
        <v>4206</v>
      </c>
      <c r="CX153" s="779"/>
      <c r="CY153" s="729"/>
      <c r="CZ153" s="729"/>
      <c r="DA153" s="729"/>
      <c r="DB153" s="729"/>
      <c r="DC153" s="729"/>
      <c r="DD153" s="265"/>
      <c r="DE153" s="265"/>
      <c r="DF153" s="265"/>
      <c r="DG153" s="265"/>
      <c r="DH153" s="265"/>
      <c r="DI153" s="265"/>
      <c r="DJ153" s="265"/>
      <c r="DK153" s="265"/>
      <c r="DL153" s="265"/>
      <c r="DM153" s="265"/>
      <c r="DN153" s="265"/>
      <c r="DO153" s="265"/>
      <c r="DP153" s="265"/>
      <c r="DQ153" s="265"/>
      <c r="DR153" s="265"/>
      <c r="DS153" s="265"/>
      <c r="DT153" s="265"/>
    </row>
    <row r="154" spans="1:124" ht="30" customHeight="1">
      <c r="A154" s="228"/>
      <c r="B154" s="1237"/>
      <c r="C154" s="155">
        <f t="shared" si="154"/>
        <v>40</v>
      </c>
      <c r="D154" s="781"/>
      <c r="E154" s="781"/>
      <c r="F154" s="781"/>
      <c r="G154" s="112" t="s">
        <v>392</v>
      </c>
      <c r="H154" s="112" t="s">
        <v>1207</v>
      </c>
      <c r="I154" s="207" t="s">
        <v>1208</v>
      </c>
      <c r="J154" s="207" t="str">
        <f t="shared" si="0"/>
        <v>Elena Datrino</v>
      </c>
      <c r="K154" s="156">
        <v>3381131234</v>
      </c>
      <c r="L154" s="131"/>
      <c r="M154" s="131" t="s">
        <v>1177</v>
      </c>
      <c r="N154" s="131" t="str">
        <f t="shared" si="1"/>
        <v>Elena Datrino Photographer</v>
      </c>
      <c r="O154" s="1297"/>
      <c r="P154" s="251"/>
      <c r="Q154" s="131"/>
      <c r="R154" s="252"/>
      <c r="S154" s="254"/>
      <c r="T154" s="346"/>
      <c r="U154" s="253"/>
      <c r="V154" s="253"/>
      <c r="W154" s="251"/>
      <c r="X154" s="131"/>
      <c r="Y154" s="251"/>
      <c r="Z154" s="251"/>
      <c r="AA154" s="251"/>
      <c r="AB154" s="255"/>
      <c r="AC154" s="256"/>
      <c r="AD154" s="121"/>
      <c r="AE154" s="80">
        <f t="shared" si="156"/>
        <v>0</v>
      </c>
      <c r="AF154" s="257"/>
      <c r="AG154" s="155"/>
      <c r="AH154" s="155"/>
      <c r="AI154" s="155"/>
      <c r="AJ154" s="257"/>
      <c r="AK154" s="155"/>
      <c r="AL154" s="155"/>
      <c r="AM154" s="155"/>
      <c r="AN154" s="257"/>
      <c r="AO154" s="258"/>
      <c r="AP154" s="258"/>
      <c r="AQ154" s="258"/>
      <c r="AR154" s="211"/>
      <c r="AS154" s="259"/>
      <c r="AT154" s="259"/>
      <c r="AU154" s="259"/>
      <c r="AV154" s="211"/>
      <c r="AW154" s="259" t="s">
        <v>115</v>
      </c>
      <c r="AX154" s="259" t="s">
        <v>115</v>
      </c>
      <c r="AY154" s="259" t="s">
        <v>115</v>
      </c>
      <c r="AZ154" s="808">
        <f t="shared" si="159"/>
        <v>2997</v>
      </c>
      <c r="BA154" s="761">
        <f t="shared" si="98"/>
        <v>0</v>
      </c>
      <c r="BB154" s="761">
        <f t="shared" si="4"/>
        <v>2997</v>
      </c>
      <c r="BC154" s="262"/>
      <c r="BD154" s="824"/>
      <c r="BE154" s="1231">
        <v>2997</v>
      </c>
      <c r="BF154" s="105" t="s">
        <v>117</v>
      </c>
      <c r="BG154" s="98">
        <v>0</v>
      </c>
      <c r="BH154" s="262"/>
      <c r="BI154" s="242">
        <f t="shared" si="137"/>
        <v>0</v>
      </c>
      <c r="BJ154" s="1232">
        <f t="shared" si="152"/>
        <v>0</v>
      </c>
      <c r="BK154" s="772"/>
      <c r="BL154" s="822" t="s">
        <v>152</v>
      </c>
      <c r="BM154" s="145">
        <v>0.05</v>
      </c>
      <c r="BN154" s="262"/>
      <c r="BO154" s="242">
        <f t="shared" si="133"/>
        <v>0</v>
      </c>
      <c r="BP154" s="1231">
        <f t="shared" si="134"/>
        <v>149.85</v>
      </c>
      <c r="BQ154" s="243"/>
      <c r="BR154" s="110">
        <v>2997</v>
      </c>
      <c r="BS154" s="226">
        <v>44834</v>
      </c>
      <c r="BT154" s="110"/>
      <c r="BU154" s="263"/>
      <c r="BV154" s="110"/>
      <c r="BW154" s="348"/>
      <c r="BX154" s="110"/>
      <c r="BY154" s="263"/>
      <c r="BZ154" s="110"/>
      <c r="CA154" s="263"/>
      <c r="CB154" s="110"/>
      <c r="CC154" s="263"/>
      <c r="CD154" s="110"/>
      <c r="CE154" s="226"/>
      <c r="CF154" s="110"/>
      <c r="CG154" s="263"/>
      <c r="CH154" s="110"/>
      <c r="CI154" s="226"/>
      <c r="CJ154" s="110"/>
      <c r="CK154" s="155">
        <v>1</v>
      </c>
      <c r="CL154" s="181" t="s">
        <v>1123</v>
      </c>
      <c r="CM154" s="181"/>
      <c r="CN154" s="207"/>
      <c r="CO154" s="207"/>
      <c r="CP154" s="155"/>
      <c r="CQ154" s="131" t="s">
        <v>1210</v>
      </c>
      <c r="CR154" s="823" t="s">
        <v>1209</v>
      </c>
      <c r="CS154" s="116" t="str">
        <f t="shared" si="9"/>
        <v>blackship</v>
      </c>
      <c r="CT154" s="820" t="b">
        <f t="shared" si="149"/>
        <v>0</v>
      </c>
      <c r="CU154" s="820" t="b">
        <f t="shared" si="150"/>
        <v>0</v>
      </c>
      <c r="CV154" s="116" t="str">
        <f t="shared" si="10"/>
        <v>Client Angel</v>
      </c>
      <c r="CW154" s="181"/>
      <c r="CX154" s="779"/>
      <c r="CY154" s="729"/>
      <c r="CZ154" s="729"/>
      <c r="DA154" s="729"/>
      <c r="DB154" s="729"/>
      <c r="DC154" s="729"/>
      <c r="DD154" s="265"/>
      <c r="DE154" s="265"/>
      <c r="DF154" s="265"/>
      <c r="DG154" s="265"/>
      <c r="DH154" s="265"/>
      <c r="DI154" s="265"/>
      <c r="DJ154" s="265"/>
      <c r="DK154" s="265"/>
      <c r="DL154" s="265"/>
      <c r="DM154" s="265"/>
      <c r="DN154" s="265"/>
      <c r="DO154" s="265"/>
      <c r="DP154" s="265"/>
      <c r="DQ154" s="265"/>
      <c r="DR154" s="265"/>
      <c r="DS154" s="265"/>
      <c r="DT154" s="265"/>
    </row>
    <row r="155" spans="1:124" ht="30" customHeight="1">
      <c r="A155" s="228"/>
      <c r="B155" s="1237"/>
      <c r="C155" s="155">
        <f t="shared" si="154"/>
        <v>41</v>
      </c>
      <c r="D155" s="781">
        <v>1</v>
      </c>
      <c r="E155" s="781">
        <v>1</v>
      </c>
      <c r="F155" s="781">
        <v>1</v>
      </c>
      <c r="G155" s="112" t="s">
        <v>400</v>
      </c>
      <c r="H155" s="112" t="s">
        <v>4207</v>
      </c>
      <c r="I155" s="1234" t="s">
        <v>4208</v>
      </c>
      <c r="J155" s="207" t="str">
        <f t="shared" si="0"/>
        <v>Eleonora Padoan</v>
      </c>
      <c r="K155" s="156" t="s">
        <v>4209</v>
      </c>
      <c r="L155" s="204" t="s">
        <v>4210</v>
      </c>
      <c r="M155" s="131"/>
      <c r="N155" s="131" t="str">
        <f t="shared" si="1"/>
        <v>Padoan Vernici</v>
      </c>
      <c r="O155" s="1297"/>
      <c r="P155" s="251"/>
      <c r="Q155" s="131"/>
      <c r="R155" s="252"/>
      <c r="S155" s="254"/>
      <c r="T155" s="346"/>
      <c r="U155" s="253"/>
      <c r="V155" s="253"/>
      <c r="W155" s="251"/>
      <c r="X155" s="131"/>
      <c r="Y155" s="251"/>
      <c r="Z155" s="251"/>
      <c r="AA155" s="251"/>
      <c r="AB155" s="255"/>
      <c r="AC155" s="256"/>
      <c r="AD155" s="121" t="s">
        <v>4211</v>
      </c>
      <c r="AE155" s="80" t="str">
        <f t="shared" si="156"/>
        <v>Comunicato 30.9 pagamento</v>
      </c>
      <c r="AF155" s="257"/>
      <c r="AG155" s="155"/>
      <c r="AH155" s="155"/>
      <c r="AI155" s="155"/>
      <c r="AJ155" s="257"/>
      <c r="AK155" s="155"/>
      <c r="AL155" s="155"/>
      <c r="AM155" s="155"/>
      <c r="AN155" s="257"/>
      <c r="AO155" s="258"/>
      <c r="AP155" s="258"/>
      <c r="AQ155" s="258"/>
      <c r="AR155" s="211"/>
      <c r="AS155" s="259" t="s">
        <v>115</v>
      </c>
      <c r="AT155" s="259" t="s">
        <v>115</v>
      </c>
      <c r="AU155" s="259" t="s">
        <v>115</v>
      </c>
      <c r="AV155" s="211"/>
      <c r="AW155" s="259"/>
      <c r="AX155" s="259"/>
      <c r="AY155" s="259"/>
      <c r="AZ155" s="808">
        <f t="shared" si="159"/>
        <v>2997</v>
      </c>
      <c r="BA155" s="761">
        <f t="shared" si="98"/>
        <v>2997</v>
      </c>
      <c r="BB155" s="761">
        <f t="shared" si="4"/>
        <v>0</v>
      </c>
      <c r="BC155" s="262"/>
      <c r="BD155" s="824">
        <f t="shared" ref="BD155:BD156" si="161">AZ155</f>
        <v>2997</v>
      </c>
      <c r="BE155" s="1231"/>
      <c r="BF155" s="383" t="s">
        <v>117</v>
      </c>
      <c r="BG155" s="98">
        <v>0</v>
      </c>
      <c r="BH155" s="262"/>
      <c r="BI155" s="242">
        <f t="shared" si="137"/>
        <v>0</v>
      </c>
      <c r="BJ155" s="1232">
        <f t="shared" si="152"/>
        <v>0</v>
      </c>
      <c r="BK155" s="244" t="s">
        <v>118</v>
      </c>
      <c r="BL155" s="289" t="s">
        <v>152</v>
      </c>
      <c r="BM155" s="145">
        <v>0.05</v>
      </c>
      <c r="BN155" s="262"/>
      <c r="BO155" s="242">
        <f t="shared" si="133"/>
        <v>149.85</v>
      </c>
      <c r="BP155" s="1231">
        <f t="shared" si="134"/>
        <v>0</v>
      </c>
      <c r="BQ155" s="387" t="s">
        <v>1076</v>
      </c>
      <c r="BR155" s="110">
        <v>2997</v>
      </c>
      <c r="BS155" s="226">
        <v>44834</v>
      </c>
      <c r="BT155" s="110">
        <v>2997</v>
      </c>
      <c r="BU155" s="263"/>
      <c r="BV155" s="110"/>
      <c r="BW155" s="348"/>
      <c r="BX155" s="110"/>
      <c r="BY155" s="263"/>
      <c r="BZ155" s="110"/>
      <c r="CA155" s="263"/>
      <c r="CB155" s="110"/>
      <c r="CC155" s="263"/>
      <c r="CD155" s="110"/>
      <c r="CE155" s="226"/>
      <c r="CF155" s="110"/>
      <c r="CG155" s="263"/>
      <c r="CH155" s="110"/>
      <c r="CI155" s="226"/>
      <c r="CJ155" s="110"/>
      <c r="CK155" s="155">
        <v>1</v>
      </c>
      <c r="CL155" s="181" t="s">
        <v>1123</v>
      </c>
      <c r="CM155" s="181"/>
      <c r="CN155" s="207"/>
      <c r="CO155" s="155" t="s">
        <v>122</v>
      </c>
      <c r="CP155" s="155"/>
      <c r="CQ155" s="131" t="s">
        <v>4212</v>
      </c>
      <c r="CR155" s="823" t="s">
        <v>4213</v>
      </c>
      <c r="CS155" s="116" t="str">
        <f t="shared" si="9"/>
        <v>blackship</v>
      </c>
      <c r="CT155" s="820">
        <f t="shared" si="149"/>
        <v>0</v>
      </c>
      <c r="CU155" s="820">
        <f t="shared" si="150"/>
        <v>149.85</v>
      </c>
      <c r="CV155" s="116" t="str">
        <f t="shared" si="10"/>
        <v>Client Angel</v>
      </c>
      <c r="CW155" s="181"/>
      <c r="CX155" s="779"/>
      <c r="CY155" s="729"/>
      <c r="CZ155" s="729"/>
      <c r="DA155" s="729"/>
      <c r="DB155" s="729"/>
      <c r="DC155" s="729"/>
      <c r="DD155" s="265"/>
      <c r="DE155" s="265"/>
      <c r="DF155" s="265"/>
      <c r="DG155" s="265"/>
      <c r="DH155" s="265"/>
      <c r="DI155" s="265"/>
      <c r="DJ155" s="265"/>
      <c r="DK155" s="265"/>
      <c r="DL155" s="265"/>
      <c r="DM155" s="265"/>
      <c r="DN155" s="265"/>
      <c r="DO155" s="265"/>
      <c r="DP155" s="265"/>
      <c r="DQ155" s="265"/>
      <c r="DR155" s="265"/>
      <c r="DS155" s="265"/>
      <c r="DT155" s="265"/>
    </row>
    <row r="156" spans="1:124" ht="30" customHeight="1">
      <c r="A156" s="228"/>
      <c r="B156" s="1237"/>
      <c r="C156" s="155">
        <f t="shared" si="154"/>
        <v>42</v>
      </c>
      <c r="D156" s="781">
        <v>1</v>
      </c>
      <c r="E156" s="781">
        <v>1</v>
      </c>
      <c r="F156" s="781">
        <v>1</v>
      </c>
      <c r="G156" s="112" t="s">
        <v>2371</v>
      </c>
      <c r="H156" s="112" t="s">
        <v>4214</v>
      </c>
      <c r="I156" s="1234" t="s">
        <v>4215</v>
      </c>
      <c r="J156" s="207" t="str">
        <f t="shared" si="0"/>
        <v>Denis Daniel</v>
      </c>
      <c r="K156" s="156"/>
      <c r="L156" s="204" t="s">
        <v>4210</v>
      </c>
      <c r="M156" s="389" t="s">
        <v>4216</v>
      </c>
      <c r="N156" s="131" t="str">
        <f t="shared" si="1"/>
        <v>Padoan Vernici</v>
      </c>
      <c r="O156" s="1297"/>
      <c r="P156" s="251"/>
      <c r="Q156" s="131"/>
      <c r="R156" s="252"/>
      <c r="S156" s="254"/>
      <c r="T156" s="346"/>
      <c r="U156" s="253"/>
      <c r="V156" s="253"/>
      <c r="W156" s="251"/>
      <c r="X156" s="131"/>
      <c r="Y156" s="251"/>
      <c r="Z156" s="251"/>
      <c r="AA156" s="251"/>
      <c r="AB156" s="255"/>
      <c r="AC156" s="256"/>
      <c r="AD156" s="121" t="s">
        <v>4211</v>
      </c>
      <c r="AE156" s="80" t="str">
        <f t="shared" si="156"/>
        <v>Comunicato 30.9 pagamento</v>
      </c>
      <c r="AF156" s="257"/>
      <c r="AG156" s="155"/>
      <c r="AH156" s="155"/>
      <c r="AI156" s="155"/>
      <c r="AJ156" s="257"/>
      <c r="AK156" s="155"/>
      <c r="AL156" s="155"/>
      <c r="AM156" s="155"/>
      <c r="AN156" s="257"/>
      <c r="AO156" s="258"/>
      <c r="AP156" s="258"/>
      <c r="AQ156" s="258"/>
      <c r="AR156" s="211"/>
      <c r="AS156" s="259" t="s">
        <v>115</v>
      </c>
      <c r="AT156" s="259" t="s">
        <v>115</v>
      </c>
      <c r="AU156" s="259" t="s">
        <v>115</v>
      </c>
      <c r="AV156" s="211"/>
      <c r="AW156" s="259"/>
      <c r="AX156" s="259"/>
      <c r="AY156" s="259"/>
      <c r="AZ156" s="808">
        <f t="shared" si="159"/>
        <v>2997</v>
      </c>
      <c r="BA156" s="761">
        <f t="shared" si="98"/>
        <v>2997</v>
      </c>
      <c r="BB156" s="761">
        <f t="shared" si="4"/>
        <v>0</v>
      </c>
      <c r="BC156" s="262"/>
      <c r="BD156" s="824">
        <f t="shared" si="161"/>
        <v>2997</v>
      </c>
      <c r="BE156" s="1231"/>
      <c r="BF156" s="383" t="s">
        <v>117</v>
      </c>
      <c r="BG156" s="98">
        <v>0</v>
      </c>
      <c r="BH156" s="262"/>
      <c r="BI156" s="242">
        <f t="shared" si="137"/>
        <v>0</v>
      </c>
      <c r="BJ156" s="1232">
        <f t="shared" si="152"/>
        <v>0</v>
      </c>
      <c r="BK156" s="244" t="s">
        <v>118</v>
      </c>
      <c r="BL156" s="289" t="s">
        <v>152</v>
      </c>
      <c r="BM156" s="145">
        <v>0.05</v>
      </c>
      <c r="BN156" s="262"/>
      <c r="BO156" s="242">
        <f t="shared" si="133"/>
        <v>149.85</v>
      </c>
      <c r="BP156" s="1231">
        <f t="shared" si="134"/>
        <v>0</v>
      </c>
      <c r="BQ156" s="387" t="s">
        <v>1076</v>
      </c>
      <c r="BR156" s="110">
        <v>2997</v>
      </c>
      <c r="BS156" s="226">
        <v>44834</v>
      </c>
      <c r="BT156" s="110">
        <v>2997</v>
      </c>
      <c r="BU156" s="263"/>
      <c r="BV156" s="110"/>
      <c r="BW156" s="348"/>
      <c r="BX156" s="110"/>
      <c r="BY156" s="263"/>
      <c r="BZ156" s="110"/>
      <c r="CA156" s="263"/>
      <c r="CB156" s="110"/>
      <c r="CC156" s="263"/>
      <c r="CD156" s="110"/>
      <c r="CE156" s="226"/>
      <c r="CF156" s="110"/>
      <c r="CG156" s="263"/>
      <c r="CH156" s="110"/>
      <c r="CI156" s="226"/>
      <c r="CJ156" s="110"/>
      <c r="CK156" s="155">
        <v>1</v>
      </c>
      <c r="CL156" s="181" t="s">
        <v>1123</v>
      </c>
      <c r="CM156" s="181"/>
      <c r="CN156" s="207"/>
      <c r="CO156" s="155" t="s">
        <v>122</v>
      </c>
      <c r="CP156" s="155"/>
      <c r="CQ156" s="131" t="s">
        <v>4212</v>
      </c>
      <c r="CR156" s="823" t="s">
        <v>4213</v>
      </c>
      <c r="CS156" s="116" t="str">
        <f t="shared" si="9"/>
        <v>blackship</v>
      </c>
      <c r="CT156" s="820">
        <f t="shared" si="149"/>
        <v>0</v>
      </c>
      <c r="CU156" s="820">
        <f t="shared" si="150"/>
        <v>149.85</v>
      </c>
      <c r="CV156" s="116" t="str">
        <f t="shared" si="10"/>
        <v>Client Angel</v>
      </c>
      <c r="CW156" s="181"/>
      <c r="CX156" s="779"/>
      <c r="CY156" s="729"/>
      <c r="CZ156" s="729"/>
      <c r="DA156" s="729"/>
      <c r="DB156" s="729"/>
      <c r="DC156" s="729"/>
      <c r="DD156" s="265"/>
      <c r="DE156" s="265"/>
      <c r="DF156" s="265"/>
      <c r="DG156" s="265"/>
      <c r="DH156" s="265"/>
      <c r="DI156" s="265"/>
      <c r="DJ156" s="265"/>
      <c r="DK156" s="265"/>
      <c r="DL156" s="265"/>
      <c r="DM156" s="265"/>
      <c r="DN156" s="265"/>
      <c r="DO156" s="265"/>
      <c r="DP156" s="265"/>
      <c r="DQ156" s="265"/>
      <c r="DR156" s="265"/>
      <c r="DS156" s="265"/>
      <c r="DT156" s="265"/>
    </row>
    <row r="157" spans="1:124" ht="30" customHeight="1">
      <c r="A157" s="228"/>
      <c r="B157" s="1237"/>
      <c r="C157" s="155">
        <f t="shared" si="154"/>
        <v>43</v>
      </c>
      <c r="D157" s="781"/>
      <c r="E157" s="781"/>
      <c r="F157" s="781"/>
      <c r="G157" s="112" t="s">
        <v>400</v>
      </c>
      <c r="H157" s="112" t="s">
        <v>2874</v>
      </c>
      <c r="I157" s="294" t="s">
        <v>4217</v>
      </c>
      <c r="J157" s="207" t="str">
        <f t="shared" si="0"/>
        <v>Eleonora Trezza</v>
      </c>
      <c r="K157" s="156" t="s">
        <v>4218</v>
      </c>
      <c r="L157" s="204" t="s">
        <v>4219</v>
      </c>
      <c r="M157" s="131" t="s">
        <v>1148</v>
      </c>
      <c r="N157" s="131" t="str">
        <f t="shared" si="1"/>
        <v>Urban Fitness</v>
      </c>
      <c r="O157" s="1297"/>
      <c r="P157" s="251"/>
      <c r="Q157" s="131"/>
      <c r="R157" s="252"/>
      <c r="S157" s="254"/>
      <c r="T157" s="346"/>
      <c r="U157" s="253"/>
      <c r="V157" s="253"/>
      <c r="W157" s="251"/>
      <c r="X157" s="131"/>
      <c r="Y157" s="251"/>
      <c r="Z157" s="251"/>
      <c r="AA157" s="251"/>
      <c r="AB157" s="255"/>
      <c r="AC157" s="256"/>
      <c r="AD157" s="121"/>
      <c r="AE157" s="80" t="str">
        <f t="shared" si="156"/>
        <v>Paga 200 Euro ad Ottobre e conferma a Marzo 23 se saldo o rateale</v>
      </c>
      <c r="AF157" s="257"/>
      <c r="AG157" s="155"/>
      <c r="AH157" s="155"/>
      <c r="AI157" s="155"/>
      <c r="AJ157" s="257"/>
      <c r="AK157" s="155"/>
      <c r="AL157" s="155"/>
      <c r="AM157" s="155"/>
      <c r="AN157" s="257"/>
      <c r="AO157" s="258"/>
      <c r="AP157" s="258"/>
      <c r="AQ157" s="258"/>
      <c r="AR157" s="211"/>
      <c r="AS157" s="259"/>
      <c r="AT157" s="259"/>
      <c r="AU157" s="259"/>
      <c r="AV157" s="211"/>
      <c r="AW157" s="259" t="s">
        <v>27</v>
      </c>
      <c r="AX157" s="259" t="s">
        <v>27</v>
      </c>
      <c r="AY157" s="259" t="s">
        <v>27</v>
      </c>
      <c r="AZ157" s="808">
        <f t="shared" si="159"/>
        <v>2997</v>
      </c>
      <c r="BA157" s="761">
        <f t="shared" si="98"/>
        <v>0</v>
      </c>
      <c r="BB157" s="761">
        <f t="shared" si="4"/>
        <v>2997</v>
      </c>
      <c r="BC157" s="262"/>
      <c r="BD157" s="824">
        <v>0</v>
      </c>
      <c r="BE157" s="1231">
        <v>2997</v>
      </c>
      <c r="BF157" s="379" t="s">
        <v>487</v>
      </c>
      <c r="BG157" s="145">
        <v>0.15</v>
      </c>
      <c r="BH157" s="262"/>
      <c r="BI157" s="242">
        <f t="shared" si="137"/>
        <v>0</v>
      </c>
      <c r="BJ157" s="1232">
        <f t="shared" si="152"/>
        <v>449.55</v>
      </c>
      <c r="BK157" s="772"/>
      <c r="BL157" s="837" t="s">
        <v>487</v>
      </c>
      <c r="BM157" s="145">
        <v>0.05</v>
      </c>
      <c r="BN157" s="262"/>
      <c r="BO157" s="242">
        <f t="shared" si="133"/>
        <v>0</v>
      </c>
      <c r="BP157" s="1231">
        <f t="shared" si="134"/>
        <v>149.85</v>
      </c>
      <c r="BQ157" s="243"/>
      <c r="BR157" s="110">
        <v>200</v>
      </c>
      <c r="BS157" s="226">
        <v>44848</v>
      </c>
      <c r="BT157" s="110"/>
      <c r="BU157" s="263"/>
      <c r="BV157" s="110">
        <v>2797</v>
      </c>
      <c r="BW157" s="348">
        <v>45015</v>
      </c>
      <c r="BX157" s="110"/>
      <c r="BY157" s="263"/>
      <c r="BZ157" s="110"/>
      <c r="CA157" s="263"/>
      <c r="CB157" s="110"/>
      <c r="CC157" s="263"/>
      <c r="CD157" s="110"/>
      <c r="CE157" s="226"/>
      <c r="CF157" s="110"/>
      <c r="CG157" s="263"/>
      <c r="CH157" s="110"/>
      <c r="CI157" s="226"/>
      <c r="CJ157" s="110"/>
      <c r="CK157" s="155">
        <v>0</v>
      </c>
      <c r="CL157" s="181" t="s">
        <v>154</v>
      </c>
      <c r="CM157" s="181"/>
      <c r="CN157" s="207"/>
      <c r="CO157" s="207"/>
      <c r="CP157" s="155"/>
      <c r="CQ157" s="131"/>
      <c r="CR157" s="823" t="s">
        <v>4220</v>
      </c>
      <c r="CS157" s="116" t="str">
        <f t="shared" si="9"/>
        <v>Daniela</v>
      </c>
      <c r="CT157" s="820" t="b">
        <f t="shared" si="149"/>
        <v>0</v>
      </c>
      <c r="CU157" s="820" t="b">
        <f t="shared" si="150"/>
        <v>0</v>
      </c>
      <c r="CV157" s="116" t="str">
        <f t="shared" si="10"/>
        <v>Daniela</v>
      </c>
      <c r="CW157" s="181"/>
      <c r="CX157" s="779"/>
      <c r="CY157" s="729"/>
      <c r="CZ157" s="729"/>
      <c r="DA157" s="729"/>
      <c r="DB157" s="729"/>
      <c r="DC157" s="729"/>
      <c r="DD157" s="265"/>
      <c r="DE157" s="265"/>
      <c r="DF157" s="265"/>
      <c r="DG157" s="265"/>
      <c r="DH157" s="265"/>
      <c r="DI157" s="265"/>
      <c r="DJ157" s="265"/>
      <c r="DK157" s="265"/>
      <c r="DL157" s="265"/>
      <c r="DM157" s="265"/>
      <c r="DN157" s="265"/>
      <c r="DO157" s="265"/>
      <c r="DP157" s="265"/>
      <c r="DQ157" s="265"/>
      <c r="DR157" s="265"/>
      <c r="DS157" s="265"/>
      <c r="DT157" s="265"/>
    </row>
    <row r="158" spans="1:124" ht="30" customHeight="1">
      <c r="A158" s="228"/>
      <c r="B158" s="1237"/>
      <c r="C158" s="155">
        <f t="shared" si="154"/>
        <v>44</v>
      </c>
      <c r="D158" s="781">
        <v>1</v>
      </c>
      <c r="E158" s="781">
        <v>1</v>
      </c>
      <c r="F158" s="781">
        <v>1</v>
      </c>
      <c r="G158" s="112" t="s">
        <v>4146</v>
      </c>
      <c r="H158" s="112" t="s">
        <v>4221</v>
      </c>
      <c r="I158" s="1234" t="s">
        <v>4222</v>
      </c>
      <c r="J158" s="207" t="str">
        <f t="shared" si="0"/>
        <v>Emanuele Minicuci</v>
      </c>
      <c r="K158" s="156" t="s">
        <v>4223</v>
      </c>
      <c r="L158" s="131"/>
      <c r="M158" s="131" t="s">
        <v>1177</v>
      </c>
      <c r="N158" s="131" t="str">
        <f t="shared" si="1"/>
        <v>Emanuele Minicuci</v>
      </c>
      <c r="O158" s="1297"/>
      <c r="P158" s="251"/>
      <c r="Q158" s="131"/>
      <c r="R158" s="252"/>
      <c r="S158" s="254"/>
      <c r="T158" s="346"/>
      <c r="U158" s="253"/>
      <c r="V158" s="253"/>
      <c r="W158" s="251"/>
      <c r="X158" s="131"/>
      <c r="Y158" s="251"/>
      <c r="Z158" s="251"/>
      <c r="AA158" s="251"/>
      <c r="AB158" s="255"/>
      <c r="AC158" s="256"/>
      <c r="AD158" s="121" t="s">
        <v>4224</v>
      </c>
      <c r="AE158" s="80">
        <f t="shared" si="156"/>
        <v>0</v>
      </c>
      <c r="AF158" s="257"/>
      <c r="AG158" s="155"/>
      <c r="AH158" s="155"/>
      <c r="AI158" s="155"/>
      <c r="AJ158" s="257"/>
      <c r="AK158" s="155"/>
      <c r="AL158" s="155"/>
      <c r="AM158" s="155"/>
      <c r="AN158" s="257"/>
      <c r="AO158" s="258"/>
      <c r="AP158" s="258"/>
      <c r="AQ158" s="258"/>
      <c r="AR158" s="211"/>
      <c r="AS158" s="259" t="s">
        <v>115</v>
      </c>
      <c r="AT158" s="259" t="s">
        <v>115</v>
      </c>
      <c r="AU158" s="259" t="s">
        <v>115</v>
      </c>
      <c r="AV158" s="211"/>
      <c r="AW158" s="259"/>
      <c r="AX158" s="259"/>
      <c r="AY158" s="259"/>
      <c r="AZ158" s="808">
        <f t="shared" si="159"/>
        <v>2997</v>
      </c>
      <c r="BA158" s="761">
        <f t="shared" si="98"/>
        <v>2997</v>
      </c>
      <c r="BB158" s="761">
        <f t="shared" si="4"/>
        <v>0</v>
      </c>
      <c r="BC158" s="262"/>
      <c r="BD158" s="824">
        <f t="shared" ref="BD158:BD166" si="162">AZ158</f>
        <v>2997</v>
      </c>
      <c r="BE158" s="1231"/>
      <c r="BF158" s="383" t="s">
        <v>246</v>
      </c>
      <c r="BG158" s="145">
        <v>0.15</v>
      </c>
      <c r="BH158" s="262"/>
      <c r="BI158" s="242">
        <f t="shared" si="137"/>
        <v>449.55</v>
      </c>
      <c r="BJ158" s="1232">
        <f t="shared" si="152"/>
        <v>0</v>
      </c>
      <c r="BK158" s="387" t="s">
        <v>1076</v>
      </c>
      <c r="BL158" s="289" t="s">
        <v>246</v>
      </c>
      <c r="BM158" s="145">
        <v>0.05</v>
      </c>
      <c r="BN158" s="262"/>
      <c r="BO158" s="242">
        <f t="shared" si="133"/>
        <v>149.85</v>
      </c>
      <c r="BP158" s="1231">
        <f t="shared" si="134"/>
        <v>0</v>
      </c>
      <c r="BQ158" s="387" t="s">
        <v>1076</v>
      </c>
      <c r="BR158" s="110">
        <v>2997</v>
      </c>
      <c r="BS158" s="226">
        <v>44834</v>
      </c>
      <c r="BT158" s="110">
        <v>2997</v>
      </c>
      <c r="BU158" s="263"/>
      <c r="BV158" s="110"/>
      <c r="BW158" s="348"/>
      <c r="BX158" s="110"/>
      <c r="BY158" s="263"/>
      <c r="BZ158" s="110"/>
      <c r="CA158" s="263"/>
      <c r="CB158" s="110"/>
      <c r="CC158" s="263"/>
      <c r="CD158" s="110"/>
      <c r="CE158" s="226"/>
      <c r="CF158" s="110"/>
      <c r="CG158" s="263"/>
      <c r="CH158" s="110"/>
      <c r="CI158" s="226"/>
      <c r="CJ158" s="110"/>
      <c r="CK158" s="155">
        <v>1</v>
      </c>
      <c r="CL158" s="181" t="s">
        <v>1123</v>
      </c>
      <c r="CM158" s="181"/>
      <c r="CN158" s="207"/>
      <c r="CO158" s="155" t="s">
        <v>122</v>
      </c>
      <c r="CP158" s="155"/>
      <c r="CQ158" s="131"/>
      <c r="CR158" s="823" t="s">
        <v>4225</v>
      </c>
      <c r="CS158" s="116" t="str">
        <f t="shared" si="9"/>
        <v>Marco</v>
      </c>
      <c r="CT158" s="820">
        <f t="shared" si="149"/>
        <v>449.55</v>
      </c>
      <c r="CU158" s="820">
        <f t="shared" si="150"/>
        <v>149.85</v>
      </c>
      <c r="CV158" s="116" t="str">
        <f t="shared" si="10"/>
        <v>Marco</v>
      </c>
      <c r="CW158" s="121">
        <v>1</v>
      </c>
      <c r="CX158" s="779"/>
      <c r="CY158" s="729"/>
      <c r="CZ158" s="729"/>
      <c r="DA158" s="729"/>
      <c r="DB158" s="729"/>
      <c r="DC158" s="729"/>
      <c r="DD158" s="265"/>
      <c r="DE158" s="265"/>
      <c r="DF158" s="265"/>
      <c r="DG158" s="265"/>
      <c r="DH158" s="265"/>
      <c r="DI158" s="265"/>
      <c r="DJ158" s="265"/>
      <c r="DK158" s="265"/>
      <c r="DL158" s="265"/>
      <c r="DM158" s="265"/>
      <c r="DN158" s="265"/>
      <c r="DO158" s="265"/>
      <c r="DP158" s="265"/>
      <c r="DQ158" s="265"/>
      <c r="DR158" s="265"/>
      <c r="DS158" s="265"/>
      <c r="DT158" s="265"/>
    </row>
    <row r="159" spans="1:124" ht="30" customHeight="1">
      <c r="A159" s="228"/>
      <c r="B159" s="1237"/>
      <c r="C159" s="155">
        <f t="shared" si="154"/>
        <v>45</v>
      </c>
      <c r="D159" s="781">
        <v>1</v>
      </c>
      <c r="E159" s="781">
        <v>1</v>
      </c>
      <c r="F159" s="781">
        <v>1</v>
      </c>
      <c r="G159" s="112" t="s">
        <v>4226</v>
      </c>
      <c r="H159" s="112" t="s">
        <v>4227</v>
      </c>
      <c r="I159" s="1234" t="s">
        <v>4228</v>
      </c>
      <c r="J159" s="207" t="str">
        <f t="shared" si="0"/>
        <v>Eugenio Tortora</v>
      </c>
      <c r="K159" s="156" t="s">
        <v>4229</v>
      </c>
      <c r="L159" s="204" t="s">
        <v>4230</v>
      </c>
      <c r="M159" s="131"/>
      <c r="N159" s="131" t="str">
        <f t="shared" si="1"/>
        <v>EMMETI</v>
      </c>
      <c r="O159" s="1297"/>
      <c r="P159" s="251"/>
      <c r="Q159" s="131"/>
      <c r="R159" s="252"/>
      <c r="S159" s="254"/>
      <c r="T159" s="346"/>
      <c r="U159" s="253"/>
      <c r="V159" s="253"/>
      <c r="W159" s="251"/>
      <c r="X159" s="131"/>
      <c r="Y159" s="251"/>
      <c r="Z159" s="251"/>
      <c r="AA159" s="251"/>
      <c r="AB159" s="255"/>
      <c r="AC159" s="256"/>
      <c r="AD159" s="121"/>
      <c r="AE159" s="80" t="str">
        <f t="shared" si="156"/>
        <v>mail del 29/9/22: posibilità di pagare in 1 unica rata entro il 7/10</v>
      </c>
      <c r="AF159" s="257"/>
      <c r="AG159" s="155"/>
      <c r="AH159" s="155"/>
      <c r="AI159" s="155"/>
      <c r="AJ159" s="257"/>
      <c r="AK159" s="155"/>
      <c r="AL159" s="155"/>
      <c r="AM159" s="155"/>
      <c r="AN159" s="257"/>
      <c r="AO159" s="258"/>
      <c r="AP159" s="258"/>
      <c r="AQ159" s="258"/>
      <c r="AR159" s="211"/>
      <c r="AS159" s="259" t="s">
        <v>115</v>
      </c>
      <c r="AT159" s="259" t="s">
        <v>115</v>
      </c>
      <c r="AU159" s="259" t="s">
        <v>115</v>
      </c>
      <c r="AV159" s="211"/>
      <c r="AW159" s="259"/>
      <c r="AX159" s="259"/>
      <c r="AY159" s="259"/>
      <c r="AZ159" s="808">
        <f t="shared" si="159"/>
        <v>2997</v>
      </c>
      <c r="BA159" s="761">
        <f t="shared" si="98"/>
        <v>2997</v>
      </c>
      <c r="BB159" s="761">
        <f t="shared" si="4"/>
        <v>0</v>
      </c>
      <c r="BC159" s="262"/>
      <c r="BD159" s="824">
        <f t="shared" si="162"/>
        <v>2997</v>
      </c>
      <c r="BE159" s="1231"/>
      <c r="BF159" s="383" t="s">
        <v>160</v>
      </c>
      <c r="BG159" s="145">
        <v>0.15</v>
      </c>
      <c r="BH159" s="262"/>
      <c r="BI159" s="242">
        <f t="shared" si="137"/>
        <v>449.55</v>
      </c>
      <c r="BJ159" s="1232">
        <f t="shared" si="152"/>
        <v>0</v>
      </c>
      <c r="BK159" s="387" t="s">
        <v>1076</v>
      </c>
      <c r="BL159" s="289" t="s">
        <v>160</v>
      </c>
      <c r="BM159" s="145">
        <v>0.05</v>
      </c>
      <c r="BN159" s="262"/>
      <c r="BO159" s="242">
        <f t="shared" si="133"/>
        <v>149.85</v>
      </c>
      <c r="BP159" s="1231">
        <f t="shared" si="134"/>
        <v>0</v>
      </c>
      <c r="BQ159" s="387" t="s">
        <v>1076</v>
      </c>
      <c r="BR159" s="110">
        <v>2997</v>
      </c>
      <c r="BS159" s="226">
        <v>44841</v>
      </c>
      <c r="BT159" s="110">
        <v>2997</v>
      </c>
      <c r="BU159" s="263"/>
      <c r="BV159" s="110"/>
      <c r="BW159" s="348"/>
      <c r="BX159" s="110"/>
      <c r="BY159" s="263"/>
      <c r="BZ159" s="110"/>
      <c r="CA159" s="263"/>
      <c r="CB159" s="110"/>
      <c r="CC159" s="263"/>
      <c r="CD159" s="110"/>
      <c r="CE159" s="226"/>
      <c r="CF159" s="110"/>
      <c r="CG159" s="263"/>
      <c r="CH159" s="110"/>
      <c r="CI159" s="226"/>
      <c r="CJ159" s="110"/>
      <c r="CK159" s="155">
        <v>1</v>
      </c>
      <c r="CL159" s="181" t="s">
        <v>1123</v>
      </c>
      <c r="CM159" s="181"/>
      <c r="CN159" s="207"/>
      <c r="CO159" s="155" t="s">
        <v>122</v>
      </c>
      <c r="CP159" s="155"/>
      <c r="CQ159" s="131" t="s">
        <v>1156</v>
      </c>
      <c r="CR159" s="823" t="s">
        <v>4231</v>
      </c>
      <c r="CS159" s="116" t="str">
        <f t="shared" si="9"/>
        <v>Gianluca</v>
      </c>
      <c r="CT159" s="820">
        <f t="shared" si="149"/>
        <v>449.55</v>
      </c>
      <c r="CU159" s="820">
        <f t="shared" si="150"/>
        <v>149.85</v>
      </c>
      <c r="CV159" s="116" t="str">
        <f t="shared" si="10"/>
        <v>Gianluca</v>
      </c>
      <c r="CW159" s="181"/>
      <c r="CX159" s="779"/>
      <c r="CY159" s="729"/>
      <c r="CZ159" s="729"/>
      <c r="DA159" s="729"/>
      <c r="DB159" s="729"/>
      <c r="DC159" s="729"/>
      <c r="DD159" s="265"/>
      <c r="DE159" s="265"/>
      <c r="DF159" s="265"/>
      <c r="DG159" s="265"/>
      <c r="DH159" s="265"/>
      <c r="DI159" s="265"/>
      <c r="DJ159" s="265"/>
      <c r="DK159" s="265"/>
      <c r="DL159" s="265"/>
      <c r="DM159" s="265"/>
      <c r="DN159" s="265"/>
      <c r="DO159" s="265"/>
      <c r="DP159" s="265"/>
      <c r="DQ159" s="265"/>
      <c r="DR159" s="265"/>
      <c r="DS159" s="265"/>
      <c r="DT159" s="265"/>
    </row>
    <row r="160" spans="1:124" ht="51.75">
      <c r="A160" s="228"/>
      <c r="B160" s="1237"/>
      <c r="C160" s="155">
        <f t="shared" si="154"/>
        <v>46</v>
      </c>
      <c r="D160" s="781">
        <v>1</v>
      </c>
      <c r="E160" s="781">
        <v>1</v>
      </c>
      <c r="F160" s="781">
        <v>1</v>
      </c>
      <c r="G160" s="112" t="s">
        <v>451</v>
      </c>
      <c r="H160" s="112" t="s">
        <v>4232</v>
      </c>
      <c r="I160" s="1234" t="s">
        <v>4233</v>
      </c>
      <c r="J160" s="207" t="str">
        <f t="shared" si="0"/>
        <v>Fabio Dorofatti</v>
      </c>
      <c r="K160" s="156" t="s">
        <v>4234</v>
      </c>
      <c r="L160" s="131" t="s">
        <v>4235</v>
      </c>
      <c r="M160" s="207" t="s">
        <v>4236</v>
      </c>
      <c r="N160" s="131" t="str">
        <f t="shared" si="1"/>
        <v>Valmon StampatI</v>
      </c>
      <c r="O160" s="1297"/>
      <c r="P160" s="251"/>
      <c r="Q160" s="131"/>
      <c r="R160" s="252"/>
      <c r="S160" s="254"/>
      <c r="T160" s="346"/>
      <c r="U160" s="253"/>
      <c r="V160" s="253"/>
      <c r="W160" s="251"/>
      <c r="X160" s="131"/>
      <c r="Y160" s="251"/>
      <c r="Z160" s="251"/>
      <c r="AA160" s="251"/>
      <c r="AB160" s="255"/>
      <c r="AC160" s="256"/>
      <c r="AD160" s="121" t="s">
        <v>4237</v>
      </c>
      <c r="AE160" s="80" t="s">
        <v>4238</v>
      </c>
      <c r="AF160" s="257"/>
      <c r="AG160" s="155"/>
      <c r="AH160" s="155"/>
      <c r="AI160" s="155"/>
      <c r="AJ160" s="257"/>
      <c r="AK160" s="155"/>
      <c r="AL160" s="155"/>
      <c r="AM160" s="155"/>
      <c r="AN160" s="257"/>
      <c r="AO160" s="258"/>
      <c r="AP160" s="258"/>
      <c r="AQ160" s="258"/>
      <c r="AR160" s="211"/>
      <c r="AS160" s="259" t="s">
        <v>115</v>
      </c>
      <c r="AT160" s="259" t="s">
        <v>115</v>
      </c>
      <c r="AU160" s="259" t="s">
        <v>115</v>
      </c>
      <c r="AV160" s="211"/>
      <c r="AW160" s="259"/>
      <c r="AX160" s="259"/>
      <c r="AY160" s="259"/>
      <c r="AZ160" s="808">
        <f t="shared" si="159"/>
        <v>0</v>
      </c>
      <c r="BA160" s="761">
        <f t="shared" si="98"/>
        <v>0</v>
      </c>
      <c r="BB160" s="761">
        <f t="shared" si="4"/>
        <v>0</v>
      </c>
      <c r="BC160" s="262"/>
      <c r="BD160" s="824">
        <f t="shared" si="162"/>
        <v>0</v>
      </c>
      <c r="BE160" s="1231"/>
      <c r="BF160" s="306" t="s">
        <v>262</v>
      </c>
      <c r="BG160" s="145"/>
      <c r="BH160" s="262"/>
      <c r="BI160" s="242">
        <f t="shared" si="137"/>
        <v>0</v>
      </c>
      <c r="BJ160" s="1232">
        <f t="shared" si="152"/>
        <v>0</v>
      </c>
      <c r="BK160" s="772"/>
      <c r="BL160" s="1303" t="s">
        <v>262</v>
      </c>
      <c r="BM160" s="145"/>
      <c r="BN160" s="262"/>
      <c r="BO160" s="242">
        <f t="shared" si="133"/>
        <v>0</v>
      </c>
      <c r="BP160" s="1231">
        <f t="shared" si="134"/>
        <v>0</v>
      </c>
      <c r="BQ160" s="243"/>
      <c r="BR160" s="110"/>
      <c r="BS160" s="226"/>
      <c r="BT160" s="110"/>
      <c r="BU160" s="263"/>
      <c r="BV160" s="110"/>
      <c r="BW160" s="348"/>
      <c r="BX160" s="110"/>
      <c r="BY160" s="263"/>
      <c r="BZ160" s="110"/>
      <c r="CA160" s="263"/>
      <c r="CB160" s="110"/>
      <c r="CC160" s="263"/>
      <c r="CD160" s="110"/>
      <c r="CE160" s="226"/>
      <c r="CF160" s="110"/>
      <c r="CG160" s="263"/>
      <c r="CH160" s="110"/>
      <c r="CI160" s="226"/>
      <c r="CJ160" s="110"/>
      <c r="CK160" s="155">
        <v>1</v>
      </c>
      <c r="CL160" s="181" t="s">
        <v>1123</v>
      </c>
      <c r="CM160" s="181"/>
      <c r="CN160" s="207"/>
      <c r="CO160" s="155" t="s">
        <v>122</v>
      </c>
      <c r="CP160" s="155"/>
      <c r="CQ160" s="207" t="s">
        <v>4239</v>
      </c>
      <c r="CR160" s="207" t="s">
        <v>4240</v>
      </c>
      <c r="CS160" s="116" t="str">
        <f t="shared" si="9"/>
        <v>Pacci</v>
      </c>
      <c r="CT160" s="820"/>
      <c r="CU160" s="820"/>
      <c r="CV160" s="116" t="str">
        <f t="shared" si="10"/>
        <v>Pacci</v>
      </c>
      <c r="CW160" s="181"/>
      <c r="CX160" s="779"/>
      <c r="CY160" s="729"/>
      <c r="CZ160" s="729"/>
      <c r="DA160" s="729"/>
      <c r="DB160" s="729"/>
      <c r="DC160" s="729"/>
      <c r="DD160" s="265"/>
      <c r="DE160" s="265"/>
      <c r="DF160" s="265"/>
      <c r="DG160" s="265"/>
      <c r="DH160" s="265"/>
      <c r="DI160" s="265"/>
      <c r="DJ160" s="265"/>
      <c r="DK160" s="265"/>
      <c r="DL160" s="265"/>
      <c r="DM160" s="265"/>
      <c r="DN160" s="265"/>
      <c r="DO160" s="265"/>
      <c r="DP160" s="265"/>
      <c r="DQ160" s="265"/>
      <c r="DR160" s="265"/>
      <c r="DS160" s="265"/>
      <c r="DT160" s="265"/>
    </row>
    <row r="161" spans="1:124" ht="51.75">
      <c r="A161" s="228"/>
      <c r="B161" s="1237"/>
      <c r="C161" s="155">
        <f t="shared" si="154"/>
        <v>47</v>
      </c>
      <c r="D161" s="781">
        <v>1</v>
      </c>
      <c r="E161" s="781">
        <v>1</v>
      </c>
      <c r="F161" s="781">
        <v>1</v>
      </c>
      <c r="G161" s="112" t="s">
        <v>4241</v>
      </c>
      <c r="H161" s="112" t="s">
        <v>4242</v>
      </c>
      <c r="I161" s="1234" t="s">
        <v>4243</v>
      </c>
      <c r="J161" s="207" t="str">
        <f t="shared" si="0"/>
        <v>Marianna Sabadini</v>
      </c>
      <c r="K161" s="156"/>
      <c r="L161" s="131" t="s">
        <v>4235</v>
      </c>
      <c r="M161" s="207" t="s">
        <v>4244</v>
      </c>
      <c r="N161" s="131" t="str">
        <f t="shared" si="1"/>
        <v>Valmon StampatI</v>
      </c>
      <c r="O161" s="1297"/>
      <c r="P161" s="251"/>
      <c r="Q161" s="131"/>
      <c r="R161" s="252"/>
      <c r="S161" s="254"/>
      <c r="T161" s="346"/>
      <c r="U161" s="253"/>
      <c r="V161" s="253"/>
      <c r="W161" s="251"/>
      <c r="X161" s="131"/>
      <c r="Y161" s="251"/>
      <c r="Z161" s="251"/>
      <c r="AA161" s="251"/>
      <c r="AB161" s="255"/>
      <c r="AC161" s="256"/>
      <c r="AD161" s="121" t="s">
        <v>4237</v>
      </c>
      <c r="AE161" s="80" t="str">
        <f t="shared" ref="AE161:AE167" si="163">L161</f>
        <v>FATTURA CON FINANZIAMENTO - 30/60/90 il pagamento - n° ordine 15004 del 17/10/2022</v>
      </c>
      <c r="AF161" s="257"/>
      <c r="AG161" s="155"/>
      <c r="AH161" s="155"/>
      <c r="AI161" s="155"/>
      <c r="AJ161" s="257"/>
      <c r="AK161" s="155"/>
      <c r="AL161" s="155"/>
      <c r="AM161" s="155"/>
      <c r="AN161" s="257"/>
      <c r="AO161" s="258"/>
      <c r="AP161" s="258"/>
      <c r="AQ161" s="258"/>
      <c r="AR161" s="211"/>
      <c r="AS161" s="259" t="s">
        <v>115</v>
      </c>
      <c r="AT161" s="259" t="s">
        <v>115</v>
      </c>
      <c r="AU161" s="259" t="s">
        <v>115</v>
      </c>
      <c r="AV161" s="211"/>
      <c r="AW161" s="259"/>
      <c r="AX161" s="259"/>
      <c r="AY161" s="259"/>
      <c r="AZ161" s="808">
        <f t="shared" si="159"/>
        <v>3000</v>
      </c>
      <c r="BA161" s="761">
        <f t="shared" si="98"/>
        <v>3000</v>
      </c>
      <c r="BB161" s="761">
        <f t="shared" si="4"/>
        <v>0</v>
      </c>
      <c r="BC161" s="262"/>
      <c r="BD161" s="824">
        <f t="shared" si="162"/>
        <v>3000</v>
      </c>
      <c r="BE161" s="1231"/>
      <c r="BF161" s="306" t="s">
        <v>262</v>
      </c>
      <c r="BG161" s="145">
        <v>0.15</v>
      </c>
      <c r="BH161" s="262"/>
      <c r="BI161" s="242">
        <f t="shared" si="137"/>
        <v>450</v>
      </c>
      <c r="BJ161" s="1232">
        <f t="shared" si="152"/>
        <v>0</v>
      </c>
      <c r="BK161" s="774" t="s">
        <v>4245</v>
      </c>
      <c r="BL161" s="1303" t="s">
        <v>262</v>
      </c>
      <c r="BM161" s="145">
        <v>0.05</v>
      </c>
      <c r="BN161" s="262"/>
      <c r="BO161" s="242">
        <f t="shared" si="133"/>
        <v>150</v>
      </c>
      <c r="BP161" s="1231">
        <f t="shared" si="134"/>
        <v>0</v>
      </c>
      <c r="BQ161" s="774" t="s">
        <v>4245</v>
      </c>
      <c r="BR161" s="110">
        <v>500</v>
      </c>
      <c r="BS161" s="226">
        <v>44895</v>
      </c>
      <c r="BT161" s="110">
        <v>500</v>
      </c>
      <c r="BU161" s="263"/>
      <c r="BV161" s="110">
        <f t="shared" ref="BV161:BV165" si="164">500+500</f>
        <v>1000</v>
      </c>
      <c r="BW161" s="348">
        <v>44926</v>
      </c>
      <c r="BX161" s="110">
        <f t="shared" ref="BX161:BX165" si="165">500+500</f>
        <v>1000</v>
      </c>
      <c r="BY161" s="263"/>
      <c r="BZ161" s="110">
        <f t="shared" ref="BZ161:BZ165" si="166">500+500</f>
        <v>1000</v>
      </c>
      <c r="CA161" s="348">
        <v>44957</v>
      </c>
      <c r="CB161" s="110">
        <f t="shared" ref="CB161:CB165" si="167">500+500</f>
        <v>1000</v>
      </c>
      <c r="CC161" s="263"/>
      <c r="CD161" s="110">
        <v>500</v>
      </c>
      <c r="CE161" s="348">
        <v>44985</v>
      </c>
      <c r="CF161" s="110">
        <v>500</v>
      </c>
      <c r="CG161" s="263"/>
      <c r="CH161" s="110"/>
      <c r="CI161" s="348"/>
      <c r="CJ161" s="110"/>
      <c r="CK161" s="155">
        <v>1</v>
      </c>
      <c r="CL161" s="181" t="s">
        <v>1123</v>
      </c>
      <c r="CM161" s="181"/>
      <c r="CN161" s="207"/>
      <c r="CO161" s="815" t="s">
        <v>215</v>
      </c>
      <c r="CP161" s="155"/>
      <c r="CQ161" s="207" t="s">
        <v>4239</v>
      </c>
      <c r="CR161" s="207" t="s">
        <v>4240</v>
      </c>
      <c r="CS161" s="116" t="str">
        <f t="shared" si="9"/>
        <v>Pacci</v>
      </c>
      <c r="CT161" s="820">
        <f t="shared" ref="CT161:CT239" si="168">IF(OR(D161&gt;0,E161&gt;0,F161&gt;0),IF(BB161=0,BD161*BG161,0))</f>
        <v>450</v>
      </c>
      <c r="CU161" s="820">
        <f t="shared" ref="CU161:CU239" si="169">IF(OR(D161&gt;0,E161&gt;0,F161&gt;0),IF(BB161=0,BD161*BM161,0))</f>
        <v>150</v>
      </c>
      <c r="CV161" s="116" t="str">
        <f t="shared" si="10"/>
        <v>Pacci</v>
      </c>
      <c r="CW161" s="181"/>
      <c r="CX161" s="779"/>
      <c r="CY161" s="729"/>
      <c r="CZ161" s="729"/>
      <c r="DA161" s="729"/>
      <c r="DB161" s="729"/>
      <c r="DC161" s="729"/>
      <c r="DD161" s="265"/>
      <c r="DE161" s="265"/>
      <c r="DF161" s="265"/>
      <c r="DG161" s="265"/>
      <c r="DH161" s="265"/>
      <c r="DI161" s="265"/>
      <c r="DJ161" s="265"/>
      <c r="DK161" s="265"/>
      <c r="DL161" s="265"/>
      <c r="DM161" s="265"/>
      <c r="DN161" s="265"/>
      <c r="DO161" s="265"/>
      <c r="DP161" s="265"/>
      <c r="DQ161" s="265"/>
      <c r="DR161" s="265"/>
      <c r="DS161" s="265"/>
      <c r="DT161" s="265"/>
    </row>
    <row r="162" spans="1:124" ht="51.75">
      <c r="A162" s="228"/>
      <c r="B162" s="1237"/>
      <c r="C162" s="155">
        <f t="shared" si="154"/>
        <v>48</v>
      </c>
      <c r="D162" s="781">
        <v>1</v>
      </c>
      <c r="E162" s="781">
        <v>1</v>
      </c>
      <c r="F162" s="781">
        <v>1</v>
      </c>
      <c r="G162" s="112" t="s">
        <v>4246</v>
      </c>
      <c r="H162" s="112" t="s">
        <v>4247</v>
      </c>
      <c r="I162" s="1234" t="s">
        <v>4248</v>
      </c>
      <c r="J162" s="207" t="str">
        <f t="shared" si="0"/>
        <v>Erika Manara</v>
      </c>
      <c r="K162" s="156"/>
      <c r="L162" s="131" t="s">
        <v>4235</v>
      </c>
      <c r="M162" s="207" t="s">
        <v>4244</v>
      </c>
      <c r="N162" s="131" t="str">
        <f t="shared" si="1"/>
        <v>Valmon StampatI</v>
      </c>
      <c r="O162" s="1297"/>
      <c r="P162" s="251"/>
      <c r="Q162" s="131"/>
      <c r="R162" s="252"/>
      <c r="S162" s="254"/>
      <c r="T162" s="346"/>
      <c r="U162" s="253"/>
      <c r="V162" s="253"/>
      <c r="W162" s="251"/>
      <c r="X162" s="131"/>
      <c r="Y162" s="251"/>
      <c r="Z162" s="251"/>
      <c r="AA162" s="251"/>
      <c r="AB162" s="255"/>
      <c r="AC162" s="256"/>
      <c r="AD162" s="121" t="s">
        <v>4237</v>
      </c>
      <c r="AE162" s="80" t="str">
        <f t="shared" si="163"/>
        <v>FATTURA CON FINANZIAMENTO - 30/60/90 il pagamento - n° ordine 15004 del 17/10/2022</v>
      </c>
      <c r="AF162" s="257"/>
      <c r="AG162" s="155"/>
      <c r="AH162" s="155"/>
      <c r="AI162" s="155"/>
      <c r="AJ162" s="257"/>
      <c r="AK162" s="155"/>
      <c r="AL162" s="155"/>
      <c r="AM162" s="155"/>
      <c r="AN162" s="257"/>
      <c r="AO162" s="258"/>
      <c r="AP162" s="258"/>
      <c r="AQ162" s="258"/>
      <c r="AR162" s="211"/>
      <c r="AS162" s="259" t="s">
        <v>115</v>
      </c>
      <c r="AT162" s="259" t="s">
        <v>115</v>
      </c>
      <c r="AU162" s="259" t="s">
        <v>115</v>
      </c>
      <c r="AV162" s="211"/>
      <c r="AW162" s="259"/>
      <c r="AX162" s="259"/>
      <c r="AY162" s="259"/>
      <c r="AZ162" s="808">
        <f t="shared" si="159"/>
        <v>3000</v>
      </c>
      <c r="BA162" s="761">
        <f t="shared" si="98"/>
        <v>3000</v>
      </c>
      <c r="BB162" s="761">
        <f t="shared" si="4"/>
        <v>0</v>
      </c>
      <c r="BC162" s="262"/>
      <c r="BD162" s="824">
        <f t="shared" si="162"/>
        <v>3000</v>
      </c>
      <c r="BE162" s="1231"/>
      <c r="BF162" s="306" t="s">
        <v>262</v>
      </c>
      <c r="BG162" s="145">
        <v>0.15</v>
      </c>
      <c r="BH162" s="262"/>
      <c r="BI162" s="242">
        <f t="shared" si="137"/>
        <v>450</v>
      </c>
      <c r="BJ162" s="1232">
        <f t="shared" si="152"/>
        <v>0</v>
      </c>
      <c r="BK162" s="774" t="s">
        <v>4245</v>
      </c>
      <c r="BL162" s="1303" t="s">
        <v>262</v>
      </c>
      <c r="BM162" s="145">
        <v>0.05</v>
      </c>
      <c r="BN162" s="262"/>
      <c r="BO162" s="242">
        <f t="shared" si="133"/>
        <v>150</v>
      </c>
      <c r="BP162" s="1231">
        <f t="shared" si="134"/>
        <v>0</v>
      </c>
      <c r="BQ162" s="774" t="s">
        <v>4245</v>
      </c>
      <c r="BR162" s="110">
        <v>500</v>
      </c>
      <c r="BS162" s="226">
        <v>44895</v>
      </c>
      <c r="BT162" s="110">
        <v>500</v>
      </c>
      <c r="BU162" s="263"/>
      <c r="BV162" s="110">
        <f t="shared" si="164"/>
        <v>1000</v>
      </c>
      <c r="BW162" s="348">
        <v>44926</v>
      </c>
      <c r="BX162" s="110">
        <f t="shared" si="165"/>
        <v>1000</v>
      </c>
      <c r="BY162" s="263"/>
      <c r="BZ162" s="110">
        <f t="shared" si="166"/>
        <v>1000</v>
      </c>
      <c r="CA162" s="348">
        <v>44957</v>
      </c>
      <c r="CB162" s="110">
        <f t="shared" si="167"/>
        <v>1000</v>
      </c>
      <c r="CC162" s="263"/>
      <c r="CD162" s="110">
        <v>500</v>
      </c>
      <c r="CE162" s="348">
        <v>44985</v>
      </c>
      <c r="CF162" s="110">
        <v>500</v>
      </c>
      <c r="CG162" s="263"/>
      <c r="CH162" s="110"/>
      <c r="CI162" s="348"/>
      <c r="CJ162" s="110"/>
      <c r="CK162" s="155">
        <v>1</v>
      </c>
      <c r="CL162" s="181" t="s">
        <v>1123</v>
      </c>
      <c r="CM162" s="181"/>
      <c r="CN162" s="207"/>
      <c r="CO162" s="815" t="s">
        <v>215</v>
      </c>
      <c r="CP162" s="155"/>
      <c r="CQ162" s="207" t="s">
        <v>4239</v>
      </c>
      <c r="CR162" s="207" t="s">
        <v>4240</v>
      </c>
      <c r="CS162" s="116" t="str">
        <f t="shared" si="9"/>
        <v>Pacci</v>
      </c>
      <c r="CT162" s="820">
        <f t="shared" si="168"/>
        <v>450</v>
      </c>
      <c r="CU162" s="820">
        <f t="shared" si="169"/>
        <v>150</v>
      </c>
      <c r="CV162" s="116" t="str">
        <f t="shared" si="10"/>
        <v>Pacci</v>
      </c>
      <c r="CW162" s="181"/>
      <c r="CX162" s="779"/>
      <c r="CY162" s="729"/>
      <c r="CZ162" s="729"/>
      <c r="DA162" s="729"/>
      <c r="DB162" s="729"/>
      <c r="DC162" s="729"/>
      <c r="DD162" s="265"/>
      <c r="DE162" s="265"/>
      <c r="DF162" s="265"/>
      <c r="DG162" s="265"/>
      <c r="DH162" s="265"/>
      <c r="DI162" s="265"/>
      <c r="DJ162" s="265"/>
      <c r="DK162" s="265"/>
      <c r="DL162" s="265"/>
      <c r="DM162" s="265"/>
      <c r="DN162" s="265"/>
      <c r="DO162" s="265"/>
      <c r="DP162" s="265"/>
      <c r="DQ162" s="265"/>
      <c r="DR162" s="265"/>
      <c r="DS162" s="265"/>
      <c r="DT162" s="265"/>
    </row>
    <row r="163" spans="1:124" ht="51.75">
      <c r="A163" s="228"/>
      <c r="B163" s="1237"/>
      <c r="C163" s="155">
        <f t="shared" si="154"/>
        <v>49</v>
      </c>
      <c r="D163" s="781">
        <v>1</v>
      </c>
      <c r="E163" s="781">
        <v>1</v>
      </c>
      <c r="F163" s="781">
        <v>1</v>
      </c>
      <c r="G163" s="112" t="s">
        <v>238</v>
      </c>
      <c r="H163" s="112" t="s">
        <v>4249</v>
      </c>
      <c r="I163" s="1234" t="s">
        <v>4250</v>
      </c>
      <c r="J163" s="207" t="str">
        <f t="shared" si="0"/>
        <v>Carlo Varisco</v>
      </c>
      <c r="K163" s="156"/>
      <c r="L163" s="131" t="s">
        <v>4235</v>
      </c>
      <c r="M163" s="207" t="s">
        <v>1258</v>
      </c>
      <c r="N163" s="131" t="str">
        <f t="shared" si="1"/>
        <v>Valmon StampatI</v>
      </c>
      <c r="O163" s="1297"/>
      <c r="P163" s="251"/>
      <c r="Q163" s="131"/>
      <c r="R163" s="252"/>
      <c r="S163" s="254"/>
      <c r="T163" s="346"/>
      <c r="U163" s="253"/>
      <c r="V163" s="253"/>
      <c r="W163" s="251"/>
      <c r="X163" s="131"/>
      <c r="Y163" s="251"/>
      <c r="Z163" s="251"/>
      <c r="AA163" s="251"/>
      <c r="AB163" s="255"/>
      <c r="AC163" s="256"/>
      <c r="AD163" s="121" t="s">
        <v>4237</v>
      </c>
      <c r="AE163" s="80" t="str">
        <f t="shared" si="163"/>
        <v>FATTURA CON FINANZIAMENTO - 30/60/90 il pagamento - n° ordine 15004 del 17/10/2022</v>
      </c>
      <c r="AF163" s="257"/>
      <c r="AG163" s="155"/>
      <c r="AH163" s="155"/>
      <c r="AI163" s="155"/>
      <c r="AJ163" s="257"/>
      <c r="AK163" s="155"/>
      <c r="AL163" s="155"/>
      <c r="AM163" s="155"/>
      <c r="AN163" s="257"/>
      <c r="AO163" s="258"/>
      <c r="AP163" s="258"/>
      <c r="AQ163" s="258"/>
      <c r="AR163" s="211"/>
      <c r="AS163" s="259" t="s">
        <v>115</v>
      </c>
      <c r="AT163" s="259" t="s">
        <v>115</v>
      </c>
      <c r="AU163" s="259" t="s">
        <v>115</v>
      </c>
      <c r="AV163" s="211"/>
      <c r="AW163" s="259"/>
      <c r="AX163" s="259"/>
      <c r="AY163" s="259"/>
      <c r="AZ163" s="808">
        <f t="shared" si="159"/>
        <v>3000</v>
      </c>
      <c r="BA163" s="761">
        <f t="shared" si="98"/>
        <v>3000</v>
      </c>
      <c r="BB163" s="761">
        <f t="shared" si="4"/>
        <v>0</v>
      </c>
      <c r="BC163" s="262"/>
      <c r="BD163" s="824">
        <f t="shared" si="162"/>
        <v>3000</v>
      </c>
      <c r="BE163" s="1231"/>
      <c r="BF163" s="306" t="s">
        <v>262</v>
      </c>
      <c r="BG163" s="145">
        <v>0.15</v>
      </c>
      <c r="BH163" s="262"/>
      <c r="BI163" s="242">
        <f t="shared" si="137"/>
        <v>450</v>
      </c>
      <c r="BJ163" s="1232">
        <f t="shared" si="152"/>
        <v>0</v>
      </c>
      <c r="BK163" s="774" t="s">
        <v>4245</v>
      </c>
      <c r="BL163" s="1303" t="s">
        <v>262</v>
      </c>
      <c r="BM163" s="145">
        <v>0.05</v>
      </c>
      <c r="BN163" s="262"/>
      <c r="BO163" s="242">
        <f t="shared" si="133"/>
        <v>150</v>
      </c>
      <c r="BP163" s="1231">
        <f t="shared" si="134"/>
        <v>0</v>
      </c>
      <c r="BQ163" s="774" t="s">
        <v>4245</v>
      </c>
      <c r="BR163" s="110">
        <v>500</v>
      </c>
      <c r="BS163" s="226">
        <v>44895</v>
      </c>
      <c r="BT163" s="110">
        <v>500</v>
      </c>
      <c r="BU163" s="263"/>
      <c r="BV163" s="110">
        <f t="shared" si="164"/>
        <v>1000</v>
      </c>
      <c r="BW163" s="348">
        <v>44926</v>
      </c>
      <c r="BX163" s="110">
        <f t="shared" si="165"/>
        <v>1000</v>
      </c>
      <c r="BY163" s="263"/>
      <c r="BZ163" s="110">
        <f t="shared" si="166"/>
        <v>1000</v>
      </c>
      <c r="CA163" s="348">
        <v>44957</v>
      </c>
      <c r="CB163" s="110">
        <f t="shared" si="167"/>
        <v>1000</v>
      </c>
      <c r="CC163" s="263"/>
      <c r="CD163" s="110">
        <v>500</v>
      </c>
      <c r="CE163" s="348">
        <v>44985</v>
      </c>
      <c r="CF163" s="110">
        <v>500</v>
      </c>
      <c r="CG163" s="263"/>
      <c r="CH163" s="110"/>
      <c r="CI163" s="348"/>
      <c r="CJ163" s="110"/>
      <c r="CK163" s="155">
        <v>1</v>
      </c>
      <c r="CL163" s="181" t="s">
        <v>1123</v>
      </c>
      <c r="CM163" s="181"/>
      <c r="CN163" s="207"/>
      <c r="CO163" s="815" t="s">
        <v>215</v>
      </c>
      <c r="CP163" s="155"/>
      <c r="CQ163" s="207" t="s">
        <v>4239</v>
      </c>
      <c r="CR163" s="207" t="s">
        <v>4240</v>
      </c>
      <c r="CS163" s="116" t="str">
        <f t="shared" si="9"/>
        <v>Pacci</v>
      </c>
      <c r="CT163" s="820">
        <f t="shared" si="168"/>
        <v>450</v>
      </c>
      <c r="CU163" s="820">
        <f t="shared" si="169"/>
        <v>150</v>
      </c>
      <c r="CV163" s="116" t="str">
        <f t="shared" si="10"/>
        <v>Pacci</v>
      </c>
      <c r="CW163" s="181"/>
      <c r="CX163" s="779"/>
      <c r="CY163" s="729"/>
      <c r="CZ163" s="729"/>
      <c r="DA163" s="729"/>
      <c r="DB163" s="729"/>
      <c r="DC163" s="729"/>
      <c r="DD163" s="265"/>
      <c r="DE163" s="265"/>
      <c r="DF163" s="265"/>
      <c r="DG163" s="265"/>
      <c r="DH163" s="265"/>
      <c r="DI163" s="265"/>
      <c r="DJ163" s="265"/>
      <c r="DK163" s="265"/>
      <c r="DL163" s="265"/>
      <c r="DM163" s="265"/>
      <c r="DN163" s="265"/>
      <c r="DO163" s="265"/>
      <c r="DP163" s="265"/>
      <c r="DQ163" s="265"/>
      <c r="DR163" s="265"/>
      <c r="DS163" s="265"/>
      <c r="DT163" s="265"/>
    </row>
    <row r="164" spans="1:124" ht="51.75">
      <c r="A164" s="228"/>
      <c r="B164" s="1237"/>
      <c r="C164" s="155">
        <f t="shared" si="154"/>
        <v>50</v>
      </c>
      <c r="D164" s="781">
        <v>1</v>
      </c>
      <c r="E164" s="781">
        <v>1</v>
      </c>
      <c r="F164" s="781">
        <v>1</v>
      </c>
      <c r="G164" s="112" t="s">
        <v>204</v>
      </c>
      <c r="H164" s="112" t="s">
        <v>4232</v>
      </c>
      <c r="I164" s="1234" t="s">
        <v>4251</v>
      </c>
      <c r="J164" s="207" t="str">
        <f t="shared" si="0"/>
        <v>Luca Dorofatti</v>
      </c>
      <c r="K164" s="156" t="s">
        <v>4252</v>
      </c>
      <c r="L164" s="131" t="s">
        <v>4235</v>
      </c>
      <c r="M164" s="207"/>
      <c r="N164" s="131" t="str">
        <f t="shared" si="1"/>
        <v>Valmon StampatI</v>
      </c>
      <c r="O164" s="1297"/>
      <c r="P164" s="251"/>
      <c r="Q164" s="131"/>
      <c r="R164" s="252"/>
      <c r="S164" s="254"/>
      <c r="T164" s="346"/>
      <c r="U164" s="253"/>
      <c r="V164" s="253"/>
      <c r="W164" s="251"/>
      <c r="X164" s="131"/>
      <c r="Y164" s="251"/>
      <c r="Z164" s="251"/>
      <c r="AA164" s="251"/>
      <c r="AB164" s="255"/>
      <c r="AC164" s="256"/>
      <c r="AD164" s="121" t="s">
        <v>4237</v>
      </c>
      <c r="AE164" s="80" t="str">
        <f t="shared" si="163"/>
        <v>FATTURA CON FINANZIAMENTO - 30/60/90 il pagamento - n° ordine 15004 del 17/10/2022</v>
      </c>
      <c r="AF164" s="257"/>
      <c r="AG164" s="155"/>
      <c r="AH164" s="155"/>
      <c r="AI164" s="155"/>
      <c r="AJ164" s="257"/>
      <c r="AK164" s="155"/>
      <c r="AL164" s="155"/>
      <c r="AM164" s="155"/>
      <c r="AN164" s="257"/>
      <c r="AO164" s="258"/>
      <c r="AP164" s="258"/>
      <c r="AQ164" s="258"/>
      <c r="AR164" s="211"/>
      <c r="AS164" s="259" t="s">
        <v>115</v>
      </c>
      <c r="AT164" s="259" t="s">
        <v>115</v>
      </c>
      <c r="AU164" s="259" t="s">
        <v>115</v>
      </c>
      <c r="AV164" s="211"/>
      <c r="AW164" s="259"/>
      <c r="AX164" s="259"/>
      <c r="AY164" s="259"/>
      <c r="AZ164" s="808">
        <f t="shared" si="159"/>
        <v>3000</v>
      </c>
      <c r="BA164" s="761">
        <f t="shared" si="98"/>
        <v>3000</v>
      </c>
      <c r="BB164" s="761">
        <f t="shared" si="4"/>
        <v>0</v>
      </c>
      <c r="BC164" s="262"/>
      <c r="BD164" s="824">
        <f t="shared" si="162"/>
        <v>3000</v>
      </c>
      <c r="BE164" s="1231"/>
      <c r="BF164" s="306" t="s">
        <v>262</v>
      </c>
      <c r="BG164" s="145">
        <v>0.15</v>
      </c>
      <c r="BH164" s="262"/>
      <c r="BI164" s="242">
        <f t="shared" si="137"/>
        <v>450</v>
      </c>
      <c r="BJ164" s="1232">
        <f t="shared" si="152"/>
        <v>0</v>
      </c>
      <c r="BK164" s="774" t="s">
        <v>4245</v>
      </c>
      <c r="BL164" s="1303" t="s">
        <v>262</v>
      </c>
      <c r="BM164" s="145">
        <v>0.05</v>
      </c>
      <c r="BN164" s="262"/>
      <c r="BO164" s="242">
        <f t="shared" si="133"/>
        <v>150</v>
      </c>
      <c r="BP164" s="1231">
        <f t="shared" si="134"/>
        <v>0</v>
      </c>
      <c r="BQ164" s="774" t="s">
        <v>4245</v>
      </c>
      <c r="BR164" s="110">
        <v>500</v>
      </c>
      <c r="BS164" s="226">
        <v>44895</v>
      </c>
      <c r="BT164" s="110">
        <v>500</v>
      </c>
      <c r="BU164" s="263"/>
      <c r="BV164" s="110">
        <f t="shared" si="164"/>
        <v>1000</v>
      </c>
      <c r="BW164" s="348">
        <v>44926</v>
      </c>
      <c r="BX164" s="110">
        <f t="shared" si="165"/>
        <v>1000</v>
      </c>
      <c r="BY164" s="263"/>
      <c r="BZ164" s="110">
        <f t="shared" si="166"/>
        <v>1000</v>
      </c>
      <c r="CA164" s="348">
        <v>44957</v>
      </c>
      <c r="CB164" s="110">
        <f t="shared" si="167"/>
        <v>1000</v>
      </c>
      <c r="CC164" s="263"/>
      <c r="CD164" s="110">
        <v>500</v>
      </c>
      <c r="CE164" s="348">
        <v>44985</v>
      </c>
      <c r="CF164" s="110">
        <v>500</v>
      </c>
      <c r="CG164" s="263"/>
      <c r="CH164" s="110"/>
      <c r="CI164" s="348"/>
      <c r="CJ164" s="110"/>
      <c r="CK164" s="155">
        <v>1</v>
      </c>
      <c r="CL164" s="181" t="s">
        <v>1123</v>
      </c>
      <c r="CM164" s="181"/>
      <c r="CN164" s="207"/>
      <c r="CO164" s="155" t="s">
        <v>122</v>
      </c>
      <c r="CP164" s="155"/>
      <c r="CQ164" s="207" t="s">
        <v>4239</v>
      </c>
      <c r="CR164" s="207" t="s">
        <v>4240</v>
      </c>
      <c r="CS164" s="116" t="str">
        <f t="shared" si="9"/>
        <v>Pacci</v>
      </c>
      <c r="CT164" s="820">
        <f t="shared" si="168"/>
        <v>450</v>
      </c>
      <c r="CU164" s="820">
        <f t="shared" si="169"/>
        <v>150</v>
      </c>
      <c r="CV164" s="116" t="str">
        <f t="shared" si="10"/>
        <v>Pacci</v>
      </c>
      <c r="CW164" s="181"/>
      <c r="CX164" s="779"/>
      <c r="CY164" s="729"/>
      <c r="CZ164" s="729"/>
      <c r="DA164" s="729"/>
      <c r="DB164" s="729"/>
      <c r="DC164" s="729"/>
      <c r="DD164" s="265"/>
      <c r="DE164" s="265"/>
      <c r="DF164" s="265"/>
      <c r="DG164" s="265"/>
      <c r="DH164" s="265"/>
      <c r="DI164" s="265"/>
      <c r="DJ164" s="265"/>
      <c r="DK164" s="265"/>
      <c r="DL164" s="265"/>
      <c r="DM164" s="265"/>
      <c r="DN164" s="265"/>
      <c r="DO164" s="265"/>
      <c r="DP164" s="265"/>
      <c r="DQ164" s="265"/>
      <c r="DR164" s="265"/>
      <c r="DS164" s="265"/>
      <c r="DT164" s="265"/>
    </row>
    <row r="165" spans="1:124" ht="51.75">
      <c r="A165" s="228"/>
      <c r="B165" s="1237"/>
      <c r="C165" s="155">
        <f t="shared" si="154"/>
        <v>51</v>
      </c>
      <c r="D165" s="781">
        <v>1</v>
      </c>
      <c r="E165" s="781">
        <v>1</v>
      </c>
      <c r="F165" s="781">
        <v>1</v>
      </c>
      <c r="G165" s="112" t="s">
        <v>321</v>
      </c>
      <c r="H165" s="112" t="s">
        <v>4232</v>
      </c>
      <c r="I165" s="1234" t="s">
        <v>4253</v>
      </c>
      <c r="J165" s="207" t="str">
        <f t="shared" si="0"/>
        <v>Davide Dorofatti</v>
      </c>
      <c r="K165" s="156">
        <v>3921336426</v>
      </c>
      <c r="L165" s="131" t="s">
        <v>4235</v>
      </c>
      <c r="M165" s="207"/>
      <c r="N165" s="131" t="str">
        <f t="shared" si="1"/>
        <v>Valmon StampatI</v>
      </c>
      <c r="O165" s="1297"/>
      <c r="P165" s="251"/>
      <c r="Q165" s="131"/>
      <c r="R165" s="252"/>
      <c r="S165" s="254"/>
      <c r="T165" s="346"/>
      <c r="U165" s="253"/>
      <c r="V165" s="253"/>
      <c r="W165" s="251"/>
      <c r="X165" s="131"/>
      <c r="Y165" s="251"/>
      <c r="Z165" s="251"/>
      <c r="AA165" s="251"/>
      <c r="AB165" s="255"/>
      <c r="AC165" s="256"/>
      <c r="AD165" s="121" t="s">
        <v>4237</v>
      </c>
      <c r="AE165" s="80" t="str">
        <f t="shared" si="163"/>
        <v>FATTURA CON FINANZIAMENTO - 30/60/90 il pagamento - n° ordine 15004 del 17/10/2022</v>
      </c>
      <c r="AF165" s="257"/>
      <c r="AG165" s="155"/>
      <c r="AH165" s="155"/>
      <c r="AI165" s="155"/>
      <c r="AJ165" s="257"/>
      <c r="AK165" s="155"/>
      <c r="AL165" s="155"/>
      <c r="AM165" s="155"/>
      <c r="AN165" s="257"/>
      <c r="AO165" s="258"/>
      <c r="AP165" s="258"/>
      <c r="AQ165" s="258"/>
      <c r="AR165" s="211"/>
      <c r="AS165" s="259" t="s">
        <v>115</v>
      </c>
      <c r="AT165" s="259" t="s">
        <v>115</v>
      </c>
      <c r="AU165" s="259" t="s">
        <v>115</v>
      </c>
      <c r="AV165" s="211"/>
      <c r="AW165" s="259"/>
      <c r="AX165" s="259"/>
      <c r="AY165" s="259"/>
      <c r="AZ165" s="808">
        <f t="shared" si="159"/>
        <v>3000</v>
      </c>
      <c r="BA165" s="761">
        <f t="shared" si="98"/>
        <v>3000</v>
      </c>
      <c r="BB165" s="761">
        <f t="shared" si="4"/>
        <v>0</v>
      </c>
      <c r="BC165" s="262"/>
      <c r="BD165" s="824">
        <f t="shared" si="162"/>
        <v>3000</v>
      </c>
      <c r="BE165" s="1231"/>
      <c r="BF165" s="306" t="s">
        <v>262</v>
      </c>
      <c r="BG165" s="145">
        <v>0.15</v>
      </c>
      <c r="BH165" s="262"/>
      <c r="BI165" s="242">
        <f t="shared" si="137"/>
        <v>450</v>
      </c>
      <c r="BJ165" s="1232">
        <f t="shared" si="152"/>
        <v>0</v>
      </c>
      <c r="BK165" s="774" t="s">
        <v>4245</v>
      </c>
      <c r="BL165" s="1303" t="s">
        <v>262</v>
      </c>
      <c r="BM165" s="145">
        <v>0.05</v>
      </c>
      <c r="BN165" s="262"/>
      <c r="BO165" s="242">
        <f t="shared" si="133"/>
        <v>150</v>
      </c>
      <c r="BP165" s="1231">
        <f t="shared" si="134"/>
        <v>0</v>
      </c>
      <c r="BQ165" s="774" t="s">
        <v>4245</v>
      </c>
      <c r="BR165" s="110">
        <v>500</v>
      </c>
      <c r="BS165" s="226">
        <v>44895</v>
      </c>
      <c r="BT165" s="110">
        <v>500</v>
      </c>
      <c r="BU165" s="263"/>
      <c r="BV165" s="110">
        <f t="shared" si="164"/>
        <v>1000</v>
      </c>
      <c r="BW165" s="348">
        <v>44926</v>
      </c>
      <c r="BX165" s="110">
        <f t="shared" si="165"/>
        <v>1000</v>
      </c>
      <c r="BY165" s="263"/>
      <c r="BZ165" s="110">
        <f t="shared" si="166"/>
        <v>1000</v>
      </c>
      <c r="CA165" s="348">
        <v>44957</v>
      </c>
      <c r="CB165" s="110">
        <f t="shared" si="167"/>
        <v>1000</v>
      </c>
      <c r="CC165" s="263"/>
      <c r="CD165" s="110">
        <v>500</v>
      </c>
      <c r="CE165" s="348">
        <v>44985</v>
      </c>
      <c r="CF165" s="110">
        <v>500</v>
      </c>
      <c r="CG165" s="263"/>
      <c r="CH165" s="110"/>
      <c r="CI165" s="348"/>
      <c r="CJ165" s="110"/>
      <c r="CK165" s="155">
        <v>1</v>
      </c>
      <c r="CL165" s="181" t="s">
        <v>1123</v>
      </c>
      <c r="CM165" s="181"/>
      <c r="CN165" s="207"/>
      <c r="CO165" s="155" t="s">
        <v>122</v>
      </c>
      <c r="CP165" s="155"/>
      <c r="CQ165" s="207" t="s">
        <v>4239</v>
      </c>
      <c r="CR165" s="207" t="s">
        <v>4240</v>
      </c>
      <c r="CS165" s="116" t="str">
        <f t="shared" si="9"/>
        <v>Pacci</v>
      </c>
      <c r="CT165" s="820">
        <f t="shared" si="168"/>
        <v>450</v>
      </c>
      <c r="CU165" s="820">
        <f t="shared" si="169"/>
        <v>150</v>
      </c>
      <c r="CV165" s="116" t="str">
        <f t="shared" si="10"/>
        <v>Pacci</v>
      </c>
      <c r="CW165" s="181"/>
      <c r="CX165" s="779"/>
      <c r="CY165" s="729"/>
      <c r="CZ165" s="729"/>
      <c r="DA165" s="729"/>
      <c r="DB165" s="729"/>
      <c r="DC165" s="729"/>
      <c r="DD165" s="265"/>
      <c r="DE165" s="265"/>
      <c r="DF165" s="265"/>
      <c r="DG165" s="265"/>
      <c r="DH165" s="265"/>
      <c r="DI165" s="265"/>
      <c r="DJ165" s="265"/>
      <c r="DK165" s="265"/>
      <c r="DL165" s="265"/>
      <c r="DM165" s="265"/>
      <c r="DN165" s="265"/>
      <c r="DO165" s="265"/>
      <c r="DP165" s="265"/>
      <c r="DQ165" s="265"/>
      <c r="DR165" s="265"/>
      <c r="DS165" s="265"/>
      <c r="DT165" s="265"/>
    </row>
    <row r="166" spans="1:124" ht="30" customHeight="1">
      <c r="A166" s="228"/>
      <c r="B166" s="1237"/>
      <c r="C166" s="155">
        <f t="shared" si="154"/>
        <v>52</v>
      </c>
      <c r="D166" s="781">
        <v>1</v>
      </c>
      <c r="E166" s="781">
        <v>1</v>
      </c>
      <c r="F166" s="781">
        <v>1</v>
      </c>
      <c r="G166" s="112" t="s">
        <v>3959</v>
      </c>
      <c r="H166" s="112" t="s">
        <v>4254</v>
      </c>
      <c r="I166" s="1296" t="s">
        <v>4255</v>
      </c>
      <c r="J166" s="207" t="str">
        <f t="shared" si="0"/>
        <v>Fabio  Formentini</v>
      </c>
      <c r="K166" s="156" t="s">
        <v>4256</v>
      </c>
      <c r="L166" s="204" t="s">
        <v>4257</v>
      </c>
      <c r="M166" s="131" t="s">
        <v>4258</v>
      </c>
      <c r="N166" s="131" t="str">
        <f t="shared" si="1"/>
        <v>BM Group polytec</v>
      </c>
      <c r="O166" s="1297"/>
      <c r="P166" s="251"/>
      <c r="Q166" s="131"/>
      <c r="R166" s="252"/>
      <c r="S166" s="254"/>
      <c r="T166" s="346"/>
      <c r="U166" s="253"/>
      <c r="V166" s="253"/>
      <c r="W166" s="251"/>
      <c r="X166" s="131"/>
      <c r="Y166" s="251"/>
      <c r="Z166" s="251"/>
      <c r="AA166" s="251"/>
      <c r="AB166" s="255"/>
      <c r="AC166" s="256"/>
      <c r="AD166" s="121" t="s">
        <v>4259</v>
      </c>
      <c r="AE166" s="80" t="str">
        <f t="shared" si="163"/>
        <v>METTERE BM GROUP POLYTEC SPA  NEL K-CHAIN</v>
      </c>
      <c r="AF166" s="257"/>
      <c r="AG166" s="155"/>
      <c r="AH166" s="155"/>
      <c r="AI166" s="155"/>
      <c r="AJ166" s="257"/>
      <c r="AK166" s="155"/>
      <c r="AL166" s="155"/>
      <c r="AM166" s="155"/>
      <c r="AN166" s="257"/>
      <c r="AO166" s="258"/>
      <c r="AP166" s="258"/>
      <c r="AQ166" s="258"/>
      <c r="AR166" s="211"/>
      <c r="AS166" s="259" t="s">
        <v>115</v>
      </c>
      <c r="AT166" s="259" t="s">
        <v>115</v>
      </c>
      <c r="AU166" s="259" t="s">
        <v>115</v>
      </c>
      <c r="AV166" s="211"/>
      <c r="AW166" s="259"/>
      <c r="AX166" s="259"/>
      <c r="AY166" s="259"/>
      <c r="AZ166" s="808">
        <f t="shared" si="159"/>
        <v>2997</v>
      </c>
      <c r="BA166" s="761">
        <f t="shared" si="98"/>
        <v>2997</v>
      </c>
      <c r="BB166" s="761">
        <f t="shared" si="4"/>
        <v>0</v>
      </c>
      <c r="BC166" s="262"/>
      <c r="BD166" s="824">
        <f t="shared" si="162"/>
        <v>2997</v>
      </c>
      <c r="BE166" s="1231"/>
      <c r="BF166" s="363" t="s">
        <v>117</v>
      </c>
      <c r="BG166" s="98">
        <v>0</v>
      </c>
      <c r="BH166" s="262"/>
      <c r="BI166" s="242">
        <f t="shared" si="137"/>
        <v>0</v>
      </c>
      <c r="BJ166" s="1232">
        <f t="shared" si="152"/>
        <v>0</v>
      </c>
      <c r="BK166" s="244" t="s">
        <v>118</v>
      </c>
      <c r="BL166" s="828" t="s">
        <v>152</v>
      </c>
      <c r="BM166" s="145">
        <v>0.05</v>
      </c>
      <c r="BN166" s="262"/>
      <c r="BO166" s="242">
        <f t="shared" si="133"/>
        <v>149.85</v>
      </c>
      <c r="BP166" s="1231">
        <f t="shared" si="134"/>
        <v>0</v>
      </c>
      <c r="BQ166" s="387" t="s">
        <v>1076</v>
      </c>
      <c r="BR166" s="110">
        <v>2997</v>
      </c>
      <c r="BS166" s="226">
        <v>44834</v>
      </c>
      <c r="BT166" s="110">
        <v>2997</v>
      </c>
      <c r="BU166" s="263"/>
      <c r="BV166" s="110"/>
      <c r="BW166" s="348"/>
      <c r="BX166" s="110"/>
      <c r="BY166" s="263"/>
      <c r="BZ166" s="110"/>
      <c r="CA166" s="263"/>
      <c r="CB166" s="110"/>
      <c r="CC166" s="263"/>
      <c r="CD166" s="110"/>
      <c r="CE166" s="226"/>
      <c r="CF166" s="110"/>
      <c r="CG166" s="263"/>
      <c r="CH166" s="110"/>
      <c r="CI166" s="226"/>
      <c r="CJ166" s="110"/>
      <c r="CK166" s="155">
        <v>1</v>
      </c>
      <c r="CL166" s="181" t="s">
        <v>1123</v>
      </c>
      <c r="CM166" s="181"/>
      <c r="CN166" s="207"/>
      <c r="CO166" s="155" t="s">
        <v>122</v>
      </c>
      <c r="CP166" s="155"/>
      <c r="CQ166" s="207" t="s">
        <v>4260</v>
      </c>
      <c r="CR166" s="207" t="s">
        <v>4261</v>
      </c>
      <c r="CS166" s="116" t="str">
        <f t="shared" si="9"/>
        <v>blackship</v>
      </c>
      <c r="CT166" s="820">
        <f t="shared" si="168"/>
        <v>0</v>
      </c>
      <c r="CU166" s="820">
        <f t="shared" si="169"/>
        <v>149.85</v>
      </c>
      <c r="CV166" s="116" t="str">
        <f t="shared" si="10"/>
        <v>Client Angel</v>
      </c>
      <c r="CW166" s="181"/>
      <c r="CX166" s="779"/>
      <c r="CY166" s="729"/>
      <c r="CZ166" s="729"/>
      <c r="DA166" s="729"/>
      <c r="DB166" s="729"/>
      <c r="DC166" s="729"/>
      <c r="DD166" s="265"/>
      <c r="DE166" s="265"/>
      <c r="DF166" s="265"/>
      <c r="DG166" s="265"/>
      <c r="DH166" s="265"/>
      <c r="DI166" s="265"/>
      <c r="DJ166" s="265"/>
      <c r="DK166" s="265"/>
      <c r="DL166" s="265"/>
      <c r="DM166" s="265"/>
      <c r="DN166" s="265"/>
      <c r="DO166" s="265"/>
      <c r="DP166" s="265"/>
      <c r="DQ166" s="265"/>
      <c r="DR166" s="265"/>
      <c r="DS166" s="265"/>
      <c r="DT166" s="265"/>
    </row>
    <row r="167" spans="1:124" ht="30" customHeight="1">
      <c r="A167" s="228"/>
      <c r="B167" s="1237"/>
      <c r="C167" s="155">
        <f t="shared" si="154"/>
        <v>53</v>
      </c>
      <c r="D167" s="781"/>
      <c r="E167" s="781"/>
      <c r="F167" s="781"/>
      <c r="G167" s="112" t="s">
        <v>4262</v>
      </c>
      <c r="H167" s="112" t="s">
        <v>4263</v>
      </c>
      <c r="I167" s="207" t="s">
        <v>4264</v>
      </c>
      <c r="J167" s="207" t="str">
        <f t="shared" si="0"/>
        <v>Fabricio Brignoli</v>
      </c>
      <c r="K167" s="156" t="s">
        <v>4265</v>
      </c>
      <c r="L167" s="204" t="s">
        <v>2892</v>
      </c>
      <c r="M167" s="131" t="s">
        <v>514</v>
      </c>
      <c r="N167" s="131" t="str">
        <f t="shared" si="1"/>
        <v>Gatti Filtrazioni Lubrificanti</v>
      </c>
      <c r="O167" s="1297"/>
      <c r="P167" s="251"/>
      <c r="Q167" s="131"/>
      <c r="R167" s="252"/>
      <c r="S167" s="254"/>
      <c r="T167" s="346"/>
      <c r="U167" s="253"/>
      <c r="V167" s="253"/>
      <c r="W167" s="251"/>
      <c r="X167" s="131"/>
      <c r="Y167" s="251"/>
      <c r="Z167" s="251"/>
      <c r="AA167" s="251"/>
      <c r="AB167" s="255"/>
      <c r="AC167" s="256"/>
      <c r="AD167" s="121"/>
      <c r="AE167" s="80" t="str">
        <f t="shared" si="163"/>
        <v>NON HA FLAGGATO TIPOLOGIA DI PAGAMENTO</v>
      </c>
      <c r="AF167" s="257"/>
      <c r="AG167" s="155"/>
      <c r="AH167" s="155"/>
      <c r="AI167" s="155"/>
      <c r="AJ167" s="257"/>
      <c r="AK167" s="155"/>
      <c r="AL167" s="155"/>
      <c r="AM167" s="155"/>
      <c r="AN167" s="257"/>
      <c r="AO167" s="258"/>
      <c r="AP167" s="258"/>
      <c r="AQ167" s="258"/>
      <c r="AR167" s="211"/>
      <c r="AS167" s="259"/>
      <c r="AT167" s="259"/>
      <c r="AU167" s="259"/>
      <c r="AV167" s="211"/>
      <c r="AW167" s="259" t="s">
        <v>151</v>
      </c>
      <c r="AX167" s="259" t="s">
        <v>151</v>
      </c>
      <c r="AY167" s="259" t="s">
        <v>151</v>
      </c>
      <c r="AZ167" s="808">
        <f t="shared" si="159"/>
        <v>2997</v>
      </c>
      <c r="BA167" s="761">
        <f t="shared" si="98"/>
        <v>0</v>
      </c>
      <c r="BB167" s="761">
        <f t="shared" si="4"/>
        <v>2997</v>
      </c>
      <c r="BC167" s="262"/>
      <c r="BD167" s="824">
        <v>0</v>
      </c>
      <c r="BE167" s="1231">
        <v>2997</v>
      </c>
      <c r="BF167" s="383" t="s">
        <v>117</v>
      </c>
      <c r="BG167" s="98">
        <v>0</v>
      </c>
      <c r="BH167" s="262"/>
      <c r="BI167" s="242">
        <f t="shared" si="137"/>
        <v>0</v>
      </c>
      <c r="BJ167" s="1232">
        <f t="shared" si="152"/>
        <v>0</v>
      </c>
      <c r="BK167" s="243"/>
      <c r="BL167" s="289" t="s">
        <v>160</v>
      </c>
      <c r="BM167" s="145">
        <v>0.05</v>
      </c>
      <c r="BN167" s="262"/>
      <c r="BO167" s="242">
        <f t="shared" si="133"/>
        <v>0</v>
      </c>
      <c r="BP167" s="1231">
        <f t="shared" si="134"/>
        <v>149.85</v>
      </c>
      <c r="BQ167" s="243"/>
      <c r="BR167" s="110">
        <v>2997</v>
      </c>
      <c r="BS167" s="226">
        <v>44834</v>
      </c>
      <c r="BT167" s="110"/>
      <c r="BU167" s="263"/>
      <c r="BV167" s="110"/>
      <c r="BW167" s="348"/>
      <c r="BX167" s="110"/>
      <c r="BY167" s="263"/>
      <c r="BZ167" s="110"/>
      <c r="CA167" s="263"/>
      <c r="CB167" s="110"/>
      <c r="CC167" s="263"/>
      <c r="CD167" s="110"/>
      <c r="CE167" s="226"/>
      <c r="CF167" s="110"/>
      <c r="CG167" s="263"/>
      <c r="CH167" s="110"/>
      <c r="CI167" s="226"/>
      <c r="CJ167" s="110"/>
      <c r="CK167" s="155">
        <v>0</v>
      </c>
      <c r="CL167" s="181" t="s">
        <v>154</v>
      </c>
      <c r="CM167" s="181"/>
      <c r="CN167" s="207"/>
      <c r="CO167" s="207"/>
      <c r="CP167" s="155"/>
      <c r="CQ167" s="131"/>
      <c r="CR167" s="1324" t="s">
        <v>921</v>
      </c>
      <c r="CS167" s="116" t="str">
        <f t="shared" si="9"/>
        <v>blackship</v>
      </c>
      <c r="CT167" s="820" t="b">
        <f t="shared" si="168"/>
        <v>0</v>
      </c>
      <c r="CU167" s="820" t="b">
        <f t="shared" si="169"/>
        <v>0</v>
      </c>
      <c r="CV167" s="116" t="str">
        <f t="shared" si="10"/>
        <v>Gianluca</v>
      </c>
      <c r="CW167" s="181"/>
      <c r="CX167" s="779"/>
      <c r="CY167" s="729"/>
      <c r="CZ167" s="729"/>
      <c r="DA167" s="729"/>
      <c r="DB167" s="729"/>
      <c r="DC167" s="729"/>
      <c r="DD167" s="265"/>
      <c r="DE167" s="265"/>
      <c r="DF167" s="265"/>
      <c r="DG167" s="265"/>
      <c r="DH167" s="265"/>
      <c r="DI167" s="265"/>
      <c r="DJ167" s="265"/>
      <c r="DK167" s="265"/>
      <c r="DL167" s="265"/>
      <c r="DM167" s="265"/>
      <c r="DN167" s="265"/>
      <c r="DO167" s="265"/>
      <c r="DP167" s="265"/>
      <c r="DQ167" s="265"/>
      <c r="DR167" s="265"/>
      <c r="DS167" s="265"/>
      <c r="DT167" s="265"/>
    </row>
    <row r="168" spans="1:124" ht="30" customHeight="1">
      <c r="A168" s="228"/>
      <c r="B168" s="1237"/>
      <c r="C168" s="155">
        <f t="shared" si="154"/>
        <v>54</v>
      </c>
      <c r="D168" s="781"/>
      <c r="E168" s="781"/>
      <c r="F168" s="781"/>
      <c r="G168" s="112" t="s">
        <v>4266</v>
      </c>
      <c r="H168" s="112" t="s">
        <v>4267</v>
      </c>
      <c r="I168" s="207" t="s">
        <v>4268</v>
      </c>
      <c r="J168" s="207" t="str">
        <f t="shared" si="0"/>
        <v>Fathy Neanaa</v>
      </c>
      <c r="K168" s="156" t="s">
        <v>4269</v>
      </c>
      <c r="L168" s="204" t="s">
        <v>2892</v>
      </c>
      <c r="M168" s="131" t="s">
        <v>514</v>
      </c>
      <c r="N168" s="131" t="str">
        <f t="shared" si="1"/>
        <v>Ciambelle Digitali</v>
      </c>
      <c r="O168" s="1297"/>
      <c r="P168" s="251"/>
      <c r="Q168" s="131"/>
      <c r="R168" s="252"/>
      <c r="S168" s="254"/>
      <c r="T168" s="346"/>
      <c r="U168" s="253"/>
      <c r="V168" s="253"/>
      <c r="W168" s="251"/>
      <c r="X168" s="131"/>
      <c r="Y168" s="251"/>
      <c r="Z168" s="251"/>
      <c r="AA168" s="251"/>
      <c r="AB168" s="255"/>
      <c r="AC168" s="256"/>
      <c r="AD168" s="121"/>
      <c r="AE168" s="80" t="str">
        <f>L167</f>
        <v>NON HA FLAGGATO TIPOLOGIA DI PAGAMENTO</v>
      </c>
      <c r="AF168" s="257"/>
      <c r="AG168" s="155"/>
      <c r="AH168" s="155"/>
      <c r="AI168" s="155"/>
      <c r="AJ168" s="257"/>
      <c r="AK168" s="155"/>
      <c r="AL168" s="155"/>
      <c r="AM168" s="155"/>
      <c r="AN168" s="257"/>
      <c r="AO168" s="258"/>
      <c r="AP168" s="258"/>
      <c r="AQ168" s="258"/>
      <c r="AR168" s="211"/>
      <c r="AS168" s="259"/>
      <c r="AT168" s="259"/>
      <c r="AU168" s="259"/>
      <c r="AV168" s="211"/>
      <c r="AW168" s="259" t="s">
        <v>151</v>
      </c>
      <c r="AX168" s="259" t="s">
        <v>151</v>
      </c>
      <c r="AY168" s="259" t="s">
        <v>151</v>
      </c>
      <c r="AZ168" s="808">
        <f t="shared" si="159"/>
        <v>2997</v>
      </c>
      <c r="BA168" s="761">
        <f t="shared" si="98"/>
        <v>0</v>
      </c>
      <c r="BB168" s="761">
        <f t="shared" si="4"/>
        <v>2997</v>
      </c>
      <c r="BC168" s="262"/>
      <c r="BD168" s="824">
        <v>0</v>
      </c>
      <c r="BE168" s="1231">
        <v>2997</v>
      </c>
      <c r="BF168" s="383" t="s">
        <v>166</v>
      </c>
      <c r="BG168" s="145">
        <v>0.15</v>
      </c>
      <c r="BH168" s="262"/>
      <c r="BI168" s="242">
        <f t="shared" si="137"/>
        <v>0</v>
      </c>
      <c r="BJ168" s="1232">
        <f t="shared" si="152"/>
        <v>449.55</v>
      </c>
      <c r="BK168" s="243"/>
      <c r="BL168" s="289" t="s">
        <v>166</v>
      </c>
      <c r="BM168" s="145">
        <v>0.05</v>
      </c>
      <c r="BN168" s="262"/>
      <c r="BO168" s="242">
        <f t="shared" si="133"/>
        <v>0</v>
      </c>
      <c r="BP168" s="1231">
        <f t="shared" si="134"/>
        <v>149.85</v>
      </c>
      <c r="BQ168" s="243"/>
      <c r="BR168" s="110">
        <v>2997</v>
      </c>
      <c r="BS168" s="226">
        <v>44834</v>
      </c>
      <c r="BT168" s="110"/>
      <c r="BU168" s="263"/>
      <c r="BV168" s="110"/>
      <c r="BW168" s="348"/>
      <c r="BX168" s="110"/>
      <c r="BY168" s="263"/>
      <c r="BZ168" s="110"/>
      <c r="CA168" s="263"/>
      <c r="CB168" s="110"/>
      <c r="CC168" s="263"/>
      <c r="CD168" s="110"/>
      <c r="CE168" s="226"/>
      <c r="CF168" s="110"/>
      <c r="CG168" s="263"/>
      <c r="CH168" s="110"/>
      <c r="CI168" s="226"/>
      <c r="CJ168" s="110"/>
      <c r="CK168" s="155">
        <v>0</v>
      </c>
      <c r="CL168" s="181" t="s">
        <v>154</v>
      </c>
      <c r="CM168" s="181"/>
      <c r="CN168" s="207"/>
      <c r="CO168" s="207"/>
      <c r="CP168" s="155"/>
      <c r="CQ168" s="131"/>
      <c r="CR168" s="823" t="s">
        <v>4270</v>
      </c>
      <c r="CS168" s="116" t="str">
        <f t="shared" si="9"/>
        <v>Matteo</v>
      </c>
      <c r="CT168" s="820" t="b">
        <f t="shared" si="168"/>
        <v>0</v>
      </c>
      <c r="CU168" s="820" t="b">
        <f t="shared" si="169"/>
        <v>0</v>
      </c>
      <c r="CV168" s="116" t="str">
        <f t="shared" si="10"/>
        <v>Matteo</v>
      </c>
      <c r="CW168" s="181"/>
      <c r="CX168" s="779"/>
      <c r="CY168" s="729"/>
      <c r="CZ168" s="729"/>
      <c r="DA168" s="729"/>
      <c r="DB168" s="729"/>
      <c r="DC168" s="729"/>
      <c r="DD168" s="265"/>
      <c r="DE168" s="265"/>
      <c r="DF168" s="265"/>
      <c r="DG168" s="265"/>
      <c r="DH168" s="265"/>
      <c r="DI168" s="265"/>
      <c r="DJ168" s="265"/>
      <c r="DK168" s="265"/>
      <c r="DL168" s="265"/>
      <c r="DM168" s="265"/>
      <c r="DN168" s="265"/>
      <c r="DO168" s="265"/>
      <c r="DP168" s="265"/>
      <c r="DQ168" s="265"/>
      <c r="DR168" s="265"/>
      <c r="DS168" s="265"/>
      <c r="DT168" s="265"/>
    </row>
    <row r="169" spans="1:124" ht="39">
      <c r="A169" s="228"/>
      <c r="B169" s="1314"/>
      <c r="C169" s="155">
        <f t="shared" si="154"/>
        <v>55</v>
      </c>
      <c r="D169" s="781">
        <v>1</v>
      </c>
      <c r="E169" s="781">
        <v>1</v>
      </c>
      <c r="F169" s="781">
        <v>1</v>
      </c>
      <c r="G169" s="112" t="s">
        <v>451</v>
      </c>
      <c r="H169" s="112" t="s">
        <v>4271</v>
      </c>
      <c r="I169" s="1234" t="s">
        <v>4272</v>
      </c>
      <c r="J169" s="207" t="str">
        <f t="shared" si="0"/>
        <v>Fabio Zilioli</v>
      </c>
      <c r="K169" s="156">
        <v>3487673193</v>
      </c>
      <c r="L169" s="204" t="s">
        <v>2892</v>
      </c>
      <c r="M169" s="131" t="s">
        <v>4273</v>
      </c>
      <c r="N169" s="131" t="str">
        <f t="shared" si="1"/>
        <v>Nicoli Trasporti Spedizioni</v>
      </c>
      <c r="O169" s="1297"/>
      <c r="P169" s="251"/>
      <c r="Q169" s="131"/>
      <c r="R169" s="252"/>
      <c r="S169" s="254"/>
      <c r="T169" s="346"/>
      <c r="U169" s="253"/>
      <c r="V169" s="253"/>
      <c r="W169" s="251"/>
      <c r="X169" s="131"/>
      <c r="Y169" s="251"/>
      <c r="Z169" s="251"/>
      <c r="AA169" s="251"/>
      <c r="AB169" s="255"/>
      <c r="AC169" s="256"/>
      <c r="AD169" s="121" t="s">
        <v>4274</v>
      </c>
      <c r="AE169" s="80" t="s">
        <v>4275</v>
      </c>
      <c r="AF169" s="257"/>
      <c r="AG169" s="155"/>
      <c r="AH169" s="155"/>
      <c r="AI169" s="155"/>
      <c r="AJ169" s="257"/>
      <c r="AK169" s="155"/>
      <c r="AL169" s="155"/>
      <c r="AM169" s="155"/>
      <c r="AN169" s="257"/>
      <c r="AO169" s="258"/>
      <c r="AP169" s="258"/>
      <c r="AQ169" s="258"/>
      <c r="AR169" s="211"/>
      <c r="AS169" s="259" t="s">
        <v>115</v>
      </c>
      <c r="AT169" s="259" t="s">
        <v>115</v>
      </c>
      <c r="AU169" s="259" t="s">
        <v>115</v>
      </c>
      <c r="AV169" s="211"/>
      <c r="AW169" s="259"/>
      <c r="AX169" s="259"/>
      <c r="AY169" s="259"/>
      <c r="AZ169" s="808">
        <f t="shared" si="159"/>
        <v>2997</v>
      </c>
      <c r="BA169" s="761">
        <f t="shared" si="98"/>
        <v>2997</v>
      </c>
      <c r="BB169" s="761">
        <f t="shared" si="4"/>
        <v>0</v>
      </c>
      <c r="BC169" s="262"/>
      <c r="BD169" s="824">
        <f t="shared" ref="BD169:BD171" si="170">AZ169</f>
        <v>2997</v>
      </c>
      <c r="BE169" s="1231"/>
      <c r="BF169" s="380" t="s">
        <v>133</v>
      </c>
      <c r="BG169" s="145">
        <v>0.15</v>
      </c>
      <c r="BH169" s="110"/>
      <c r="BI169" s="242">
        <f t="shared" si="137"/>
        <v>449.55</v>
      </c>
      <c r="BJ169" s="1231">
        <f t="shared" si="152"/>
        <v>0</v>
      </c>
      <c r="BK169" s="387" t="s">
        <v>1076</v>
      </c>
      <c r="BL169" s="825" t="s">
        <v>133</v>
      </c>
      <c r="BM169" s="145">
        <v>0.05</v>
      </c>
      <c r="BN169" s="110"/>
      <c r="BO169" s="242">
        <f t="shared" si="133"/>
        <v>149.85</v>
      </c>
      <c r="BP169" s="1231">
        <f t="shared" si="134"/>
        <v>0</v>
      </c>
      <c r="BQ169" s="387" t="s">
        <v>1076</v>
      </c>
      <c r="BR169" s="110">
        <v>2997</v>
      </c>
      <c r="BS169" s="226">
        <v>44855</v>
      </c>
      <c r="BT169" s="110">
        <v>2997</v>
      </c>
      <c r="BU169" s="263"/>
      <c r="BV169" s="110"/>
      <c r="BW169" s="348"/>
      <c r="BX169" s="110"/>
      <c r="BY169" s="263"/>
      <c r="BZ169" s="110"/>
      <c r="CA169" s="263"/>
      <c r="CB169" s="110"/>
      <c r="CC169" s="263"/>
      <c r="CD169" s="110"/>
      <c r="CE169" s="226"/>
      <c r="CF169" s="110"/>
      <c r="CG169" s="263"/>
      <c r="CH169" s="110"/>
      <c r="CI169" s="226"/>
      <c r="CJ169" s="110"/>
      <c r="CK169" s="155">
        <v>1</v>
      </c>
      <c r="CL169" s="181" t="s">
        <v>1123</v>
      </c>
      <c r="CM169" s="181"/>
      <c r="CN169" s="207"/>
      <c r="CO169" s="155" t="s">
        <v>122</v>
      </c>
      <c r="CP169" s="155"/>
      <c r="CQ169" s="823" t="s">
        <v>4276</v>
      </c>
      <c r="CR169" s="131" t="s">
        <v>4277</v>
      </c>
      <c r="CS169" s="116" t="str">
        <f t="shared" si="9"/>
        <v>Cristian B</v>
      </c>
      <c r="CT169" s="820">
        <f t="shared" si="168"/>
        <v>449.55</v>
      </c>
      <c r="CU169" s="820">
        <f t="shared" si="169"/>
        <v>149.85</v>
      </c>
      <c r="CV169" s="116" t="str">
        <f t="shared" si="10"/>
        <v>Cristian B</v>
      </c>
      <c r="CW169" s="181"/>
      <c r="CX169" s="779"/>
      <c r="CY169" s="729"/>
      <c r="CZ169" s="729"/>
      <c r="DA169" s="729"/>
      <c r="DB169" s="729"/>
      <c r="DC169" s="729"/>
      <c r="DD169" s="265"/>
      <c r="DE169" s="265"/>
      <c r="DF169" s="265"/>
      <c r="DG169" s="265"/>
      <c r="DH169" s="265"/>
      <c r="DI169" s="265"/>
      <c r="DJ169" s="265"/>
      <c r="DK169" s="265"/>
      <c r="DL169" s="265"/>
      <c r="DM169" s="265"/>
      <c r="DN169" s="265"/>
      <c r="DO169" s="265"/>
      <c r="DP169" s="265"/>
      <c r="DQ169" s="265"/>
      <c r="DR169" s="265"/>
      <c r="DS169" s="265"/>
      <c r="DT169" s="265"/>
    </row>
    <row r="170" spans="1:124" ht="26.25">
      <c r="A170" s="228"/>
      <c r="B170" s="1314"/>
      <c r="C170" s="155">
        <f t="shared" si="154"/>
        <v>56</v>
      </c>
      <c r="D170" s="781">
        <v>1</v>
      </c>
      <c r="E170" s="781">
        <v>1</v>
      </c>
      <c r="F170" s="781">
        <v>1</v>
      </c>
      <c r="G170" s="112" t="s">
        <v>1134</v>
      </c>
      <c r="H170" s="112" t="s">
        <v>4278</v>
      </c>
      <c r="I170" s="1234" t="s">
        <v>4279</v>
      </c>
      <c r="J170" s="207" t="str">
        <f t="shared" si="0"/>
        <v>Massimo Sassi</v>
      </c>
      <c r="K170" s="156"/>
      <c r="L170" s="125" t="s">
        <v>4275</v>
      </c>
      <c r="M170" s="356" t="s">
        <v>333</v>
      </c>
      <c r="N170" s="131" t="str">
        <f t="shared" si="1"/>
        <v>Nicoli Trasporti Spedizioni</v>
      </c>
      <c r="O170" s="1297"/>
      <c r="P170" s="251"/>
      <c r="Q170" s="131"/>
      <c r="R170" s="252"/>
      <c r="S170" s="254"/>
      <c r="T170" s="346"/>
      <c r="U170" s="253"/>
      <c r="V170" s="253"/>
      <c r="W170" s="251"/>
      <c r="X170" s="131"/>
      <c r="Y170" s="251"/>
      <c r="Z170" s="251"/>
      <c r="AA170" s="251"/>
      <c r="AB170" s="255"/>
      <c r="AC170" s="256"/>
      <c r="AD170" s="121" t="s">
        <v>4274</v>
      </c>
      <c r="AE170" s="80" t="s">
        <v>4275</v>
      </c>
      <c r="AF170" s="257"/>
      <c r="AG170" s="155"/>
      <c r="AH170" s="155"/>
      <c r="AI170" s="155"/>
      <c r="AJ170" s="257"/>
      <c r="AK170" s="155"/>
      <c r="AL170" s="155"/>
      <c r="AM170" s="155"/>
      <c r="AN170" s="257"/>
      <c r="AO170" s="258"/>
      <c r="AP170" s="258"/>
      <c r="AQ170" s="258"/>
      <c r="AR170" s="211"/>
      <c r="AS170" s="259" t="s">
        <v>115</v>
      </c>
      <c r="AT170" s="259" t="s">
        <v>115</v>
      </c>
      <c r="AU170" s="259" t="s">
        <v>115</v>
      </c>
      <c r="AV170" s="211"/>
      <c r="AW170" s="259"/>
      <c r="AX170" s="259"/>
      <c r="AY170" s="259"/>
      <c r="AZ170" s="808">
        <f t="shared" si="159"/>
        <v>2997</v>
      </c>
      <c r="BA170" s="761">
        <f t="shared" si="98"/>
        <v>2997</v>
      </c>
      <c r="BB170" s="761">
        <f t="shared" si="4"/>
        <v>0</v>
      </c>
      <c r="BC170" s="262"/>
      <c r="BD170" s="824">
        <f t="shared" si="170"/>
        <v>2997</v>
      </c>
      <c r="BE170" s="1231"/>
      <c r="BF170" s="380" t="s">
        <v>133</v>
      </c>
      <c r="BG170" s="145">
        <v>0.15</v>
      </c>
      <c r="BH170" s="110"/>
      <c r="BI170" s="242">
        <f t="shared" si="137"/>
        <v>449.55</v>
      </c>
      <c r="BJ170" s="1231">
        <f t="shared" si="152"/>
        <v>0</v>
      </c>
      <c r="BK170" s="387" t="s">
        <v>1076</v>
      </c>
      <c r="BL170" s="825" t="s">
        <v>133</v>
      </c>
      <c r="BM170" s="145">
        <v>0.05</v>
      </c>
      <c r="BN170" s="110"/>
      <c r="BO170" s="242">
        <f t="shared" si="133"/>
        <v>149.85</v>
      </c>
      <c r="BP170" s="1231">
        <f t="shared" si="134"/>
        <v>0</v>
      </c>
      <c r="BQ170" s="387" t="s">
        <v>1076</v>
      </c>
      <c r="BR170" s="110">
        <v>2997</v>
      </c>
      <c r="BS170" s="226">
        <v>44855</v>
      </c>
      <c r="BT170" s="110">
        <v>2997</v>
      </c>
      <c r="BU170" s="263"/>
      <c r="BV170" s="110"/>
      <c r="BW170" s="348"/>
      <c r="BX170" s="110"/>
      <c r="BY170" s="263"/>
      <c r="BZ170" s="110"/>
      <c r="CA170" s="263"/>
      <c r="CB170" s="110"/>
      <c r="CC170" s="263"/>
      <c r="CD170" s="110"/>
      <c r="CE170" s="226"/>
      <c r="CF170" s="110"/>
      <c r="CG170" s="263"/>
      <c r="CH170" s="110"/>
      <c r="CI170" s="226"/>
      <c r="CJ170" s="110"/>
      <c r="CK170" s="155">
        <v>1</v>
      </c>
      <c r="CL170" s="181" t="s">
        <v>1123</v>
      </c>
      <c r="CM170" s="181"/>
      <c r="CN170" s="207"/>
      <c r="CO170" s="155" t="s">
        <v>122</v>
      </c>
      <c r="CP170" s="155"/>
      <c r="CQ170" s="823" t="s">
        <v>4276</v>
      </c>
      <c r="CR170" s="131" t="s">
        <v>4277</v>
      </c>
      <c r="CS170" s="116" t="str">
        <f t="shared" si="9"/>
        <v>Cristian B</v>
      </c>
      <c r="CT170" s="820">
        <f t="shared" si="168"/>
        <v>449.55</v>
      </c>
      <c r="CU170" s="820">
        <f t="shared" si="169"/>
        <v>149.85</v>
      </c>
      <c r="CV170" s="116" t="str">
        <f t="shared" si="10"/>
        <v>Cristian B</v>
      </c>
      <c r="CW170" s="181"/>
      <c r="CX170" s="779"/>
      <c r="CY170" s="729"/>
      <c r="CZ170" s="729"/>
      <c r="DA170" s="729"/>
      <c r="DB170" s="729"/>
      <c r="DC170" s="729"/>
      <c r="DD170" s="265"/>
      <c r="DE170" s="265"/>
      <c r="DF170" s="265"/>
      <c r="DG170" s="265"/>
      <c r="DH170" s="265"/>
      <c r="DI170" s="265"/>
      <c r="DJ170" s="265"/>
      <c r="DK170" s="265"/>
      <c r="DL170" s="265"/>
      <c r="DM170" s="265"/>
      <c r="DN170" s="265"/>
      <c r="DO170" s="265"/>
      <c r="DP170" s="265"/>
      <c r="DQ170" s="265"/>
      <c r="DR170" s="265"/>
      <c r="DS170" s="265"/>
      <c r="DT170" s="265"/>
    </row>
    <row r="171" spans="1:124" ht="26.25">
      <c r="A171" s="228"/>
      <c r="B171" s="1314"/>
      <c r="C171" s="155">
        <f t="shared" si="154"/>
        <v>57</v>
      </c>
      <c r="D171" s="781">
        <v>1</v>
      </c>
      <c r="E171" s="781">
        <v>1</v>
      </c>
      <c r="F171" s="781">
        <v>1</v>
      </c>
      <c r="G171" s="112" t="s">
        <v>1307</v>
      </c>
      <c r="H171" s="112" t="s">
        <v>4280</v>
      </c>
      <c r="I171" s="1234" t="s">
        <v>4281</v>
      </c>
      <c r="J171" s="207" t="str">
        <f t="shared" si="0"/>
        <v>Alberto Salvatoni</v>
      </c>
      <c r="K171" s="156"/>
      <c r="L171" s="125" t="s">
        <v>4275</v>
      </c>
      <c r="M171" s="131" t="s">
        <v>1148</v>
      </c>
      <c r="N171" s="131" t="str">
        <f t="shared" si="1"/>
        <v>Nicoli Trasporti Spedizioni</v>
      </c>
      <c r="O171" s="1297"/>
      <c r="P171" s="251"/>
      <c r="Q171" s="131"/>
      <c r="R171" s="252"/>
      <c r="S171" s="254"/>
      <c r="T171" s="346"/>
      <c r="U171" s="253"/>
      <c r="V171" s="253"/>
      <c r="W171" s="251"/>
      <c r="X171" s="131"/>
      <c r="Y171" s="251"/>
      <c r="Z171" s="251"/>
      <c r="AA171" s="251"/>
      <c r="AB171" s="255"/>
      <c r="AC171" s="256"/>
      <c r="AD171" s="121" t="s">
        <v>4274</v>
      </c>
      <c r="AE171" s="80" t="s">
        <v>4275</v>
      </c>
      <c r="AF171" s="257"/>
      <c r="AG171" s="155"/>
      <c r="AH171" s="155"/>
      <c r="AI171" s="155"/>
      <c r="AJ171" s="257"/>
      <c r="AK171" s="155"/>
      <c r="AL171" s="155"/>
      <c r="AM171" s="155"/>
      <c r="AN171" s="257"/>
      <c r="AO171" s="258"/>
      <c r="AP171" s="258"/>
      <c r="AQ171" s="258"/>
      <c r="AR171" s="211"/>
      <c r="AS171" s="259" t="s">
        <v>115</v>
      </c>
      <c r="AT171" s="259" t="s">
        <v>115</v>
      </c>
      <c r="AU171" s="259" t="s">
        <v>115</v>
      </c>
      <c r="AV171" s="211"/>
      <c r="AW171" s="259"/>
      <c r="AX171" s="259"/>
      <c r="AY171" s="259"/>
      <c r="AZ171" s="808">
        <f t="shared" si="159"/>
        <v>2997</v>
      </c>
      <c r="BA171" s="761">
        <f t="shared" si="98"/>
        <v>2997</v>
      </c>
      <c r="BB171" s="761">
        <f t="shared" si="4"/>
        <v>0</v>
      </c>
      <c r="BC171" s="262"/>
      <c r="BD171" s="824">
        <f t="shared" si="170"/>
        <v>2997</v>
      </c>
      <c r="BE171" s="1231"/>
      <c r="BF171" s="380" t="s">
        <v>133</v>
      </c>
      <c r="BG171" s="145">
        <v>0.15</v>
      </c>
      <c r="BH171" s="110"/>
      <c r="BI171" s="242">
        <f t="shared" si="137"/>
        <v>449.55</v>
      </c>
      <c r="BJ171" s="1231">
        <f t="shared" si="152"/>
        <v>0</v>
      </c>
      <c r="BK171" s="387" t="s">
        <v>1076</v>
      </c>
      <c r="BL171" s="825" t="s">
        <v>133</v>
      </c>
      <c r="BM171" s="145">
        <v>0.05</v>
      </c>
      <c r="BN171" s="110"/>
      <c r="BO171" s="242">
        <f t="shared" si="133"/>
        <v>149.85</v>
      </c>
      <c r="BP171" s="1231">
        <f t="shared" si="134"/>
        <v>0</v>
      </c>
      <c r="BQ171" s="387" t="s">
        <v>1076</v>
      </c>
      <c r="BR171" s="110">
        <v>2997</v>
      </c>
      <c r="BS171" s="226">
        <v>44855</v>
      </c>
      <c r="BT171" s="110">
        <v>2997</v>
      </c>
      <c r="BU171" s="263"/>
      <c r="BV171" s="110"/>
      <c r="BW171" s="348"/>
      <c r="BX171" s="110"/>
      <c r="BY171" s="263"/>
      <c r="BZ171" s="110"/>
      <c r="CA171" s="263"/>
      <c r="CB171" s="110"/>
      <c r="CC171" s="263"/>
      <c r="CD171" s="110"/>
      <c r="CE171" s="226"/>
      <c r="CF171" s="110"/>
      <c r="CG171" s="263"/>
      <c r="CH171" s="110"/>
      <c r="CI171" s="226"/>
      <c r="CJ171" s="110"/>
      <c r="CK171" s="155">
        <v>1</v>
      </c>
      <c r="CL171" s="181" t="s">
        <v>1123</v>
      </c>
      <c r="CM171" s="181"/>
      <c r="CN171" s="207"/>
      <c r="CO171" s="815" t="s">
        <v>215</v>
      </c>
      <c r="CP171" s="155"/>
      <c r="CQ171" s="823" t="s">
        <v>4276</v>
      </c>
      <c r="CR171" s="131" t="s">
        <v>4277</v>
      </c>
      <c r="CS171" s="116" t="str">
        <f t="shared" si="9"/>
        <v>Cristian B</v>
      </c>
      <c r="CT171" s="820">
        <f t="shared" si="168"/>
        <v>449.55</v>
      </c>
      <c r="CU171" s="820">
        <f t="shared" si="169"/>
        <v>149.85</v>
      </c>
      <c r="CV171" s="116" t="str">
        <f t="shared" si="10"/>
        <v>Cristian B</v>
      </c>
      <c r="CW171" s="181"/>
      <c r="CX171" s="779"/>
      <c r="CY171" s="729"/>
      <c r="CZ171" s="729"/>
      <c r="DA171" s="729"/>
      <c r="DB171" s="729"/>
      <c r="DC171" s="729"/>
      <c r="DD171" s="265"/>
      <c r="DE171" s="265"/>
      <c r="DF171" s="265"/>
      <c r="DG171" s="265"/>
      <c r="DH171" s="265"/>
      <c r="DI171" s="265"/>
      <c r="DJ171" s="265"/>
      <c r="DK171" s="265"/>
      <c r="DL171" s="265"/>
      <c r="DM171" s="265"/>
      <c r="DN171" s="265"/>
      <c r="DO171" s="265"/>
      <c r="DP171" s="265"/>
      <c r="DQ171" s="265"/>
      <c r="DR171" s="265"/>
      <c r="DS171" s="265"/>
      <c r="DT171" s="265"/>
    </row>
    <row r="172" spans="1:124" ht="26.25">
      <c r="A172" s="228"/>
      <c r="B172" s="1314"/>
      <c r="C172" s="155">
        <f t="shared" si="154"/>
        <v>58</v>
      </c>
      <c r="D172" s="781"/>
      <c r="E172" s="781"/>
      <c r="F172" s="781"/>
      <c r="G172" s="112" t="s">
        <v>4282</v>
      </c>
      <c r="H172" s="112"/>
      <c r="I172" s="207"/>
      <c r="J172" s="207" t="str">
        <f t="shared" si="0"/>
        <v xml:space="preserve">Ospite 3 Fausto Nicoli </v>
      </c>
      <c r="K172" s="156"/>
      <c r="L172" s="125" t="s">
        <v>4275</v>
      </c>
      <c r="M172" s="131" t="s">
        <v>1148</v>
      </c>
      <c r="N172" s="131" t="str">
        <f t="shared" si="1"/>
        <v>Nicoli Trasporti Spedizioni</v>
      </c>
      <c r="O172" s="1297"/>
      <c r="P172" s="251"/>
      <c r="Q172" s="131"/>
      <c r="R172" s="252"/>
      <c r="S172" s="254"/>
      <c r="T172" s="346"/>
      <c r="U172" s="253"/>
      <c r="V172" s="253"/>
      <c r="W172" s="251"/>
      <c r="X172" s="131"/>
      <c r="Y172" s="251"/>
      <c r="Z172" s="251"/>
      <c r="AA172" s="251"/>
      <c r="AB172" s="255"/>
      <c r="AC172" s="256"/>
      <c r="AD172" s="121"/>
      <c r="AE172" s="80" t="s">
        <v>4275</v>
      </c>
      <c r="AF172" s="257"/>
      <c r="AG172" s="155"/>
      <c r="AH172" s="155"/>
      <c r="AI172" s="155"/>
      <c r="AJ172" s="257"/>
      <c r="AK172" s="155"/>
      <c r="AL172" s="155"/>
      <c r="AM172" s="155"/>
      <c r="AN172" s="257"/>
      <c r="AO172" s="258"/>
      <c r="AP172" s="258"/>
      <c r="AQ172" s="258"/>
      <c r="AR172" s="211"/>
      <c r="AS172" s="259"/>
      <c r="AT172" s="259"/>
      <c r="AU172" s="259"/>
      <c r="AV172" s="211"/>
      <c r="AW172" s="259" t="s">
        <v>27</v>
      </c>
      <c r="AX172" s="259" t="s">
        <v>27</v>
      </c>
      <c r="AY172" s="259" t="s">
        <v>27</v>
      </c>
      <c r="AZ172" s="808">
        <f t="shared" si="159"/>
        <v>2997</v>
      </c>
      <c r="BA172" s="761">
        <f t="shared" si="98"/>
        <v>2997</v>
      </c>
      <c r="BB172" s="761">
        <f t="shared" si="4"/>
        <v>0</v>
      </c>
      <c r="BC172" s="262"/>
      <c r="BD172" s="824">
        <v>0</v>
      </c>
      <c r="BE172" s="1231">
        <v>2997</v>
      </c>
      <c r="BF172" s="380" t="s">
        <v>133</v>
      </c>
      <c r="BG172" s="145">
        <v>0.15</v>
      </c>
      <c r="BH172" s="110"/>
      <c r="BI172" s="242">
        <f t="shared" si="137"/>
        <v>0</v>
      </c>
      <c r="BJ172" s="1231">
        <f t="shared" si="152"/>
        <v>449.55</v>
      </c>
      <c r="BK172" s="243"/>
      <c r="BL172" s="825" t="s">
        <v>133</v>
      </c>
      <c r="BM172" s="145">
        <v>0.05</v>
      </c>
      <c r="BN172" s="110"/>
      <c r="BO172" s="242">
        <f t="shared" si="133"/>
        <v>0</v>
      </c>
      <c r="BP172" s="1231">
        <f t="shared" si="134"/>
        <v>149.85</v>
      </c>
      <c r="BQ172" s="243"/>
      <c r="BR172" s="110">
        <v>2997</v>
      </c>
      <c r="BS172" s="226">
        <v>44855</v>
      </c>
      <c r="BT172" s="110">
        <v>2997</v>
      </c>
      <c r="BU172" s="263"/>
      <c r="BV172" s="110"/>
      <c r="BW172" s="348"/>
      <c r="BX172" s="110"/>
      <c r="BY172" s="263"/>
      <c r="BZ172" s="110"/>
      <c r="CA172" s="263"/>
      <c r="CB172" s="110"/>
      <c r="CC172" s="263"/>
      <c r="CD172" s="110"/>
      <c r="CE172" s="226"/>
      <c r="CF172" s="110"/>
      <c r="CG172" s="263"/>
      <c r="CH172" s="110"/>
      <c r="CI172" s="226"/>
      <c r="CJ172" s="110"/>
      <c r="CK172" s="155">
        <v>1</v>
      </c>
      <c r="CL172" s="181" t="s">
        <v>1123</v>
      </c>
      <c r="CM172" s="181"/>
      <c r="CN172" s="207"/>
      <c r="CO172" s="815" t="s">
        <v>215</v>
      </c>
      <c r="CP172" s="155"/>
      <c r="CQ172" s="823" t="s">
        <v>4276</v>
      </c>
      <c r="CR172" s="131" t="s">
        <v>4277</v>
      </c>
      <c r="CS172" s="116" t="str">
        <f t="shared" si="9"/>
        <v>Cristian B</v>
      </c>
      <c r="CT172" s="820" t="b">
        <f t="shared" si="168"/>
        <v>0</v>
      </c>
      <c r="CU172" s="820" t="b">
        <f t="shared" si="169"/>
        <v>0</v>
      </c>
      <c r="CV172" s="116" t="str">
        <f t="shared" si="10"/>
        <v>Cristian B</v>
      </c>
      <c r="CW172" s="181"/>
      <c r="CX172" s="779"/>
      <c r="CY172" s="729"/>
      <c r="CZ172" s="729"/>
      <c r="DA172" s="729"/>
      <c r="DB172" s="729"/>
      <c r="DC172" s="729"/>
      <c r="DD172" s="265"/>
      <c r="DE172" s="265"/>
      <c r="DF172" s="265"/>
      <c r="DG172" s="265"/>
      <c r="DH172" s="265"/>
      <c r="DI172" s="265"/>
      <c r="DJ172" s="265"/>
      <c r="DK172" s="265"/>
      <c r="DL172" s="265"/>
      <c r="DM172" s="265"/>
      <c r="DN172" s="265"/>
      <c r="DO172" s="265"/>
      <c r="DP172" s="265"/>
      <c r="DQ172" s="265"/>
      <c r="DR172" s="265"/>
      <c r="DS172" s="265"/>
      <c r="DT172" s="265"/>
    </row>
    <row r="173" spans="1:124" ht="30" customHeight="1">
      <c r="A173" s="228"/>
      <c r="B173" s="1237"/>
      <c r="C173" s="155">
        <f t="shared" si="154"/>
        <v>59</v>
      </c>
      <c r="D173" s="781">
        <v>1</v>
      </c>
      <c r="E173" s="781">
        <v>1</v>
      </c>
      <c r="F173" s="781"/>
      <c r="G173" s="112" t="s">
        <v>477</v>
      </c>
      <c r="H173" s="112" t="s">
        <v>1211</v>
      </c>
      <c r="I173" s="207" t="s">
        <v>1212</v>
      </c>
      <c r="J173" s="207" t="str">
        <f t="shared" si="0"/>
        <v>Filippo Egizii</v>
      </c>
      <c r="K173" s="156" t="s">
        <v>1213</v>
      </c>
      <c r="L173" s="131"/>
      <c r="M173" s="389" t="s">
        <v>1214</v>
      </c>
      <c r="N173" s="131" t="str">
        <f t="shared" si="1"/>
        <v>Kearney</v>
      </c>
      <c r="O173" s="1297"/>
      <c r="P173" s="251"/>
      <c r="Q173" s="131"/>
      <c r="R173" s="252"/>
      <c r="S173" s="254"/>
      <c r="T173" s="346"/>
      <c r="U173" s="253"/>
      <c r="V173" s="253"/>
      <c r="W173" s="251"/>
      <c r="X173" s="131"/>
      <c r="Y173" s="251"/>
      <c r="Z173" s="251"/>
      <c r="AA173" s="251"/>
      <c r="AB173" s="255"/>
      <c r="AC173" s="256"/>
      <c r="AD173" s="121" t="s">
        <v>1216</v>
      </c>
      <c r="AE173" s="80">
        <f t="shared" ref="AE173:AE174" si="171">L173</f>
        <v>0</v>
      </c>
      <c r="AF173" s="257"/>
      <c r="AG173" s="155"/>
      <c r="AH173" s="155"/>
      <c r="AI173" s="155"/>
      <c r="AJ173" s="257"/>
      <c r="AK173" s="155"/>
      <c r="AL173" s="155"/>
      <c r="AM173" s="155"/>
      <c r="AN173" s="257"/>
      <c r="AO173" s="258"/>
      <c r="AP173" s="258"/>
      <c r="AQ173" s="258"/>
      <c r="AR173" s="211"/>
      <c r="AS173" s="259" t="s">
        <v>115</v>
      </c>
      <c r="AT173" s="259" t="s">
        <v>115</v>
      </c>
      <c r="AU173" s="259"/>
      <c r="AV173" s="211"/>
      <c r="AW173" s="259"/>
      <c r="AX173" s="259"/>
      <c r="AY173" s="259" t="s">
        <v>27</v>
      </c>
      <c r="AZ173" s="808">
        <f t="shared" si="159"/>
        <v>2997</v>
      </c>
      <c r="BA173" s="761">
        <f t="shared" si="98"/>
        <v>2997</v>
      </c>
      <c r="BB173" s="761">
        <f t="shared" si="4"/>
        <v>0</v>
      </c>
      <c r="BC173" s="262"/>
      <c r="BD173" s="824">
        <f>AZ173</f>
        <v>2997</v>
      </c>
      <c r="BE173" s="1231"/>
      <c r="BF173" s="380" t="s">
        <v>451</v>
      </c>
      <c r="BG173" s="145">
        <v>0.15</v>
      </c>
      <c r="BH173" s="110"/>
      <c r="BI173" s="242">
        <f t="shared" si="137"/>
        <v>449.55</v>
      </c>
      <c r="BJ173" s="1231">
        <f t="shared" si="152"/>
        <v>0</v>
      </c>
      <c r="BK173" s="387" t="s">
        <v>1076</v>
      </c>
      <c r="BL173" s="828" t="s">
        <v>451</v>
      </c>
      <c r="BM173" s="145">
        <v>0.05</v>
      </c>
      <c r="BN173" s="110"/>
      <c r="BO173" s="242">
        <f t="shared" si="133"/>
        <v>149.85</v>
      </c>
      <c r="BP173" s="1231">
        <f t="shared" si="134"/>
        <v>0</v>
      </c>
      <c r="BQ173" s="387" t="s">
        <v>1076</v>
      </c>
      <c r="BR173" s="110">
        <v>2997</v>
      </c>
      <c r="BS173" s="226">
        <v>44841</v>
      </c>
      <c r="BT173" s="110">
        <v>2997</v>
      </c>
      <c r="BU173" s="263"/>
      <c r="BV173" s="110"/>
      <c r="BW173" s="348"/>
      <c r="BX173" s="110"/>
      <c r="BY173" s="263"/>
      <c r="BZ173" s="110"/>
      <c r="CA173" s="263"/>
      <c r="CB173" s="110"/>
      <c r="CC173" s="263"/>
      <c r="CD173" s="110"/>
      <c r="CE173" s="226"/>
      <c r="CF173" s="110"/>
      <c r="CG173" s="263"/>
      <c r="CH173" s="110"/>
      <c r="CI173" s="226"/>
      <c r="CJ173" s="110"/>
      <c r="CK173" s="155">
        <v>1</v>
      </c>
      <c r="CL173" s="181" t="s">
        <v>1123</v>
      </c>
      <c r="CM173" s="181"/>
      <c r="CN173" s="207"/>
      <c r="CO173" s="155" t="s">
        <v>122</v>
      </c>
      <c r="CP173" s="155"/>
      <c r="CQ173" s="823" t="s">
        <v>938</v>
      </c>
      <c r="CR173" s="823" t="s">
        <v>1215</v>
      </c>
      <c r="CS173" s="116" t="str">
        <f t="shared" si="9"/>
        <v>Fabio</v>
      </c>
      <c r="CT173" s="820">
        <f t="shared" si="168"/>
        <v>449.55</v>
      </c>
      <c r="CU173" s="820">
        <f t="shared" si="169"/>
        <v>149.85</v>
      </c>
      <c r="CV173" s="116" t="str">
        <f t="shared" si="10"/>
        <v>Fabio</v>
      </c>
      <c r="CW173" s="181"/>
      <c r="CX173" s="779"/>
      <c r="CY173" s="729"/>
      <c r="CZ173" s="729"/>
      <c r="DA173" s="729"/>
      <c r="DB173" s="729"/>
      <c r="DC173" s="729"/>
      <c r="DD173" s="265"/>
      <c r="DE173" s="265"/>
      <c r="DF173" s="265"/>
      <c r="DG173" s="265"/>
      <c r="DH173" s="265"/>
      <c r="DI173" s="265"/>
      <c r="DJ173" s="265"/>
      <c r="DK173" s="265"/>
      <c r="DL173" s="265"/>
      <c r="DM173" s="265"/>
      <c r="DN173" s="265"/>
      <c r="DO173" s="265"/>
      <c r="DP173" s="265"/>
      <c r="DQ173" s="265"/>
      <c r="DR173" s="265"/>
      <c r="DS173" s="265"/>
      <c r="DT173" s="265"/>
    </row>
    <row r="174" spans="1:124" ht="30" customHeight="1">
      <c r="A174" s="228"/>
      <c r="B174" s="1237"/>
      <c r="C174" s="155">
        <f t="shared" si="154"/>
        <v>60</v>
      </c>
      <c r="D174" s="781"/>
      <c r="E174" s="781"/>
      <c r="F174" s="781"/>
      <c r="G174" s="112" t="s">
        <v>954</v>
      </c>
      <c r="H174" s="112" t="s">
        <v>1217</v>
      </c>
      <c r="I174" s="294" t="s">
        <v>1218</v>
      </c>
      <c r="J174" s="207" t="str">
        <f t="shared" si="0"/>
        <v>Flavio Puntin</v>
      </c>
      <c r="K174" s="156" t="s">
        <v>4283</v>
      </c>
      <c r="L174" s="131"/>
      <c r="M174" s="131" t="s">
        <v>1148</v>
      </c>
      <c r="N174" s="131" t="str">
        <f t="shared" si="1"/>
        <v>INOXKING</v>
      </c>
      <c r="O174" s="1297"/>
      <c r="P174" s="251"/>
      <c r="Q174" s="131"/>
      <c r="R174" s="252"/>
      <c r="S174" s="254"/>
      <c r="T174" s="346"/>
      <c r="U174" s="253"/>
      <c r="V174" s="253"/>
      <c r="W174" s="251"/>
      <c r="X174" s="131"/>
      <c r="Y174" s="251"/>
      <c r="Z174" s="251"/>
      <c r="AA174" s="251"/>
      <c r="AB174" s="255"/>
      <c r="AC174" s="256"/>
      <c r="AD174" s="121"/>
      <c r="AE174" s="80">
        <f t="shared" si="171"/>
        <v>0</v>
      </c>
      <c r="AF174" s="257"/>
      <c r="AG174" s="155"/>
      <c r="AH174" s="155"/>
      <c r="AI174" s="155"/>
      <c r="AJ174" s="257"/>
      <c r="AK174" s="155"/>
      <c r="AL174" s="155"/>
      <c r="AM174" s="155"/>
      <c r="AN174" s="257"/>
      <c r="AO174" s="258"/>
      <c r="AP174" s="258"/>
      <c r="AQ174" s="258"/>
      <c r="AR174" s="211"/>
      <c r="AS174" s="259"/>
      <c r="AT174" s="259"/>
      <c r="AU174" s="259"/>
      <c r="AV174" s="211"/>
      <c r="AW174" s="259" t="s">
        <v>151</v>
      </c>
      <c r="AX174" s="259" t="s">
        <v>151</v>
      </c>
      <c r="AY174" s="259" t="s">
        <v>151</v>
      </c>
      <c r="AZ174" s="808">
        <f t="shared" si="159"/>
        <v>2997</v>
      </c>
      <c r="BA174" s="761">
        <f t="shared" si="98"/>
        <v>0</v>
      </c>
      <c r="BB174" s="761">
        <f t="shared" si="4"/>
        <v>2997</v>
      </c>
      <c r="BC174" s="262"/>
      <c r="BD174" s="824">
        <v>0</v>
      </c>
      <c r="BE174" s="1231">
        <v>2997</v>
      </c>
      <c r="BF174" s="392" t="s">
        <v>184</v>
      </c>
      <c r="BG174" s="145">
        <v>0.05</v>
      </c>
      <c r="BH174" s="110"/>
      <c r="BI174" s="242">
        <f t="shared" si="137"/>
        <v>0</v>
      </c>
      <c r="BJ174" s="1231">
        <f t="shared" si="152"/>
        <v>149.85</v>
      </c>
      <c r="BK174" s="243"/>
      <c r="BL174" s="289" t="s">
        <v>184</v>
      </c>
      <c r="BM174" s="145">
        <v>0.05</v>
      </c>
      <c r="BN174" s="110"/>
      <c r="BO174" s="242">
        <f t="shared" si="133"/>
        <v>0</v>
      </c>
      <c r="BP174" s="1231">
        <f t="shared" si="134"/>
        <v>149.85</v>
      </c>
      <c r="BQ174" s="243"/>
      <c r="BR174" s="110">
        <v>2997</v>
      </c>
      <c r="BS174" s="226">
        <v>44834</v>
      </c>
      <c r="BT174" s="110"/>
      <c r="BU174" s="263"/>
      <c r="BV174" s="110"/>
      <c r="BW174" s="348"/>
      <c r="BX174" s="110"/>
      <c r="BY174" s="263"/>
      <c r="BZ174" s="110"/>
      <c r="CA174" s="263"/>
      <c r="CB174" s="110"/>
      <c r="CC174" s="263"/>
      <c r="CD174" s="110"/>
      <c r="CE174" s="226"/>
      <c r="CF174" s="110"/>
      <c r="CG174" s="263"/>
      <c r="CH174" s="110"/>
      <c r="CI174" s="226"/>
      <c r="CJ174" s="110"/>
      <c r="CK174" s="155">
        <v>1</v>
      </c>
      <c r="CL174" s="181" t="s">
        <v>1123</v>
      </c>
      <c r="CM174" s="181"/>
      <c r="CN174" s="207"/>
      <c r="CO174" s="207"/>
      <c r="CP174" s="155"/>
      <c r="CQ174" s="131" t="s">
        <v>1220</v>
      </c>
      <c r="CR174" s="823" t="s">
        <v>1219</v>
      </c>
      <c r="CS174" s="116" t="str">
        <f t="shared" si="9"/>
        <v>Cristian A</v>
      </c>
      <c r="CT174" s="820" t="b">
        <f t="shared" si="168"/>
        <v>0</v>
      </c>
      <c r="CU174" s="820" t="b">
        <f t="shared" si="169"/>
        <v>0</v>
      </c>
      <c r="CV174" s="116" t="str">
        <f t="shared" si="10"/>
        <v>Cristian A</v>
      </c>
      <c r="CW174" s="181"/>
      <c r="CX174" s="779"/>
      <c r="CY174" s="729"/>
      <c r="CZ174" s="729"/>
      <c r="DA174" s="729"/>
      <c r="DB174" s="729"/>
      <c r="DC174" s="729"/>
      <c r="DD174" s="265"/>
      <c r="DE174" s="265"/>
      <c r="DF174" s="265"/>
      <c r="DG174" s="265"/>
      <c r="DH174" s="265"/>
      <c r="DI174" s="265"/>
      <c r="DJ174" s="265"/>
      <c r="DK174" s="265"/>
      <c r="DL174" s="265"/>
      <c r="DM174" s="265"/>
      <c r="DN174" s="265"/>
      <c r="DO174" s="265"/>
      <c r="DP174" s="265"/>
      <c r="DQ174" s="265"/>
      <c r="DR174" s="265"/>
      <c r="DS174" s="265"/>
      <c r="DT174" s="265"/>
    </row>
    <row r="175" spans="1:124" ht="30" customHeight="1">
      <c r="A175" s="228"/>
      <c r="B175" s="1237"/>
      <c r="C175" s="155">
        <f t="shared" si="154"/>
        <v>61</v>
      </c>
      <c r="D175" s="781">
        <v>1</v>
      </c>
      <c r="E175" s="781">
        <v>1</v>
      </c>
      <c r="F175" s="781">
        <v>1</v>
      </c>
      <c r="G175" s="112" t="s">
        <v>488</v>
      </c>
      <c r="H175" s="112" t="s">
        <v>4284</v>
      </c>
      <c r="I175" s="1296" t="s">
        <v>4285</v>
      </c>
      <c r="J175" s="207" t="str">
        <f t="shared" si="0"/>
        <v>Francesca Tomassetti</v>
      </c>
      <c r="K175" s="156" t="s">
        <v>4286</v>
      </c>
      <c r="M175" s="131" t="s">
        <v>4287</v>
      </c>
      <c r="N175" s="131" t="str">
        <f t="shared" si="1"/>
        <v>Tomassetti Francesca</v>
      </c>
      <c r="O175" s="1297"/>
      <c r="P175" s="251"/>
      <c r="Q175" s="131"/>
      <c r="R175" s="252"/>
      <c r="S175" s="254"/>
      <c r="T175" s="346"/>
      <c r="U175" s="253"/>
      <c r="V175" s="253"/>
      <c r="W175" s="251"/>
      <c r="X175" s="131"/>
      <c r="Y175" s="251"/>
      <c r="Z175" s="251"/>
      <c r="AA175" s="251"/>
      <c r="AB175" s="255"/>
      <c r="AC175" s="256"/>
      <c r="AD175" s="121" t="s">
        <v>4288</v>
      </c>
      <c r="AE175" s="80" t="str">
        <f>M175</f>
        <v>Senior Consultant, Business Development</v>
      </c>
      <c r="AF175" s="257"/>
      <c r="AG175" s="155"/>
      <c r="AH175" s="155"/>
      <c r="AI175" s="155"/>
      <c r="AJ175" s="257"/>
      <c r="AK175" s="155"/>
      <c r="AL175" s="155"/>
      <c r="AM175" s="155"/>
      <c r="AN175" s="257"/>
      <c r="AO175" s="258"/>
      <c r="AP175" s="258"/>
      <c r="AQ175" s="258"/>
      <c r="AR175" s="211"/>
      <c r="AS175" s="259" t="s">
        <v>115</v>
      </c>
      <c r="AT175" s="259" t="s">
        <v>115</v>
      </c>
      <c r="AU175" s="259" t="s">
        <v>115</v>
      </c>
      <c r="AV175" s="211"/>
      <c r="AW175" s="259"/>
      <c r="AX175" s="259"/>
      <c r="AY175" s="259"/>
      <c r="AZ175" s="808">
        <f t="shared" si="159"/>
        <v>2997</v>
      </c>
      <c r="BA175" s="761">
        <f t="shared" si="98"/>
        <v>2997</v>
      </c>
      <c r="BB175" s="761">
        <f t="shared" si="4"/>
        <v>0</v>
      </c>
      <c r="BC175" s="262"/>
      <c r="BD175" s="824">
        <f>AZ175</f>
        <v>2997</v>
      </c>
      <c r="BE175" s="1231"/>
      <c r="BF175" s="380" t="s">
        <v>451</v>
      </c>
      <c r="BG175" s="145">
        <v>0.15</v>
      </c>
      <c r="BH175" s="262"/>
      <c r="BI175" s="242">
        <f t="shared" si="137"/>
        <v>449.55</v>
      </c>
      <c r="BJ175" s="1232">
        <f t="shared" si="152"/>
        <v>0</v>
      </c>
      <c r="BK175" s="387" t="s">
        <v>1076</v>
      </c>
      <c r="BL175" s="1321" t="s">
        <v>451</v>
      </c>
      <c r="BM175" s="145">
        <v>0.05</v>
      </c>
      <c r="BN175" s="262"/>
      <c r="BO175" s="242">
        <f t="shared" si="133"/>
        <v>149.85</v>
      </c>
      <c r="BP175" s="1231">
        <f t="shared" si="134"/>
        <v>0</v>
      </c>
      <c r="BQ175" s="387" t="s">
        <v>1076</v>
      </c>
      <c r="BR175" s="110">
        <v>2997</v>
      </c>
      <c r="BS175" s="226">
        <v>44834</v>
      </c>
      <c r="BT175" s="110">
        <v>2997</v>
      </c>
      <c r="BU175" s="263"/>
      <c r="BV175" s="110"/>
      <c r="BW175" s="348"/>
      <c r="BX175" s="110"/>
      <c r="BY175" s="263"/>
      <c r="BZ175" s="110"/>
      <c r="CA175" s="263"/>
      <c r="CB175" s="110"/>
      <c r="CC175" s="263"/>
      <c r="CD175" s="110"/>
      <c r="CE175" s="226"/>
      <c r="CF175" s="110"/>
      <c r="CG175" s="263"/>
      <c r="CH175" s="110"/>
      <c r="CI175" s="226"/>
      <c r="CJ175" s="110"/>
      <c r="CK175" s="155">
        <v>1</v>
      </c>
      <c r="CL175" s="181" t="s">
        <v>1123</v>
      </c>
      <c r="CM175" s="181"/>
      <c r="CN175" s="207"/>
      <c r="CO175" s="155" t="s">
        <v>122</v>
      </c>
      <c r="CP175" s="155"/>
      <c r="CQ175" s="823" t="s">
        <v>4289</v>
      </c>
      <c r="CR175" s="823" t="s">
        <v>4290</v>
      </c>
      <c r="CS175" s="116" t="str">
        <f t="shared" si="9"/>
        <v>Fabio</v>
      </c>
      <c r="CT175" s="820">
        <f t="shared" si="168"/>
        <v>449.55</v>
      </c>
      <c r="CU175" s="820">
        <f t="shared" si="169"/>
        <v>149.85</v>
      </c>
      <c r="CV175" s="116" t="str">
        <f t="shared" si="10"/>
        <v>Fabio</v>
      </c>
      <c r="CW175" s="181"/>
      <c r="CX175" s="779"/>
      <c r="CY175" s="729"/>
      <c r="CZ175" s="729"/>
      <c r="DA175" s="729"/>
      <c r="DB175" s="729"/>
      <c r="DC175" s="729"/>
      <c r="DD175" s="265"/>
      <c r="DE175" s="265"/>
      <c r="DF175" s="265"/>
      <c r="DG175" s="265"/>
      <c r="DH175" s="265"/>
      <c r="DI175" s="265"/>
      <c r="DJ175" s="265"/>
      <c r="DK175" s="265"/>
      <c r="DL175" s="265"/>
      <c r="DM175" s="265"/>
      <c r="DN175" s="265"/>
      <c r="DO175" s="265"/>
      <c r="DP175" s="265"/>
      <c r="DQ175" s="265"/>
      <c r="DR175" s="265"/>
      <c r="DS175" s="265"/>
      <c r="DT175" s="265"/>
    </row>
    <row r="176" spans="1:124" ht="30" customHeight="1">
      <c r="A176" s="228"/>
      <c r="B176" s="1237"/>
      <c r="C176" s="155">
        <f t="shared" si="154"/>
        <v>62</v>
      </c>
      <c r="D176" s="781"/>
      <c r="E176" s="781"/>
      <c r="F176" s="781"/>
      <c r="G176" s="112" t="s">
        <v>912</v>
      </c>
      <c r="H176" s="112" t="s">
        <v>4291</v>
      </c>
      <c r="I176" s="294" t="s">
        <v>4292</v>
      </c>
      <c r="J176" s="207" t="str">
        <f t="shared" si="0"/>
        <v>Francesco Donsi</v>
      </c>
      <c r="K176" s="156" t="s">
        <v>4293</v>
      </c>
      <c r="L176" s="204" t="s">
        <v>4175</v>
      </c>
      <c r="M176" s="131" t="s">
        <v>1148</v>
      </c>
      <c r="N176" s="131" t="str">
        <f t="shared" si="1"/>
        <v xml:space="preserve">Ds Comunicazione </v>
      </c>
      <c r="O176" s="1297"/>
      <c r="P176" s="251"/>
      <c r="Q176" s="131"/>
      <c r="R176" s="252"/>
      <c r="S176" s="254"/>
      <c r="T176" s="346"/>
      <c r="U176" s="253"/>
      <c r="V176" s="253"/>
      <c r="W176" s="251"/>
      <c r="X176" s="131"/>
      <c r="Y176" s="251"/>
      <c r="Z176" s="251"/>
      <c r="AA176" s="251"/>
      <c r="AB176" s="255"/>
      <c r="AC176" s="256"/>
      <c r="AD176" s="121" t="s">
        <v>4176</v>
      </c>
      <c r="AE176" s="131" t="str">
        <f t="shared" ref="AE176:AE180" si="172">L176</f>
        <v>fattura con dicitura particolare</v>
      </c>
      <c r="AF176" s="257"/>
      <c r="AG176" s="155"/>
      <c r="AH176" s="155"/>
      <c r="AI176" s="155"/>
      <c r="AJ176" s="257"/>
      <c r="AK176" s="155"/>
      <c r="AL176" s="155"/>
      <c r="AM176" s="155"/>
      <c r="AN176" s="257"/>
      <c r="AO176" s="258"/>
      <c r="AP176" s="258"/>
      <c r="AQ176" s="258"/>
      <c r="AR176" s="211"/>
      <c r="AS176" s="259"/>
      <c r="AT176" s="259"/>
      <c r="AU176" s="259"/>
      <c r="AV176" s="211"/>
      <c r="AW176" s="259" t="s">
        <v>115</v>
      </c>
      <c r="AX176" s="259" t="s">
        <v>115</v>
      </c>
      <c r="AY176" s="259" t="s">
        <v>115</v>
      </c>
      <c r="AZ176" s="808">
        <f t="shared" si="159"/>
        <v>2797</v>
      </c>
      <c r="BA176" s="761">
        <f t="shared" si="98"/>
        <v>2797</v>
      </c>
      <c r="BB176" s="761">
        <f t="shared" si="4"/>
        <v>0</v>
      </c>
      <c r="BC176" s="262"/>
      <c r="BD176" s="824"/>
      <c r="BE176" s="1231">
        <v>2797</v>
      </c>
      <c r="BF176" s="105" t="s">
        <v>166</v>
      </c>
      <c r="BG176" s="145">
        <v>0.15</v>
      </c>
      <c r="BH176" s="262"/>
      <c r="BI176" s="242">
        <f t="shared" si="137"/>
        <v>0</v>
      </c>
      <c r="BJ176" s="1232">
        <f t="shared" si="152"/>
        <v>419.55</v>
      </c>
      <c r="BK176" s="772"/>
      <c r="BL176" s="822" t="s">
        <v>166</v>
      </c>
      <c r="BM176" s="145">
        <v>0.05</v>
      </c>
      <c r="BN176" s="262"/>
      <c r="BO176" s="242">
        <f t="shared" si="133"/>
        <v>0</v>
      </c>
      <c r="BP176" s="1231">
        <f t="shared" si="134"/>
        <v>139.85</v>
      </c>
      <c r="BQ176" s="243"/>
      <c r="BR176" s="110">
        <v>2797</v>
      </c>
      <c r="BS176" s="226">
        <v>44834</v>
      </c>
      <c r="BT176" s="110">
        <v>2797</v>
      </c>
      <c r="BU176" s="263"/>
      <c r="BV176" s="110"/>
      <c r="BW176" s="348"/>
      <c r="BX176" s="110"/>
      <c r="BY176" s="263"/>
      <c r="BZ176" s="110"/>
      <c r="CA176" s="263"/>
      <c r="CB176" s="110"/>
      <c r="CC176" s="263"/>
      <c r="CD176" s="110"/>
      <c r="CE176" s="226"/>
      <c r="CF176" s="110"/>
      <c r="CG176" s="263"/>
      <c r="CH176" s="110"/>
      <c r="CI176" s="226"/>
      <c r="CJ176" s="110"/>
      <c r="CK176" s="155">
        <v>1</v>
      </c>
      <c r="CL176" s="181" t="s">
        <v>1123</v>
      </c>
      <c r="CM176" s="181"/>
      <c r="CN176" s="207"/>
      <c r="CO176" s="207"/>
      <c r="CP176" s="155"/>
      <c r="CQ176" s="131" t="s">
        <v>4177</v>
      </c>
      <c r="CR176" s="823" t="s">
        <v>4294</v>
      </c>
      <c r="CS176" s="116" t="str">
        <f t="shared" si="9"/>
        <v>Matteo</v>
      </c>
      <c r="CT176" s="820" t="b">
        <f t="shared" si="168"/>
        <v>0</v>
      </c>
      <c r="CU176" s="820" t="b">
        <f t="shared" si="169"/>
        <v>0</v>
      </c>
      <c r="CV176" s="116" t="str">
        <f t="shared" si="10"/>
        <v>Matteo</v>
      </c>
      <c r="CW176" s="181"/>
      <c r="CX176" s="779"/>
      <c r="CY176" s="729"/>
      <c r="CZ176" s="729"/>
      <c r="DA176" s="729"/>
      <c r="DB176" s="729"/>
      <c r="DC176" s="729"/>
      <c r="DD176" s="265"/>
      <c r="DE176" s="265"/>
      <c r="DF176" s="265"/>
      <c r="DG176" s="265"/>
      <c r="DH176" s="265"/>
      <c r="DI176" s="265"/>
      <c r="DJ176" s="265"/>
      <c r="DK176" s="265"/>
      <c r="DL176" s="265"/>
      <c r="DM176" s="265"/>
      <c r="DN176" s="265"/>
      <c r="DO176" s="265"/>
      <c r="DP176" s="265"/>
      <c r="DQ176" s="265"/>
      <c r="DR176" s="265"/>
      <c r="DS176" s="265"/>
      <c r="DT176" s="265"/>
    </row>
    <row r="177" spans="1:124" ht="30" customHeight="1">
      <c r="A177" s="228"/>
      <c r="B177" s="1314"/>
      <c r="C177" s="155">
        <f t="shared" si="154"/>
        <v>63</v>
      </c>
      <c r="D177" s="781">
        <v>1</v>
      </c>
      <c r="E177" s="781">
        <v>1</v>
      </c>
      <c r="F177" s="781">
        <v>1</v>
      </c>
      <c r="G177" s="112" t="s">
        <v>912</v>
      </c>
      <c r="H177" s="112" t="s">
        <v>4295</v>
      </c>
      <c r="I177" s="1246" t="s">
        <v>4296</v>
      </c>
      <c r="J177" s="207" t="str">
        <f t="shared" si="0"/>
        <v>Francesco Rigo</v>
      </c>
      <c r="K177" s="156">
        <v>3317183840</v>
      </c>
      <c r="L177" s="131"/>
      <c r="M177" s="131"/>
      <c r="N177" s="131" t="str">
        <f t="shared" si="1"/>
        <v>Air Sea Italia</v>
      </c>
      <c r="O177" s="1297"/>
      <c r="P177" s="251"/>
      <c r="Q177" s="131"/>
      <c r="R177" s="252"/>
      <c r="S177" s="254"/>
      <c r="T177" s="346"/>
      <c r="U177" s="253"/>
      <c r="V177" s="253"/>
      <c r="W177" s="251"/>
      <c r="X177" s="131"/>
      <c r="Y177" s="251"/>
      <c r="Z177" s="251"/>
      <c r="AA177" s="251"/>
      <c r="AB177" s="255"/>
      <c r="AC177" s="256"/>
      <c r="AD177" s="121" t="s">
        <v>4107</v>
      </c>
      <c r="AE177" s="131">
        <f t="shared" si="172"/>
        <v>0</v>
      </c>
      <c r="AF177" s="257"/>
      <c r="AG177" s="155"/>
      <c r="AH177" s="155"/>
      <c r="AI177" s="155"/>
      <c r="AJ177" s="257"/>
      <c r="AK177" s="155"/>
      <c r="AL177" s="155"/>
      <c r="AM177" s="155"/>
      <c r="AN177" s="257"/>
      <c r="AO177" s="258"/>
      <c r="AP177" s="258"/>
      <c r="AQ177" s="258"/>
      <c r="AR177" s="211"/>
      <c r="AS177" s="259" t="s">
        <v>115</v>
      </c>
      <c r="AT177" s="259" t="s">
        <v>115</v>
      </c>
      <c r="AU177" s="259" t="s">
        <v>115</v>
      </c>
      <c r="AV177" s="211"/>
      <c r="AW177" s="259"/>
      <c r="AX177" s="259"/>
      <c r="AY177" s="259"/>
      <c r="AZ177" s="808">
        <f t="shared" si="159"/>
        <v>2997</v>
      </c>
      <c r="BA177" s="761">
        <f t="shared" si="98"/>
        <v>2997</v>
      </c>
      <c r="BB177" s="761">
        <f t="shared" si="4"/>
        <v>0</v>
      </c>
      <c r="BC177" s="262"/>
      <c r="BD177" s="824">
        <f>AZ177</f>
        <v>2997</v>
      </c>
      <c r="BE177" s="1231"/>
      <c r="BF177" s="1325" t="s">
        <v>616</v>
      </c>
      <c r="BG177" s="145">
        <v>0.15</v>
      </c>
      <c r="BH177" s="262"/>
      <c r="BI177" s="242">
        <f t="shared" si="137"/>
        <v>449.55</v>
      </c>
      <c r="BJ177" s="1232">
        <f t="shared" si="152"/>
        <v>0</v>
      </c>
      <c r="BK177" s="387" t="s">
        <v>1076</v>
      </c>
      <c r="BL177" s="1319" t="s">
        <v>184</v>
      </c>
      <c r="BM177" s="145">
        <v>0.05</v>
      </c>
      <c r="BN177" s="262"/>
      <c r="BO177" s="242">
        <f t="shared" si="133"/>
        <v>149.85</v>
      </c>
      <c r="BP177" s="1231">
        <f t="shared" si="134"/>
        <v>0</v>
      </c>
      <c r="BQ177" s="387" t="s">
        <v>1076</v>
      </c>
      <c r="BR177" s="110">
        <v>2997</v>
      </c>
      <c r="BS177" s="226">
        <v>44834</v>
      </c>
      <c r="BT177" s="110">
        <v>2997</v>
      </c>
      <c r="BU177" s="263"/>
      <c r="BV177" s="110"/>
      <c r="BW177" s="348"/>
      <c r="BX177" s="110"/>
      <c r="BY177" s="263"/>
      <c r="BZ177" s="110"/>
      <c r="CA177" s="263"/>
      <c r="CB177" s="110"/>
      <c r="CC177" s="263"/>
      <c r="CD177" s="110"/>
      <c r="CE177" s="226"/>
      <c r="CF177" s="110"/>
      <c r="CG177" s="263"/>
      <c r="CH177" s="110"/>
      <c r="CI177" s="226"/>
      <c r="CJ177" s="110"/>
      <c r="CK177" s="155">
        <v>1</v>
      </c>
      <c r="CL177" s="181" t="s">
        <v>1123</v>
      </c>
      <c r="CM177" s="181"/>
      <c r="CN177" s="207"/>
      <c r="CO177" s="155" t="s">
        <v>122</v>
      </c>
      <c r="CP177" s="155"/>
      <c r="CQ177" s="131" t="s">
        <v>3939</v>
      </c>
      <c r="CR177" s="823" t="s">
        <v>3937</v>
      </c>
      <c r="CS177" s="116" t="str">
        <f t="shared" si="9"/>
        <v>Gian Luca Boarini</v>
      </c>
      <c r="CT177" s="820">
        <f t="shared" si="168"/>
        <v>449.55</v>
      </c>
      <c r="CU177" s="820">
        <f t="shared" si="169"/>
        <v>149.85</v>
      </c>
      <c r="CV177" s="116" t="str">
        <f t="shared" si="10"/>
        <v>Cristian A</v>
      </c>
      <c r="CW177" s="181"/>
      <c r="CX177" s="779"/>
      <c r="CY177" s="729"/>
      <c r="CZ177" s="729"/>
      <c r="DA177" s="729"/>
      <c r="DB177" s="729"/>
      <c r="DC177" s="729"/>
      <c r="DD177" s="265"/>
      <c r="DE177" s="265"/>
      <c r="DF177" s="265"/>
      <c r="DG177" s="265"/>
      <c r="DH177" s="265"/>
      <c r="DI177" s="265"/>
      <c r="DJ177" s="265"/>
      <c r="DK177" s="265"/>
      <c r="DL177" s="265"/>
      <c r="DM177" s="265"/>
      <c r="DN177" s="265"/>
      <c r="DO177" s="265"/>
      <c r="DP177" s="265"/>
      <c r="DQ177" s="265"/>
      <c r="DR177" s="265"/>
      <c r="DS177" s="265"/>
      <c r="DT177" s="265"/>
    </row>
    <row r="178" spans="1:124" ht="30" customHeight="1">
      <c r="A178" s="228"/>
      <c r="B178" s="155" t="s">
        <v>3670</v>
      </c>
      <c r="C178" s="155">
        <f t="shared" si="154"/>
        <v>64</v>
      </c>
      <c r="D178" s="781"/>
      <c r="E178" s="781"/>
      <c r="F178" s="781"/>
      <c r="G178" s="112" t="s">
        <v>1221</v>
      </c>
      <c r="H178" s="112" t="s">
        <v>1222</v>
      </c>
      <c r="I178" s="207" t="s">
        <v>1223</v>
      </c>
      <c r="J178" s="207" t="str">
        <f t="shared" si="0"/>
        <v>Gaetano Biondo</v>
      </c>
      <c r="K178" s="156" t="s">
        <v>4297</v>
      </c>
      <c r="L178" s="131"/>
      <c r="M178" s="131"/>
      <c r="N178" s="131" t="str">
        <f t="shared" si="1"/>
        <v>Linkloyd</v>
      </c>
      <c r="O178" s="1297"/>
      <c r="P178" s="251"/>
      <c r="Q178" s="131"/>
      <c r="R178" s="252"/>
      <c r="S178" s="254"/>
      <c r="T178" s="346"/>
      <c r="U178" s="253"/>
      <c r="V178" s="253"/>
      <c r="W178" s="251"/>
      <c r="X178" s="131"/>
      <c r="Y178" s="251"/>
      <c r="Z178" s="251"/>
      <c r="AA178" s="251"/>
      <c r="AB178" s="255"/>
      <c r="AC178" s="256"/>
      <c r="AD178" s="121" t="s">
        <v>1226</v>
      </c>
      <c r="AE178" s="131">
        <f t="shared" si="172"/>
        <v>0</v>
      </c>
      <c r="AF178" s="257"/>
      <c r="AG178" s="155"/>
      <c r="AH178" s="155"/>
      <c r="AI178" s="155"/>
      <c r="AJ178" s="257"/>
      <c r="AK178" s="155"/>
      <c r="AL178" s="155"/>
      <c r="AM178" s="155"/>
      <c r="AN178" s="257"/>
      <c r="AO178" s="258"/>
      <c r="AP178" s="258"/>
      <c r="AQ178" s="258"/>
      <c r="AR178" s="211"/>
      <c r="AS178" s="259"/>
      <c r="AT178" s="259"/>
      <c r="AU178" s="259"/>
      <c r="AV178" s="211"/>
      <c r="AW178" s="259" t="s">
        <v>115</v>
      </c>
      <c r="AX178" s="259" t="s">
        <v>115</v>
      </c>
      <c r="AY178" s="259" t="s">
        <v>115</v>
      </c>
      <c r="AZ178" s="808">
        <f t="shared" si="159"/>
        <v>2997</v>
      </c>
      <c r="BA178" s="761">
        <f t="shared" si="98"/>
        <v>2997</v>
      </c>
      <c r="BB178" s="761">
        <f t="shared" si="4"/>
        <v>0</v>
      </c>
      <c r="BC178" s="262"/>
      <c r="BD178" s="824"/>
      <c r="BE178" s="1231">
        <v>2997</v>
      </c>
      <c r="BF178" s="383" t="s">
        <v>407</v>
      </c>
      <c r="BG178" s="145">
        <v>0.15</v>
      </c>
      <c r="BH178" s="262"/>
      <c r="BI178" s="242">
        <f t="shared" si="137"/>
        <v>0</v>
      </c>
      <c r="BJ178" s="1232">
        <f t="shared" si="152"/>
        <v>449.55</v>
      </c>
      <c r="BK178" s="772"/>
      <c r="BL178" s="289" t="s">
        <v>407</v>
      </c>
      <c r="BM178" s="145">
        <v>0.05</v>
      </c>
      <c r="BN178" s="262"/>
      <c r="BO178" s="242">
        <f t="shared" si="133"/>
        <v>0</v>
      </c>
      <c r="BP178" s="1231">
        <f t="shared" si="134"/>
        <v>149.85</v>
      </c>
      <c r="BQ178" s="243"/>
      <c r="BR178" s="110">
        <v>2997</v>
      </c>
      <c r="BS178" s="226">
        <v>44834</v>
      </c>
      <c r="BT178" s="110">
        <v>2997</v>
      </c>
      <c r="BU178" s="263"/>
      <c r="BV178" s="110"/>
      <c r="BW178" s="348"/>
      <c r="BX178" s="110"/>
      <c r="BY178" s="263"/>
      <c r="BZ178" s="110"/>
      <c r="CA178" s="263"/>
      <c r="CB178" s="110"/>
      <c r="CC178" s="263"/>
      <c r="CD178" s="110"/>
      <c r="CE178" s="226"/>
      <c r="CF178" s="110"/>
      <c r="CG178" s="263"/>
      <c r="CH178" s="110"/>
      <c r="CI178" s="226"/>
      <c r="CJ178" s="110"/>
      <c r="CK178" s="155">
        <v>1</v>
      </c>
      <c r="CL178" s="181" t="s">
        <v>1123</v>
      </c>
      <c r="CM178" s="181"/>
      <c r="CN178" s="207"/>
      <c r="CO178" s="207"/>
      <c r="CP178" s="155"/>
      <c r="CQ178" s="131" t="s">
        <v>1227</v>
      </c>
      <c r="CR178" s="823" t="s">
        <v>1225</v>
      </c>
      <c r="CS178" s="116" t="str">
        <f t="shared" si="9"/>
        <v>Stefano</v>
      </c>
      <c r="CT178" s="820" t="b">
        <f t="shared" si="168"/>
        <v>0</v>
      </c>
      <c r="CU178" s="820" t="b">
        <f t="shared" si="169"/>
        <v>0</v>
      </c>
      <c r="CV178" s="116" t="str">
        <f t="shared" si="10"/>
        <v>Stefano</v>
      </c>
      <c r="CW178" s="181"/>
      <c r="CX178" s="779"/>
      <c r="CY178" s="729"/>
      <c r="CZ178" s="729"/>
      <c r="DA178" s="729"/>
      <c r="DB178" s="729"/>
      <c r="DC178" s="729"/>
      <c r="DD178" s="265"/>
      <c r="DE178" s="265"/>
      <c r="DF178" s="265"/>
      <c r="DG178" s="265"/>
      <c r="DH178" s="265"/>
      <c r="DI178" s="265"/>
      <c r="DJ178" s="265"/>
      <c r="DK178" s="265"/>
      <c r="DL178" s="265"/>
      <c r="DM178" s="265"/>
      <c r="DN178" s="265"/>
      <c r="DO178" s="265"/>
      <c r="DP178" s="265"/>
      <c r="DQ178" s="265"/>
      <c r="DR178" s="265"/>
      <c r="DS178" s="265"/>
      <c r="DT178" s="265"/>
    </row>
    <row r="179" spans="1:124" ht="30" customHeight="1">
      <c r="A179" s="228"/>
      <c r="B179" s="1237"/>
      <c r="C179" s="155">
        <f t="shared" si="154"/>
        <v>65</v>
      </c>
      <c r="D179" s="781"/>
      <c r="E179" s="781"/>
      <c r="F179" s="781"/>
      <c r="G179" s="112" t="s">
        <v>4046</v>
      </c>
      <c r="H179" s="112" t="s">
        <v>4298</v>
      </c>
      <c r="I179" s="207" t="s">
        <v>4299</v>
      </c>
      <c r="J179" s="207" t="str">
        <f t="shared" si="0"/>
        <v>Giacomo Guida</v>
      </c>
      <c r="K179" s="156" t="s">
        <v>4300</v>
      </c>
      <c r="L179" s="204" t="s">
        <v>4301</v>
      </c>
      <c r="M179" s="131" t="s">
        <v>4302</v>
      </c>
      <c r="N179" s="131" t="str">
        <f t="shared" si="1"/>
        <v>Guida Giacomo</v>
      </c>
      <c r="O179" s="1297"/>
      <c r="P179" s="251"/>
      <c r="Q179" s="131"/>
      <c r="R179" s="252"/>
      <c r="S179" s="254"/>
      <c r="T179" s="346"/>
      <c r="U179" s="253"/>
      <c r="V179" s="253"/>
      <c r="W179" s="251"/>
      <c r="X179" s="131"/>
      <c r="Y179" s="251"/>
      <c r="Z179" s="251"/>
      <c r="AA179" s="251"/>
      <c r="AB179" s="255"/>
      <c r="AC179" s="256"/>
      <c r="AD179" s="121"/>
      <c r="AE179" s="80" t="str">
        <f t="shared" si="172"/>
        <v>Contatto con Matteo e iscrizione in Stand By</v>
      </c>
      <c r="AF179" s="257"/>
      <c r="AG179" s="155"/>
      <c r="AH179" s="155"/>
      <c r="AI179" s="155"/>
      <c r="AJ179" s="257"/>
      <c r="AK179" s="155"/>
      <c r="AL179" s="155"/>
      <c r="AM179" s="155"/>
      <c r="AN179" s="257"/>
      <c r="AO179" s="258"/>
      <c r="AP179" s="258"/>
      <c r="AQ179" s="258"/>
      <c r="AR179" s="211"/>
      <c r="AS179" s="259"/>
      <c r="AT179" s="259"/>
      <c r="AU179" s="1326"/>
      <c r="AV179" s="211"/>
      <c r="AW179" s="1326" t="s">
        <v>151</v>
      </c>
      <c r="AX179" s="259" t="s">
        <v>151</v>
      </c>
      <c r="AY179" s="1326" t="s">
        <v>151</v>
      </c>
      <c r="AZ179" s="808">
        <f t="shared" si="159"/>
        <v>2997</v>
      </c>
      <c r="BA179" s="761">
        <f t="shared" si="98"/>
        <v>0</v>
      </c>
      <c r="BB179" s="761">
        <f t="shared" si="4"/>
        <v>2997</v>
      </c>
      <c r="BC179" s="262"/>
      <c r="BD179" s="824">
        <v>0</v>
      </c>
      <c r="BE179" s="1231">
        <v>2997</v>
      </c>
      <c r="BF179" s="383" t="s">
        <v>166</v>
      </c>
      <c r="BG179" s="145">
        <v>0.15</v>
      </c>
      <c r="BH179" s="262"/>
      <c r="BI179" s="242">
        <f t="shared" si="137"/>
        <v>0</v>
      </c>
      <c r="BJ179" s="1232">
        <f t="shared" si="152"/>
        <v>449.55</v>
      </c>
      <c r="BK179" s="772"/>
      <c r="BL179" s="289" t="s">
        <v>166</v>
      </c>
      <c r="BM179" s="145">
        <v>0.05</v>
      </c>
      <c r="BN179" s="262"/>
      <c r="BO179" s="242">
        <f t="shared" si="133"/>
        <v>0</v>
      </c>
      <c r="BP179" s="1231">
        <f t="shared" si="134"/>
        <v>149.85</v>
      </c>
      <c r="BQ179" s="243"/>
      <c r="BR179" s="110">
        <v>2997</v>
      </c>
      <c r="BS179" s="226">
        <v>44834</v>
      </c>
      <c r="BT179" s="110"/>
      <c r="BU179" s="263"/>
      <c r="BV179" s="110"/>
      <c r="BW179" s="348"/>
      <c r="BX179" s="110"/>
      <c r="BY179" s="263"/>
      <c r="BZ179" s="110"/>
      <c r="CA179" s="263"/>
      <c r="CB179" s="110"/>
      <c r="CC179" s="263"/>
      <c r="CD179" s="110"/>
      <c r="CE179" s="226"/>
      <c r="CF179" s="110"/>
      <c r="CG179" s="263"/>
      <c r="CH179" s="110"/>
      <c r="CI179" s="226"/>
      <c r="CJ179" s="110"/>
      <c r="CK179" s="155">
        <v>0</v>
      </c>
      <c r="CL179" s="181" t="s">
        <v>154</v>
      </c>
      <c r="CM179" s="181"/>
      <c r="CN179" s="207"/>
      <c r="CO179" s="207"/>
      <c r="CP179" s="155"/>
      <c r="CQ179" s="131"/>
      <c r="CR179" s="823" t="s">
        <v>4303</v>
      </c>
      <c r="CS179" s="116" t="str">
        <f t="shared" si="9"/>
        <v>Matteo</v>
      </c>
      <c r="CT179" s="820" t="b">
        <f t="shared" si="168"/>
        <v>0</v>
      </c>
      <c r="CU179" s="820" t="b">
        <f t="shared" si="169"/>
        <v>0</v>
      </c>
      <c r="CV179" s="116" t="str">
        <f t="shared" si="10"/>
        <v>Matteo</v>
      </c>
      <c r="CW179" s="181"/>
      <c r="CX179" s="779"/>
      <c r="CY179" s="729"/>
      <c r="CZ179" s="729"/>
      <c r="DA179" s="729"/>
      <c r="DB179" s="729"/>
      <c r="DC179" s="729"/>
      <c r="DD179" s="265"/>
      <c r="DE179" s="265"/>
      <c r="DF179" s="265"/>
      <c r="DG179" s="265"/>
      <c r="DH179" s="265"/>
      <c r="DI179" s="265"/>
      <c r="DJ179" s="265"/>
      <c r="DK179" s="265"/>
      <c r="DL179" s="265"/>
      <c r="DM179" s="265"/>
      <c r="DN179" s="265"/>
      <c r="DO179" s="265"/>
      <c r="DP179" s="265"/>
      <c r="DQ179" s="265"/>
      <c r="DR179" s="265"/>
      <c r="DS179" s="265"/>
      <c r="DT179" s="265"/>
    </row>
    <row r="180" spans="1:124" ht="30" customHeight="1">
      <c r="A180" s="228"/>
      <c r="B180" s="1237"/>
      <c r="C180" s="155">
        <f t="shared" si="154"/>
        <v>66</v>
      </c>
      <c r="D180" s="781">
        <v>1</v>
      </c>
      <c r="E180" s="781">
        <v>1</v>
      </c>
      <c r="F180" s="781">
        <v>1</v>
      </c>
      <c r="G180" s="112" t="s">
        <v>4304</v>
      </c>
      <c r="H180" s="112" t="s">
        <v>4305</v>
      </c>
      <c r="I180" s="1234" t="s">
        <v>4306</v>
      </c>
      <c r="J180" s="207" t="str">
        <f t="shared" si="0"/>
        <v>Giancarlo Curnis</v>
      </c>
      <c r="K180" s="156">
        <v>3203456555</v>
      </c>
      <c r="L180" s="204" t="s">
        <v>4307</v>
      </c>
      <c r="M180" s="973" t="s">
        <v>4308</v>
      </c>
      <c r="N180" s="131" t="str">
        <f t="shared" si="1"/>
        <v>3DClimber</v>
      </c>
      <c r="O180" s="1297"/>
      <c r="P180" s="251"/>
      <c r="Q180" s="131"/>
      <c r="R180" s="252"/>
      <c r="S180" s="254"/>
      <c r="T180" s="346"/>
      <c r="U180" s="253"/>
      <c r="V180" s="253"/>
      <c r="W180" s="251"/>
      <c r="X180" s="131"/>
      <c r="Y180" s="251"/>
      <c r="Z180" s="251"/>
      <c r="AA180" s="251"/>
      <c r="AB180" s="255"/>
      <c r="AC180" s="256"/>
      <c r="AD180" s="121" t="s">
        <v>4309</v>
      </c>
      <c r="AE180" s="80" t="str">
        <f t="shared" si="172"/>
        <v>CONFERMA ENTRO IL 6/10/2022</v>
      </c>
      <c r="AF180" s="257"/>
      <c r="AG180" s="155"/>
      <c r="AH180" s="155"/>
      <c r="AI180" s="155"/>
      <c r="AJ180" s="257"/>
      <c r="AK180" s="155"/>
      <c r="AL180" s="155"/>
      <c r="AM180" s="155"/>
      <c r="AN180" s="257"/>
      <c r="AO180" s="258"/>
      <c r="AP180" s="258"/>
      <c r="AQ180" s="258"/>
      <c r="AR180" s="211"/>
      <c r="AS180" s="259" t="s">
        <v>115</v>
      </c>
      <c r="AT180" s="259" t="s">
        <v>115</v>
      </c>
      <c r="AU180" s="259" t="s">
        <v>115</v>
      </c>
      <c r="AV180" s="211"/>
      <c r="AW180" s="259"/>
      <c r="AX180" s="259"/>
      <c r="AY180" s="259"/>
      <c r="AZ180" s="808">
        <f t="shared" si="159"/>
        <v>2997</v>
      </c>
      <c r="BA180" s="761">
        <f t="shared" si="98"/>
        <v>2997</v>
      </c>
      <c r="BB180" s="761">
        <f t="shared" si="4"/>
        <v>0</v>
      </c>
      <c r="BC180" s="262"/>
      <c r="BD180" s="824">
        <f t="shared" ref="BD180:BD183" si="173">AZ180</f>
        <v>2997</v>
      </c>
      <c r="BE180" s="1231"/>
      <c r="BF180" s="105" t="s">
        <v>184</v>
      </c>
      <c r="BG180" s="145">
        <v>0.05</v>
      </c>
      <c r="BH180" s="262"/>
      <c r="BI180" s="242">
        <f t="shared" si="137"/>
        <v>149.85</v>
      </c>
      <c r="BJ180" s="1232">
        <f t="shared" si="152"/>
        <v>0</v>
      </c>
      <c r="BK180" s="387" t="s">
        <v>1076</v>
      </c>
      <c r="BL180" s="822" t="s">
        <v>184</v>
      </c>
      <c r="BM180" s="145">
        <v>0.05</v>
      </c>
      <c r="BN180" s="262"/>
      <c r="BO180" s="242">
        <f t="shared" si="133"/>
        <v>149.85</v>
      </c>
      <c r="BP180" s="1231">
        <f t="shared" si="134"/>
        <v>0</v>
      </c>
      <c r="BQ180" s="387" t="s">
        <v>1076</v>
      </c>
      <c r="BR180" s="110">
        <v>2997</v>
      </c>
      <c r="BS180" s="226">
        <v>44834</v>
      </c>
      <c r="BT180" s="110">
        <v>2997</v>
      </c>
      <c r="BU180" s="263"/>
      <c r="BV180" s="110"/>
      <c r="BW180" s="348"/>
      <c r="BX180" s="110"/>
      <c r="BY180" s="263"/>
      <c r="BZ180" s="110"/>
      <c r="CA180" s="263"/>
      <c r="CB180" s="110"/>
      <c r="CC180" s="263"/>
      <c r="CD180" s="110"/>
      <c r="CE180" s="226"/>
      <c r="CF180" s="110"/>
      <c r="CG180" s="263"/>
      <c r="CH180" s="110"/>
      <c r="CI180" s="226"/>
      <c r="CJ180" s="110"/>
      <c r="CK180" s="155">
        <v>1</v>
      </c>
      <c r="CL180" s="181" t="s">
        <v>1123</v>
      </c>
      <c r="CM180" s="181"/>
      <c r="CN180" s="207"/>
      <c r="CO180" s="155" t="s">
        <v>122</v>
      </c>
      <c r="CP180" s="155"/>
      <c r="CQ180" s="131" t="s">
        <v>4310</v>
      </c>
      <c r="CR180" s="823" t="s">
        <v>4311</v>
      </c>
      <c r="CS180" s="116" t="str">
        <f t="shared" si="9"/>
        <v>Cristian A</v>
      </c>
      <c r="CT180" s="820">
        <f t="shared" si="168"/>
        <v>149.85</v>
      </c>
      <c r="CU180" s="820">
        <f t="shared" si="169"/>
        <v>149.85</v>
      </c>
      <c r="CV180" s="116" t="str">
        <f t="shared" si="10"/>
        <v>Cristian A</v>
      </c>
      <c r="CW180" s="181"/>
      <c r="CX180" s="779"/>
      <c r="CY180" s="729"/>
      <c r="CZ180" s="729"/>
      <c r="DA180" s="729"/>
      <c r="DB180" s="729"/>
      <c r="DC180" s="729"/>
      <c r="DD180" s="265"/>
      <c r="DE180" s="265"/>
      <c r="DF180" s="265"/>
      <c r="DG180" s="265"/>
      <c r="DH180" s="265"/>
      <c r="DI180" s="265"/>
      <c r="DJ180" s="265"/>
      <c r="DK180" s="265"/>
      <c r="DL180" s="265"/>
      <c r="DM180" s="265"/>
      <c r="DN180" s="265"/>
      <c r="DO180" s="265"/>
      <c r="DP180" s="265"/>
      <c r="DQ180" s="265"/>
      <c r="DR180" s="265"/>
      <c r="DS180" s="265"/>
      <c r="DT180" s="265"/>
    </row>
    <row r="181" spans="1:124" ht="30" customHeight="1">
      <c r="A181" s="228"/>
      <c r="B181" s="155" t="s">
        <v>3670</v>
      </c>
      <c r="C181" s="155">
        <f t="shared" si="154"/>
        <v>67</v>
      </c>
      <c r="D181" s="781">
        <v>1</v>
      </c>
      <c r="E181" s="781">
        <v>1</v>
      </c>
      <c r="F181" s="781">
        <v>1</v>
      </c>
      <c r="G181" s="112" t="s">
        <v>4312</v>
      </c>
      <c r="H181" s="112" t="s">
        <v>4313</v>
      </c>
      <c r="I181" s="1246" t="s">
        <v>4314</v>
      </c>
      <c r="J181" s="207" t="str">
        <f t="shared" si="0"/>
        <v>Gianluigi Rudoni</v>
      </c>
      <c r="K181" s="156" t="s">
        <v>4315</v>
      </c>
      <c r="M181" s="131" t="s">
        <v>138</v>
      </c>
      <c r="N181" s="131" t="str">
        <f t="shared" si="1"/>
        <v>Komunica</v>
      </c>
      <c r="O181" s="1297"/>
      <c r="P181" s="251"/>
      <c r="Q181" s="131"/>
      <c r="R181" s="252"/>
      <c r="S181" s="254"/>
      <c r="T181" s="346"/>
      <c r="U181" s="253"/>
      <c r="V181" s="253"/>
      <c r="W181" s="251"/>
      <c r="X181" s="131"/>
      <c r="Y181" s="251"/>
      <c r="Z181" s="251"/>
      <c r="AA181" s="251"/>
      <c r="AB181" s="255"/>
      <c r="AC181" s="256"/>
      <c r="AD181" s="121" t="s">
        <v>4316</v>
      </c>
      <c r="AE181" s="80" t="str">
        <f>M179</f>
        <v>Strategic Business Advisor</v>
      </c>
      <c r="AF181" s="257"/>
      <c r="AG181" s="155"/>
      <c r="AH181" s="155"/>
      <c r="AI181" s="155"/>
      <c r="AJ181" s="257"/>
      <c r="AK181" s="155"/>
      <c r="AL181" s="155"/>
      <c r="AM181" s="155"/>
      <c r="AN181" s="257"/>
      <c r="AO181" s="258"/>
      <c r="AP181" s="258"/>
      <c r="AQ181" s="258"/>
      <c r="AR181" s="211"/>
      <c r="AS181" s="259" t="s">
        <v>115</v>
      </c>
      <c r="AT181" s="259" t="s">
        <v>115</v>
      </c>
      <c r="AU181" s="259" t="s">
        <v>115</v>
      </c>
      <c r="AV181" s="211"/>
      <c r="AW181" s="259"/>
      <c r="AX181" s="259"/>
      <c r="AY181" s="259"/>
      <c r="AZ181" s="808">
        <f t="shared" si="159"/>
        <v>2997</v>
      </c>
      <c r="BA181" s="761">
        <f t="shared" si="98"/>
        <v>2997</v>
      </c>
      <c r="BB181" s="761">
        <f t="shared" si="4"/>
        <v>0</v>
      </c>
      <c r="BC181" s="262"/>
      <c r="BD181" s="824">
        <f t="shared" si="173"/>
        <v>2997</v>
      </c>
      <c r="BE181" s="1231"/>
      <c r="BF181" s="383" t="s">
        <v>133</v>
      </c>
      <c r="BG181" s="145">
        <v>0.15</v>
      </c>
      <c r="BH181" s="262"/>
      <c r="BI181" s="242">
        <f t="shared" si="137"/>
        <v>449.55</v>
      </c>
      <c r="BJ181" s="1232">
        <f t="shared" si="152"/>
        <v>0</v>
      </c>
      <c r="BK181" s="387" t="s">
        <v>1076</v>
      </c>
      <c r="BL181" s="289" t="s">
        <v>133</v>
      </c>
      <c r="BM181" s="145">
        <v>0.05</v>
      </c>
      <c r="BN181" s="262"/>
      <c r="BO181" s="242">
        <f t="shared" si="133"/>
        <v>149.85</v>
      </c>
      <c r="BP181" s="1231">
        <f t="shared" si="134"/>
        <v>0</v>
      </c>
      <c r="BQ181" s="387" t="s">
        <v>1076</v>
      </c>
      <c r="BR181" s="110">
        <v>2997</v>
      </c>
      <c r="BS181" s="226">
        <v>44834</v>
      </c>
      <c r="BT181" s="110">
        <v>2997</v>
      </c>
      <c r="BU181" s="263"/>
      <c r="BV181" s="110"/>
      <c r="BW181" s="348"/>
      <c r="BX181" s="110"/>
      <c r="BY181" s="263"/>
      <c r="BZ181" s="110"/>
      <c r="CA181" s="263"/>
      <c r="CB181" s="110"/>
      <c r="CC181" s="263"/>
      <c r="CD181" s="110"/>
      <c r="CE181" s="226"/>
      <c r="CF181" s="110"/>
      <c r="CG181" s="263"/>
      <c r="CH181" s="110"/>
      <c r="CI181" s="226"/>
      <c r="CJ181" s="110"/>
      <c r="CK181" s="155">
        <v>1</v>
      </c>
      <c r="CL181" s="181" t="s">
        <v>1123</v>
      </c>
      <c r="CM181" s="181"/>
      <c r="CN181" s="207"/>
      <c r="CO181" s="155" t="s">
        <v>122</v>
      </c>
      <c r="CP181" s="155"/>
      <c r="CQ181" s="131" t="s">
        <v>4114</v>
      </c>
      <c r="CR181" s="823" t="s">
        <v>4317</v>
      </c>
      <c r="CS181" s="116" t="str">
        <f t="shared" si="9"/>
        <v>Cristian B</v>
      </c>
      <c r="CT181" s="820">
        <f t="shared" si="168"/>
        <v>449.55</v>
      </c>
      <c r="CU181" s="820">
        <f t="shared" si="169"/>
        <v>149.85</v>
      </c>
      <c r="CV181" s="116" t="str">
        <f t="shared" si="10"/>
        <v>Cristian B</v>
      </c>
      <c r="CW181" s="121">
        <v>1</v>
      </c>
      <c r="CX181" s="779"/>
      <c r="CY181" s="729"/>
      <c r="CZ181" s="729"/>
      <c r="DA181" s="729"/>
      <c r="DB181" s="729"/>
      <c r="DC181" s="729"/>
      <c r="DD181" s="265"/>
      <c r="DE181" s="265"/>
      <c r="DF181" s="265"/>
      <c r="DG181" s="265"/>
      <c r="DH181" s="265"/>
      <c r="DI181" s="265"/>
      <c r="DJ181" s="265"/>
      <c r="DK181" s="265"/>
      <c r="DL181" s="265"/>
      <c r="DM181" s="265"/>
      <c r="DN181" s="265"/>
      <c r="DO181" s="265"/>
      <c r="DP181" s="265"/>
      <c r="DQ181" s="265"/>
      <c r="DR181" s="265"/>
      <c r="DS181" s="265"/>
      <c r="DT181" s="265"/>
    </row>
    <row r="182" spans="1:124" ht="30" customHeight="1">
      <c r="A182" s="228"/>
      <c r="B182" s="1237"/>
      <c r="C182" s="155">
        <f t="shared" si="154"/>
        <v>68</v>
      </c>
      <c r="D182" s="781">
        <v>1</v>
      </c>
      <c r="E182" s="781">
        <v>1</v>
      </c>
      <c r="F182" s="781">
        <v>1</v>
      </c>
      <c r="G182" s="112" t="s">
        <v>3306</v>
      </c>
      <c r="H182" s="112" t="s">
        <v>2987</v>
      </c>
      <c r="I182" s="1234" t="s">
        <v>4318</v>
      </c>
      <c r="J182" s="207" t="str">
        <f t="shared" si="0"/>
        <v>Giordano Rossi</v>
      </c>
      <c r="K182" s="156" t="s">
        <v>4319</v>
      </c>
      <c r="L182" s="131"/>
      <c r="M182" s="131" t="s">
        <v>583</v>
      </c>
      <c r="N182" s="131" t="str">
        <f t="shared" si="1"/>
        <v>Elettrone</v>
      </c>
      <c r="O182" s="1297"/>
      <c r="P182" s="251"/>
      <c r="Q182" s="131"/>
      <c r="R182" s="252"/>
      <c r="S182" s="254"/>
      <c r="T182" s="346"/>
      <c r="U182" s="253"/>
      <c r="V182" s="253"/>
      <c r="W182" s="251"/>
      <c r="X182" s="131"/>
      <c r="Y182" s="251"/>
      <c r="Z182" s="251"/>
      <c r="AA182" s="251"/>
      <c r="AB182" s="255"/>
      <c r="AC182" s="256"/>
      <c r="AD182" s="121" t="s">
        <v>4320</v>
      </c>
      <c r="AE182" s="80">
        <f t="shared" ref="AE182:AE195" si="174">L182</f>
        <v>0</v>
      </c>
      <c r="AF182" s="257"/>
      <c r="AG182" s="155"/>
      <c r="AH182" s="155"/>
      <c r="AI182" s="155"/>
      <c r="AJ182" s="257"/>
      <c r="AK182" s="155"/>
      <c r="AL182" s="155"/>
      <c r="AM182" s="155"/>
      <c r="AN182" s="257"/>
      <c r="AO182" s="258"/>
      <c r="AP182" s="258"/>
      <c r="AQ182" s="258"/>
      <c r="AR182" s="211"/>
      <c r="AS182" s="259" t="s">
        <v>115</v>
      </c>
      <c r="AT182" s="259" t="s">
        <v>115</v>
      </c>
      <c r="AU182" s="259" t="s">
        <v>115</v>
      </c>
      <c r="AV182" s="211"/>
      <c r="AW182" s="259"/>
      <c r="AX182" s="259"/>
      <c r="AY182" s="259"/>
      <c r="AZ182" s="808">
        <f t="shared" si="159"/>
        <v>2997</v>
      </c>
      <c r="BA182" s="761">
        <f t="shared" si="98"/>
        <v>2997</v>
      </c>
      <c r="BB182" s="761">
        <f t="shared" si="4"/>
        <v>0</v>
      </c>
      <c r="BC182" s="262"/>
      <c r="BD182" s="824">
        <f t="shared" si="173"/>
        <v>2997</v>
      </c>
      <c r="BE182" s="1231"/>
      <c r="BF182" s="363" t="s">
        <v>117</v>
      </c>
      <c r="BG182" s="98">
        <v>0</v>
      </c>
      <c r="BH182" s="262"/>
      <c r="BI182" s="242">
        <f t="shared" si="137"/>
        <v>0</v>
      </c>
      <c r="BJ182" s="1232">
        <f t="shared" si="152"/>
        <v>0</v>
      </c>
      <c r="BK182" s="244" t="s">
        <v>118</v>
      </c>
      <c r="BL182" s="828" t="s">
        <v>152</v>
      </c>
      <c r="BM182" s="145">
        <v>0.05</v>
      </c>
      <c r="BN182" s="262"/>
      <c r="BO182" s="242">
        <f t="shared" si="133"/>
        <v>149.85</v>
      </c>
      <c r="BP182" s="1231">
        <f t="shared" si="134"/>
        <v>0</v>
      </c>
      <c r="BQ182" s="387" t="s">
        <v>1076</v>
      </c>
      <c r="BR182" s="110">
        <v>2997</v>
      </c>
      <c r="BS182" s="226">
        <v>44834</v>
      </c>
      <c r="BT182" s="110">
        <v>2997</v>
      </c>
      <c r="BU182" s="263"/>
      <c r="BV182" s="110"/>
      <c r="BW182" s="348"/>
      <c r="BX182" s="110"/>
      <c r="BY182" s="263"/>
      <c r="BZ182" s="110"/>
      <c r="CA182" s="263"/>
      <c r="CB182" s="110"/>
      <c r="CC182" s="263"/>
      <c r="CD182" s="110"/>
      <c r="CE182" s="226"/>
      <c r="CF182" s="110"/>
      <c r="CG182" s="263"/>
      <c r="CH182" s="110"/>
      <c r="CI182" s="226"/>
      <c r="CJ182" s="110"/>
      <c r="CK182" s="155">
        <v>1</v>
      </c>
      <c r="CL182" s="181" t="s">
        <v>1123</v>
      </c>
      <c r="CM182" s="181"/>
      <c r="CN182" s="207"/>
      <c r="CO182" s="155" t="s">
        <v>122</v>
      </c>
      <c r="CP182" s="155"/>
      <c r="CQ182" s="131" t="s">
        <v>4321</v>
      </c>
      <c r="CR182" s="823" t="s">
        <v>4322</v>
      </c>
      <c r="CS182" s="116" t="str">
        <f t="shared" si="9"/>
        <v>blackship</v>
      </c>
      <c r="CT182" s="820">
        <f t="shared" si="168"/>
        <v>0</v>
      </c>
      <c r="CU182" s="820">
        <f t="shared" si="169"/>
        <v>149.85</v>
      </c>
      <c r="CV182" s="116" t="str">
        <f t="shared" si="10"/>
        <v>Client Angel</v>
      </c>
      <c r="CW182" s="181"/>
      <c r="CX182" s="779"/>
      <c r="CY182" s="729"/>
      <c r="CZ182" s="729"/>
      <c r="DA182" s="729"/>
      <c r="DB182" s="729"/>
      <c r="DC182" s="729"/>
      <c r="DD182" s="265"/>
      <c r="DE182" s="265"/>
      <c r="DF182" s="265"/>
      <c r="DG182" s="265"/>
      <c r="DH182" s="265"/>
      <c r="DI182" s="265"/>
      <c r="DJ182" s="265"/>
      <c r="DK182" s="265"/>
      <c r="DL182" s="265"/>
      <c r="DM182" s="265"/>
      <c r="DN182" s="265"/>
      <c r="DO182" s="265"/>
      <c r="DP182" s="265"/>
      <c r="DQ182" s="265"/>
      <c r="DR182" s="265"/>
      <c r="DS182" s="265"/>
      <c r="DT182" s="265"/>
    </row>
    <row r="183" spans="1:124" ht="30" customHeight="1">
      <c r="A183" s="228"/>
      <c r="B183" s="1314"/>
      <c r="C183" s="155">
        <f t="shared" si="154"/>
        <v>69</v>
      </c>
      <c r="D183" s="781">
        <v>1</v>
      </c>
      <c r="E183" s="781">
        <v>1</v>
      </c>
      <c r="F183" s="781">
        <v>1</v>
      </c>
      <c r="G183" s="112" t="s">
        <v>2805</v>
      </c>
      <c r="H183" s="112" t="s">
        <v>4323</v>
      </c>
      <c r="I183" s="1234" t="s">
        <v>4324</v>
      </c>
      <c r="J183" s="207" t="str">
        <f t="shared" si="0"/>
        <v>Giorgia Cretella</v>
      </c>
      <c r="K183" s="156" t="s">
        <v>4325</v>
      </c>
      <c r="L183" s="131"/>
      <c r="M183" s="131" t="s">
        <v>702</v>
      </c>
      <c r="N183" s="131" t="str">
        <f t="shared" si="1"/>
        <v>Italsample</v>
      </c>
      <c r="O183" s="1297"/>
      <c r="P183" s="251"/>
      <c r="Q183" s="131"/>
      <c r="R183" s="252"/>
      <c r="S183" s="254"/>
      <c r="T183" s="346"/>
      <c r="U183" s="253"/>
      <c r="V183" s="253"/>
      <c r="W183" s="251"/>
      <c r="X183" s="131"/>
      <c r="Y183" s="251"/>
      <c r="Z183" s="251"/>
      <c r="AA183" s="251"/>
      <c r="AB183" s="255"/>
      <c r="AC183" s="256"/>
      <c r="AD183" s="121" t="s">
        <v>4326</v>
      </c>
      <c r="AE183" s="80">
        <f t="shared" si="174"/>
        <v>0</v>
      </c>
      <c r="AF183" s="257"/>
      <c r="AG183" s="155"/>
      <c r="AH183" s="155"/>
      <c r="AI183" s="155"/>
      <c r="AJ183" s="257"/>
      <c r="AK183" s="155"/>
      <c r="AL183" s="155"/>
      <c r="AM183" s="155"/>
      <c r="AN183" s="257"/>
      <c r="AO183" s="258"/>
      <c r="AP183" s="258"/>
      <c r="AQ183" s="258"/>
      <c r="AR183" s="211"/>
      <c r="AS183" s="259" t="s">
        <v>115</v>
      </c>
      <c r="AT183" s="259" t="s">
        <v>115</v>
      </c>
      <c r="AU183" s="259" t="s">
        <v>115</v>
      </c>
      <c r="AV183" s="211"/>
      <c r="AW183" s="259"/>
      <c r="AX183" s="259"/>
      <c r="AY183" s="259"/>
      <c r="AZ183" s="808">
        <f t="shared" si="159"/>
        <v>2997</v>
      </c>
      <c r="BA183" s="761">
        <f t="shared" si="98"/>
        <v>2997</v>
      </c>
      <c r="BB183" s="761">
        <f t="shared" si="4"/>
        <v>0</v>
      </c>
      <c r="BC183" s="262"/>
      <c r="BD183" s="824">
        <f t="shared" si="173"/>
        <v>2997</v>
      </c>
      <c r="BE183" s="1231"/>
      <c r="BF183" s="377" t="s">
        <v>160</v>
      </c>
      <c r="BG183" s="145">
        <v>0.05</v>
      </c>
      <c r="BH183" s="262"/>
      <c r="BI183" s="242">
        <f t="shared" si="137"/>
        <v>149.85</v>
      </c>
      <c r="BJ183" s="1232">
        <f t="shared" si="152"/>
        <v>0</v>
      </c>
      <c r="BK183" s="387" t="s">
        <v>1076</v>
      </c>
      <c r="BL183" s="377" t="s">
        <v>160</v>
      </c>
      <c r="BM183" s="145">
        <v>0.05</v>
      </c>
      <c r="BN183" s="262"/>
      <c r="BO183" s="242">
        <f t="shared" si="133"/>
        <v>149.85</v>
      </c>
      <c r="BP183" s="1231">
        <f t="shared" si="134"/>
        <v>0</v>
      </c>
      <c r="BQ183" s="387" t="s">
        <v>1076</v>
      </c>
      <c r="BR183" s="110">
        <v>2997</v>
      </c>
      <c r="BS183" s="226">
        <v>44834</v>
      </c>
      <c r="BT183" s="110">
        <v>2997</v>
      </c>
      <c r="BU183" s="263"/>
      <c r="BV183" s="110"/>
      <c r="BW183" s="348"/>
      <c r="BX183" s="110"/>
      <c r="BY183" s="263"/>
      <c r="BZ183" s="110"/>
      <c r="CA183" s="263"/>
      <c r="CB183" s="110"/>
      <c r="CC183" s="263"/>
      <c r="CD183" s="110"/>
      <c r="CE183" s="226"/>
      <c r="CF183" s="110"/>
      <c r="CG183" s="263"/>
      <c r="CH183" s="110"/>
      <c r="CI183" s="226"/>
      <c r="CJ183" s="110"/>
      <c r="CK183" s="155">
        <v>1</v>
      </c>
      <c r="CL183" s="181" t="s">
        <v>1123</v>
      </c>
      <c r="CM183" s="181"/>
      <c r="CN183" s="207"/>
      <c r="CO183" s="155" t="s">
        <v>122</v>
      </c>
      <c r="CP183" s="155"/>
      <c r="CQ183" s="131" t="s">
        <v>4327</v>
      </c>
      <c r="CR183" s="823" t="s">
        <v>4328</v>
      </c>
      <c r="CS183" s="116" t="str">
        <f t="shared" si="9"/>
        <v>Gianluca</v>
      </c>
      <c r="CT183" s="820">
        <f t="shared" si="168"/>
        <v>149.85</v>
      </c>
      <c r="CU183" s="820">
        <f t="shared" si="169"/>
        <v>149.85</v>
      </c>
      <c r="CV183" s="116" t="str">
        <f t="shared" si="10"/>
        <v>Gianluca</v>
      </c>
      <c r="CW183" s="181"/>
      <c r="CX183" s="779"/>
      <c r="CY183" s="729"/>
      <c r="CZ183" s="729"/>
      <c r="DA183" s="729"/>
      <c r="DB183" s="729"/>
      <c r="DC183" s="729"/>
      <c r="DD183" s="265"/>
      <c r="DE183" s="265"/>
      <c r="DF183" s="265"/>
      <c r="DG183" s="265"/>
      <c r="DH183" s="265"/>
      <c r="DI183" s="265"/>
      <c r="DJ183" s="265"/>
      <c r="DK183" s="265"/>
      <c r="DL183" s="265"/>
      <c r="DM183" s="265"/>
      <c r="DN183" s="265"/>
      <c r="DO183" s="265"/>
      <c r="DP183" s="265"/>
      <c r="DQ183" s="265"/>
      <c r="DR183" s="265"/>
      <c r="DS183" s="265"/>
      <c r="DT183" s="265"/>
    </row>
    <row r="184" spans="1:124" ht="30" customHeight="1">
      <c r="A184" s="228"/>
      <c r="B184" s="1237"/>
      <c r="C184" s="155">
        <f t="shared" si="154"/>
        <v>70</v>
      </c>
      <c r="D184" s="781"/>
      <c r="E184" s="781"/>
      <c r="F184" s="781"/>
      <c r="G184" s="112" t="s">
        <v>216</v>
      </c>
      <c r="H184" s="112" t="s">
        <v>4329</v>
      </c>
      <c r="I184" s="207" t="s">
        <v>4330</v>
      </c>
      <c r="J184" s="207" t="str">
        <f t="shared" si="0"/>
        <v>Giulia Fracchetti</v>
      </c>
      <c r="K184" s="156">
        <v>3487522713</v>
      </c>
      <c r="L184" s="204" t="s">
        <v>4331</v>
      </c>
      <c r="M184" s="131" t="s">
        <v>514</v>
      </c>
      <c r="N184" s="131" t="str">
        <f t="shared" si="1"/>
        <v>Panificio Moderno</v>
      </c>
      <c r="O184" s="1297"/>
      <c r="P184" s="251"/>
      <c r="Q184" s="131"/>
      <c r="R184" s="252"/>
      <c r="S184" s="254"/>
      <c r="T184" s="346"/>
      <c r="U184" s="253"/>
      <c r="V184" s="253"/>
      <c r="W184" s="251"/>
      <c r="X184" s="131"/>
      <c r="Y184" s="251"/>
      <c r="Z184" s="251"/>
      <c r="AA184" s="251"/>
      <c r="AB184" s="255"/>
      <c r="AC184" s="256"/>
      <c r="AD184" s="121"/>
      <c r="AE184" s="80" t="str">
        <f t="shared" si="174"/>
        <v>Da CONFERMARE, sentono con il titolare Matteo</v>
      </c>
      <c r="AF184" s="257"/>
      <c r="AG184" s="155"/>
      <c r="AH184" s="155"/>
      <c r="AI184" s="155"/>
      <c r="AJ184" s="257"/>
      <c r="AK184" s="155"/>
      <c r="AL184" s="155"/>
      <c r="AM184" s="155"/>
      <c r="AN184" s="257"/>
      <c r="AO184" s="258"/>
      <c r="AP184" s="258"/>
      <c r="AQ184" s="258"/>
      <c r="AR184" s="211"/>
      <c r="AS184" s="259"/>
      <c r="AT184" s="259"/>
      <c r="AU184" s="259"/>
      <c r="AV184" s="211"/>
      <c r="AW184" s="259" t="s">
        <v>115</v>
      </c>
      <c r="AX184" s="259" t="s">
        <v>115</v>
      </c>
      <c r="AY184" s="259" t="s">
        <v>115</v>
      </c>
      <c r="AZ184" s="808">
        <f t="shared" si="159"/>
        <v>2997</v>
      </c>
      <c r="BA184" s="761">
        <f t="shared" si="98"/>
        <v>0</v>
      </c>
      <c r="BB184" s="761">
        <f t="shared" si="4"/>
        <v>2997</v>
      </c>
      <c r="BC184" s="262"/>
      <c r="BD184" s="824"/>
      <c r="BE184" s="1231">
        <v>2997</v>
      </c>
      <c r="BF184" s="827" t="s">
        <v>117</v>
      </c>
      <c r="BG184" s="98">
        <v>0</v>
      </c>
      <c r="BH184" s="262"/>
      <c r="BI184" s="242">
        <f t="shared" si="137"/>
        <v>0</v>
      </c>
      <c r="BJ184" s="1232">
        <f t="shared" si="152"/>
        <v>0</v>
      </c>
      <c r="BK184" s="772"/>
      <c r="BL184" s="1321" t="s">
        <v>184</v>
      </c>
      <c r="BM184" s="145">
        <v>0.05</v>
      </c>
      <c r="BN184" s="262"/>
      <c r="BO184" s="242">
        <f t="shared" si="133"/>
        <v>0</v>
      </c>
      <c r="BP184" s="1231">
        <f t="shared" si="134"/>
        <v>149.85</v>
      </c>
      <c r="BQ184" s="243"/>
      <c r="BR184" s="110">
        <v>2997</v>
      </c>
      <c r="BS184" s="226">
        <v>44834</v>
      </c>
      <c r="BT184" s="110"/>
      <c r="BU184" s="263"/>
      <c r="BV184" s="110"/>
      <c r="BW184" s="348"/>
      <c r="BX184" s="110"/>
      <c r="BY184" s="263"/>
      <c r="BZ184" s="110"/>
      <c r="CA184" s="263"/>
      <c r="CB184" s="110"/>
      <c r="CC184" s="263"/>
      <c r="CD184" s="110"/>
      <c r="CE184" s="226"/>
      <c r="CF184" s="110"/>
      <c r="CG184" s="263"/>
      <c r="CH184" s="110"/>
      <c r="CI184" s="226"/>
      <c r="CJ184" s="110"/>
      <c r="CK184" s="155">
        <v>1</v>
      </c>
      <c r="CL184" s="181" t="s">
        <v>1123</v>
      </c>
      <c r="CM184" s="181"/>
      <c r="CN184" s="207"/>
      <c r="CO184" s="207"/>
      <c r="CP184" s="155"/>
      <c r="CQ184" s="131"/>
      <c r="CR184" s="823" t="s">
        <v>4332</v>
      </c>
      <c r="CS184" s="116" t="str">
        <f t="shared" si="9"/>
        <v>blackship</v>
      </c>
      <c r="CT184" s="820" t="b">
        <f t="shared" si="168"/>
        <v>0</v>
      </c>
      <c r="CU184" s="820" t="b">
        <f t="shared" si="169"/>
        <v>0</v>
      </c>
      <c r="CV184" s="116" t="str">
        <f t="shared" si="10"/>
        <v>Cristian A</v>
      </c>
      <c r="CW184" s="181"/>
      <c r="CX184" s="779"/>
      <c r="CY184" s="729"/>
      <c r="CZ184" s="729"/>
      <c r="DA184" s="729"/>
      <c r="DB184" s="729"/>
      <c r="DC184" s="729"/>
      <c r="DD184" s="265"/>
      <c r="DE184" s="265"/>
      <c r="DF184" s="265"/>
      <c r="DG184" s="265"/>
      <c r="DH184" s="265"/>
      <c r="DI184" s="265"/>
      <c r="DJ184" s="265"/>
      <c r="DK184" s="265"/>
      <c r="DL184" s="265"/>
      <c r="DM184" s="265"/>
      <c r="DN184" s="265"/>
      <c r="DO184" s="265"/>
      <c r="DP184" s="265"/>
      <c r="DQ184" s="265"/>
      <c r="DR184" s="265"/>
      <c r="DS184" s="265"/>
      <c r="DT184" s="265"/>
    </row>
    <row r="185" spans="1:124" ht="30" customHeight="1">
      <c r="A185" s="228"/>
      <c r="B185" s="1237"/>
      <c r="C185" s="155">
        <f t="shared" si="154"/>
        <v>71</v>
      </c>
      <c r="D185" s="781"/>
      <c r="E185" s="781"/>
      <c r="F185" s="781"/>
      <c r="G185" s="112" t="s">
        <v>216</v>
      </c>
      <c r="H185" s="112" t="s">
        <v>1228</v>
      </c>
      <c r="I185" s="207" t="s">
        <v>1229</v>
      </c>
      <c r="J185" s="207" t="str">
        <f t="shared" si="0"/>
        <v>Giulia Magnani</v>
      </c>
      <c r="K185" s="156" t="s">
        <v>4333</v>
      </c>
      <c r="L185" s="204" t="s">
        <v>1176</v>
      </c>
      <c r="M185" s="131" t="s">
        <v>4334</v>
      </c>
      <c r="N185" s="823" t="s">
        <v>4335</v>
      </c>
      <c r="O185" s="1297"/>
      <c r="P185" s="251"/>
      <c r="Q185" s="131"/>
      <c r="R185" s="252"/>
      <c r="S185" s="254"/>
      <c r="T185" s="346"/>
      <c r="U185" s="253"/>
      <c r="V185" s="253"/>
      <c r="W185" s="251"/>
      <c r="X185" s="131"/>
      <c r="Y185" s="251"/>
      <c r="Z185" s="251"/>
      <c r="AA185" s="251"/>
      <c r="AB185" s="255"/>
      <c r="AC185" s="256"/>
      <c r="AD185" s="121" t="s">
        <v>4336</v>
      </c>
      <c r="AE185" s="80" t="str">
        <f t="shared" si="174"/>
        <v>Condizioni pagamento concordate con Gluca 200 euro 30/9 - 1720 entro il 28/4/2023 e saldo entro il 13/05/2023</v>
      </c>
      <c r="AF185" s="257"/>
      <c r="AG185" s="155"/>
      <c r="AH185" s="155"/>
      <c r="AI185" s="155"/>
      <c r="AJ185" s="257"/>
      <c r="AK185" s="155"/>
      <c r="AL185" s="155"/>
      <c r="AM185" s="155"/>
      <c r="AN185" s="257"/>
      <c r="AO185" s="258"/>
      <c r="AP185" s="258"/>
      <c r="AQ185" s="258"/>
      <c r="AR185" s="211"/>
      <c r="AS185" s="259"/>
      <c r="AT185" s="259"/>
      <c r="AU185" s="259"/>
      <c r="AV185" s="211"/>
      <c r="AW185" s="259" t="s">
        <v>115</v>
      </c>
      <c r="AX185" s="259" t="s">
        <v>115</v>
      </c>
      <c r="AY185" s="259" t="s">
        <v>115</v>
      </c>
      <c r="AZ185" s="808">
        <f t="shared" si="159"/>
        <v>3497.0000000000005</v>
      </c>
      <c r="BA185" s="761">
        <f t="shared" si="98"/>
        <v>163.9344262295082</v>
      </c>
      <c r="BB185" s="761">
        <f t="shared" si="4"/>
        <v>3333.0655737704924</v>
      </c>
      <c r="BC185" s="262"/>
      <c r="BD185" s="824"/>
      <c r="BE185" s="1231">
        <v>3497</v>
      </c>
      <c r="BF185" s="363" t="s">
        <v>117</v>
      </c>
      <c r="BG185" s="98">
        <v>0</v>
      </c>
      <c r="BH185" s="262"/>
      <c r="BI185" s="242">
        <f t="shared" si="137"/>
        <v>0</v>
      </c>
      <c r="BJ185" s="1232">
        <f t="shared" si="152"/>
        <v>0</v>
      </c>
      <c r="BK185" s="772"/>
      <c r="BL185" s="828" t="s">
        <v>152</v>
      </c>
      <c r="BM185" s="145">
        <v>0.05</v>
      </c>
      <c r="BN185" s="262"/>
      <c r="BO185" s="242">
        <f t="shared" si="133"/>
        <v>0</v>
      </c>
      <c r="BP185" s="1231">
        <f t="shared" si="134"/>
        <v>174.85000000000002</v>
      </c>
      <c r="BQ185" s="243"/>
      <c r="BR185" s="110">
        <f>200/1.22</f>
        <v>163.9344262295082</v>
      </c>
      <c r="BS185" s="365">
        <v>44834</v>
      </c>
      <c r="BT185" s="110">
        <f>200/1.22</f>
        <v>163.9344262295082</v>
      </c>
      <c r="BU185" s="206"/>
      <c r="BV185" s="110">
        <f>1720/1.22</f>
        <v>1409.8360655737706</v>
      </c>
      <c r="BW185" s="226">
        <v>45044</v>
      </c>
      <c r="BX185" s="110"/>
      <c r="BY185" s="206"/>
      <c r="BZ185" s="110">
        <f>2346.34/1.22</f>
        <v>1923.2295081967216</v>
      </c>
      <c r="CA185" s="348">
        <v>45059</v>
      </c>
      <c r="CB185" s="110"/>
      <c r="CC185" s="263"/>
      <c r="CD185" s="110"/>
      <c r="CE185" s="226"/>
      <c r="CF185" s="110"/>
      <c r="CG185" s="263"/>
      <c r="CH185" s="110"/>
      <c r="CI185" s="226"/>
      <c r="CJ185" s="110"/>
      <c r="CK185" s="155">
        <v>1</v>
      </c>
      <c r="CL185" s="181" t="s">
        <v>1123</v>
      </c>
      <c r="CM185" s="181"/>
      <c r="CN185" s="207"/>
      <c r="CO185" s="207"/>
      <c r="CP185" s="155"/>
      <c r="CQ185" s="131" t="s">
        <v>4337</v>
      </c>
      <c r="CR185" s="823" t="s">
        <v>4335</v>
      </c>
      <c r="CS185" s="116" t="str">
        <f t="shared" si="9"/>
        <v>blackship</v>
      </c>
      <c r="CT185" s="820" t="b">
        <f t="shared" si="168"/>
        <v>0</v>
      </c>
      <c r="CU185" s="820" t="b">
        <f t="shared" si="169"/>
        <v>0</v>
      </c>
      <c r="CV185" s="116" t="str">
        <f t="shared" si="10"/>
        <v>Client Angel</v>
      </c>
      <c r="CW185" s="181"/>
      <c r="CX185" s="779"/>
      <c r="CY185" s="729"/>
      <c r="CZ185" s="729"/>
      <c r="DA185" s="729"/>
      <c r="DB185" s="729"/>
      <c r="DC185" s="729"/>
      <c r="DD185" s="265"/>
      <c r="DE185" s="265"/>
      <c r="DF185" s="265"/>
      <c r="DG185" s="265"/>
      <c r="DH185" s="265"/>
      <c r="DI185" s="265"/>
      <c r="DJ185" s="265"/>
      <c r="DK185" s="265"/>
      <c r="DL185" s="265"/>
      <c r="DM185" s="265"/>
      <c r="DN185" s="265"/>
      <c r="DO185" s="265"/>
      <c r="DP185" s="265"/>
      <c r="DQ185" s="265"/>
      <c r="DR185" s="265"/>
      <c r="DS185" s="265"/>
      <c r="DT185" s="265"/>
    </row>
    <row r="186" spans="1:124" ht="30" customHeight="1">
      <c r="A186" s="228"/>
      <c r="B186" s="1237"/>
      <c r="C186" s="155">
        <f t="shared" si="154"/>
        <v>72</v>
      </c>
      <c r="D186" s="781">
        <v>1</v>
      </c>
      <c r="E186" s="781">
        <v>1</v>
      </c>
      <c r="F186" s="781">
        <v>1</v>
      </c>
      <c r="G186" s="112" t="s">
        <v>216</v>
      </c>
      <c r="H186" s="112" t="s">
        <v>4338</v>
      </c>
      <c r="I186" s="1234" t="s">
        <v>4339</v>
      </c>
      <c r="J186" s="207" t="str">
        <f t="shared" si="0"/>
        <v>Giulia Pischedda</v>
      </c>
      <c r="K186" s="156">
        <v>3409616943</v>
      </c>
      <c r="L186" s="131"/>
      <c r="M186" s="131" t="s">
        <v>4340</v>
      </c>
      <c r="N186" s="131" t="str">
        <f t="shared" ref="N186:N201" si="175">CR186</f>
        <v>Leyton Italia</v>
      </c>
      <c r="O186" s="1297"/>
      <c r="P186" s="251"/>
      <c r="Q186" s="131"/>
      <c r="R186" s="252"/>
      <c r="S186" s="254"/>
      <c r="T186" s="346"/>
      <c r="U186" s="253"/>
      <c r="V186" s="253"/>
      <c r="W186" s="251"/>
      <c r="X186" s="131"/>
      <c r="Y186" s="251"/>
      <c r="Z186" s="251"/>
      <c r="AA186" s="251"/>
      <c r="AB186" s="255"/>
      <c r="AC186" s="256"/>
      <c r="AD186" s="121" t="s">
        <v>4341</v>
      </c>
      <c r="AE186" s="80">
        <f t="shared" si="174"/>
        <v>0</v>
      </c>
      <c r="AF186" s="257"/>
      <c r="AG186" s="155"/>
      <c r="AH186" s="155"/>
      <c r="AI186" s="155"/>
      <c r="AJ186" s="257"/>
      <c r="AK186" s="155"/>
      <c r="AL186" s="155"/>
      <c r="AM186" s="155"/>
      <c r="AN186" s="257"/>
      <c r="AO186" s="258"/>
      <c r="AP186" s="258"/>
      <c r="AQ186" s="258"/>
      <c r="AR186" s="211"/>
      <c r="AS186" s="259" t="s">
        <v>115</v>
      </c>
      <c r="AT186" s="259" t="s">
        <v>115</v>
      </c>
      <c r="AU186" s="350" t="s">
        <v>115</v>
      </c>
      <c r="AV186" s="211"/>
      <c r="AW186" s="121"/>
      <c r="AX186" s="121"/>
      <c r="AY186" s="121"/>
      <c r="AZ186" s="760">
        <f t="shared" si="159"/>
        <v>2997</v>
      </c>
      <c r="BA186" s="761">
        <f t="shared" si="98"/>
        <v>2997</v>
      </c>
      <c r="BB186" s="761">
        <f t="shared" si="4"/>
        <v>0</v>
      </c>
      <c r="BC186" s="262"/>
      <c r="BD186" s="824">
        <f t="shared" ref="BD186:BD194" si="176">AZ186</f>
        <v>2997</v>
      </c>
      <c r="BE186" s="1231"/>
      <c r="BF186" s="380" t="s">
        <v>451</v>
      </c>
      <c r="BG186" s="145">
        <v>0.15</v>
      </c>
      <c r="BH186" s="262"/>
      <c r="BI186" s="242">
        <f t="shared" si="137"/>
        <v>449.55</v>
      </c>
      <c r="BJ186" s="1232">
        <f t="shared" si="152"/>
        <v>0</v>
      </c>
      <c r="BK186" s="387" t="s">
        <v>1076</v>
      </c>
      <c r="BL186" s="825" t="s">
        <v>184</v>
      </c>
      <c r="BM186" s="145">
        <v>0.05</v>
      </c>
      <c r="BN186" s="262"/>
      <c r="BO186" s="242">
        <f t="shared" si="133"/>
        <v>149.85</v>
      </c>
      <c r="BP186" s="1231">
        <f t="shared" si="134"/>
        <v>0</v>
      </c>
      <c r="BQ186" s="387" t="s">
        <v>1076</v>
      </c>
      <c r="BR186" s="110">
        <v>2997</v>
      </c>
      <c r="BS186" s="226">
        <v>44834</v>
      </c>
      <c r="BT186" s="110">
        <v>2997</v>
      </c>
      <c r="BU186" s="263"/>
      <c r="BV186" s="110"/>
      <c r="BW186" s="348"/>
      <c r="BX186" s="110"/>
      <c r="BY186" s="263"/>
      <c r="BZ186" s="110"/>
      <c r="CA186" s="263"/>
      <c r="CB186" s="110"/>
      <c r="CC186" s="263"/>
      <c r="CD186" s="110"/>
      <c r="CE186" s="226"/>
      <c r="CF186" s="110"/>
      <c r="CG186" s="263"/>
      <c r="CH186" s="110"/>
      <c r="CI186" s="226"/>
      <c r="CJ186" s="110"/>
      <c r="CK186" s="155">
        <v>1</v>
      </c>
      <c r="CL186" s="181" t="s">
        <v>1123</v>
      </c>
      <c r="CM186" s="181"/>
      <c r="CN186" s="207"/>
      <c r="CO186" s="155" t="s">
        <v>122</v>
      </c>
      <c r="CP186" s="155"/>
      <c r="CQ186" s="131" t="s">
        <v>4342</v>
      </c>
      <c r="CR186" s="823" t="s">
        <v>4343</v>
      </c>
      <c r="CS186" s="116" t="str">
        <f t="shared" si="9"/>
        <v>Fabio</v>
      </c>
      <c r="CT186" s="820">
        <f t="shared" si="168"/>
        <v>449.55</v>
      </c>
      <c r="CU186" s="820">
        <f t="shared" si="169"/>
        <v>149.85</v>
      </c>
      <c r="CV186" s="116" t="str">
        <f t="shared" si="10"/>
        <v>Cristian A</v>
      </c>
      <c r="CW186" s="121">
        <v>1</v>
      </c>
      <c r="CX186" s="779"/>
      <c r="CY186" s="729"/>
      <c r="CZ186" s="729"/>
      <c r="DA186" s="729"/>
      <c r="DB186" s="729"/>
      <c r="DC186" s="729"/>
      <c r="DD186" s="265"/>
      <c r="DE186" s="265"/>
      <c r="DF186" s="265"/>
      <c r="DG186" s="265"/>
      <c r="DH186" s="265"/>
      <c r="DI186" s="265"/>
      <c r="DJ186" s="265"/>
      <c r="DK186" s="265"/>
      <c r="DL186" s="265"/>
      <c r="DM186" s="265"/>
      <c r="DN186" s="265"/>
      <c r="DO186" s="265"/>
      <c r="DP186" s="265"/>
      <c r="DQ186" s="265"/>
      <c r="DR186" s="265"/>
      <c r="DS186" s="265"/>
      <c r="DT186" s="265"/>
    </row>
    <row r="187" spans="1:124" ht="30" customHeight="1">
      <c r="A187" s="228"/>
      <c r="B187" s="1237"/>
      <c r="C187" s="155">
        <f t="shared" si="154"/>
        <v>73</v>
      </c>
      <c r="D187" s="781">
        <v>1</v>
      </c>
      <c r="E187" s="781">
        <v>1</v>
      </c>
      <c r="F187" s="781">
        <v>1</v>
      </c>
      <c r="G187" s="1327" t="s">
        <v>4344</v>
      </c>
      <c r="H187" s="1327" t="s">
        <v>4345</v>
      </c>
      <c r="I187" s="1234" t="s">
        <v>4346</v>
      </c>
      <c r="J187" s="207" t="str">
        <f t="shared" si="0"/>
        <v>Ana Marina Lozica</v>
      </c>
      <c r="K187" s="156"/>
      <c r="L187" s="131"/>
      <c r="M187" s="131"/>
      <c r="N187" s="131" t="str">
        <f t="shared" si="175"/>
        <v>L'antincendio Sammarinese</v>
      </c>
      <c r="O187" s="1297"/>
      <c r="P187" s="251"/>
      <c r="Q187" s="131"/>
      <c r="R187" s="252"/>
      <c r="S187" s="254"/>
      <c r="T187" s="346"/>
      <c r="U187" s="253"/>
      <c r="V187" s="253"/>
      <c r="W187" s="251"/>
      <c r="X187" s="131"/>
      <c r="Y187" s="251"/>
      <c r="Z187" s="251"/>
      <c r="AA187" s="251"/>
      <c r="AB187" s="255"/>
      <c r="AC187" s="256"/>
      <c r="AD187" s="121" t="s">
        <v>4347</v>
      </c>
      <c r="AE187" s="80">
        <f t="shared" si="174"/>
        <v>0</v>
      </c>
      <c r="AF187" s="257"/>
      <c r="AG187" s="155"/>
      <c r="AH187" s="155"/>
      <c r="AI187" s="155"/>
      <c r="AJ187" s="257"/>
      <c r="AK187" s="155"/>
      <c r="AL187" s="155"/>
      <c r="AM187" s="155"/>
      <c r="AN187" s="257"/>
      <c r="AO187" s="258"/>
      <c r="AP187" s="258"/>
      <c r="AQ187" s="258"/>
      <c r="AR187" s="211"/>
      <c r="AS187" s="259" t="s">
        <v>115</v>
      </c>
      <c r="AT187" s="259" t="s">
        <v>115</v>
      </c>
      <c r="AU187" s="350" t="s">
        <v>115</v>
      </c>
      <c r="AV187" s="211"/>
      <c r="AW187" s="259"/>
      <c r="AX187" s="259"/>
      <c r="AY187" s="259"/>
      <c r="AZ187" s="808">
        <f t="shared" si="159"/>
        <v>2997</v>
      </c>
      <c r="BA187" s="761">
        <f t="shared" si="98"/>
        <v>2997</v>
      </c>
      <c r="BB187" s="761">
        <f t="shared" si="4"/>
        <v>0</v>
      </c>
      <c r="BC187" s="262"/>
      <c r="BD187" s="824">
        <f t="shared" si="176"/>
        <v>2997</v>
      </c>
      <c r="BE187" s="1231">
        <v>0</v>
      </c>
      <c r="BF187" s="392" t="s">
        <v>262</v>
      </c>
      <c r="BG187" s="145">
        <v>0.15</v>
      </c>
      <c r="BH187" s="262"/>
      <c r="BI187" s="242">
        <f t="shared" si="137"/>
        <v>449.55</v>
      </c>
      <c r="BJ187" s="1232">
        <f t="shared" si="152"/>
        <v>0</v>
      </c>
      <c r="BK187" s="387" t="s">
        <v>1076</v>
      </c>
      <c r="BL187" s="826" t="s">
        <v>262</v>
      </c>
      <c r="BM187" s="145">
        <v>0.05</v>
      </c>
      <c r="BN187" s="262"/>
      <c r="BO187" s="242">
        <f t="shared" si="133"/>
        <v>149.85</v>
      </c>
      <c r="BP187" s="1231">
        <f t="shared" si="134"/>
        <v>0</v>
      </c>
      <c r="BQ187" s="387" t="s">
        <v>1076</v>
      </c>
      <c r="BR187" s="110">
        <v>2997</v>
      </c>
      <c r="BS187" s="226">
        <v>44846</v>
      </c>
      <c r="BT187" s="110">
        <v>2997</v>
      </c>
      <c r="BU187" s="263"/>
      <c r="BV187" s="110"/>
      <c r="BW187" s="348"/>
      <c r="BX187" s="110"/>
      <c r="BY187" s="263"/>
      <c r="BZ187" s="110"/>
      <c r="CA187" s="263"/>
      <c r="CB187" s="110"/>
      <c r="CC187" s="263"/>
      <c r="CD187" s="110"/>
      <c r="CE187" s="226"/>
      <c r="CF187" s="110"/>
      <c r="CG187" s="263"/>
      <c r="CH187" s="110"/>
      <c r="CI187" s="226"/>
      <c r="CJ187" s="110"/>
      <c r="CK187" s="155">
        <v>1</v>
      </c>
      <c r="CL187" s="181" t="s">
        <v>1123</v>
      </c>
      <c r="CM187" s="181"/>
      <c r="CN187" s="207"/>
      <c r="CO187" s="155" t="s">
        <v>122</v>
      </c>
      <c r="CP187" s="155"/>
      <c r="CQ187" s="131" t="s">
        <v>4348</v>
      </c>
      <c r="CR187" s="823" t="s">
        <v>1239</v>
      </c>
      <c r="CS187" s="116" t="str">
        <f t="shared" si="9"/>
        <v>Pacci</v>
      </c>
      <c r="CT187" s="820">
        <f t="shared" si="168"/>
        <v>449.55</v>
      </c>
      <c r="CU187" s="820">
        <f t="shared" si="169"/>
        <v>149.85</v>
      </c>
      <c r="CV187" s="116" t="str">
        <f t="shared" si="10"/>
        <v>Pacci</v>
      </c>
      <c r="CW187" s="121">
        <v>1</v>
      </c>
      <c r="CX187" s="779"/>
      <c r="CY187" s="729"/>
      <c r="CZ187" s="729"/>
      <c r="DA187" s="729"/>
      <c r="DB187" s="729"/>
      <c r="DC187" s="729"/>
      <c r="DD187" s="265"/>
      <c r="DE187" s="265"/>
      <c r="DF187" s="265"/>
      <c r="DG187" s="265"/>
      <c r="DH187" s="265"/>
      <c r="DI187" s="265"/>
      <c r="DJ187" s="265"/>
      <c r="DK187" s="265"/>
      <c r="DL187" s="265"/>
      <c r="DM187" s="265"/>
      <c r="DN187" s="265"/>
      <c r="DO187" s="265"/>
      <c r="DP187" s="265"/>
      <c r="DQ187" s="265"/>
      <c r="DR187" s="265"/>
      <c r="DS187" s="265"/>
      <c r="DT187" s="265"/>
    </row>
    <row r="188" spans="1:124" ht="30" customHeight="1">
      <c r="A188" s="228"/>
      <c r="B188" s="1237"/>
      <c r="C188" s="155">
        <f t="shared" si="154"/>
        <v>74</v>
      </c>
      <c r="D188" s="781"/>
      <c r="E188" s="781"/>
      <c r="F188" s="781"/>
      <c r="G188" s="612" t="s">
        <v>1235</v>
      </c>
      <c r="H188" s="612" t="s">
        <v>1236</v>
      </c>
      <c r="I188" s="294" t="s">
        <v>1237</v>
      </c>
      <c r="J188" s="207" t="str">
        <f t="shared" si="0"/>
        <v>Iader Tosi</v>
      </c>
      <c r="K188" s="156"/>
      <c r="L188" s="131"/>
      <c r="M188" s="131" t="s">
        <v>1148</v>
      </c>
      <c r="N188" s="131" t="str">
        <f t="shared" si="175"/>
        <v>L'antincendio Sammarinese</v>
      </c>
      <c r="O188" s="1297"/>
      <c r="P188" s="251"/>
      <c r="Q188" s="131"/>
      <c r="R188" s="252"/>
      <c r="S188" s="254"/>
      <c r="T188" s="346"/>
      <c r="U188" s="253"/>
      <c r="V188" s="253"/>
      <c r="W188" s="251"/>
      <c r="X188" s="131"/>
      <c r="Y188" s="251"/>
      <c r="Z188" s="251"/>
      <c r="AA188" s="251"/>
      <c r="AB188" s="255"/>
      <c r="AC188" s="256"/>
      <c r="AD188" s="121"/>
      <c r="AE188" s="80">
        <f t="shared" si="174"/>
        <v>0</v>
      </c>
      <c r="AF188" s="257"/>
      <c r="AG188" s="155"/>
      <c r="AH188" s="155"/>
      <c r="AI188" s="155"/>
      <c r="AJ188" s="257"/>
      <c r="AK188" s="155"/>
      <c r="AL188" s="155"/>
      <c r="AM188" s="155"/>
      <c r="AN188" s="257"/>
      <c r="AO188" s="258"/>
      <c r="AP188" s="258"/>
      <c r="AQ188" s="258"/>
      <c r="AR188" s="211"/>
      <c r="AS188" s="259"/>
      <c r="AT188" s="259"/>
      <c r="AU188" s="259"/>
      <c r="AV188" s="211"/>
      <c r="AW188" s="259" t="s">
        <v>27</v>
      </c>
      <c r="AX188" s="259" t="s">
        <v>27</v>
      </c>
      <c r="AY188" s="259" t="s">
        <v>27</v>
      </c>
      <c r="AZ188" s="808">
        <f t="shared" ref="AZ188:AZ194" si="177">BN188+BV188+BZ188+CD188+CH188</f>
        <v>0</v>
      </c>
      <c r="BA188" s="761">
        <f t="shared" si="98"/>
        <v>0</v>
      </c>
      <c r="BB188" s="761">
        <f t="shared" si="4"/>
        <v>0</v>
      </c>
      <c r="BC188" s="262"/>
      <c r="BD188" s="824">
        <f t="shared" si="176"/>
        <v>0</v>
      </c>
      <c r="BE188" s="1231"/>
      <c r="BF188" s="392" t="s">
        <v>262</v>
      </c>
      <c r="BG188" s="145">
        <v>0.15</v>
      </c>
      <c r="BH188" s="262"/>
      <c r="BI188" s="242">
        <f t="shared" si="137"/>
        <v>0</v>
      </c>
      <c r="BJ188" s="1232">
        <f t="shared" si="152"/>
        <v>0</v>
      </c>
      <c r="BK188" s="772"/>
      <c r="BL188" s="826" t="s">
        <v>262</v>
      </c>
      <c r="BM188" s="145">
        <v>0.05</v>
      </c>
      <c r="BN188" s="110"/>
      <c r="BO188" s="242">
        <f t="shared" si="133"/>
        <v>0</v>
      </c>
      <c r="BP188" s="1231">
        <f t="shared" si="134"/>
        <v>0</v>
      </c>
      <c r="BQ188" s="243"/>
      <c r="BR188" s="110"/>
      <c r="BS188" s="226"/>
      <c r="BT188" s="110"/>
      <c r="BU188" s="263"/>
      <c r="BV188" s="110"/>
      <c r="BW188" s="348"/>
      <c r="BX188" s="110"/>
      <c r="BY188" s="263"/>
      <c r="BZ188" s="110"/>
      <c r="CA188" s="263"/>
      <c r="CB188" s="110"/>
      <c r="CC188" s="263"/>
      <c r="CD188" s="110"/>
      <c r="CE188" s="226"/>
      <c r="CF188" s="110"/>
      <c r="CG188" s="263"/>
      <c r="CH188" s="110"/>
      <c r="CI188" s="226"/>
      <c r="CJ188" s="110"/>
      <c r="CK188" s="155">
        <v>1</v>
      </c>
      <c r="CL188" s="181" t="s">
        <v>1123</v>
      </c>
      <c r="CM188" s="181"/>
      <c r="CN188" s="207"/>
      <c r="CO188" s="207"/>
      <c r="CP188" s="155"/>
      <c r="CQ188" s="131" t="s">
        <v>1240</v>
      </c>
      <c r="CR188" s="823" t="s">
        <v>1239</v>
      </c>
      <c r="CS188" s="116" t="str">
        <f t="shared" si="9"/>
        <v>Pacci</v>
      </c>
      <c r="CT188" s="820" t="b">
        <f t="shared" si="168"/>
        <v>0</v>
      </c>
      <c r="CU188" s="820" t="b">
        <f t="shared" si="169"/>
        <v>0</v>
      </c>
      <c r="CV188" s="116" t="str">
        <f t="shared" si="10"/>
        <v>Pacci</v>
      </c>
      <c r="CW188" s="181"/>
      <c r="CX188" s="779"/>
      <c r="CY188" s="729"/>
      <c r="CZ188" s="729"/>
      <c r="DA188" s="729"/>
      <c r="DB188" s="729"/>
      <c r="DC188" s="729"/>
      <c r="DD188" s="265"/>
      <c r="DE188" s="265"/>
      <c r="DF188" s="265"/>
      <c r="DG188" s="265"/>
      <c r="DH188" s="265"/>
      <c r="DI188" s="265"/>
      <c r="DJ188" s="265"/>
      <c r="DK188" s="265"/>
      <c r="DL188" s="265"/>
      <c r="DM188" s="265"/>
      <c r="DN188" s="265"/>
      <c r="DO188" s="265"/>
      <c r="DP188" s="265"/>
      <c r="DQ188" s="265"/>
      <c r="DR188" s="265"/>
      <c r="DS188" s="265"/>
      <c r="DT188" s="265"/>
    </row>
    <row r="189" spans="1:124" ht="30" customHeight="1">
      <c r="A189" s="228"/>
      <c r="B189" s="1237"/>
      <c r="C189" s="155">
        <f t="shared" si="154"/>
        <v>75</v>
      </c>
      <c r="D189" s="781"/>
      <c r="E189" s="781"/>
      <c r="F189" s="781"/>
      <c r="G189" s="620" t="s">
        <v>4349</v>
      </c>
      <c r="H189" s="620"/>
      <c r="I189" s="207"/>
      <c r="J189" s="207" t="str">
        <f t="shared" si="0"/>
        <v xml:space="preserve">Ospite 1 Iader Tosi </v>
      </c>
      <c r="K189" s="156"/>
      <c r="L189" s="131"/>
      <c r="M189" s="131"/>
      <c r="N189" s="131" t="str">
        <f t="shared" si="175"/>
        <v>L'antincendio Sammarinese</v>
      </c>
      <c r="O189" s="1297"/>
      <c r="P189" s="251"/>
      <c r="Q189" s="131"/>
      <c r="R189" s="252"/>
      <c r="S189" s="254"/>
      <c r="T189" s="346"/>
      <c r="U189" s="253"/>
      <c r="V189" s="253"/>
      <c r="W189" s="251"/>
      <c r="X189" s="131"/>
      <c r="Y189" s="251"/>
      <c r="Z189" s="251"/>
      <c r="AA189" s="251"/>
      <c r="AB189" s="255"/>
      <c r="AC189" s="256"/>
      <c r="AD189" s="121"/>
      <c r="AE189" s="80">
        <f t="shared" si="174"/>
        <v>0</v>
      </c>
      <c r="AF189" s="257"/>
      <c r="AG189" s="155"/>
      <c r="AH189" s="155"/>
      <c r="AI189" s="155"/>
      <c r="AJ189" s="257"/>
      <c r="AK189" s="155"/>
      <c r="AL189" s="155"/>
      <c r="AM189" s="155"/>
      <c r="AN189" s="257"/>
      <c r="AO189" s="258"/>
      <c r="AP189" s="258"/>
      <c r="AQ189" s="258"/>
      <c r="AR189" s="211"/>
      <c r="AS189" s="259"/>
      <c r="AT189" s="259"/>
      <c r="AU189" s="259"/>
      <c r="AV189" s="211"/>
      <c r="AW189" s="259" t="s">
        <v>27</v>
      </c>
      <c r="AX189" s="259" t="s">
        <v>27</v>
      </c>
      <c r="AY189" s="259" t="s">
        <v>27</v>
      </c>
      <c r="AZ189" s="808">
        <f t="shared" si="177"/>
        <v>0</v>
      </c>
      <c r="BA189" s="761">
        <f t="shared" si="98"/>
        <v>0</v>
      </c>
      <c r="BB189" s="761">
        <f t="shared" si="4"/>
        <v>0</v>
      </c>
      <c r="BC189" s="262"/>
      <c r="BD189" s="824">
        <f t="shared" si="176"/>
        <v>0</v>
      </c>
      <c r="BE189" s="1231"/>
      <c r="BF189" s="392" t="s">
        <v>262</v>
      </c>
      <c r="BG189" s="145">
        <v>0.15</v>
      </c>
      <c r="BH189" s="262"/>
      <c r="BI189" s="242">
        <f t="shared" si="137"/>
        <v>0</v>
      </c>
      <c r="BJ189" s="1232">
        <f t="shared" si="152"/>
        <v>0</v>
      </c>
      <c r="BK189" s="772"/>
      <c r="BL189" s="826" t="s">
        <v>262</v>
      </c>
      <c r="BM189" s="145">
        <v>0.05</v>
      </c>
      <c r="BN189" s="110"/>
      <c r="BO189" s="242">
        <f t="shared" si="133"/>
        <v>0</v>
      </c>
      <c r="BP189" s="1231">
        <f t="shared" si="134"/>
        <v>0</v>
      </c>
      <c r="BQ189" s="243"/>
      <c r="BR189" s="110"/>
      <c r="BS189" s="226"/>
      <c r="BT189" s="110"/>
      <c r="BU189" s="263"/>
      <c r="BV189" s="110"/>
      <c r="BW189" s="348"/>
      <c r="BX189" s="110"/>
      <c r="BY189" s="263"/>
      <c r="BZ189" s="110"/>
      <c r="CA189" s="263"/>
      <c r="CB189" s="110"/>
      <c r="CC189" s="263"/>
      <c r="CD189" s="110"/>
      <c r="CE189" s="226"/>
      <c r="CF189" s="110"/>
      <c r="CG189" s="263"/>
      <c r="CH189" s="110"/>
      <c r="CI189" s="226"/>
      <c r="CJ189" s="110"/>
      <c r="CK189" s="155">
        <v>1</v>
      </c>
      <c r="CL189" s="181" t="s">
        <v>1123</v>
      </c>
      <c r="CM189" s="181"/>
      <c r="CN189" s="207"/>
      <c r="CO189" s="207"/>
      <c r="CP189" s="155"/>
      <c r="CQ189" s="131" t="s">
        <v>1240</v>
      </c>
      <c r="CR189" s="823" t="s">
        <v>1239</v>
      </c>
      <c r="CS189" s="116" t="str">
        <f t="shared" si="9"/>
        <v>Pacci</v>
      </c>
      <c r="CT189" s="820" t="b">
        <f t="shared" si="168"/>
        <v>0</v>
      </c>
      <c r="CU189" s="820" t="b">
        <f t="shared" si="169"/>
        <v>0</v>
      </c>
      <c r="CV189" s="116" t="str">
        <f t="shared" si="10"/>
        <v>Pacci</v>
      </c>
      <c r="CW189" s="181"/>
      <c r="CX189" s="779"/>
      <c r="CY189" s="729"/>
      <c r="CZ189" s="729"/>
      <c r="DA189" s="729"/>
      <c r="DB189" s="729"/>
      <c r="DC189" s="729"/>
      <c r="DD189" s="265"/>
      <c r="DE189" s="265"/>
      <c r="DF189" s="265"/>
      <c r="DG189" s="265"/>
      <c r="DH189" s="265"/>
      <c r="DI189" s="265"/>
      <c r="DJ189" s="265"/>
      <c r="DK189" s="265"/>
      <c r="DL189" s="265"/>
      <c r="DM189" s="265"/>
      <c r="DN189" s="265"/>
      <c r="DO189" s="265"/>
      <c r="DP189" s="265"/>
      <c r="DQ189" s="265"/>
      <c r="DR189" s="265"/>
      <c r="DS189" s="265"/>
      <c r="DT189" s="265"/>
    </row>
    <row r="190" spans="1:124" ht="30" customHeight="1">
      <c r="A190" s="228"/>
      <c r="B190" s="1237"/>
      <c r="C190" s="155">
        <f t="shared" si="154"/>
        <v>76</v>
      </c>
      <c r="D190" s="781"/>
      <c r="E190" s="781"/>
      <c r="F190" s="781"/>
      <c r="G190" s="620" t="s">
        <v>4350</v>
      </c>
      <c r="H190" s="620"/>
      <c r="I190" s="207"/>
      <c r="J190" s="207" t="str">
        <f t="shared" si="0"/>
        <v xml:space="preserve">Ospite 2 Iader Tosi </v>
      </c>
      <c r="K190" s="156"/>
      <c r="L190" s="131"/>
      <c r="M190" s="131"/>
      <c r="N190" s="131" t="str">
        <f t="shared" si="175"/>
        <v>L'antincendio Sammarinese</v>
      </c>
      <c r="O190" s="1297"/>
      <c r="P190" s="251"/>
      <c r="Q190" s="131"/>
      <c r="R190" s="252"/>
      <c r="S190" s="254"/>
      <c r="T190" s="346"/>
      <c r="U190" s="253"/>
      <c r="V190" s="253"/>
      <c r="W190" s="251"/>
      <c r="X190" s="131"/>
      <c r="Y190" s="251"/>
      <c r="Z190" s="251"/>
      <c r="AA190" s="251"/>
      <c r="AB190" s="255"/>
      <c r="AC190" s="256"/>
      <c r="AD190" s="121"/>
      <c r="AE190" s="80">
        <f t="shared" si="174"/>
        <v>0</v>
      </c>
      <c r="AF190" s="257"/>
      <c r="AG190" s="155"/>
      <c r="AH190" s="155"/>
      <c r="AI190" s="155"/>
      <c r="AJ190" s="257"/>
      <c r="AK190" s="155"/>
      <c r="AL190" s="155"/>
      <c r="AM190" s="155"/>
      <c r="AN190" s="257"/>
      <c r="AO190" s="258"/>
      <c r="AP190" s="258"/>
      <c r="AQ190" s="258"/>
      <c r="AR190" s="211"/>
      <c r="AS190" s="259"/>
      <c r="AT190" s="259"/>
      <c r="AU190" s="259"/>
      <c r="AV190" s="211"/>
      <c r="AW190" s="259" t="s">
        <v>27</v>
      </c>
      <c r="AX190" s="259" t="s">
        <v>27</v>
      </c>
      <c r="AY190" s="259" t="s">
        <v>27</v>
      </c>
      <c r="AZ190" s="808">
        <f t="shared" si="177"/>
        <v>0</v>
      </c>
      <c r="BA190" s="761">
        <f t="shared" si="98"/>
        <v>0</v>
      </c>
      <c r="BB190" s="761">
        <f t="shared" si="4"/>
        <v>0</v>
      </c>
      <c r="BC190" s="262"/>
      <c r="BD190" s="824">
        <f t="shared" si="176"/>
        <v>0</v>
      </c>
      <c r="BE190" s="1231"/>
      <c r="BF190" s="392" t="s">
        <v>262</v>
      </c>
      <c r="BG190" s="145">
        <v>0.15</v>
      </c>
      <c r="BH190" s="262"/>
      <c r="BI190" s="242">
        <f t="shared" si="137"/>
        <v>0</v>
      </c>
      <c r="BJ190" s="1232">
        <f t="shared" si="152"/>
        <v>0</v>
      </c>
      <c r="BK190" s="772"/>
      <c r="BL190" s="826" t="s">
        <v>262</v>
      </c>
      <c r="BM190" s="145">
        <v>0.05</v>
      </c>
      <c r="BN190" s="110"/>
      <c r="BO190" s="242">
        <f t="shared" si="133"/>
        <v>0</v>
      </c>
      <c r="BP190" s="1231">
        <f t="shared" si="134"/>
        <v>0</v>
      </c>
      <c r="BQ190" s="243"/>
      <c r="BR190" s="110"/>
      <c r="BS190" s="226"/>
      <c r="BT190" s="110"/>
      <c r="BU190" s="263"/>
      <c r="BV190" s="110"/>
      <c r="BW190" s="348"/>
      <c r="BX190" s="110"/>
      <c r="BY190" s="263"/>
      <c r="BZ190" s="110"/>
      <c r="CA190" s="263"/>
      <c r="CB190" s="110"/>
      <c r="CC190" s="263"/>
      <c r="CD190" s="110"/>
      <c r="CE190" s="226"/>
      <c r="CF190" s="110"/>
      <c r="CG190" s="263"/>
      <c r="CH190" s="110"/>
      <c r="CI190" s="226"/>
      <c r="CJ190" s="110"/>
      <c r="CK190" s="155">
        <v>1</v>
      </c>
      <c r="CL190" s="181" t="s">
        <v>1123</v>
      </c>
      <c r="CM190" s="181"/>
      <c r="CN190" s="207"/>
      <c r="CO190" s="207"/>
      <c r="CP190" s="155"/>
      <c r="CQ190" s="131" t="s">
        <v>1240</v>
      </c>
      <c r="CR190" s="823" t="s">
        <v>1239</v>
      </c>
      <c r="CS190" s="116" t="str">
        <f t="shared" si="9"/>
        <v>Pacci</v>
      </c>
      <c r="CT190" s="820" t="b">
        <f t="shared" si="168"/>
        <v>0</v>
      </c>
      <c r="CU190" s="820" t="b">
        <f t="shared" si="169"/>
        <v>0</v>
      </c>
      <c r="CV190" s="116" t="str">
        <f t="shared" si="10"/>
        <v>Pacci</v>
      </c>
      <c r="CW190" s="181"/>
      <c r="CX190" s="779"/>
      <c r="CY190" s="729"/>
      <c r="CZ190" s="729"/>
      <c r="DA190" s="729"/>
      <c r="DB190" s="729"/>
      <c r="DC190" s="729"/>
      <c r="DD190" s="265"/>
      <c r="DE190" s="265"/>
      <c r="DF190" s="265"/>
      <c r="DG190" s="265"/>
      <c r="DH190" s="265"/>
      <c r="DI190" s="265"/>
      <c r="DJ190" s="265"/>
      <c r="DK190" s="265"/>
      <c r="DL190" s="265"/>
      <c r="DM190" s="265"/>
      <c r="DN190" s="265"/>
      <c r="DO190" s="265"/>
      <c r="DP190" s="265"/>
      <c r="DQ190" s="265"/>
      <c r="DR190" s="265"/>
      <c r="DS190" s="265"/>
      <c r="DT190" s="265"/>
    </row>
    <row r="191" spans="1:124" ht="30" customHeight="1">
      <c r="A191" s="228"/>
      <c r="B191" s="1237"/>
      <c r="C191" s="155">
        <f t="shared" si="154"/>
        <v>77</v>
      </c>
      <c r="D191" s="781"/>
      <c r="E191" s="781"/>
      <c r="F191" s="781"/>
      <c r="G191" s="620" t="s">
        <v>4350</v>
      </c>
      <c r="H191" s="620"/>
      <c r="I191" s="207"/>
      <c r="J191" s="207" t="str">
        <f t="shared" si="0"/>
        <v xml:space="preserve">Ospite 2 Iader Tosi </v>
      </c>
      <c r="K191" s="156"/>
      <c r="L191" s="131"/>
      <c r="M191" s="131"/>
      <c r="N191" s="131" t="str">
        <f t="shared" si="175"/>
        <v>L'antincendio Sammarinese</v>
      </c>
      <c r="O191" s="1297"/>
      <c r="P191" s="251"/>
      <c r="Q191" s="131"/>
      <c r="R191" s="252"/>
      <c r="S191" s="254"/>
      <c r="T191" s="346"/>
      <c r="U191" s="253"/>
      <c r="V191" s="253"/>
      <c r="W191" s="251"/>
      <c r="X191" s="131"/>
      <c r="Y191" s="251"/>
      <c r="Z191" s="251"/>
      <c r="AA191" s="251"/>
      <c r="AB191" s="255"/>
      <c r="AC191" s="256"/>
      <c r="AD191" s="121"/>
      <c r="AE191" s="80">
        <f t="shared" si="174"/>
        <v>0</v>
      </c>
      <c r="AF191" s="257"/>
      <c r="AG191" s="155"/>
      <c r="AH191" s="155"/>
      <c r="AI191" s="155"/>
      <c r="AJ191" s="257"/>
      <c r="AK191" s="155"/>
      <c r="AL191" s="155"/>
      <c r="AM191" s="155"/>
      <c r="AN191" s="257"/>
      <c r="AO191" s="258"/>
      <c r="AP191" s="258"/>
      <c r="AQ191" s="258"/>
      <c r="AR191" s="211"/>
      <c r="AS191" s="259"/>
      <c r="AT191" s="259"/>
      <c r="AU191" s="259"/>
      <c r="AV191" s="211"/>
      <c r="AW191" s="259" t="s">
        <v>27</v>
      </c>
      <c r="AX191" s="259" t="s">
        <v>27</v>
      </c>
      <c r="AY191" s="259" t="s">
        <v>27</v>
      </c>
      <c r="AZ191" s="808">
        <f t="shared" si="177"/>
        <v>0</v>
      </c>
      <c r="BA191" s="761">
        <f t="shared" si="98"/>
        <v>0</v>
      </c>
      <c r="BB191" s="761">
        <f t="shared" si="4"/>
        <v>0</v>
      </c>
      <c r="BC191" s="262"/>
      <c r="BD191" s="824">
        <f t="shared" si="176"/>
        <v>0</v>
      </c>
      <c r="BE191" s="1231"/>
      <c r="BF191" s="392" t="s">
        <v>262</v>
      </c>
      <c r="BG191" s="145">
        <v>0.15</v>
      </c>
      <c r="BH191" s="262"/>
      <c r="BI191" s="242">
        <f t="shared" si="137"/>
        <v>0</v>
      </c>
      <c r="BJ191" s="1232">
        <f t="shared" si="152"/>
        <v>0</v>
      </c>
      <c r="BK191" s="772"/>
      <c r="BL191" s="826" t="s">
        <v>262</v>
      </c>
      <c r="BM191" s="145">
        <v>0.05</v>
      </c>
      <c r="BN191" s="110"/>
      <c r="BO191" s="242">
        <f t="shared" si="133"/>
        <v>0</v>
      </c>
      <c r="BP191" s="1231">
        <f t="shared" si="134"/>
        <v>0</v>
      </c>
      <c r="BQ191" s="243"/>
      <c r="BR191" s="110"/>
      <c r="BS191" s="226"/>
      <c r="BT191" s="110"/>
      <c r="BU191" s="263"/>
      <c r="BV191" s="110"/>
      <c r="BW191" s="348"/>
      <c r="BX191" s="110"/>
      <c r="BY191" s="263"/>
      <c r="BZ191" s="110"/>
      <c r="CA191" s="263"/>
      <c r="CB191" s="110"/>
      <c r="CC191" s="263"/>
      <c r="CD191" s="110"/>
      <c r="CE191" s="226"/>
      <c r="CF191" s="110"/>
      <c r="CG191" s="263"/>
      <c r="CH191" s="110"/>
      <c r="CI191" s="226"/>
      <c r="CJ191" s="110"/>
      <c r="CK191" s="155">
        <v>1</v>
      </c>
      <c r="CL191" s="181" t="s">
        <v>1123</v>
      </c>
      <c r="CM191" s="181"/>
      <c r="CN191" s="207"/>
      <c r="CO191" s="207"/>
      <c r="CP191" s="155"/>
      <c r="CQ191" s="131" t="s">
        <v>1240</v>
      </c>
      <c r="CR191" s="823" t="s">
        <v>1239</v>
      </c>
      <c r="CS191" s="116" t="str">
        <f t="shared" si="9"/>
        <v>Pacci</v>
      </c>
      <c r="CT191" s="820" t="b">
        <f t="shared" si="168"/>
        <v>0</v>
      </c>
      <c r="CU191" s="820" t="b">
        <f t="shared" si="169"/>
        <v>0</v>
      </c>
      <c r="CV191" s="116" t="str">
        <f t="shared" si="10"/>
        <v>Pacci</v>
      </c>
      <c r="CW191" s="181"/>
      <c r="CX191" s="779"/>
      <c r="CY191" s="729"/>
      <c r="CZ191" s="729"/>
      <c r="DA191" s="729"/>
      <c r="DB191" s="729"/>
      <c r="DC191" s="729"/>
      <c r="DD191" s="265"/>
      <c r="DE191" s="265"/>
      <c r="DF191" s="265"/>
      <c r="DG191" s="265"/>
      <c r="DH191" s="265"/>
      <c r="DI191" s="265"/>
      <c r="DJ191" s="265"/>
      <c r="DK191" s="265"/>
      <c r="DL191" s="265"/>
      <c r="DM191" s="265"/>
      <c r="DN191" s="265"/>
      <c r="DO191" s="265"/>
      <c r="DP191" s="265"/>
      <c r="DQ191" s="265"/>
      <c r="DR191" s="265"/>
      <c r="DS191" s="265"/>
      <c r="DT191" s="265"/>
    </row>
    <row r="192" spans="1:124" ht="30" customHeight="1">
      <c r="A192" s="228"/>
      <c r="B192" s="1237"/>
      <c r="C192" s="155">
        <f t="shared" si="154"/>
        <v>78</v>
      </c>
      <c r="D192" s="781"/>
      <c r="E192" s="781"/>
      <c r="F192" s="781"/>
      <c r="G192" s="620" t="s">
        <v>4351</v>
      </c>
      <c r="H192" s="620"/>
      <c r="I192" s="207"/>
      <c r="J192" s="207" t="str">
        <f t="shared" si="0"/>
        <v xml:space="preserve">Ospite 4 Iader Tosi </v>
      </c>
      <c r="K192" s="156"/>
      <c r="L192" s="131"/>
      <c r="M192" s="131"/>
      <c r="N192" s="131" t="str">
        <f t="shared" si="175"/>
        <v>L'antincendio Sammarinese</v>
      </c>
      <c r="O192" s="1297"/>
      <c r="P192" s="251"/>
      <c r="Q192" s="131"/>
      <c r="R192" s="252"/>
      <c r="S192" s="254"/>
      <c r="T192" s="346"/>
      <c r="U192" s="253"/>
      <c r="V192" s="253"/>
      <c r="W192" s="251"/>
      <c r="X192" s="131"/>
      <c r="Y192" s="251"/>
      <c r="Z192" s="251"/>
      <c r="AA192" s="251"/>
      <c r="AB192" s="255"/>
      <c r="AC192" s="256"/>
      <c r="AD192" s="121"/>
      <c r="AE192" s="80">
        <f t="shared" si="174"/>
        <v>0</v>
      </c>
      <c r="AF192" s="257"/>
      <c r="AG192" s="155"/>
      <c r="AH192" s="155"/>
      <c r="AI192" s="155"/>
      <c r="AJ192" s="257"/>
      <c r="AK192" s="155"/>
      <c r="AL192" s="155"/>
      <c r="AM192" s="155"/>
      <c r="AN192" s="257"/>
      <c r="AO192" s="258"/>
      <c r="AP192" s="258"/>
      <c r="AQ192" s="258"/>
      <c r="AR192" s="211"/>
      <c r="AS192" s="259"/>
      <c r="AT192" s="259"/>
      <c r="AU192" s="259"/>
      <c r="AV192" s="211"/>
      <c r="AW192" s="259" t="s">
        <v>27</v>
      </c>
      <c r="AX192" s="259" t="s">
        <v>27</v>
      </c>
      <c r="AY192" s="259" t="s">
        <v>27</v>
      </c>
      <c r="AZ192" s="808">
        <f t="shared" si="177"/>
        <v>0</v>
      </c>
      <c r="BA192" s="761">
        <f t="shared" si="98"/>
        <v>0</v>
      </c>
      <c r="BB192" s="761">
        <f t="shared" si="4"/>
        <v>0</v>
      </c>
      <c r="BC192" s="262"/>
      <c r="BD192" s="824">
        <f t="shared" si="176"/>
        <v>0</v>
      </c>
      <c r="BE192" s="1231"/>
      <c r="BF192" s="392" t="s">
        <v>262</v>
      </c>
      <c r="BG192" s="145">
        <v>0.15</v>
      </c>
      <c r="BH192" s="262"/>
      <c r="BI192" s="242">
        <f t="shared" si="137"/>
        <v>0</v>
      </c>
      <c r="BJ192" s="1232">
        <f t="shared" si="152"/>
        <v>0</v>
      </c>
      <c r="BK192" s="772"/>
      <c r="BL192" s="826" t="s">
        <v>262</v>
      </c>
      <c r="BM192" s="145">
        <v>0.05</v>
      </c>
      <c r="BN192" s="110"/>
      <c r="BO192" s="242">
        <f t="shared" si="133"/>
        <v>0</v>
      </c>
      <c r="BP192" s="1231">
        <f t="shared" si="134"/>
        <v>0</v>
      </c>
      <c r="BQ192" s="243"/>
      <c r="BR192" s="110"/>
      <c r="BS192" s="226"/>
      <c r="BT192" s="110"/>
      <c r="BU192" s="263"/>
      <c r="BV192" s="110"/>
      <c r="BW192" s="348"/>
      <c r="BX192" s="110"/>
      <c r="BY192" s="263"/>
      <c r="BZ192" s="110"/>
      <c r="CA192" s="263"/>
      <c r="CB192" s="110"/>
      <c r="CC192" s="263"/>
      <c r="CD192" s="110"/>
      <c r="CE192" s="226"/>
      <c r="CF192" s="110"/>
      <c r="CG192" s="263"/>
      <c r="CH192" s="110"/>
      <c r="CI192" s="226"/>
      <c r="CJ192" s="110"/>
      <c r="CK192" s="155">
        <v>1</v>
      </c>
      <c r="CL192" s="181" t="s">
        <v>1123</v>
      </c>
      <c r="CM192" s="181"/>
      <c r="CN192" s="207"/>
      <c r="CO192" s="207"/>
      <c r="CP192" s="155"/>
      <c r="CQ192" s="131" t="s">
        <v>1240</v>
      </c>
      <c r="CR192" s="823" t="s">
        <v>1239</v>
      </c>
      <c r="CS192" s="116" t="str">
        <f t="shared" si="9"/>
        <v>Pacci</v>
      </c>
      <c r="CT192" s="820" t="b">
        <f t="shared" si="168"/>
        <v>0</v>
      </c>
      <c r="CU192" s="820" t="b">
        <f t="shared" si="169"/>
        <v>0</v>
      </c>
      <c r="CV192" s="116" t="str">
        <f t="shared" si="10"/>
        <v>Pacci</v>
      </c>
      <c r="CW192" s="181"/>
      <c r="CX192" s="779"/>
      <c r="CY192" s="729"/>
      <c r="CZ192" s="729"/>
      <c r="DA192" s="729"/>
      <c r="DB192" s="729"/>
      <c r="DC192" s="729"/>
      <c r="DD192" s="265"/>
      <c r="DE192" s="265"/>
      <c r="DF192" s="265"/>
      <c r="DG192" s="265"/>
      <c r="DH192" s="265"/>
      <c r="DI192" s="265"/>
      <c r="DJ192" s="265"/>
      <c r="DK192" s="265"/>
      <c r="DL192" s="265"/>
      <c r="DM192" s="265"/>
      <c r="DN192" s="265"/>
      <c r="DO192" s="265"/>
      <c r="DP192" s="265"/>
      <c r="DQ192" s="265"/>
      <c r="DR192" s="265"/>
      <c r="DS192" s="265"/>
      <c r="DT192" s="265"/>
    </row>
    <row r="193" spans="1:124" ht="30" customHeight="1">
      <c r="A193" s="228"/>
      <c r="B193" s="1237"/>
      <c r="C193" s="155">
        <f t="shared" si="154"/>
        <v>79</v>
      </c>
      <c r="D193" s="781"/>
      <c r="E193" s="781"/>
      <c r="F193" s="781"/>
      <c r="G193" s="620" t="s">
        <v>4352</v>
      </c>
      <c r="H193" s="620"/>
      <c r="I193" s="207"/>
      <c r="J193" s="207" t="str">
        <f t="shared" si="0"/>
        <v xml:space="preserve">Ospite 5 Iader Tosi </v>
      </c>
      <c r="K193" s="156"/>
      <c r="L193" s="131"/>
      <c r="M193" s="131"/>
      <c r="N193" s="131" t="str">
        <f t="shared" si="175"/>
        <v>L'antincendio Sammarinese</v>
      </c>
      <c r="O193" s="1297"/>
      <c r="P193" s="251"/>
      <c r="Q193" s="131"/>
      <c r="R193" s="252"/>
      <c r="S193" s="254"/>
      <c r="T193" s="346"/>
      <c r="U193" s="253"/>
      <c r="V193" s="253"/>
      <c r="W193" s="251"/>
      <c r="X193" s="131"/>
      <c r="Y193" s="251"/>
      <c r="Z193" s="251"/>
      <c r="AA193" s="251"/>
      <c r="AB193" s="255"/>
      <c r="AC193" s="256"/>
      <c r="AD193" s="121"/>
      <c r="AE193" s="80">
        <f t="shared" si="174"/>
        <v>0</v>
      </c>
      <c r="AF193" s="257"/>
      <c r="AG193" s="155"/>
      <c r="AH193" s="155"/>
      <c r="AI193" s="155"/>
      <c r="AJ193" s="257"/>
      <c r="AK193" s="155"/>
      <c r="AL193" s="155"/>
      <c r="AM193" s="155"/>
      <c r="AN193" s="257"/>
      <c r="AO193" s="258"/>
      <c r="AP193" s="258"/>
      <c r="AQ193" s="258"/>
      <c r="AR193" s="211"/>
      <c r="AS193" s="259"/>
      <c r="AT193" s="259"/>
      <c r="AU193" s="259"/>
      <c r="AV193" s="211"/>
      <c r="AW193" s="259" t="s">
        <v>27</v>
      </c>
      <c r="AX193" s="259" t="s">
        <v>27</v>
      </c>
      <c r="AY193" s="259" t="s">
        <v>27</v>
      </c>
      <c r="AZ193" s="808">
        <f t="shared" si="177"/>
        <v>0</v>
      </c>
      <c r="BA193" s="761">
        <f t="shared" si="98"/>
        <v>0</v>
      </c>
      <c r="BB193" s="761">
        <f t="shared" si="4"/>
        <v>0</v>
      </c>
      <c r="BC193" s="262"/>
      <c r="BD193" s="824">
        <f t="shared" si="176"/>
        <v>0</v>
      </c>
      <c r="BE193" s="1231"/>
      <c r="BF193" s="392" t="s">
        <v>262</v>
      </c>
      <c r="BG193" s="145">
        <v>0.15</v>
      </c>
      <c r="BH193" s="262"/>
      <c r="BI193" s="242">
        <f t="shared" si="137"/>
        <v>0</v>
      </c>
      <c r="BJ193" s="1232">
        <f t="shared" si="152"/>
        <v>0</v>
      </c>
      <c r="BK193" s="772"/>
      <c r="BL193" s="826" t="s">
        <v>262</v>
      </c>
      <c r="BM193" s="145">
        <v>0.05</v>
      </c>
      <c r="BN193" s="110"/>
      <c r="BO193" s="242">
        <f t="shared" si="133"/>
        <v>0</v>
      </c>
      <c r="BP193" s="1231">
        <f t="shared" si="134"/>
        <v>0</v>
      </c>
      <c r="BQ193" s="243"/>
      <c r="BR193" s="110"/>
      <c r="BS193" s="226"/>
      <c r="BT193" s="110"/>
      <c r="BU193" s="263"/>
      <c r="BV193" s="110"/>
      <c r="BW193" s="348"/>
      <c r="BX193" s="110"/>
      <c r="BY193" s="263"/>
      <c r="BZ193" s="110"/>
      <c r="CA193" s="263"/>
      <c r="CB193" s="110"/>
      <c r="CC193" s="263"/>
      <c r="CD193" s="110"/>
      <c r="CE193" s="226"/>
      <c r="CF193" s="110"/>
      <c r="CG193" s="263"/>
      <c r="CH193" s="110"/>
      <c r="CI193" s="226"/>
      <c r="CJ193" s="110"/>
      <c r="CK193" s="155">
        <v>1</v>
      </c>
      <c r="CL193" s="181" t="s">
        <v>1123</v>
      </c>
      <c r="CM193" s="181"/>
      <c r="CN193" s="207"/>
      <c r="CO193" s="207"/>
      <c r="CP193" s="155"/>
      <c r="CQ193" s="131" t="s">
        <v>1240</v>
      </c>
      <c r="CR193" s="823" t="s">
        <v>1239</v>
      </c>
      <c r="CS193" s="116" t="str">
        <f t="shared" si="9"/>
        <v>Pacci</v>
      </c>
      <c r="CT193" s="820" t="b">
        <f t="shared" si="168"/>
        <v>0</v>
      </c>
      <c r="CU193" s="820" t="b">
        <f t="shared" si="169"/>
        <v>0</v>
      </c>
      <c r="CV193" s="116" t="str">
        <f t="shared" si="10"/>
        <v>Pacci</v>
      </c>
      <c r="CW193" s="181"/>
      <c r="CX193" s="779"/>
      <c r="CY193" s="729"/>
      <c r="CZ193" s="729"/>
      <c r="DA193" s="729"/>
      <c r="DB193" s="729"/>
      <c r="DC193" s="729"/>
      <c r="DD193" s="265"/>
      <c r="DE193" s="265"/>
      <c r="DF193" s="265"/>
      <c r="DG193" s="265"/>
      <c r="DH193" s="265"/>
      <c r="DI193" s="265"/>
      <c r="DJ193" s="265"/>
      <c r="DK193" s="265"/>
      <c r="DL193" s="265"/>
      <c r="DM193" s="265"/>
      <c r="DN193" s="265"/>
      <c r="DO193" s="265"/>
      <c r="DP193" s="265"/>
      <c r="DQ193" s="265"/>
      <c r="DR193" s="265"/>
      <c r="DS193" s="265"/>
      <c r="DT193" s="265"/>
    </row>
    <row r="194" spans="1:124" ht="30" customHeight="1">
      <c r="A194" s="228"/>
      <c r="B194" s="1237"/>
      <c r="C194" s="155">
        <f t="shared" si="154"/>
        <v>80</v>
      </c>
      <c r="D194" s="781"/>
      <c r="E194" s="781"/>
      <c r="F194" s="781"/>
      <c r="G194" s="620" t="s">
        <v>4353</v>
      </c>
      <c r="H194" s="620"/>
      <c r="I194" s="207"/>
      <c r="J194" s="207" t="str">
        <f t="shared" si="0"/>
        <v xml:space="preserve">Ospite 6 Iader Tosi </v>
      </c>
      <c r="K194" s="156"/>
      <c r="L194" s="131"/>
      <c r="M194" s="131"/>
      <c r="N194" s="131" t="str">
        <f t="shared" si="175"/>
        <v>L'antincendio Sammarinese</v>
      </c>
      <c r="O194" s="1297"/>
      <c r="P194" s="251"/>
      <c r="Q194" s="131"/>
      <c r="R194" s="252"/>
      <c r="S194" s="254"/>
      <c r="T194" s="346"/>
      <c r="U194" s="253"/>
      <c r="V194" s="253"/>
      <c r="W194" s="251"/>
      <c r="X194" s="131"/>
      <c r="Y194" s="251"/>
      <c r="Z194" s="251"/>
      <c r="AA194" s="251"/>
      <c r="AB194" s="255"/>
      <c r="AC194" s="256"/>
      <c r="AD194" s="121"/>
      <c r="AE194" s="80">
        <f t="shared" si="174"/>
        <v>0</v>
      </c>
      <c r="AF194" s="257"/>
      <c r="AG194" s="155"/>
      <c r="AH194" s="155"/>
      <c r="AI194" s="155"/>
      <c r="AJ194" s="257"/>
      <c r="AK194" s="155"/>
      <c r="AL194" s="155"/>
      <c r="AM194" s="155"/>
      <c r="AN194" s="257"/>
      <c r="AO194" s="258"/>
      <c r="AP194" s="258"/>
      <c r="AQ194" s="258"/>
      <c r="AR194" s="211"/>
      <c r="AS194" s="259"/>
      <c r="AT194" s="259"/>
      <c r="AU194" s="259"/>
      <c r="AV194" s="211"/>
      <c r="AW194" s="259" t="s">
        <v>27</v>
      </c>
      <c r="AX194" s="259" t="s">
        <v>27</v>
      </c>
      <c r="AY194" s="259" t="s">
        <v>27</v>
      </c>
      <c r="AZ194" s="808">
        <f t="shared" si="177"/>
        <v>0</v>
      </c>
      <c r="BA194" s="761">
        <f t="shared" si="98"/>
        <v>0</v>
      </c>
      <c r="BB194" s="761">
        <f t="shared" si="4"/>
        <v>0</v>
      </c>
      <c r="BC194" s="262"/>
      <c r="BD194" s="824">
        <f t="shared" si="176"/>
        <v>0</v>
      </c>
      <c r="BE194" s="1231"/>
      <c r="BF194" s="392" t="s">
        <v>262</v>
      </c>
      <c r="BG194" s="145">
        <v>0.15</v>
      </c>
      <c r="BH194" s="262"/>
      <c r="BI194" s="242">
        <f t="shared" si="137"/>
        <v>0</v>
      </c>
      <c r="BJ194" s="1232">
        <f t="shared" si="152"/>
        <v>0</v>
      </c>
      <c r="BK194" s="772"/>
      <c r="BL194" s="826" t="s">
        <v>262</v>
      </c>
      <c r="BM194" s="145">
        <v>0.05</v>
      </c>
      <c r="BN194" s="110"/>
      <c r="BO194" s="242">
        <f t="shared" si="133"/>
        <v>0</v>
      </c>
      <c r="BP194" s="1231">
        <f t="shared" si="134"/>
        <v>0</v>
      </c>
      <c r="BQ194" s="243"/>
      <c r="BR194" s="110"/>
      <c r="BS194" s="226"/>
      <c r="BT194" s="110"/>
      <c r="BU194" s="263"/>
      <c r="BV194" s="110"/>
      <c r="BW194" s="348"/>
      <c r="BX194" s="110"/>
      <c r="BY194" s="263"/>
      <c r="BZ194" s="110"/>
      <c r="CA194" s="263"/>
      <c r="CB194" s="110"/>
      <c r="CC194" s="263"/>
      <c r="CD194" s="110"/>
      <c r="CE194" s="226"/>
      <c r="CF194" s="110"/>
      <c r="CG194" s="263"/>
      <c r="CH194" s="110"/>
      <c r="CI194" s="226"/>
      <c r="CJ194" s="110"/>
      <c r="CK194" s="155">
        <v>1</v>
      </c>
      <c r="CL194" s="181" t="s">
        <v>1123</v>
      </c>
      <c r="CM194" s="181"/>
      <c r="CN194" s="207"/>
      <c r="CO194" s="207"/>
      <c r="CP194" s="155"/>
      <c r="CQ194" s="131" t="s">
        <v>1240</v>
      </c>
      <c r="CR194" s="823" t="s">
        <v>1239</v>
      </c>
      <c r="CS194" s="116" t="str">
        <f t="shared" si="9"/>
        <v>Pacci</v>
      </c>
      <c r="CT194" s="820" t="b">
        <f t="shared" si="168"/>
        <v>0</v>
      </c>
      <c r="CU194" s="820" t="b">
        <f t="shared" si="169"/>
        <v>0</v>
      </c>
      <c r="CV194" s="116" t="str">
        <f t="shared" si="10"/>
        <v>Pacci</v>
      </c>
      <c r="CW194" s="181"/>
      <c r="CX194" s="779"/>
      <c r="CY194" s="729"/>
      <c r="CZ194" s="729"/>
      <c r="DA194" s="729"/>
      <c r="DB194" s="729"/>
      <c r="DC194" s="729"/>
      <c r="DD194" s="265"/>
      <c r="DE194" s="265"/>
      <c r="DF194" s="265"/>
      <c r="DG194" s="265"/>
      <c r="DH194" s="265"/>
      <c r="DI194" s="265"/>
      <c r="DJ194" s="265"/>
      <c r="DK194" s="265"/>
      <c r="DL194" s="265"/>
      <c r="DM194" s="265"/>
      <c r="DN194" s="265"/>
      <c r="DO194" s="265"/>
      <c r="DP194" s="265"/>
      <c r="DQ194" s="265"/>
      <c r="DR194" s="265"/>
      <c r="DS194" s="265"/>
      <c r="DT194" s="265"/>
    </row>
    <row r="195" spans="1:124" ht="30" customHeight="1">
      <c r="A195" s="228"/>
      <c r="B195" s="1237"/>
      <c r="C195" s="155">
        <f t="shared" si="154"/>
        <v>81</v>
      </c>
      <c r="D195" s="781"/>
      <c r="E195" s="781"/>
      <c r="F195" s="781"/>
      <c r="G195" s="112" t="s">
        <v>1241</v>
      </c>
      <c r="H195" s="112" t="s">
        <v>1242</v>
      </c>
      <c r="I195" s="207" t="s">
        <v>1243</v>
      </c>
      <c r="J195" s="207" t="str">
        <f t="shared" si="0"/>
        <v>Ivan Bonacini</v>
      </c>
      <c r="K195" s="156" t="s">
        <v>1244</v>
      </c>
      <c r="L195" s="204" t="s">
        <v>1245</v>
      </c>
      <c r="M195" s="131" t="s">
        <v>1177</v>
      </c>
      <c r="N195" s="131" t="str">
        <f t="shared" si="175"/>
        <v>Ivan Bonacini</v>
      </c>
      <c r="O195" s="1297"/>
      <c r="P195" s="251"/>
      <c r="Q195" s="131"/>
      <c r="R195" s="252"/>
      <c r="S195" s="254"/>
      <c r="T195" s="346"/>
      <c r="U195" s="253"/>
      <c r="V195" s="253"/>
      <c r="W195" s="251"/>
      <c r="X195" s="131"/>
      <c r="Y195" s="251"/>
      <c r="Z195" s="251"/>
      <c r="AA195" s="251"/>
      <c r="AB195" s="255"/>
      <c r="AC195" s="256"/>
      <c r="AD195" s="121"/>
      <c r="AE195" s="80" t="str">
        <f t="shared" si="174"/>
        <v>Sorta una causa in corso. Ha un casino (causa) in azienda e ora non riesce a confermare. Valuta per futuro</v>
      </c>
      <c r="AF195" s="257"/>
      <c r="AG195" s="155"/>
      <c r="AH195" s="155"/>
      <c r="AI195" s="155"/>
      <c r="AJ195" s="257"/>
      <c r="AK195" s="155"/>
      <c r="AL195" s="155"/>
      <c r="AM195" s="155"/>
      <c r="AN195" s="257"/>
      <c r="AO195" s="258"/>
      <c r="AP195" s="258"/>
      <c r="AQ195" s="258"/>
      <c r="AR195" s="211"/>
      <c r="AS195" s="259"/>
      <c r="AT195" s="259"/>
      <c r="AU195" s="259"/>
      <c r="AV195" s="211"/>
      <c r="AW195" s="259" t="s">
        <v>151</v>
      </c>
      <c r="AX195" s="259" t="s">
        <v>151</v>
      </c>
      <c r="AY195" s="259" t="s">
        <v>151</v>
      </c>
      <c r="AZ195" s="808">
        <f t="shared" ref="AZ195:AZ239" si="178">BR195+BV195+BZ195+CD195+CH195</f>
        <v>2997</v>
      </c>
      <c r="BA195" s="761">
        <f t="shared" si="98"/>
        <v>0</v>
      </c>
      <c r="BB195" s="761">
        <f t="shared" si="4"/>
        <v>2997</v>
      </c>
      <c r="BC195" s="262"/>
      <c r="BD195" s="824">
        <v>0</v>
      </c>
      <c r="BE195" s="1231">
        <v>2997</v>
      </c>
      <c r="BF195" s="363" t="s">
        <v>117</v>
      </c>
      <c r="BG195" s="98">
        <v>0</v>
      </c>
      <c r="BH195" s="262"/>
      <c r="BI195" s="242">
        <f t="shared" si="137"/>
        <v>0</v>
      </c>
      <c r="BJ195" s="1232">
        <f t="shared" si="152"/>
        <v>0</v>
      </c>
      <c r="BK195" s="772"/>
      <c r="BL195" s="1321" t="s">
        <v>152</v>
      </c>
      <c r="BM195" s="145">
        <v>0.05</v>
      </c>
      <c r="BN195" s="262"/>
      <c r="BO195" s="242">
        <f t="shared" si="133"/>
        <v>0</v>
      </c>
      <c r="BP195" s="1231">
        <f t="shared" si="134"/>
        <v>149.85</v>
      </c>
      <c r="BQ195" s="243"/>
      <c r="BR195" s="110">
        <v>2997</v>
      </c>
      <c r="BS195" s="226">
        <v>44834</v>
      </c>
      <c r="BT195" s="110"/>
      <c r="BU195" s="263"/>
      <c r="BV195" s="110"/>
      <c r="BW195" s="348"/>
      <c r="BX195" s="110"/>
      <c r="BY195" s="263"/>
      <c r="BZ195" s="110"/>
      <c r="CA195" s="263"/>
      <c r="CB195" s="110"/>
      <c r="CC195" s="263"/>
      <c r="CD195" s="110"/>
      <c r="CE195" s="226"/>
      <c r="CF195" s="110"/>
      <c r="CG195" s="263"/>
      <c r="CH195" s="110"/>
      <c r="CI195" s="226"/>
      <c r="CJ195" s="110"/>
      <c r="CK195" s="155">
        <v>1</v>
      </c>
      <c r="CL195" s="181" t="s">
        <v>1123</v>
      </c>
      <c r="CM195" s="181"/>
      <c r="CN195" s="207"/>
      <c r="CO195" s="207"/>
      <c r="CP195" s="155"/>
      <c r="CQ195" s="131" t="s">
        <v>1247</v>
      </c>
      <c r="CR195" s="823" t="s">
        <v>1246</v>
      </c>
      <c r="CS195" s="116" t="str">
        <f t="shared" si="9"/>
        <v>blackship</v>
      </c>
      <c r="CT195" s="820" t="b">
        <f t="shared" si="168"/>
        <v>0</v>
      </c>
      <c r="CU195" s="820" t="b">
        <f t="shared" si="169"/>
        <v>0</v>
      </c>
      <c r="CV195" s="116" t="str">
        <f t="shared" si="10"/>
        <v>Client Angel</v>
      </c>
      <c r="CW195" s="181"/>
      <c r="CX195" s="779"/>
      <c r="CY195" s="729"/>
      <c r="CZ195" s="729"/>
      <c r="DA195" s="729"/>
      <c r="DB195" s="729"/>
      <c r="DC195" s="729"/>
      <c r="DD195" s="265"/>
      <c r="DE195" s="265"/>
      <c r="DF195" s="265"/>
      <c r="DG195" s="265"/>
      <c r="DH195" s="265"/>
      <c r="DI195" s="265"/>
      <c r="DJ195" s="265"/>
      <c r="DK195" s="265"/>
      <c r="DL195" s="265"/>
      <c r="DM195" s="265"/>
      <c r="DN195" s="265"/>
      <c r="DO195" s="265"/>
      <c r="DP195" s="265"/>
      <c r="DQ195" s="265"/>
      <c r="DR195" s="265"/>
      <c r="DS195" s="265"/>
      <c r="DT195" s="265"/>
    </row>
    <row r="196" spans="1:124" ht="30" customHeight="1">
      <c r="A196" s="228"/>
      <c r="B196" s="331"/>
      <c r="C196" s="155">
        <f t="shared" si="154"/>
        <v>82</v>
      </c>
      <c r="D196" s="781">
        <v>1</v>
      </c>
      <c r="E196" s="781">
        <v>1</v>
      </c>
      <c r="F196" s="781"/>
      <c r="G196" s="112" t="s">
        <v>4354</v>
      </c>
      <c r="H196" s="112" t="s">
        <v>4355</v>
      </c>
      <c r="I196" s="207" t="s">
        <v>4356</v>
      </c>
      <c r="J196" s="207" t="str">
        <f t="shared" si="0"/>
        <v>Ariadna Dahnovici</v>
      </c>
      <c r="K196" s="156" t="s">
        <v>4357</v>
      </c>
      <c r="L196" s="204" t="s">
        <v>4358</v>
      </c>
      <c r="M196" s="131" t="s">
        <v>4359</v>
      </c>
      <c r="N196" s="131" t="str">
        <f t="shared" si="175"/>
        <v>Wyblo</v>
      </c>
      <c r="O196" s="1297"/>
      <c r="P196" s="251"/>
      <c r="Q196" s="131"/>
      <c r="R196" s="252"/>
      <c r="S196" s="254"/>
      <c r="T196" s="346"/>
      <c r="U196" s="253"/>
      <c r="V196" s="253"/>
      <c r="W196" s="251"/>
      <c r="X196" s="131"/>
      <c r="Y196" s="251"/>
      <c r="Z196" s="251"/>
      <c r="AA196" s="251"/>
      <c r="AB196" s="255"/>
      <c r="AC196" s="256"/>
      <c r="AD196" s="121"/>
      <c r="AE196" s="112" t="s">
        <v>3977</v>
      </c>
      <c r="AF196" s="257"/>
      <c r="AG196" s="155"/>
      <c r="AH196" s="155"/>
      <c r="AI196" s="155"/>
      <c r="AJ196" s="257"/>
      <c r="AK196" s="155"/>
      <c r="AL196" s="155"/>
      <c r="AM196" s="155"/>
      <c r="AN196" s="257"/>
      <c r="AO196" s="258"/>
      <c r="AP196" s="258"/>
      <c r="AQ196" s="258"/>
      <c r="AR196" s="211"/>
      <c r="AS196" s="259" t="s">
        <v>115</v>
      </c>
      <c r="AT196" s="259" t="s">
        <v>115</v>
      </c>
      <c r="AU196" s="154" t="s">
        <v>194</v>
      </c>
      <c r="AV196" s="211"/>
      <c r="AW196" s="124"/>
      <c r="AX196" s="124"/>
      <c r="AY196" s="124"/>
      <c r="AZ196" s="808">
        <f t="shared" si="178"/>
        <v>0</v>
      </c>
      <c r="BA196" s="761">
        <f t="shared" si="98"/>
        <v>0</v>
      </c>
      <c r="BB196" s="761">
        <f t="shared" si="4"/>
        <v>0</v>
      </c>
      <c r="BC196" s="262"/>
      <c r="BD196" s="824"/>
      <c r="BE196" s="1231"/>
      <c r="BF196" s="306" t="s">
        <v>117</v>
      </c>
      <c r="BG196" s="98">
        <v>0</v>
      </c>
      <c r="BH196" s="262"/>
      <c r="BI196" s="242">
        <f t="shared" si="137"/>
        <v>0</v>
      </c>
      <c r="BJ196" s="1232">
        <f t="shared" si="152"/>
        <v>0</v>
      </c>
      <c r="BK196" s="244" t="s">
        <v>118</v>
      </c>
      <c r="BL196" s="1303" t="s">
        <v>184</v>
      </c>
      <c r="BM196" s="145">
        <v>0.05</v>
      </c>
      <c r="BN196" s="262"/>
      <c r="BO196" s="242">
        <f t="shared" si="133"/>
        <v>0</v>
      </c>
      <c r="BP196" s="1231"/>
      <c r="BQ196" s="243"/>
      <c r="BR196" s="110"/>
      <c r="BS196" s="263"/>
      <c r="BT196" s="110"/>
      <c r="BU196" s="263"/>
      <c r="BV196" s="110"/>
      <c r="BW196" s="348"/>
      <c r="BX196" s="110"/>
      <c r="BY196" s="263"/>
      <c r="BZ196" s="110"/>
      <c r="CA196" s="263"/>
      <c r="CB196" s="110"/>
      <c r="CC196" s="263"/>
      <c r="CD196" s="110"/>
      <c r="CE196" s="226"/>
      <c r="CF196" s="110"/>
      <c r="CG196" s="263"/>
      <c r="CH196" s="110"/>
      <c r="CI196" s="226"/>
      <c r="CJ196" s="110"/>
      <c r="CK196" s="155">
        <v>1</v>
      </c>
      <c r="CL196" s="181" t="s">
        <v>1123</v>
      </c>
      <c r="CM196" s="181"/>
      <c r="CN196" s="207"/>
      <c r="CO196" s="155" t="s">
        <v>122</v>
      </c>
      <c r="CP196" s="155"/>
      <c r="CQ196" s="131" t="s">
        <v>1864</v>
      </c>
      <c r="CR196" s="823" t="s">
        <v>4360</v>
      </c>
      <c r="CS196" s="116" t="str">
        <f t="shared" si="9"/>
        <v>blackship</v>
      </c>
      <c r="CT196" s="820">
        <f t="shared" si="168"/>
        <v>0</v>
      </c>
      <c r="CU196" s="820">
        <f t="shared" si="169"/>
        <v>0</v>
      </c>
      <c r="CV196" s="116" t="str">
        <f t="shared" si="10"/>
        <v>Cristian A</v>
      </c>
      <c r="CW196" s="121">
        <v>1</v>
      </c>
      <c r="CX196" s="779"/>
      <c r="CY196" s="729"/>
      <c r="CZ196" s="729"/>
      <c r="DA196" s="729"/>
      <c r="DB196" s="729"/>
      <c r="DC196" s="729"/>
      <c r="DD196" s="265"/>
      <c r="DE196" s="265"/>
      <c r="DF196" s="265"/>
      <c r="DG196" s="265"/>
      <c r="DH196" s="265"/>
      <c r="DI196" s="265"/>
      <c r="DJ196" s="265"/>
      <c r="DK196" s="265"/>
      <c r="DL196" s="265"/>
      <c r="DM196" s="265"/>
      <c r="DN196" s="265"/>
      <c r="DO196" s="265"/>
      <c r="DP196" s="265"/>
      <c r="DQ196" s="265"/>
      <c r="DR196" s="265"/>
      <c r="DS196" s="265"/>
      <c r="DT196" s="265"/>
    </row>
    <row r="197" spans="1:124" ht="30" customHeight="1">
      <c r="A197" s="228"/>
      <c r="B197" s="155" t="s">
        <v>3670</v>
      </c>
      <c r="C197" s="155">
        <f t="shared" si="154"/>
        <v>83</v>
      </c>
      <c r="D197" s="781">
        <v>1</v>
      </c>
      <c r="E197" s="781">
        <v>1</v>
      </c>
      <c r="F197" s="781">
        <v>1</v>
      </c>
      <c r="G197" s="112" t="s">
        <v>622</v>
      </c>
      <c r="H197" s="112" t="s">
        <v>2582</v>
      </c>
      <c r="I197" s="1234" t="s">
        <v>2583</v>
      </c>
      <c r="J197" s="207" t="str">
        <f t="shared" si="0"/>
        <v>Laura Tumiati</v>
      </c>
      <c r="K197" s="156" t="s">
        <v>4361</v>
      </c>
      <c r="L197" s="131" t="s">
        <v>4362</v>
      </c>
      <c r="M197" s="131" t="s">
        <v>1177</v>
      </c>
      <c r="N197" s="131" t="str">
        <f t="shared" si="175"/>
        <v>Laura Tumiati</v>
      </c>
      <c r="O197" s="1297"/>
      <c r="P197" s="251"/>
      <c r="Q197" s="131"/>
      <c r="R197" s="252"/>
      <c r="S197" s="254"/>
      <c r="T197" s="346"/>
      <c r="U197" s="253"/>
      <c r="V197" s="253"/>
      <c r="W197" s="251"/>
      <c r="X197" s="131"/>
      <c r="Y197" s="251"/>
      <c r="Z197" s="251"/>
      <c r="AA197" s="251"/>
      <c r="AB197" s="255"/>
      <c r="AC197" s="256"/>
      <c r="AD197" s="121" t="s">
        <v>4363</v>
      </c>
      <c r="AE197" s="131" t="str">
        <f t="shared" ref="AE197:AE221" si="179">L197</f>
        <v>Deve pagare SOLO 2997 senza IVA, in quanto p.iva svizzera</v>
      </c>
      <c r="AF197" s="257"/>
      <c r="AG197" s="155"/>
      <c r="AH197" s="155"/>
      <c r="AI197" s="155"/>
      <c r="AJ197" s="257"/>
      <c r="AK197" s="155"/>
      <c r="AL197" s="155"/>
      <c r="AM197" s="155"/>
      <c r="AN197" s="257"/>
      <c r="AO197" s="258"/>
      <c r="AP197" s="258"/>
      <c r="AQ197" s="258"/>
      <c r="AR197" s="211"/>
      <c r="AS197" s="259" t="s">
        <v>115</v>
      </c>
      <c r="AT197" s="259" t="s">
        <v>115</v>
      </c>
      <c r="AU197" s="259" t="s">
        <v>115</v>
      </c>
      <c r="AV197" s="211"/>
      <c r="AW197" s="124"/>
      <c r="AX197" s="124"/>
      <c r="AY197" s="124"/>
      <c r="AZ197" s="808">
        <f t="shared" si="178"/>
        <v>2997</v>
      </c>
      <c r="BA197" s="761">
        <f t="shared" si="98"/>
        <v>2997</v>
      </c>
      <c r="BB197" s="761">
        <f t="shared" si="4"/>
        <v>0</v>
      </c>
      <c r="BC197" s="262"/>
      <c r="BD197" s="824">
        <f>AZ197</f>
        <v>2997</v>
      </c>
      <c r="BE197" s="1231"/>
      <c r="BF197" s="306" t="s">
        <v>166</v>
      </c>
      <c r="BG197" s="145">
        <v>0.15</v>
      </c>
      <c r="BH197" s="262"/>
      <c r="BI197" s="242">
        <f t="shared" si="137"/>
        <v>449.55</v>
      </c>
      <c r="BJ197" s="1232">
        <f t="shared" si="152"/>
        <v>0</v>
      </c>
      <c r="BK197" s="387" t="s">
        <v>1076</v>
      </c>
      <c r="BL197" s="1303" t="s">
        <v>166</v>
      </c>
      <c r="BM197" s="145">
        <v>0.05</v>
      </c>
      <c r="BN197" s="262"/>
      <c r="BO197" s="242">
        <f t="shared" si="133"/>
        <v>149.85</v>
      </c>
      <c r="BP197" s="1231">
        <f t="shared" ref="BP197:BP239" si="180">BE197*BM197</f>
        <v>0</v>
      </c>
      <c r="BQ197" s="387" t="s">
        <v>1076</v>
      </c>
      <c r="BR197" s="110">
        <v>2997</v>
      </c>
      <c r="BS197" s="226">
        <v>44834</v>
      </c>
      <c r="BT197" s="110">
        <v>2997</v>
      </c>
      <c r="BU197" s="263"/>
      <c r="BV197" s="110"/>
      <c r="BW197" s="348"/>
      <c r="BX197" s="110"/>
      <c r="BY197" s="263"/>
      <c r="BZ197" s="110"/>
      <c r="CA197" s="263"/>
      <c r="CB197" s="110"/>
      <c r="CC197" s="263"/>
      <c r="CD197" s="110"/>
      <c r="CE197" s="226"/>
      <c r="CF197" s="110"/>
      <c r="CG197" s="263"/>
      <c r="CH197" s="110"/>
      <c r="CI197" s="226"/>
      <c r="CJ197" s="110"/>
      <c r="CK197" s="155">
        <v>1</v>
      </c>
      <c r="CL197" s="181" t="s">
        <v>1123</v>
      </c>
      <c r="CM197" s="181"/>
      <c r="CN197" s="207"/>
      <c r="CO197" s="155" t="s">
        <v>122</v>
      </c>
      <c r="CP197" s="155"/>
      <c r="CQ197" s="131"/>
      <c r="CR197" s="823" t="s">
        <v>4364</v>
      </c>
      <c r="CS197" s="116" t="str">
        <f t="shared" si="9"/>
        <v>Matteo</v>
      </c>
      <c r="CT197" s="820">
        <f t="shared" si="168"/>
        <v>449.55</v>
      </c>
      <c r="CU197" s="820">
        <f t="shared" si="169"/>
        <v>149.85</v>
      </c>
      <c r="CV197" s="116" t="str">
        <f t="shared" si="10"/>
        <v>Matteo</v>
      </c>
      <c r="CW197" s="121">
        <v>1</v>
      </c>
      <c r="CX197" s="779"/>
      <c r="CY197" s="729"/>
      <c r="CZ197" s="729"/>
      <c r="DA197" s="729"/>
      <c r="DB197" s="729"/>
      <c r="DC197" s="729"/>
      <c r="DD197" s="265"/>
      <c r="DE197" s="265"/>
      <c r="DF197" s="265"/>
      <c r="DG197" s="265"/>
      <c r="DH197" s="265"/>
      <c r="DI197" s="265"/>
      <c r="DJ197" s="265"/>
      <c r="DK197" s="265"/>
      <c r="DL197" s="265"/>
      <c r="DM197" s="265"/>
      <c r="DN197" s="265"/>
      <c r="DO197" s="265"/>
      <c r="DP197" s="265"/>
      <c r="DQ197" s="265"/>
      <c r="DR197" s="265"/>
      <c r="DS197" s="265"/>
      <c r="DT197" s="265"/>
    </row>
    <row r="198" spans="1:124" ht="30" customHeight="1">
      <c r="A198" s="228"/>
      <c r="B198" s="1237"/>
      <c r="C198" s="155">
        <f t="shared" si="154"/>
        <v>84</v>
      </c>
      <c r="D198" s="781"/>
      <c r="E198" s="781"/>
      <c r="F198" s="781"/>
      <c r="G198" s="112" t="s">
        <v>4365</v>
      </c>
      <c r="H198" s="112" t="s">
        <v>2088</v>
      </c>
      <c r="I198" s="207" t="s">
        <v>4366</v>
      </c>
      <c r="J198" s="207" t="str">
        <f t="shared" si="0"/>
        <v>Linda Russo</v>
      </c>
      <c r="K198" s="156">
        <v>3472739321</v>
      </c>
      <c r="L198" s="204" t="s">
        <v>4367</v>
      </c>
      <c r="M198" s="131" t="s">
        <v>4368</v>
      </c>
      <c r="N198" s="131" t="str">
        <f t="shared" si="175"/>
        <v>Alzaration</v>
      </c>
      <c r="O198" s="1297"/>
      <c r="P198" s="251"/>
      <c r="Q198" s="131"/>
      <c r="R198" s="252"/>
      <c r="S198" s="254"/>
      <c r="T198" s="346"/>
      <c r="U198" s="253"/>
      <c r="V198" s="253"/>
      <c r="W198" s="251"/>
      <c r="X198" s="131"/>
      <c r="Y198" s="251"/>
      <c r="Z198" s="251"/>
      <c r="AA198" s="251"/>
      <c r="AB198" s="255"/>
      <c r="AC198" s="256"/>
      <c r="AD198" s="121"/>
      <c r="AE198" s="80" t="str">
        <f t="shared" si="179"/>
        <v>Matteo proposto blocco prezzo con 200 euro di Acconto come Davide Spitale</v>
      </c>
      <c r="AF198" s="257"/>
      <c r="AG198" s="155"/>
      <c r="AH198" s="155"/>
      <c r="AI198" s="155"/>
      <c r="AJ198" s="257"/>
      <c r="AK198" s="155"/>
      <c r="AL198" s="155"/>
      <c r="AM198" s="155"/>
      <c r="AN198" s="257"/>
      <c r="AO198" s="258"/>
      <c r="AP198" s="258"/>
      <c r="AQ198" s="258"/>
      <c r="AR198" s="211"/>
      <c r="AS198" s="259"/>
      <c r="AT198" s="259"/>
      <c r="AU198" s="259"/>
      <c r="AV198" s="211"/>
      <c r="AW198" s="259" t="s">
        <v>115</v>
      </c>
      <c r="AX198" s="259" t="s">
        <v>115</v>
      </c>
      <c r="AY198" s="259" t="s">
        <v>115</v>
      </c>
      <c r="AZ198" s="808">
        <f t="shared" si="178"/>
        <v>3497.0000000000005</v>
      </c>
      <c r="BA198" s="761">
        <f t="shared" si="98"/>
        <v>0</v>
      </c>
      <c r="BB198" s="761">
        <f t="shared" si="4"/>
        <v>3497.0000000000005</v>
      </c>
      <c r="BC198" s="262"/>
      <c r="BD198" s="824"/>
      <c r="BE198" s="1231">
        <v>3497</v>
      </c>
      <c r="BF198" s="1323" t="s">
        <v>4184</v>
      </c>
      <c r="BG198" s="145">
        <v>0.15</v>
      </c>
      <c r="BH198" s="262"/>
      <c r="BI198" s="242">
        <f t="shared" si="137"/>
        <v>0</v>
      </c>
      <c r="BJ198" s="1232">
        <f t="shared" si="152"/>
        <v>524.54999999999995</v>
      </c>
      <c r="BK198" s="772"/>
      <c r="BL198" s="825" t="s">
        <v>166</v>
      </c>
      <c r="BM198" s="145">
        <v>0.05</v>
      </c>
      <c r="BN198" s="262"/>
      <c r="BO198" s="242">
        <f t="shared" si="133"/>
        <v>0</v>
      </c>
      <c r="BP198" s="1231">
        <f t="shared" si="180"/>
        <v>174.85000000000002</v>
      </c>
      <c r="BQ198" s="243"/>
      <c r="BR198" s="110">
        <f>200/1.22</f>
        <v>163.9344262295082</v>
      </c>
      <c r="BS198" s="365">
        <v>44834</v>
      </c>
      <c r="BT198" s="110"/>
      <c r="BU198" s="206"/>
      <c r="BV198" s="110">
        <f>1720/1.22</f>
        <v>1409.8360655737706</v>
      </c>
      <c r="BW198" s="226">
        <v>44841</v>
      </c>
      <c r="BX198" s="110"/>
      <c r="BY198" s="206"/>
      <c r="BZ198" s="110">
        <f>2346.34/1.22</f>
        <v>1923.2295081967216</v>
      </c>
      <c r="CA198" s="348">
        <v>44854</v>
      </c>
      <c r="CB198" s="110"/>
      <c r="CC198" s="263"/>
      <c r="CD198" s="110"/>
      <c r="CE198" s="226"/>
      <c r="CF198" s="110"/>
      <c r="CG198" s="263"/>
      <c r="CH198" s="110"/>
      <c r="CI198" s="226"/>
      <c r="CJ198" s="110"/>
      <c r="CK198" s="155"/>
      <c r="CL198" s="181"/>
      <c r="CM198" s="181"/>
      <c r="CN198" s="207"/>
      <c r="CO198" s="207"/>
      <c r="CP198" s="155"/>
      <c r="CQ198" s="131"/>
      <c r="CR198" s="823" t="s">
        <v>4369</v>
      </c>
      <c r="CS198" s="116" t="str">
        <f t="shared" si="9"/>
        <v>Wisee 10%  - Matteo 5%</v>
      </c>
      <c r="CT198" s="820" t="b">
        <f t="shared" si="168"/>
        <v>0</v>
      </c>
      <c r="CU198" s="820" t="b">
        <f t="shared" si="169"/>
        <v>0</v>
      </c>
      <c r="CV198" s="116" t="str">
        <f t="shared" si="10"/>
        <v>Matteo</v>
      </c>
      <c r="CW198" s="181"/>
      <c r="CX198" s="779"/>
      <c r="CY198" s="729"/>
      <c r="CZ198" s="729"/>
      <c r="DA198" s="729"/>
      <c r="DB198" s="729"/>
      <c r="DC198" s="729"/>
      <c r="DD198" s="265"/>
      <c r="DE198" s="265"/>
      <c r="DF198" s="265"/>
      <c r="DG198" s="265"/>
      <c r="DH198" s="265"/>
      <c r="DI198" s="265"/>
      <c r="DJ198" s="265"/>
      <c r="DK198" s="265"/>
      <c r="DL198" s="265"/>
      <c r="DM198" s="265"/>
      <c r="DN198" s="265"/>
      <c r="DO198" s="265"/>
      <c r="DP198" s="265"/>
      <c r="DQ198" s="265"/>
      <c r="DR198" s="265"/>
      <c r="DS198" s="265"/>
      <c r="DT198" s="265"/>
    </row>
    <row r="199" spans="1:124" ht="30" customHeight="1">
      <c r="A199" s="228"/>
      <c r="B199" s="1237"/>
      <c r="C199" s="155">
        <f t="shared" si="154"/>
        <v>85</v>
      </c>
      <c r="D199" s="781">
        <v>1</v>
      </c>
      <c r="E199" s="781">
        <v>1</v>
      </c>
      <c r="F199" s="781">
        <v>1</v>
      </c>
      <c r="G199" s="112" t="s">
        <v>4370</v>
      </c>
      <c r="H199" s="112" t="s">
        <v>4371</v>
      </c>
      <c r="I199" s="1234" t="s">
        <v>4372</v>
      </c>
      <c r="J199" s="207" t="str">
        <f t="shared" si="0"/>
        <v>Luca Orlando Calandra</v>
      </c>
      <c r="K199" s="156" t="s">
        <v>4373</v>
      </c>
      <c r="L199" s="131"/>
      <c r="M199" s="131" t="s">
        <v>4374</v>
      </c>
      <c r="N199" s="131" t="str">
        <f t="shared" si="175"/>
        <v>Proietti Soluzioni</v>
      </c>
      <c r="O199" s="1297"/>
      <c r="P199" s="251"/>
      <c r="Q199" s="131"/>
      <c r="R199" s="252"/>
      <c r="S199" s="254"/>
      <c r="T199" s="346"/>
      <c r="U199" s="253"/>
      <c r="V199" s="253"/>
      <c r="W199" s="251"/>
      <c r="X199" s="131"/>
      <c r="Y199" s="251"/>
      <c r="Z199" s="251"/>
      <c r="AA199" s="251"/>
      <c r="AB199" s="255"/>
      <c r="AC199" s="256"/>
      <c r="AD199" s="121" t="s">
        <v>4375</v>
      </c>
      <c r="AE199" s="80">
        <f t="shared" si="179"/>
        <v>0</v>
      </c>
      <c r="AF199" s="257"/>
      <c r="AG199" s="155"/>
      <c r="AH199" s="155"/>
      <c r="AI199" s="155"/>
      <c r="AJ199" s="257" t="s">
        <v>122</v>
      </c>
      <c r="AK199" s="155"/>
      <c r="AL199" s="155"/>
      <c r="AM199" s="155"/>
      <c r="AN199" s="257"/>
      <c r="AO199" s="258"/>
      <c r="AP199" s="258"/>
      <c r="AQ199" s="258"/>
      <c r="AR199" s="211"/>
      <c r="AS199" s="259" t="s">
        <v>115</v>
      </c>
      <c r="AT199" s="259" t="s">
        <v>115</v>
      </c>
      <c r="AU199" s="259" t="s">
        <v>115</v>
      </c>
      <c r="AV199" s="211"/>
      <c r="AW199" s="124"/>
      <c r="AX199" s="124"/>
      <c r="AY199" s="124"/>
      <c r="AZ199" s="808">
        <f t="shared" si="178"/>
        <v>2997</v>
      </c>
      <c r="BA199" s="761">
        <f t="shared" si="98"/>
        <v>2997</v>
      </c>
      <c r="BB199" s="761">
        <f t="shared" si="4"/>
        <v>0</v>
      </c>
      <c r="BC199" s="262"/>
      <c r="BD199" s="824">
        <f>BA199</f>
        <v>2997</v>
      </c>
      <c r="BE199" s="1231"/>
      <c r="BF199" s="383" t="s">
        <v>141</v>
      </c>
      <c r="BG199" s="145">
        <v>0.15</v>
      </c>
      <c r="BH199" s="262"/>
      <c r="BI199" s="242">
        <f t="shared" si="137"/>
        <v>449.55</v>
      </c>
      <c r="BJ199" s="1232">
        <f t="shared" si="152"/>
        <v>0</v>
      </c>
      <c r="BK199" s="387" t="s">
        <v>1076</v>
      </c>
      <c r="BL199" s="826" t="s">
        <v>141</v>
      </c>
      <c r="BM199" s="145">
        <v>0.05</v>
      </c>
      <c r="BN199" s="262"/>
      <c r="BO199" s="242">
        <f t="shared" si="133"/>
        <v>149.85</v>
      </c>
      <c r="BP199" s="1231">
        <f t="shared" si="180"/>
        <v>0</v>
      </c>
      <c r="BQ199" s="387" t="s">
        <v>1076</v>
      </c>
      <c r="BR199" s="110">
        <v>2997</v>
      </c>
      <c r="BS199" s="365">
        <v>44834</v>
      </c>
      <c r="BT199" s="110">
        <v>2997</v>
      </c>
      <c r="BU199" s="206"/>
      <c r="BV199" s="110"/>
      <c r="BW199" s="226"/>
      <c r="BX199" s="110"/>
      <c r="BY199" s="206"/>
      <c r="BZ199" s="110"/>
      <c r="CA199" s="1328"/>
      <c r="CB199" s="110"/>
      <c r="CC199" s="263"/>
      <c r="CD199" s="110"/>
      <c r="CE199" s="226"/>
      <c r="CF199" s="110"/>
      <c r="CG199" s="263"/>
      <c r="CH199" s="110"/>
      <c r="CI199" s="226"/>
      <c r="CJ199" s="110"/>
      <c r="CK199" s="155">
        <v>1</v>
      </c>
      <c r="CL199" s="181" t="s">
        <v>1123</v>
      </c>
      <c r="CM199" s="181"/>
      <c r="CN199" s="207"/>
      <c r="CO199" s="155" t="s">
        <v>122</v>
      </c>
      <c r="CP199" s="155"/>
      <c r="CQ199" s="131" t="s">
        <v>4376</v>
      </c>
      <c r="CR199" s="823" t="s">
        <v>4377</v>
      </c>
      <c r="CS199" s="116" t="str">
        <f t="shared" si="9"/>
        <v>Daniele</v>
      </c>
      <c r="CT199" s="820">
        <f t="shared" si="168"/>
        <v>449.55</v>
      </c>
      <c r="CU199" s="820">
        <f t="shared" si="169"/>
        <v>149.85</v>
      </c>
      <c r="CV199" s="116" t="str">
        <f t="shared" si="10"/>
        <v>Daniele</v>
      </c>
      <c r="CW199" s="181"/>
      <c r="CX199" s="779"/>
      <c r="CY199" s="729"/>
      <c r="CZ199" s="729"/>
      <c r="DA199" s="729"/>
      <c r="DB199" s="729"/>
      <c r="DC199" s="729"/>
      <c r="DD199" s="265"/>
      <c r="DE199" s="265"/>
      <c r="DF199" s="265"/>
      <c r="DG199" s="265"/>
      <c r="DH199" s="265"/>
      <c r="DI199" s="265"/>
      <c r="DJ199" s="265"/>
      <c r="DK199" s="265"/>
      <c r="DL199" s="265"/>
      <c r="DM199" s="265"/>
      <c r="DN199" s="265"/>
      <c r="DO199" s="265"/>
      <c r="DP199" s="265"/>
      <c r="DQ199" s="265"/>
      <c r="DR199" s="265"/>
      <c r="DS199" s="265"/>
      <c r="DT199" s="265"/>
    </row>
    <row r="200" spans="1:124" ht="30" customHeight="1">
      <c r="A200" s="228"/>
      <c r="B200" s="1237"/>
      <c r="C200" s="155">
        <f t="shared" si="154"/>
        <v>86</v>
      </c>
      <c r="D200" s="781"/>
      <c r="E200" s="781"/>
      <c r="F200" s="781"/>
      <c r="G200" s="112" t="s">
        <v>1248</v>
      </c>
      <c r="H200" s="112" t="s">
        <v>1249</v>
      </c>
      <c r="I200" s="207" t="s">
        <v>1250</v>
      </c>
      <c r="J200" s="207" t="str">
        <f t="shared" si="0"/>
        <v>Manuela Dazza</v>
      </c>
      <c r="K200" s="156" t="s">
        <v>1251</v>
      </c>
      <c r="L200" s="204" t="s">
        <v>1252</v>
      </c>
      <c r="M200" s="131" t="s">
        <v>860</v>
      </c>
      <c r="N200" s="131" t="str">
        <f t="shared" si="175"/>
        <v>LAEMMEGROUP</v>
      </c>
      <c r="O200" s="1297"/>
      <c r="P200" s="251"/>
      <c r="Q200" s="131"/>
      <c r="R200" s="252"/>
      <c r="S200" s="254"/>
      <c r="T200" s="346"/>
      <c r="U200" s="253"/>
      <c r="V200" s="253"/>
      <c r="W200" s="251"/>
      <c r="X200" s="131"/>
      <c r="Y200" s="251"/>
      <c r="Z200" s="251"/>
      <c r="AA200" s="251"/>
      <c r="AB200" s="255"/>
      <c r="AC200" s="256"/>
      <c r="AD200" s="121"/>
      <c r="AE200" s="80" t="str">
        <f t="shared" si="179"/>
        <v xml:space="preserve">SE NON SI FA PERCORO IN AZIENDA, LEI VUOLE PAGARSELO DA SOLA - Interessati percorso in azienda, tenete in sospeso gli 8 Master </v>
      </c>
      <c r="AF200" s="257"/>
      <c r="AG200" s="155"/>
      <c r="AH200" s="155"/>
      <c r="AI200" s="155"/>
      <c r="AJ200" s="257"/>
      <c r="AK200" s="155"/>
      <c r="AL200" s="155"/>
      <c r="AM200" s="155"/>
      <c r="AN200" s="257"/>
      <c r="AO200" s="258"/>
      <c r="AP200" s="258"/>
      <c r="AQ200" s="258"/>
      <c r="AR200" s="211"/>
      <c r="AS200" s="121"/>
      <c r="AT200" s="121"/>
      <c r="AU200" s="121"/>
      <c r="AV200" s="211"/>
      <c r="AW200" s="121" t="s">
        <v>27</v>
      </c>
      <c r="AX200" s="121" t="s">
        <v>27</v>
      </c>
      <c r="AY200" s="121" t="s">
        <v>27</v>
      </c>
      <c r="AZ200" s="760">
        <f t="shared" si="178"/>
        <v>0</v>
      </c>
      <c r="BA200" s="761">
        <f t="shared" si="98"/>
        <v>0</v>
      </c>
      <c r="BB200" s="761">
        <f t="shared" si="4"/>
        <v>0</v>
      </c>
      <c r="BC200" s="262"/>
      <c r="BD200" s="824">
        <f>AZ200</f>
        <v>0</v>
      </c>
      <c r="BE200" s="1231"/>
      <c r="BF200" s="383" t="s">
        <v>407</v>
      </c>
      <c r="BG200" s="145">
        <v>0.15</v>
      </c>
      <c r="BH200" s="262"/>
      <c r="BI200" s="242">
        <f t="shared" si="137"/>
        <v>0</v>
      </c>
      <c r="BJ200" s="1232">
        <f t="shared" si="152"/>
        <v>0</v>
      </c>
      <c r="BK200" s="772"/>
      <c r="BL200" s="289" t="s">
        <v>407</v>
      </c>
      <c r="BM200" s="145">
        <v>0.05</v>
      </c>
      <c r="BN200" s="262"/>
      <c r="BO200" s="242">
        <f t="shared" si="133"/>
        <v>0</v>
      </c>
      <c r="BP200" s="1231">
        <f t="shared" si="180"/>
        <v>0</v>
      </c>
      <c r="BQ200" s="243"/>
      <c r="BR200" s="110"/>
      <c r="BS200" s="226"/>
      <c r="BT200" s="110"/>
      <c r="BU200" s="263"/>
      <c r="BV200" s="110"/>
      <c r="BW200" s="348"/>
      <c r="BX200" s="110"/>
      <c r="BY200" s="263"/>
      <c r="BZ200" s="110"/>
      <c r="CA200" s="263"/>
      <c r="CB200" s="110"/>
      <c r="CC200" s="263"/>
      <c r="CD200" s="110"/>
      <c r="CE200" s="226"/>
      <c r="CF200" s="110"/>
      <c r="CG200" s="263"/>
      <c r="CH200" s="110"/>
      <c r="CI200" s="226"/>
      <c r="CJ200" s="110"/>
      <c r="CK200" s="155"/>
      <c r="CL200" s="181"/>
      <c r="CM200" s="181"/>
      <c r="CN200" s="207"/>
      <c r="CO200" s="207"/>
      <c r="CP200" s="155"/>
      <c r="CQ200" s="131"/>
      <c r="CR200" s="823" t="s">
        <v>1253</v>
      </c>
      <c r="CS200" s="116" t="str">
        <f t="shared" si="9"/>
        <v>Stefano</v>
      </c>
      <c r="CT200" s="820" t="b">
        <f t="shared" si="168"/>
        <v>0</v>
      </c>
      <c r="CU200" s="820" t="b">
        <f t="shared" si="169"/>
        <v>0</v>
      </c>
      <c r="CV200" s="116" t="str">
        <f t="shared" si="10"/>
        <v>Stefano</v>
      </c>
      <c r="CW200" s="181"/>
      <c r="CX200" s="779"/>
      <c r="CY200" s="729"/>
      <c r="CZ200" s="729"/>
      <c r="DA200" s="729"/>
      <c r="DB200" s="729"/>
      <c r="DC200" s="729"/>
      <c r="DD200" s="265"/>
      <c r="DE200" s="265"/>
      <c r="DF200" s="265"/>
      <c r="DG200" s="265"/>
      <c r="DH200" s="265"/>
      <c r="DI200" s="265"/>
      <c r="DJ200" s="265"/>
      <c r="DK200" s="265"/>
      <c r="DL200" s="265"/>
      <c r="DM200" s="265"/>
      <c r="DN200" s="265"/>
      <c r="DO200" s="265"/>
      <c r="DP200" s="265"/>
      <c r="DQ200" s="265"/>
      <c r="DR200" s="265"/>
      <c r="DS200" s="265"/>
      <c r="DT200" s="265"/>
    </row>
    <row r="201" spans="1:124" ht="30" customHeight="1">
      <c r="A201" s="228"/>
      <c r="B201" s="1237"/>
      <c r="C201" s="155">
        <f t="shared" si="154"/>
        <v>87</v>
      </c>
      <c r="D201" s="781"/>
      <c r="E201" s="781"/>
      <c r="F201" s="781"/>
      <c r="G201" s="112" t="s">
        <v>1254</v>
      </c>
      <c r="H201" s="112" t="s">
        <v>1255</v>
      </c>
      <c r="I201" s="207" t="s">
        <v>1256</v>
      </c>
      <c r="J201" s="207" t="str">
        <f t="shared" si="0"/>
        <v>Manuele Carra</v>
      </c>
      <c r="K201" s="156">
        <v>3477750905</v>
      </c>
      <c r="L201" s="204" t="s">
        <v>1257</v>
      </c>
      <c r="M201" s="131" t="s">
        <v>1258</v>
      </c>
      <c r="N201" s="131" t="str">
        <f t="shared" si="175"/>
        <v>iSolutions s.r.l.</v>
      </c>
      <c r="O201" s="1297"/>
      <c r="P201" s="251"/>
      <c r="Q201" s="131"/>
      <c r="R201" s="252"/>
      <c r="S201" s="254"/>
      <c r="T201" s="346"/>
      <c r="U201" s="253"/>
      <c r="V201" s="253"/>
      <c r="W201" s="251"/>
      <c r="X201" s="131"/>
      <c r="Y201" s="251"/>
      <c r="Z201" s="251"/>
      <c r="AA201" s="251"/>
      <c r="AB201" s="255"/>
      <c r="AC201" s="256"/>
      <c r="AD201" s="121"/>
      <c r="AE201" s="80" t="str">
        <f t="shared" si="179"/>
        <v>Conferma entro il 30/9</v>
      </c>
      <c r="AF201" s="257"/>
      <c r="AG201" s="155"/>
      <c r="AH201" s="155"/>
      <c r="AI201" s="155"/>
      <c r="AJ201" s="257"/>
      <c r="AK201" s="155"/>
      <c r="AL201" s="155"/>
      <c r="AM201" s="155"/>
      <c r="AN201" s="257"/>
      <c r="AO201" s="258"/>
      <c r="AP201" s="258"/>
      <c r="AQ201" s="258"/>
      <c r="AR201" s="211"/>
      <c r="AS201" s="259"/>
      <c r="AT201" s="259"/>
      <c r="AU201" s="259"/>
      <c r="AV201" s="211"/>
      <c r="AW201" s="259" t="s">
        <v>151</v>
      </c>
      <c r="AX201" s="259" t="s">
        <v>151</v>
      </c>
      <c r="AY201" s="259" t="s">
        <v>151</v>
      </c>
      <c r="AZ201" s="808">
        <f t="shared" si="178"/>
        <v>2797</v>
      </c>
      <c r="BA201" s="761">
        <f t="shared" si="98"/>
        <v>0</v>
      </c>
      <c r="BB201" s="761">
        <f t="shared" si="4"/>
        <v>2797</v>
      </c>
      <c r="BC201" s="262"/>
      <c r="BD201" s="824">
        <v>0</v>
      </c>
      <c r="BE201" s="1231">
        <v>2797</v>
      </c>
      <c r="BF201" s="105" t="s">
        <v>616</v>
      </c>
      <c r="BG201" s="145">
        <v>0.15</v>
      </c>
      <c r="BH201" s="262"/>
      <c r="BI201" s="242">
        <f t="shared" si="137"/>
        <v>0</v>
      </c>
      <c r="BJ201" s="1232">
        <f t="shared" si="152"/>
        <v>419.55</v>
      </c>
      <c r="BK201" s="772"/>
      <c r="BL201" s="822" t="s">
        <v>166</v>
      </c>
      <c r="BM201" s="145">
        <v>0.05</v>
      </c>
      <c r="BN201" s="262"/>
      <c r="BO201" s="242">
        <f t="shared" si="133"/>
        <v>0</v>
      </c>
      <c r="BP201" s="1231">
        <f t="shared" si="180"/>
        <v>139.85</v>
      </c>
      <c r="BQ201" s="243"/>
      <c r="BR201" s="110">
        <v>2797</v>
      </c>
      <c r="BS201" s="226">
        <v>44834</v>
      </c>
      <c r="BT201" s="110"/>
      <c r="BU201" s="263"/>
      <c r="BV201" s="110"/>
      <c r="BW201" s="348"/>
      <c r="BX201" s="110"/>
      <c r="BY201" s="263"/>
      <c r="BZ201" s="110"/>
      <c r="CA201" s="263"/>
      <c r="CB201" s="110"/>
      <c r="CC201" s="263"/>
      <c r="CD201" s="110"/>
      <c r="CE201" s="226"/>
      <c r="CF201" s="110"/>
      <c r="CG201" s="263"/>
      <c r="CH201" s="110"/>
      <c r="CI201" s="226"/>
      <c r="CJ201" s="110"/>
      <c r="CK201" s="155">
        <v>1</v>
      </c>
      <c r="CL201" s="181" t="s">
        <v>1123</v>
      </c>
      <c r="CM201" s="181"/>
      <c r="CN201" s="207"/>
      <c r="CO201" s="207"/>
      <c r="CP201" s="155"/>
      <c r="CQ201" s="131" t="s">
        <v>1260</v>
      </c>
      <c r="CR201" s="823" t="s">
        <v>1259</v>
      </c>
      <c r="CS201" s="116" t="str">
        <f t="shared" si="9"/>
        <v>Gian Luca Boarini</v>
      </c>
      <c r="CT201" s="820" t="b">
        <f t="shared" si="168"/>
        <v>0</v>
      </c>
      <c r="CU201" s="820" t="b">
        <f t="shared" si="169"/>
        <v>0</v>
      </c>
      <c r="CV201" s="116" t="str">
        <f t="shared" si="10"/>
        <v>Matteo</v>
      </c>
      <c r="CW201" s="181"/>
      <c r="CX201" s="779"/>
      <c r="CY201" s="729"/>
      <c r="CZ201" s="729"/>
      <c r="DA201" s="729"/>
      <c r="DB201" s="729"/>
      <c r="DC201" s="729"/>
      <c r="DD201" s="265"/>
      <c r="DE201" s="265"/>
      <c r="DF201" s="265"/>
      <c r="DG201" s="265"/>
      <c r="DH201" s="265"/>
      <c r="DI201" s="265"/>
      <c r="DJ201" s="265"/>
      <c r="DK201" s="265"/>
      <c r="DL201" s="265"/>
      <c r="DM201" s="265"/>
      <c r="DN201" s="265"/>
      <c r="DO201" s="265"/>
      <c r="DP201" s="265"/>
      <c r="DQ201" s="265"/>
      <c r="DR201" s="265"/>
      <c r="DS201" s="265"/>
      <c r="DT201" s="265"/>
    </row>
    <row r="202" spans="1:124" ht="30" customHeight="1">
      <c r="A202" s="228"/>
      <c r="B202" s="1237"/>
      <c r="C202" s="155">
        <f t="shared" si="154"/>
        <v>88</v>
      </c>
      <c r="D202" s="781"/>
      <c r="E202" s="781"/>
      <c r="F202" s="781"/>
      <c r="G202" s="620" t="s">
        <v>4378</v>
      </c>
      <c r="H202" s="620" t="s">
        <v>1255</v>
      </c>
      <c r="I202" s="207"/>
      <c r="J202" s="207" t="str">
        <f t="shared" si="0"/>
        <v>Ospite 1 Manuele Carra Carra</v>
      </c>
      <c r="K202" s="156"/>
      <c r="L202" s="204" t="s">
        <v>1257</v>
      </c>
      <c r="M202" s="131"/>
      <c r="N202" s="823"/>
      <c r="O202" s="1297"/>
      <c r="P202" s="251"/>
      <c r="Q202" s="131"/>
      <c r="R202" s="252"/>
      <c r="S202" s="254"/>
      <c r="T202" s="346"/>
      <c r="U202" s="253"/>
      <c r="V202" s="253"/>
      <c r="W202" s="251"/>
      <c r="X202" s="131"/>
      <c r="Y202" s="251"/>
      <c r="Z202" s="251"/>
      <c r="AA202" s="251"/>
      <c r="AB202" s="255"/>
      <c r="AC202" s="256"/>
      <c r="AD202" s="121"/>
      <c r="AE202" s="80" t="str">
        <f t="shared" si="179"/>
        <v>Conferma entro il 30/9</v>
      </c>
      <c r="AF202" s="257"/>
      <c r="AG202" s="155"/>
      <c r="AH202" s="155"/>
      <c r="AI202" s="155"/>
      <c r="AJ202" s="257"/>
      <c r="AK202" s="155"/>
      <c r="AL202" s="155"/>
      <c r="AM202" s="155"/>
      <c r="AN202" s="257"/>
      <c r="AO202" s="258"/>
      <c r="AP202" s="258"/>
      <c r="AQ202" s="258"/>
      <c r="AR202" s="211"/>
      <c r="AS202" s="259"/>
      <c r="AT202" s="259"/>
      <c r="AU202" s="259"/>
      <c r="AV202" s="211"/>
      <c r="AW202" s="259" t="s">
        <v>151</v>
      </c>
      <c r="AX202" s="259" t="s">
        <v>151</v>
      </c>
      <c r="AY202" s="259" t="s">
        <v>151</v>
      </c>
      <c r="AZ202" s="808">
        <f t="shared" si="178"/>
        <v>2797</v>
      </c>
      <c r="BA202" s="761">
        <f t="shared" si="98"/>
        <v>0</v>
      </c>
      <c r="BB202" s="761">
        <f t="shared" si="4"/>
        <v>2797</v>
      </c>
      <c r="BC202" s="262"/>
      <c r="BD202" s="824">
        <v>0</v>
      </c>
      <c r="BE202" s="1231">
        <v>2797</v>
      </c>
      <c r="BF202" s="105" t="s">
        <v>616</v>
      </c>
      <c r="BG202" s="145">
        <v>0.15</v>
      </c>
      <c r="BH202" s="262"/>
      <c r="BI202" s="242">
        <f t="shared" si="137"/>
        <v>0</v>
      </c>
      <c r="BJ202" s="1232">
        <f t="shared" si="152"/>
        <v>419.55</v>
      </c>
      <c r="BK202" s="772"/>
      <c r="BL202" s="822" t="s">
        <v>166</v>
      </c>
      <c r="BM202" s="145">
        <v>0.05</v>
      </c>
      <c r="BN202" s="262"/>
      <c r="BO202" s="242">
        <f t="shared" si="133"/>
        <v>0</v>
      </c>
      <c r="BP202" s="1231">
        <f t="shared" si="180"/>
        <v>139.85</v>
      </c>
      <c r="BQ202" s="243"/>
      <c r="BR202" s="110">
        <v>2797</v>
      </c>
      <c r="BS202" s="226">
        <v>44834</v>
      </c>
      <c r="BT202" s="110"/>
      <c r="BU202" s="263"/>
      <c r="BV202" s="110"/>
      <c r="BW202" s="348"/>
      <c r="BX202" s="110"/>
      <c r="BY202" s="263"/>
      <c r="BZ202" s="110"/>
      <c r="CA202" s="263"/>
      <c r="CB202" s="110"/>
      <c r="CC202" s="263"/>
      <c r="CD202" s="110"/>
      <c r="CE202" s="226"/>
      <c r="CF202" s="110"/>
      <c r="CG202" s="263"/>
      <c r="CH202" s="110"/>
      <c r="CI202" s="226"/>
      <c r="CJ202" s="110"/>
      <c r="CK202" s="155">
        <v>1</v>
      </c>
      <c r="CL202" s="181" t="s">
        <v>1123</v>
      </c>
      <c r="CM202" s="181"/>
      <c r="CN202" s="207"/>
      <c r="CO202" s="207"/>
      <c r="CP202" s="155"/>
      <c r="CQ202" s="131"/>
      <c r="CR202" s="823">
        <f t="shared" ref="CR202:CR203" si="181">N202</f>
        <v>0</v>
      </c>
      <c r="CS202" s="116" t="str">
        <f t="shared" si="9"/>
        <v>Gian Luca Boarini</v>
      </c>
      <c r="CT202" s="820" t="b">
        <f t="shared" si="168"/>
        <v>0</v>
      </c>
      <c r="CU202" s="820" t="b">
        <f t="shared" si="169"/>
        <v>0</v>
      </c>
      <c r="CV202" s="116" t="str">
        <f t="shared" si="10"/>
        <v>Matteo</v>
      </c>
      <c r="CW202" s="181"/>
      <c r="CX202" s="779"/>
      <c r="CY202" s="729"/>
      <c r="CZ202" s="729"/>
      <c r="DA202" s="729"/>
      <c r="DB202" s="729"/>
      <c r="DC202" s="729"/>
      <c r="DD202" s="265"/>
      <c r="DE202" s="265"/>
      <c r="DF202" s="265"/>
      <c r="DG202" s="265"/>
      <c r="DH202" s="265"/>
      <c r="DI202" s="265"/>
      <c r="DJ202" s="265"/>
      <c r="DK202" s="265"/>
      <c r="DL202" s="265"/>
      <c r="DM202" s="265"/>
      <c r="DN202" s="265"/>
      <c r="DO202" s="265"/>
      <c r="DP202" s="265"/>
      <c r="DQ202" s="265"/>
      <c r="DR202" s="265"/>
      <c r="DS202" s="265"/>
      <c r="DT202" s="265"/>
    </row>
    <row r="203" spans="1:124" ht="30" customHeight="1">
      <c r="A203" s="228"/>
      <c r="B203" s="1237"/>
      <c r="C203" s="155">
        <f t="shared" si="154"/>
        <v>89</v>
      </c>
      <c r="D203" s="781"/>
      <c r="E203" s="781"/>
      <c r="F203" s="781"/>
      <c r="G203" s="620" t="s">
        <v>4379</v>
      </c>
      <c r="H203" s="620" t="s">
        <v>1255</v>
      </c>
      <c r="I203" s="207"/>
      <c r="J203" s="207" t="str">
        <f t="shared" si="0"/>
        <v>Ospite 2 Manuele Carra Carra</v>
      </c>
      <c r="K203" s="156"/>
      <c r="L203" s="204" t="s">
        <v>1257</v>
      </c>
      <c r="M203" s="131"/>
      <c r="N203" s="823"/>
      <c r="O203" s="1297"/>
      <c r="P203" s="251"/>
      <c r="Q203" s="131"/>
      <c r="R203" s="252"/>
      <c r="S203" s="254"/>
      <c r="T203" s="346"/>
      <c r="U203" s="253"/>
      <c r="V203" s="253"/>
      <c r="W203" s="251"/>
      <c r="X203" s="131"/>
      <c r="Y203" s="251"/>
      <c r="Z203" s="251"/>
      <c r="AA203" s="251"/>
      <c r="AB203" s="255"/>
      <c r="AC203" s="256"/>
      <c r="AD203" s="121"/>
      <c r="AE203" s="80" t="str">
        <f t="shared" si="179"/>
        <v>Conferma entro il 30/9</v>
      </c>
      <c r="AF203" s="257"/>
      <c r="AG203" s="155"/>
      <c r="AH203" s="155"/>
      <c r="AI203" s="155"/>
      <c r="AJ203" s="257"/>
      <c r="AK203" s="155"/>
      <c r="AL203" s="155"/>
      <c r="AM203" s="155"/>
      <c r="AN203" s="257"/>
      <c r="AO203" s="258"/>
      <c r="AP203" s="258"/>
      <c r="AQ203" s="258"/>
      <c r="AR203" s="211"/>
      <c r="AS203" s="259"/>
      <c r="AT203" s="259"/>
      <c r="AU203" s="259"/>
      <c r="AV203" s="211"/>
      <c r="AW203" s="259" t="s">
        <v>151</v>
      </c>
      <c r="AX203" s="259" t="s">
        <v>151</v>
      </c>
      <c r="AY203" s="259" t="s">
        <v>151</v>
      </c>
      <c r="AZ203" s="808">
        <f t="shared" si="178"/>
        <v>2797</v>
      </c>
      <c r="BA203" s="761">
        <f t="shared" si="98"/>
        <v>0</v>
      </c>
      <c r="BB203" s="761">
        <f t="shared" si="4"/>
        <v>2797</v>
      </c>
      <c r="BC203" s="262"/>
      <c r="BD203" s="824">
        <v>0</v>
      </c>
      <c r="BE203" s="1231">
        <v>2797</v>
      </c>
      <c r="BF203" s="105" t="s">
        <v>616</v>
      </c>
      <c r="BG203" s="145">
        <v>0.15</v>
      </c>
      <c r="BH203" s="262"/>
      <c r="BI203" s="242">
        <f t="shared" si="137"/>
        <v>0</v>
      </c>
      <c r="BJ203" s="1232">
        <f t="shared" si="152"/>
        <v>419.55</v>
      </c>
      <c r="BK203" s="772"/>
      <c r="BL203" s="822" t="s">
        <v>166</v>
      </c>
      <c r="BM203" s="145">
        <v>0.05</v>
      </c>
      <c r="BN203" s="262"/>
      <c r="BO203" s="242">
        <f t="shared" si="133"/>
        <v>0</v>
      </c>
      <c r="BP203" s="1231">
        <f t="shared" si="180"/>
        <v>139.85</v>
      </c>
      <c r="BQ203" s="243"/>
      <c r="BR203" s="110">
        <v>2797</v>
      </c>
      <c r="BS203" s="226">
        <v>44834</v>
      </c>
      <c r="BT203" s="110"/>
      <c r="BU203" s="263"/>
      <c r="BV203" s="110"/>
      <c r="BW203" s="348"/>
      <c r="BX203" s="110"/>
      <c r="BY203" s="263"/>
      <c r="BZ203" s="110"/>
      <c r="CA203" s="263"/>
      <c r="CB203" s="110"/>
      <c r="CC203" s="263"/>
      <c r="CD203" s="110"/>
      <c r="CE203" s="226"/>
      <c r="CF203" s="110"/>
      <c r="CG203" s="263"/>
      <c r="CH203" s="110"/>
      <c r="CI203" s="226"/>
      <c r="CJ203" s="110"/>
      <c r="CK203" s="155">
        <v>1</v>
      </c>
      <c r="CL203" s="181" t="s">
        <v>1123</v>
      </c>
      <c r="CM203" s="181"/>
      <c r="CN203" s="207"/>
      <c r="CO203" s="207"/>
      <c r="CP203" s="155"/>
      <c r="CQ203" s="131"/>
      <c r="CR203" s="823">
        <f t="shared" si="181"/>
        <v>0</v>
      </c>
      <c r="CS203" s="116" t="str">
        <f t="shared" si="9"/>
        <v>Gian Luca Boarini</v>
      </c>
      <c r="CT203" s="820" t="b">
        <f t="shared" si="168"/>
        <v>0</v>
      </c>
      <c r="CU203" s="820" t="b">
        <f t="shared" si="169"/>
        <v>0</v>
      </c>
      <c r="CV203" s="116" t="str">
        <f t="shared" si="10"/>
        <v>Matteo</v>
      </c>
      <c r="CW203" s="181"/>
      <c r="CX203" s="779"/>
      <c r="CY203" s="729"/>
      <c r="CZ203" s="729"/>
      <c r="DA203" s="729"/>
      <c r="DB203" s="729"/>
      <c r="DC203" s="729"/>
      <c r="DD203" s="265"/>
      <c r="DE203" s="265"/>
      <c r="DF203" s="265"/>
      <c r="DG203" s="265"/>
      <c r="DH203" s="265"/>
      <c r="DI203" s="265"/>
      <c r="DJ203" s="265"/>
      <c r="DK203" s="265"/>
      <c r="DL203" s="265"/>
      <c r="DM203" s="265"/>
      <c r="DN203" s="265"/>
      <c r="DO203" s="265"/>
      <c r="DP203" s="265"/>
      <c r="DQ203" s="265"/>
      <c r="DR203" s="265"/>
      <c r="DS203" s="265"/>
      <c r="DT203" s="265"/>
    </row>
    <row r="204" spans="1:124" ht="30" customHeight="1">
      <c r="A204" s="228"/>
      <c r="B204" s="1314"/>
      <c r="C204" s="155">
        <f t="shared" si="154"/>
        <v>90</v>
      </c>
      <c r="D204" s="781">
        <v>1</v>
      </c>
      <c r="E204" s="781">
        <v>1</v>
      </c>
      <c r="F204" s="781">
        <v>1</v>
      </c>
      <c r="G204" s="112" t="s">
        <v>679</v>
      </c>
      <c r="H204" s="112" t="s">
        <v>4380</v>
      </c>
      <c r="I204" s="1234" t="s">
        <v>4381</v>
      </c>
      <c r="J204" s="207" t="str">
        <f t="shared" si="0"/>
        <v>Marcello Lanza</v>
      </c>
      <c r="K204" s="156" t="s">
        <v>4382</v>
      </c>
      <c r="L204" s="131"/>
      <c r="M204" s="131" t="s">
        <v>4383</v>
      </c>
      <c r="N204" s="131" t="str">
        <f t="shared" ref="N204:N246" si="182">CR204</f>
        <v>Videosuono</v>
      </c>
      <c r="O204" s="1297"/>
      <c r="P204" s="251"/>
      <c r="Q204" s="131"/>
      <c r="R204" s="252"/>
      <c r="S204" s="254"/>
      <c r="T204" s="346"/>
      <c r="U204" s="253"/>
      <c r="V204" s="253"/>
      <c r="W204" s="251"/>
      <c r="X204" s="131"/>
      <c r="Y204" s="251"/>
      <c r="Z204" s="251"/>
      <c r="AA204" s="251"/>
      <c r="AB204" s="255"/>
      <c r="AC204" s="256"/>
      <c r="AD204" s="121" t="s">
        <v>4384</v>
      </c>
      <c r="AE204" s="80">
        <f t="shared" si="179"/>
        <v>0</v>
      </c>
      <c r="AF204" s="257"/>
      <c r="AG204" s="155"/>
      <c r="AH204" s="155"/>
      <c r="AI204" s="155"/>
      <c r="AJ204" s="257"/>
      <c r="AK204" s="155"/>
      <c r="AL204" s="155"/>
      <c r="AM204" s="155"/>
      <c r="AN204" s="257"/>
      <c r="AO204" s="258"/>
      <c r="AP204" s="258"/>
      <c r="AQ204" s="258"/>
      <c r="AR204" s="211"/>
      <c r="AS204" s="259" t="s">
        <v>115</v>
      </c>
      <c r="AT204" s="259" t="s">
        <v>115</v>
      </c>
      <c r="AU204" s="259" t="s">
        <v>115</v>
      </c>
      <c r="AV204" s="211"/>
      <c r="AW204" s="124"/>
      <c r="AX204" s="124"/>
      <c r="AY204" s="124"/>
      <c r="AZ204" s="808">
        <f t="shared" si="178"/>
        <v>2997</v>
      </c>
      <c r="BA204" s="761">
        <f t="shared" si="98"/>
        <v>2997</v>
      </c>
      <c r="BB204" s="761">
        <f t="shared" si="4"/>
        <v>0</v>
      </c>
      <c r="BC204" s="262"/>
      <c r="BD204" s="824">
        <f>AZ204</f>
        <v>2997</v>
      </c>
      <c r="BE204" s="1231"/>
      <c r="BF204" s="392" t="s">
        <v>160</v>
      </c>
      <c r="BG204" s="145">
        <v>0.15</v>
      </c>
      <c r="BH204" s="262"/>
      <c r="BI204" s="242">
        <f t="shared" si="137"/>
        <v>449.55</v>
      </c>
      <c r="BJ204" s="1232">
        <f t="shared" si="152"/>
        <v>0</v>
      </c>
      <c r="BK204" s="387" t="s">
        <v>1076</v>
      </c>
      <c r="BL204" s="826" t="s">
        <v>160</v>
      </c>
      <c r="BM204" s="145">
        <v>0.05</v>
      </c>
      <c r="BN204" s="262"/>
      <c r="BO204" s="242">
        <f t="shared" si="133"/>
        <v>149.85</v>
      </c>
      <c r="BP204" s="1231">
        <f t="shared" si="180"/>
        <v>0</v>
      </c>
      <c r="BQ204" s="387" t="s">
        <v>1076</v>
      </c>
      <c r="BR204" s="110">
        <v>2997</v>
      </c>
      <c r="BS204" s="226">
        <v>44834</v>
      </c>
      <c r="BT204" s="110">
        <v>2997</v>
      </c>
      <c r="BU204" s="263"/>
      <c r="BV204" s="110"/>
      <c r="BW204" s="348"/>
      <c r="BX204" s="110"/>
      <c r="BY204" s="263"/>
      <c r="BZ204" s="110"/>
      <c r="CA204" s="263"/>
      <c r="CB204" s="110"/>
      <c r="CC204" s="263"/>
      <c r="CD204" s="110"/>
      <c r="CE204" s="226"/>
      <c r="CF204" s="110"/>
      <c r="CG204" s="263"/>
      <c r="CH204" s="110"/>
      <c r="CI204" s="226"/>
      <c r="CJ204" s="110"/>
      <c r="CK204" s="155">
        <v>1</v>
      </c>
      <c r="CL204" s="181" t="s">
        <v>1123</v>
      </c>
      <c r="CM204" s="181"/>
      <c r="CN204" s="207"/>
      <c r="CO204" s="155" t="s">
        <v>122</v>
      </c>
      <c r="CP204" s="155"/>
      <c r="CQ204" s="204" t="s">
        <v>4385</v>
      </c>
      <c r="CR204" s="1329" t="s">
        <v>4386</v>
      </c>
      <c r="CS204" s="116" t="str">
        <f t="shared" si="9"/>
        <v>Gianluca</v>
      </c>
      <c r="CT204" s="820">
        <f t="shared" si="168"/>
        <v>449.55</v>
      </c>
      <c r="CU204" s="820">
        <f t="shared" si="169"/>
        <v>149.85</v>
      </c>
      <c r="CV204" s="116" t="str">
        <f t="shared" si="10"/>
        <v>Gianluca</v>
      </c>
      <c r="CW204" s="121">
        <v>1</v>
      </c>
      <c r="CX204" s="779"/>
      <c r="CY204" s="729"/>
      <c r="CZ204" s="729"/>
      <c r="DA204" s="729"/>
      <c r="DB204" s="729"/>
      <c r="DC204" s="729"/>
      <c r="DD204" s="265"/>
      <c r="DE204" s="265"/>
      <c r="DF204" s="265"/>
      <c r="DG204" s="265"/>
      <c r="DH204" s="265"/>
      <c r="DI204" s="265"/>
      <c r="DJ204" s="265"/>
      <c r="DK204" s="265"/>
      <c r="DL204" s="265"/>
      <c r="DM204" s="265"/>
      <c r="DN204" s="265"/>
      <c r="DO204" s="265"/>
      <c r="DP204" s="265"/>
      <c r="DQ204" s="265"/>
      <c r="DR204" s="265"/>
      <c r="DS204" s="265"/>
      <c r="DT204" s="265"/>
    </row>
    <row r="205" spans="1:124" ht="30" customHeight="1">
      <c r="A205" s="228"/>
      <c r="B205" s="1237"/>
      <c r="C205" s="155">
        <f t="shared" si="154"/>
        <v>91</v>
      </c>
      <c r="D205" s="781"/>
      <c r="E205" s="781"/>
      <c r="F205" s="781"/>
      <c r="G205" s="112" t="s">
        <v>1267</v>
      </c>
      <c r="H205" s="112" t="s">
        <v>649</v>
      </c>
      <c r="I205" s="207" t="s">
        <v>1268</v>
      </c>
      <c r="J205" s="207" t="str">
        <f t="shared" si="0"/>
        <v>Marco Pietro Bellotti</v>
      </c>
      <c r="K205" s="156" t="s">
        <v>1269</v>
      </c>
      <c r="L205" s="131"/>
      <c r="M205" s="131" t="s">
        <v>1270</v>
      </c>
      <c r="N205" s="131" t="str">
        <f t="shared" si="182"/>
        <v>Larius Med</v>
      </c>
      <c r="O205" s="1297"/>
      <c r="P205" s="251"/>
      <c r="Q205" s="131"/>
      <c r="R205" s="252"/>
      <c r="S205" s="254"/>
      <c r="T205" s="346"/>
      <c r="U205" s="253"/>
      <c r="V205" s="253"/>
      <c r="W205" s="251"/>
      <c r="X205" s="131"/>
      <c r="Y205" s="251"/>
      <c r="Z205" s="251"/>
      <c r="AA205" s="251"/>
      <c r="AB205" s="255"/>
      <c r="AC205" s="256"/>
      <c r="AD205" s="121"/>
      <c r="AE205" s="80">
        <f t="shared" si="179"/>
        <v>0</v>
      </c>
      <c r="AF205" s="257"/>
      <c r="AG205" s="155"/>
      <c r="AH205" s="155"/>
      <c r="AI205" s="155"/>
      <c r="AJ205" s="257"/>
      <c r="AK205" s="155"/>
      <c r="AL205" s="155"/>
      <c r="AM205" s="155"/>
      <c r="AN205" s="257"/>
      <c r="AO205" s="258"/>
      <c r="AP205" s="258"/>
      <c r="AQ205" s="258"/>
      <c r="AR205" s="211"/>
      <c r="AS205" s="259"/>
      <c r="AT205" s="259"/>
      <c r="AU205" s="259"/>
      <c r="AV205" s="211"/>
      <c r="AW205" s="259" t="s">
        <v>151</v>
      </c>
      <c r="AX205" s="259" t="s">
        <v>151</v>
      </c>
      <c r="AY205" s="259" t="s">
        <v>151</v>
      </c>
      <c r="AZ205" s="808">
        <f t="shared" si="178"/>
        <v>2997</v>
      </c>
      <c r="BA205" s="761">
        <f t="shared" si="98"/>
        <v>0</v>
      </c>
      <c r="BB205" s="761">
        <f t="shared" si="4"/>
        <v>2997</v>
      </c>
      <c r="BC205" s="262"/>
      <c r="BD205" s="824">
        <v>0</v>
      </c>
      <c r="BE205" s="1231">
        <v>2997</v>
      </c>
      <c r="BF205" s="380" t="s">
        <v>451</v>
      </c>
      <c r="BG205" s="145">
        <v>0.15</v>
      </c>
      <c r="BH205" s="262"/>
      <c r="BI205" s="242">
        <f t="shared" si="137"/>
        <v>0</v>
      </c>
      <c r="BJ205" s="1232">
        <f t="shared" si="152"/>
        <v>449.55</v>
      </c>
      <c r="BK205" s="772"/>
      <c r="BL205" s="1321" t="s">
        <v>451</v>
      </c>
      <c r="BM205" s="145">
        <v>0.05</v>
      </c>
      <c r="BN205" s="262"/>
      <c r="BO205" s="242">
        <f t="shared" si="133"/>
        <v>0</v>
      </c>
      <c r="BP205" s="1231">
        <f t="shared" si="180"/>
        <v>149.85</v>
      </c>
      <c r="BQ205" s="243"/>
      <c r="BR205" s="110">
        <v>2997</v>
      </c>
      <c r="BS205" s="226">
        <v>44834</v>
      </c>
      <c r="BT205" s="110"/>
      <c r="BU205" s="263"/>
      <c r="BV205" s="110"/>
      <c r="BW205" s="348"/>
      <c r="BX205" s="110"/>
      <c r="BY205" s="263"/>
      <c r="BZ205" s="110"/>
      <c r="CA205" s="263"/>
      <c r="CB205" s="110"/>
      <c r="CC205" s="263"/>
      <c r="CD205" s="110"/>
      <c r="CE205" s="226"/>
      <c r="CF205" s="110"/>
      <c r="CG205" s="263"/>
      <c r="CH205" s="110"/>
      <c r="CI205" s="226"/>
      <c r="CJ205" s="110"/>
      <c r="CK205" s="155">
        <v>1</v>
      </c>
      <c r="CL205" s="181" t="s">
        <v>1123</v>
      </c>
      <c r="CM205" s="181"/>
      <c r="CN205" s="207"/>
      <c r="CO205" s="207"/>
      <c r="CP205" s="155"/>
      <c r="CQ205" s="131" t="s">
        <v>375</v>
      </c>
      <c r="CR205" s="823" t="s">
        <v>1271</v>
      </c>
      <c r="CS205" s="116" t="str">
        <f t="shared" si="9"/>
        <v>Fabio</v>
      </c>
      <c r="CT205" s="820" t="b">
        <f t="shared" si="168"/>
        <v>0</v>
      </c>
      <c r="CU205" s="820" t="b">
        <f t="shared" si="169"/>
        <v>0</v>
      </c>
      <c r="CV205" s="116" t="str">
        <f t="shared" si="10"/>
        <v>Fabio</v>
      </c>
      <c r="CW205" s="181"/>
      <c r="CX205" s="779"/>
      <c r="CY205" s="729"/>
      <c r="CZ205" s="729"/>
      <c r="DA205" s="729"/>
      <c r="DB205" s="729"/>
      <c r="DC205" s="729"/>
      <c r="DD205" s="265"/>
      <c r="DE205" s="265"/>
      <c r="DF205" s="265"/>
      <c r="DG205" s="265"/>
      <c r="DH205" s="265"/>
      <c r="DI205" s="265"/>
      <c r="DJ205" s="265"/>
      <c r="DK205" s="265"/>
      <c r="DL205" s="265"/>
      <c r="DM205" s="265"/>
      <c r="DN205" s="265"/>
      <c r="DO205" s="265"/>
      <c r="DP205" s="265"/>
      <c r="DQ205" s="265"/>
      <c r="DR205" s="265"/>
      <c r="DS205" s="265"/>
      <c r="DT205" s="265"/>
    </row>
    <row r="206" spans="1:124" ht="39">
      <c r="A206" s="228"/>
      <c r="B206" s="1237"/>
      <c r="C206" s="155">
        <f t="shared" si="154"/>
        <v>92</v>
      </c>
      <c r="D206" s="781">
        <v>1</v>
      </c>
      <c r="E206" s="781">
        <v>1</v>
      </c>
      <c r="F206" s="781">
        <v>1</v>
      </c>
      <c r="G206" s="112" t="s">
        <v>4387</v>
      </c>
      <c r="H206" s="112" t="s">
        <v>4388</v>
      </c>
      <c r="I206" s="1234" t="s">
        <v>4389</v>
      </c>
      <c r="J206" s="207" t="str">
        <f t="shared" si="0"/>
        <v>Marika Bianconcini</v>
      </c>
      <c r="K206" s="156">
        <v>3397913091</v>
      </c>
      <c r="L206" s="204" t="s">
        <v>4390</v>
      </c>
      <c r="M206" s="131" t="s">
        <v>4391</v>
      </c>
      <c r="N206" s="131" t="str">
        <f t="shared" si="182"/>
        <v>Romagna Impianti</v>
      </c>
      <c r="O206" s="1297"/>
      <c r="P206" s="251"/>
      <c r="Q206" s="131"/>
      <c r="R206" s="252"/>
      <c r="S206" s="254"/>
      <c r="T206" s="346"/>
      <c r="U206" s="253"/>
      <c r="V206" s="253"/>
      <c r="W206" s="251"/>
      <c r="X206" s="131"/>
      <c r="Y206" s="251"/>
      <c r="Z206" s="251"/>
      <c r="AA206" s="251"/>
      <c r="AB206" s="255"/>
      <c r="AC206" s="256"/>
      <c r="AD206" s="121" t="s">
        <v>4392</v>
      </c>
      <c r="AE206" s="80" t="str">
        <f t="shared" si="179"/>
        <v>Conferma presenza, invio fattura per pagamento a Romagna Impianti</v>
      </c>
      <c r="AF206" s="257"/>
      <c r="AG206" s="155"/>
      <c r="AH206" s="155"/>
      <c r="AI206" s="155"/>
      <c r="AJ206" s="257"/>
      <c r="AK206" s="155"/>
      <c r="AL206" s="155"/>
      <c r="AM206" s="155"/>
      <c r="AN206" s="257"/>
      <c r="AO206" s="258"/>
      <c r="AP206" s="258"/>
      <c r="AQ206" s="258"/>
      <c r="AR206" s="211"/>
      <c r="AS206" s="259" t="s">
        <v>115</v>
      </c>
      <c r="AT206" s="259" t="s">
        <v>115</v>
      </c>
      <c r="AU206" s="259" t="s">
        <v>115</v>
      </c>
      <c r="AV206" s="211"/>
      <c r="AW206" s="124"/>
      <c r="AX206" s="124"/>
      <c r="AY206" s="124"/>
      <c r="AZ206" s="808">
        <f t="shared" si="178"/>
        <v>2997</v>
      </c>
      <c r="BA206" s="761">
        <f t="shared" si="98"/>
        <v>2997</v>
      </c>
      <c r="BB206" s="761">
        <f t="shared" si="4"/>
        <v>0</v>
      </c>
      <c r="BC206" s="262"/>
      <c r="BD206" s="824">
        <f>AZ206</f>
        <v>2997</v>
      </c>
      <c r="BE206" s="1231"/>
      <c r="BF206" s="105" t="s">
        <v>1248</v>
      </c>
      <c r="BG206" s="145">
        <v>0.15</v>
      </c>
      <c r="BH206" s="262"/>
      <c r="BI206" s="242">
        <f t="shared" si="137"/>
        <v>449.55</v>
      </c>
      <c r="BJ206" s="1232">
        <f t="shared" si="152"/>
        <v>0</v>
      </c>
      <c r="BK206" s="387" t="s">
        <v>1076</v>
      </c>
      <c r="BL206" s="822" t="s">
        <v>1248</v>
      </c>
      <c r="BM206" s="145">
        <v>0.05</v>
      </c>
      <c r="BN206" s="262"/>
      <c r="BO206" s="242">
        <f t="shared" si="133"/>
        <v>149.85</v>
      </c>
      <c r="BP206" s="1231">
        <f t="shared" si="180"/>
        <v>0</v>
      </c>
      <c r="BQ206" s="387" t="s">
        <v>1076</v>
      </c>
      <c r="BR206" s="110">
        <v>2997</v>
      </c>
      <c r="BS206" s="226">
        <v>44839</v>
      </c>
      <c r="BT206" s="110">
        <v>2997</v>
      </c>
      <c r="BU206" s="263"/>
      <c r="BV206" s="110"/>
      <c r="BW206" s="348"/>
      <c r="BX206" s="110"/>
      <c r="BY206" s="263"/>
      <c r="BZ206" s="110"/>
      <c r="CA206" s="263"/>
      <c r="CB206" s="110"/>
      <c r="CC206" s="263"/>
      <c r="CD206" s="110"/>
      <c r="CE206" s="226"/>
      <c r="CF206" s="110"/>
      <c r="CG206" s="263"/>
      <c r="CH206" s="110"/>
      <c r="CI206" s="226"/>
      <c r="CJ206" s="110"/>
      <c r="CK206" s="155">
        <v>1</v>
      </c>
      <c r="CL206" s="181" t="s">
        <v>1123</v>
      </c>
      <c r="CM206" s="181"/>
      <c r="CN206" s="207"/>
      <c r="CO206" s="155" t="s">
        <v>122</v>
      </c>
      <c r="CP206" s="155"/>
      <c r="CQ206" s="131" t="s">
        <v>4393</v>
      </c>
      <c r="CR206" s="823" t="s">
        <v>4394</v>
      </c>
      <c r="CS206" s="116" t="str">
        <f t="shared" si="9"/>
        <v>Manuela</v>
      </c>
      <c r="CT206" s="820">
        <f t="shared" si="168"/>
        <v>449.55</v>
      </c>
      <c r="CU206" s="820">
        <f t="shared" si="169"/>
        <v>149.85</v>
      </c>
      <c r="CV206" s="116" t="str">
        <f t="shared" si="10"/>
        <v>Manuela</v>
      </c>
      <c r="CW206" s="181"/>
      <c r="CX206" s="779"/>
      <c r="CY206" s="729"/>
      <c r="CZ206" s="729"/>
      <c r="DA206" s="729"/>
      <c r="DB206" s="729"/>
      <c r="DC206" s="729"/>
      <c r="DD206" s="265"/>
      <c r="DE206" s="265"/>
      <c r="DF206" s="265"/>
      <c r="DG206" s="265"/>
      <c r="DH206" s="265"/>
      <c r="DI206" s="265"/>
      <c r="DJ206" s="265"/>
      <c r="DK206" s="265"/>
      <c r="DL206" s="265"/>
      <c r="DM206" s="265"/>
      <c r="DN206" s="265"/>
      <c r="DO206" s="265"/>
      <c r="DP206" s="265"/>
      <c r="DQ206" s="265"/>
      <c r="DR206" s="265"/>
      <c r="DS206" s="265"/>
      <c r="DT206" s="265"/>
    </row>
    <row r="207" spans="1:124" ht="75.75" customHeight="1">
      <c r="A207" s="228"/>
      <c r="B207" s="1237"/>
      <c r="C207" s="155">
        <f t="shared" si="154"/>
        <v>93</v>
      </c>
      <c r="D207" s="781">
        <v>1</v>
      </c>
      <c r="E207" s="781">
        <v>1</v>
      </c>
      <c r="F207" s="781"/>
      <c r="G207" s="112" t="s">
        <v>166</v>
      </c>
      <c r="H207" s="112" t="s">
        <v>4395</v>
      </c>
      <c r="I207" s="207" t="s">
        <v>4396</v>
      </c>
      <c r="J207" s="207" t="str">
        <f t="shared" si="0"/>
        <v xml:space="preserve">Matteo Cavalieri </v>
      </c>
      <c r="K207" s="156" t="s">
        <v>4397</v>
      </c>
      <c r="L207" s="204" t="s">
        <v>4398</v>
      </c>
      <c r="M207" s="131" t="s">
        <v>4399</v>
      </c>
      <c r="N207" s="131" t="str">
        <f t="shared" si="182"/>
        <v>Relatech</v>
      </c>
      <c r="O207" s="1297"/>
      <c r="P207" s="251"/>
      <c r="Q207" s="131"/>
      <c r="R207" s="252"/>
      <c r="S207" s="254"/>
      <c r="T207" s="346"/>
      <c r="U207" s="253"/>
      <c r="V207" s="253"/>
      <c r="W207" s="251"/>
      <c r="X207" s="131"/>
      <c r="Y207" s="251"/>
      <c r="Z207" s="251"/>
      <c r="AA207" s="251"/>
      <c r="AB207" s="255"/>
      <c r="AC207" s="256"/>
      <c r="AD207" s="121" t="s">
        <v>4400</v>
      </c>
      <c r="AE207" s="80" t="str">
        <f t="shared" si="179"/>
        <v>In sala a VS ha detto che non c'era a Negoziazione</v>
      </c>
      <c r="AF207" s="257"/>
      <c r="AG207" s="155"/>
      <c r="AH207" s="155"/>
      <c r="AI207" s="155"/>
      <c r="AJ207" s="257"/>
      <c r="AK207" s="155"/>
      <c r="AL207" s="155"/>
      <c r="AM207" s="155"/>
      <c r="AN207" s="257"/>
      <c r="AO207" s="258"/>
      <c r="AP207" s="258"/>
      <c r="AQ207" s="258"/>
      <c r="AR207" s="211"/>
      <c r="AS207" s="259" t="s">
        <v>115</v>
      </c>
      <c r="AT207" s="259" t="s">
        <v>115</v>
      </c>
      <c r="AU207" s="121"/>
      <c r="AV207" s="211"/>
      <c r="AW207" s="124"/>
      <c r="AX207" s="124"/>
      <c r="AY207" s="121" t="s">
        <v>27</v>
      </c>
      <c r="AZ207" s="808">
        <f t="shared" si="178"/>
        <v>2997</v>
      </c>
      <c r="BA207" s="761">
        <f t="shared" si="98"/>
        <v>2997</v>
      </c>
      <c r="BB207" s="761">
        <f t="shared" si="4"/>
        <v>0</v>
      </c>
      <c r="BC207" s="262"/>
      <c r="BD207" s="824">
        <v>2997</v>
      </c>
      <c r="BE207" s="1231"/>
      <c r="BF207" s="105" t="s">
        <v>616</v>
      </c>
      <c r="BG207" s="145">
        <v>0.15</v>
      </c>
      <c r="BH207" s="262"/>
      <c r="BI207" s="242">
        <f t="shared" si="137"/>
        <v>449.55</v>
      </c>
      <c r="BJ207" s="1232">
        <f t="shared" si="152"/>
        <v>0</v>
      </c>
      <c r="BK207" s="387" t="s">
        <v>1076</v>
      </c>
      <c r="BL207" s="822" t="s">
        <v>166</v>
      </c>
      <c r="BM207" s="145">
        <v>0.05</v>
      </c>
      <c r="BN207" s="262"/>
      <c r="BO207" s="242">
        <f t="shared" si="133"/>
        <v>149.85</v>
      </c>
      <c r="BP207" s="1231">
        <f t="shared" si="180"/>
        <v>0</v>
      </c>
      <c r="BQ207" s="387" t="s">
        <v>1076</v>
      </c>
      <c r="BR207" s="110">
        <v>2997</v>
      </c>
      <c r="BS207" s="226">
        <v>44834</v>
      </c>
      <c r="BT207" s="110">
        <v>2997</v>
      </c>
      <c r="BU207" s="263"/>
      <c r="BV207" s="110"/>
      <c r="BW207" s="348"/>
      <c r="BX207" s="110"/>
      <c r="BY207" s="263"/>
      <c r="BZ207" s="110"/>
      <c r="CA207" s="263"/>
      <c r="CB207" s="110"/>
      <c r="CC207" s="263"/>
      <c r="CD207" s="110"/>
      <c r="CE207" s="226"/>
      <c r="CF207" s="110"/>
      <c r="CG207" s="263"/>
      <c r="CH207" s="110"/>
      <c r="CI207" s="226"/>
      <c r="CJ207" s="110"/>
      <c r="CK207" s="155">
        <v>1</v>
      </c>
      <c r="CL207" s="181" t="s">
        <v>1123</v>
      </c>
      <c r="CM207" s="181"/>
      <c r="CN207" s="207"/>
      <c r="CO207" s="155" t="s">
        <v>122</v>
      </c>
      <c r="CP207" s="155"/>
      <c r="CQ207" s="131" t="s">
        <v>1260</v>
      </c>
      <c r="CR207" s="823" t="s">
        <v>4401</v>
      </c>
      <c r="CS207" s="116" t="str">
        <f t="shared" si="9"/>
        <v>Gian Luca Boarini</v>
      </c>
      <c r="CT207" s="820">
        <f t="shared" si="168"/>
        <v>449.55</v>
      </c>
      <c r="CU207" s="820">
        <f t="shared" si="169"/>
        <v>149.85</v>
      </c>
      <c r="CV207" s="116" t="str">
        <f t="shared" si="10"/>
        <v>Matteo</v>
      </c>
      <c r="CW207" s="181"/>
      <c r="CX207" s="779"/>
      <c r="CY207" s="729"/>
      <c r="CZ207" s="729"/>
      <c r="DA207" s="729"/>
      <c r="DB207" s="729"/>
      <c r="DC207" s="729"/>
      <c r="DD207" s="265"/>
      <c r="DE207" s="265"/>
      <c r="DF207" s="265"/>
      <c r="DG207" s="265"/>
      <c r="DH207" s="265"/>
      <c r="DI207" s="265"/>
      <c r="DJ207" s="265"/>
      <c r="DK207" s="265"/>
      <c r="DL207" s="265"/>
      <c r="DM207" s="265"/>
      <c r="DN207" s="265"/>
      <c r="DO207" s="265"/>
      <c r="DP207" s="265"/>
      <c r="DQ207" s="265"/>
      <c r="DR207" s="265"/>
      <c r="DS207" s="265"/>
      <c r="DT207" s="265"/>
    </row>
    <row r="208" spans="1:124" ht="30" customHeight="1">
      <c r="A208" s="228"/>
      <c r="B208" s="1237"/>
      <c r="C208" s="155">
        <f t="shared" si="154"/>
        <v>94</v>
      </c>
      <c r="D208" s="781"/>
      <c r="E208" s="781"/>
      <c r="F208" s="781"/>
      <c r="G208" s="112" t="s">
        <v>166</v>
      </c>
      <c r="H208" s="112" t="s">
        <v>1157</v>
      </c>
      <c r="I208" s="207" t="s">
        <v>1164</v>
      </c>
      <c r="J208" s="207" t="str">
        <f t="shared" si="0"/>
        <v>Matteo Formaggi</v>
      </c>
      <c r="K208" s="156" t="s">
        <v>1165</v>
      </c>
      <c r="L208" s="204" t="s">
        <v>1160</v>
      </c>
      <c r="M208" s="131" t="s">
        <v>1166</v>
      </c>
      <c r="N208" s="131" t="str">
        <f t="shared" si="182"/>
        <v>Studio Fisioterapia Andrea Formaggi</v>
      </c>
      <c r="O208" s="1297"/>
      <c r="P208" s="251"/>
      <c r="Q208" s="131"/>
      <c r="R208" s="252"/>
      <c r="S208" s="254"/>
      <c r="T208" s="346"/>
      <c r="U208" s="253"/>
      <c r="V208" s="253"/>
      <c r="W208" s="251"/>
      <c r="X208" s="131"/>
      <c r="Y208" s="251"/>
      <c r="Z208" s="251"/>
      <c r="AA208" s="251"/>
      <c r="AB208" s="255"/>
      <c r="AC208" s="256"/>
      <c r="AD208" s="121" t="s">
        <v>1163</v>
      </c>
      <c r="AE208" s="131" t="str">
        <f t="shared" si="179"/>
        <v xml:space="preserve">Concesso p/to in 2 tranche 200 + iva al 3/10 e saldo 31/03/2023 </v>
      </c>
      <c r="AF208" s="257"/>
      <c r="AG208" s="155"/>
      <c r="AH208" s="155"/>
      <c r="AI208" s="155"/>
      <c r="AJ208" s="257"/>
      <c r="AK208" s="155"/>
      <c r="AL208" s="155"/>
      <c r="AM208" s="155"/>
      <c r="AN208" s="257"/>
      <c r="AO208" s="258"/>
      <c r="AP208" s="258"/>
      <c r="AQ208" s="258"/>
      <c r="AR208" s="211"/>
      <c r="AS208" s="259"/>
      <c r="AT208" s="259"/>
      <c r="AU208" s="259"/>
      <c r="AV208" s="211"/>
      <c r="AW208" s="259" t="s">
        <v>27</v>
      </c>
      <c r="AX208" s="259" t="s">
        <v>27</v>
      </c>
      <c r="AY208" s="259" t="s">
        <v>27</v>
      </c>
      <c r="AZ208" s="808">
        <f t="shared" si="178"/>
        <v>2997</v>
      </c>
      <c r="BA208" s="761">
        <f t="shared" si="98"/>
        <v>200</v>
      </c>
      <c r="BB208" s="761">
        <f t="shared" si="4"/>
        <v>2797</v>
      </c>
      <c r="BC208" s="262"/>
      <c r="BD208" s="824"/>
      <c r="BE208" s="1231">
        <v>2997</v>
      </c>
      <c r="BF208" s="379" t="s">
        <v>487</v>
      </c>
      <c r="BG208" s="145">
        <v>0.15</v>
      </c>
      <c r="BH208" s="262"/>
      <c r="BI208" s="242">
        <f t="shared" si="137"/>
        <v>0</v>
      </c>
      <c r="BJ208" s="1232">
        <f t="shared" si="152"/>
        <v>449.55</v>
      </c>
      <c r="BK208" s="772"/>
      <c r="BL208" s="837" t="s">
        <v>487</v>
      </c>
      <c r="BM208" s="145">
        <v>0.05</v>
      </c>
      <c r="BN208" s="262"/>
      <c r="BO208" s="242">
        <f t="shared" si="133"/>
        <v>0</v>
      </c>
      <c r="BP208" s="1231">
        <f t="shared" si="180"/>
        <v>149.85</v>
      </c>
      <c r="BQ208" s="243"/>
      <c r="BR208" s="110">
        <v>200</v>
      </c>
      <c r="BS208" s="226">
        <v>44837</v>
      </c>
      <c r="BT208" s="110">
        <v>200</v>
      </c>
      <c r="BU208" s="263"/>
      <c r="BV208" s="110">
        <v>2797</v>
      </c>
      <c r="BW208" s="348">
        <v>45016</v>
      </c>
      <c r="BX208" s="110"/>
      <c r="BY208" s="263"/>
      <c r="BZ208" s="110"/>
      <c r="CA208" s="263"/>
      <c r="CB208" s="110"/>
      <c r="CC208" s="263"/>
      <c r="CD208" s="110"/>
      <c r="CE208" s="226"/>
      <c r="CF208" s="110"/>
      <c r="CG208" s="263"/>
      <c r="CH208" s="110"/>
      <c r="CI208" s="226"/>
      <c r="CJ208" s="110"/>
      <c r="CK208" s="155">
        <v>1</v>
      </c>
      <c r="CL208" s="181" t="s">
        <v>1123</v>
      </c>
      <c r="CM208" s="181"/>
      <c r="CN208" s="207"/>
      <c r="CO208" s="207"/>
      <c r="CP208" s="155"/>
      <c r="CQ208" s="131"/>
      <c r="CR208" s="823" t="s">
        <v>1162</v>
      </c>
      <c r="CS208" s="116" t="str">
        <f t="shared" si="9"/>
        <v>Daniela</v>
      </c>
      <c r="CT208" s="820" t="b">
        <f t="shared" si="168"/>
        <v>0</v>
      </c>
      <c r="CU208" s="820" t="b">
        <f t="shared" si="169"/>
        <v>0</v>
      </c>
      <c r="CV208" s="116" t="str">
        <f t="shared" si="10"/>
        <v>Daniela</v>
      </c>
      <c r="CW208" s="181"/>
      <c r="CX208" s="779"/>
      <c r="CY208" s="729"/>
      <c r="CZ208" s="729"/>
      <c r="DA208" s="729"/>
      <c r="DB208" s="729"/>
      <c r="DC208" s="729"/>
      <c r="DD208" s="265"/>
      <c r="DE208" s="265"/>
      <c r="DF208" s="265"/>
      <c r="DG208" s="265"/>
      <c r="DH208" s="265"/>
      <c r="DI208" s="265"/>
      <c r="DJ208" s="265"/>
      <c r="DK208" s="265"/>
      <c r="DL208" s="265"/>
      <c r="DM208" s="265"/>
      <c r="DN208" s="265"/>
      <c r="DO208" s="265"/>
      <c r="DP208" s="265"/>
      <c r="DQ208" s="265"/>
      <c r="DR208" s="265"/>
      <c r="DS208" s="265"/>
      <c r="DT208" s="265"/>
    </row>
    <row r="209" spans="1:124" ht="30" customHeight="1">
      <c r="A209" s="228"/>
      <c r="B209" s="1237"/>
      <c r="C209" s="155">
        <f t="shared" si="154"/>
        <v>95</v>
      </c>
      <c r="D209" s="781">
        <v>1</v>
      </c>
      <c r="E209" s="781">
        <v>1</v>
      </c>
      <c r="F209" s="781">
        <v>1</v>
      </c>
      <c r="G209" s="112" t="s">
        <v>166</v>
      </c>
      <c r="H209" s="112" t="s">
        <v>1916</v>
      </c>
      <c r="I209" s="1234" t="s">
        <v>4402</v>
      </c>
      <c r="J209" s="207" t="str">
        <f t="shared" si="0"/>
        <v>Matteo Valentini</v>
      </c>
      <c r="K209" s="156">
        <v>3394368564</v>
      </c>
      <c r="L209" s="131"/>
      <c r="M209" s="188" t="s">
        <v>4403</v>
      </c>
      <c r="N209" s="131" t="str">
        <f t="shared" si="182"/>
        <v>Pro-Fighting Imola a.s.d.</v>
      </c>
      <c r="O209" s="1297"/>
      <c r="P209" s="251"/>
      <c r="Q209" s="131"/>
      <c r="R209" s="252"/>
      <c r="S209" s="254"/>
      <c r="T209" s="346"/>
      <c r="U209" s="253"/>
      <c r="V209" s="253"/>
      <c r="W209" s="251"/>
      <c r="X209" s="131"/>
      <c r="Y209" s="251"/>
      <c r="Z209" s="251"/>
      <c r="AA209" s="251"/>
      <c r="AB209" s="255"/>
      <c r="AC209" s="256"/>
      <c r="AD209" s="121" t="s">
        <v>4404</v>
      </c>
      <c r="AE209" s="80">
        <f t="shared" si="179"/>
        <v>0</v>
      </c>
      <c r="AF209" s="257"/>
      <c r="AG209" s="155"/>
      <c r="AH209" s="155"/>
      <c r="AI209" s="155"/>
      <c r="AJ209" s="257"/>
      <c r="AK209" s="155"/>
      <c r="AL209" s="155"/>
      <c r="AM209" s="155"/>
      <c r="AN209" s="257"/>
      <c r="AO209" s="258"/>
      <c r="AP209" s="258"/>
      <c r="AQ209" s="258"/>
      <c r="AR209" s="211"/>
      <c r="AS209" s="259" t="s">
        <v>115</v>
      </c>
      <c r="AT209" s="259" t="s">
        <v>115</v>
      </c>
      <c r="AU209" s="259" t="s">
        <v>115</v>
      </c>
      <c r="AV209" s="211"/>
      <c r="AW209" s="124"/>
      <c r="AX209" s="124"/>
      <c r="AY209" s="124"/>
      <c r="AZ209" s="808">
        <f t="shared" si="178"/>
        <v>2997</v>
      </c>
      <c r="BA209" s="761">
        <f t="shared" si="98"/>
        <v>2997</v>
      </c>
      <c r="BB209" s="761">
        <f t="shared" si="4"/>
        <v>0</v>
      </c>
      <c r="BC209" s="262"/>
      <c r="BD209" s="824">
        <f>AZ209</f>
        <v>2997</v>
      </c>
      <c r="BE209" s="1231"/>
      <c r="BF209" s="105" t="s">
        <v>1248</v>
      </c>
      <c r="BG209" s="145">
        <v>0.15</v>
      </c>
      <c r="BH209" s="262"/>
      <c r="BI209" s="242">
        <f t="shared" si="137"/>
        <v>449.55</v>
      </c>
      <c r="BJ209" s="1232">
        <f t="shared" si="152"/>
        <v>0</v>
      </c>
      <c r="BK209" s="387" t="s">
        <v>1076</v>
      </c>
      <c r="BL209" s="822" t="s">
        <v>1248</v>
      </c>
      <c r="BM209" s="145">
        <v>0.05</v>
      </c>
      <c r="BN209" s="262"/>
      <c r="BO209" s="242">
        <f t="shared" si="133"/>
        <v>149.85</v>
      </c>
      <c r="BP209" s="1231">
        <f t="shared" si="180"/>
        <v>0</v>
      </c>
      <c r="BQ209" s="387" t="s">
        <v>1076</v>
      </c>
      <c r="BR209" s="110">
        <v>2997</v>
      </c>
      <c r="BS209" s="226">
        <v>44841</v>
      </c>
      <c r="BT209" s="110">
        <v>2997</v>
      </c>
      <c r="BU209" s="263"/>
      <c r="BV209" s="110"/>
      <c r="BW209" s="348"/>
      <c r="BX209" s="110"/>
      <c r="BY209" s="263"/>
      <c r="BZ209" s="110"/>
      <c r="CA209" s="263"/>
      <c r="CB209" s="110"/>
      <c r="CC209" s="263"/>
      <c r="CD209" s="110"/>
      <c r="CE209" s="226"/>
      <c r="CF209" s="110"/>
      <c r="CG209" s="263"/>
      <c r="CH209" s="110"/>
      <c r="CI209" s="226"/>
      <c r="CJ209" s="110"/>
      <c r="CK209" s="155">
        <v>1</v>
      </c>
      <c r="CL209" s="181" t="s">
        <v>1123</v>
      </c>
      <c r="CM209" s="181"/>
      <c r="CN209" s="207"/>
      <c r="CO209" s="155" t="s">
        <v>122</v>
      </c>
      <c r="CP209" s="155"/>
      <c r="CQ209" s="131" t="s">
        <v>4405</v>
      </c>
      <c r="CR209" s="823" t="s">
        <v>4406</v>
      </c>
      <c r="CS209" s="116" t="str">
        <f t="shared" si="9"/>
        <v>Manuela</v>
      </c>
      <c r="CT209" s="820">
        <f t="shared" si="168"/>
        <v>449.55</v>
      </c>
      <c r="CU209" s="820">
        <f t="shared" si="169"/>
        <v>149.85</v>
      </c>
      <c r="CV209" s="116" t="str">
        <f t="shared" si="10"/>
        <v>Manuela</v>
      </c>
      <c r="CW209" s="181"/>
      <c r="CX209" s="779"/>
      <c r="CY209" s="729"/>
      <c r="CZ209" s="729"/>
      <c r="DA209" s="729"/>
      <c r="DB209" s="729"/>
      <c r="DC209" s="729"/>
      <c r="DD209" s="265"/>
      <c r="DE209" s="265"/>
      <c r="DF209" s="265"/>
      <c r="DG209" s="265"/>
      <c r="DH209" s="265"/>
      <c r="DI209" s="265"/>
      <c r="DJ209" s="265"/>
      <c r="DK209" s="265"/>
      <c r="DL209" s="265"/>
      <c r="DM209" s="265"/>
      <c r="DN209" s="265"/>
      <c r="DO209" s="265"/>
      <c r="DP209" s="265"/>
      <c r="DQ209" s="265"/>
      <c r="DR209" s="265"/>
      <c r="DS209" s="265"/>
      <c r="DT209" s="265"/>
    </row>
    <row r="210" spans="1:124" ht="30" customHeight="1">
      <c r="A210" s="228"/>
      <c r="B210" s="1237"/>
      <c r="C210" s="155">
        <f t="shared" si="154"/>
        <v>96</v>
      </c>
      <c r="D210" s="781"/>
      <c r="E210" s="781"/>
      <c r="F210" s="781"/>
      <c r="G210" s="112" t="s">
        <v>4407</v>
      </c>
      <c r="H210" s="112" t="s">
        <v>2537</v>
      </c>
      <c r="I210" s="207" t="s">
        <v>2538</v>
      </c>
      <c r="J210" s="207" t="str">
        <f t="shared" si="0"/>
        <v>Matteo  Almici</v>
      </c>
      <c r="K210" s="156" t="s">
        <v>4408</v>
      </c>
      <c r="L210" s="204" t="s">
        <v>4136</v>
      </c>
      <c r="M210" s="131"/>
      <c r="N210" s="131" t="str">
        <f t="shared" si="182"/>
        <v>Alba Consulting</v>
      </c>
      <c r="O210" s="1297"/>
      <c r="P210" s="251"/>
      <c r="Q210" s="131"/>
      <c r="R210" s="252"/>
      <c r="S210" s="254"/>
      <c r="T210" s="346"/>
      <c r="U210" s="253"/>
      <c r="V210" s="253"/>
      <c r="W210" s="251"/>
      <c r="X210" s="131"/>
      <c r="Y210" s="251"/>
      <c r="Z210" s="251"/>
      <c r="AA210" s="251"/>
      <c r="AB210" s="255"/>
      <c r="AC210" s="256"/>
      <c r="AD210" s="121"/>
      <c r="AE210" s="80" t="str">
        <f t="shared" si="179"/>
        <v>Inconto in azienda da loro il 17/10 con Matte e successivamente pagheranno</v>
      </c>
      <c r="AF210" s="257"/>
      <c r="AG210" s="155"/>
      <c r="AH210" s="155"/>
      <c r="AI210" s="155"/>
      <c r="AJ210" s="257"/>
      <c r="AK210" s="155"/>
      <c r="AL210" s="155"/>
      <c r="AM210" s="155"/>
      <c r="AN210" s="257"/>
      <c r="AO210" s="258"/>
      <c r="AP210" s="258"/>
      <c r="AQ210" s="258"/>
      <c r="AR210" s="211"/>
      <c r="AS210" s="124"/>
      <c r="AT210" s="124"/>
      <c r="AU210" s="124"/>
      <c r="AV210" s="211"/>
      <c r="AW210" s="259" t="s">
        <v>27</v>
      </c>
      <c r="AX210" s="259" t="s">
        <v>27</v>
      </c>
      <c r="AY210" s="259" t="s">
        <v>27</v>
      </c>
      <c r="AZ210" s="808">
        <f t="shared" si="178"/>
        <v>2997</v>
      </c>
      <c r="BA210" s="761">
        <f t="shared" si="98"/>
        <v>0</v>
      </c>
      <c r="BB210" s="761">
        <f t="shared" si="4"/>
        <v>2997</v>
      </c>
      <c r="BC210" s="262"/>
      <c r="BD210" s="824"/>
      <c r="BE210" s="1231">
        <v>2997</v>
      </c>
      <c r="BF210" s="392" t="s">
        <v>166</v>
      </c>
      <c r="BG210" s="145">
        <v>0.15</v>
      </c>
      <c r="BH210" s="262"/>
      <c r="BI210" s="242">
        <f t="shared" si="137"/>
        <v>0</v>
      </c>
      <c r="BJ210" s="1232">
        <f t="shared" si="152"/>
        <v>449.55</v>
      </c>
      <c r="BK210" s="772"/>
      <c r="BL210" s="826" t="s">
        <v>166</v>
      </c>
      <c r="BM210" s="145">
        <v>0.05</v>
      </c>
      <c r="BN210" s="262"/>
      <c r="BO210" s="242">
        <f t="shared" si="133"/>
        <v>0</v>
      </c>
      <c r="BP210" s="1231">
        <f t="shared" si="180"/>
        <v>149.85</v>
      </c>
      <c r="BQ210" s="243"/>
      <c r="BR210" s="110">
        <v>2997</v>
      </c>
      <c r="BS210" s="226">
        <v>44854</v>
      </c>
      <c r="BT210" s="110"/>
      <c r="BU210" s="263"/>
      <c r="BV210" s="110"/>
      <c r="BW210" s="348"/>
      <c r="BX210" s="110"/>
      <c r="BY210" s="263"/>
      <c r="BZ210" s="110"/>
      <c r="CA210" s="263"/>
      <c r="CB210" s="110"/>
      <c r="CC210" s="263"/>
      <c r="CD210" s="110"/>
      <c r="CE210" s="226"/>
      <c r="CF210" s="110"/>
      <c r="CG210" s="263"/>
      <c r="CH210" s="110"/>
      <c r="CI210" s="226"/>
      <c r="CJ210" s="110"/>
      <c r="CK210" s="155">
        <v>1</v>
      </c>
      <c r="CL210" s="181" t="s">
        <v>1123</v>
      </c>
      <c r="CM210" s="181"/>
      <c r="CN210" s="207"/>
      <c r="CO210" s="207"/>
      <c r="CP210" s="155"/>
      <c r="CQ210" s="131" t="s">
        <v>4138</v>
      </c>
      <c r="CR210" s="823" t="s">
        <v>4139</v>
      </c>
      <c r="CS210" s="116" t="str">
        <f t="shared" si="9"/>
        <v>Matteo</v>
      </c>
      <c r="CT210" s="820" t="b">
        <f t="shared" si="168"/>
        <v>0</v>
      </c>
      <c r="CU210" s="820" t="b">
        <f t="shared" si="169"/>
        <v>0</v>
      </c>
      <c r="CV210" s="116" t="str">
        <f t="shared" si="10"/>
        <v>Matteo</v>
      </c>
      <c r="CW210" s="181"/>
      <c r="CX210" s="779"/>
      <c r="CY210" s="729"/>
      <c r="CZ210" s="729"/>
      <c r="DA210" s="729"/>
      <c r="DB210" s="729"/>
      <c r="DC210" s="729"/>
      <c r="DD210" s="265"/>
      <c r="DE210" s="265"/>
      <c r="DF210" s="265"/>
      <c r="DG210" s="265"/>
      <c r="DH210" s="265"/>
      <c r="DI210" s="265"/>
      <c r="DJ210" s="265"/>
      <c r="DK210" s="265"/>
      <c r="DL210" s="265"/>
      <c r="DM210" s="265"/>
      <c r="DN210" s="265"/>
      <c r="DO210" s="265"/>
      <c r="DP210" s="265"/>
      <c r="DQ210" s="265"/>
      <c r="DR210" s="265"/>
      <c r="DS210" s="265"/>
      <c r="DT210" s="265"/>
    </row>
    <row r="211" spans="1:124" ht="30" customHeight="1">
      <c r="A211" s="228"/>
      <c r="B211" s="1237"/>
      <c r="C211" s="155">
        <f t="shared" si="154"/>
        <v>97</v>
      </c>
      <c r="D211" s="781">
        <v>1</v>
      </c>
      <c r="E211" s="781">
        <v>1</v>
      </c>
      <c r="F211" s="781">
        <v>1</v>
      </c>
      <c r="G211" s="112" t="s">
        <v>730</v>
      </c>
      <c r="H211" s="112" t="s">
        <v>4409</v>
      </c>
      <c r="I211" s="1234" t="s">
        <v>4410</v>
      </c>
      <c r="J211" s="207" t="str">
        <f t="shared" si="0"/>
        <v>Mauro Boscolo</v>
      </c>
      <c r="K211" s="156" t="s">
        <v>4411</v>
      </c>
      <c r="L211" s="131"/>
      <c r="M211" s="131" t="s">
        <v>1447</v>
      </c>
      <c r="N211" s="131" t="str">
        <f t="shared" si="182"/>
        <v>Itcore Business Group</v>
      </c>
      <c r="O211" s="1297"/>
      <c r="P211" s="251"/>
      <c r="Q211" s="131"/>
      <c r="R211" s="252"/>
      <c r="S211" s="254"/>
      <c r="T211" s="346"/>
      <c r="U211" s="253"/>
      <c r="V211" s="253"/>
      <c r="W211" s="251"/>
      <c r="X211" s="131"/>
      <c r="Y211" s="251"/>
      <c r="Z211" s="251"/>
      <c r="AA211" s="251"/>
      <c r="AB211" s="255"/>
      <c r="AC211" s="256"/>
      <c r="AD211" s="121" t="s">
        <v>4412</v>
      </c>
      <c r="AE211" s="80">
        <f t="shared" si="179"/>
        <v>0</v>
      </c>
      <c r="AF211" s="257"/>
      <c r="AG211" s="155"/>
      <c r="AH211" s="155"/>
      <c r="AI211" s="155"/>
      <c r="AJ211" s="257"/>
      <c r="AK211" s="155"/>
      <c r="AL211" s="155"/>
      <c r="AM211" s="155"/>
      <c r="AN211" s="257"/>
      <c r="AO211" s="258"/>
      <c r="AP211" s="258"/>
      <c r="AQ211" s="258"/>
      <c r="AR211" s="211"/>
      <c r="AS211" s="259" t="s">
        <v>115</v>
      </c>
      <c r="AT211" s="259" t="s">
        <v>115</v>
      </c>
      <c r="AU211" s="259" t="s">
        <v>115</v>
      </c>
      <c r="AV211" s="211"/>
      <c r="AW211" s="259"/>
      <c r="AX211" s="259"/>
      <c r="AY211" s="259"/>
      <c r="AZ211" s="808">
        <f t="shared" si="178"/>
        <v>2997</v>
      </c>
      <c r="BA211" s="761">
        <f t="shared" si="98"/>
        <v>2997</v>
      </c>
      <c r="BB211" s="761">
        <f t="shared" si="4"/>
        <v>0</v>
      </c>
      <c r="BC211" s="262"/>
      <c r="BD211" s="824">
        <f t="shared" ref="BD211:BD213" si="183">AZ211</f>
        <v>2997</v>
      </c>
      <c r="BE211" s="1231"/>
      <c r="BF211" s="383" t="s">
        <v>160</v>
      </c>
      <c r="BG211" s="145">
        <v>0.15</v>
      </c>
      <c r="BH211" s="262"/>
      <c r="BI211" s="242">
        <f t="shared" si="137"/>
        <v>449.55</v>
      </c>
      <c r="BJ211" s="1232">
        <f t="shared" si="152"/>
        <v>0</v>
      </c>
      <c r="BK211" s="387" t="s">
        <v>1076</v>
      </c>
      <c r="BL211" s="289" t="s">
        <v>160</v>
      </c>
      <c r="BM211" s="145">
        <v>0.05</v>
      </c>
      <c r="BN211" s="262"/>
      <c r="BO211" s="242">
        <f t="shared" si="133"/>
        <v>149.85</v>
      </c>
      <c r="BP211" s="1231">
        <f t="shared" si="180"/>
        <v>0</v>
      </c>
      <c r="BQ211" s="387" t="s">
        <v>1076</v>
      </c>
      <c r="BR211" s="110">
        <v>2997</v>
      </c>
      <c r="BS211" s="226">
        <v>44834</v>
      </c>
      <c r="BT211" s="110">
        <v>2997</v>
      </c>
      <c r="BU211" s="263"/>
      <c r="BV211" s="110"/>
      <c r="BW211" s="348"/>
      <c r="BX211" s="110"/>
      <c r="BY211" s="263"/>
      <c r="BZ211" s="110"/>
      <c r="CA211" s="263"/>
      <c r="CB211" s="110"/>
      <c r="CC211" s="263"/>
      <c r="CD211" s="110"/>
      <c r="CE211" s="226"/>
      <c r="CF211" s="110"/>
      <c r="CG211" s="263"/>
      <c r="CH211" s="110"/>
      <c r="CI211" s="226"/>
      <c r="CJ211" s="110"/>
      <c r="CK211" s="155">
        <v>1</v>
      </c>
      <c r="CL211" s="181" t="s">
        <v>1123</v>
      </c>
      <c r="CM211" s="181"/>
      <c r="CN211" s="207"/>
      <c r="CO211" s="155" t="s">
        <v>122</v>
      </c>
      <c r="CP211" s="155"/>
      <c r="CQ211" s="131" t="s">
        <v>1869</v>
      </c>
      <c r="CR211" s="823" t="s">
        <v>4413</v>
      </c>
      <c r="CS211" s="116" t="str">
        <f t="shared" si="9"/>
        <v>Gianluca</v>
      </c>
      <c r="CT211" s="820">
        <f t="shared" si="168"/>
        <v>449.55</v>
      </c>
      <c r="CU211" s="820">
        <f t="shared" si="169"/>
        <v>149.85</v>
      </c>
      <c r="CV211" s="116" t="str">
        <f t="shared" si="10"/>
        <v>Gianluca</v>
      </c>
      <c r="CW211" s="121">
        <v>1</v>
      </c>
      <c r="CX211" s="779"/>
      <c r="CY211" s="729"/>
      <c r="CZ211" s="729"/>
      <c r="DA211" s="729"/>
      <c r="DB211" s="729"/>
      <c r="DC211" s="729"/>
      <c r="DD211" s="265"/>
      <c r="DE211" s="265"/>
      <c r="DF211" s="265"/>
      <c r="DG211" s="265"/>
      <c r="DH211" s="265"/>
      <c r="DI211" s="265"/>
      <c r="DJ211" s="265"/>
      <c r="DK211" s="265"/>
      <c r="DL211" s="265"/>
      <c r="DM211" s="265"/>
      <c r="DN211" s="265"/>
      <c r="DO211" s="265"/>
      <c r="DP211" s="265"/>
      <c r="DQ211" s="265"/>
      <c r="DR211" s="265"/>
      <c r="DS211" s="265"/>
      <c r="DT211" s="265"/>
    </row>
    <row r="212" spans="1:124" ht="30" customHeight="1">
      <c r="A212" s="228"/>
      <c r="B212" s="1237"/>
      <c r="C212" s="155">
        <f t="shared" si="154"/>
        <v>98</v>
      </c>
      <c r="D212" s="781">
        <v>1</v>
      </c>
      <c r="E212" s="781">
        <v>1</v>
      </c>
      <c r="F212" s="781">
        <v>1</v>
      </c>
      <c r="G212" s="112" t="s">
        <v>4414</v>
      </c>
      <c r="H212" s="112" t="s">
        <v>2677</v>
      </c>
      <c r="I212" s="1234" t="s">
        <v>4415</v>
      </c>
      <c r="J212" s="207" t="str">
        <f t="shared" si="0"/>
        <v>Melania Bersani</v>
      </c>
      <c r="K212" s="156">
        <v>3470952772</v>
      </c>
      <c r="L212" s="131"/>
      <c r="M212" s="131" t="s">
        <v>2733</v>
      </c>
      <c r="N212" s="131" t="str">
        <f t="shared" si="182"/>
        <v>Leyton</v>
      </c>
      <c r="O212" s="1297"/>
      <c r="P212" s="251"/>
      <c r="Q212" s="131"/>
      <c r="R212" s="252"/>
      <c r="S212" s="254"/>
      <c r="T212" s="346"/>
      <c r="U212" s="253"/>
      <c r="V212" s="253"/>
      <c r="W212" s="251"/>
      <c r="X212" s="131"/>
      <c r="Y212" s="251"/>
      <c r="Z212" s="251"/>
      <c r="AA212" s="251"/>
      <c r="AB212" s="255"/>
      <c r="AC212" s="256"/>
      <c r="AD212" s="121" t="s">
        <v>4416</v>
      </c>
      <c r="AE212" s="80">
        <f t="shared" si="179"/>
        <v>0</v>
      </c>
      <c r="AF212" s="257"/>
      <c r="AG212" s="155"/>
      <c r="AH212" s="155"/>
      <c r="AI212" s="155"/>
      <c r="AJ212" s="257"/>
      <c r="AK212" s="155"/>
      <c r="AL212" s="155"/>
      <c r="AM212" s="155"/>
      <c r="AN212" s="257"/>
      <c r="AO212" s="258"/>
      <c r="AP212" s="258"/>
      <c r="AQ212" s="258"/>
      <c r="AR212" s="211"/>
      <c r="AS212" s="121" t="s">
        <v>115</v>
      </c>
      <c r="AT212" s="121" t="s">
        <v>115</v>
      </c>
      <c r="AU212" s="121" t="s">
        <v>115</v>
      </c>
      <c r="AV212" s="211"/>
      <c r="AW212" s="121"/>
      <c r="AX212" s="121"/>
      <c r="AY212" s="121"/>
      <c r="AZ212" s="760">
        <f t="shared" si="178"/>
        <v>2997</v>
      </c>
      <c r="BA212" s="761">
        <f t="shared" si="98"/>
        <v>2997</v>
      </c>
      <c r="BB212" s="761">
        <f t="shared" si="4"/>
        <v>0</v>
      </c>
      <c r="BC212" s="262"/>
      <c r="BD212" s="824">
        <f t="shared" si="183"/>
        <v>2997</v>
      </c>
      <c r="BE212" s="1231"/>
      <c r="BF212" s="105" t="s">
        <v>451</v>
      </c>
      <c r="BG212" s="145">
        <v>0.15</v>
      </c>
      <c r="BH212" s="262"/>
      <c r="BI212" s="242">
        <f t="shared" si="137"/>
        <v>449.55</v>
      </c>
      <c r="BJ212" s="1232">
        <f t="shared" si="152"/>
        <v>0</v>
      </c>
      <c r="BK212" s="387" t="s">
        <v>1076</v>
      </c>
      <c r="BL212" s="825" t="s">
        <v>184</v>
      </c>
      <c r="BM212" s="145">
        <v>0.05</v>
      </c>
      <c r="BN212" s="262"/>
      <c r="BO212" s="242">
        <f t="shared" si="133"/>
        <v>149.85</v>
      </c>
      <c r="BP212" s="1231">
        <f t="shared" si="180"/>
        <v>0</v>
      </c>
      <c r="BQ212" s="387" t="s">
        <v>1076</v>
      </c>
      <c r="BR212" s="110">
        <v>2997</v>
      </c>
      <c r="BS212" s="226">
        <v>44834</v>
      </c>
      <c r="BT212" s="110">
        <v>2997</v>
      </c>
      <c r="BU212" s="263"/>
      <c r="BV212" s="110"/>
      <c r="BW212" s="348"/>
      <c r="BX212" s="110"/>
      <c r="BY212" s="263"/>
      <c r="BZ212" s="110"/>
      <c r="CA212" s="263"/>
      <c r="CB212" s="110"/>
      <c r="CC212" s="263"/>
      <c r="CD212" s="110"/>
      <c r="CE212" s="226"/>
      <c r="CF212" s="110"/>
      <c r="CG212" s="263"/>
      <c r="CH212" s="110"/>
      <c r="CI212" s="226"/>
      <c r="CJ212" s="110"/>
      <c r="CK212" s="155">
        <v>1</v>
      </c>
      <c r="CL212" s="181" t="s">
        <v>1123</v>
      </c>
      <c r="CM212" s="181"/>
      <c r="CN212" s="207"/>
      <c r="CO212" s="155" t="s">
        <v>122</v>
      </c>
      <c r="CP212" s="155"/>
      <c r="CQ212" s="131" t="s">
        <v>4417</v>
      </c>
      <c r="CR212" s="823" t="s">
        <v>3330</v>
      </c>
      <c r="CS212" s="116" t="str">
        <f t="shared" si="9"/>
        <v>Fabio</v>
      </c>
      <c r="CT212" s="820">
        <f t="shared" si="168"/>
        <v>449.55</v>
      </c>
      <c r="CU212" s="820">
        <f t="shared" si="169"/>
        <v>149.85</v>
      </c>
      <c r="CV212" s="116" t="str">
        <f t="shared" si="10"/>
        <v>Cristian A</v>
      </c>
      <c r="CW212" s="121">
        <v>1</v>
      </c>
      <c r="CX212" s="779"/>
      <c r="CY212" s="729"/>
      <c r="CZ212" s="729"/>
      <c r="DA212" s="729"/>
      <c r="DB212" s="729"/>
      <c r="DC212" s="729"/>
      <c r="DD212" s="265"/>
      <c r="DE212" s="265"/>
      <c r="DF212" s="265"/>
      <c r="DG212" s="265"/>
      <c r="DH212" s="265"/>
      <c r="DI212" s="265"/>
      <c r="DJ212" s="265"/>
      <c r="DK212" s="265"/>
      <c r="DL212" s="265"/>
      <c r="DM212" s="265"/>
      <c r="DN212" s="265"/>
      <c r="DO212" s="265"/>
      <c r="DP212" s="265"/>
      <c r="DQ212" s="265"/>
      <c r="DR212" s="265"/>
      <c r="DS212" s="265"/>
      <c r="DT212" s="265"/>
    </row>
    <row r="213" spans="1:124" ht="30" customHeight="1">
      <c r="A213" s="228"/>
      <c r="B213" s="1237"/>
      <c r="C213" s="155">
        <f t="shared" si="154"/>
        <v>99</v>
      </c>
      <c r="D213" s="781"/>
      <c r="E213" s="781">
        <v>1</v>
      </c>
      <c r="F213" s="781"/>
      <c r="G213" s="112" t="s">
        <v>4418</v>
      </c>
      <c r="H213" s="112" t="s">
        <v>4419</v>
      </c>
      <c r="I213" s="207" t="s">
        <v>4420</v>
      </c>
      <c r="J213" s="207" t="str">
        <f t="shared" si="0"/>
        <v>Michela  Lentini</v>
      </c>
      <c r="K213" s="156" t="s">
        <v>4421</v>
      </c>
      <c r="L213" s="131"/>
      <c r="M213" s="131" t="s">
        <v>536</v>
      </c>
      <c r="N213" s="131" t="str">
        <f t="shared" si="182"/>
        <v>Cortis Lentini</v>
      </c>
      <c r="O213" s="1297"/>
      <c r="P213" s="251"/>
      <c r="Q213" s="131"/>
      <c r="R213" s="252"/>
      <c r="S213" s="254"/>
      <c r="T213" s="346"/>
      <c r="U213" s="253"/>
      <c r="V213" s="253"/>
      <c r="W213" s="251"/>
      <c r="X213" s="131"/>
      <c r="Y213" s="251"/>
      <c r="Z213" s="251"/>
      <c r="AA213" s="251"/>
      <c r="AB213" s="255"/>
      <c r="AC213" s="256"/>
      <c r="AD213" s="121" t="s">
        <v>4422</v>
      </c>
      <c r="AE213" s="80">
        <f t="shared" si="179"/>
        <v>0</v>
      </c>
      <c r="AF213" s="257"/>
      <c r="AG213" s="155"/>
      <c r="AH213" s="155"/>
      <c r="AI213" s="155"/>
      <c r="AJ213" s="257"/>
      <c r="AK213" s="155"/>
      <c r="AL213" s="155"/>
      <c r="AM213" s="155"/>
      <c r="AN213" s="257"/>
      <c r="AO213" s="258"/>
      <c r="AP213" s="258"/>
      <c r="AQ213" s="258"/>
      <c r="AR213" s="211"/>
      <c r="AS213" s="259"/>
      <c r="AT213" s="1223" t="s">
        <v>115</v>
      </c>
      <c r="AU213" s="259"/>
      <c r="AV213" s="211"/>
      <c r="AW213" s="212" t="s">
        <v>115</v>
      </c>
      <c r="AX213" s="212"/>
      <c r="AY213" s="212" t="s">
        <v>115</v>
      </c>
      <c r="AZ213" s="808">
        <f t="shared" si="178"/>
        <v>2997</v>
      </c>
      <c r="BA213" s="761">
        <f t="shared" si="98"/>
        <v>2997</v>
      </c>
      <c r="BB213" s="761">
        <f t="shared" si="4"/>
        <v>0</v>
      </c>
      <c r="BC213" s="262"/>
      <c r="BD213" s="824">
        <f t="shared" si="183"/>
        <v>2997</v>
      </c>
      <c r="BE213" s="1231"/>
      <c r="BF213" s="392" t="s">
        <v>141</v>
      </c>
      <c r="BG213" s="145">
        <v>0.15</v>
      </c>
      <c r="BH213" s="262"/>
      <c r="BI213" s="242">
        <f t="shared" si="137"/>
        <v>449.55</v>
      </c>
      <c r="BJ213" s="1232">
        <f t="shared" si="152"/>
        <v>0</v>
      </c>
      <c r="BK213" s="1281" t="s">
        <v>1205</v>
      </c>
      <c r="BL213" s="826" t="s">
        <v>141</v>
      </c>
      <c r="BM213" s="145">
        <v>0.05</v>
      </c>
      <c r="BN213" s="262"/>
      <c r="BO213" s="242">
        <f t="shared" si="133"/>
        <v>149.85</v>
      </c>
      <c r="BP213" s="1231">
        <f t="shared" si="180"/>
        <v>0</v>
      </c>
      <c r="BQ213" s="1281" t="s">
        <v>1205</v>
      </c>
      <c r="BR213" s="110">
        <v>2997</v>
      </c>
      <c r="BS213" s="226">
        <v>44834</v>
      </c>
      <c r="BT213" s="110">
        <v>2997</v>
      </c>
      <c r="BU213" s="263"/>
      <c r="BV213" s="110"/>
      <c r="BW213" s="348"/>
      <c r="BX213" s="110"/>
      <c r="BY213" s="263"/>
      <c r="BZ213" s="110"/>
      <c r="CA213" s="263"/>
      <c r="CB213" s="110"/>
      <c r="CC213" s="263"/>
      <c r="CD213" s="110"/>
      <c r="CE213" s="226"/>
      <c r="CF213" s="110"/>
      <c r="CG213" s="263"/>
      <c r="CH213" s="110"/>
      <c r="CI213" s="226"/>
      <c r="CJ213" s="110"/>
      <c r="CK213" s="155">
        <v>1</v>
      </c>
      <c r="CL213" s="181" t="s">
        <v>1123</v>
      </c>
      <c r="CM213" s="181"/>
      <c r="CN213" s="207"/>
      <c r="CO213" s="312"/>
      <c r="CP213" s="155"/>
      <c r="CQ213" s="131" t="s">
        <v>1869</v>
      </c>
      <c r="CR213" s="823" t="s">
        <v>4423</v>
      </c>
      <c r="CS213" s="116" t="str">
        <f t="shared" si="9"/>
        <v>Daniele</v>
      </c>
      <c r="CT213" s="820">
        <f t="shared" si="168"/>
        <v>449.55</v>
      </c>
      <c r="CU213" s="820">
        <f t="shared" si="169"/>
        <v>149.85</v>
      </c>
      <c r="CV213" s="116" t="str">
        <f t="shared" si="10"/>
        <v>Daniele</v>
      </c>
      <c r="CW213" s="181"/>
      <c r="CX213" s="779"/>
      <c r="CY213" s="729"/>
      <c r="CZ213" s="729"/>
      <c r="DA213" s="729"/>
      <c r="DB213" s="729"/>
      <c r="DC213" s="729"/>
      <c r="DD213" s="265"/>
      <c r="DE213" s="265"/>
      <c r="DF213" s="265"/>
      <c r="DG213" s="265"/>
      <c r="DH213" s="265"/>
      <c r="DI213" s="265"/>
      <c r="DJ213" s="265"/>
      <c r="DK213" s="265"/>
      <c r="DL213" s="265"/>
      <c r="DM213" s="265"/>
      <c r="DN213" s="265"/>
      <c r="DO213" s="265"/>
      <c r="DP213" s="265"/>
      <c r="DQ213" s="265"/>
      <c r="DR213" s="265"/>
      <c r="DS213" s="265"/>
      <c r="DT213" s="265"/>
    </row>
    <row r="214" spans="1:124" ht="30" customHeight="1">
      <c r="A214" s="228"/>
      <c r="B214" s="1237"/>
      <c r="C214" s="155">
        <f t="shared" si="154"/>
        <v>100</v>
      </c>
      <c r="D214" s="781"/>
      <c r="E214" s="781"/>
      <c r="F214" s="781"/>
      <c r="G214" s="112" t="s">
        <v>1272</v>
      </c>
      <c r="H214" s="112" t="s">
        <v>1273</v>
      </c>
      <c r="I214" s="207" t="s">
        <v>1274</v>
      </c>
      <c r="J214" s="207" t="str">
        <f t="shared" si="0"/>
        <v>Mirco Perini</v>
      </c>
      <c r="K214" s="156" t="s">
        <v>4424</v>
      </c>
      <c r="L214" s="131"/>
      <c r="M214" s="131" t="s">
        <v>514</v>
      </c>
      <c r="N214" s="131" t="str">
        <f t="shared" si="182"/>
        <v>Kingruit</v>
      </c>
      <c r="O214" s="1297"/>
      <c r="P214" s="397" t="s">
        <v>1277</v>
      </c>
      <c r="Q214" s="397" t="s">
        <v>1277</v>
      </c>
      <c r="R214" s="252" t="s">
        <v>1278</v>
      </c>
      <c r="S214" s="254" t="s">
        <v>1279</v>
      </c>
      <c r="T214" s="346">
        <v>37137</v>
      </c>
      <c r="U214" s="253" t="s">
        <v>1280</v>
      </c>
      <c r="V214" s="253" t="s">
        <v>1281</v>
      </c>
      <c r="W214" s="251"/>
      <c r="X214" s="131" t="s">
        <v>1282</v>
      </c>
      <c r="Y214" s="251"/>
      <c r="Z214" s="251"/>
      <c r="AA214" s="251"/>
      <c r="AB214" s="255" t="s">
        <v>1283</v>
      </c>
      <c r="AC214" s="256" t="s">
        <v>1284</v>
      </c>
      <c r="AD214" s="121" t="s">
        <v>1285</v>
      </c>
      <c r="AE214" s="80">
        <f t="shared" si="179"/>
        <v>0</v>
      </c>
      <c r="AF214" s="257"/>
      <c r="AG214" s="155"/>
      <c r="AH214" s="155"/>
      <c r="AI214" s="155"/>
      <c r="AJ214" s="257"/>
      <c r="AK214" s="155"/>
      <c r="AL214" s="155"/>
      <c r="AM214" s="155"/>
      <c r="AN214" s="257"/>
      <c r="AO214" s="258"/>
      <c r="AP214" s="258"/>
      <c r="AQ214" s="258"/>
      <c r="AR214" s="211"/>
      <c r="AS214" s="259"/>
      <c r="AT214" s="259"/>
      <c r="AU214" s="259"/>
      <c r="AV214" s="211"/>
      <c r="AW214" s="259" t="s">
        <v>115</v>
      </c>
      <c r="AX214" s="259" t="s">
        <v>115</v>
      </c>
      <c r="AY214" s="259" t="s">
        <v>115</v>
      </c>
      <c r="AZ214" s="808">
        <f t="shared" si="178"/>
        <v>2997</v>
      </c>
      <c r="BA214" s="761">
        <f t="shared" si="98"/>
        <v>2997</v>
      </c>
      <c r="BB214" s="761">
        <f t="shared" si="4"/>
        <v>0</v>
      </c>
      <c r="BC214" s="262"/>
      <c r="BD214" s="824">
        <v>0</v>
      </c>
      <c r="BE214" s="1231">
        <v>2997</v>
      </c>
      <c r="BF214" s="392" t="s">
        <v>300</v>
      </c>
      <c r="BG214" s="145">
        <v>0.15</v>
      </c>
      <c r="BH214" s="262"/>
      <c r="BI214" s="242">
        <f t="shared" si="137"/>
        <v>0</v>
      </c>
      <c r="BJ214" s="1232">
        <f t="shared" si="152"/>
        <v>449.55</v>
      </c>
      <c r="BK214" s="1293"/>
      <c r="BL214" s="1330" t="s">
        <v>300</v>
      </c>
      <c r="BM214" s="145">
        <v>0.05</v>
      </c>
      <c r="BN214" s="262"/>
      <c r="BO214" s="242">
        <f t="shared" si="133"/>
        <v>0</v>
      </c>
      <c r="BP214" s="1231">
        <f t="shared" si="180"/>
        <v>149.85</v>
      </c>
      <c r="BQ214" s="243"/>
      <c r="BR214" s="110">
        <v>2997</v>
      </c>
      <c r="BS214" s="226">
        <v>44834</v>
      </c>
      <c r="BT214" s="110">
        <v>2997</v>
      </c>
      <c r="BU214" s="263"/>
      <c r="BV214" s="110"/>
      <c r="BW214" s="348"/>
      <c r="BX214" s="110"/>
      <c r="BY214" s="263"/>
      <c r="BZ214" s="110"/>
      <c r="CA214" s="263"/>
      <c r="CB214" s="110"/>
      <c r="CC214" s="263"/>
      <c r="CD214" s="110"/>
      <c r="CE214" s="226"/>
      <c r="CF214" s="110"/>
      <c r="CG214" s="263"/>
      <c r="CH214" s="110"/>
      <c r="CI214" s="226"/>
      <c r="CJ214" s="110"/>
      <c r="CK214" s="155">
        <v>1</v>
      </c>
      <c r="CL214" s="181" t="s">
        <v>1123</v>
      </c>
      <c r="CM214" s="181"/>
      <c r="CN214" s="207"/>
      <c r="CO214" s="207"/>
      <c r="CP214" s="155"/>
      <c r="CQ214" s="131"/>
      <c r="CR214" s="823" t="s">
        <v>4425</v>
      </c>
      <c r="CS214" s="116" t="str">
        <f t="shared" si="9"/>
        <v>Cristina</v>
      </c>
      <c r="CT214" s="820" t="b">
        <f t="shared" si="168"/>
        <v>0</v>
      </c>
      <c r="CU214" s="820" t="b">
        <f t="shared" si="169"/>
        <v>0</v>
      </c>
      <c r="CV214" s="116" t="str">
        <f t="shared" si="10"/>
        <v>Cristina</v>
      </c>
      <c r="CW214" s="181"/>
      <c r="CX214" s="779"/>
      <c r="CY214" s="729"/>
      <c r="CZ214" s="729"/>
      <c r="DA214" s="729"/>
      <c r="DB214" s="729"/>
      <c r="DC214" s="729"/>
      <c r="DD214" s="265"/>
      <c r="DE214" s="265"/>
      <c r="DF214" s="265"/>
      <c r="DG214" s="265"/>
      <c r="DH214" s="265"/>
      <c r="DI214" s="265"/>
      <c r="DJ214" s="265"/>
      <c r="DK214" s="265"/>
      <c r="DL214" s="265"/>
      <c r="DM214" s="265"/>
      <c r="DN214" s="265"/>
      <c r="DO214" s="265"/>
      <c r="DP214" s="265"/>
      <c r="DQ214" s="265"/>
      <c r="DR214" s="265"/>
      <c r="DS214" s="265"/>
      <c r="DT214" s="265"/>
    </row>
    <row r="215" spans="1:124" ht="30" customHeight="1">
      <c r="A215" s="228"/>
      <c r="B215" s="331"/>
      <c r="C215" s="155">
        <f t="shared" si="154"/>
        <v>101</v>
      </c>
      <c r="D215" s="781">
        <v>1</v>
      </c>
      <c r="E215" s="781">
        <v>1</v>
      </c>
      <c r="F215" s="781">
        <v>1</v>
      </c>
      <c r="G215" s="112" t="s">
        <v>4426</v>
      </c>
      <c r="H215" s="112" t="s">
        <v>4427</v>
      </c>
      <c r="I215" s="1234" t="s">
        <v>4428</v>
      </c>
      <c r="J215" s="207" t="str">
        <f t="shared" si="0"/>
        <v>Monica Rita Scaravelli</v>
      </c>
      <c r="K215" s="156" t="s">
        <v>4429</v>
      </c>
      <c r="L215" s="131"/>
      <c r="M215" s="131" t="s">
        <v>4430</v>
      </c>
      <c r="N215" s="131" t="str">
        <f t="shared" si="182"/>
        <v>Monica Rita Scaravelli</v>
      </c>
      <c r="O215" s="1297"/>
      <c r="P215" s="251"/>
      <c r="Q215" s="131"/>
      <c r="R215" s="252"/>
      <c r="S215" s="254"/>
      <c r="T215" s="346"/>
      <c r="U215" s="253"/>
      <c r="V215" s="253"/>
      <c r="W215" s="251"/>
      <c r="X215" s="131"/>
      <c r="Y215" s="251"/>
      <c r="Z215" s="251"/>
      <c r="AA215" s="251"/>
      <c r="AB215" s="255"/>
      <c r="AC215" s="256"/>
      <c r="AD215" s="121" t="s">
        <v>4431</v>
      </c>
      <c r="AE215" s="80">
        <f t="shared" si="179"/>
        <v>0</v>
      </c>
      <c r="AF215" s="257"/>
      <c r="AG215" s="155"/>
      <c r="AH215" s="155"/>
      <c r="AI215" s="155"/>
      <c r="AJ215" s="257"/>
      <c r="AK215" s="155"/>
      <c r="AL215" s="155"/>
      <c r="AM215" s="155"/>
      <c r="AN215" s="257"/>
      <c r="AO215" s="258"/>
      <c r="AP215" s="258"/>
      <c r="AQ215" s="258"/>
      <c r="AR215" s="211"/>
      <c r="AS215" s="259" t="s">
        <v>115</v>
      </c>
      <c r="AT215" s="259" t="s">
        <v>115</v>
      </c>
      <c r="AU215" s="350" t="s">
        <v>115</v>
      </c>
      <c r="AV215" s="211"/>
      <c r="AW215" s="259"/>
      <c r="AX215" s="259"/>
      <c r="AY215" s="259"/>
      <c r="AZ215" s="808">
        <f t="shared" si="178"/>
        <v>3497.0000000000005</v>
      </c>
      <c r="BA215" s="761">
        <f t="shared" si="98"/>
        <v>3497.0000000000005</v>
      </c>
      <c r="BB215" s="761">
        <f t="shared" si="4"/>
        <v>0</v>
      </c>
      <c r="BC215" s="262"/>
      <c r="BD215" s="824">
        <f>AZ215</f>
        <v>3497.0000000000005</v>
      </c>
      <c r="BE215" s="1231"/>
      <c r="BF215" s="379" t="s">
        <v>414</v>
      </c>
      <c r="BG215" s="145">
        <v>0.15</v>
      </c>
      <c r="BH215" s="261"/>
      <c r="BI215" s="242">
        <f t="shared" si="137"/>
        <v>524.55000000000007</v>
      </c>
      <c r="BJ215" s="1232">
        <f t="shared" si="152"/>
        <v>0</v>
      </c>
      <c r="BK215" s="387" t="s">
        <v>1076</v>
      </c>
      <c r="BL215" s="1316" t="s">
        <v>414</v>
      </c>
      <c r="BM215" s="145">
        <v>0.05</v>
      </c>
      <c r="BN215" s="262"/>
      <c r="BO215" s="242">
        <f t="shared" si="133"/>
        <v>174.85000000000002</v>
      </c>
      <c r="BP215" s="1231">
        <f t="shared" si="180"/>
        <v>0</v>
      </c>
      <c r="BQ215" s="387" t="s">
        <v>1076</v>
      </c>
      <c r="BR215" s="110">
        <f>200/1.22</f>
        <v>163.9344262295082</v>
      </c>
      <c r="BS215" s="365">
        <v>44834</v>
      </c>
      <c r="BT215" s="110">
        <f>200/1.22</f>
        <v>163.9344262295082</v>
      </c>
      <c r="BU215" s="206"/>
      <c r="BV215" s="110">
        <f>1720/1.22</f>
        <v>1409.8360655737706</v>
      </c>
      <c r="BW215" s="365">
        <v>44834</v>
      </c>
      <c r="BX215" s="110">
        <f>1720/1.22</f>
        <v>1409.8360655737706</v>
      </c>
      <c r="BY215" s="206"/>
      <c r="BZ215" s="110">
        <f>2346.34/1.22</f>
        <v>1923.2295081967216</v>
      </c>
      <c r="CA215" s="1328">
        <v>44854</v>
      </c>
      <c r="CB215" s="110">
        <f>2346.34/1.22</f>
        <v>1923.2295081967216</v>
      </c>
      <c r="CC215" s="263"/>
      <c r="CD215" s="110"/>
      <c r="CE215" s="226"/>
      <c r="CF215" s="110"/>
      <c r="CG215" s="263"/>
      <c r="CH215" s="110"/>
      <c r="CI215" s="226"/>
      <c r="CJ215" s="110"/>
      <c r="CK215" s="155">
        <v>1</v>
      </c>
      <c r="CL215" s="181" t="s">
        <v>1123</v>
      </c>
      <c r="CM215" s="181"/>
      <c r="CN215" s="207"/>
      <c r="CO215" s="155" t="s">
        <v>122</v>
      </c>
      <c r="CP215" s="155"/>
      <c r="CQ215" s="131" t="s">
        <v>1389</v>
      </c>
      <c r="CR215" s="823" t="s">
        <v>4432</v>
      </c>
      <c r="CS215" s="116" t="str">
        <f t="shared" si="9"/>
        <v>Barbara</v>
      </c>
      <c r="CT215" s="820">
        <f t="shared" si="168"/>
        <v>524.55000000000007</v>
      </c>
      <c r="CU215" s="820">
        <f t="shared" si="169"/>
        <v>174.85000000000002</v>
      </c>
      <c r="CV215" s="116" t="str">
        <f t="shared" si="10"/>
        <v>Barbara</v>
      </c>
      <c r="CW215" s="181"/>
      <c r="CX215" s="779"/>
      <c r="CY215" s="729"/>
      <c r="CZ215" s="729"/>
      <c r="DA215" s="729"/>
      <c r="DB215" s="729"/>
      <c r="DC215" s="729"/>
      <c r="DD215" s="265"/>
      <c r="DE215" s="265"/>
      <c r="DF215" s="265"/>
      <c r="DG215" s="265"/>
      <c r="DH215" s="265"/>
      <c r="DI215" s="265"/>
      <c r="DJ215" s="265"/>
      <c r="DK215" s="265"/>
      <c r="DL215" s="265"/>
      <c r="DM215" s="265"/>
      <c r="DN215" s="265"/>
      <c r="DO215" s="265"/>
      <c r="DP215" s="265"/>
      <c r="DQ215" s="265"/>
      <c r="DR215" s="265"/>
      <c r="DS215" s="265"/>
      <c r="DT215" s="265"/>
    </row>
    <row r="216" spans="1:124" ht="30" customHeight="1">
      <c r="A216" s="228"/>
      <c r="B216" s="1237"/>
      <c r="C216" s="155">
        <f t="shared" si="154"/>
        <v>102</v>
      </c>
      <c r="D216" s="781"/>
      <c r="E216" s="781"/>
      <c r="F216" s="781"/>
      <c r="G216" s="112" t="s">
        <v>4433</v>
      </c>
      <c r="H216" s="112" t="s">
        <v>4434</v>
      </c>
      <c r="I216" s="294" t="s">
        <v>4435</v>
      </c>
      <c r="J216" s="207" t="str">
        <f t="shared" si="0"/>
        <v>Nicolas Garosio</v>
      </c>
      <c r="K216" s="156" t="s">
        <v>4436</v>
      </c>
      <c r="L216" s="204" t="s">
        <v>4175</v>
      </c>
      <c r="M216" s="131" t="s">
        <v>4437</v>
      </c>
      <c r="N216" s="131" t="str">
        <f t="shared" si="182"/>
        <v>Ds Comunicazione</v>
      </c>
      <c r="O216" s="1297"/>
      <c r="P216" s="251"/>
      <c r="Q216" s="131"/>
      <c r="R216" s="252"/>
      <c r="S216" s="254"/>
      <c r="T216" s="346"/>
      <c r="U216" s="253"/>
      <c r="V216" s="253"/>
      <c r="W216" s="251"/>
      <c r="X216" s="131"/>
      <c r="Y216" s="251"/>
      <c r="Z216" s="251"/>
      <c r="AA216" s="251"/>
      <c r="AB216" s="255"/>
      <c r="AC216" s="256"/>
      <c r="AD216" s="121" t="s">
        <v>4176</v>
      </c>
      <c r="AE216" s="131" t="str">
        <f t="shared" si="179"/>
        <v>fattura con dicitura particolare</v>
      </c>
      <c r="AF216" s="257"/>
      <c r="AG216" s="155"/>
      <c r="AH216" s="155"/>
      <c r="AI216" s="155"/>
      <c r="AJ216" s="257"/>
      <c r="AK216" s="155"/>
      <c r="AL216" s="155"/>
      <c r="AM216" s="155"/>
      <c r="AN216" s="257"/>
      <c r="AO216" s="258"/>
      <c r="AP216" s="258"/>
      <c r="AQ216" s="258"/>
      <c r="AR216" s="211"/>
      <c r="AS216" s="259"/>
      <c r="AT216" s="259"/>
      <c r="AU216" s="259"/>
      <c r="AV216" s="211"/>
      <c r="AW216" s="259" t="s">
        <v>115</v>
      </c>
      <c r="AX216" s="259" t="s">
        <v>115</v>
      </c>
      <c r="AY216" s="259" t="s">
        <v>115</v>
      </c>
      <c r="AZ216" s="808">
        <f t="shared" si="178"/>
        <v>2797</v>
      </c>
      <c r="BA216" s="761">
        <f t="shared" si="98"/>
        <v>2797</v>
      </c>
      <c r="BB216" s="761">
        <f t="shared" si="4"/>
        <v>0</v>
      </c>
      <c r="BC216" s="262"/>
      <c r="BD216" s="824"/>
      <c r="BE216" s="1231">
        <v>2797</v>
      </c>
      <c r="BF216" s="105" t="s">
        <v>166</v>
      </c>
      <c r="BG216" s="145">
        <v>0.15</v>
      </c>
      <c r="BH216" s="261"/>
      <c r="BI216" s="242">
        <f t="shared" si="137"/>
        <v>0</v>
      </c>
      <c r="BJ216" s="1232">
        <f t="shared" si="152"/>
        <v>419.55</v>
      </c>
      <c r="BK216" s="243"/>
      <c r="BL216" s="825" t="s">
        <v>166</v>
      </c>
      <c r="BM216" s="145">
        <v>0.05</v>
      </c>
      <c r="BN216" s="262"/>
      <c r="BO216" s="242">
        <f t="shared" si="133"/>
        <v>0</v>
      </c>
      <c r="BP216" s="1231">
        <f t="shared" si="180"/>
        <v>139.85</v>
      </c>
      <c r="BQ216" s="243"/>
      <c r="BR216" s="110">
        <v>2797</v>
      </c>
      <c r="BS216" s="226">
        <v>44834</v>
      </c>
      <c r="BT216" s="110">
        <v>2797</v>
      </c>
      <c r="BU216" s="263"/>
      <c r="BV216" s="110"/>
      <c r="BW216" s="348"/>
      <c r="BX216" s="110"/>
      <c r="BY216" s="263"/>
      <c r="BZ216" s="110"/>
      <c r="CA216" s="263"/>
      <c r="CB216" s="110"/>
      <c r="CC216" s="263"/>
      <c r="CD216" s="110"/>
      <c r="CE216" s="226"/>
      <c r="CF216" s="110"/>
      <c r="CG216" s="263"/>
      <c r="CH216" s="110"/>
      <c r="CI216" s="226"/>
      <c r="CJ216" s="110"/>
      <c r="CK216" s="155">
        <v>1</v>
      </c>
      <c r="CL216" s="181" t="s">
        <v>1123</v>
      </c>
      <c r="CM216" s="181"/>
      <c r="CN216" s="207"/>
      <c r="CO216" s="207"/>
      <c r="CP216" s="155"/>
      <c r="CQ216" s="131" t="s">
        <v>4177</v>
      </c>
      <c r="CR216" s="823" t="s">
        <v>4178</v>
      </c>
      <c r="CS216" s="116" t="str">
        <f t="shared" si="9"/>
        <v>Matteo</v>
      </c>
      <c r="CT216" s="820" t="b">
        <f t="shared" si="168"/>
        <v>0</v>
      </c>
      <c r="CU216" s="820" t="b">
        <f t="shared" si="169"/>
        <v>0</v>
      </c>
      <c r="CV216" s="116" t="str">
        <f t="shared" si="10"/>
        <v>Matteo</v>
      </c>
      <c r="CW216" s="181"/>
      <c r="CX216" s="779"/>
      <c r="CY216" s="729"/>
      <c r="CZ216" s="729"/>
      <c r="DA216" s="729"/>
      <c r="DB216" s="729"/>
      <c r="DC216" s="729"/>
      <c r="DD216" s="265"/>
      <c r="DE216" s="265"/>
      <c r="DF216" s="265"/>
      <c r="DG216" s="265"/>
      <c r="DH216" s="265"/>
      <c r="DI216" s="265"/>
      <c r="DJ216" s="265"/>
      <c r="DK216" s="265"/>
      <c r="DL216" s="265"/>
      <c r="DM216" s="265"/>
      <c r="DN216" s="265"/>
      <c r="DO216" s="265"/>
      <c r="DP216" s="265"/>
      <c r="DQ216" s="265"/>
      <c r="DR216" s="265"/>
      <c r="DS216" s="265"/>
      <c r="DT216" s="265"/>
    </row>
    <row r="217" spans="1:124" ht="30" customHeight="1">
      <c r="A217" s="228"/>
      <c r="B217" s="1237"/>
      <c r="C217" s="155">
        <f t="shared" si="154"/>
        <v>103</v>
      </c>
      <c r="D217" s="781">
        <v>1</v>
      </c>
      <c r="E217" s="781">
        <v>1</v>
      </c>
      <c r="F217" s="781">
        <v>1</v>
      </c>
      <c r="G217" s="112" t="s">
        <v>1730</v>
      </c>
      <c r="H217" s="112" t="s">
        <v>4438</v>
      </c>
      <c r="I217" s="1234" t="s">
        <v>4439</v>
      </c>
      <c r="J217" s="207" t="str">
        <f t="shared" si="0"/>
        <v>Nicoletta Utzeri</v>
      </c>
      <c r="K217" s="156">
        <v>335362287</v>
      </c>
      <c r="L217" s="131"/>
      <c r="M217" s="131" t="s">
        <v>347</v>
      </c>
      <c r="N217" s="131" t="str">
        <f t="shared" si="182"/>
        <v>Mi.lani Group  e U.nico</v>
      </c>
      <c r="O217" s="1297"/>
      <c r="P217" s="251"/>
      <c r="Q217" s="131"/>
      <c r="R217" s="252"/>
      <c r="S217" s="254"/>
      <c r="T217" s="346"/>
      <c r="U217" s="253"/>
      <c r="V217" s="253"/>
      <c r="W217" s="251"/>
      <c r="X217" s="131"/>
      <c r="Y217" s="251"/>
      <c r="Z217" s="251"/>
      <c r="AA217" s="251"/>
      <c r="AB217" s="255"/>
      <c r="AC217" s="256"/>
      <c r="AD217" s="121" t="s">
        <v>4440</v>
      </c>
      <c r="AE217" s="131">
        <f t="shared" si="179"/>
        <v>0</v>
      </c>
      <c r="AF217" s="257"/>
      <c r="AG217" s="155"/>
      <c r="AH217" s="155"/>
      <c r="AI217" s="155"/>
      <c r="AJ217" s="257"/>
      <c r="AK217" s="155"/>
      <c r="AL217" s="155"/>
      <c r="AM217" s="155"/>
      <c r="AN217" s="257"/>
      <c r="AO217" s="258"/>
      <c r="AP217" s="258"/>
      <c r="AQ217" s="258"/>
      <c r="AR217" s="211"/>
      <c r="AS217" s="259" t="s">
        <v>115</v>
      </c>
      <c r="AT217" s="259" t="s">
        <v>115</v>
      </c>
      <c r="AU217" s="259" t="s">
        <v>115</v>
      </c>
      <c r="AV217" s="211"/>
      <c r="AW217" s="259"/>
      <c r="AX217" s="259"/>
      <c r="AY217" s="259"/>
      <c r="AZ217" s="808">
        <f t="shared" si="178"/>
        <v>2997</v>
      </c>
      <c r="BA217" s="761">
        <f t="shared" si="98"/>
        <v>2997</v>
      </c>
      <c r="BB217" s="761">
        <f t="shared" si="4"/>
        <v>0</v>
      </c>
      <c r="BC217" s="262"/>
      <c r="BD217" s="824">
        <f t="shared" ref="BD217:BD223" si="184">AZ217</f>
        <v>2997</v>
      </c>
      <c r="BE217" s="1231"/>
      <c r="BF217" s="105" t="s">
        <v>117</v>
      </c>
      <c r="BG217" s="98">
        <v>0</v>
      </c>
      <c r="BH217" s="261"/>
      <c r="BI217" s="242">
        <f t="shared" si="137"/>
        <v>0</v>
      </c>
      <c r="BJ217" s="1232">
        <f t="shared" si="152"/>
        <v>0</v>
      </c>
      <c r="BK217" s="244" t="s">
        <v>118</v>
      </c>
      <c r="BL217" s="825" t="s">
        <v>152</v>
      </c>
      <c r="BM217" s="145">
        <v>0.05</v>
      </c>
      <c r="BN217" s="262"/>
      <c r="BO217" s="242">
        <f t="shared" si="133"/>
        <v>149.85</v>
      </c>
      <c r="BP217" s="1231">
        <f t="shared" si="180"/>
        <v>0</v>
      </c>
      <c r="BQ217" s="387" t="s">
        <v>1076</v>
      </c>
      <c r="BR217" s="110">
        <v>2997</v>
      </c>
      <c r="BS217" s="226">
        <v>44834</v>
      </c>
      <c r="BT217" s="110">
        <v>2997</v>
      </c>
      <c r="BU217" s="263"/>
      <c r="BV217" s="110"/>
      <c r="BW217" s="348"/>
      <c r="BX217" s="110"/>
      <c r="BY217" s="263"/>
      <c r="BZ217" s="110"/>
      <c r="CA217" s="263"/>
      <c r="CB217" s="110"/>
      <c r="CC217" s="263"/>
      <c r="CD217" s="110"/>
      <c r="CE217" s="226"/>
      <c r="CF217" s="110"/>
      <c r="CG217" s="263"/>
      <c r="CH217" s="110"/>
      <c r="CI217" s="226"/>
      <c r="CJ217" s="110"/>
      <c r="CK217" s="155">
        <v>1</v>
      </c>
      <c r="CL217" s="181" t="s">
        <v>1123</v>
      </c>
      <c r="CM217" s="181"/>
      <c r="CN217" s="207"/>
      <c r="CO217" s="155" t="s">
        <v>122</v>
      </c>
      <c r="CP217" s="155"/>
      <c r="CQ217" s="131" t="s">
        <v>4441</v>
      </c>
      <c r="CR217" s="823" t="s">
        <v>4442</v>
      </c>
      <c r="CS217" s="116" t="str">
        <f t="shared" si="9"/>
        <v>blackship</v>
      </c>
      <c r="CT217" s="820">
        <f t="shared" si="168"/>
        <v>0</v>
      </c>
      <c r="CU217" s="820">
        <f t="shared" si="169"/>
        <v>149.85</v>
      </c>
      <c r="CV217" s="116" t="str">
        <f t="shared" si="10"/>
        <v>Client Angel</v>
      </c>
      <c r="CW217" s="181"/>
      <c r="CX217" s="779"/>
      <c r="CY217" s="729"/>
      <c r="CZ217" s="729"/>
      <c r="DA217" s="729"/>
      <c r="DB217" s="729"/>
      <c r="DC217" s="729"/>
      <c r="DD217" s="265"/>
      <c r="DE217" s="265"/>
      <c r="DF217" s="265"/>
      <c r="DG217" s="265"/>
      <c r="DH217" s="265"/>
      <c r="DI217" s="265"/>
      <c r="DJ217" s="265"/>
      <c r="DK217" s="265"/>
      <c r="DL217" s="265"/>
      <c r="DM217" s="265"/>
      <c r="DN217" s="265"/>
      <c r="DO217" s="265"/>
      <c r="DP217" s="265"/>
      <c r="DQ217" s="265"/>
      <c r="DR217" s="265"/>
      <c r="DS217" s="265"/>
      <c r="DT217" s="265"/>
    </row>
    <row r="218" spans="1:124" ht="30" customHeight="1">
      <c r="A218" s="228"/>
      <c r="B218" s="1237"/>
      <c r="C218" s="155">
        <f t="shared" si="154"/>
        <v>104</v>
      </c>
      <c r="D218" s="781">
        <v>1</v>
      </c>
      <c r="E218" s="781">
        <v>1</v>
      </c>
      <c r="F218" s="781">
        <v>1</v>
      </c>
      <c r="G218" s="112" t="s">
        <v>4443</v>
      </c>
      <c r="H218" s="112" t="s">
        <v>4444</v>
      </c>
      <c r="I218" s="1246" t="s">
        <v>4445</v>
      </c>
      <c r="J218" s="207" t="str">
        <f t="shared" si="0"/>
        <v>Onofrio Fasciano</v>
      </c>
      <c r="K218" s="156" t="s">
        <v>4446</v>
      </c>
      <c r="L218" s="204" t="s">
        <v>4447</v>
      </c>
      <c r="M218" s="131" t="s">
        <v>138</v>
      </c>
      <c r="N218" s="131" t="str">
        <f t="shared" si="182"/>
        <v>Bluvalue</v>
      </c>
      <c r="O218" s="1297"/>
      <c r="P218" s="251"/>
      <c r="Q218" s="131"/>
      <c r="R218" s="252"/>
      <c r="S218" s="254"/>
      <c r="T218" s="346"/>
      <c r="U218" s="253"/>
      <c r="V218" s="253"/>
      <c r="W218" s="251"/>
      <c r="X218" s="131"/>
      <c r="Y218" s="251"/>
      <c r="Z218" s="251"/>
      <c r="AA218" s="251"/>
      <c r="AB218" s="255"/>
      <c r="AC218" s="256"/>
      <c r="AD218" s="121" t="s">
        <v>4448</v>
      </c>
      <c r="AE218" s="131" t="str">
        <f t="shared" si="179"/>
        <v>VIENE SOLO LUI, NO ANCHE IL SUO SOCIO</v>
      </c>
      <c r="AF218" s="257"/>
      <c r="AG218" s="155"/>
      <c r="AH218" s="155"/>
      <c r="AI218" s="155"/>
      <c r="AJ218" s="257"/>
      <c r="AK218" s="155"/>
      <c r="AL218" s="155"/>
      <c r="AM218" s="155"/>
      <c r="AN218" s="257"/>
      <c r="AO218" s="258"/>
      <c r="AP218" s="258"/>
      <c r="AQ218" s="258"/>
      <c r="AR218" s="211"/>
      <c r="AS218" s="259" t="s">
        <v>115</v>
      </c>
      <c r="AT218" s="259" t="s">
        <v>115</v>
      </c>
      <c r="AU218" s="259" t="s">
        <v>115</v>
      </c>
      <c r="AV218" s="211"/>
      <c r="AW218" s="259"/>
      <c r="AX218" s="259"/>
      <c r="AY218" s="259"/>
      <c r="AZ218" s="808">
        <f t="shared" si="178"/>
        <v>2997</v>
      </c>
      <c r="BA218" s="761">
        <f t="shared" si="98"/>
        <v>2997</v>
      </c>
      <c r="BB218" s="761">
        <f t="shared" si="4"/>
        <v>0</v>
      </c>
      <c r="BC218" s="262"/>
      <c r="BD218" s="824">
        <f t="shared" si="184"/>
        <v>2997</v>
      </c>
      <c r="BE218" s="1231"/>
      <c r="BF218" s="383" t="s">
        <v>262</v>
      </c>
      <c r="BG218" s="145">
        <v>0.15</v>
      </c>
      <c r="BH218" s="261"/>
      <c r="BI218" s="242">
        <f t="shared" si="137"/>
        <v>449.55</v>
      </c>
      <c r="BJ218" s="1232">
        <f t="shared" si="152"/>
        <v>0</v>
      </c>
      <c r="BK218" s="387" t="s">
        <v>1076</v>
      </c>
      <c r="BL218" s="289" t="s">
        <v>262</v>
      </c>
      <c r="BM218" s="145">
        <v>0.05</v>
      </c>
      <c r="BN218" s="262"/>
      <c r="BO218" s="242">
        <f t="shared" si="133"/>
        <v>149.85</v>
      </c>
      <c r="BP218" s="1231">
        <f t="shared" si="180"/>
        <v>0</v>
      </c>
      <c r="BQ218" s="387" t="s">
        <v>1076</v>
      </c>
      <c r="BR218" s="110">
        <v>2997</v>
      </c>
      <c r="BS218" s="226">
        <v>44834</v>
      </c>
      <c r="BT218" s="110">
        <v>2997</v>
      </c>
      <c r="BU218" s="263"/>
      <c r="BV218" s="110"/>
      <c r="BW218" s="348"/>
      <c r="BX218" s="110"/>
      <c r="BY218" s="263"/>
      <c r="BZ218" s="110"/>
      <c r="CA218" s="263"/>
      <c r="CB218" s="110"/>
      <c r="CC218" s="263"/>
      <c r="CD218" s="110"/>
      <c r="CE218" s="226"/>
      <c r="CF218" s="110"/>
      <c r="CG218" s="263"/>
      <c r="CH218" s="110"/>
      <c r="CI218" s="226"/>
      <c r="CJ218" s="110"/>
      <c r="CK218" s="155">
        <v>1</v>
      </c>
      <c r="CL218" s="181" t="s">
        <v>1123</v>
      </c>
      <c r="CM218" s="181"/>
      <c r="CN218" s="207"/>
      <c r="CO218" s="155" t="s">
        <v>122</v>
      </c>
      <c r="CP218" s="155"/>
      <c r="CQ218" s="131" t="s">
        <v>938</v>
      </c>
      <c r="CR218" s="823" t="s">
        <v>4449</v>
      </c>
      <c r="CS218" s="116" t="str">
        <f t="shared" si="9"/>
        <v>Pacci</v>
      </c>
      <c r="CT218" s="820">
        <f t="shared" si="168"/>
        <v>449.55</v>
      </c>
      <c r="CU218" s="820">
        <f t="shared" si="169"/>
        <v>149.85</v>
      </c>
      <c r="CV218" s="116" t="str">
        <f t="shared" si="10"/>
        <v>Pacci</v>
      </c>
      <c r="CW218" s="121">
        <v>1</v>
      </c>
      <c r="CX218" s="779"/>
      <c r="CY218" s="729"/>
      <c r="CZ218" s="729"/>
      <c r="DA218" s="729"/>
      <c r="DB218" s="729"/>
      <c r="DC218" s="729"/>
      <c r="DD218" s="265"/>
      <c r="DE218" s="265"/>
      <c r="DF218" s="265"/>
      <c r="DG218" s="265"/>
      <c r="DH218" s="265"/>
      <c r="DI218" s="265"/>
      <c r="DJ218" s="265"/>
      <c r="DK218" s="265"/>
      <c r="DL218" s="265"/>
      <c r="DM218" s="265"/>
      <c r="DN218" s="265"/>
      <c r="DO218" s="265"/>
      <c r="DP218" s="265"/>
      <c r="DQ218" s="265"/>
      <c r="DR218" s="265"/>
      <c r="DS218" s="265"/>
      <c r="DT218" s="265"/>
    </row>
    <row r="219" spans="1:124" ht="30" customHeight="1">
      <c r="A219" s="228"/>
      <c r="B219" s="1237"/>
      <c r="C219" s="155">
        <f t="shared" si="154"/>
        <v>105</v>
      </c>
      <c r="D219" s="781">
        <v>1</v>
      </c>
      <c r="E219" s="781">
        <v>1</v>
      </c>
      <c r="F219" s="781">
        <v>1</v>
      </c>
      <c r="G219" s="112" t="s">
        <v>950</v>
      </c>
      <c r="H219" s="112" t="s">
        <v>4450</v>
      </c>
      <c r="I219" s="1234" t="s">
        <v>4451</v>
      </c>
      <c r="J219" s="207" t="str">
        <f t="shared" si="0"/>
        <v>Paola Zanardi</v>
      </c>
      <c r="K219" s="156">
        <v>3357539452</v>
      </c>
      <c r="L219" s="204" t="s">
        <v>4452</v>
      </c>
      <c r="M219" s="131" t="s">
        <v>4453</v>
      </c>
      <c r="N219" s="131" t="str">
        <f t="shared" si="182"/>
        <v>Galimberti</v>
      </c>
      <c r="O219" s="1297"/>
      <c r="P219" s="251"/>
      <c r="Q219" s="131"/>
      <c r="R219" s="252"/>
      <c r="S219" s="254"/>
      <c r="T219" s="346"/>
      <c r="U219" s="253"/>
      <c r="V219" s="253"/>
      <c r="W219" s="251"/>
      <c r="X219" s="131"/>
      <c r="Y219" s="251"/>
      <c r="Z219" s="251"/>
      <c r="AA219" s="251"/>
      <c r="AB219" s="255"/>
      <c r="AC219" s="256"/>
      <c r="AD219" s="121" t="s">
        <v>4454</v>
      </c>
      <c r="AE219" s="80" t="str">
        <f t="shared" si="179"/>
        <v>Mail conferma del 7 ottobre. Chiuso Marco</v>
      </c>
      <c r="AF219" s="257"/>
      <c r="AG219" s="155"/>
      <c r="AH219" s="155"/>
      <c r="AI219" s="155"/>
      <c r="AJ219" s="257"/>
      <c r="AK219" s="155"/>
      <c r="AL219" s="155"/>
      <c r="AM219" s="155"/>
      <c r="AN219" s="257"/>
      <c r="AO219" s="258"/>
      <c r="AP219" s="258"/>
      <c r="AQ219" s="258"/>
      <c r="AR219" s="211"/>
      <c r="AS219" s="259" t="s">
        <v>115</v>
      </c>
      <c r="AT219" s="259" t="s">
        <v>115</v>
      </c>
      <c r="AU219" s="259" t="s">
        <v>115</v>
      </c>
      <c r="AV219" s="211"/>
      <c r="AW219" s="259"/>
      <c r="AX219" s="259"/>
      <c r="AY219" s="259"/>
      <c r="AZ219" s="808">
        <f t="shared" si="178"/>
        <v>2997</v>
      </c>
      <c r="BA219" s="761">
        <f t="shared" si="98"/>
        <v>2997</v>
      </c>
      <c r="BB219" s="761">
        <f t="shared" si="4"/>
        <v>0</v>
      </c>
      <c r="BC219" s="262"/>
      <c r="BD219" s="824">
        <f t="shared" si="184"/>
        <v>2997</v>
      </c>
      <c r="BE219" s="1231"/>
      <c r="BF219" s="399" t="s">
        <v>117</v>
      </c>
      <c r="BG219" s="98">
        <v>0</v>
      </c>
      <c r="BH219" s="261"/>
      <c r="BI219" s="242">
        <f t="shared" si="137"/>
        <v>0</v>
      </c>
      <c r="BJ219" s="1232">
        <f t="shared" si="152"/>
        <v>0</v>
      </c>
      <c r="BK219" s="244" t="s">
        <v>118</v>
      </c>
      <c r="BL219" s="1331" t="s">
        <v>152</v>
      </c>
      <c r="BM219" s="145">
        <v>0.05</v>
      </c>
      <c r="BN219" s="262"/>
      <c r="BO219" s="242">
        <f t="shared" si="133"/>
        <v>149.85</v>
      </c>
      <c r="BP219" s="1231">
        <f t="shared" si="180"/>
        <v>0</v>
      </c>
      <c r="BQ219" s="387" t="s">
        <v>1076</v>
      </c>
      <c r="BR219" s="110">
        <v>2997</v>
      </c>
      <c r="BS219" s="226">
        <v>44834</v>
      </c>
      <c r="BT219" s="110">
        <v>2997</v>
      </c>
      <c r="BU219" s="263"/>
      <c r="BV219" s="110"/>
      <c r="BW219" s="348"/>
      <c r="BX219" s="110"/>
      <c r="BY219" s="263"/>
      <c r="BZ219" s="110"/>
      <c r="CA219" s="263"/>
      <c r="CB219" s="110"/>
      <c r="CC219" s="263"/>
      <c r="CD219" s="110"/>
      <c r="CE219" s="226"/>
      <c r="CF219" s="110"/>
      <c r="CG219" s="263"/>
      <c r="CH219" s="110"/>
      <c r="CI219" s="226"/>
      <c r="CJ219" s="110"/>
      <c r="CK219" s="155">
        <v>1</v>
      </c>
      <c r="CL219" s="181" t="s">
        <v>1123</v>
      </c>
      <c r="CM219" s="181"/>
      <c r="CN219" s="207"/>
      <c r="CO219" s="155" t="s">
        <v>122</v>
      </c>
      <c r="CP219" s="155"/>
      <c r="CQ219" s="131"/>
      <c r="CR219" s="823" t="s">
        <v>4455</v>
      </c>
      <c r="CS219" s="116" t="str">
        <f t="shared" si="9"/>
        <v>blackship</v>
      </c>
      <c r="CT219" s="820">
        <f t="shared" si="168"/>
        <v>0</v>
      </c>
      <c r="CU219" s="820">
        <f t="shared" si="169"/>
        <v>149.85</v>
      </c>
      <c r="CV219" s="116" t="str">
        <f t="shared" si="10"/>
        <v>Client Angel</v>
      </c>
      <c r="CW219" s="181"/>
      <c r="CX219" s="779"/>
      <c r="CY219" s="729"/>
      <c r="CZ219" s="729"/>
      <c r="DA219" s="729"/>
      <c r="DB219" s="729"/>
      <c r="DC219" s="729"/>
      <c r="DD219" s="265"/>
      <c r="DE219" s="265"/>
      <c r="DF219" s="265"/>
      <c r="DG219" s="265"/>
      <c r="DH219" s="265"/>
      <c r="DI219" s="265"/>
      <c r="DJ219" s="265"/>
      <c r="DK219" s="265"/>
      <c r="DL219" s="265"/>
      <c r="DM219" s="265"/>
      <c r="DN219" s="265"/>
      <c r="DO219" s="265"/>
      <c r="DP219" s="265"/>
      <c r="DQ219" s="265"/>
      <c r="DR219" s="265"/>
      <c r="DS219" s="265"/>
      <c r="DT219" s="265"/>
    </row>
    <row r="220" spans="1:124" ht="30" customHeight="1">
      <c r="A220" s="228"/>
      <c r="B220" s="1237"/>
      <c r="C220" s="155">
        <f t="shared" si="154"/>
        <v>106</v>
      </c>
      <c r="D220" s="781">
        <v>1</v>
      </c>
      <c r="E220" s="781">
        <v>1</v>
      </c>
      <c r="F220" s="781">
        <v>1</v>
      </c>
      <c r="G220" s="112" t="s">
        <v>1945</v>
      </c>
      <c r="H220" s="112" t="s">
        <v>4455</v>
      </c>
      <c r="I220" s="1234" t="s">
        <v>4456</v>
      </c>
      <c r="J220" s="207" t="str">
        <f t="shared" si="0"/>
        <v>Mattia Galimberti</v>
      </c>
      <c r="K220" s="156">
        <v>3357539452</v>
      </c>
      <c r="L220" s="204" t="s">
        <v>4452</v>
      </c>
      <c r="M220" s="131" t="s">
        <v>4453</v>
      </c>
      <c r="N220" s="131" t="str">
        <f t="shared" si="182"/>
        <v>Galimberti</v>
      </c>
      <c r="O220" s="1297"/>
      <c r="P220" s="251"/>
      <c r="Q220" s="131"/>
      <c r="R220" s="252"/>
      <c r="S220" s="254"/>
      <c r="T220" s="346"/>
      <c r="U220" s="253"/>
      <c r="V220" s="253"/>
      <c r="W220" s="251"/>
      <c r="X220" s="131"/>
      <c r="Y220" s="251"/>
      <c r="Z220" s="251"/>
      <c r="AA220" s="251"/>
      <c r="AB220" s="255"/>
      <c r="AC220" s="256"/>
      <c r="AD220" s="121" t="s">
        <v>4454</v>
      </c>
      <c r="AE220" s="80" t="str">
        <f t="shared" si="179"/>
        <v>Mail conferma del 7 ottobre. Chiuso Marco</v>
      </c>
      <c r="AF220" s="257"/>
      <c r="AG220" s="155"/>
      <c r="AH220" s="155"/>
      <c r="AI220" s="155"/>
      <c r="AJ220" s="257"/>
      <c r="AK220" s="155"/>
      <c r="AL220" s="155"/>
      <c r="AM220" s="155"/>
      <c r="AN220" s="257"/>
      <c r="AO220" s="258"/>
      <c r="AP220" s="258"/>
      <c r="AQ220" s="258"/>
      <c r="AR220" s="211"/>
      <c r="AS220" s="259" t="s">
        <v>115</v>
      </c>
      <c r="AT220" s="259" t="s">
        <v>115</v>
      </c>
      <c r="AU220" s="259" t="s">
        <v>115</v>
      </c>
      <c r="AV220" s="211"/>
      <c r="AW220" s="259"/>
      <c r="AX220" s="259"/>
      <c r="AY220" s="259"/>
      <c r="AZ220" s="808">
        <f t="shared" si="178"/>
        <v>2997</v>
      </c>
      <c r="BA220" s="761">
        <f t="shared" si="98"/>
        <v>2997</v>
      </c>
      <c r="BB220" s="761">
        <f t="shared" si="4"/>
        <v>0</v>
      </c>
      <c r="BC220" s="262"/>
      <c r="BD220" s="824">
        <f t="shared" si="184"/>
        <v>2997</v>
      </c>
      <c r="BE220" s="1231"/>
      <c r="BF220" s="399" t="s">
        <v>117</v>
      </c>
      <c r="BG220" s="98">
        <v>0</v>
      </c>
      <c r="BH220" s="261"/>
      <c r="BI220" s="242">
        <f t="shared" si="137"/>
        <v>0</v>
      </c>
      <c r="BJ220" s="1232">
        <f t="shared" si="152"/>
        <v>0</v>
      </c>
      <c r="BK220" s="244" t="s">
        <v>118</v>
      </c>
      <c r="BL220" s="1331" t="s">
        <v>246</v>
      </c>
      <c r="BM220" s="145">
        <v>0.05</v>
      </c>
      <c r="BN220" s="262"/>
      <c r="BO220" s="242">
        <f t="shared" si="133"/>
        <v>149.85</v>
      </c>
      <c r="BP220" s="1231">
        <f t="shared" si="180"/>
        <v>0</v>
      </c>
      <c r="BQ220" s="387" t="s">
        <v>1076</v>
      </c>
      <c r="BR220" s="110">
        <v>2997</v>
      </c>
      <c r="BS220" s="226">
        <v>44834</v>
      </c>
      <c r="BT220" s="110">
        <v>2997</v>
      </c>
      <c r="BU220" s="263"/>
      <c r="BV220" s="110"/>
      <c r="BW220" s="348"/>
      <c r="BX220" s="110"/>
      <c r="BY220" s="263"/>
      <c r="BZ220" s="110"/>
      <c r="CA220" s="263"/>
      <c r="CB220" s="110"/>
      <c r="CC220" s="263"/>
      <c r="CD220" s="110"/>
      <c r="CE220" s="226"/>
      <c r="CF220" s="110"/>
      <c r="CG220" s="263"/>
      <c r="CH220" s="110"/>
      <c r="CI220" s="226"/>
      <c r="CJ220" s="110"/>
      <c r="CK220" s="155">
        <v>1</v>
      </c>
      <c r="CL220" s="181" t="s">
        <v>1123</v>
      </c>
      <c r="CM220" s="181"/>
      <c r="CN220" s="207"/>
      <c r="CO220" s="155" t="s">
        <v>122</v>
      </c>
      <c r="CP220" s="155"/>
      <c r="CQ220" s="131"/>
      <c r="CR220" s="823" t="s">
        <v>4455</v>
      </c>
      <c r="CS220" s="116" t="str">
        <f t="shared" si="9"/>
        <v>blackship</v>
      </c>
      <c r="CT220" s="820">
        <f t="shared" si="168"/>
        <v>0</v>
      </c>
      <c r="CU220" s="820">
        <f t="shared" si="169"/>
        <v>149.85</v>
      </c>
      <c r="CV220" s="116" t="str">
        <f t="shared" si="10"/>
        <v>Marco</v>
      </c>
      <c r="CW220" s="181"/>
      <c r="CX220" s="779"/>
      <c r="CY220" s="729"/>
      <c r="CZ220" s="729"/>
      <c r="DA220" s="729"/>
      <c r="DB220" s="729"/>
      <c r="DC220" s="729"/>
      <c r="DD220" s="265"/>
      <c r="DE220" s="265"/>
      <c r="DF220" s="265"/>
      <c r="DG220" s="265"/>
      <c r="DH220" s="265"/>
      <c r="DI220" s="265"/>
      <c r="DJ220" s="265"/>
      <c r="DK220" s="265"/>
      <c r="DL220" s="265"/>
      <c r="DM220" s="265"/>
      <c r="DN220" s="265"/>
      <c r="DO220" s="265"/>
      <c r="DP220" s="265"/>
      <c r="DQ220" s="265"/>
      <c r="DR220" s="265"/>
      <c r="DS220" s="265"/>
      <c r="DT220" s="265"/>
    </row>
    <row r="221" spans="1:124" ht="42" customHeight="1">
      <c r="A221" s="228"/>
      <c r="B221" s="1237"/>
      <c r="C221" s="155">
        <f t="shared" si="154"/>
        <v>107</v>
      </c>
      <c r="D221" s="781">
        <v>1</v>
      </c>
      <c r="E221" s="781">
        <v>1</v>
      </c>
      <c r="F221" s="781">
        <v>1</v>
      </c>
      <c r="G221" s="112" t="s">
        <v>769</v>
      </c>
      <c r="H221" s="112" t="s">
        <v>4457</v>
      </c>
      <c r="I221" s="1234" t="s">
        <v>4458</v>
      </c>
      <c r="J221" s="207" t="str">
        <f t="shared" si="0"/>
        <v>Paolo Abrami</v>
      </c>
      <c r="K221" s="156">
        <v>3276574712</v>
      </c>
      <c r="L221" s="243" t="s">
        <v>4459</v>
      </c>
      <c r="M221" s="131" t="s">
        <v>112</v>
      </c>
      <c r="N221" s="131" t="str">
        <f t="shared" si="182"/>
        <v>Forsic</v>
      </c>
      <c r="O221" s="1297"/>
      <c r="P221" s="251"/>
      <c r="Q221" s="131"/>
      <c r="R221" s="252"/>
      <c r="S221" s="254"/>
      <c r="T221" s="346"/>
      <c r="U221" s="253"/>
      <c r="V221" s="253"/>
      <c r="W221" s="251"/>
      <c r="X221" s="131"/>
      <c r="Y221" s="251"/>
      <c r="Z221" s="251"/>
      <c r="AA221" s="251"/>
      <c r="AB221" s="255"/>
      <c r="AC221" s="256"/>
      <c r="AD221" s="121" t="s">
        <v>4460</v>
      </c>
      <c r="AE221" s="80" t="str">
        <f t="shared" si="179"/>
        <v>la giornata di assenza per il dott. Abrami è quella di domenica 06/11</v>
      </c>
      <c r="AF221" s="257"/>
      <c r="AG221" s="155"/>
      <c r="AH221" s="155"/>
      <c r="AI221" s="155"/>
      <c r="AJ221" s="257"/>
      <c r="AK221" s="155"/>
      <c r="AL221" s="155"/>
      <c r="AM221" s="155"/>
      <c r="AN221" s="257"/>
      <c r="AO221" s="258"/>
      <c r="AP221" s="258"/>
      <c r="AQ221" s="258"/>
      <c r="AR221" s="211"/>
      <c r="AS221" s="259" t="s">
        <v>115</v>
      </c>
      <c r="AT221" s="259" t="s">
        <v>115</v>
      </c>
      <c r="AU221" s="259" t="s">
        <v>115</v>
      </c>
      <c r="AV221" s="211"/>
      <c r="AW221" s="259"/>
      <c r="AX221" s="259"/>
      <c r="AY221" s="259"/>
      <c r="AZ221" s="808">
        <f t="shared" si="178"/>
        <v>2997</v>
      </c>
      <c r="BA221" s="761">
        <f t="shared" si="98"/>
        <v>2997</v>
      </c>
      <c r="BB221" s="761">
        <f t="shared" si="4"/>
        <v>0</v>
      </c>
      <c r="BC221" s="262"/>
      <c r="BD221" s="824">
        <f t="shared" si="184"/>
        <v>2997</v>
      </c>
      <c r="BE221" s="1231"/>
      <c r="BF221" s="380" t="s">
        <v>160</v>
      </c>
      <c r="BG221" s="145">
        <v>0.05</v>
      </c>
      <c r="BH221" s="261"/>
      <c r="BI221" s="242">
        <f t="shared" si="137"/>
        <v>149.85</v>
      </c>
      <c r="BJ221" s="1232">
        <f t="shared" si="152"/>
        <v>0</v>
      </c>
      <c r="BK221" s="387" t="s">
        <v>1076</v>
      </c>
      <c r="BL221" s="825" t="s">
        <v>160</v>
      </c>
      <c r="BM221" s="145">
        <v>0.05</v>
      </c>
      <c r="BN221" s="262"/>
      <c r="BO221" s="242">
        <f t="shared" si="133"/>
        <v>149.85</v>
      </c>
      <c r="BP221" s="1231">
        <f t="shared" si="180"/>
        <v>0</v>
      </c>
      <c r="BQ221" s="387" t="s">
        <v>1076</v>
      </c>
      <c r="BR221" s="110">
        <v>2997</v>
      </c>
      <c r="BS221" s="226">
        <v>44834</v>
      </c>
      <c r="BT221" s="110">
        <v>2997</v>
      </c>
      <c r="BU221" s="263"/>
      <c r="BV221" s="110"/>
      <c r="BW221" s="348"/>
      <c r="BX221" s="110"/>
      <c r="BY221" s="263"/>
      <c r="BZ221" s="110"/>
      <c r="CA221" s="263"/>
      <c r="CB221" s="110"/>
      <c r="CC221" s="263"/>
      <c r="CD221" s="110"/>
      <c r="CE221" s="226"/>
      <c r="CF221" s="110"/>
      <c r="CG221" s="263"/>
      <c r="CH221" s="110"/>
      <c r="CI221" s="226"/>
      <c r="CJ221" s="110"/>
      <c r="CK221" s="155">
        <v>1</v>
      </c>
      <c r="CL221" s="181" t="s">
        <v>1123</v>
      </c>
      <c r="CM221" s="181"/>
      <c r="CN221" s="207"/>
      <c r="CO221" s="155" t="s">
        <v>122</v>
      </c>
      <c r="CP221" s="155"/>
      <c r="CQ221" s="131" t="s">
        <v>4461</v>
      </c>
      <c r="CR221" s="823" t="s">
        <v>4462</v>
      </c>
      <c r="CS221" s="116" t="str">
        <f t="shared" si="9"/>
        <v>Gianluca</v>
      </c>
      <c r="CT221" s="820">
        <f t="shared" si="168"/>
        <v>149.85</v>
      </c>
      <c r="CU221" s="820">
        <f t="shared" si="169"/>
        <v>149.85</v>
      </c>
      <c r="CV221" s="116" t="str">
        <f t="shared" si="10"/>
        <v>Gianluca</v>
      </c>
      <c r="CW221" s="181"/>
      <c r="CX221" s="779"/>
      <c r="CY221" s="729"/>
      <c r="CZ221" s="729"/>
      <c r="DA221" s="729"/>
      <c r="DB221" s="729"/>
      <c r="DC221" s="729"/>
      <c r="DD221" s="265"/>
      <c r="DE221" s="265"/>
      <c r="DF221" s="265"/>
      <c r="DG221" s="265"/>
      <c r="DH221" s="265"/>
      <c r="DI221" s="265"/>
      <c r="DJ221" s="265"/>
      <c r="DK221" s="265"/>
      <c r="DL221" s="265"/>
      <c r="DM221" s="265"/>
      <c r="DN221" s="265"/>
      <c r="DO221" s="265"/>
      <c r="DP221" s="265"/>
      <c r="DQ221" s="265"/>
      <c r="DR221" s="265"/>
      <c r="DS221" s="265"/>
      <c r="DT221" s="265"/>
    </row>
    <row r="222" spans="1:124" ht="30" customHeight="1">
      <c r="A222" s="228"/>
      <c r="B222" s="1237"/>
      <c r="C222" s="155">
        <f t="shared" si="154"/>
        <v>108</v>
      </c>
      <c r="D222" s="781">
        <v>1</v>
      </c>
      <c r="E222" s="781">
        <v>1</v>
      </c>
      <c r="F222" s="781">
        <v>1</v>
      </c>
      <c r="G222" s="112" t="s">
        <v>1048</v>
      </c>
      <c r="H222" s="112" t="s">
        <v>4463</v>
      </c>
      <c r="I222" s="1234" t="s">
        <v>4464</v>
      </c>
      <c r="J222" s="207" t="str">
        <f t="shared" si="0"/>
        <v>Monica Sangalli</v>
      </c>
      <c r="K222" s="156"/>
      <c r="M222" s="131" t="s">
        <v>4465</v>
      </c>
      <c r="N222" s="131" t="str">
        <f t="shared" si="182"/>
        <v>Forsic</v>
      </c>
      <c r="O222" s="1297"/>
      <c r="P222" s="251"/>
      <c r="Q222" s="131"/>
      <c r="R222" s="252"/>
      <c r="S222" s="254"/>
      <c r="T222" s="346"/>
      <c r="U222" s="253"/>
      <c r="V222" s="253"/>
      <c r="W222" s="251"/>
      <c r="X222" s="131"/>
      <c r="Y222" s="251"/>
      <c r="Z222" s="251"/>
      <c r="AA222" s="251"/>
      <c r="AB222" s="255"/>
      <c r="AC222" s="256"/>
      <c r="AD222" s="121" t="s">
        <v>4460</v>
      </c>
      <c r="AE222" s="80" t="str">
        <f>M221</f>
        <v>Titolare</v>
      </c>
      <c r="AF222" s="257"/>
      <c r="AG222" s="155"/>
      <c r="AH222" s="155"/>
      <c r="AI222" s="155"/>
      <c r="AJ222" s="257"/>
      <c r="AK222" s="155"/>
      <c r="AL222" s="155"/>
      <c r="AM222" s="155"/>
      <c r="AN222" s="257"/>
      <c r="AO222" s="258"/>
      <c r="AP222" s="258"/>
      <c r="AQ222" s="258"/>
      <c r="AR222" s="211"/>
      <c r="AS222" s="259" t="s">
        <v>115</v>
      </c>
      <c r="AT222" s="259" t="s">
        <v>115</v>
      </c>
      <c r="AU222" s="259" t="s">
        <v>115</v>
      </c>
      <c r="AV222" s="211"/>
      <c r="AW222" s="259"/>
      <c r="AX222" s="259"/>
      <c r="AY222" s="259"/>
      <c r="AZ222" s="808">
        <f t="shared" si="178"/>
        <v>2997</v>
      </c>
      <c r="BA222" s="761">
        <f t="shared" si="98"/>
        <v>2997</v>
      </c>
      <c r="BB222" s="761">
        <f t="shared" si="4"/>
        <v>0</v>
      </c>
      <c r="BC222" s="262"/>
      <c r="BD222" s="824">
        <f t="shared" si="184"/>
        <v>2997</v>
      </c>
      <c r="BE222" s="1231"/>
      <c r="BF222" s="380" t="s">
        <v>160</v>
      </c>
      <c r="BG222" s="145">
        <v>0.05</v>
      </c>
      <c r="BH222" s="261"/>
      <c r="BI222" s="242">
        <f t="shared" si="137"/>
        <v>149.85</v>
      </c>
      <c r="BJ222" s="1232">
        <f t="shared" si="152"/>
        <v>0</v>
      </c>
      <c r="BK222" s="387" t="s">
        <v>1076</v>
      </c>
      <c r="BL222" s="825" t="s">
        <v>160</v>
      </c>
      <c r="BM222" s="145">
        <v>0.05</v>
      </c>
      <c r="BN222" s="262"/>
      <c r="BO222" s="242">
        <f t="shared" si="133"/>
        <v>149.85</v>
      </c>
      <c r="BP222" s="1231">
        <f t="shared" si="180"/>
        <v>0</v>
      </c>
      <c r="BQ222" s="387" t="s">
        <v>1076</v>
      </c>
      <c r="BR222" s="110">
        <v>2997</v>
      </c>
      <c r="BS222" s="226">
        <v>44834</v>
      </c>
      <c r="BT222" s="110">
        <v>2997</v>
      </c>
      <c r="BU222" s="263"/>
      <c r="BV222" s="110"/>
      <c r="BW222" s="348"/>
      <c r="BX222" s="110"/>
      <c r="BY222" s="263"/>
      <c r="BZ222" s="110"/>
      <c r="CA222" s="263"/>
      <c r="CB222" s="110"/>
      <c r="CC222" s="263"/>
      <c r="CD222" s="110"/>
      <c r="CE222" s="226"/>
      <c r="CF222" s="110"/>
      <c r="CG222" s="263"/>
      <c r="CH222" s="110"/>
      <c r="CI222" s="226"/>
      <c r="CJ222" s="110"/>
      <c r="CK222" s="155">
        <v>1</v>
      </c>
      <c r="CL222" s="181" t="s">
        <v>1123</v>
      </c>
      <c r="CM222" s="181"/>
      <c r="CN222" s="207"/>
      <c r="CO222" s="155" t="s">
        <v>122</v>
      </c>
      <c r="CP222" s="155"/>
      <c r="CQ222" s="131" t="s">
        <v>4461</v>
      </c>
      <c r="CR222" s="823" t="s">
        <v>4462</v>
      </c>
      <c r="CS222" s="116" t="str">
        <f t="shared" si="9"/>
        <v>Gianluca</v>
      </c>
      <c r="CT222" s="820">
        <f t="shared" si="168"/>
        <v>149.85</v>
      </c>
      <c r="CU222" s="820">
        <f t="shared" si="169"/>
        <v>149.85</v>
      </c>
      <c r="CV222" s="116" t="str">
        <f t="shared" si="10"/>
        <v>Gianluca</v>
      </c>
      <c r="CW222" s="181"/>
      <c r="CX222" s="779"/>
      <c r="CY222" s="729"/>
      <c r="CZ222" s="729"/>
      <c r="DA222" s="729"/>
      <c r="DB222" s="729"/>
      <c r="DC222" s="729"/>
      <c r="DD222" s="265"/>
      <c r="DE222" s="265"/>
      <c r="DF222" s="265"/>
      <c r="DG222" s="265"/>
      <c r="DH222" s="265"/>
      <c r="DI222" s="265"/>
      <c r="DJ222" s="265"/>
      <c r="DK222" s="265"/>
      <c r="DL222" s="265"/>
      <c r="DM222" s="265"/>
      <c r="DN222" s="265"/>
      <c r="DO222" s="265"/>
      <c r="DP222" s="265"/>
      <c r="DQ222" s="265"/>
      <c r="DR222" s="265"/>
      <c r="DS222" s="265"/>
      <c r="DT222" s="265"/>
    </row>
    <row r="223" spans="1:124" ht="30" customHeight="1">
      <c r="A223" s="228"/>
      <c r="B223" s="1237"/>
      <c r="C223" s="155">
        <f t="shared" si="154"/>
        <v>109</v>
      </c>
      <c r="D223" s="781"/>
      <c r="E223" s="781">
        <v>1</v>
      </c>
      <c r="F223" s="781"/>
      <c r="G223" s="112" t="s">
        <v>769</v>
      </c>
      <c r="H223" s="112" t="s">
        <v>4466</v>
      </c>
      <c r="I223" s="207" t="s">
        <v>4467</v>
      </c>
      <c r="J223" s="207" t="str">
        <f t="shared" si="0"/>
        <v>Paolo Morlotti</v>
      </c>
      <c r="K223" s="156" t="s">
        <v>4468</v>
      </c>
      <c r="L223" s="131"/>
      <c r="M223" s="131" t="s">
        <v>4469</v>
      </c>
      <c r="N223" s="131" t="str">
        <f t="shared" si="182"/>
        <v>Cortis Lentini</v>
      </c>
      <c r="O223" s="1297"/>
      <c r="P223" s="251"/>
      <c r="Q223" s="131"/>
      <c r="R223" s="252"/>
      <c r="S223" s="254"/>
      <c r="T223" s="346"/>
      <c r="U223" s="253"/>
      <c r="V223" s="253"/>
      <c r="W223" s="251"/>
      <c r="X223" s="131"/>
      <c r="Y223" s="251"/>
      <c r="Z223" s="251"/>
      <c r="AA223" s="251"/>
      <c r="AB223" s="255"/>
      <c r="AC223" s="256"/>
      <c r="AD223" s="121" t="s">
        <v>4422</v>
      </c>
      <c r="AE223" s="80">
        <f t="shared" ref="AE223:AE236" si="185">L223</f>
        <v>0</v>
      </c>
      <c r="AF223" s="257"/>
      <c r="AG223" s="155"/>
      <c r="AH223" s="155"/>
      <c r="AI223" s="155"/>
      <c r="AJ223" s="257"/>
      <c r="AK223" s="155"/>
      <c r="AL223" s="155"/>
      <c r="AM223" s="155"/>
      <c r="AN223" s="257"/>
      <c r="AO223" s="258"/>
      <c r="AP223" s="258"/>
      <c r="AQ223" s="258"/>
      <c r="AR223" s="211"/>
      <c r="AS223" s="259"/>
      <c r="AT223" s="259" t="s">
        <v>115</v>
      </c>
      <c r="AU223" s="259"/>
      <c r="AV223" s="211"/>
      <c r="AW223" s="259" t="s">
        <v>115</v>
      </c>
      <c r="AX223" s="259"/>
      <c r="AY223" s="259" t="s">
        <v>115</v>
      </c>
      <c r="AZ223" s="808">
        <f t="shared" si="178"/>
        <v>2997</v>
      </c>
      <c r="BA223" s="761">
        <f t="shared" si="98"/>
        <v>2997</v>
      </c>
      <c r="BB223" s="761">
        <f t="shared" si="4"/>
        <v>0</v>
      </c>
      <c r="BC223" s="262"/>
      <c r="BD223" s="824">
        <f t="shared" si="184"/>
        <v>2997</v>
      </c>
      <c r="BE223" s="1231"/>
      <c r="BF223" s="392" t="s">
        <v>141</v>
      </c>
      <c r="BG223" s="145">
        <v>0.15</v>
      </c>
      <c r="BH223" s="261"/>
      <c r="BI223" s="242">
        <f t="shared" si="137"/>
        <v>449.55</v>
      </c>
      <c r="BJ223" s="1232">
        <f t="shared" si="152"/>
        <v>0</v>
      </c>
      <c r="BK223" s="1281" t="s">
        <v>1205</v>
      </c>
      <c r="BL223" s="289" t="s">
        <v>141</v>
      </c>
      <c r="BM223" s="145">
        <v>0.05</v>
      </c>
      <c r="BN223" s="262"/>
      <c r="BO223" s="242">
        <f t="shared" si="133"/>
        <v>149.85</v>
      </c>
      <c r="BP223" s="1231">
        <f t="shared" si="180"/>
        <v>0</v>
      </c>
      <c r="BQ223" s="1281" t="s">
        <v>1205</v>
      </c>
      <c r="BR223" s="110">
        <v>2997</v>
      </c>
      <c r="BS223" s="226">
        <v>44834</v>
      </c>
      <c r="BT223" s="110">
        <v>2997</v>
      </c>
      <c r="BU223" s="263"/>
      <c r="BV223" s="110"/>
      <c r="BW223" s="348"/>
      <c r="BX223" s="110"/>
      <c r="BY223" s="263"/>
      <c r="BZ223" s="110"/>
      <c r="CA223" s="263"/>
      <c r="CB223" s="110"/>
      <c r="CC223" s="263"/>
      <c r="CD223" s="110"/>
      <c r="CE223" s="226"/>
      <c r="CF223" s="110"/>
      <c r="CG223" s="263"/>
      <c r="CH223" s="110"/>
      <c r="CI223" s="226"/>
      <c r="CJ223" s="110"/>
      <c r="CK223" s="155">
        <v>1</v>
      </c>
      <c r="CL223" s="181" t="s">
        <v>1123</v>
      </c>
      <c r="CM223" s="181"/>
      <c r="CN223" s="207"/>
      <c r="CO223" s="312"/>
      <c r="CP223" s="155"/>
      <c r="CQ223" s="131" t="s">
        <v>1869</v>
      </c>
      <c r="CR223" s="823" t="s">
        <v>4423</v>
      </c>
      <c r="CS223" s="116" t="str">
        <f t="shared" si="9"/>
        <v>Daniele</v>
      </c>
      <c r="CT223" s="820">
        <f t="shared" si="168"/>
        <v>449.55</v>
      </c>
      <c r="CU223" s="820">
        <f t="shared" si="169"/>
        <v>149.85</v>
      </c>
      <c r="CV223" s="116" t="str">
        <f t="shared" si="10"/>
        <v>Daniele</v>
      </c>
      <c r="CW223" s="181"/>
      <c r="CX223" s="779"/>
      <c r="CY223" s="729"/>
      <c r="CZ223" s="729"/>
      <c r="DA223" s="729"/>
      <c r="DB223" s="729"/>
      <c r="DC223" s="729"/>
      <c r="DD223" s="265"/>
      <c r="DE223" s="265"/>
      <c r="DF223" s="265"/>
      <c r="DG223" s="265"/>
      <c r="DH223" s="265"/>
      <c r="DI223" s="265"/>
      <c r="DJ223" s="265"/>
      <c r="DK223" s="265"/>
      <c r="DL223" s="265"/>
      <c r="DM223" s="265"/>
      <c r="DN223" s="265"/>
      <c r="DO223" s="265"/>
      <c r="DP223" s="265"/>
      <c r="DQ223" s="265"/>
      <c r="DR223" s="265"/>
      <c r="DS223" s="265"/>
      <c r="DT223" s="265"/>
    </row>
    <row r="224" spans="1:124" ht="30" customHeight="1">
      <c r="A224" s="228"/>
      <c r="B224" s="1237"/>
      <c r="C224" s="155">
        <f t="shared" si="154"/>
        <v>110</v>
      </c>
      <c r="D224" s="781"/>
      <c r="E224" s="781"/>
      <c r="F224" s="781"/>
      <c r="G224" s="112" t="s">
        <v>287</v>
      </c>
      <c r="H224" s="112" t="s">
        <v>1145</v>
      </c>
      <c r="I224" s="207" t="s">
        <v>1146</v>
      </c>
      <c r="J224" s="207" t="str">
        <f t="shared" si="0"/>
        <v>Riccardo Cavuoto</v>
      </c>
      <c r="K224" s="156" t="s">
        <v>1147</v>
      </c>
      <c r="L224" s="131"/>
      <c r="M224" s="131" t="s">
        <v>1148</v>
      </c>
      <c r="N224" s="131" t="str">
        <f t="shared" si="182"/>
        <v>Erretielle</v>
      </c>
      <c r="O224" s="1297"/>
      <c r="P224" s="251"/>
      <c r="Q224" s="131"/>
      <c r="R224" s="252"/>
      <c r="S224" s="254"/>
      <c r="T224" s="346"/>
      <c r="U224" s="253"/>
      <c r="V224" s="253"/>
      <c r="W224" s="251"/>
      <c r="X224" s="131"/>
      <c r="Y224" s="251"/>
      <c r="Z224" s="251"/>
      <c r="AA224" s="251"/>
      <c r="AB224" s="255"/>
      <c r="AC224" s="256"/>
      <c r="AD224" s="121" t="s">
        <v>4091</v>
      </c>
      <c r="AE224" s="80">
        <f t="shared" si="185"/>
        <v>0</v>
      </c>
      <c r="AF224" s="257"/>
      <c r="AG224" s="155"/>
      <c r="AH224" s="155"/>
      <c r="AI224" s="155"/>
      <c r="AJ224" s="257"/>
      <c r="AK224" s="155"/>
      <c r="AL224" s="155"/>
      <c r="AM224" s="155"/>
      <c r="AN224" s="257"/>
      <c r="AO224" s="258"/>
      <c r="AP224" s="258"/>
      <c r="AQ224" s="258"/>
      <c r="AR224" s="211"/>
      <c r="AS224" s="259"/>
      <c r="AT224" s="259"/>
      <c r="AU224" s="259"/>
      <c r="AV224" s="211"/>
      <c r="AW224" s="259" t="s">
        <v>27</v>
      </c>
      <c r="AX224" s="259" t="s">
        <v>27</v>
      </c>
      <c r="AY224" s="259" t="s">
        <v>27</v>
      </c>
      <c r="AZ224" s="808">
        <f t="shared" si="178"/>
        <v>3497</v>
      </c>
      <c r="BA224" s="761">
        <f t="shared" si="98"/>
        <v>1573.77</v>
      </c>
      <c r="BB224" s="1313">
        <f t="shared" si="4"/>
        <v>1923.23</v>
      </c>
      <c r="BC224" s="110"/>
      <c r="BD224" s="1230"/>
      <c r="BE224" s="1231">
        <v>3497</v>
      </c>
      <c r="BF224" s="827" t="s">
        <v>117</v>
      </c>
      <c r="BG224" s="98">
        <v>0</v>
      </c>
      <c r="BH224" s="261"/>
      <c r="BI224" s="242">
        <f t="shared" si="137"/>
        <v>0</v>
      </c>
      <c r="BJ224" s="1232">
        <f t="shared" si="152"/>
        <v>0</v>
      </c>
      <c r="BK224" s="243"/>
      <c r="BL224" s="828" t="s">
        <v>166</v>
      </c>
      <c r="BM224" s="145">
        <v>0.05</v>
      </c>
      <c r="BN224" s="110"/>
      <c r="BO224" s="242">
        <f t="shared" si="133"/>
        <v>0</v>
      </c>
      <c r="BP224" s="1231">
        <f t="shared" si="180"/>
        <v>174.85000000000002</v>
      </c>
      <c r="BQ224" s="243"/>
      <c r="BR224" s="110">
        <v>163.93</v>
      </c>
      <c r="BS224" s="226">
        <v>44834</v>
      </c>
      <c r="BT224" s="110">
        <v>163.93</v>
      </c>
      <c r="BU224" s="263"/>
      <c r="BV224" s="110">
        <v>1409.84</v>
      </c>
      <c r="BW224" s="348">
        <v>44841</v>
      </c>
      <c r="BX224" s="110">
        <v>1409.84</v>
      </c>
      <c r="BY224" s="263"/>
      <c r="BZ224" s="110">
        <v>1923.23</v>
      </c>
      <c r="CA224" s="348">
        <v>44854</v>
      </c>
      <c r="CB224" s="110"/>
      <c r="CC224" s="263"/>
      <c r="CD224" s="110"/>
      <c r="CE224" s="226"/>
      <c r="CF224" s="110"/>
      <c r="CG224" s="263"/>
      <c r="CH224" s="110"/>
      <c r="CI224" s="226"/>
      <c r="CJ224" s="110"/>
      <c r="CK224" s="155"/>
      <c r="CL224" s="181"/>
      <c r="CM224" s="181"/>
      <c r="CN224" s="207"/>
      <c r="CO224" s="207"/>
      <c r="CP224" s="155"/>
      <c r="CQ224" s="131" t="s">
        <v>1151</v>
      </c>
      <c r="CR224" s="823" t="s">
        <v>1149</v>
      </c>
      <c r="CS224" s="116" t="str">
        <f t="shared" si="9"/>
        <v>blackship</v>
      </c>
      <c r="CT224" s="820" t="b">
        <f t="shared" si="168"/>
        <v>0</v>
      </c>
      <c r="CU224" s="820" t="b">
        <f t="shared" si="169"/>
        <v>0</v>
      </c>
      <c r="CV224" s="116" t="str">
        <f t="shared" si="10"/>
        <v>Matteo</v>
      </c>
      <c r="CW224" s="181"/>
      <c r="CX224" s="779"/>
      <c r="CY224" s="729"/>
      <c r="CZ224" s="729"/>
      <c r="DA224" s="729"/>
      <c r="DB224" s="729"/>
      <c r="DC224" s="729"/>
      <c r="DD224" s="265"/>
      <c r="DE224" s="265"/>
      <c r="DF224" s="265"/>
      <c r="DG224" s="265"/>
      <c r="DH224" s="265"/>
      <c r="DI224" s="265"/>
      <c r="DJ224" s="265"/>
      <c r="DK224" s="265"/>
      <c r="DL224" s="265"/>
      <c r="DM224" s="265"/>
      <c r="DN224" s="265"/>
      <c r="DO224" s="265"/>
      <c r="DP224" s="265"/>
      <c r="DQ224" s="265"/>
      <c r="DR224" s="265"/>
      <c r="DS224" s="265"/>
      <c r="DT224" s="265"/>
    </row>
    <row r="225" spans="1:124" ht="30" customHeight="1">
      <c r="A225" s="228"/>
      <c r="B225" s="1237"/>
      <c r="C225" s="155">
        <f t="shared" si="154"/>
        <v>111</v>
      </c>
      <c r="D225" s="781">
        <v>1</v>
      </c>
      <c r="E225" s="781">
        <v>1</v>
      </c>
      <c r="F225" s="781">
        <v>1</v>
      </c>
      <c r="G225" s="112" t="s">
        <v>822</v>
      </c>
      <c r="H225" s="112" t="s">
        <v>4470</v>
      </c>
      <c r="I225" s="1234" t="s">
        <v>4471</v>
      </c>
      <c r="J225" s="207" t="str">
        <f t="shared" si="0"/>
        <v>Roberto Capella</v>
      </c>
      <c r="K225" s="156">
        <v>3386005456</v>
      </c>
      <c r="L225" s="204" t="s">
        <v>4472</v>
      </c>
      <c r="M225" s="207" t="s">
        <v>4473</v>
      </c>
      <c r="N225" s="131" t="str">
        <f t="shared" si="182"/>
        <v>Dental Gemini</v>
      </c>
      <c r="O225" s="1297"/>
      <c r="P225" s="251"/>
      <c r="Q225" s="131"/>
      <c r="R225" s="252"/>
      <c r="S225" s="254"/>
      <c r="T225" s="346"/>
      <c r="U225" s="253"/>
      <c r="V225" s="253"/>
      <c r="W225" s="251"/>
      <c r="X225" s="131"/>
      <c r="Y225" s="251"/>
      <c r="Z225" s="251"/>
      <c r="AA225" s="251"/>
      <c r="AB225" s="255"/>
      <c r="AC225" s="256"/>
      <c r="AD225" s="121" t="s">
        <v>4474</v>
      </c>
      <c r="AE225" s="131" t="str">
        <f t="shared" si="185"/>
        <v>mail del 30/9/22: posibilità di pagare in 4 rate: entro il 20 ottobre, 20 novembre- 20 dicembre e 20 gennaio</v>
      </c>
      <c r="AF225" s="257"/>
      <c r="AG225" s="155"/>
      <c r="AH225" s="155"/>
      <c r="AI225" s="155"/>
      <c r="AJ225" s="257"/>
      <c r="AK225" s="155"/>
      <c r="AL225" s="155"/>
      <c r="AM225" s="155"/>
      <c r="AN225" s="257"/>
      <c r="AO225" s="258"/>
      <c r="AP225" s="258"/>
      <c r="AQ225" s="258"/>
      <c r="AR225" s="211"/>
      <c r="AS225" s="259" t="s">
        <v>115</v>
      </c>
      <c r="AT225" s="259" t="s">
        <v>115</v>
      </c>
      <c r="AU225" s="259" t="s">
        <v>115</v>
      </c>
      <c r="AV225" s="211"/>
      <c r="AW225" s="259"/>
      <c r="AX225" s="259"/>
      <c r="AY225" s="259"/>
      <c r="AZ225" s="808">
        <f t="shared" si="178"/>
        <v>2997</v>
      </c>
      <c r="BA225" s="761">
        <f t="shared" si="98"/>
        <v>2997</v>
      </c>
      <c r="BB225" s="761">
        <f t="shared" si="4"/>
        <v>0</v>
      </c>
      <c r="BC225" s="110"/>
      <c r="BD225" s="242">
        <f t="shared" ref="BD225:BD226" si="186">AZ225</f>
        <v>2997</v>
      </c>
      <c r="BE225" s="1231"/>
      <c r="BF225" s="827" t="s">
        <v>262</v>
      </c>
      <c r="BG225" s="145">
        <v>0.05</v>
      </c>
      <c r="BH225" s="261"/>
      <c r="BI225" s="242">
        <f t="shared" si="137"/>
        <v>149.85</v>
      </c>
      <c r="BJ225" s="1232">
        <f t="shared" si="152"/>
        <v>0</v>
      </c>
      <c r="BK225" s="243" t="s">
        <v>4475</v>
      </c>
      <c r="BL225" s="289" t="s">
        <v>262</v>
      </c>
      <c r="BM225" s="145">
        <v>0.05</v>
      </c>
      <c r="BN225" s="378"/>
      <c r="BO225" s="242">
        <f t="shared" si="133"/>
        <v>149.85</v>
      </c>
      <c r="BP225" s="1231">
        <f t="shared" si="180"/>
        <v>0</v>
      </c>
      <c r="BQ225" s="243" t="s">
        <v>4475</v>
      </c>
      <c r="BR225" s="110">
        <v>749.25</v>
      </c>
      <c r="BS225" s="226">
        <v>44854</v>
      </c>
      <c r="BT225" s="110">
        <v>749.25</v>
      </c>
      <c r="BU225" s="263"/>
      <c r="BV225" s="110">
        <v>749.25</v>
      </c>
      <c r="BW225" s="226">
        <v>44885</v>
      </c>
      <c r="BX225" s="110">
        <v>749.25</v>
      </c>
      <c r="BY225" s="263"/>
      <c r="BZ225" s="110">
        <v>749.25</v>
      </c>
      <c r="CA225" s="226">
        <v>44915</v>
      </c>
      <c r="CB225" s="110">
        <v>749.25</v>
      </c>
      <c r="CC225" s="263"/>
      <c r="CD225" s="110">
        <v>749.25</v>
      </c>
      <c r="CE225" s="226">
        <v>44946</v>
      </c>
      <c r="CF225" s="110">
        <v>749.25</v>
      </c>
      <c r="CG225" s="263"/>
      <c r="CH225" s="110"/>
      <c r="CI225" s="226"/>
      <c r="CJ225" s="110"/>
      <c r="CK225" s="155">
        <v>1</v>
      </c>
      <c r="CL225" s="181" t="s">
        <v>1123</v>
      </c>
      <c r="CM225" s="181"/>
      <c r="CN225" s="207"/>
      <c r="CO225" s="155" t="s">
        <v>122</v>
      </c>
      <c r="CP225" s="155"/>
      <c r="CQ225" s="131" t="s">
        <v>4476</v>
      </c>
      <c r="CR225" s="823" t="s">
        <v>4477</v>
      </c>
      <c r="CS225" s="116" t="str">
        <f t="shared" si="9"/>
        <v>Pacci</v>
      </c>
      <c r="CT225" s="820">
        <f t="shared" si="168"/>
        <v>149.85</v>
      </c>
      <c r="CU225" s="820">
        <f t="shared" si="169"/>
        <v>149.85</v>
      </c>
      <c r="CV225" s="116" t="str">
        <f t="shared" si="10"/>
        <v>Pacci</v>
      </c>
      <c r="CW225" s="181"/>
      <c r="CX225" s="779"/>
      <c r="CY225" s="729"/>
      <c r="CZ225" s="729"/>
      <c r="DA225" s="729"/>
      <c r="DB225" s="729"/>
      <c r="DC225" s="729"/>
      <c r="DD225" s="265"/>
      <c r="DE225" s="265"/>
      <c r="DF225" s="265"/>
      <c r="DG225" s="265"/>
      <c r="DH225" s="265"/>
      <c r="DI225" s="265"/>
      <c r="DJ225" s="265"/>
      <c r="DK225" s="265"/>
      <c r="DL225" s="265"/>
      <c r="DM225" s="265"/>
      <c r="DN225" s="265"/>
      <c r="DO225" s="265"/>
      <c r="DP225" s="265"/>
      <c r="DQ225" s="265"/>
      <c r="DR225" s="265"/>
      <c r="DS225" s="265"/>
      <c r="DT225" s="265"/>
    </row>
    <row r="226" spans="1:124" ht="30" customHeight="1">
      <c r="A226" s="228"/>
      <c r="B226" s="1237"/>
      <c r="C226" s="155">
        <f t="shared" si="154"/>
        <v>112</v>
      </c>
      <c r="D226" s="781">
        <v>1</v>
      </c>
      <c r="E226" s="781">
        <v>1</v>
      </c>
      <c r="F226" s="781">
        <v>1</v>
      </c>
      <c r="G226" s="112" t="s">
        <v>665</v>
      </c>
      <c r="H226" s="112" t="s">
        <v>4478</v>
      </c>
      <c r="I226" s="1234" t="s">
        <v>4479</v>
      </c>
      <c r="J226" s="207" t="str">
        <f t="shared" si="0"/>
        <v>Luigi Maggioni</v>
      </c>
      <c r="K226" s="156"/>
      <c r="L226" s="204" t="s">
        <v>4472</v>
      </c>
      <c r="M226" s="207" t="s">
        <v>4473</v>
      </c>
      <c r="N226" s="131" t="str">
        <f t="shared" si="182"/>
        <v>Dental Gemini</v>
      </c>
      <c r="O226" s="1297"/>
      <c r="P226" s="251"/>
      <c r="Q226" s="131"/>
      <c r="R226" s="252"/>
      <c r="S226" s="254"/>
      <c r="T226" s="346"/>
      <c r="U226" s="253"/>
      <c r="V226" s="253"/>
      <c r="W226" s="251"/>
      <c r="X226" s="131"/>
      <c r="Y226" s="251"/>
      <c r="Z226" s="251"/>
      <c r="AA226" s="251"/>
      <c r="AB226" s="255"/>
      <c r="AC226" s="256"/>
      <c r="AD226" s="121" t="s">
        <v>4474</v>
      </c>
      <c r="AE226" s="131" t="str">
        <f t="shared" si="185"/>
        <v>mail del 30/9/22: posibilità di pagare in 4 rate: entro il 20 ottobre, 20 novembre- 20 dicembre e 20 gennaio</v>
      </c>
      <c r="AF226" s="257"/>
      <c r="AG226" s="155"/>
      <c r="AH226" s="155"/>
      <c r="AI226" s="155"/>
      <c r="AJ226" s="257"/>
      <c r="AK226" s="155"/>
      <c r="AL226" s="155"/>
      <c r="AM226" s="155"/>
      <c r="AN226" s="257"/>
      <c r="AO226" s="258"/>
      <c r="AP226" s="258"/>
      <c r="AQ226" s="258"/>
      <c r="AR226" s="211"/>
      <c r="AS226" s="259" t="s">
        <v>115</v>
      </c>
      <c r="AT226" s="259" t="s">
        <v>115</v>
      </c>
      <c r="AU226" s="259" t="s">
        <v>115</v>
      </c>
      <c r="AV226" s="211"/>
      <c r="AW226" s="259"/>
      <c r="AX226" s="259"/>
      <c r="AY226" s="259"/>
      <c r="AZ226" s="808">
        <f t="shared" si="178"/>
        <v>2997</v>
      </c>
      <c r="BA226" s="761">
        <f t="shared" si="98"/>
        <v>2997</v>
      </c>
      <c r="BB226" s="761">
        <f t="shared" si="4"/>
        <v>0</v>
      </c>
      <c r="BC226" s="110"/>
      <c r="BD226" s="242">
        <f t="shared" si="186"/>
        <v>2997</v>
      </c>
      <c r="BE226" s="1231"/>
      <c r="BF226" s="827" t="s">
        <v>262</v>
      </c>
      <c r="BG226" s="145">
        <v>0.05</v>
      </c>
      <c r="BH226" s="261"/>
      <c r="BI226" s="242">
        <f t="shared" si="137"/>
        <v>149.85</v>
      </c>
      <c r="BJ226" s="1232">
        <f t="shared" si="152"/>
        <v>0</v>
      </c>
      <c r="BK226" s="243" t="s">
        <v>4475</v>
      </c>
      <c r="BL226" s="289" t="s">
        <v>262</v>
      </c>
      <c r="BM226" s="145">
        <v>0.05</v>
      </c>
      <c r="BN226" s="262"/>
      <c r="BO226" s="242">
        <f t="shared" si="133"/>
        <v>149.85</v>
      </c>
      <c r="BP226" s="1231">
        <f t="shared" si="180"/>
        <v>0</v>
      </c>
      <c r="BQ226" s="243" t="s">
        <v>4475</v>
      </c>
      <c r="BR226" s="110">
        <v>749.25</v>
      </c>
      <c r="BS226" s="226">
        <v>44854</v>
      </c>
      <c r="BT226" s="110">
        <v>749.25</v>
      </c>
      <c r="BU226" s="263"/>
      <c r="BV226" s="110">
        <v>749.25</v>
      </c>
      <c r="BW226" s="226">
        <v>44885</v>
      </c>
      <c r="BX226" s="110">
        <v>749.25</v>
      </c>
      <c r="BY226" s="263"/>
      <c r="BZ226" s="110">
        <v>749.25</v>
      </c>
      <c r="CA226" s="226">
        <v>44915</v>
      </c>
      <c r="CB226" s="110">
        <v>749.25</v>
      </c>
      <c r="CC226" s="263"/>
      <c r="CD226" s="110">
        <v>749.25</v>
      </c>
      <c r="CE226" s="226">
        <v>44946</v>
      </c>
      <c r="CF226" s="110">
        <v>749.25</v>
      </c>
      <c r="CG226" s="263"/>
      <c r="CH226" s="110"/>
      <c r="CI226" s="226"/>
      <c r="CJ226" s="110"/>
      <c r="CK226" s="155">
        <v>1</v>
      </c>
      <c r="CL226" s="181" t="s">
        <v>1123</v>
      </c>
      <c r="CM226" s="181"/>
      <c r="CN226" s="207"/>
      <c r="CO226" s="155" t="s">
        <v>122</v>
      </c>
      <c r="CP226" s="155"/>
      <c r="CQ226" s="131" t="s">
        <v>4476</v>
      </c>
      <c r="CR226" s="823" t="s">
        <v>4477</v>
      </c>
      <c r="CS226" s="116" t="str">
        <f t="shared" si="9"/>
        <v>Pacci</v>
      </c>
      <c r="CT226" s="820">
        <f t="shared" si="168"/>
        <v>149.85</v>
      </c>
      <c r="CU226" s="820">
        <f t="shared" si="169"/>
        <v>149.85</v>
      </c>
      <c r="CV226" s="116" t="str">
        <f t="shared" si="10"/>
        <v>Pacci</v>
      </c>
      <c r="CW226" s="181"/>
      <c r="CX226" s="779"/>
      <c r="CY226" s="729"/>
      <c r="CZ226" s="729"/>
      <c r="DA226" s="729"/>
      <c r="DB226" s="729"/>
      <c r="DC226" s="729"/>
      <c r="DD226" s="265"/>
      <c r="DE226" s="265"/>
      <c r="DF226" s="265"/>
      <c r="DG226" s="265"/>
      <c r="DH226" s="265"/>
      <c r="DI226" s="265"/>
      <c r="DJ226" s="265"/>
      <c r="DK226" s="265"/>
      <c r="DL226" s="265"/>
      <c r="DM226" s="265"/>
      <c r="DN226" s="265"/>
      <c r="DO226" s="265"/>
      <c r="DP226" s="265"/>
      <c r="DQ226" s="265"/>
      <c r="DR226" s="265"/>
      <c r="DS226" s="265"/>
      <c r="DT226" s="265"/>
    </row>
    <row r="227" spans="1:124" ht="30" customHeight="1">
      <c r="A227" s="228"/>
      <c r="B227" s="1314"/>
      <c r="C227" s="155">
        <f t="shared" si="154"/>
        <v>113</v>
      </c>
      <c r="D227" s="781"/>
      <c r="E227" s="781"/>
      <c r="F227" s="781"/>
      <c r="G227" s="112" t="s">
        <v>4480</v>
      </c>
      <c r="H227" s="112" t="s">
        <v>4481</v>
      </c>
      <c r="I227" s="294" t="s">
        <v>4482</v>
      </c>
      <c r="J227" s="207" t="str">
        <f t="shared" si="0"/>
        <v>Rosaria (Sara) Lo Destro</v>
      </c>
      <c r="K227" s="156">
        <v>3428067378</v>
      </c>
      <c r="L227" s="131"/>
      <c r="M227" s="131" t="s">
        <v>1177</v>
      </c>
      <c r="N227" s="131" t="str">
        <f t="shared" si="182"/>
        <v>DOLCE VITA STAY</v>
      </c>
      <c r="O227" s="1297"/>
      <c r="P227" s="251"/>
      <c r="Q227" s="131"/>
      <c r="R227" s="252"/>
      <c r="S227" s="254"/>
      <c r="T227" s="346"/>
      <c r="U227" s="253"/>
      <c r="V227" s="253"/>
      <c r="W227" s="251"/>
      <c r="X227" s="131"/>
      <c r="Y227" s="251"/>
      <c r="Z227" s="251"/>
      <c r="AA227" s="251"/>
      <c r="AB227" s="255"/>
      <c r="AC227" s="256"/>
      <c r="AD227" s="121"/>
      <c r="AE227" s="80">
        <f t="shared" si="185"/>
        <v>0</v>
      </c>
      <c r="AF227" s="257"/>
      <c r="AG227" s="155"/>
      <c r="AH227" s="155"/>
      <c r="AI227" s="155"/>
      <c r="AJ227" s="257"/>
      <c r="AK227" s="155"/>
      <c r="AL227" s="155"/>
      <c r="AM227" s="155"/>
      <c r="AN227" s="257"/>
      <c r="AO227" s="258"/>
      <c r="AP227" s="258"/>
      <c r="AQ227" s="258"/>
      <c r="AR227" s="211"/>
      <c r="AS227" s="259"/>
      <c r="AT227" s="259"/>
      <c r="AU227" s="259"/>
      <c r="AV227" s="211"/>
      <c r="AW227" s="259" t="s">
        <v>115</v>
      </c>
      <c r="AX227" s="259" t="s">
        <v>115</v>
      </c>
      <c r="AY227" s="259" t="s">
        <v>115</v>
      </c>
      <c r="AZ227" s="808">
        <f t="shared" si="178"/>
        <v>2997</v>
      </c>
      <c r="BA227" s="761">
        <f t="shared" si="98"/>
        <v>0</v>
      </c>
      <c r="BB227" s="761">
        <f t="shared" si="4"/>
        <v>2997</v>
      </c>
      <c r="BC227" s="110"/>
      <c r="BD227" s="242"/>
      <c r="BE227" s="1231">
        <v>2997</v>
      </c>
      <c r="BF227" s="105" t="s">
        <v>414</v>
      </c>
      <c r="BG227" s="145">
        <v>0.15</v>
      </c>
      <c r="BH227" s="261"/>
      <c r="BI227" s="242">
        <f t="shared" si="137"/>
        <v>0</v>
      </c>
      <c r="BJ227" s="1232">
        <f t="shared" si="152"/>
        <v>449.55</v>
      </c>
      <c r="BK227" s="243"/>
      <c r="BL227" s="825" t="s">
        <v>414</v>
      </c>
      <c r="BM227" s="145">
        <v>0.05</v>
      </c>
      <c r="BN227" s="262"/>
      <c r="BO227" s="242">
        <f t="shared" si="133"/>
        <v>0</v>
      </c>
      <c r="BP227" s="1231">
        <f t="shared" si="180"/>
        <v>149.85</v>
      </c>
      <c r="BQ227" s="243"/>
      <c r="BR227" s="110">
        <v>2997</v>
      </c>
      <c r="BS227" s="226">
        <v>44834</v>
      </c>
      <c r="BT227" s="110"/>
      <c r="BU227" s="263"/>
      <c r="BV227" s="110"/>
      <c r="BW227" s="348"/>
      <c r="BX227" s="110"/>
      <c r="BY227" s="263"/>
      <c r="BZ227" s="110"/>
      <c r="CA227" s="263"/>
      <c r="CB227" s="110"/>
      <c r="CC227" s="263"/>
      <c r="CD227" s="110"/>
      <c r="CE227" s="226"/>
      <c r="CF227" s="110"/>
      <c r="CG227" s="263"/>
      <c r="CH227" s="110"/>
      <c r="CI227" s="226"/>
      <c r="CJ227" s="110"/>
      <c r="CK227" s="155">
        <v>1</v>
      </c>
      <c r="CL227" s="181" t="s">
        <v>1123</v>
      </c>
      <c r="CM227" s="181"/>
      <c r="CN227" s="207"/>
      <c r="CO227" s="207"/>
      <c r="CP227" s="155"/>
      <c r="CQ227" s="131" t="s">
        <v>4483</v>
      </c>
      <c r="CR227" s="823" t="s">
        <v>4484</v>
      </c>
      <c r="CS227" s="116" t="str">
        <f t="shared" si="9"/>
        <v>Barbara</v>
      </c>
      <c r="CT227" s="820" t="b">
        <f t="shared" si="168"/>
        <v>0</v>
      </c>
      <c r="CU227" s="820" t="b">
        <f t="shared" si="169"/>
        <v>0</v>
      </c>
      <c r="CV227" s="116" t="str">
        <f t="shared" si="10"/>
        <v>Barbara</v>
      </c>
      <c r="CW227" s="181"/>
      <c r="CX227" s="779"/>
      <c r="CY227" s="729"/>
      <c r="CZ227" s="729"/>
      <c r="DA227" s="729"/>
      <c r="DB227" s="729"/>
      <c r="DC227" s="729"/>
      <c r="DD227" s="265"/>
      <c r="DE227" s="265"/>
      <c r="DF227" s="265"/>
      <c r="DG227" s="265"/>
      <c r="DH227" s="265"/>
      <c r="DI227" s="265"/>
      <c r="DJ227" s="265"/>
      <c r="DK227" s="265"/>
      <c r="DL227" s="265"/>
      <c r="DM227" s="265"/>
      <c r="DN227" s="265"/>
      <c r="DO227" s="265"/>
      <c r="DP227" s="265"/>
      <c r="DQ227" s="265"/>
      <c r="DR227" s="265"/>
      <c r="DS227" s="265"/>
      <c r="DT227" s="265"/>
    </row>
    <row r="228" spans="1:124" ht="39" customHeight="1">
      <c r="A228" s="228"/>
      <c r="B228" s="1237"/>
      <c r="C228" s="155">
        <f t="shared" si="154"/>
        <v>114</v>
      </c>
      <c r="D228" s="781">
        <v>1</v>
      </c>
      <c r="E228" s="781"/>
      <c r="F228" s="781">
        <v>1</v>
      </c>
      <c r="G228" s="112" t="s">
        <v>1299</v>
      </c>
      <c r="H228" s="112" t="s">
        <v>1300</v>
      </c>
      <c r="I228" s="207" t="s">
        <v>1301</v>
      </c>
      <c r="J228" s="207" t="str">
        <f t="shared" si="0"/>
        <v>Samuele Miserocchi</v>
      </c>
      <c r="K228" s="156" t="s">
        <v>1302</v>
      </c>
      <c r="L228" s="131"/>
      <c r="M228" s="131" t="s">
        <v>355</v>
      </c>
      <c r="N228" s="131" t="str">
        <f t="shared" si="182"/>
        <v>Albatros Ecologia Ambiente Sicurezza</v>
      </c>
      <c r="O228" s="1297"/>
      <c r="P228" s="251"/>
      <c r="Q228" s="131"/>
      <c r="R228" s="252"/>
      <c r="S228" s="254"/>
      <c r="T228" s="346"/>
      <c r="U228" s="253"/>
      <c r="V228" s="253"/>
      <c r="W228" s="251"/>
      <c r="X228" s="131"/>
      <c r="Y228" s="251"/>
      <c r="Z228" s="251"/>
      <c r="AA228" s="251"/>
      <c r="AB228" s="255"/>
      <c r="AC228" s="256"/>
      <c r="AD228" s="121" t="s">
        <v>1192</v>
      </c>
      <c r="AE228" s="80">
        <f t="shared" si="185"/>
        <v>0</v>
      </c>
      <c r="AF228" s="257"/>
      <c r="AG228" s="155"/>
      <c r="AH228" s="155"/>
      <c r="AI228" s="155"/>
      <c r="AJ228" s="257"/>
      <c r="AK228" s="155"/>
      <c r="AL228" s="155"/>
      <c r="AM228" s="155"/>
      <c r="AN228" s="257"/>
      <c r="AO228" s="258"/>
      <c r="AP228" s="258"/>
      <c r="AQ228" s="258"/>
      <c r="AR228" s="211"/>
      <c r="AS228" s="259" t="s">
        <v>115</v>
      </c>
      <c r="AT228" s="259"/>
      <c r="AU228" s="259" t="s">
        <v>115</v>
      </c>
      <c r="AV228" s="211"/>
      <c r="AW228" s="259"/>
      <c r="AX228" s="259" t="s">
        <v>115</v>
      </c>
      <c r="AY228" s="259"/>
      <c r="AZ228" s="808">
        <f t="shared" si="178"/>
        <v>2997</v>
      </c>
      <c r="BA228" s="761">
        <f t="shared" si="98"/>
        <v>2997</v>
      </c>
      <c r="BB228" s="761">
        <f t="shared" si="4"/>
        <v>0</v>
      </c>
      <c r="BC228" s="110"/>
      <c r="BD228" s="242">
        <f t="shared" ref="BD228:BD229" si="187">AZ228</f>
        <v>2997</v>
      </c>
      <c r="BE228" s="1231"/>
      <c r="BF228" s="392" t="s">
        <v>407</v>
      </c>
      <c r="BG228" s="145">
        <v>0.15</v>
      </c>
      <c r="BH228" s="261"/>
      <c r="BI228" s="242">
        <f t="shared" si="137"/>
        <v>449.55</v>
      </c>
      <c r="BJ228" s="1232">
        <f t="shared" si="152"/>
        <v>0</v>
      </c>
      <c r="BK228" s="387" t="s">
        <v>1076</v>
      </c>
      <c r="BL228" s="289" t="s">
        <v>407</v>
      </c>
      <c r="BM228" s="145">
        <v>0.05</v>
      </c>
      <c r="BN228" s="262"/>
      <c r="BO228" s="242">
        <f t="shared" si="133"/>
        <v>149.85</v>
      </c>
      <c r="BP228" s="1231">
        <f t="shared" si="180"/>
        <v>0</v>
      </c>
      <c r="BQ228" s="387" t="s">
        <v>1076</v>
      </c>
      <c r="BR228" s="110">
        <v>2997</v>
      </c>
      <c r="BS228" s="226">
        <v>44834</v>
      </c>
      <c r="BT228" s="110">
        <v>2997</v>
      </c>
      <c r="BU228" s="263"/>
      <c r="BV228" s="110"/>
      <c r="BW228" s="348"/>
      <c r="BX228" s="110"/>
      <c r="BY228" s="263"/>
      <c r="BZ228" s="110"/>
      <c r="CA228" s="263"/>
      <c r="CB228" s="110"/>
      <c r="CC228" s="263"/>
      <c r="CD228" s="110"/>
      <c r="CE228" s="226"/>
      <c r="CF228" s="110"/>
      <c r="CG228" s="263"/>
      <c r="CH228" s="110"/>
      <c r="CI228" s="226"/>
      <c r="CJ228" s="110"/>
      <c r="CK228" s="155"/>
      <c r="CL228" s="181"/>
      <c r="CM228" s="181"/>
      <c r="CN228" s="207"/>
      <c r="CO228" s="155" t="s">
        <v>122</v>
      </c>
      <c r="CP228" s="155"/>
      <c r="CQ228" s="131" t="s">
        <v>4120</v>
      </c>
      <c r="CR228" s="823" t="s">
        <v>4121</v>
      </c>
      <c r="CS228" s="116" t="str">
        <f t="shared" si="9"/>
        <v>Stefano</v>
      </c>
      <c r="CT228" s="820">
        <f t="shared" si="168"/>
        <v>449.55</v>
      </c>
      <c r="CU228" s="820">
        <f t="shared" si="169"/>
        <v>149.85</v>
      </c>
      <c r="CV228" s="116" t="str">
        <f t="shared" si="10"/>
        <v>Stefano</v>
      </c>
      <c r="CW228" s="181"/>
      <c r="CX228" s="779"/>
      <c r="CY228" s="729"/>
      <c r="CZ228" s="729"/>
      <c r="DA228" s="729"/>
      <c r="DB228" s="729"/>
      <c r="DC228" s="729"/>
      <c r="DD228" s="265"/>
      <c r="DE228" s="265"/>
      <c r="DF228" s="265"/>
      <c r="DG228" s="265"/>
      <c r="DH228" s="265"/>
      <c r="DI228" s="265"/>
      <c r="DJ228" s="265"/>
      <c r="DK228" s="265"/>
      <c r="DL228" s="265"/>
      <c r="DM228" s="265"/>
      <c r="DN228" s="265"/>
      <c r="DO228" s="265"/>
      <c r="DP228" s="265"/>
      <c r="DQ228" s="265"/>
      <c r="DR228" s="265"/>
      <c r="DS228" s="265"/>
      <c r="DT228" s="265"/>
    </row>
    <row r="229" spans="1:124" ht="30" customHeight="1">
      <c r="A229" s="228"/>
      <c r="B229" s="1237"/>
      <c r="C229" s="155">
        <f t="shared" si="154"/>
        <v>115</v>
      </c>
      <c r="D229" s="781">
        <v>1</v>
      </c>
      <c r="E229" s="781">
        <v>1</v>
      </c>
      <c r="F229" s="781">
        <v>1</v>
      </c>
      <c r="G229" s="112" t="s">
        <v>2115</v>
      </c>
      <c r="H229" s="112" t="s">
        <v>4485</v>
      </c>
      <c r="I229" s="1234" t="s">
        <v>4486</v>
      </c>
      <c r="J229" s="207" t="str">
        <f t="shared" si="0"/>
        <v>Serena Portioli</v>
      </c>
      <c r="K229" s="156" t="s">
        <v>4487</v>
      </c>
      <c r="L229" s="131"/>
      <c r="M229" s="131" t="s">
        <v>4488</v>
      </c>
      <c r="N229" s="131" t="str">
        <f t="shared" si="182"/>
        <v>Pibi Plast</v>
      </c>
      <c r="O229" s="1297"/>
      <c r="P229" s="251"/>
      <c r="Q229" s="131"/>
      <c r="R229" s="252"/>
      <c r="S229" s="254"/>
      <c r="T229" s="346"/>
      <c r="U229" s="253"/>
      <c r="V229" s="253"/>
      <c r="W229" s="251"/>
      <c r="X229" s="131"/>
      <c r="Y229" s="251"/>
      <c r="Z229" s="251"/>
      <c r="AA229" s="251"/>
      <c r="AB229" s="255"/>
      <c r="AC229" s="256"/>
      <c r="AD229" s="121" t="s">
        <v>4489</v>
      </c>
      <c r="AE229" s="80">
        <f t="shared" si="185"/>
        <v>0</v>
      </c>
      <c r="AF229" s="257"/>
      <c r="AG229" s="155"/>
      <c r="AH229" s="155"/>
      <c r="AI229" s="155"/>
      <c r="AJ229" s="257"/>
      <c r="AK229" s="155"/>
      <c r="AL229" s="155"/>
      <c r="AM229" s="155"/>
      <c r="AN229" s="257"/>
      <c r="AO229" s="258"/>
      <c r="AP229" s="258"/>
      <c r="AQ229" s="258"/>
      <c r="AR229" s="211"/>
      <c r="AS229" s="259" t="s">
        <v>115</v>
      </c>
      <c r="AT229" s="259" t="s">
        <v>115</v>
      </c>
      <c r="AU229" s="259" t="s">
        <v>115</v>
      </c>
      <c r="AV229" s="211"/>
      <c r="AW229" s="259"/>
      <c r="AX229" s="259"/>
      <c r="AY229" s="259"/>
      <c r="AZ229" s="808">
        <f t="shared" si="178"/>
        <v>2997</v>
      </c>
      <c r="BA229" s="761">
        <f t="shared" si="98"/>
        <v>2997</v>
      </c>
      <c r="BB229" s="761">
        <f t="shared" si="4"/>
        <v>0</v>
      </c>
      <c r="BC229" s="110"/>
      <c r="BD229" s="242">
        <f t="shared" si="187"/>
        <v>2997</v>
      </c>
      <c r="BE229" s="1231"/>
      <c r="BF229" s="399" t="s">
        <v>166</v>
      </c>
      <c r="BG229" s="145">
        <v>0.15</v>
      </c>
      <c r="BH229" s="261"/>
      <c r="BI229" s="242">
        <f t="shared" si="137"/>
        <v>449.55</v>
      </c>
      <c r="BJ229" s="1232">
        <f t="shared" si="152"/>
        <v>0</v>
      </c>
      <c r="BK229" s="387" t="s">
        <v>1076</v>
      </c>
      <c r="BL229" s="1303" t="s">
        <v>166</v>
      </c>
      <c r="BM229" s="145">
        <v>0.05</v>
      </c>
      <c r="BN229" s="262"/>
      <c r="BO229" s="242">
        <f t="shared" si="133"/>
        <v>149.85</v>
      </c>
      <c r="BP229" s="1231">
        <f t="shared" si="180"/>
        <v>0</v>
      </c>
      <c r="BQ229" s="387" t="s">
        <v>1076</v>
      </c>
      <c r="BR229" s="110">
        <v>2997</v>
      </c>
      <c r="BS229" s="226">
        <v>44834</v>
      </c>
      <c r="BT229" s="110">
        <v>2997</v>
      </c>
      <c r="BU229" s="263"/>
      <c r="BV229" s="110"/>
      <c r="BW229" s="348"/>
      <c r="BX229" s="110"/>
      <c r="BY229" s="263"/>
      <c r="BZ229" s="110"/>
      <c r="CA229" s="263"/>
      <c r="CB229" s="110"/>
      <c r="CC229" s="263"/>
      <c r="CD229" s="110"/>
      <c r="CE229" s="226"/>
      <c r="CF229" s="110"/>
      <c r="CG229" s="263"/>
      <c r="CH229" s="110"/>
      <c r="CI229" s="226"/>
      <c r="CJ229" s="110"/>
      <c r="CK229" s="155">
        <v>1</v>
      </c>
      <c r="CL229" s="181" t="s">
        <v>1123</v>
      </c>
      <c r="CM229" s="181"/>
      <c r="CN229" s="207"/>
      <c r="CO229" s="155" t="s">
        <v>122</v>
      </c>
      <c r="CP229" s="155"/>
      <c r="CQ229" s="131" t="s">
        <v>4490</v>
      </c>
      <c r="CR229" s="823" t="s">
        <v>4491</v>
      </c>
      <c r="CS229" s="116" t="str">
        <f t="shared" si="9"/>
        <v>Matteo</v>
      </c>
      <c r="CT229" s="820">
        <f t="shared" si="168"/>
        <v>449.55</v>
      </c>
      <c r="CU229" s="820">
        <f t="shared" si="169"/>
        <v>149.85</v>
      </c>
      <c r="CV229" s="116" t="str">
        <f t="shared" si="10"/>
        <v>Matteo</v>
      </c>
      <c r="CW229" s="181"/>
      <c r="CX229" s="779"/>
      <c r="CY229" s="729"/>
      <c r="CZ229" s="729"/>
      <c r="DA229" s="729"/>
      <c r="DB229" s="729"/>
      <c r="DC229" s="729"/>
      <c r="DD229" s="265"/>
      <c r="DE229" s="265"/>
      <c r="DF229" s="265"/>
      <c r="DG229" s="265"/>
      <c r="DH229" s="265"/>
      <c r="DI229" s="265"/>
      <c r="DJ229" s="265"/>
      <c r="DK229" s="265"/>
      <c r="DL229" s="265"/>
      <c r="DM229" s="265"/>
      <c r="DN229" s="265"/>
      <c r="DO229" s="265"/>
      <c r="DP229" s="265"/>
      <c r="DQ229" s="265"/>
      <c r="DR229" s="265"/>
      <c r="DS229" s="265"/>
      <c r="DT229" s="265"/>
    </row>
    <row r="230" spans="1:124" ht="30" customHeight="1">
      <c r="A230" s="228"/>
      <c r="B230" s="1237"/>
      <c r="C230" s="155">
        <f t="shared" si="154"/>
        <v>116</v>
      </c>
      <c r="D230" s="781"/>
      <c r="E230" s="781"/>
      <c r="F230" s="781"/>
      <c r="G230" s="112" t="s">
        <v>3973</v>
      </c>
      <c r="H230" s="112" t="s">
        <v>4492</v>
      </c>
      <c r="I230" s="207" t="s">
        <v>4493</v>
      </c>
      <c r="J230" s="207" t="str">
        <f t="shared" si="0"/>
        <v>Simone  Mutinelli</v>
      </c>
      <c r="K230" s="156">
        <v>3402221692</v>
      </c>
      <c r="L230" s="204" t="s">
        <v>4331</v>
      </c>
      <c r="M230" s="131" t="s">
        <v>514</v>
      </c>
      <c r="N230" s="131" t="str">
        <f t="shared" si="182"/>
        <v>Panificio Moderno</v>
      </c>
      <c r="O230" s="1297"/>
      <c r="P230" s="251"/>
      <c r="Q230" s="131"/>
      <c r="R230" s="252"/>
      <c r="S230" s="254"/>
      <c r="T230" s="346"/>
      <c r="U230" s="253"/>
      <c r="V230" s="253"/>
      <c r="W230" s="251"/>
      <c r="X230" s="131"/>
      <c r="Y230" s="251"/>
      <c r="Z230" s="251"/>
      <c r="AA230" s="251"/>
      <c r="AB230" s="255"/>
      <c r="AC230" s="256"/>
      <c r="AD230" s="121"/>
      <c r="AE230" s="80" t="str">
        <f t="shared" si="185"/>
        <v>Da CONFERMARE, sentono con il titolare Matteo</v>
      </c>
      <c r="AF230" s="257"/>
      <c r="AG230" s="155"/>
      <c r="AH230" s="155"/>
      <c r="AI230" s="155"/>
      <c r="AJ230" s="257"/>
      <c r="AK230" s="155"/>
      <c r="AL230" s="155"/>
      <c r="AM230" s="155"/>
      <c r="AN230" s="257"/>
      <c r="AO230" s="258"/>
      <c r="AP230" s="258"/>
      <c r="AQ230" s="258"/>
      <c r="AR230" s="211"/>
      <c r="AS230" s="259"/>
      <c r="AT230" s="259"/>
      <c r="AU230" s="259"/>
      <c r="AV230" s="211"/>
      <c r="AW230" s="259" t="s">
        <v>115</v>
      </c>
      <c r="AX230" s="259" t="s">
        <v>115</v>
      </c>
      <c r="AY230" s="259" t="s">
        <v>115</v>
      </c>
      <c r="AZ230" s="808">
        <f t="shared" si="178"/>
        <v>2997</v>
      </c>
      <c r="BA230" s="761">
        <f t="shared" si="98"/>
        <v>0</v>
      </c>
      <c r="BB230" s="761">
        <f t="shared" si="4"/>
        <v>2997</v>
      </c>
      <c r="BC230" s="110"/>
      <c r="BD230" s="242">
        <v>0</v>
      </c>
      <c r="BE230" s="1231">
        <v>2997</v>
      </c>
      <c r="BF230" s="827" t="s">
        <v>117</v>
      </c>
      <c r="BG230" s="98">
        <v>0</v>
      </c>
      <c r="BH230" s="261"/>
      <c r="BI230" s="242">
        <f t="shared" si="137"/>
        <v>0</v>
      </c>
      <c r="BJ230" s="1232">
        <f t="shared" si="152"/>
        <v>0</v>
      </c>
      <c r="BK230" s="243"/>
      <c r="BL230" s="828" t="s">
        <v>184</v>
      </c>
      <c r="BM230" s="145">
        <v>0.05</v>
      </c>
      <c r="BN230" s="262"/>
      <c r="BO230" s="242">
        <f t="shared" si="133"/>
        <v>0</v>
      </c>
      <c r="BP230" s="1231">
        <f t="shared" si="180"/>
        <v>149.85</v>
      </c>
      <c r="BQ230" s="243"/>
      <c r="BR230" s="110">
        <v>2997</v>
      </c>
      <c r="BS230" s="226">
        <v>44834</v>
      </c>
      <c r="BT230" s="110"/>
      <c r="BU230" s="263"/>
      <c r="BV230" s="110"/>
      <c r="BW230" s="348"/>
      <c r="BX230" s="110"/>
      <c r="BY230" s="263"/>
      <c r="BZ230" s="110"/>
      <c r="CA230" s="263"/>
      <c r="CB230" s="110"/>
      <c r="CC230" s="263"/>
      <c r="CD230" s="110"/>
      <c r="CE230" s="226"/>
      <c r="CF230" s="110"/>
      <c r="CG230" s="263"/>
      <c r="CH230" s="110"/>
      <c r="CI230" s="226"/>
      <c r="CJ230" s="110"/>
      <c r="CK230" s="155">
        <v>1</v>
      </c>
      <c r="CL230" s="181" t="s">
        <v>1123</v>
      </c>
      <c r="CM230" s="181"/>
      <c r="CN230" s="207"/>
      <c r="CO230" s="207"/>
      <c r="CP230" s="155"/>
      <c r="CQ230" s="131"/>
      <c r="CR230" s="823" t="s">
        <v>4332</v>
      </c>
      <c r="CS230" s="116" t="str">
        <f t="shared" si="9"/>
        <v>blackship</v>
      </c>
      <c r="CT230" s="820" t="b">
        <f t="shared" si="168"/>
        <v>0</v>
      </c>
      <c r="CU230" s="820" t="b">
        <f t="shared" si="169"/>
        <v>0</v>
      </c>
      <c r="CV230" s="116" t="str">
        <f t="shared" si="10"/>
        <v>Cristian A</v>
      </c>
      <c r="CW230" s="181"/>
      <c r="CX230" s="779"/>
      <c r="CY230" s="729"/>
      <c r="CZ230" s="729"/>
      <c r="DA230" s="729"/>
      <c r="DB230" s="729"/>
      <c r="DC230" s="729"/>
      <c r="DD230" s="265"/>
      <c r="DE230" s="265"/>
      <c r="DF230" s="265"/>
      <c r="DG230" s="265"/>
      <c r="DH230" s="265"/>
      <c r="DI230" s="265"/>
      <c r="DJ230" s="265"/>
      <c r="DK230" s="265"/>
      <c r="DL230" s="265"/>
      <c r="DM230" s="265"/>
      <c r="DN230" s="265"/>
      <c r="DO230" s="265"/>
      <c r="DP230" s="265"/>
      <c r="DQ230" s="265"/>
      <c r="DR230" s="265"/>
      <c r="DS230" s="265"/>
      <c r="DT230" s="265"/>
    </row>
    <row r="231" spans="1:124" ht="30" customHeight="1">
      <c r="A231" s="228"/>
      <c r="B231" s="1237"/>
      <c r="C231" s="155">
        <f t="shared" si="154"/>
        <v>117</v>
      </c>
      <c r="D231" s="781"/>
      <c r="E231" s="781"/>
      <c r="F231" s="781"/>
      <c r="G231" s="112" t="s">
        <v>1304</v>
      </c>
      <c r="H231" s="112" t="s">
        <v>1305</v>
      </c>
      <c r="I231" s="207" t="s">
        <v>1306</v>
      </c>
      <c r="J231" s="207" t="str">
        <f t="shared" si="0"/>
        <v>Stefania Salvati</v>
      </c>
      <c r="K231" s="156" t="s">
        <v>4494</v>
      </c>
      <c r="L231" s="131"/>
      <c r="M231" s="131" t="s">
        <v>514</v>
      </c>
      <c r="N231" s="131">
        <f t="shared" si="182"/>
        <v>0</v>
      </c>
      <c r="O231" s="1297"/>
      <c r="P231" s="251"/>
      <c r="Q231" s="131"/>
      <c r="R231" s="252"/>
      <c r="S231" s="254"/>
      <c r="T231" s="346"/>
      <c r="U231" s="253"/>
      <c r="V231" s="253"/>
      <c r="W231" s="251"/>
      <c r="X231" s="131"/>
      <c r="Y231" s="251"/>
      <c r="Z231" s="251"/>
      <c r="AA231" s="251"/>
      <c r="AB231" s="255"/>
      <c r="AC231" s="256"/>
      <c r="AD231" s="121"/>
      <c r="AE231" s="80">
        <f t="shared" si="185"/>
        <v>0</v>
      </c>
      <c r="AF231" s="257"/>
      <c r="AG231" s="155"/>
      <c r="AH231" s="155"/>
      <c r="AI231" s="155"/>
      <c r="AJ231" s="257"/>
      <c r="AK231" s="155"/>
      <c r="AL231" s="155"/>
      <c r="AM231" s="155"/>
      <c r="AN231" s="257"/>
      <c r="AO231" s="258"/>
      <c r="AP231" s="258"/>
      <c r="AQ231" s="258"/>
      <c r="AR231" s="211"/>
      <c r="AS231" s="259"/>
      <c r="AT231" s="259"/>
      <c r="AU231" s="259"/>
      <c r="AV231" s="211"/>
      <c r="AW231" s="259" t="s">
        <v>151</v>
      </c>
      <c r="AX231" s="259" t="s">
        <v>151</v>
      </c>
      <c r="AY231" s="259" t="s">
        <v>151</v>
      </c>
      <c r="AZ231" s="808">
        <f t="shared" si="178"/>
        <v>2997</v>
      </c>
      <c r="BA231" s="761">
        <f t="shared" si="98"/>
        <v>0</v>
      </c>
      <c r="BB231" s="761">
        <f t="shared" si="4"/>
        <v>2997</v>
      </c>
      <c r="BC231" s="110"/>
      <c r="BD231" s="242">
        <v>0</v>
      </c>
      <c r="BE231" s="1231">
        <v>2997</v>
      </c>
      <c r="BF231" s="380" t="s">
        <v>451</v>
      </c>
      <c r="BG231" s="145">
        <v>0.15</v>
      </c>
      <c r="BH231" s="261"/>
      <c r="BI231" s="242">
        <f t="shared" si="137"/>
        <v>0</v>
      </c>
      <c r="BJ231" s="1232">
        <f t="shared" si="152"/>
        <v>449.55</v>
      </c>
      <c r="BK231" s="243"/>
      <c r="BL231" s="828" t="s">
        <v>451</v>
      </c>
      <c r="BM231" s="145">
        <v>0.05</v>
      </c>
      <c r="BN231" s="262"/>
      <c r="BO231" s="242">
        <f t="shared" si="133"/>
        <v>0</v>
      </c>
      <c r="BP231" s="1231">
        <f t="shared" si="180"/>
        <v>149.85</v>
      </c>
      <c r="BQ231" s="243"/>
      <c r="BR231" s="110">
        <v>2997</v>
      </c>
      <c r="BS231" s="226">
        <v>44834</v>
      </c>
      <c r="BT231" s="110"/>
      <c r="BU231" s="263"/>
      <c r="BV231" s="110"/>
      <c r="BW231" s="348"/>
      <c r="BX231" s="110"/>
      <c r="BY231" s="263"/>
      <c r="BZ231" s="110"/>
      <c r="CA231" s="263"/>
      <c r="CB231" s="110"/>
      <c r="CC231" s="263"/>
      <c r="CD231" s="110"/>
      <c r="CE231" s="226"/>
      <c r="CF231" s="110"/>
      <c r="CG231" s="263"/>
      <c r="CH231" s="110"/>
      <c r="CI231" s="226"/>
      <c r="CJ231" s="110"/>
      <c r="CK231" s="155">
        <v>1</v>
      </c>
      <c r="CL231" s="181" t="s">
        <v>1123</v>
      </c>
      <c r="CM231" s="181"/>
      <c r="CN231" s="207"/>
      <c r="CO231" s="207"/>
      <c r="CP231" s="155"/>
      <c r="CQ231" s="131"/>
      <c r="CR231" s="823"/>
      <c r="CS231" s="116" t="str">
        <f t="shared" si="9"/>
        <v>Fabio</v>
      </c>
      <c r="CT231" s="820" t="b">
        <f t="shared" si="168"/>
        <v>0</v>
      </c>
      <c r="CU231" s="820" t="b">
        <f t="shared" si="169"/>
        <v>0</v>
      </c>
      <c r="CV231" s="116" t="str">
        <f t="shared" si="10"/>
        <v>Fabio</v>
      </c>
      <c r="CW231" s="181"/>
      <c r="CX231" s="779"/>
      <c r="CY231" s="729"/>
      <c r="CZ231" s="729"/>
      <c r="DA231" s="729"/>
      <c r="DB231" s="729"/>
      <c r="DC231" s="729"/>
      <c r="DD231" s="265"/>
      <c r="DE231" s="265"/>
      <c r="DF231" s="265"/>
      <c r="DG231" s="265"/>
      <c r="DH231" s="265"/>
      <c r="DI231" s="265"/>
      <c r="DJ231" s="265"/>
      <c r="DK231" s="265"/>
      <c r="DL231" s="265"/>
      <c r="DM231" s="265"/>
      <c r="DN231" s="265"/>
      <c r="DO231" s="265"/>
      <c r="DP231" s="265"/>
      <c r="DQ231" s="265"/>
      <c r="DR231" s="265"/>
      <c r="DS231" s="265"/>
      <c r="DT231" s="265"/>
    </row>
    <row r="232" spans="1:124" ht="30" customHeight="1">
      <c r="A232" s="228"/>
      <c r="B232" s="1237"/>
      <c r="C232" s="155">
        <f t="shared" si="154"/>
        <v>118</v>
      </c>
      <c r="D232" s="781"/>
      <c r="E232" s="781"/>
      <c r="F232" s="781"/>
      <c r="G232" s="112" t="s">
        <v>1313</v>
      </c>
      <c r="H232" s="112" t="s">
        <v>1308</v>
      </c>
      <c r="I232" s="207" t="s">
        <v>1314</v>
      </c>
      <c r="J232" s="207" t="str">
        <f t="shared" si="0"/>
        <v>Graziano Andretta</v>
      </c>
      <c r="K232" s="156" t="s">
        <v>1315</v>
      </c>
      <c r="L232" s="204" t="s">
        <v>1316</v>
      </c>
      <c r="M232" s="131" t="s">
        <v>1148</v>
      </c>
      <c r="N232" s="131" t="str">
        <f t="shared" si="182"/>
        <v>Andretta Service</v>
      </c>
      <c r="O232" s="1297"/>
      <c r="P232" s="251"/>
      <c r="Q232" s="131"/>
      <c r="R232" s="252"/>
      <c r="S232" s="254"/>
      <c r="T232" s="346"/>
      <c r="U232" s="253"/>
      <c r="V232" s="253"/>
      <c r="W232" s="251"/>
      <c r="X232" s="131"/>
      <c r="Y232" s="251"/>
      <c r="Z232" s="251"/>
      <c r="AA232" s="251"/>
      <c r="AB232" s="255"/>
      <c r="AC232" s="256"/>
      <c r="AD232" s="121"/>
      <c r="AE232" s="80" t="str">
        <f t="shared" si="185"/>
        <v>Concesso p/to in 2 tranche 200 + iva al 3/10 e saldo 15/12 -&gt; Fratello che decide viene a VB2B a Marzo per capire se confermano</v>
      </c>
      <c r="AF232" s="257"/>
      <c r="AG232" s="155"/>
      <c r="AH232" s="155"/>
      <c r="AI232" s="155"/>
      <c r="AJ232" s="257"/>
      <c r="AK232" s="155"/>
      <c r="AL232" s="155"/>
      <c r="AM232" s="155"/>
      <c r="AN232" s="257"/>
      <c r="AO232" s="258"/>
      <c r="AP232" s="258"/>
      <c r="AQ232" s="258"/>
      <c r="AR232" s="211"/>
      <c r="AS232" s="259"/>
      <c r="AT232" s="259"/>
      <c r="AU232" s="259"/>
      <c r="AV232" s="211"/>
      <c r="AW232" s="121" t="s">
        <v>151</v>
      </c>
      <c r="AX232" s="121" t="s">
        <v>151</v>
      </c>
      <c r="AY232" s="121" t="s">
        <v>151</v>
      </c>
      <c r="AZ232" s="808">
        <f t="shared" si="178"/>
        <v>0</v>
      </c>
      <c r="BA232" s="761">
        <f t="shared" si="98"/>
        <v>0</v>
      </c>
      <c r="BB232" s="761">
        <f t="shared" si="4"/>
        <v>0</v>
      </c>
      <c r="BC232" s="110"/>
      <c r="BD232" s="242"/>
      <c r="BE232" s="1231">
        <v>0</v>
      </c>
      <c r="BF232" s="379" t="s">
        <v>487</v>
      </c>
      <c r="BG232" s="145">
        <v>0.15</v>
      </c>
      <c r="BH232" s="262"/>
      <c r="BI232" s="242">
        <f t="shared" si="137"/>
        <v>0</v>
      </c>
      <c r="BJ232" s="1232">
        <f t="shared" si="152"/>
        <v>0</v>
      </c>
      <c r="BK232" s="772"/>
      <c r="BL232" s="837" t="s">
        <v>487</v>
      </c>
      <c r="BM232" s="145">
        <v>0.05</v>
      </c>
      <c r="BN232" s="262"/>
      <c r="BO232" s="242">
        <f t="shared" si="133"/>
        <v>0</v>
      </c>
      <c r="BP232" s="1231">
        <f t="shared" si="180"/>
        <v>0</v>
      </c>
      <c r="BQ232" s="243"/>
      <c r="BR232" s="110"/>
      <c r="BS232" s="226"/>
      <c r="BT232" s="110"/>
      <c r="BU232" s="263"/>
      <c r="BV232" s="110"/>
      <c r="BW232" s="348"/>
      <c r="BX232" s="110"/>
      <c r="BY232" s="263"/>
      <c r="BZ232" s="110"/>
      <c r="CA232" s="263"/>
      <c r="CB232" s="110"/>
      <c r="CC232" s="263"/>
      <c r="CD232" s="110"/>
      <c r="CE232" s="226"/>
      <c r="CF232" s="110"/>
      <c r="CG232" s="263"/>
      <c r="CH232" s="110"/>
      <c r="CI232" s="226"/>
      <c r="CJ232" s="110"/>
      <c r="CK232" s="155">
        <v>1</v>
      </c>
      <c r="CL232" s="181" t="s">
        <v>1123</v>
      </c>
      <c r="CM232" s="181"/>
      <c r="CN232" s="207"/>
      <c r="CO232" s="207"/>
      <c r="CP232" s="155"/>
      <c r="CQ232" s="131" t="s">
        <v>1312</v>
      </c>
      <c r="CR232" s="823" t="s">
        <v>1311</v>
      </c>
      <c r="CS232" s="116" t="str">
        <f t="shared" si="9"/>
        <v>Daniela</v>
      </c>
      <c r="CT232" s="820" t="b">
        <f t="shared" si="168"/>
        <v>0</v>
      </c>
      <c r="CU232" s="820" t="b">
        <f t="shared" si="169"/>
        <v>0</v>
      </c>
      <c r="CV232" s="116" t="str">
        <f t="shared" si="10"/>
        <v>Daniela</v>
      </c>
      <c r="CW232" s="181"/>
      <c r="CX232" s="779"/>
      <c r="CY232" s="729"/>
      <c r="CZ232" s="729"/>
      <c r="DA232" s="729"/>
      <c r="DB232" s="729"/>
      <c r="DC232" s="729"/>
      <c r="DD232" s="265"/>
      <c r="DE232" s="265"/>
      <c r="DF232" s="265"/>
      <c r="DG232" s="265"/>
      <c r="DH232" s="265"/>
      <c r="DI232" s="265"/>
      <c r="DJ232" s="265"/>
      <c r="DK232" s="265"/>
      <c r="DL232" s="265"/>
      <c r="DM232" s="265"/>
      <c r="DN232" s="265"/>
      <c r="DO232" s="265"/>
      <c r="DP232" s="265"/>
      <c r="DQ232" s="265"/>
      <c r="DR232" s="265"/>
      <c r="DS232" s="265"/>
      <c r="DT232" s="265"/>
    </row>
    <row r="233" spans="1:124" ht="30" customHeight="1">
      <c r="A233" s="228"/>
      <c r="B233" s="1237"/>
      <c r="C233" s="155">
        <f t="shared" si="154"/>
        <v>119</v>
      </c>
      <c r="D233" s="781"/>
      <c r="E233" s="781"/>
      <c r="F233" s="781"/>
      <c r="G233" s="112" t="s">
        <v>407</v>
      </c>
      <c r="H233" s="112" t="s">
        <v>1308</v>
      </c>
      <c r="I233" s="207" t="s">
        <v>1317</v>
      </c>
      <c r="J233" s="207" t="str">
        <f t="shared" si="0"/>
        <v>Stefano Andretta</v>
      </c>
      <c r="K233" s="156" t="s">
        <v>1318</v>
      </c>
      <c r="L233" s="204" t="s">
        <v>1310</v>
      </c>
      <c r="M233" s="131" t="s">
        <v>1148</v>
      </c>
      <c r="N233" s="131" t="str">
        <f t="shared" si="182"/>
        <v>Andretta Service</v>
      </c>
      <c r="O233" s="1297"/>
      <c r="P233" s="251"/>
      <c r="Q233" s="131"/>
      <c r="R233" s="252"/>
      <c r="S233" s="254"/>
      <c r="T233" s="346"/>
      <c r="U233" s="253"/>
      <c r="V233" s="253"/>
      <c r="W233" s="251"/>
      <c r="X233" s="131"/>
      <c r="Y233" s="251"/>
      <c r="Z233" s="251"/>
      <c r="AA233" s="251"/>
      <c r="AB233" s="255"/>
      <c r="AC233" s="256"/>
      <c r="AD233" s="121"/>
      <c r="AE233" s="80" t="str">
        <f t="shared" si="185"/>
        <v>Concesso p/to in 2 tranche 200 + iva al 3/10 e saldo 15/12 - Fratello che decide viene a VB2B marzo e poi valuta</v>
      </c>
      <c r="AF233" s="257"/>
      <c r="AG233" s="155"/>
      <c r="AH233" s="155"/>
      <c r="AI233" s="155"/>
      <c r="AJ233" s="257"/>
      <c r="AK233" s="155"/>
      <c r="AL233" s="155"/>
      <c r="AM233" s="155"/>
      <c r="AN233" s="257"/>
      <c r="AO233" s="258"/>
      <c r="AP233" s="258"/>
      <c r="AQ233" s="258"/>
      <c r="AR233" s="211"/>
      <c r="AS233" s="259"/>
      <c r="AT233" s="259"/>
      <c r="AU233" s="259"/>
      <c r="AV233" s="211"/>
      <c r="AW233" s="259" t="s">
        <v>151</v>
      </c>
      <c r="AX233" s="259" t="s">
        <v>151</v>
      </c>
      <c r="AY233" s="259" t="s">
        <v>151</v>
      </c>
      <c r="AZ233" s="808">
        <f t="shared" si="178"/>
        <v>0</v>
      </c>
      <c r="BA233" s="761">
        <f t="shared" si="98"/>
        <v>0</v>
      </c>
      <c r="BB233" s="761">
        <f t="shared" si="4"/>
        <v>0</v>
      </c>
      <c r="BC233" s="110"/>
      <c r="BD233" s="242">
        <v>0</v>
      </c>
      <c r="BE233" s="1231">
        <v>0</v>
      </c>
      <c r="BF233" s="377" t="s">
        <v>487</v>
      </c>
      <c r="BG233" s="145">
        <v>0.15</v>
      </c>
      <c r="BH233" s="261"/>
      <c r="BI233" s="242">
        <f t="shared" si="137"/>
        <v>0</v>
      </c>
      <c r="BJ233" s="1232">
        <f t="shared" si="152"/>
        <v>0</v>
      </c>
      <c r="BK233" s="243"/>
      <c r="BL233" s="1316" t="s">
        <v>487</v>
      </c>
      <c r="BM233" s="145">
        <v>0.05</v>
      </c>
      <c r="BN233" s="262"/>
      <c r="BO233" s="242">
        <f t="shared" si="133"/>
        <v>0</v>
      </c>
      <c r="BP233" s="1231">
        <f t="shared" si="180"/>
        <v>0</v>
      </c>
      <c r="BQ233" s="243"/>
      <c r="BR233" s="110"/>
      <c r="BS233" s="226"/>
      <c r="BT233" s="110"/>
      <c r="BU233" s="263"/>
      <c r="BV233" s="110"/>
      <c r="BW233" s="348"/>
      <c r="BX233" s="110"/>
      <c r="BY233" s="263"/>
      <c r="BZ233" s="110"/>
      <c r="CA233" s="263"/>
      <c r="CB233" s="110"/>
      <c r="CC233" s="263"/>
      <c r="CD233" s="110"/>
      <c r="CE233" s="226"/>
      <c r="CF233" s="110"/>
      <c r="CG233" s="263"/>
      <c r="CH233" s="110"/>
      <c r="CI233" s="226"/>
      <c r="CJ233" s="110"/>
      <c r="CK233" s="155">
        <v>1</v>
      </c>
      <c r="CL233" s="181" t="s">
        <v>1123</v>
      </c>
      <c r="CM233" s="181"/>
      <c r="CN233" s="207"/>
      <c r="CO233" s="207"/>
      <c r="CP233" s="155"/>
      <c r="CQ233" s="131" t="s">
        <v>1312</v>
      </c>
      <c r="CR233" s="823" t="s">
        <v>1311</v>
      </c>
      <c r="CS233" s="116" t="str">
        <f t="shared" si="9"/>
        <v>Daniela</v>
      </c>
      <c r="CT233" s="820" t="b">
        <f t="shared" si="168"/>
        <v>0</v>
      </c>
      <c r="CU233" s="820" t="b">
        <f t="shared" si="169"/>
        <v>0</v>
      </c>
      <c r="CV233" s="116" t="str">
        <f t="shared" si="10"/>
        <v>Daniela</v>
      </c>
      <c r="CW233" s="181"/>
      <c r="CX233" s="779"/>
      <c r="CY233" s="729"/>
      <c r="CZ233" s="729"/>
      <c r="DA233" s="729"/>
      <c r="DB233" s="729"/>
      <c r="DC233" s="729"/>
      <c r="DD233" s="265"/>
      <c r="DE233" s="265"/>
      <c r="DF233" s="265"/>
      <c r="DG233" s="265"/>
      <c r="DH233" s="265"/>
      <c r="DI233" s="265"/>
      <c r="DJ233" s="265"/>
      <c r="DK233" s="265"/>
      <c r="DL233" s="265"/>
      <c r="DM233" s="265"/>
      <c r="DN233" s="265"/>
      <c r="DO233" s="265"/>
      <c r="DP233" s="265"/>
      <c r="DQ233" s="265"/>
      <c r="DR233" s="265"/>
      <c r="DS233" s="265"/>
      <c r="DT233" s="265"/>
    </row>
    <row r="234" spans="1:124" ht="30" customHeight="1">
      <c r="A234" s="228"/>
      <c r="B234" s="1237"/>
      <c r="C234" s="155">
        <f t="shared" si="154"/>
        <v>120</v>
      </c>
      <c r="D234" s="781"/>
      <c r="E234" s="781"/>
      <c r="F234" s="781"/>
      <c r="G234" s="112" t="s">
        <v>1307</v>
      </c>
      <c r="H234" s="112" t="s">
        <v>1308</v>
      </c>
      <c r="I234" s="294" t="s">
        <v>1309</v>
      </c>
      <c r="J234" s="207" t="str">
        <f t="shared" si="0"/>
        <v>Alberto Andretta</v>
      </c>
      <c r="K234" s="156"/>
      <c r="L234" s="204" t="s">
        <v>1310</v>
      </c>
      <c r="M234" s="131"/>
      <c r="N234" s="131" t="str">
        <f t="shared" si="182"/>
        <v>Andretta Service</v>
      </c>
      <c r="O234" s="1297"/>
      <c r="P234" s="251"/>
      <c r="Q234" s="131"/>
      <c r="R234" s="252"/>
      <c r="S234" s="254"/>
      <c r="T234" s="346"/>
      <c r="U234" s="253"/>
      <c r="V234" s="253"/>
      <c r="W234" s="251"/>
      <c r="X234" s="131"/>
      <c r="Y234" s="251"/>
      <c r="Z234" s="251"/>
      <c r="AA234" s="251"/>
      <c r="AB234" s="255"/>
      <c r="AC234" s="256"/>
      <c r="AD234" s="121"/>
      <c r="AE234" s="80" t="str">
        <f t="shared" si="185"/>
        <v>Concesso p/to in 2 tranche 200 + iva al 3/10 e saldo 15/12 - Fratello che decide viene a VB2B marzo e poi valuta</v>
      </c>
      <c r="AF234" s="257"/>
      <c r="AG234" s="155"/>
      <c r="AH234" s="155"/>
      <c r="AI234" s="155"/>
      <c r="AJ234" s="257"/>
      <c r="AK234" s="155"/>
      <c r="AL234" s="155"/>
      <c r="AM234" s="155"/>
      <c r="AN234" s="257"/>
      <c r="AO234" s="258"/>
      <c r="AP234" s="258"/>
      <c r="AQ234" s="258"/>
      <c r="AR234" s="211"/>
      <c r="AS234" s="259"/>
      <c r="AT234" s="259"/>
      <c r="AU234" s="259"/>
      <c r="AV234" s="211"/>
      <c r="AW234" s="259" t="s">
        <v>151</v>
      </c>
      <c r="AX234" s="259" t="s">
        <v>151</v>
      </c>
      <c r="AY234" s="259" t="s">
        <v>151</v>
      </c>
      <c r="AZ234" s="808">
        <f t="shared" si="178"/>
        <v>0</v>
      </c>
      <c r="BA234" s="761">
        <f t="shared" si="98"/>
        <v>0</v>
      </c>
      <c r="BB234" s="761">
        <f t="shared" si="4"/>
        <v>0</v>
      </c>
      <c r="BC234" s="110"/>
      <c r="BD234" s="242">
        <v>0</v>
      </c>
      <c r="BE234" s="1231">
        <v>0</v>
      </c>
      <c r="BF234" s="377" t="s">
        <v>487</v>
      </c>
      <c r="BG234" s="145">
        <v>0.15</v>
      </c>
      <c r="BH234" s="261"/>
      <c r="BI234" s="242">
        <f t="shared" si="137"/>
        <v>0</v>
      </c>
      <c r="BJ234" s="1232">
        <f t="shared" si="152"/>
        <v>0</v>
      </c>
      <c r="BK234" s="243"/>
      <c r="BL234" s="1316" t="s">
        <v>487</v>
      </c>
      <c r="BM234" s="145">
        <v>0.05</v>
      </c>
      <c r="BN234" s="262"/>
      <c r="BO234" s="242">
        <f t="shared" si="133"/>
        <v>0</v>
      </c>
      <c r="BP234" s="1231">
        <f t="shared" si="180"/>
        <v>0</v>
      </c>
      <c r="BQ234" s="243"/>
      <c r="BR234" s="110"/>
      <c r="BS234" s="226"/>
      <c r="BT234" s="110"/>
      <c r="BU234" s="263"/>
      <c r="BV234" s="110"/>
      <c r="BW234" s="348"/>
      <c r="BX234" s="110"/>
      <c r="BY234" s="263"/>
      <c r="BZ234" s="110"/>
      <c r="CA234" s="263"/>
      <c r="CB234" s="110"/>
      <c r="CC234" s="263"/>
      <c r="CD234" s="110"/>
      <c r="CE234" s="226"/>
      <c r="CF234" s="110"/>
      <c r="CG234" s="263"/>
      <c r="CH234" s="110"/>
      <c r="CI234" s="226"/>
      <c r="CJ234" s="110"/>
      <c r="CK234" s="155">
        <v>1</v>
      </c>
      <c r="CL234" s="181" t="s">
        <v>1123</v>
      </c>
      <c r="CM234" s="181"/>
      <c r="CN234" s="207"/>
      <c r="CO234" s="207"/>
      <c r="CP234" s="155"/>
      <c r="CQ234" s="131" t="s">
        <v>1312</v>
      </c>
      <c r="CR234" s="823" t="s">
        <v>1311</v>
      </c>
      <c r="CS234" s="116" t="str">
        <f t="shared" si="9"/>
        <v>Daniela</v>
      </c>
      <c r="CT234" s="820" t="b">
        <f t="shared" si="168"/>
        <v>0</v>
      </c>
      <c r="CU234" s="820" t="b">
        <f t="shared" si="169"/>
        <v>0</v>
      </c>
      <c r="CV234" s="116" t="str">
        <f t="shared" si="10"/>
        <v>Daniela</v>
      </c>
      <c r="CW234" s="181"/>
      <c r="CX234" s="779"/>
      <c r="CY234" s="729"/>
      <c r="CZ234" s="729"/>
      <c r="DA234" s="729"/>
      <c r="DB234" s="729"/>
      <c r="DC234" s="729"/>
      <c r="DD234" s="265"/>
      <c r="DE234" s="265"/>
      <c r="DF234" s="265"/>
      <c r="DG234" s="265"/>
      <c r="DH234" s="265"/>
      <c r="DI234" s="265"/>
      <c r="DJ234" s="265"/>
      <c r="DK234" s="265"/>
      <c r="DL234" s="265"/>
      <c r="DM234" s="265"/>
      <c r="DN234" s="265"/>
      <c r="DO234" s="265"/>
      <c r="DP234" s="265"/>
      <c r="DQ234" s="265"/>
      <c r="DR234" s="265"/>
      <c r="DS234" s="265"/>
      <c r="DT234" s="265"/>
    </row>
    <row r="235" spans="1:124" ht="30" customHeight="1">
      <c r="A235" s="228"/>
      <c r="B235" s="1237"/>
      <c r="C235" s="155">
        <f t="shared" si="154"/>
        <v>121</v>
      </c>
      <c r="D235" s="781"/>
      <c r="E235" s="781"/>
      <c r="F235" s="781"/>
      <c r="G235" s="620" t="s">
        <v>4495</v>
      </c>
      <c r="H235" s="620"/>
      <c r="I235" s="207"/>
      <c r="J235" s="207" t="str">
        <f t="shared" si="0"/>
        <v xml:space="preserve">Ospite 2 Stefano Andretta </v>
      </c>
      <c r="K235" s="156"/>
      <c r="L235" s="204" t="s">
        <v>1310</v>
      </c>
      <c r="M235" s="131"/>
      <c r="N235" s="131">
        <f t="shared" si="182"/>
        <v>0</v>
      </c>
      <c r="O235" s="1297"/>
      <c r="P235" s="251"/>
      <c r="Q235" s="131"/>
      <c r="R235" s="252"/>
      <c r="S235" s="254"/>
      <c r="T235" s="346"/>
      <c r="U235" s="253"/>
      <c r="V235" s="253"/>
      <c r="W235" s="251"/>
      <c r="X235" s="131"/>
      <c r="Y235" s="251"/>
      <c r="Z235" s="251"/>
      <c r="AA235" s="251"/>
      <c r="AB235" s="255"/>
      <c r="AC235" s="256"/>
      <c r="AD235" s="121"/>
      <c r="AE235" s="80" t="str">
        <f t="shared" si="185"/>
        <v>Concesso p/to in 2 tranche 200 + iva al 3/10 e saldo 15/12 - Fratello che decide viene a VB2B marzo e poi valuta</v>
      </c>
      <c r="AF235" s="257"/>
      <c r="AG235" s="155"/>
      <c r="AH235" s="155"/>
      <c r="AI235" s="155"/>
      <c r="AJ235" s="257"/>
      <c r="AK235" s="155"/>
      <c r="AL235" s="155"/>
      <c r="AM235" s="155"/>
      <c r="AN235" s="257"/>
      <c r="AO235" s="258"/>
      <c r="AP235" s="258"/>
      <c r="AQ235" s="258"/>
      <c r="AR235" s="211"/>
      <c r="AS235" s="259"/>
      <c r="AT235" s="259"/>
      <c r="AU235" s="259"/>
      <c r="AV235" s="211"/>
      <c r="AW235" s="259" t="s">
        <v>151</v>
      </c>
      <c r="AX235" s="259" t="s">
        <v>151</v>
      </c>
      <c r="AY235" s="259" t="s">
        <v>151</v>
      </c>
      <c r="AZ235" s="808">
        <f t="shared" si="178"/>
        <v>0</v>
      </c>
      <c r="BA235" s="761">
        <f t="shared" si="98"/>
        <v>0</v>
      </c>
      <c r="BB235" s="761">
        <f t="shared" si="4"/>
        <v>0</v>
      </c>
      <c r="BC235" s="110"/>
      <c r="BD235" s="242">
        <v>0</v>
      </c>
      <c r="BE235" s="1231">
        <v>0</v>
      </c>
      <c r="BF235" s="377" t="s">
        <v>487</v>
      </c>
      <c r="BG235" s="145">
        <v>0.15</v>
      </c>
      <c r="BH235" s="261"/>
      <c r="BI235" s="242">
        <f t="shared" si="137"/>
        <v>0</v>
      </c>
      <c r="BJ235" s="1232">
        <f t="shared" si="152"/>
        <v>0</v>
      </c>
      <c r="BK235" s="243"/>
      <c r="BL235" s="1316" t="s">
        <v>487</v>
      </c>
      <c r="BM235" s="145">
        <v>0.05</v>
      </c>
      <c r="BN235" s="262"/>
      <c r="BO235" s="242">
        <f t="shared" si="133"/>
        <v>0</v>
      </c>
      <c r="BP235" s="1231">
        <f t="shared" si="180"/>
        <v>0</v>
      </c>
      <c r="BQ235" s="243"/>
      <c r="BR235" s="110"/>
      <c r="BS235" s="226"/>
      <c r="BT235" s="110"/>
      <c r="BU235" s="263"/>
      <c r="BV235" s="110"/>
      <c r="BW235" s="348"/>
      <c r="BX235" s="110"/>
      <c r="BY235" s="263"/>
      <c r="BZ235" s="110"/>
      <c r="CA235" s="263"/>
      <c r="CB235" s="110"/>
      <c r="CC235" s="263"/>
      <c r="CD235" s="110"/>
      <c r="CE235" s="226"/>
      <c r="CF235" s="110"/>
      <c r="CG235" s="263"/>
      <c r="CH235" s="110"/>
      <c r="CI235" s="226"/>
      <c r="CJ235" s="110"/>
      <c r="CK235" s="155">
        <v>1</v>
      </c>
      <c r="CL235" s="181" t="s">
        <v>1123</v>
      </c>
      <c r="CM235" s="181"/>
      <c r="CN235" s="207"/>
      <c r="CO235" s="207"/>
      <c r="CP235" s="155"/>
      <c r="CQ235" s="131"/>
      <c r="CR235" s="823"/>
      <c r="CS235" s="116" t="str">
        <f t="shared" si="9"/>
        <v>Daniela</v>
      </c>
      <c r="CT235" s="820" t="b">
        <f t="shared" si="168"/>
        <v>0</v>
      </c>
      <c r="CU235" s="820" t="b">
        <f t="shared" si="169"/>
        <v>0</v>
      </c>
      <c r="CV235" s="116" t="str">
        <f t="shared" si="10"/>
        <v>Daniela</v>
      </c>
      <c r="CW235" s="181"/>
      <c r="CX235" s="779"/>
      <c r="CY235" s="729"/>
      <c r="CZ235" s="729"/>
      <c r="DA235" s="729"/>
      <c r="DB235" s="729"/>
      <c r="DC235" s="729"/>
      <c r="DD235" s="265"/>
      <c r="DE235" s="265"/>
      <c r="DF235" s="265"/>
      <c r="DG235" s="265"/>
      <c r="DH235" s="265"/>
      <c r="DI235" s="265"/>
      <c r="DJ235" s="265"/>
      <c r="DK235" s="265"/>
      <c r="DL235" s="265"/>
      <c r="DM235" s="265"/>
      <c r="DN235" s="265"/>
      <c r="DO235" s="265"/>
      <c r="DP235" s="265"/>
      <c r="DQ235" s="265"/>
      <c r="DR235" s="265"/>
      <c r="DS235" s="265"/>
      <c r="DT235" s="265"/>
    </row>
    <row r="236" spans="1:124" ht="30" customHeight="1">
      <c r="A236" s="228"/>
      <c r="B236" s="1237"/>
      <c r="C236" s="155">
        <f t="shared" si="154"/>
        <v>122</v>
      </c>
      <c r="D236" s="781"/>
      <c r="E236" s="781"/>
      <c r="F236" s="781"/>
      <c r="G236" s="112" t="s">
        <v>895</v>
      </c>
      <c r="H236" s="112" t="s">
        <v>4496</v>
      </c>
      <c r="I236" s="294" t="s">
        <v>4497</v>
      </c>
      <c r="J236" s="207" t="str">
        <f t="shared" si="0"/>
        <v>Valentina Bortolotto</v>
      </c>
      <c r="K236" s="156">
        <v>3470479395</v>
      </c>
      <c r="L236" s="204" t="s">
        <v>4498</v>
      </c>
      <c r="M236" s="131" t="s">
        <v>4499</v>
      </c>
      <c r="N236" s="131" t="str">
        <f t="shared" si="182"/>
        <v>DTS 2.0</v>
      </c>
      <c r="O236" s="1297"/>
      <c r="P236" s="251"/>
      <c r="Q236" s="131"/>
      <c r="R236" s="252"/>
      <c r="S236" s="254"/>
      <c r="T236" s="346"/>
      <c r="U236" s="253"/>
      <c r="V236" s="253"/>
      <c r="W236" s="251"/>
      <c r="X236" s="131"/>
      <c r="Y236" s="251"/>
      <c r="Z236" s="251"/>
      <c r="AA236" s="251"/>
      <c r="AB236" s="255"/>
      <c r="AC236" s="256"/>
      <c r="AD236" s="121"/>
      <c r="AE236" s="80" t="str">
        <f t="shared" si="185"/>
        <v>Gestita da Acca</v>
      </c>
      <c r="AF236" s="257"/>
      <c r="AG236" s="155"/>
      <c r="AH236" s="155"/>
      <c r="AI236" s="155"/>
      <c r="AJ236" s="257"/>
      <c r="AK236" s="155"/>
      <c r="AL236" s="155"/>
      <c r="AM236" s="155"/>
      <c r="AN236" s="257"/>
      <c r="AO236" s="258"/>
      <c r="AP236" s="258"/>
      <c r="AQ236" s="258"/>
      <c r="AR236" s="211"/>
      <c r="AS236" s="259"/>
      <c r="AT236" s="259"/>
      <c r="AU236" s="259"/>
      <c r="AV236" s="211"/>
      <c r="AW236" s="259" t="s">
        <v>115</v>
      </c>
      <c r="AX236" s="259" t="s">
        <v>115</v>
      </c>
      <c r="AY236" s="259" t="s">
        <v>115</v>
      </c>
      <c r="AZ236" s="808">
        <f t="shared" si="178"/>
        <v>2997</v>
      </c>
      <c r="BA236" s="761">
        <f t="shared" si="98"/>
        <v>0</v>
      </c>
      <c r="BB236" s="761">
        <f t="shared" si="4"/>
        <v>2997</v>
      </c>
      <c r="BC236" s="110"/>
      <c r="BD236" s="242">
        <v>0</v>
      </c>
      <c r="BE236" s="1231">
        <v>2997</v>
      </c>
      <c r="BF236" s="383" t="s">
        <v>184</v>
      </c>
      <c r="BG236" s="145">
        <v>0.05</v>
      </c>
      <c r="BH236" s="261"/>
      <c r="BI236" s="242">
        <f t="shared" si="137"/>
        <v>0</v>
      </c>
      <c r="BJ236" s="1232">
        <f t="shared" si="152"/>
        <v>149.85</v>
      </c>
      <c r="BK236" s="243"/>
      <c r="BL236" s="289" t="s">
        <v>184</v>
      </c>
      <c r="BM236" s="145">
        <v>0.05</v>
      </c>
      <c r="BN236" s="262"/>
      <c r="BO236" s="242">
        <f t="shared" si="133"/>
        <v>0</v>
      </c>
      <c r="BP236" s="1231">
        <f t="shared" si="180"/>
        <v>149.85</v>
      </c>
      <c r="BQ236" s="243"/>
      <c r="BR236" s="110">
        <v>2997</v>
      </c>
      <c r="BS236" s="226">
        <v>44834</v>
      </c>
      <c r="BT236" s="110"/>
      <c r="BU236" s="263"/>
      <c r="BV236" s="110"/>
      <c r="BW236" s="348"/>
      <c r="BX236" s="110"/>
      <c r="BY236" s="263"/>
      <c r="BZ236" s="110"/>
      <c r="CA236" s="263"/>
      <c r="CB236" s="110"/>
      <c r="CC236" s="263"/>
      <c r="CD236" s="110"/>
      <c r="CE236" s="226"/>
      <c r="CF236" s="110"/>
      <c r="CG236" s="263"/>
      <c r="CH236" s="110"/>
      <c r="CI236" s="226"/>
      <c r="CJ236" s="110"/>
      <c r="CK236" s="155"/>
      <c r="CL236" s="181"/>
      <c r="CM236" s="181"/>
      <c r="CN236" s="207"/>
      <c r="CO236" s="207"/>
      <c r="CP236" s="155"/>
      <c r="CQ236" s="131"/>
      <c r="CR236" s="823" t="s">
        <v>4500</v>
      </c>
      <c r="CS236" s="116" t="str">
        <f t="shared" si="9"/>
        <v>Cristian A</v>
      </c>
      <c r="CT236" s="820" t="b">
        <f t="shared" si="168"/>
        <v>0</v>
      </c>
      <c r="CU236" s="820" t="b">
        <f t="shared" si="169"/>
        <v>0</v>
      </c>
      <c r="CV236" s="116" t="str">
        <f t="shared" si="10"/>
        <v>Cristian A</v>
      </c>
      <c r="CW236" s="181"/>
      <c r="CX236" s="779"/>
      <c r="CY236" s="729"/>
      <c r="CZ236" s="729"/>
      <c r="DA236" s="729"/>
      <c r="DB236" s="729"/>
      <c r="DC236" s="729"/>
      <c r="DD236" s="265"/>
      <c r="DE236" s="265"/>
      <c r="DF236" s="265"/>
      <c r="DG236" s="265"/>
      <c r="DH236" s="265"/>
      <c r="DI236" s="265"/>
      <c r="DJ236" s="265"/>
      <c r="DK236" s="265"/>
      <c r="DL236" s="265"/>
      <c r="DM236" s="265"/>
      <c r="DN236" s="265"/>
      <c r="DO236" s="265"/>
      <c r="DP236" s="265"/>
      <c r="DQ236" s="265"/>
      <c r="DR236" s="265"/>
      <c r="DS236" s="265"/>
      <c r="DT236" s="265"/>
    </row>
    <row r="237" spans="1:124" ht="30" customHeight="1">
      <c r="A237" s="228"/>
      <c r="B237" s="331"/>
      <c r="C237" s="155">
        <f t="shared" si="154"/>
        <v>123</v>
      </c>
      <c r="D237" s="781"/>
      <c r="E237" s="781"/>
      <c r="F237" s="781"/>
      <c r="G237" s="112" t="s">
        <v>216</v>
      </c>
      <c r="H237" s="112" t="s">
        <v>4501</v>
      </c>
      <c r="I237" s="207"/>
      <c r="J237" s="207" t="str">
        <f t="shared" si="0"/>
        <v>Giulia Da Tos</v>
      </c>
      <c r="K237" s="156"/>
      <c r="L237" s="204" t="s">
        <v>4498</v>
      </c>
      <c r="M237" s="131"/>
      <c r="N237" s="131" t="str">
        <f t="shared" si="182"/>
        <v>DTS 2.0</v>
      </c>
      <c r="O237" s="1297"/>
      <c r="P237" s="251"/>
      <c r="Q237" s="131"/>
      <c r="R237" s="252"/>
      <c r="S237" s="254"/>
      <c r="T237" s="346"/>
      <c r="U237" s="253"/>
      <c r="V237" s="253"/>
      <c r="W237" s="251"/>
      <c r="X237" s="131"/>
      <c r="Y237" s="251"/>
      <c r="Z237" s="251"/>
      <c r="AA237" s="251"/>
      <c r="AB237" s="255"/>
      <c r="AC237" s="256"/>
      <c r="AD237" s="121"/>
      <c r="AE237" s="80"/>
      <c r="AF237" s="257"/>
      <c r="AG237" s="155"/>
      <c r="AH237" s="155"/>
      <c r="AI237" s="155"/>
      <c r="AJ237" s="257"/>
      <c r="AK237" s="155"/>
      <c r="AL237" s="155"/>
      <c r="AM237" s="155"/>
      <c r="AN237" s="257"/>
      <c r="AO237" s="258"/>
      <c r="AP237" s="258"/>
      <c r="AQ237" s="258"/>
      <c r="AR237" s="211"/>
      <c r="AS237" s="259"/>
      <c r="AT237" s="259"/>
      <c r="AU237" s="259"/>
      <c r="AV237" s="211"/>
      <c r="AW237" s="259"/>
      <c r="AX237" s="259"/>
      <c r="AY237" s="1332" t="s">
        <v>27</v>
      </c>
      <c r="AZ237" s="808">
        <f t="shared" si="178"/>
        <v>997</v>
      </c>
      <c r="BA237" s="761">
        <f t="shared" si="98"/>
        <v>0</v>
      </c>
      <c r="BB237" s="761">
        <f t="shared" si="4"/>
        <v>997</v>
      </c>
      <c r="BC237" s="110"/>
      <c r="BD237" s="242"/>
      <c r="BE237" s="1231">
        <v>997</v>
      </c>
      <c r="BF237" s="383" t="s">
        <v>184</v>
      </c>
      <c r="BG237" s="145">
        <v>0.05</v>
      </c>
      <c r="BH237" s="261"/>
      <c r="BI237" s="242">
        <f t="shared" si="137"/>
        <v>0</v>
      </c>
      <c r="BJ237" s="1232">
        <f t="shared" si="152"/>
        <v>49.85</v>
      </c>
      <c r="BK237" s="243"/>
      <c r="BL237" s="289" t="s">
        <v>184</v>
      </c>
      <c r="BM237" s="145">
        <v>0.05</v>
      </c>
      <c r="BN237" s="262"/>
      <c r="BO237" s="242">
        <f t="shared" si="133"/>
        <v>0</v>
      </c>
      <c r="BP237" s="1231">
        <f t="shared" si="180"/>
        <v>49.85</v>
      </c>
      <c r="BQ237" s="243"/>
      <c r="BR237" s="110">
        <v>997</v>
      </c>
      <c r="BS237" s="226">
        <v>44880</v>
      </c>
      <c r="BT237" s="110"/>
      <c r="BU237" s="263"/>
      <c r="BV237" s="110"/>
      <c r="BW237" s="348"/>
      <c r="BX237" s="110"/>
      <c r="BY237" s="263"/>
      <c r="BZ237" s="110"/>
      <c r="CA237" s="263"/>
      <c r="CB237" s="110"/>
      <c r="CC237" s="263"/>
      <c r="CD237" s="110"/>
      <c r="CE237" s="226"/>
      <c r="CF237" s="110"/>
      <c r="CG237" s="263"/>
      <c r="CH237" s="110"/>
      <c r="CI237" s="226"/>
      <c r="CJ237" s="110"/>
      <c r="CK237" s="155"/>
      <c r="CL237" s="181"/>
      <c r="CM237" s="181"/>
      <c r="CN237" s="207"/>
      <c r="CO237" s="207"/>
      <c r="CP237" s="155"/>
      <c r="CQ237" s="131"/>
      <c r="CR237" s="823" t="s">
        <v>4500</v>
      </c>
      <c r="CS237" s="116" t="str">
        <f t="shared" si="9"/>
        <v>Cristian A</v>
      </c>
      <c r="CT237" s="820" t="b">
        <f t="shared" si="168"/>
        <v>0</v>
      </c>
      <c r="CU237" s="820" t="b">
        <f t="shared" si="169"/>
        <v>0</v>
      </c>
      <c r="CV237" s="116" t="str">
        <f t="shared" si="10"/>
        <v>Cristian A</v>
      </c>
      <c r="CW237" s="181"/>
      <c r="CX237" s="779"/>
      <c r="CY237" s="729"/>
      <c r="CZ237" s="729"/>
      <c r="DA237" s="729"/>
      <c r="DB237" s="729"/>
      <c r="DC237" s="729"/>
      <c r="DD237" s="265"/>
      <c r="DE237" s="265"/>
      <c r="DF237" s="265"/>
      <c r="DG237" s="265"/>
      <c r="DH237" s="265"/>
      <c r="DI237" s="265"/>
      <c r="DJ237" s="265"/>
      <c r="DK237" s="265"/>
      <c r="DL237" s="265"/>
      <c r="DM237" s="265"/>
      <c r="DN237" s="265"/>
      <c r="DO237" s="265"/>
      <c r="DP237" s="265"/>
      <c r="DQ237" s="265"/>
      <c r="DR237" s="265"/>
      <c r="DS237" s="265"/>
      <c r="DT237" s="265"/>
    </row>
    <row r="238" spans="1:124" ht="30" customHeight="1">
      <c r="A238" s="228"/>
      <c r="B238" s="331"/>
      <c r="C238" s="155">
        <f t="shared" si="154"/>
        <v>124</v>
      </c>
      <c r="D238" s="781"/>
      <c r="E238" s="781"/>
      <c r="F238" s="781"/>
      <c r="G238" s="112" t="s">
        <v>895</v>
      </c>
      <c r="H238" s="112" t="s">
        <v>1319</v>
      </c>
      <c r="I238" s="207" t="s">
        <v>1320</v>
      </c>
      <c r="J238" s="207" t="str">
        <f t="shared" si="0"/>
        <v>Valentina Delfino</v>
      </c>
      <c r="K238" s="156">
        <v>3457995266</v>
      </c>
      <c r="L238" s="131"/>
      <c r="M238" s="131" t="s">
        <v>1321</v>
      </c>
      <c r="N238" s="131" t="str">
        <f t="shared" si="182"/>
        <v>VALE HOME DESIGN</v>
      </c>
      <c r="O238" s="1297"/>
      <c r="P238" s="251"/>
      <c r="Q238" s="131"/>
      <c r="R238" s="252"/>
      <c r="S238" s="254"/>
      <c r="T238" s="346"/>
      <c r="U238" s="253"/>
      <c r="V238" s="253"/>
      <c r="W238" s="251"/>
      <c r="X238" s="131"/>
      <c r="Y238" s="251"/>
      <c r="Z238" s="251"/>
      <c r="AA238" s="251"/>
      <c r="AB238" s="255"/>
      <c r="AC238" s="256"/>
      <c r="AD238" s="121" t="s">
        <v>1323</v>
      </c>
      <c r="AE238" s="80">
        <f t="shared" ref="AE238:AE239" si="188">L238</f>
        <v>0</v>
      </c>
      <c r="AF238" s="257"/>
      <c r="AG238" s="155"/>
      <c r="AH238" s="155"/>
      <c r="AI238" s="155"/>
      <c r="AJ238" s="257"/>
      <c r="AK238" s="155"/>
      <c r="AL238" s="155"/>
      <c r="AM238" s="155"/>
      <c r="AN238" s="257"/>
      <c r="AO238" s="258"/>
      <c r="AP238" s="258"/>
      <c r="AQ238" s="258"/>
      <c r="AR238" s="211"/>
      <c r="AS238" s="259"/>
      <c r="AT238" s="259"/>
      <c r="AU238" s="259"/>
      <c r="AV238" s="211"/>
      <c r="AW238" s="259" t="s">
        <v>115</v>
      </c>
      <c r="AX238" s="259" t="s">
        <v>115</v>
      </c>
      <c r="AY238" s="259" t="s">
        <v>115</v>
      </c>
      <c r="AZ238" s="808">
        <f t="shared" si="178"/>
        <v>2997</v>
      </c>
      <c r="BA238" s="761">
        <f t="shared" si="98"/>
        <v>2997</v>
      </c>
      <c r="BB238" s="761">
        <f t="shared" si="4"/>
        <v>0</v>
      </c>
      <c r="BC238" s="110"/>
      <c r="BD238" s="242"/>
      <c r="BE238" s="1231">
        <v>2997</v>
      </c>
      <c r="BF238" s="380" t="s">
        <v>117</v>
      </c>
      <c r="BG238" s="98">
        <v>0</v>
      </c>
      <c r="BH238" s="261"/>
      <c r="BI238" s="242">
        <f t="shared" si="137"/>
        <v>0</v>
      </c>
      <c r="BJ238" s="1232">
        <f t="shared" si="152"/>
        <v>0</v>
      </c>
      <c r="BK238" s="1267" t="s">
        <v>118</v>
      </c>
      <c r="BL238" s="825" t="s">
        <v>152</v>
      </c>
      <c r="BM238" s="145">
        <v>0.05</v>
      </c>
      <c r="BN238" s="262"/>
      <c r="BO238" s="242">
        <f t="shared" si="133"/>
        <v>0</v>
      </c>
      <c r="BP238" s="1231">
        <f t="shared" si="180"/>
        <v>149.85</v>
      </c>
      <c r="BQ238" s="243"/>
      <c r="BR238" s="110">
        <v>2997</v>
      </c>
      <c r="BS238" s="226">
        <v>44834</v>
      </c>
      <c r="BT238" s="110">
        <v>2997</v>
      </c>
      <c r="BU238" s="263"/>
      <c r="BV238" s="110"/>
      <c r="BW238" s="348"/>
      <c r="BX238" s="110"/>
      <c r="BY238" s="263"/>
      <c r="BZ238" s="110"/>
      <c r="CA238" s="263"/>
      <c r="CB238" s="110"/>
      <c r="CC238" s="263"/>
      <c r="CD238" s="110"/>
      <c r="CE238" s="226"/>
      <c r="CF238" s="110"/>
      <c r="CG238" s="263"/>
      <c r="CH238" s="110"/>
      <c r="CI238" s="226"/>
      <c r="CJ238" s="110"/>
      <c r="CK238" s="155">
        <v>1</v>
      </c>
      <c r="CL238" s="181" t="s">
        <v>1123</v>
      </c>
      <c r="CM238" s="181"/>
      <c r="CN238" s="207"/>
      <c r="CO238" s="207"/>
      <c r="CP238" s="155"/>
      <c r="CQ238" s="131" t="s">
        <v>4502</v>
      </c>
      <c r="CR238" s="823" t="s">
        <v>4503</v>
      </c>
      <c r="CS238" s="116" t="str">
        <f t="shared" si="9"/>
        <v>blackship</v>
      </c>
      <c r="CT238" s="820" t="b">
        <f t="shared" si="168"/>
        <v>0</v>
      </c>
      <c r="CU238" s="820" t="b">
        <f t="shared" si="169"/>
        <v>0</v>
      </c>
      <c r="CV238" s="116" t="str">
        <f t="shared" si="10"/>
        <v>Client Angel</v>
      </c>
      <c r="CW238" s="181"/>
      <c r="CX238" s="779"/>
      <c r="CY238" s="729"/>
      <c r="CZ238" s="729"/>
      <c r="DA238" s="729"/>
      <c r="DB238" s="729"/>
      <c r="DC238" s="729"/>
      <c r="DD238" s="265"/>
      <c r="DE238" s="265"/>
      <c r="DF238" s="265"/>
      <c r="DG238" s="265"/>
      <c r="DH238" s="265"/>
      <c r="DI238" s="265"/>
      <c r="DJ238" s="265"/>
      <c r="DK238" s="265"/>
      <c r="DL238" s="265"/>
      <c r="DM238" s="265"/>
      <c r="DN238" s="265"/>
      <c r="DO238" s="265"/>
      <c r="DP238" s="265"/>
      <c r="DQ238" s="265"/>
      <c r="DR238" s="265"/>
      <c r="DS238" s="265"/>
      <c r="DT238" s="265"/>
    </row>
    <row r="239" spans="1:124" ht="30" customHeight="1">
      <c r="A239" s="228"/>
      <c r="B239" s="1333" t="s">
        <v>3144</v>
      </c>
      <c r="C239" s="155">
        <f t="shared" si="154"/>
        <v>125</v>
      </c>
      <c r="D239" s="781">
        <v>1</v>
      </c>
      <c r="E239" s="781">
        <v>1</v>
      </c>
      <c r="F239" s="781">
        <v>1</v>
      </c>
      <c r="G239" s="112" t="s">
        <v>895</v>
      </c>
      <c r="H239" s="112" t="s">
        <v>2555</v>
      </c>
      <c r="I239" s="1234" t="s">
        <v>2556</v>
      </c>
      <c r="J239" s="207" t="str">
        <f t="shared" si="0"/>
        <v>Valentina Vavassori</v>
      </c>
      <c r="K239" s="156" t="s">
        <v>4504</v>
      </c>
      <c r="L239" s="1333" t="s">
        <v>3144</v>
      </c>
      <c r="M239" s="823" t="s">
        <v>4505</v>
      </c>
      <c r="N239" s="131" t="str">
        <f t="shared" si="182"/>
        <v>SICUREZZA INFORMA</v>
      </c>
      <c r="O239" s="1297"/>
      <c r="P239" s="251"/>
      <c r="Q239" s="131"/>
      <c r="R239" s="252"/>
      <c r="S239" s="254"/>
      <c r="T239" s="346"/>
      <c r="U239" s="253"/>
      <c r="V239" s="253"/>
      <c r="W239" s="251"/>
      <c r="X239" s="131"/>
      <c r="Y239" s="251"/>
      <c r="Z239" s="251"/>
      <c r="AA239" s="251"/>
      <c r="AB239" s="255"/>
      <c r="AC239" s="256"/>
      <c r="AD239" s="121"/>
      <c r="AE239" s="80" t="str">
        <f t="shared" si="188"/>
        <v>PRESTITO D'ONORE</v>
      </c>
      <c r="AF239" s="257"/>
      <c r="AG239" s="155"/>
      <c r="AH239" s="155"/>
      <c r="AI239" s="155"/>
      <c r="AJ239" s="257"/>
      <c r="AK239" s="155"/>
      <c r="AL239" s="155"/>
      <c r="AM239" s="155"/>
      <c r="AN239" s="257"/>
      <c r="AO239" s="258"/>
      <c r="AP239" s="258"/>
      <c r="AQ239" s="258"/>
      <c r="AR239" s="211"/>
      <c r="AS239" s="259" t="s">
        <v>115</v>
      </c>
      <c r="AT239" s="259" t="s">
        <v>115</v>
      </c>
      <c r="AU239" s="259" t="s">
        <v>115</v>
      </c>
      <c r="AV239" s="211"/>
      <c r="AW239" s="259"/>
      <c r="AX239" s="259"/>
      <c r="AY239" s="259"/>
      <c r="AZ239" s="808">
        <f t="shared" si="178"/>
        <v>0</v>
      </c>
      <c r="BA239" s="761">
        <f t="shared" si="98"/>
        <v>0</v>
      </c>
      <c r="BB239" s="761">
        <f t="shared" si="4"/>
        <v>0</v>
      </c>
      <c r="BC239" s="110"/>
      <c r="BD239" s="242">
        <f>AZ239</f>
        <v>0</v>
      </c>
      <c r="BE239" s="1231"/>
      <c r="BF239" s="363" t="s">
        <v>117</v>
      </c>
      <c r="BG239" s="98">
        <v>0</v>
      </c>
      <c r="BH239" s="261"/>
      <c r="BI239" s="242">
        <f t="shared" si="137"/>
        <v>0</v>
      </c>
      <c r="BJ239" s="1231"/>
      <c r="BK239" s="244" t="s">
        <v>118</v>
      </c>
      <c r="BL239" s="828" t="s">
        <v>152</v>
      </c>
      <c r="BM239" s="145">
        <v>0.05</v>
      </c>
      <c r="BN239" s="262"/>
      <c r="BO239" s="242">
        <f t="shared" si="133"/>
        <v>0</v>
      </c>
      <c r="BP239" s="1231">
        <f t="shared" si="180"/>
        <v>0</v>
      </c>
      <c r="BQ239" s="243"/>
      <c r="BR239" s="110"/>
      <c r="BS239" s="226"/>
      <c r="BT239" s="110"/>
      <c r="BU239" s="263"/>
      <c r="BV239" s="110"/>
      <c r="BW239" s="348"/>
      <c r="BX239" s="110"/>
      <c r="BY239" s="263"/>
      <c r="BZ239" s="110"/>
      <c r="CA239" s="263"/>
      <c r="CB239" s="110"/>
      <c r="CC239" s="263"/>
      <c r="CD239" s="110"/>
      <c r="CE239" s="226"/>
      <c r="CF239" s="110"/>
      <c r="CG239" s="263"/>
      <c r="CH239" s="110"/>
      <c r="CI239" s="226"/>
      <c r="CJ239" s="110"/>
      <c r="CK239" s="155">
        <v>1</v>
      </c>
      <c r="CL239" s="181" t="s">
        <v>1123</v>
      </c>
      <c r="CM239" s="181"/>
      <c r="CN239" s="207"/>
      <c r="CO239" s="155" t="s">
        <v>122</v>
      </c>
      <c r="CP239" s="155"/>
      <c r="CQ239" s="131" t="s">
        <v>2558</v>
      </c>
      <c r="CR239" s="823" t="s">
        <v>2557</v>
      </c>
      <c r="CS239" s="116" t="str">
        <f t="shared" si="9"/>
        <v>blackship</v>
      </c>
      <c r="CT239" s="820">
        <f t="shared" si="168"/>
        <v>0</v>
      </c>
      <c r="CU239" s="820">
        <f t="shared" si="169"/>
        <v>0</v>
      </c>
      <c r="CV239" s="116" t="str">
        <f t="shared" si="10"/>
        <v>Client Angel</v>
      </c>
      <c r="CW239" s="181"/>
      <c r="CX239" s="779"/>
      <c r="CY239" s="729"/>
      <c r="CZ239" s="729"/>
      <c r="DA239" s="729"/>
      <c r="DB239" s="729"/>
      <c r="DC239" s="729"/>
      <c r="DD239" s="265"/>
      <c r="DE239" s="265"/>
      <c r="DF239" s="265"/>
      <c r="DG239" s="265"/>
      <c r="DH239" s="265"/>
      <c r="DI239" s="265"/>
      <c r="DJ239" s="265"/>
      <c r="DK239" s="265"/>
      <c r="DL239" s="265"/>
      <c r="DM239" s="265"/>
      <c r="DN239" s="265"/>
      <c r="DO239" s="265"/>
      <c r="DP239" s="265"/>
      <c r="DQ239" s="265"/>
      <c r="DR239" s="265"/>
      <c r="DS239" s="265"/>
      <c r="DT239" s="265"/>
    </row>
    <row r="240" spans="1:124" ht="30" customHeight="1">
      <c r="A240" s="228"/>
      <c r="B240" s="155"/>
      <c r="C240" s="155">
        <f t="shared" si="154"/>
        <v>126</v>
      </c>
      <c r="D240" s="757">
        <v>1</v>
      </c>
      <c r="E240" s="757"/>
      <c r="F240" s="757"/>
      <c r="G240" s="921" t="s">
        <v>4506</v>
      </c>
      <c r="H240" s="922" t="s">
        <v>4507</v>
      </c>
      <c r="I240" s="662" t="s">
        <v>4508</v>
      </c>
      <c r="J240" s="207" t="str">
        <f t="shared" si="0"/>
        <v>Giulia Annisa Schira</v>
      </c>
      <c r="K240" s="224"/>
      <c r="L240" s="1334" t="s">
        <v>3846</v>
      </c>
      <c r="M240" s="598"/>
      <c r="N240" s="598">
        <f t="shared" si="182"/>
        <v>0</v>
      </c>
      <c r="O240" s="1259"/>
      <c r="P240" s="255"/>
      <c r="Q240" s="255"/>
      <c r="R240" s="598" t="s">
        <v>916</v>
      </c>
      <c r="S240" s="598"/>
      <c r="T240" s="598"/>
      <c r="U240" s="598"/>
      <c r="V240" s="598"/>
      <c r="W240" s="258"/>
      <c r="X240" s="131"/>
      <c r="Y240" s="258"/>
      <c r="Z240" s="258"/>
      <c r="AA240" s="258"/>
      <c r="AB240" s="255"/>
      <c r="AC240" s="131"/>
      <c r="AD240" s="121" t="s">
        <v>4509</v>
      </c>
      <c r="AE240" s="207"/>
      <c r="AF240" s="515"/>
      <c r="AG240" s="516"/>
      <c r="AH240" s="516"/>
      <c r="AI240" s="516"/>
      <c r="AJ240" s="515"/>
      <c r="AK240" s="155"/>
      <c r="AL240" s="155"/>
      <c r="AM240" s="155"/>
      <c r="AN240" s="515"/>
      <c r="AO240" s="155"/>
      <c r="AP240" s="155"/>
      <c r="AQ240" s="155"/>
      <c r="AR240" s="515"/>
      <c r="AS240" s="121" t="s">
        <v>115</v>
      </c>
      <c r="AT240" s="121"/>
      <c r="AU240" s="121"/>
      <c r="AV240" s="568"/>
      <c r="AW240" s="121"/>
      <c r="AX240" s="121"/>
      <c r="AY240" s="121"/>
      <c r="AZ240" s="889"/>
      <c r="BA240" s="932"/>
      <c r="BB240" s="902"/>
      <c r="BC240" s="110"/>
      <c r="BD240" s="242"/>
      <c r="BE240" s="1231"/>
      <c r="BF240" s="630"/>
      <c r="BG240" s="191"/>
      <c r="BH240" s="110"/>
      <c r="BI240" s="242"/>
      <c r="BJ240" s="1231"/>
      <c r="BK240" s="529"/>
      <c r="BL240" s="529"/>
      <c r="BM240" s="145"/>
      <c r="BN240" s="110"/>
      <c r="BO240" s="242"/>
      <c r="BP240" s="1231"/>
      <c r="BQ240" s="665"/>
      <c r="BR240" s="338"/>
      <c r="BS240" s="338"/>
      <c r="BT240" s="338"/>
      <c r="BU240" s="338"/>
      <c r="BV240" s="338"/>
      <c r="BW240" s="338"/>
      <c r="BX240" s="338"/>
      <c r="BY240" s="338"/>
      <c r="BZ240" s="338"/>
      <c r="CA240" s="338"/>
      <c r="CB240" s="338"/>
      <c r="CC240" s="338"/>
      <c r="CD240" s="338"/>
      <c r="CE240" s="338"/>
      <c r="CF240" s="338"/>
      <c r="CG240" s="338"/>
      <c r="CH240" s="338"/>
      <c r="CI240" s="338"/>
      <c r="CJ240" s="338"/>
      <c r="CK240" s="245"/>
      <c r="CL240" s="181"/>
      <c r="CM240" s="369"/>
      <c r="CN240" s="207"/>
      <c r="CO240" s="155" t="s">
        <v>122</v>
      </c>
      <c r="CP240" s="155"/>
      <c r="CQ240" s="598"/>
      <c r="CR240" s="598"/>
      <c r="CS240" s="116">
        <f t="shared" si="9"/>
        <v>0</v>
      </c>
      <c r="CT240" s="242"/>
      <c r="CU240" s="242"/>
      <c r="CV240" s="116">
        <f t="shared" si="10"/>
        <v>0</v>
      </c>
      <c r="CW240" s="207"/>
      <c r="CX240" s="729"/>
      <c r="CY240" s="729"/>
      <c r="CZ240" s="729"/>
      <c r="DA240" s="729"/>
      <c r="DB240" s="729"/>
      <c r="DC240" s="729"/>
    </row>
    <row r="241" spans="1:124" ht="51">
      <c r="A241" s="228"/>
      <c r="B241" s="155"/>
      <c r="C241" s="155">
        <f t="shared" si="154"/>
        <v>127</v>
      </c>
      <c r="D241" s="757"/>
      <c r="E241" s="757">
        <v>1</v>
      </c>
      <c r="F241" s="757">
        <v>1</v>
      </c>
      <c r="G241" s="181" t="s">
        <v>1883</v>
      </c>
      <c r="H241" s="181" t="s">
        <v>4510</v>
      </c>
      <c r="I241" s="1234" t="s">
        <v>4511</v>
      </c>
      <c r="J241" s="207" t="str">
        <f t="shared" si="0"/>
        <v>Moreno Pedron</v>
      </c>
      <c r="K241" s="1335">
        <v>3289486831</v>
      </c>
      <c r="L241" s="354" t="s">
        <v>4512</v>
      </c>
      <c r="M241" s="354" t="s">
        <v>4513</v>
      </c>
      <c r="N241" s="1336" t="str">
        <f t="shared" si="182"/>
        <v>Imet Solutions srl</v>
      </c>
      <c r="O241" s="1337"/>
      <c r="P241" s="594"/>
      <c r="Q241" s="594"/>
      <c r="R241" s="354" t="s">
        <v>4514</v>
      </c>
      <c r="S241" s="594"/>
      <c r="T241" s="640"/>
      <c r="U241" s="640"/>
      <c r="V241" s="359"/>
      <c r="X241" s="354"/>
      <c r="Y241" s="594"/>
      <c r="Z241" s="594"/>
      <c r="AA241" s="594"/>
      <c r="AB241" s="594"/>
      <c r="AC241" s="640"/>
      <c r="AD241" s="1335" t="s">
        <v>4515</v>
      </c>
      <c r="AE241" s="640"/>
      <c r="AF241" s="1338"/>
      <c r="AG241" s="1339"/>
      <c r="AH241" s="1339"/>
      <c r="AI241" s="1339"/>
      <c r="AJ241" s="515"/>
      <c r="AK241" s="1339"/>
      <c r="AL241" s="1339"/>
      <c r="AM241" s="1339"/>
      <c r="AN241" s="515"/>
      <c r="AO241" s="617" t="s">
        <v>115</v>
      </c>
      <c r="AP241" s="601"/>
      <c r="AQ241" s="601"/>
      <c r="AR241" s="1340"/>
      <c r="AS241" s="617"/>
      <c r="AT241" s="1223" t="s">
        <v>115</v>
      </c>
      <c r="AU241" s="617" t="s">
        <v>115</v>
      </c>
      <c r="AV241" s="1341"/>
      <c r="AW241" s="121"/>
      <c r="AX241" s="121"/>
      <c r="AY241" s="121"/>
      <c r="AZ241" s="889"/>
      <c r="BA241" s="902"/>
      <c r="BB241" s="902"/>
      <c r="BC241" s="110"/>
      <c r="BD241" s="242"/>
      <c r="BE241" s="1231"/>
      <c r="BF241" s="1342"/>
      <c r="BG241" s="1343"/>
      <c r="BH241" s="1249"/>
      <c r="BI241" s="653"/>
      <c r="BJ241" s="1231"/>
      <c r="BK241" s="1344" t="s">
        <v>118</v>
      </c>
      <c r="BL241" s="1345"/>
      <c r="BM241" s="1343"/>
      <c r="BN241" s="1249"/>
      <c r="BO241" s="653"/>
      <c r="BP241" s="1231"/>
      <c r="BQ241" s="1305"/>
      <c r="BR241" s="1346"/>
      <c r="BS241" s="1307"/>
      <c r="BT241" s="652"/>
      <c r="BU241" s="1307"/>
      <c r="BV241" s="1307"/>
      <c r="BW241" s="1307"/>
      <c r="BX241" s="1307"/>
      <c r="BY241" s="1307"/>
      <c r="BZ241" s="1307"/>
      <c r="CA241" s="1307"/>
      <c r="CB241" s="1307"/>
      <c r="CC241" s="263"/>
      <c r="CD241" s="110"/>
      <c r="CE241" s="226"/>
      <c r="CF241" s="110"/>
      <c r="CG241" s="263"/>
      <c r="CH241" s="110"/>
      <c r="CI241" s="226"/>
      <c r="CJ241" s="110"/>
      <c r="CK241" s="245" t="s">
        <v>2612</v>
      </c>
      <c r="CL241" s="181" t="s">
        <v>2311</v>
      </c>
      <c r="CM241" s="331"/>
      <c r="CN241" s="1347"/>
      <c r="CO241" s="585"/>
      <c r="CP241" s="124"/>
      <c r="CQ241" s="585"/>
      <c r="CR241" s="1348" t="s">
        <v>4516</v>
      </c>
      <c r="CS241" s="116">
        <f t="shared" si="9"/>
        <v>0</v>
      </c>
      <c r="CT241" s="242"/>
      <c r="CU241" s="242"/>
      <c r="CV241" s="116">
        <f t="shared" si="10"/>
        <v>0</v>
      </c>
      <c r="CW241" s="124"/>
      <c r="CX241" s="1"/>
      <c r="CY241" s="1"/>
      <c r="CZ241" s="1"/>
      <c r="DA241" s="1"/>
      <c r="DB241" s="1"/>
      <c r="DC241" s="729"/>
      <c r="DE241" s="265"/>
      <c r="DF241" s="265"/>
      <c r="DG241" s="265"/>
      <c r="DH241" s="265"/>
      <c r="DI241" s="265"/>
      <c r="DJ241" s="265"/>
      <c r="DK241" s="265"/>
      <c r="DL241" s="265"/>
      <c r="DM241" s="265"/>
      <c r="DN241" s="265"/>
      <c r="DO241" s="265"/>
      <c r="DP241" s="265"/>
      <c r="DQ241" s="265"/>
      <c r="DR241" s="265"/>
      <c r="DS241" s="265"/>
      <c r="DT241" s="265"/>
    </row>
    <row r="242" spans="1:124" ht="30" customHeight="1">
      <c r="A242" s="228"/>
      <c r="B242" s="155"/>
      <c r="C242" s="155">
        <f t="shared" si="154"/>
        <v>128</v>
      </c>
      <c r="D242" s="757"/>
      <c r="E242" s="757"/>
      <c r="F242" s="757"/>
      <c r="G242" s="840" t="s">
        <v>2430</v>
      </c>
      <c r="H242" s="222" t="s">
        <v>2431</v>
      </c>
      <c r="I242" s="207" t="s">
        <v>2432</v>
      </c>
      <c r="J242" s="207" t="str">
        <f t="shared" si="0"/>
        <v>Samantha Cicchelero</v>
      </c>
      <c r="K242" s="224"/>
      <c r="L242" s="131"/>
      <c r="M242" s="131"/>
      <c r="N242" s="131" t="str">
        <f t="shared" si="182"/>
        <v>Samantha Cicchelero</v>
      </c>
      <c r="O242" s="1349"/>
      <c r="P242" s="131"/>
      <c r="Q242" s="131"/>
      <c r="R242" s="131" t="s">
        <v>2434</v>
      </c>
      <c r="S242" s="131"/>
      <c r="T242" s="131"/>
      <c r="U242" s="131"/>
      <c r="V242" s="131"/>
      <c r="W242" s="131"/>
      <c r="X242" s="131"/>
      <c r="Y242" s="131"/>
      <c r="Z242" s="131"/>
      <c r="AA242" s="131"/>
      <c r="AB242" s="207"/>
      <c r="AC242" s="131"/>
      <c r="AD242" s="224"/>
      <c r="AE242" s="331"/>
      <c r="AF242" s="515"/>
      <c r="AG242" s="406"/>
      <c r="AH242" s="406"/>
      <c r="AI242" s="406"/>
      <c r="AJ242" s="515"/>
      <c r="AK242" s="155" t="s">
        <v>115</v>
      </c>
      <c r="AL242" s="155" t="s">
        <v>115</v>
      </c>
      <c r="AM242" s="155"/>
      <c r="AN242" s="198"/>
      <c r="AO242" s="155" t="s">
        <v>116</v>
      </c>
      <c r="AP242" s="155" t="s">
        <v>116</v>
      </c>
      <c r="AQ242" s="155"/>
      <c r="AR242" s="515"/>
      <c r="AS242" s="121"/>
      <c r="AT242" s="121"/>
      <c r="AV242" s="568"/>
      <c r="AW242" s="121"/>
      <c r="AX242" s="121"/>
      <c r="AY242" s="1332" t="s">
        <v>27</v>
      </c>
      <c r="AZ242" s="760"/>
      <c r="BA242" s="808"/>
      <c r="BB242" s="808"/>
      <c r="BC242" s="110"/>
      <c r="BD242" s="242"/>
      <c r="BE242" s="1231"/>
      <c r="BF242" s="529"/>
      <c r="BG242" s="145"/>
      <c r="BH242" s="110"/>
      <c r="BI242" s="242"/>
      <c r="BJ242" s="1231"/>
      <c r="BK242" s="529"/>
      <c r="BL242" s="131"/>
      <c r="BM242" s="145"/>
      <c r="BN242" s="110"/>
      <c r="BO242" s="242"/>
      <c r="BP242" s="1231"/>
      <c r="BQ242" s="131"/>
      <c r="BR242" s="301"/>
      <c r="BS242" s="206"/>
      <c r="BT242" s="301"/>
      <c r="BU242" s="263"/>
      <c r="BV242" s="110"/>
      <c r="BW242" s="226"/>
      <c r="BX242" s="110"/>
      <c r="BY242" s="263"/>
      <c r="BZ242" s="110"/>
      <c r="CA242" s="226"/>
      <c r="CB242" s="110"/>
      <c r="CC242" s="263"/>
      <c r="CD242" s="110"/>
      <c r="CE242" s="226"/>
      <c r="CF242" s="110"/>
      <c r="CG242" s="263"/>
      <c r="CH242" s="110"/>
      <c r="CI242" s="226"/>
      <c r="CJ242" s="110"/>
      <c r="CK242" s="155" t="s">
        <v>2612</v>
      </c>
      <c r="CL242" s="181"/>
      <c r="CM242" s="181"/>
      <c r="CN242" s="181"/>
      <c r="CO242" s="181"/>
      <c r="CP242" s="121"/>
      <c r="CQ242" s="131"/>
      <c r="CR242" s="131" t="s">
        <v>2433</v>
      </c>
      <c r="CS242" s="116">
        <f t="shared" si="9"/>
        <v>0</v>
      </c>
      <c r="CT242" s="242"/>
      <c r="CU242" s="242"/>
      <c r="CV242" s="116">
        <f t="shared" si="10"/>
        <v>0</v>
      </c>
      <c r="CW242" s="181"/>
      <c r="CX242" s="779"/>
      <c r="CY242" s="779"/>
      <c r="CZ242" s="779"/>
      <c r="DA242" s="779"/>
      <c r="DB242" s="779"/>
      <c r="DC242" s="729"/>
    </row>
    <row r="243" spans="1:124" ht="30" customHeight="1">
      <c r="A243" s="228"/>
      <c r="B243" s="155"/>
      <c r="C243" s="155">
        <f t="shared" si="154"/>
        <v>129</v>
      </c>
      <c r="D243" s="757"/>
      <c r="E243" s="757">
        <v>1</v>
      </c>
      <c r="F243" s="757">
        <v>1</v>
      </c>
      <c r="G243" s="369" t="s">
        <v>4517</v>
      </c>
      <c r="H243" s="672" t="s">
        <v>4518</v>
      </c>
      <c r="I243" s="1246" t="s">
        <v>4519</v>
      </c>
      <c r="J243" s="207" t="str">
        <f t="shared" si="0"/>
        <v>Ancilla Bezzi</v>
      </c>
      <c r="K243" s="224"/>
      <c r="L243" s="131"/>
      <c r="M243" s="131"/>
      <c r="N243" s="131" t="str">
        <f t="shared" si="182"/>
        <v>Scilla Meccanica</v>
      </c>
      <c r="O243" s="1277"/>
      <c r="P243" s="131"/>
      <c r="Q243" s="131"/>
      <c r="R243" s="131" t="s">
        <v>4520</v>
      </c>
      <c r="S243" s="131"/>
      <c r="T243" s="131"/>
      <c r="U243" s="131"/>
      <c r="V243" s="131"/>
      <c r="W243" s="131"/>
      <c r="X243" s="131"/>
      <c r="Y243" s="131"/>
      <c r="Z243" s="131"/>
      <c r="AA243" s="131"/>
      <c r="AB243" s="255"/>
      <c r="AC243" s="131"/>
      <c r="AD243" s="224"/>
      <c r="AE243" s="207"/>
      <c r="AF243" s="515"/>
      <c r="AG243" s="406"/>
      <c r="AH243" s="406"/>
      <c r="AI243" s="406"/>
      <c r="AJ243" s="515"/>
      <c r="AK243" s="155" t="s">
        <v>115</v>
      </c>
      <c r="AL243" s="155"/>
      <c r="AM243" s="155"/>
      <c r="AN243" s="198"/>
      <c r="AO243" s="155"/>
      <c r="AP243" s="155"/>
      <c r="AQ243" s="155"/>
      <c r="AR243" s="198"/>
      <c r="AS243" s="121"/>
      <c r="AT243" s="1223" t="s">
        <v>115</v>
      </c>
      <c r="AU243" s="1223" t="s">
        <v>115</v>
      </c>
      <c r="AV243" s="235"/>
      <c r="AW243" s="121"/>
      <c r="AX243" s="121"/>
      <c r="AY243" s="121"/>
      <c r="AZ243" s="760"/>
      <c r="BA243" s="761"/>
      <c r="BB243" s="761"/>
      <c r="BC243" s="110"/>
      <c r="BD243" s="242"/>
      <c r="BE243" s="1231"/>
      <c r="BF243" s="529"/>
      <c r="BG243" s="145"/>
      <c r="BH243" s="110"/>
      <c r="BI243" s="242"/>
      <c r="BJ243" s="1231"/>
      <c r="BK243" s="1344" t="s">
        <v>118</v>
      </c>
      <c r="BL243" s="529"/>
      <c r="BM243" s="145"/>
      <c r="BN243" s="110"/>
      <c r="BO243" s="242"/>
      <c r="BP243" s="1231"/>
      <c r="BQ243" s="277"/>
      <c r="BR243" s="301"/>
      <c r="BS243" s="206"/>
      <c r="BT243" s="301"/>
      <c r="BU243" s="206"/>
      <c r="BV243" s="206"/>
      <c r="BW243" s="206"/>
      <c r="BX243" s="206"/>
      <c r="BY243" s="206"/>
      <c r="BZ243" s="206"/>
      <c r="CA243" s="206"/>
      <c r="CB243" s="206"/>
      <c r="CC243" s="263"/>
      <c r="CD243" s="263"/>
      <c r="CE243" s="263"/>
      <c r="CF243" s="263"/>
      <c r="CG243" s="263"/>
      <c r="CH243" s="263"/>
      <c r="CI243" s="263"/>
      <c r="CJ243" s="263"/>
      <c r="CK243" s="245" t="s">
        <v>2612</v>
      </c>
      <c r="CL243" s="181" t="s">
        <v>2311</v>
      </c>
      <c r="CM243" s="369"/>
      <c r="CN243" s="181"/>
      <c r="CO243" s="312"/>
      <c r="CP243" s="121"/>
      <c r="CQ243" s="131"/>
      <c r="CR243" s="131" t="s">
        <v>4520</v>
      </c>
      <c r="CS243" s="116">
        <f t="shared" si="9"/>
        <v>0</v>
      </c>
      <c r="CT243" s="242"/>
      <c r="CU243" s="242"/>
      <c r="CV243" s="116">
        <f t="shared" si="10"/>
        <v>0</v>
      </c>
      <c r="CW243" s="181"/>
      <c r="CX243" s="779"/>
      <c r="CY243" s="729"/>
      <c r="CZ243" s="729"/>
      <c r="DA243" s="729"/>
      <c r="DB243" s="729"/>
      <c r="DC243" s="729"/>
    </row>
    <row r="244" spans="1:124" ht="30" customHeight="1">
      <c r="A244" s="228"/>
      <c r="B244" s="331"/>
      <c r="C244" s="155">
        <f t="shared" si="154"/>
        <v>130</v>
      </c>
      <c r="D244" s="781">
        <v>1</v>
      </c>
      <c r="E244" s="781">
        <v>1</v>
      </c>
      <c r="F244" s="781"/>
      <c r="G244" s="112" t="s">
        <v>3844</v>
      </c>
      <c r="H244" s="621" t="s">
        <v>3919</v>
      </c>
      <c r="I244" s="207" t="s">
        <v>4521</v>
      </c>
      <c r="J244" s="207" t="str">
        <f t="shared" si="0"/>
        <v>Dario Ferrari</v>
      </c>
      <c r="K244" s="156"/>
      <c r="L244" s="131"/>
      <c r="M244" s="131"/>
      <c r="N244" s="131" t="str">
        <f t="shared" si="182"/>
        <v>Switch Up</v>
      </c>
      <c r="O244" s="1297"/>
      <c r="P244" s="251"/>
      <c r="Q244" s="131"/>
      <c r="R244" s="252"/>
      <c r="S244" s="254"/>
      <c r="T244" s="346"/>
      <c r="U244" s="253"/>
      <c r="V244" s="253"/>
      <c r="W244" s="251"/>
      <c r="X244" s="131"/>
      <c r="Y244" s="251"/>
      <c r="Z244" s="251"/>
      <c r="AA244" s="251"/>
      <c r="AB244" s="255"/>
      <c r="AC244" s="256"/>
      <c r="AD244" s="121"/>
      <c r="AE244" s="80">
        <f>L244</f>
        <v>0</v>
      </c>
      <c r="AF244" s="257"/>
      <c r="AG244" s="155"/>
      <c r="AH244" s="155"/>
      <c r="AI244" s="155"/>
      <c r="AJ244" s="257"/>
      <c r="AK244" s="155"/>
      <c r="AL244" s="155"/>
      <c r="AM244" s="155"/>
      <c r="AN244" s="257"/>
      <c r="AO244" s="258"/>
      <c r="AP244" s="258"/>
      <c r="AQ244" s="258"/>
      <c r="AR244" s="211"/>
      <c r="AS244" s="121" t="s">
        <v>115</v>
      </c>
      <c r="AT244" s="121" t="s">
        <v>115</v>
      </c>
      <c r="AU244" s="124"/>
      <c r="AV244" s="211"/>
      <c r="AW244" s="259"/>
      <c r="AX244" s="259"/>
      <c r="AY244" s="259" t="s">
        <v>115</v>
      </c>
      <c r="AZ244" s="808"/>
      <c r="BA244" s="761"/>
      <c r="BB244" s="761"/>
      <c r="BC244" s="110"/>
      <c r="BD244" s="242">
        <f>AZ244</f>
        <v>0</v>
      </c>
      <c r="BE244" s="1231"/>
      <c r="BF244" s="318"/>
      <c r="BG244" s="145"/>
      <c r="BH244" s="261"/>
      <c r="BI244" s="242"/>
      <c r="BJ244" s="1231"/>
      <c r="BK244" s="1344" t="s">
        <v>118</v>
      </c>
      <c r="BL244" s="131"/>
      <c r="BM244" s="347"/>
      <c r="BN244" s="262"/>
      <c r="BO244" s="242"/>
      <c r="BP244" s="1231"/>
      <c r="BQ244" s="243"/>
      <c r="BR244" s="110"/>
      <c r="BS244" s="226"/>
      <c r="BT244" s="110"/>
      <c r="BU244" s="263"/>
      <c r="BV244" s="110"/>
      <c r="BW244" s="348"/>
      <c r="BX244" s="110"/>
      <c r="BY244" s="263"/>
      <c r="BZ244" s="110"/>
      <c r="CA244" s="263"/>
      <c r="CB244" s="110"/>
      <c r="CC244" s="263"/>
      <c r="CD244" s="110"/>
      <c r="CE244" s="226"/>
      <c r="CF244" s="110"/>
      <c r="CG244" s="263"/>
      <c r="CH244" s="110"/>
      <c r="CI244" s="226"/>
      <c r="CJ244" s="110"/>
      <c r="CK244" s="155"/>
      <c r="CL244" s="181"/>
      <c r="CM244" s="181"/>
      <c r="CN244" s="207"/>
      <c r="CO244" s="815" t="s">
        <v>215</v>
      </c>
      <c r="CP244" s="155"/>
      <c r="CQ244" s="131"/>
      <c r="CR244" s="823" t="s">
        <v>2380</v>
      </c>
      <c r="CS244" s="116">
        <f t="shared" si="9"/>
        <v>0</v>
      </c>
      <c r="CT244" s="242"/>
      <c r="CU244" s="242"/>
      <c r="CV244" s="116">
        <f t="shared" si="10"/>
        <v>0</v>
      </c>
      <c r="CW244" s="181"/>
      <c r="CX244" s="1350"/>
      <c r="CY244" s="1351"/>
      <c r="CZ244" s="1351"/>
      <c r="DA244" s="1351"/>
      <c r="DB244" s="1351"/>
      <c r="DC244" s="1351"/>
      <c r="DD244" s="1352"/>
      <c r="DE244" s="1352"/>
      <c r="DF244" s="1352"/>
      <c r="DG244" s="1352"/>
      <c r="DH244" s="1352"/>
      <c r="DI244" s="1352"/>
      <c r="DJ244" s="1352"/>
      <c r="DK244" s="1352"/>
      <c r="DL244" s="1352"/>
      <c r="DM244" s="1352"/>
      <c r="DN244" s="1352"/>
      <c r="DO244" s="1352"/>
      <c r="DP244" s="1352"/>
      <c r="DQ244" s="1352"/>
      <c r="DR244" s="265"/>
      <c r="DS244" s="265"/>
      <c r="DT244" s="265"/>
    </row>
    <row r="245" spans="1:124" ht="30" customHeight="1">
      <c r="A245" s="228"/>
      <c r="B245" s="121"/>
      <c r="C245" s="155">
        <f t="shared" si="154"/>
        <v>131</v>
      </c>
      <c r="D245" s="781"/>
      <c r="E245" s="781"/>
      <c r="F245" s="781">
        <v>1</v>
      </c>
      <c r="G245" s="840" t="s">
        <v>1378</v>
      </c>
      <c r="H245" s="621" t="s">
        <v>4522</v>
      </c>
      <c r="I245" s="207" t="s">
        <v>4523</v>
      </c>
      <c r="J245" s="207" t="str">
        <f t="shared" si="0"/>
        <v>Cristian Molinari</v>
      </c>
      <c r="K245" s="684"/>
      <c r="L245" s="1353" t="s">
        <v>4524</v>
      </c>
      <c r="M245" s="1354"/>
      <c r="N245" s="131" t="str">
        <f t="shared" si="182"/>
        <v>MAW</v>
      </c>
      <c r="O245" s="1355"/>
      <c r="P245" s="315"/>
      <c r="Q245" s="160"/>
      <c r="R245" s="403"/>
      <c r="S245" s="160"/>
      <c r="T245" s="404"/>
      <c r="U245" s="315"/>
      <c r="V245" s="315"/>
      <c r="W245" s="315"/>
      <c r="X245" s="131"/>
      <c r="Y245" s="315"/>
      <c r="Z245" s="315"/>
      <c r="AA245" s="315"/>
      <c r="AB245" s="37"/>
      <c r="AC245" s="131"/>
      <c r="AD245" s="684" t="s">
        <v>3915</v>
      </c>
      <c r="AE245" s="113"/>
      <c r="AF245" s="560"/>
      <c r="AG245" s="406"/>
      <c r="AH245" s="406"/>
      <c r="AI245" s="406"/>
      <c r="AJ245" s="560"/>
      <c r="AK245" s="155"/>
      <c r="AL245" s="155"/>
      <c r="AM245" s="155"/>
      <c r="AN245" s="257"/>
      <c r="AO245" s="155"/>
      <c r="AP245" s="155"/>
      <c r="AQ245" s="155"/>
      <c r="AR245" s="211"/>
      <c r="AS245" s="609"/>
      <c r="AT245" s="609"/>
      <c r="AU245" s="1223" t="s">
        <v>115</v>
      </c>
      <c r="AV245" s="211"/>
      <c r="AW245" s="259"/>
      <c r="AX245" s="259"/>
      <c r="AY245" s="259"/>
      <c r="AZ245" s="760"/>
      <c r="BA245" s="808"/>
      <c r="BB245" s="808"/>
      <c r="BC245" s="110"/>
      <c r="BD245" s="242"/>
      <c r="BE245" s="1231"/>
      <c r="BF245" s="318"/>
      <c r="BG245" s="98"/>
      <c r="BH245" s="261"/>
      <c r="BI245" s="242"/>
      <c r="BJ245" s="1231"/>
      <c r="BK245" s="602"/>
      <c r="BL245" s="131"/>
      <c r="BM245" s="347"/>
      <c r="BN245" s="262"/>
      <c r="BO245" s="242"/>
      <c r="BP245" s="1231"/>
      <c r="BQ245" s="277"/>
      <c r="BR245" s="414"/>
      <c r="BS245" s="1356"/>
      <c r="BT245" s="414"/>
      <c r="BU245" s="1357"/>
      <c r="BV245" s="415"/>
      <c r="BW245" s="416"/>
      <c r="BX245" s="415"/>
      <c r="BY245" s="1357"/>
      <c r="BZ245" s="415"/>
      <c r="CA245" s="416"/>
      <c r="CB245" s="1358"/>
      <c r="CC245" s="263"/>
      <c r="CD245" s="263"/>
      <c r="CE245" s="263"/>
      <c r="CF245" s="263"/>
      <c r="CG245" s="263"/>
      <c r="CH245" s="263"/>
      <c r="CI245" s="263"/>
      <c r="CJ245" s="263"/>
      <c r="CK245" s="245"/>
      <c r="CL245" s="181"/>
      <c r="CM245" s="369"/>
      <c r="CN245" s="181"/>
      <c r="CO245" s="181"/>
      <c r="CP245" s="121"/>
      <c r="CQ245" s="80"/>
      <c r="CR245" s="80" t="s">
        <v>690</v>
      </c>
      <c r="CS245" s="116">
        <f t="shared" si="9"/>
        <v>0</v>
      </c>
      <c r="CT245" s="242"/>
      <c r="CU245" s="242"/>
      <c r="CV245" s="181"/>
      <c r="CW245" s="181"/>
      <c r="CX245" s="779"/>
      <c r="CY245" s="779"/>
      <c r="CZ245" s="779"/>
      <c r="DA245" s="779"/>
      <c r="DB245" s="779"/>
      <c r="DC245" s="779"/>
      <c r="DD245" s="6"/>
      <c r="DE245" s="6"/>
      <c r="DF245" s="6"/>
      <c r="DG245" s="6"/>
      <c r="DH245" s="6"/>
      <c r="DI245" s="6"/>
      <c r="DJ245" s="6"/>
      <c r="DK245" s="6"/>
      <c r="DL245" s="6"/>
      <c r="DM245" s="6"/>
      <c r="DN245" s="6"/>
      <c r="DO245" s="6"/>
      <c r="DP245" s="6"/>
      <c r="DQ245" s="6"/>
      <c r="DR245" s="6"/>
      <c r="DS245" s="6"/>
      <c r="DT245" s="6"/>
    </row>
    <row r="246" spans="1:124" ht="30" customHeight="1">
      <c r="A246" s="228"/>
      <c r="B246" s="331"/>
      <c r="C246" s="155">
        <f t="shared" si="154"/>
        <v>132</v>
      </c>
      <c r="D246" s="781"/>
      <c r="E246" s="781"/>
      <c r="F246" s="781">
        <v>1</v>
      </c>
      <c r="G246" s="112" t="s">
        <v>2588</v>
      </c>
      <c r="H246" s="112" t="s">
        <v>4525</v>
      </c>
      <c r="I246" s="1234" t="s">
        <v>4526</v>
      </c>
      <c r="J246" s="207" t="str">
        <f t="shared" si="0"/>
        <v>Cesare Gamberi</v>
      </c>
      <c r="K246" s="156"/>
      <c r="L246" s="204" t="s">
        <v>4527</v>
      </c>
      <c r="M246" s="131" t="s">
        <v>4359</v>
      </c>
      <c r="N246" s="131" t="str">
        <f t="shared" si="182"/>
        <v>Wyblo</v>
      </c>
      <c r="O246" s="1297"/>
      <c r="P246" s="251"/>
      <c r="Q246" s="131"/>
      <c r="R246" s="252"/>
      <c r="S246" s="254"/>
      <c r="T246" s="346"/>
      <c r="U246" s="253"/>
      <c r="V246" s="253"/>
      <c r="W246" s="251"/>
      <c r="X246" s="131"/>
      <c r="Y246" s="251"/>
      <c r="Z246" s="251"/>
      <c r="AA246" s="251"/>
      <c r="AB246" s="255"/>
      <c r="AC246" s="256"/>
      <c r="AD246" s="121"/>
      <c r="AE246" s="112" t="s">
        <v>4528</v>
      </c>
      <c r="AF246" s="257"/>
      <c r="AG246" s="155"/>
      <c r="AH246" s="155"/>
      <c r="AI246" s="155"/>
      <c r="AJ246" s="257"/>
      <c r="AK246" s="155"/>
      <c r="AL246" s="155"/>
      <c r="AM246" s="155"/>
      <c r="AN246" s="257"/>
      <c r="AO246" s="258"/>
      <c r="AP246" s="258"/>
      <c r="AQ246" s="258"/>
      <c r="AR246" s="211"/>
      <c r="AS246" s="259"/>
      <c r="AT246" s="259"/>
      <c r="AU246" s="259" t="s">
        <v>115</v>
      </c>
      <c r="AV246" s="211"/>
      <c r="AW246" s="124"/>
      <c r="AX246" s="124"/>
      <c r="AY246" s="124"/>
      <c r="AZ246" s="808">
        <f t="shared" ref="AZ246:AZ247" si="189">BR246+BV246+BZ246+CD246+CH246</f>
        <v>2997</v>
      </c>
      <c r="BA246" s="761">
        <f t="shared" ref="BA246:BA247" si="190">BT246+BX246+CB246+CF246+CJ246</f>
        <v>0</v>
      </c>
      <c r="BB246" s="761">
        <f t="shared" ref="BB246:BB247" si="191">AZ246-BA246</f>
        <v>2997</v>
      </c>
      <c r="BC246" s="262"/>
      <c r="BD246" s="824"/>
      <c r="BE246" s="1280">
        <v>2997</v>
      </c>
      <c r="BF246" s="306" t="s">
        <v>117</v>
      </c>
      <c r="BG246" s="98">
        <v>0</v>
      </c>
      <c r="BH246" s="262"/>
      <c r="BI246" s="242">
        <f t="shared" ref="BI246:BI247" si="192">BD246*BG246</f>
        <v>0</v>
      </c>
      <c r="BJ246" s="1232">
        <f t="shared" ref="BJ246:BJ247" si="193">BE246*BG246</f>
        <v>0</v>
      </c>
      <c r="BK246" s="244" t="s">
        <v>118</v>
      </c>
      <c r="BL246" s="1303" t="s">
        <v>184</v>
      </c>
      <c r="BM246" s="145">
        <v>0.05</v>
      </c>
      <c r="BN246" s="262"/>
      <c r="BO246" s="242">
        <f t="shared" ref="BO246:BO247" si="194">BD246*BM246</f>
        <v>0</v>
      </c>
      <c r="BP246" s="1280">
        <f>BE246*BM246</f>
        <v>149.85</v>
      </c>
      <c r="BQ246" s="243"/>
      <c r="BR246" s="110">
        <v>2997</v>
      </c>
      <c r="BS246" s="263">
        <v>2023</v>
      </c>
      <c r="BT246" s="110"/>
      <c r="BU246" s="263"/>
      <c r="BV246" s="110"/>
      <c r="BW246" s="348"/>
      <c r="BX246" s="110"/>
      <c r="BY246" s="263"/>
      <c r="BZ246" s="110"/>
      <c r="CA246" s="263"/>
      <c r="CB246" s="110"/>
      <c r="CC246" s="263"/>
      <c r="CD246" s="110"/>
      <c r="CE246" s="226"/>
      <c r="CF246" s="110"/>
      <c r="CG246" s="263"/>
      <c r="CH246" s="110"/>
      <c r="CI246" s="226"/>
      <c r="CJ246" s="110"/>
      <c r="CK246" s="155">
        <v>1</v>
      </c>
      <c r="CL246" s="181" t="s">
        <v>1123</v>
      </c>
      <c r="CM246" s="181"/>
      <c r="CN246" s="207"/>
      <c r="CO246" s="155" t="s">
        <v>122</v>
      </c>
      <c r="CP246" s="155"/>
      <c r="CQ246" s="131" t="s">
        <v>1864</v>
      </c>
      <c r="CR246" s="823" t="s">
        <v>4360</v>
      </c>
      <c r="CS246" s="116" t="str">
        <f t="shared" si="9"/>
        <v>blackship</v>
      </c>
      <c r="CT246" s="820">
        <f t="shared" ref="CT246:CT247" si="195">IF(OR(D246&gt;0,E246&gt;0,F246&gt;0),IF(BB246=0,BD246*BG246,0))</f>
        <v>0</v>
      </c>
      <c r="CU246" s="820">
        <f t="shared" ref="CU246:CU247" si="196">IF(OR(D246&gt;0,E246&gt;0,F246&gt;0),IF(BB246=0,BD246*BM246,0))</f>
        <v>0</v>
      </c>
      <c r="CV246" s="116" t="str">
        <f>BL246</f>
        <v>Cristian A</v>
      </c>
      <c r="CW246" s="121">
        <v>1</v>
      </c>
      <c r="CX246" s="779"/>
      <c r="CY246" s="729"/>
      <c r="CZ246" s="729"/>
      <c r="DA246" s="729"/>
      <c r="DB246" s="729"/>
      <c r="DC246" s="729"/>
      <c r="DD246" s="265"/>
      <c r="DE246" s="265"/>
      <c r="DF246" s="265"/>
      <c r="DG246" s="265"/>
      <c r="DH246" s="265"/>
      <c r="DI246" s="265"/>
      <c r="DJ246" s="265"/>
      <c r="DK246" s="265"/>
      <c r="DL246" s="265"/>
      <c r="DM246" s="265"/>
      <c r="DN246" s="265"/>
      <c r="DO246" s="265"/>
      <c r="DP246" s="265"/>
      <c r="DQ246" s="265"/>
      <c r="DR246" s="265"/>
      <c r="DS246" s="265"/>
      <c r="DT246" s="265"/>
    </row>
    <row r="247" spans="1:124" ht="30" customHeight="1">
      <c r="A247" s="228"/>
      <c r="B247" s="331"/>
      <c r="C247" s="155">
        <f t="shared" si="154"/>
        <v>133</v>
      </c>
      <c r="D247" s="781">
        <v>1</v>
      </c>
      <c r="E247" s="781">
        <v>1</v>
      </c>
      <c r="F247" s="781">
        <v>1</v>
      </c>
      <c r="G247" s="112" t="s">
        <v>4529</v>
      </c>
      <c r="H247" s="112" t="s">
        <v>4530</v>
      </c>
      <c r="I247" s="156"/>
      <c r="J247" s="207" t="str">
        <f t="shared" si="0"/>
        <v>Nicoleta Bulboaca</v>
      </c>
      <c r="K247" s="156"/>
      <c r="L247" s="156"/>
      <c r="M247" s="131"/>
      <c r="N247" s="131"/>
      <c r="O247" s="1297"/>
      <c r="P247" s="251"/>
      <c r="Q247" s="131"/>
      <c r="R247" s="252"/>
      <c r="S247" s="254"/>
      <c r="T247" s="346"/>
      <c r="U247" s="253"/>
      <c r="V247" s="253"/>
      <c r="W247" s="251"/>
      <c r="X247" s="131"/>
      <c r="Y247" s="251"/>
      <c r="Z247" s="251"/>
      <c r="AA247" s="251"/>
      <c r="AB247" s="255"/>
      <c r="AC247" s="256"/>
      <c r="AD247" s="121"/>
      <c r="AE247" s="112"/>
      <c r="AF247" s="257"/>
      <c r="AG247" s="155"/>
      <c r="AH247" s="155"/>
      <c r="AI247" s="155"/>
      <c r="AJ247" s="257"/>
      <c r="AK247" s="155"/>
      <c r="AL247" s="155"/>
      <c r="AM247" s="155"/>
      <c r="AN247" s="257"/>
      <c r="AO247" s="617" t="s">
        <v>115</v>
      </c>
      <c r="AP247" s="617" t="s">
        <v>115</v>
      </c>
      <c r="AQ247" s="617" t="s">
        <v>115</v>
      </c>
      <c r="AR247" s="211"/>
      <c r="AS247" s="259"/>
      <c r="AT247" s="259"/>
      <c r="AU247" s="259"/>
      <c r="AV247" s="211"/>
      <c r="AW247" s="124"/>
      <c r="AX247" s="124"/>
      <c r="AY247" s="124"/>
      <c r="AZ247" s="808">
        <f t="shared" si="189"/>
        <v>2997</v>
      </c>
      <c r="BA247" s="761">
        <f t="shared" si="190"/>
        <v>2997</v>
      </c>
      <c r="BB247" s="761">
        <f t="shared" si="191"/>
        <v>0</v>
      </c>
      <c r="BC247" s="262"/>
      <c r="BD247" s="824">
        <v>2997</v>
      </c>
      <c r="BE247" s="1231"/>
      <c r="BF247" s="306" t="s">
        <v>166</v>
      </c>
      <c r="BG247" s="98">
        <v>0.15</v>
      </c>
      <c r="BH247" s="262"/>
      <c r="BI247" s="242">
        <f t="shared" si="192"/>
        <v>449.55</v>
      </c>
      <c r="BJ247" s="1232">
        <f t="shared" si="193"/>
        <v>0</v>
      </c>
      <c r="BK247" s="387" t="s">
        <v>4531</v>
      </c>
      <c r="BL247" s="1303" t="s">
        <v>166</v>
      </c>
      <c r="BM247" s="145">
        <v>0.1</v>
      </c>
      <c r="BN247" s="262"/>
      <c r="BO247" s="242">
        <f t="shared" si="194"/>
        <v>299.7</v>
      </c>
      <c r="BP247" s="1231"/>
      <c r="BQ247" s="387" t="s">
        <v>4531</v>
      </c>
      <c r="BR247" s="110">
        <v>2997</v>
      </c>
      <c r="BS247" s="226">
        <v>44956</v>
      </c>
      <c r="BT247" s="110">
        <v>2997</v>
      </c>
      <c r="BU247" s="263"/>
      <c r="BV247" s="110"/>
      <c r="BW247" s="348"/>
      <c r="BX247" s="110"/>
      <c r="BY247" s="263"/>
      <c r="BZ247" s="110"/>
      <c r="CA247" s="263"/>
      <c r="CB247" s="110"/>
      <c r="CC247" s="263"/>
      <c r="CD247" s="110"/>
      <c r="CE247" s="226"/>
      <c r="CF247" s="110"/>
      <c r="CG247" s="263"/>
      <c r="CH247" s="110"/>
      <c r="CI247" s="226"/>
      <c r="CJ247" s="110"/>
      <c r="CK247" s="155">
        <v>1</v>
      </c>
      <c r="CL247" s="181" t="s">
        <v>1123</v>
      </c>
      <c r="CM247" s="181"/>
      <c r="CN247" s="207"/>
      <c r="CO247" s="155" t="s">
        <v>122</v>
      </c>
      <c r="CP247" s="155"/>
      <c r="CQ247" s="131" t="s">
        <v>1864</v>
      </c>
      <c r="CR247" s="823" t="s">
        <v>4360</v>
      </c>
      <c r="CS247" s="116" t="str">
        <f t="shared" si="9"/>
        <v>Matteo</v>
      </c>
      <c r="CT247" s="820">
        <f t="shared" si="195"/>
        <v>449.55</v>
      </c>
      <c r="CU247" s="820">
        <f t="shared" si="196"/>
        <v>299.7</v>
      </c>
      <c r="CV247" s="116" t="s">
        <v>166</v>
      </c>
      <c r="CW247" s="121">
        <v>1</v>
      </c>
      <c r="CX247" s="779"/>
      <c r="CY247" s="729"/>
      <c r="CZ247" s="729"/>
      <c r="DA247" s="729"/>
      <c r="DB247" s="729"/>
      <c r="DC247" s="729"/>
      <c r="DD247" s="265"/>
      <c r="DE247" s="265"/>
      <c r="DF247" s="265"/>
      <c r="DG247" s="265"/>
      <c r="DH247" s="265"/>
      <c r="DI247" s="265"/>
      <c r="DJ247" s="265"/>
      <c r="DK247" s="265"/>
      <c r="DL247" s="265"/>
      <c r="DM247" s="265"/>
      <c r="DN247" s="265"/>
      <c r="DO247" s="265"/>
      <c r="DP247" s="265"/>
      <c r="DQ247" s="265"/>
      <c r="DR247" s="265"/>
      <c r="DS247" s="265"/>
      <c r="DT247" s="265"/>
    </row>
    <row r="248" spans="1:124" ht="30" customHeight="1">
      <c r="A248" s="1359"/>
      <c r="B248" s="121"/>
      <c r="C248" s="155">
        <v>1</v>
      </c>
      <c r="D248" s="757"/>
      <c r="E248" s="757"/>
      <c r="F248" s="757"/>
      <c r="G248" s="369" t="s">
        <v>1730</v>
      </c>
      <c r="H248" s="672" t="s">
        <v>4532</v>
      </c>
      <c r="I248" s="207" t="s">
        <v>4533</v>
      </c>
      <c r="J248" s="207" t="str">
        <f t="shared" si="0"/>
        <v>Nicoletta Sedocco</v>
      </c>
      <c r="K248" s="684"/>
      <c r="L248" s="1353"/>
      <c r="M248" s="1354"/>
      <c r="N248" s="131" t="str">
        <f t="shared" ref="N248:N251" si="197">CR248</f>
        <v>Centro Fisioterapico San Lorenzo</v>
      </c>
      <c r="O248" s="1360"/>
      <c r="P248" s="160"/>
      <c r="Q248" s="160"/>
      <c r="R248" s="403"/>
      <c r="S248" s="160"/>
      <c r="T248" s="160"/>
      <c r="U248" s="160"/>
      <c r="V248" s="160"/>
      <c r="W248" s="160"/>
      <c r="X248" s="131"/>
      <c r="Y248" s="160"/>
      <c r="Z248" s="160"/>
      <c r="AA248" s="160"/>
      <c r="AB248" s="37"/>
      <c r="AC248" s="131"/>
      <c r="AD248" s="684"/>
      <c r="AE248" s="207"/>
      <c r="AF248" s="515"/>
      <c r="AG248" s="406"/>
      <c r="AH248" s="406"/>
      <c r="AI248" s="406"/>
      <c r="AJ248" s="515"/>
      <c r="AK248" s="155"/>
      <c r="AL248" s="155"/>
      <c r="AM248" s="155"/>
      <c r="AN248" s="198"/>
      <c r="AO248" s="155"/>
      <c r="AP248" s="155"/>
      <c r="AQ248" s="155"/>
      <c r="AR248" s="198"/>
      <c r="AS248" s="674" t="s">
        <v>297</v>
      </c>
      <c r="AT248" s="609"/>
      <c r="AU248" s="674" t="s">
        <v>297</v>
      </c>
      <c r="AV248" s="235"/>
      <c r="AW248" s="121"/>
      <c r="AX248" s="121"/>
      <c r="AY248" s="121"/>
      <c r="AZ248" s="760"/>
      <c r="BA248" s="761"/>
      <c r="BB248" s="761"/>
      <c r="BC248" s="110"/>
      <c r="BD248" s="242"/>
      <c r="BE248" s="1231"/>
      <c r="BF248" s="131"/>
      <c r="BG248" s="98"/>
      <c r="BH248" s="110"/>
      <c r="BI248" s="242"/>
      <c r="BJ248" s="1231"/>
      <c r="BK248" s="160"/>
      <c r="BL248" s="131"/>
      <c r="BM248" s="145"/>
      <c r="BN248" s="110"/>
      <c r="BO248" s="242"/>
      <c r="BP248" s="1231"/>
      <c r="BQ248" s="277"/>
      <c r="BR248" s="414"/>
      <c r="BS248" s="1356"/>
      <c r="BT248" s="414"/>
      <c r="BU248" s="1357"/>
      <c r="BV248" s="415"/>
      <c r="BW248" s="416"/>
      <c r="BX248" s="415"/>
      <c r="BY248" s="1357"/>
      <c r="BZ248" s="415"/>
      <c r="CA248" s="416"/>
      <c r="CB248" s="1358"/>
      <c r="CC248" s="263"/>
      <c r="CD248" s="263"/>
      <c r="CE248" s="263"/>
      <c r="CF248" s="263"/>
      <c r="CG248" s="263"/>
      <c r="CH248" s="263"/>
      <c r="CI248" s="263"/>
      <c r="CJ248" s="263"/>
      <c r="CK248" s="245"/>
      <c r="CL248" s="181"/>
      <c r="CM248" s="369"/>
      <c r="CN248" s="181"/>
      <c r="CO248" s="181"/>
      <c r="CP248" s="121"/>
      <c r="CQ248" s="80" t="s">
        <v>4534</v>
      </c>
      <c r="CR248" s="80" t="s">
        <v>4535</v>
      </c>
      <c r="CS248" s="276"/>
      <c r="CT248" s="242"/>
      <c r="CU248" s="242"/>
      <c r="CV248" s="181"/>
      <c r="CW248" s="181"/>
      <c r="CX248" s="779"/>
      <c r="CY248" s="779"/>
      <c r="CZ248" s="779"/>
      <c r="DA248" s="779"/>
      <c r="DB248" s="779"/>
      <c r="DC248" s="779"/>
      <c r="DD248" s="6"/>
      <c r="DE248" s="6"/>
      <c r="DF248" s="6"/>
      <c r="DG248" s="6"/>
      <c r="DH248" s="6"/>
      <c r="DI248" s="6"/>
      <c r="DJ248" s="6"/>
      <c r="DK248" s="6"/>
      <c r="DL248" s="6"/>
      <c r="DM248" s="6"/>
      <c r="DN248" s="6"/>
      <c r="DO248" s="6"/>
      <c r="DP248" s="6"/>
      <c r="DQ248" s="6"/>
      <c r="DR248" s="6"/>
      <c r="DS248" s="6"/>
      <c r="DT248" s="6"/>
    </row>
    <row r="249" spans="1:124" ht="30" customHeight="1">
      <c r="A249" s="1359"/>
      <c r="B249" s="121"/>
      <c r="C249" s="155">
        <f t="shared" ref="C249:C286" si="198">C248+1</f>
        <v>2</v>
      </c>
      <c r="D249" s="757"/>
      <c r="E249" s="757"/>
      <c r="F249" s="757"/>
      <c r="G249" s="369" t="s">
        <v>1272</v>
      </c>
      <c r="H249" s="672" t="s">
        <v>4536</v>
      </c>
      <c r="I249" s="828" t="s">
        <v>4537</v>
      </c>
      <c r="J249" s="207" t="str">
        <f t="shared" si="0"/>
        <v>Mirco Perin</v>
      </c>
      <c r="K249" s="684"/>
      <c r="L249" s="1353"/>
      <c r="M249" s="1354"/>
      <c r="N249" s="131" t="str">
        <f t="shared" si="197"/>
        <v>Centro Fisioterapico San Lorenzo</v>
      </c>
      <c r="O249" s="1360"/>
      <c r="P249" s="160"/>
      <c r="Q249" s="160"/>
      <c r="R249" s="403"/>
      <c r="S249" s="160"/>
      <c r="T249" s="160"/>
      <c r="U249" s="160"/>
      <c r="V249" s="160"/>
      <c r="W249" s="160"/>
      <c r="X249" s="131"/>
      <c r="Y249" s="160"/>
      <c r="Z249" s="160"/>
      <c r="AA249" s="160"/>
      <c r="AB249" s="37"/>
      <c r="AC249" s="131"/>
      <c r="AD249" s="684"/>
      <c r="AE249" s="207"/>
      <c r="AF249" s="515"/>
      <c r="AG249" s="406"/>
      <c r="AH249" s="406"/>
      <c r="AI249" s="406"/>
      <c r="AJ249" s="515"/>
      <c r="AK249" s="155"/>
      <c r="AL249" s="155"/>
      <c r="AM249" s="155"/>
      <c r="AN249" s="198"/>
      <c r="AO249" s="155"/>
      <c r="AP249" s="155"/>
      <c r="AQ249" s="155"/>
      <c r="AR249" s="198"/>
      <c r="AS249" s="674" t="s">
        <v>297</v>
      </c>
      <c r="AT249" s="609"/>
      <c r="AU249" s="674" t="s">
        <v>297</v>
      </c>
      <c r="AV249" s="235"/>
      <c r="AW249" s="121"/>
      <c r="AX249" s="121"/>
      <c r="AY249" s="121"/>
      <c r="AZ249" s="760"/>
      <c r="BA249" s="761"/>
      <c r="BB249" s="761"/>
      <c r="BC249" s="110"/>
      <c r="BD249" s="242"/>
      <c r="BE249" s="1231"/>
      <c r="BF249" s="131"/>
      <c r="BG249" s="98"/>
      <c r="BH249" s="110"/>
      <c r="BI249" s="242"/>
      <c r="BJ249" s="1231"/>
      <c r="BK249" s="160"/>
      <c r="BL249" s="131"/>
      <c r="BM249" s="145"/>
      <c r="BN249" s="110"/>
      <c r="BO249" s="242"/>
      <c r="BP249" s="1231"/>
      <c r="BQ249" s="277"/>
      <c r="BR249" s="414"/>
      <c r="BS249" s="1356"/>
      <c r="BT249" s="414"/>
      <c r="BU249" s="1357"/>
      <c r="BV249" s="415"/>
      <c r="BW249" s="416"/>
      <c r="BX249" s="415"/>
      <c r="BY249" s="1357"/>
      <c r="BZ249" s="415"/>
      <c r="CA249" s="416"/>
      <c r="CB249" s="1358"/>
      <c r="CC249" s="263"/>
      <c r="CD249" s="263"/>
      <c r="CE249" s="263"/>
      <c r="CF249" s="263"/>
      <c r="CG249" s="263"/>
      <c r="CH249" s="263"/>
      <c r="CI249" s="263"/>
      <c r="CJ249" s="263"/>
      <c r="CK249" s="245"/>
      <c r="CL249" s="181"/>
      <c r="CM249" s="369"/>
      <c r="CN249" s="181"/>
      <c r="CO249" s="181"/>
      <c r="CP249" s="121"/>
      <c r="CQ249" s="80" t="s">
        <v>4534</v>
      </c>
      <c r="CR249" s="80" t="s">
        <v>4535</v>
      </c>
      <c r="CS249" s="276"/>
      <c r="CT249" s="242"/>
      <c r="CU249" s="242"/>
      <c r="CV249" s="181"/>
      <c r="CW249" s="181"/>
      <c r="CX249" s="779"/>
      <c r="CY249" s="779"/>
      <c r="CZ249" s="779"/>
      <c r="DA249" s="779"/>
      <c r="DB249" s="779"/>
      <c r="DC249" s="779"/>
      <c r="DD249" s="6"/>
      <c r="DE249" s="6"/>
      <c r="DF249" s="6"/>
      <c r="DG249" s="6"/>
      <c r="DH249" s="6"/>
      <c r="DI249" s="6"/>
      <c r="DJ249" s="6"/>
      <c r="DK249" s="6"/>
      <c r="DL249" s="6"/>
      <c r="DM249" s="6"/>
      <c r="DN249" s="6"/>
      <c r="DO249" s="6"/>
      <c r="DP249" s="6"/>
      <c r="DQ249" s="6"/>
      <c r="DR249" s="6"/>
      <c r="DS249" s="6"/>
      <c r="DT249" s="6"/>
    </row>
    <row r="250" spans="1:124" ht="30" customHeight="1">
      <c r="A250" s="1359"/>
      <c r="B250" s="155"/>
      <c r="C250" s="155">
        <f t="shared" si="198"/>
        <v>3</v>
      </c>
      <c r="D250" s="757">
        <v>1</v>
      </c>
      <c r="E250" s="757"/>
      <c r="F250" s="757"/>
      <c r="G250" s="864" t="s">
        <v>977</v>
      </c>
      <c r="H250" s="865" t="s">
        <v>4538</v>
      </c>
      <c r="I250" s="294" t="s">
        <v>4539</v>
      </c>
      <c r="J250" s="207" t="str">
        <f t="shared" si="0"/>
        <v>Antonio Tasso</v>
      </c>
      <c r="K250" s="848"/>
      <c r="L250" s="849"/>
      <c r="M250" s="828"/>
      <c r="N250" s="131" t="str">
        <f t="shared" si="197"/>
        <v>Linkfloyd</v>
      </c>
      <c r="O250" s="1361"/>
      <c r="P250" s="850"/>
      <c r="Q250" s="850"/>
      <c r="R250" s="828" t="s">
        <v>4540</v>
      </c>
      <c r="S250" s="828"/>
      <c r="T250" s="828"/>
      <c r="U250" s="828"/>
      <c r="V250" s="828"/>
      <c r="W250" s="850"/>
      <c r="X250" s="131"/>
      <c r="Y250" s="850"/>
      <c r="Z250" s="850"/>
      <c r="AA250" s="850"/>
      <c r="AB250" s="850"/>
      <c r="AC250" s="131"/>
      <c r="AD250" s="1362"/>
      <c r="AE250" s="869"/>
      <c r="AF250" s="851"/>
      <c r="AG250" s="852"/>
      <c r="AH250" s="852"/>
      <c r="AI250" s="852"/>
      <c r="AJ250" s="515"/>
      <c r="AK250" s="815"/>
      <c r="AL250" s="815"/>
      <c r="AM250" s="815"/>
      <c r="AN250" s="851"/>
      <c r="AO250" s="155" t="s">
        <v>115</v>
      </c>
      <c r="AP250" s="155" t="s">
        <v>115</v>
      </c>
      <c r="AQ250" s="155" t="s">
        <v>115</v>
      </c>
      <c r="AR250" s="853"/>
      <c r="AS250" s="609" t="s">
        <v>116</v>
      </c>
      <c r="AT250" s="674" t="s">
        <v>297</v>
      </c>
      <c r="AU250" s="674" t="s">
        <v>297</v>
      </c>
      <c r="AV250" s="854"/>
      <c r="AW250" s="121"/>
      <c r="AX250" s="121"/>
      <c r="AY250" s="121"/>
      <c r="AZ250" s="760"/>
      <c r="BA250" s="761"/>
      <c r="BB250" s="761"/>
      <c r="BC250" s="110"/>
      <c r="BD250" s="242"/>
      <c r="BE250" s="1231"/>
      <c r="BF250" s="131" t="s">
        <v>407</v>
      </c>
      <c r="BG250" s="145"/>
      <c r="BH250" s="110"/>
      <c r="BI250" s="242"/>
      <c r="BJ250" s="1231"/>
      <c r="BK250" s="529"/>
      <c r="BL250" s="131" t="s">
        <v>407</v>
      </c>
      <c r="BM250" s="145"/>
      <c r="BN250" s="110"/>
      <c r="BO250" s="242"/>
      <c r="BP250" s="1231"/>
      <c r="BQ250" s="277"/>
      <c r="BR250" s="301"/>
      <c r="BS250" s="206"/>
      <c r="BT250" s="301"/>
      <c r="BU250" s="206"/>
      <c r="BV250" s="206"/>
      <c r="BW250" s="206"/>
      <c r="BX250" s="206"/>
      <c r="BY250" s="206"/>
      <c r="BZ250" s="206"/>
      <c r="CA250" s="206"/>
      <c r="CB250" s="349"/>
      <c r="CC250" s="263"/>
      <c r="CD250" s="263"/>
      <c r="CE250" s="263"/>
      <c r="CF250" s="263"/>
      <c r="CG250" s="263"/>
      <c r="CH250" s="263"/>
      <c r="CI250" s="263"/>
      <c r="CJ250" s="263"/>
      <c r="CK250" s="247"/>
      <c r="CL250" s="207"/>
      <c r="CM250" s="354"/>
      <c r="CN250" s="207"/>
      <c r="CO250" s="155" t="s">
        <v>122</v>
      </c>
      <c r="CP250" s="121">
        <v>1</v>
      </c>
      <c r="CQ250" s="828" t="s">
        <v>4541</v>
      </c>
      <c r="CR250" s="828" t="s">
        <v>4542</v>
      </c>
      <c r="CS250" s="242"/>
      <c r="CT250" s="242"/>
      <c r="CU250" s="242"/>
      <c r="CV250" s="181"/>
      <c r="CW250" s="207"/>
      <c r="CX250" s="729"/>
      <c r="CY250" s="729"/>
      <c r="CZ250" s="729"/>
      <c r="DA250" s="729"/>
      <c r="DB250" s="729"/>
      <c r="DC250" s="729"/>
    </row>
    <row r="251" spans="1:124" ht="30" customHeight="1">
      <c r="A251" s="1359"/>
      <c r="B251" s="155">
        <v>101417</v>
      </c>
      <c r="C251" s="155">
        <f t="shared" si="198"/>
        <v>4</v>
      </c>
      <c r="D251" s="244">
        <v>1</v>
      </c>
      <c r="E251" s="244">
        <v>1</v>
      </c>
      <c r="F251" s="244">
        <v>1</v>
      </c>
      <c r="G251" s="369" t="s">
        <v>4543</v>
      </c>
      <c r="H251" s="672" t="s">
        <v>2616</v>
      </c>
      <c r="I251" s="207" t="s">
        <v>4544</v>
      </c>
      <c r="J251" s="207" t="str">
        <f t="shared" si="0"/>
        <v>Claudia Marchi</v>
      </c>
      <c r="K251" s="188">
        <v>3347462975</v>
      </c>
      <c r="L251" s="341"/>
      <c r="M251" s="131" t="s">
        <v>4545</v>
      </c>
      <c r="N251" s="131" t="str">
        <f t="shared" si="197"/>
        <v>Air Sea Italia</v>
      </c>
      <c r="O251" s="1238"/>
      <c r="P251" s="593"/>
      <c r="Q251" s="593"/>
      <c r="R251" s="251" t="s">
        <v>3937</v>
      </c>
      <c r="S251" s="593"/>
      <c r="T251" s="593"/>
      <c r="U251" s="593"/>
      <c r="V251" s="593"/>
      <c r="W251" s="593"/>
      <c r="X251" s="917"/>
      <c r="Y251" s="593"/>
      <c r="Z251" s="593"/>
      <c r="AA251" s="593"/>
      <c r="AB251" s="124"/>
      <c r="AC251" s="124"/>
      <c r="AD251" s="37"/>
      <c r="AE251" s="207"/>
      <c r="AF251" s="321"/>
      <c r="AG251" s="124"/>
      <c r="AH251" s="124"/>
      <c r="AI251" s="124"/>
      <c r="AJ251" s="321"/>
      <c r="AK251" s="124"/>
      <c r="AL251" s="258"/>
      <c r="AM251" s="258"/>
      <c r="AN251" s="321"/>
      <c r="AO251" s="155"/>
      <c r="AP251" s="155"/>
      <c r="AQ251" s="155"/>
      <c r="AR251" s="321"/>
      <c r="AS251" s="609" t="s">
        <v>116</v>
      </c>
      <c r="AT251" s="609" t="s">
        <v>116</v>
      </c>
      <c r="AU251" s="609" t="s">
        <v>116</v>
      </c>
      <c r="AV251" s="321"/>
      <c r="AW251" s="880"/>
      <c r="AX251" s="880"/>
      <c r="AY251" s="121"/>
      <c r="AZ251" s="808"/>
      <c r="BA251" s="761"/>
      <c r="BB251" s="761"/>
      <c r="BC251" s="110">
        <f>BA251</f>
        <v>0</v>
      </c>
      <c r="BD251" s="242"/>
      <c r="BE251" s="1231"/>
      <c r="BF251" s="317" t="s">
        <v>262</v>
      </c>
      <c r="BG251" s="98"/>
      <c r="BH251" s="110"/>
      <c r="BI251" s="242"/>
      <c r="BJ251" s="1231"/>
      <c r="BK251" s="1344" t="s">
        <v>118</v>
      </c>
      <c r="BL251" s="1319" t="s">
        <v>184</v>
      </c>
      <c r="BM251" s="98"/>
      <c r="BN251" s="110"/>
      <c r="BO251" s="242"/>
      <c r="BP251" s="1231"/>
      <c r="BQ251" s="243"/>
      <c r="BR251" s="110"/>
      <c r="BS251" s="226"/>
      <c r="BT251" s="110"/>
      <c r="BU251" s="263"/>
      <c r="BV251" s="263"/>
      <c r="BW251" s="263"/>
      <c r="BX251" s="263"/>
      <c r="BY251" s="263"/>
      <c r="BZ251" s="263"/>
      <c r="CA251" s="263"/>
      <c r="CB251" s="263"/>
      <c r="CC251" s="263"/>
      <c r="CD251" s="263"/>
      <c r="CE251" s="263"/>
      <c r="CF251" s="263"/>
      <c r="CG251" s="263"/>
      <c r="CH251" s="263"/>
      <c r="CI251" s="263"/>
      <c r="CJ251" s="263"/>
      <c r="CK251" s="935" t="s">
        <v>2612</v>
      </c>
      <c r="CL251" s="880"/>
      <c r="CM251" s="1273"/>
      <c r="CN251" s="1274" t="s">
        <v>3667</v>
      </c>
      <c r="CO251" s="155" t="s">
        <v>122</v>
      </c>
      <c r="CP251" s="815"/>
      <c r="CQ251" s="131" t="s">
        <v>3939</v>
      </c>
      <c r="CR251" s="823" t="s">
        <v>3937</v>
      </c>
      <c r="CS251" s="242"/>
      <c r="CT251" s="242"/>
      <c r="CU251" s="242"/>
      <c r="CV251" s="869"/>
      <c r="CW251" s="869"/>
      <c r="CX251" s="937"/>
      <c r="CY251" s="729"/>
      <c r="CZ251" s="729"/>
      <c r="DA251" s="729"/>
      <c r="DB251" s="729"/>
      <c r="DC251" s="729"/>
    </row>
    <row r="252" spans="1:124" ht="30" customHeight="1">
      <c r="A252" s="1359"/>
      <c r="B252" s="155"/>
      <c r="C252" s="155">
        <f t="shared" si="198"/>
        <v>5</v>
      </c>
      <c r="D252" s="244"/>
      <c r="E252" s="244"/>
      <c r="F252" s="244"/>
      <c r="G252" s="369" t="s">
        <v>898</v>
      </c>
      <c r="H252" s="672" t="s">
        <v>2268</v>
      </c>
      <c r="I252" s="294" t="s">
        <v>2269</v>
      </c>
      <c r="J252" s="207" t="str">
        <f t="shared" si="0"/>
        <v>Elisa Amaducci</v>
      </c>
      <c r="K252" s="224"/>
      <c r="L252" s="131"/>
      <c r="N252" s="131" t="s">
        <v>2270</v>
      </c>
      <c r="O252" s="1277"/>
      <c r="P252" s="564" t="s">
        <v>2271</v>
      </c>
      <c r="Q252" s="564" t="s">
        <v>2271</v>
      </c>
      <c r="R252" s="131" t="s">
        <v>2272</v>
      </c>
      <c r="S252" s="131" t="s">
        <v>2273</v>
      </c>
      <c r="T252" s="131"/>
      <c r="U252" s="131"/>
      <c r="V252" s="131"/>
      <c r="W252" s="258"/>
      <c r="X252" s="558" t="s">
        <v>2274</v>
      </c>
      <c r="Y252" s="258"/>
      <c r="Z252" s="258"/>
      <c r="AA252" s="258"/>
      <c r="AB252" s="255" t="s">
        <v>2275</v>
      </c>
      <c r="AC252" s="558" t="s">
        <v>2276</v>
      </c>
      <c r="AD252" s="1363"/>
      <c r="AE252" s="207"/>
      <c r="AF252" s="515"/>
      <c r="AG252" s="516"/>
      <c r="AH252" s="516" t="s">
        <v>115</v>
      </c>
      <c r="AI252" s="516" t="s">
        <v>115</v>
      </c>
      <c r="AJ252" s="515"/>
      <c r="AK252" s="155"/>
      <c r="AL252" s="155"/>
      <c r="AM252" s="155"/>
      <c r="AN252" s="515"/>
      <c r="AO252" s="155"/>
      <c r="AP252" s="565" t="s">
        <v>2277</v>
      </c>
      <c r="AQ252" s="565" t="s">
        <v>2277</v>
      </c>
      <c r="AR252" s="515"/>
      <c r="AS252" s="121"/>
      <c r="AT252" s="121"/>
      <c r="AU252" s="121"/>
      <c r="AV252" s="568"/>
      <c r="AW252" s="121" t="s">
        <v>27</v>
      </c>
      <c r="AX252" s="121" t="s">
        <v>2369</v>
      </c>
      <c r="AY252" s="121" t="s">
        <v>2369</v>
      </c>
      <c r="AZ252" s="889"/>
      <c r="BA252" s="932"/>
      <c r="BB252" s="902"/>
      <c r="BC252" s="110"/>
      <c r="BD252" s="242"/>
      <c r="BE252" s="1231"/>
      <c r="BF252" s="529"/>
      <c r="BG252" s="145"/>
      <c r="BH252" s="110"/>
      <c r="BI252" s="242"/>
      <c r="BJ252" s="1231"/>
      <c r="BK252" s="529"/>
      <c r="BL252" s="529"/>
      <c r="BM252" s="145"/>
      <c r="BN252" s="110"/>
      <c r="BO252" s="242"/>
      <c r="BP252" s="1231"/>
      <c r="BQ252" s="665"/>
      <c r="BR252" s="338"/>
      <c r="BS252" s="338"/>
      <c r="BT252" s="338"/>
      <c r="BU252" s="338"/>
      <c r="BV252" s="338"/>
      <c r="BW252" s="338"/>
      <c r="BX252" s="338"/>
      <c r="BY252" s="338"/>
      <c r="BZ252" s="338"/>
      <c r="CA252" s="338"/>
      <c r="CB252" s="338"/>
      <c r="CC252" s="338"/>
      <c r="CD252" s="338"/>
      <c r="CE252" s="338"/>
      <c r="CF252" s="338"/>
      <c r="CG252" s="338"/>
      <c r="CH252" s="338"/>
      <c r="CI252" s="338"/>
      <c r="CJ252" s="338"/>
      <c r="CK252" s="155" t="s">
        <v>2612</v>
      </c>
      <c r="CL252" s="181"/>
      <c r="CM252" s="369"/>
      <c r="CN252" s="181"/>
      <c r="CO252" s="181"/>
      <c r="CP252" s="121"/>
      <c r="CQ252" s="131" t="s">
        <v>760</v>
      </c>
      <c r="CR252" s="131" t="s">
        <v>2270</v>
      </c>
      <c r="CS252" s="242"/>
      <c r="CT252" s="242"/>
      <c r="CU252" s="242"/>
      <c r="CV252" s="181"/>
      <c r="CW252" s="181"/>
      <c r="CX252" s="779"/>
      <c r="CY252" s="779"/>
      <c r="CZ252" s="779"/>
      <c r="DA252" s="779"/>
      <c r="DB252" s="779"/>
      <c r="DC252" s="779"/>
    </row>
    <row r="253" spans="1:124" ht="30" customHeight="1">
      <c r="A253" s="1359"/>
      <c r="B253" s="155"/>
      <c r="C253" s="155">
        <f t="shared" si="198"/>
        <v>6</v>
      </c>
      <c r="D253" s="757">
        <v>1</v>
      </c>
      <c r="E253" s="757">
        <v>1</v>
      </c>
      <c r="F253" s="757"/>
      <c r="G253" s="369" t="s">
        <v>595</v>
      </c>
      <c r="H253" s="672" t="s">
        <v>2306</v>
      </c>
      <c r="I253" s="294" t="s">
        <v>2307</v>
      </c>
      <c r="J253" s="207" t="str">
        <f t="shared" si="0"/>
        <v>Giuseppe D'Elia</v>
      </c>
      <c r="K253" s="224" t="s">
        <v>4546</v>
      </c>
      <c r="L253" s="160"/>
      <c r="M253" s="160"/>
      <c r="N253" s="131" t="str">
        <f t="shared" ref="N253:N263" si="199">CR253</f>
        <v>Dg Group</v>
      </c>
      <c r="O253" s="1259"/>
      <c r="P253" s="37"/>
      <c r="Q253" s="37"/>
      <c r="R253" s="131" t="s">
        <v>2310</v>
      </c>
      <c r="S253" s="160"/>
      <c r="T253" s="160"/>
      <c r="U253" s="160"/>
      <c r="V253" s="160"/>
      <c r="W253" s="233"/>
      <c r="X253" s="131"/>
      <c r="Y253" s="233"/>
      <c r="Z253" s="233"/>
      <c r="AA253" s="233"/>
      <c r="AB253" s="37"/>
      <c r="AC253" s="131"/>
      <c r="AD253" s="1364"/>
      <c r="AE253" s="207"/>
      <c r="AF253" s="515"/>
      <c r="AG253" s="155"/>
      <c r="AH253" s="155"/>
      <c r="AI253" s="155"/>
      <c r="AJ253" s="515"/>
      <c r="AK253" s="155"/>
      <c r="AL253" s="155"/>
      <c r="AM253" s="155"/>
      <c r="AN253" s="198"/>
      <c r="AO253" s="155"/>
      <c r="AP253" s="155"/>
      <c r="AQ253" s="155"/>
      <c r="AR253" s="198"/>
      <c r="AS253" s="609" t="s">
        <v>116</v>
      </c>
      <c r="AT253" s="609" t="s">
        <v>116</v>
      </c>
      <c r="AU253" s="674" t="s">
        <v>297</v>
      </c>
      <c r="AV253" s="235"/>
      <c r="AW253" s="121" t="s">
        <v>116</v>
      </c>
      <c r="AX253" s="121" t="s">
        <v>116</v>
      </c>
      <c r="AY253" s="121" t="s">
        <v>116</v>
      </c>
      <c r="AZ253" s="889"/>
      <c r="BA253" s="932"/>
      <c r="BB253" s="902"/>
      <c r="BC253" s="110"/>
      <c r="BD253" s="242"/>
      <c r="BE253" s="1231"/>
      <c r="BF253" s="317" t="s">
        <v>262</v>
      </c>
      <c r="BG253" s="145"/>
      <c r="BH253" s="110"/>
      <c r="BI253" s="242"/>
      <c r="BJ253" s="1231"/>
      <c r="BK253" s="1344" t="s">
        <v>118</v>
      </c>
      <c r="BL253" s="131" t="s">
        <v>262</v>
      </c>
      <c r="BM253" s="145"/>
      <c r="BN253" s="110"/>
      <c r="BO253" s="242"/>
      <c r="BP253" s="1231"/>
      <c r="BQ253" s="665"/>
      <c r="BR253" s="338"/>
      <c r="BS253" s="338"/>
      <c r="BT253" s="338"/>
      <c r="BU253" s="338"/>
      <c r="BV253" s="338"/>
      <c r="BW253" s="338"/>
      <c r="BX253" s="338"/>
      <c r="BY253" s="338"/>
      <c r="BZ253" s="338"/>
      <c r="CA253" s="338"/>
      <c r="CB253" s="338"/>
      <c r="CC253" s="338"/>
      <c r="CD253" s="338"/>
      <c r="CE253" s="338"/>
      <c r="CF253" s="338"/>
      <c r="CG253" s="338"/>
      <c r="CH253" s="338"/>
      <c r="CI253" s="338"/>
      <c r="CJ253" s="338"/>
      <c r="CK253" s="245" t="s">
        <v>2612</v>
      </c>
      <c r="CL253" s="612" t="s">
        <v>2311</v>
      </c>
      <c r="CM253" s="369"/>
      <c r="CN253" s="207"/>
      <c r="CO253" s="155" t="s">
        <v>122</v>
      </c>
      <c r="CP253" s="155"/>
      <c r="CQ253" s="160"/>
      <c r="CR253" s="823" t="s">
        <v>2309</v>
      </c>
      <c r="CS253" s="242"/>
      <c r="CT253" s="242"/>
      <c r="CU253" s="242"/>
      <c r="CV253" s="207"/>
      <c r="CW253" s="207"/>
      <c r="CX253" s="729"/>
      <c r="CY253" s="729"/>
      <c r="CZ253" s="729"/>
      <c r="DA253" s="729"/>
      <c r="DB253" s="729"/>
      <c r="DC253" s="729"/>
    </row>
    <row r="254" spans="1:124" ht="30" customHeight="1">
      <c r="A254" s="1359"/>
      <c r="B254" s="155"/>
      <c r="C254" s="155">
        <f t="shared" si="198"/>
        <v>7</v>
      </c>
      <c r="D254" s="757">
        <v>1</v>
      </c>
      <c r="E254" s="757">
        <v>1</v>
      </c>
      <c r="F254" s="757"/>
      <c r="G254" s="369" t="s">
        <v>246</v>
      </c>
      <c r="H254" s="672" t="s">
        <v>2413</v>
      </c>
      <c r="I254" s="294" t="s">
        <v>2414</v>
      </c>
      <c r="J254" s="207" t="str">
        <f t="shared" si="0"/>
        <v>Marco Parmesani</v>
      </c>
      <c r="K254" s="224" t="s">
        <v>4547</v>
      </c>
      <c r="L254" s="160"/>
      <c r="M254" s="160"/>
      <c r="N254" s="131" t="str">
        <f t="shared" si="199"/>
        <v>Opsi</v>
      </c>
      <c r="O254" s="1259"/>
      <c r="P254" s="37"/>
      <c r="Q254" s="37"/>
      <c r="R254" s="673"/>
      <c r="S254" s="160"/>
      <c r="T254" s="160"/>
      <c r="U254" s="160"/>
      <c r="V254" s="160"/>
      <c r="W254" s="233"/>
      <c r="X254" s="131"/>
      <c r="Y254" s="233"/>
      <c r="Z254" s="233"/>
      <c r="AA254" s="233"/>
      <c r="AB254" s="37"/>
      <c r="AC254" s="131"/>
      <c r="AD254" s="1364"/>
      <c r="AE254" s="207"/>
      <c r="AF254" s="515"/>
      <c r="AG254" s="155"/>
      <c r="AH254" s="155"/>
      <c r="AI254" s="155"/>
      <c r="AJ254" s="515"/>
      <c r="AK254" s="155"/>
      <c r="AL254" s="155"/>
      <c r="AM254" s="155"/>
      <c r="AN254" s="198"/>
      <c r="AO254" s="155"/>
      <c r="AP254" s="155"/>
      <c r="AQ254" s="155"/>
      <c r="AR254" s="198"/>
      <c r="AS254" s="609" t="s">
        <v>116</v>
      </c>
      <c r="AT254" s="609" t="s">
        <v>116</v>
      </c>
      <c r="AU254" s="674" t="s">
        <v>297</v>
      </c>
      <c r="AV254" s="235"/>
      <c r="AW254" s="121" t="s">
        <v>116</v>
      </c>
      <c r="AX254" s="121" t="s">
        <v>116</v>
      </c>
      <c r="AY254" s="121" t="s">
        <v>116</v>
      </c>
      <c r="AZ254" s="889"/>
      <c r="BA254" s="902"/>
      <c r="BB254" s="902"/>
      <c r="BC254" s="110"/>
      <c r="BD254" s="242"/>
      <c r="BE254" s="1231"/>
      <c r="BF254" s="317" t="s">
        <v>262</v>
      </c>
      <c r="BG254" s="145"/>
      <c r="BH254" s="110"/>
      <c r="BI254" s="242"/>
      <c r="BJ254" s="1231"/>
      <c r="BK254" s="1344" t="s">
        <v>118</v>
      </c>
      <c r="BL254" s="131" t="s">
        <v>262</v>
      </c>
      <c r="BM254" s="145"/>
      <c r="BN254" s="110"/>
      <c r="BO254" s="242"/>
      <c r="BP254" s="1231"/>
      <c r="BQ254" s="665"/>
      <c r="BR254" s="338"/>
      <c r="BS254" s="338"/>
      <c r="BT254" s="338"/>
      <c r="BU254" s="338"/>
      <c r="BV254" s="338"/>
      <c r="BW254" s="338"/>
      <c r="BX254" s="338"/>
      <c r="BY254" s="338"/>
      <c r="BZ254" s="338"/>
      <c r="CA254" s="338"/>
      <c r="CB254" s="338"/>
      <c r="CC254" s="338"/>
      <c r="CD254" s="338"/>
      <c r="CE254" s="338"/>
      <c r="CF254" s="338"/>
      <c r="CG254" s="338"/>
      <c r="CH254" s="338"/>
      <c r="CI254" s="338"/>
      <c r="CJ254" s="338"/>
      <c r="CK254" s="245" t="s">
        <v>2612</v>
      </c>
      <c r="CL254" s="612" t="s">
        <v>2311</v>
      </c>
      <c r="CM254" s="369"/>
      <c r="CN254" s="207"/>
      <c r="CO254" s="155" t="s">
        <v>122</v>
      </c>
      <c r="CP254" s="155"/>
      <c r="CQ254" s="160" t="s">
        <v>2416</v>
      </c>
      <c r="CR254" s="823" t="s">
        <v>2415</v>
      </c>
      <c r="CS254" s="242"/>
      <c r="CT254" s="242"/>
      <c r="CU254" s="242"/>
      <c r="CV254" s="207"/>
      <c r="CW254" s="207"/>
      <c r="CX254" s="729"/>
      <c r="CY254" s="729"/>
      <c r="CZ254" s="729"/>
      <c r="DA254" s="729"/>
      <c r="DB254" s="729"/>
      <c r="DC254" s="729"/>
    </row>
    <row r="255" spans="1:124" ht="30" customHeight="1">
      <c r="A255" s="1359"/>
      <c r="B255" s="155"/>
      <c r="C255" s="155">
        <f t="shared" si="198"/>
        <v>8</v>
      </c>
      <c r="D255" s="757">
        <v>1</v>
      </c>
      <c r="E255" s="757">
        <v>1</v>
      </c>
      <c r="F255" s="757">
        <v>1</v>
      </c>
      <c r="G255" s="846" t="s">
        <v>1134</v>
      </c>
      <c r="H255" s="1365" t="s">
        <v>2324</v>
      </c>
      <c r="I255" s="1366" t="s">
        <v>2325</v>
      </c>
      <c r="J255" s="207" t="str">
        <f t="shared" si="0"/>
        <v>Massimo Confalonieri</v>
      </c>
      <c r="K255" s="848"/>
      <c r="L255" s="686" t="s">
        <v>4548</v>
      </c>
      <c r="M255" s="828"/>
      <c r="N255" s="131" t="str">
        <f t="shared" si="199"/>
        <v>Duplex</v>
      </c>
      <c r="O255" s="1361"/>
      <c r="P255" s="850"/>
      <c r="Q255" s="850"/>
      <c r="R255" s="828" t="s">
        <v>4549</v>
      </c>
      <c r="S255" s="828"/>
      <c r="T255" s="828"/>
      <c r="U255" s="828"/>
      <c r="V255" s="828"/>
      <c r="W255" s="850"/>
      <c r="X255" s="131"/>
      <c r="Y255" s="850"/>
      <c r="Z255" s="850"/>
      <c r="AA255" s="850"/>
      <c r="AB255" s="850"/>
      <c r="AC255" s="131"/>
      <c r="AD255" s="1362"/>
      <c r="AE255" s="869"/>
      <c r="AF255" s="851"/>
      <c r="AG255" s="852"/>
      <c r="AH255" s="852"/>
      <c r="AI255" s="852"/>
      <c r="AJ255" s="515"/>
      <c r="AK255" s="815"/>
      <c r="AL255" s="815"/>
      <c r="AM255" s="815"/>
      <c r="AN255" s="851"/>
      <c r="AO255" s="815"/>
      <c r="AP255" s="155"/>
      <c r="AQ255" s="815"/>
      <c r="AR255" s="515"/>
      <c r="AS255" s="121" t="s">
        <v>116</v>
      </c>
      <c r="AT255" s="1367" t="s">
        <v>116</v>
      </c>
      <c r="AU255" s="609" t="s">
        <v>116</v>
      </c>
      <c r="AV255" s="568"/>
      <c r="AW255" s="121"/>
      <c r="AX255" s="121"/>
      <c r="AY255" s="121"/>
      <c r="AZ255" s="889"/>
      <c r="BA255" s="902"/>
      <c r="BB255" s="902"/>
      <c r="BC255" s="110"/>
      <c r="BD255" s="242"/>
      <c r="BE255" s="1231"/>
      <c r="BF255" s="1368"/>
      <c r="BG255" s="145"/>
      <c r="BH255" s="110"/>
      <c r="BI255" s="242"/>
      <c r="BJ255" s="1231"/>
      <c r="BK255" s="1344" t="s">
        <v>118</v>
      </c>
      <c r="BL255" s="529"/>
      <c r="BM255" s="145"/>
      <c r="BN255" s="110"/>
      <c r="BO255" s="242"/>
      <c r="BP255" s="1231"/>
      <c r="BQ255" s="131"/>
      <c r="BR255" s="338"/>
      <c r="BS255" s="338"/>
      <c r="BT255" s="338"/>
      <c r="BU255" s="338"/>
      <c r="BV255" s="338"/>
      <c r="BW255" s="338"/>
      <c r="BX255" s="338"/>
      <c r="BY255" s="338"/>
      <c r="BZ255" s="338"/>
      <c r="CA255" s="338"/>
      <c r="CB255" s="338"/>
      <c r="CC255" s="338"/>
      <c r="CD255" s="338"/>
      <c r="CE255" s="338"/>
      <c r="CF255" s="338"/>
      <c r="CG255" s="338"/>
      <c r="CH255" s="338"/>
      <c r="CI255" s="338"/>
      <c r="CJ255" s="338"/>
      <c r="CK255" s="247"/>
      <c r="CL255" s="207"/>
      <c r="CM255" s="354"/>
      <c r="CN255" s="207"/>
      <c r="CO255" s="155" t="s">
        <v>122</v>
      </c>
      <c r="CP255" s="155">
        <v>1</v>
      </c>
      <c r="CQ255" s="828"/>
      <c r="CR255" s="828" t="s">
        <v>4550</v>
      </c>
      <c r="CS255" s="242"/>
      <c r="CT255" s="242"/>
      <c r="CU255" s="242"/>
      <c r="CV255" s="181"/>
      <c r="CW255" s="207"/>
      <c r="CX255" s="729"/>
      <c r="CY255" s="729"/>
      <c r="CZ255" s="729"/>
      <c r="DA255" s="729"/>
      <c r="DB255" s="729"/>
      <c r="DC255" s="729"/>
    </row>
    <row r="256" spans="1:124" ht="30" customHeight="1">
      <c r="A256" s="1359"/>
      <c r="B256" s="155"/>
      <c r="C256" s="155">
        <f t="shared" si="198"/>
        <v>9</v>
      </c>
      <c r="D256" s="757">
        <v>1</v>
      </c>
      <c r="E256" s="757"/>
      <c r="F256" s="757">
        <v>1</v>
      </c>
      <c r="G256" s="222" t="s">
        <v>730</v>
      </c>
      <c r="H256" s="181" t="s">
        <v>2363</v>
      </c>
      <c r="I256" s="207" t="s">
        <v>2364</v>
      </c>
      <c r="J256" s="354" t="str">
        <f t="shared" si="0"/>
        <v>Mauro Migliorati</v>
      </c>
      <c r="K256" s="224"/>
      <c r="L256" s="131"/>
      <c r="M256" s="131"/>
      <c r="N256" s="131" t="str">
        <f t="shared" si="199"/>
        <v>Mauro Migliorati</v>
      </c>
      <c r="O256" s="1259"/>
      <c r="P256" s="255"/>
      <c r="Q256" s="255"/>
      <c r="R256" s="131"/>
      <c r="S256" s="131"/>
      <c r="T256" s="131"/>
      <c r="U256" s="131"/>
      <c r="V256" s="131"/>
      <c r="W256" s="514"/>
      <c r="X256" s="131"/>
      <c r="Y256" s="514"/>
      <c r="Z256" s="514"/>
      <c r="AA256" s="514"/>
      <c r="AB256" s="255"/>
      <c r="AC256" s="131"/>
      <c r="AD256" s="1363"/>
      <c r="AE256" s="207"/>
      <c r="AF256" s="515"/>
      <c r="AG256" s="516"/>
      <c r="AH256" s="516"/>
      <c r="AI256" s="516"/>
      <c r="AJ256" s="515"/>
      <c r="AK256" s="258"/>
      <c r="AL256" s="258"/>
      <c r="AM256" s="258"/>
      <c r="AN256" s="515"/>
      <c r="AO256" s="258"/>
      <c r="AP256" s="258"/>
      <c r="AQ256" s="258"/>
      <c r="AR256" s="515"/>
      <c r="AS256" s="121" t="s">
        <v>116</v>
      </c>
      <c r="AT256" s="674" t="s">
        <v>297</v>
      </c>
      <c r="AU256" s="121" t="s">
        <v>116</v>
      </c>
      <c r="AV256" s="568"/>
      <c r="AW256" s="956"/>
      <c r="AX256" s="956"/>
      <c r="AY256" s="956"/>
      <c r="AZ256" s="889"/>
      <c r="BA256" s="902"/>
      <c r="BB256" s="902"/>
      <c r="BC256" s="110"/>
      <c r="BD256" s="242"/>
      <c r="BE256" s="1231"/>
      <c r="BF256" s="529"/>
      <c r="BG256" s="145"/>
      <c r="BH256" s="110"/>
      <c r="BI256" s="242"/>
      <c r="BJ256" s="1231"/>
      <c r="BK256" s="529"/>
      <c r="BL256" s="529"/>
      <c r="BM256" s="145"/>
      <c r="BN256" s="110"/>
      <c r="BO256" s="242"/>
      <c r="BP256" s="1231"/>
      <c r="BQ256" s="131"/>
      <c r="BR256" s="338"/>
      <c r="BS256" s="338"/>
      <c r="BT256" s="338"/>
      <c r="BU256" s="338"/>
      <c r="BV256" s="338"/>
      <c r="BW256" s="338"/>
      <c r="BX256" s="338"/>
      <c r="BY256" s="338"/>
      <c r="BZ256" s="338"/>
      <c r="CA256" s="338"/>
      <c r="CB256" s="338"/>
      <c r="CC256" s="338"/>
      <c r="CD256" s="338"/>
      <c r="CE256" s="338"/>
      <c r="CF256" s="338"/>
      <c r="CG256" s="338"/>
      <c r="CH256" s="338"/>
      <c r="CI256" s="338"/>
      <c r="CJ256" s="338"/>
      <c r="CK256" s="245"/>
      <c r="CL256" s="181"/>
      <c r="CM256" s="369"/>
      <c r="CN256" s="207"/>
      <c r="CO256" s="155" t="s">
        <v>122</v>
      </c>
      <c r="CP256" s="155"/>
      <c r="CQ256" s="131"/>
      <c r="CR256" s="131" t="s">
        <v>2720</v>
      </c>
      <c r="CS256" s="242"/>
      <c r="CT256" s="242"/>
      <c r="CU256" s="242"/>
      <c r="CV256" s="207"/>
      <c r="CW256" s="207"/>
      <c r="CX256" s="729"/>
      <c r="CY256" s="729"/>
      <c r="CZ256" s="729"/>
      <c r="DA256" s="729"/>
      <c r="DB256" s="729"/>
      <c r="DC256" s="729"/>
    </row>
    <row r="257" spans="1:124" ht="30" customHeight="1">
      <c r="A257" s="1359"/>
      <c r="B257" s="155"/>
      <c r="C257" s="155">
        <f t="shared" si="198"/>
        <v>10</v>
      </c>
      <c r="D257" s="757">
        <v>1</v>
      </c>
      <c r="E257" s="757">
        <v>1</v>
      </c>
      <c r="F257" s="757"/>
      <c r="G257" s="222" t="s">
        <v>785</v>
      </c>
      <c r="H257" s="181" t="s">
        <v>2365</v>
      </c>
      <c r="I257" s="294" t="s">
        <v>4551</v>
      </c>
      <c r="J257" s="354" t="str">
        <f t="shared" ref="J257:J260" si="200">CONCATENATE(G257," ",H257)</f>
        <v>Patrizia Sabatino</v>
      </c>
      <c r="K257" s="224"/>
      <c r="L257" s="131"/>
      <c r="M257" s="131"/>
      <c r="N257" s="131" t="str">
        <f t="shared" si="199"/>
        <v>Patrizia Sabatino</v>
      </c>
      <c r="O257" s="1259"/>
      <c r="P257" s="255"/>
      <c r="Q257" s="255"/>
      <c r="R257" s="131"/>
      <c r="S257" s="131"/>
      <c r="T257" s="131"/>
      <c r="U257" s="131"/>
      <c r="V257" s="131"/>
      <c r="W257" s="514"/>
      <c r="X257" s="131"/>
      <c r="Y257" s="514"/>
      <c r="Z257" s="514"/>
      <c r="AA257" s="514"/>
      <c r="AB257" s="255"/>
      <c r="AC257" s="131"/>
      <c r="AD257" s="1363"/>
      <c r="AE257" s="207"/>
      <c r="AF257" s="515"/>
      <c r="AG257" s="516"/>
      <c r="AH257" s="516"/>
      <c r="AI257" s="516"/>
      <c r="AJ257" s="515"/>
      <c r="AK257" s="258"/>
      <c r="AL257" s="258"/>
      <c r="AM257" s="258"/>
      <c r="AN257" s="515"/>
      <c r="AO257" s="258"/>
      <c r="AP257" s="258"/>
      <c r="AQ257" s="258"/>
      <c r="AR257" s="515"/>
      <c r="AS257" s="121" t="s">
        <v>116</v>
      </c>
      <c r="AT257" s="121" t="s">
        <v>116</v>
      </c>
      <c r="AU257" s="121"/>
      <c r="AV257" s="568"/>
      <c r="AW257" s="956"/>
      <c r="AX257" s="956"/>
      <c r="AY257" s="956"/>
      <c r="AZ257" s="889"/>
      <c r="BA257" s="902"/>
      <c r="BB257" s="902"/>
      <c r="BC257" s="110"/>
      <c r="BD257" s="242"/>
      <c r="BE257" s="1231"/>
      <c r="BF257" s="529"/>
      <c r="BG257" s="145"/>
      <c r="BH257" s="110"/>
      <c r="BI257" s="242"/>
      <c r="BJ257" s="1231"/>
      <c r="BK257" s="1344" t="s">
        <v>118</v>
      </c>
      <c r="BL257" s="529"/>
      <c r="BM257" s="145"/>
      <c r="BN257" s="110"/>
      <c r="BO257" s="242"/>
      <c r="BP257" s="1231"/>
      <c r="BQ257" s="131"/>
      <c r="BR257" s="338"/>
      <c r="BS257" s="338"/>
      <c r="BT257" s="338"/>
      <c r="BU257" s="338"/>
      <c r="BV257" s="338"/>
      <c r="BW257" s="338"/>
      <c r="BX257" s="338"/>
      <c r="BY257" s="338"/>
      <c r="BZ257" s="338"/>
      <c r="CA257" s="338"/>
      <c r="CB257" s="338"/>
      <c r="CC257" s="338"/>
      <c r="CD257" s="338"/>
      <c r="CE257" s="338"/>
      <c r="CF257" s="338"/>
      <c r="CG257" s="338"/>
      <c r="CH257" s="338"/>
      <c r="CI257" s="338"/>
      <c r="CJ257" s="338"/>
      <c r="CK257" s="245"/>
      <c r="CL257" s="181"/>
      <c r="CM257" s="369"/>
      <c r="CN257" s="207"/>
      <c r="CO257" s="155" t="s">
        <v>122</v>
      </c>
      <c r="CP257" s="155"/>
      <c r="CQ257" s="131"/>
      <c r="CR257" s="131" t="s">
        <v>1496</v>
      </c>
      <c r="CS257" s="242"/>
      <c r="CT257" s="242"/>
      <c r="CU257" s="242"/>
      <c r="CV257" s="207"/>
      <c r="CW257" s="207"/>
      <c r="CX257" s="729"/>
      <c r="CY257" s="729"/>
      <c r="CZ257" s="729"/>
      <c r="DA257" s="729"/>
      <c r="DB257" s="729"/>
      <c r="DC257" s="729"/>
    </row>
    <row r="258" spans="1:124" ht="30" customHeight="1">
      <c r="A258" s="1359"/>
      <c r="B258" s="155"/>
      <c r="C258" s="155">
        <f t="shared" si="198"/>
        <v>11</v>
      </c>
      <c r="D258" s="757">
        <v>1</v>
      </c>
      <c r="E258" s="757">
        <v>1</v>
      </c>
      <c r="F258" s="757"/>
      <c r="G258" s="222" t="s">
        <v>321</v>
      </c>
      <c r="H258" s="181" t="s">
        <v>2534</v>
      </c>
      <c r="I258" s="382" t="s">
        <v>2535</v>
      </c>
      <c r="J258" s="354" t="str">
        <f t="shared" si="200"/>
        <v>Davide Mondaini</v>
      </c>
      <c r="K258" s="224"/>
      <c r="L258" s="131"/>
      <c r="M258" s="131" t="s">
        <v>251</v>
      </c>
      <c r="N258" s="131" t="str">
        <f t="shared" si="199"/>
        <v>Lasersoft</v>
      </c>
      <c r="O258" s="1259"/>
      <c r="P258" s="255"/>
      <c r="Q258" s="255"/>
      <c r="R258" s="131"/>
      <c r="S258" s="131"/>
      <c r="T258" s="131"/>
      <c r="U258" s="131"/>
      <c r="V258" s="131"/>
      <c r="W258" s="514"/>
      <c r="X258" s="131"/>
      <c r="Y258" s="514"/>
      <c r="Z258" s="514"/>
      <c r="AA258" s="514"/>
      <c r="AB258" s="255"/>
      <c r="AC258" s="131"/>
      <c r="AD258" s="1363"/>
      <c r="AE258" s="207"/>
      <c r="AF258" s="515"/>
      <c r="AG258" s="516"/>
      <c r="AH258" s="516"/>
      <c r="AI258" s="516"/>
      <c r="AJ258" s="515"/>
      <c r="AK258" s="258"/>
      <c r="AL258" s="258"/>
      <c r="AM258" s="258"/>
      <c r="AN258" s="515"/>
      <c r="AO258" s="258"/>
      <c r="AP258" s="258"/>
      <c r="AQ258" s="258"/>
      <c r="AR258" s="515"/>
      <c r="AS258" s="121" t="s">
        <v>116</v>
      </c>
      <c r="AT258" s="121" t="s">
        <v>116</v>
      </c>
      <c r="AU258" s="121"/>
      <c r="AV258" s="568"/>
      <c r="AW258" s="956"/>
      <c r="AX258" s="956"/>
      <c r="AY258" s="956"/>
      <c r="AZ258" s="889"/>
      <c r="BA258" s="902"/>
      <c r="BB258" s="902"/>
      <c r="BC258" s="110"/>
      <c r="BD258" s="242"/>
      <c r="BE258" s="1231"/>
      <c r="BF258" s="131" t="s">
        <v>2371</v>
      </c>
      <c r="BG258" s="145"/>
      <c r="BH258" s="110"/>
      <c r="BI258" s="242"/>
      <c r="BJ258" s="1231"/>
      <c r="BK258" s="1344" t="s">
        <v>118</v>
      </c>
      <c r="BL258" s="1319" t="s">
        <v>184</v>
      </c>
      <c r="BM258" s="145"/>
      <c r="BN258" s="110"/>
      <c r="BO258" s="242"/>
      <c r="BP258" s="1231"/>
      <c r="BQ258" s="131"/>
      <c r="BR258" s="338"/>
      <c r="BS258" s="338"/>
      <c r="BT258" s="338"/>
      <c r="BU258" s="338"/>
      <c r="BV258" s="338"/>
      <c r="BW258" s="338"/>
      <c r="BX258" s="338"/>
      <c r="BY258" s="338"/>
      <c r="BZ258" s="338"/>
      <c r="CA258" s="338"/>
      <c r="CB258" s="338"/>
      <c r="CC258" s="338"/>
      <c r="CD258" s="338"/>
      <c r="CE258" s="338"/>
      <c r="CF258" s="338"/>
      <c r="CG258" s="338"/>
      <c r="CH258" s="338"/>
      <c r="CI258" s="338"/>
      <c r="CJ258" s="338"/>
      <c r="CK258" s="245"/>
      <c r="CL258" s="181"/>
      <c r="CM258" s="369"/>
      <c r="CN258" s="207"/>
      <c r="CO258" s="155" t="s">
        <v>122</v>
      </c>
      <c r="CP258" s="155"/>
      <c r="CQ258" s="131" t="s">
        <v>4552</v>
      </c>
      <c r="CR258" s="131" t="s">
        <v>4553</v>
      </c>
      <c r="CS258" s="242"/>
      <c r="CT258" s="242"/>
      <c r="CU258" s="242"/>
      <c r="CV258" s="207"/>
      <c r="CW258" s="207"/>
      <c r="CX258" s="729"/>
      <c r="CY258" s="729"/>
      <c r="CZ258" s="729"/>
      <c r="DA258" s="729"/>
      <c r="DB258" s="729"/>
      <c r="DC258" s="729"/>
    </row>
    <row r="259" spans="1:124" ht="30" customHeight="1">
      <c r="A259" s="1359"/>
      <c r="B259" s="155"/>
      <c r="C259" s="155">
        <f t="shared" si="198"/>
        <v>12</v>
      </c>
      <c r="D259" s="757">
        <v>1</v>
      </c>
      <c r="E259" s="757">
        <v>1</v>
      </c>
      <c r="F259" s="757">
        <v>1</v>
      </c>
      <c r="G259" s="222" t="s">
        <v>631</v>
      </c>
      <c r="H259" s="181" t="s">
        <v>4554</v>
      </c>
      <c r="I259" s="294" t="s">
        <v>4555</v>
      </c>
      <c r="J259" s="354" t="str">
        <f t="shared" si="200"/>
        <v>Lorenzo Risso</v>
      </c>
      <c r="K259" s="224"/>
      <c r="L259" s="131"/>
      <c r="M259" s="131"/>
      <c r="N259" s="131" t="str">
        <f t="shared" si="199"/>
        <v>Lorenzo risso</v>
      </c>
      <c r="O259" s="1259"/>
      <c r="P259" s="255"/>
      <c r="Q259" s="255"/>
      <c r="R259" s="131"/>
      <c r="S259" s="131"/>
      <c r="T259" s="131"/>
      <c r="U259" s="131"/>
      <c r="V259" s="131"/>
      <c r="W259" s="514"/>
      <c r="X259" s="131"/>
      <c r="Y259" s="514"/>
      <c r="Z259" s="514"/>
      <c r="AA259" s="514"/>
      <c r="AB259" s="255"/>
      <c r="AC259" s="131"/>
      <c r="AD259" s="1363"/>
      <c r="AE259" s="207"/>
      <c r="AF259" s="515"/>
      <c r="AG259" s="516"/>
      <c r="AH259" s="516"/>
      <c r="AI259" s="516"/>
      <c r="AJ259" s="515"/>
      <c r="AK259" s="258"/>
      <c r="AL259" s="258"/>
      <c r="AM259" s="258"/>
      <c r="AN259" s="515"/>
      <c r="AO259" s="258"/>
      <c r="AP259" s="258"/>
      <c r="AQ259" s="258"/>
      <c r="AR259" s="515"/>
      <c r="AS259" s="121" t="s">
        <v>116</v>
      </c>
      <c r="AT259" s="121" t="s">
        <v>116</v>
      </c>
      <c r="AU259" s="121" t="s">
        <v>116</v>
      </c>
      <c r="AV259" s="568"/>
      <c r="AW259" s="956"/>
      <c r="AX259" s="956"/>
      <c r="AY259" s="956"/>
      <c r="AZ259" s="889"/>
      <c r="BA259" s="902"/>
      <c r="BB259" s="902"/>
      <c r="BC259" s="110"/>
      <c r="BD259" s="242"/>
      <c r="BE259" s="1231"/>
      <c r="BF259" s="131" t="s">
        <v>262</v>
      </c>
      <c r="BG259" s="145"/>
      <c r="BH259" s="110"/>
      <c r="BI259" s="242"/>
      <c r="BJ259" s="1231"/>
      <c r="BK259" s="1344" t="s">
        <v>118</v>
      </c>
      <c r="BL259" s="131" t="s">
        <v>262</v>
      </c>
      <c r="BM259" s="145"/>
      <c r="BN259" s="110"/>
      <c r="BO259" s="242"/>
      <c r="BP259" s="1231"/>
      <c r="BQ259" s="131"/>
      <c r="BR259" s="338"/>
      <c r="BS259" s="338"/>
      <c r="BT259" s="338"/>
      <c r="BU259" s="338"/>
      <c r="BV259" s="338"/>
      <c r="BW259" s="338"/>
      <c r="BX259" s="338"/>
      <c r="BY259" s="338"/>
      <c r="BZ259" s="338"/>
      <c r="CA259" s="338"/>
      <c r="CB259" s="338"/>
      <c r="CC259" s="338"/>
      <c r="CD259" s="338"/>
      <c r="CE259" s="338"/>
      <c r="CF259" s="338"/>
      <c r="CG259" s="338"/>
      <c r="CH259" s="338"/>
      <c r="CI259" s="338"/>
      <c r="CJ259" s="338"/>
      <c r="CK259" s="245"/>
      <c r="CL259" s="181"/>
      <c r="CM259" s="369"/>
      <c r="CN259" s="207"/>
      <c r="CO259" s="155" t="s">
        <v>122</v>
      </c>
      <c r="CP259" s="155"/>
      <c r="CQ259" s="131"/>
      <c r="CR259" s="131" t="s">
        <v>4556</v>
      </c>
      <c r="CS259" s="242"/>
      <c r="CT259" s="242"/>
      <c r="CU259" s="242"/>
      <c r="CV259" s="207"/>
      <c r="CW259" s="207"/>
      <c r="CX259" s="729"/>
      <c r="CY259" s="729"/>
      <c r="CZ259" s="729"/>
      <c r="DA259" s="729"/>
      <c r="DB259" s="729"/>
      <c r="DC259" s="729"/>
    </row>
    <row r="260" spans="1:124" ht="30" customHeight="1">
      <c r="A260" s="1359"/>
      <c r="B260" s="155"/>
      <c r="C260" s="155">
        <f t="shared" si="198"/>
        <v>13</v>
      </c>
      <c r="D260" s="757"/>
      <c r="E260" s="757">
        <v>1</v>
      </c>
      <c r="F260" s="757">
        <v>1</v>
      </c>
      <c r="G260" s="222" t="s">
        <v>329</v>
      </c>
      <c r="H260" s="181" t="s">
        <v>4557</v>
      </c>
      <c r="I260" s="294" t="s">
        <v>4558</v>
      </c>
      <c r="J260" s="354" t="str">
        <f t="shared" si="200"/>
        <v>Diego Bosco</v>
      </c>
      <c r="K260" s="224"/>
      <c r="L260" s="131"/>
      <c r="M260" s="131"/>
      <c r="N260" s="131" t="str">
        <f t="shared" si="199"/>
        <v>Consorzio Italbiotec</v>
      </c>
      <c r="O260" s="1259"/>
      <c r="P260" s="255"/>
      <c r="Q260" s="255"/>
      <c r="R260" s="131"/>
      <c r="S260" s="131"/>
      <c r="T260" s="131"/>
      <c r="U260" s="131"/>
      <c r="V260" s="131"/>
      <c r="W260" s="514"/>
      <c r="X260" s="131"/>
      <c r="Y260" s="514"/>
      <c r="Z260" s="514"/>
      <c r="AA260" s="514"/>
      <c r="AB260" s="255"/>
      <c r="AC260" s="131"/>
      <c r="AD260" s="1363"/>
      <c r="AE260" s="207"/>
      <c r="AF260" s="515"/>
      <c r="AG260" s="516"/>
      <c r="AH260" s="516"/>
      <c r="AI260" s="516"/>
      <c r="AJ260" s="515"/>
      <c r="AK260" s="258"/>
      <c r="AL260" s="258"/>
      <c r="AM260" s="258"/>
      <c r="AN260" s="515"/>
      <c r="AO260" s="258"/>
      <c r="AP260" s="258"/>
      <c r="AQ260" s="258"/>
      <c r="AR260" s="515"/>
      <c r="AS260" s="121"/>
      <c r="AT260" s="19" t="s">
        <v>116</v>
      </c>
      <c r="AU260" s="121" t="s">
        <v>116</v>
      </c>
      <c r="AV260" s="568"/>
      <c r="AW260" s="956"/>
      <c r="AX260" s="956"/>
      <c r="AY260" s="956"/>
      <c r="AZ260" s="889"/>
      <c r="BA260" s="902"/>
      <c r="BB260" s="902"/>
      <c r="BC260" s="110"/>
      <c r="BD260" s="242"/>
      <c r="BE260" s="1231"/>
      <c r="BF260" s="131"/>
      <c r="BG260" s="145"/>
      <c r="BH260" s="110"/>
      <c r="BI260" s="242"/>
      <c r="BJ260" s="1231"/>
      <c r="BK260" s="1344" t="s">
        <v>118</v>
      </c>
      <c r="BL260" s="131"/>
      <c r="BM260" s="145"/>
      <c r="BN260" s="110"/>
      <c r="BO260" s="242"/>
      <c r="BP260" s="1231"/>
      <c r="BQ260" s="131"/>
      <c r="BR260" s="338"/>
      <c r="BS260" s="338"/>
      <c r="BT260" s="338"/>
      <c r="BU260" s="338"/>
      <c r="BV260" s="338"/>
      <c r="BW260" s="338"/>
      <c r="BX260" s="338"/>
      <c r="BY260" s="338"/>
      <c r="BZ260" s="338"/>
      <c r="CA260" s="338"/>
      <c r="CB260" s="338"/>
      <c r="CC260" s="338"/>
      <c r="CD260" s="338"/>
      <c r="CE260" s="338"/>
      <c r="CF260" s="338"/>
      <c r="CG260" s="338"/>
      <c r="CH260" s="338"/>
      <c r="CI260" s="338"/>
      <c r="CJ260" s="338"/>
      <c r="CK260" s="155"/>
      <c r="CL260" s="181"/>
      <c r="CM260" s="369"/>
      <c r="CN260" s="207"/>
      <c r="CO260" s="155"/>
      <c r="CP260" s="155"/>
      <c r="CQ260" s="131"/>
      <c r="CR260" s="131" t="s">
        <v>4559</v>
      </c>
      <c r="CS260" s="242"/>
      <c r="CT260" s="242"/>
      <c r="CU260" s="242"/>
      <c r="CV260" s="207"/>
      <c r="CW260" s="207"/>
      <c r="CX260" s="1351"/>
      <c r="CY260" s="1351"/>
      <c r="CZ260" s="1351"/>
      <c r="DA260" s="1351"/>
      <c r="DB260" s="1351"/>
      <c r="DC260" s="1351"/>
      <c r="DD260" s="1369"/>
      <c r="DE260" s="1369"/>
      <c r="DF260" s="1369"/>
      <c r="DG260" s="1369"/>
      <c r="DH260" s="1369"/>
      <c r="DI260" s="1369"/>
      <c r="DJ260" s="1369"/>
      <c r="DK260" s="1369"/>
      <c r="DL260" s="1369"/>
      <c r="DM260" s="1369"/>
      <c r="DN260" s="1369"/>
      <c r="DO260" s="1369"/>
      <c r="DP260" s="1369"/>
      <c r="DQ260" s="1369"/>
    </row>
    <row r="261" spans="1:124" ht="30" customHeight="1">
      <c r="A261" s="1359"/>
      <c r="B261" s="155"/>
      <c r="C261" s="155">
        <f t="shared" si="198"/>
        <v>14</v>
      </c>
      <c r="D261" s="1370"/>
      <c r="E261" s="1370">
        <v>1</v>
      </c>
      <c r="F261" s="1370">
        <v>1</v>
      </c>
      <c r="G261" s="222" t="s">
        <v>2231</v>
      </c>
      <c r="H261" s="181" t="s">
        <v>4560</v>
      </c>
      <c r="I261" s="294" t="s">
        <v>4561</v>
      </c>
      <c r="J261" s="354"/>
      <c r="K261" s="1335"/>
      <c r="L261" s="354"/>
      <c r="M261" s="354"/>
      <c r="N261" s="131" t="str">
        <f t="shared" si="199"/>
        <v>Consorzio Italbiotec</v>
      </c>
      <c r="O261" s="1259"/>
      <c r="P261" s="594"/>
      <c r="Q261" s="640"/>
      <c r="R261" s="354"/>
      <c r="S261" s="640"/>
      <c r="T261" s="640"/>
      <c r="U261" s="640"/>
      <c r="V261" s="640"/>
      <c r="W261" s="640"/>
      <c r="X261" s="640"/>
      <c r="Y261" s="640"/>
      <c r="Z261" s="640"/>
      <c r="AA261" s="640"/>
      <c r="AB261" s="640"/>
      <c r="AC261" s="640"/>
      <c r="AD261" s="601"/>
      <c r="AE261" s="594"/>
      <c r="AF261" s="515"/>
      <c r="AG261" s="640"/>
      <c r="AH261" s="594"/>
      <c r="AI261" s="640"/>
      <c r="AJ261" s="1371"/>
      <c r="AK261" s="640"/>
      <c r="AL261" s="640"/>
      <c r="AM261" s="594"/>
      <c r="AN261" s="1371"/>
      <c r="AO261" s="617"/>
      <c r="AP261" s="617"/>
      <c r="AQ261" s="617"/>
      <c r="AR261" s="641"/>
      <c r="AS261" s="121"/>
      <c r="AT261" s="19" t="s">
        <v>116</v>
      </c>
      <c r="AU261" s="121" t="s">
        <v>116</v>
      </c>
      <c r="AV261" s="568"/>
      <c r="AW261" s="594"/>
      <c r="AX261" s="594"/>
      <c r="AY261" s="594"/>
      <c r="AZ261" s="889"/>
      <c r="BA261" s="902"/>
      <c r="BB261" s="902"/>
      <c r="BC261" s="110"/>
      <c r="BD261" s="242"/>
      <c r="BE261" s="1231"/>
      <c r="BF261" s="131"/>
      <c r="BG261" s="1343"/>
      <c r="BH261" s="1249"/>
      <c r="BI261" s="653"/>
      <c r="BJ261" s="1231"/>
      <c r="BK261" s="1344" t="s">
        <v>118</v>
      </c>
      <c r="BL261" s="1305"/>
      <c r="BM261" s="1343"/>
      <c r="BN261" s="1249"/>
      <c r="BO261" s="653"/>
      <c r="BP261" s="1231"/>
      <c r="BQ261" s="1372"/>
      <c r="BR261" s="1249"/>
      <c r="BS261" s="1373"/>
      <c r="BT261" s="1249"/>
      <c r="BU261" s="1307"/>
      <c r="BV261" s="1307"/>
      <c r="BW261" s="1307"/>
      <c r="BX261" s="1307"/>
      <c r="BY261" s="1307"/>
      <c r="BZ261" s="1307"/>
      <c r="CA261" s="1307"/>
      <c r="CB261" s="1307"/>
      <c r="CC261" s="1307"/>
      <c r="CD261" s="1307"/>
      <c r="CE261" s="1307"/>
      <c r="CF261" s="1307"/>
      <c r="CG261" s="1307"/>
      <c r="CH261" s="1307"/>
      <c r="CI261" s="1307"/>
      <c r="CJ261" s="1307"/>
      <c r="CK261" s="155"/>
      <c r="CL261" s="155"/>
      <c r="CM261" s="594"/>
      <c r="CN261" s="354"/>
      <c r="CO261" s="596"/>
      <c r="CP261" s="124"/>
      <c r="CQ261" s="124"/>
      <c r="CR261" s="131" t="s">
        <v>4559</v>
      </c>
      <c r="CS261" s="242"/>
      <c r="CT261" s="242"/>
      <c r="CU261" s="242"/>
      <c r="CV261" s="124"/>
      <c r="CW261" s="124"/>
      <c r="CX261" s="1369"/>
      <c r="CY261" s="1369"/>
      <c r="CZ261" s="1369"/>
      <c r="DA261" s="1351"/>
      <c r="DB261" s="1351"/>
      <c r="DC261" s="1374"/>
      <c r="DD261" s="1350"/>
      <c r="DE261" s="1350"/>
      <c r="DF261" s="1351"/>
      <c r="DG261" s="1351"/>
      <c r="DH261" s="1374"/>
      <c r="DI261" s="1266"/>
      <c r="DJ261" s="1266"/>
      <c r="DK261" s="1375"/>
      <c r="DL261" s="1375"/>
      <c r="DM261" s="1351"/>
      <c r="DN261" s="1351"/>
      <c r="DO261" s="1351"/>
      <c r="DP261" s="1351"/>
      <c r="DQ261" s="1351"/>
      <c r="DR261" s="729"/>
      <c r="DS261" s="729"/>
      <c r="DT261" s="729"/>
    </row>
    <row r="262" spans="1:124" ht="30" customHeight="1">
      <c r="A262" s="1359"/>
      <c r="B262" s="155">
        <v>101395</v>
      </c>
      <c r="C262" s="155">
        <f t="shared" si="198"/>
        <v>15</v>
      </c>
      <c r="D262" s="1370">
        <v>1</v>
      </c>
      <c r="E262" s="1370">
        <v>1</v>
      </c>
      <c r="F262" s="1370"/>
      <c r="G262" s="222" t="s">
        <v>3774</v>
      </c>
      <c r="H262" s="181" t="s">
        <v>4562</v>
      </c>
      <c r="I262" s="354" t="s">
        <v>4563</v>
      </c>
      <c r="J262" s="354" t="str">
        <f t="shared" ref="J262:J303" si="201">CONCATENATE(G262," ",H262)</f>
        <v>Nicolò Gaudenzi</v>
      </c>
      <c r="K262" s="1335">
        <v>3314255487</v>
      </c>
      <c r="L262" s="354" t="s">
        <v>4564</v>
      </c>
      <c r="M262" s="354" t="s">
        <v>112</v>
      </c>
      <c r="N262" s="131" t="str">
        <f t="shared" si="199"/>
        <v>Enterprise</v>
      </c>
      <c r="O262" s="1259"/>
      <c r="P262" s="594"/>
      <c r="Q262" s="640"/>
      <c r="R262" s="354" t="s">
        <v>4565</v>
      </c>
      <c r="S262" s="640"/>
      <c r="T262" s="640"/>
      <c r="U262" s="640"/>
      <c r="V262" s="640"/>
      <c r="W262" s="640"/>
      <c r="X262" s="640"/>
      <c r="Y262" s="640"/>
      <c r="Z262" s="640"/>
      <c r="AA262" s="640"/>
      <c r="AB262" s="640"/>
      <c r="AC262" s="640"/>
      <c r="AD262" s="601" t="s">
        <v>4566</v>
      </c>
      <c r="AE262" s="594"/>
      <c r="AF262" s="515"/>
      <c r="AG262" s="640"/>
      <c r="AH262" s="594"/>
      <c r="AI262" s="640"/>
      <c r="AJ262" s="1371"/>
      <c r="AK262" s="640"/>
      <c r="AL262" s="640"/>
      <c r="AM262" s="594"/>
      <c r="AN262" s="1371"/>
      <c r="AO262" s="617" t="s">
        <v>115</v>
      </c>
      <c r="AP262" s="617" t="s">
        <v>115</v>
      </c>
      <c r="AQ262" s="617" t="s">
        <v>115</v>
      </c>
      <c r="AR262" s="641"/>
      <c r="AS262" s="19" t="s">
        <v>116</v>
      </c>
      <c r="AT262" s="19" t="s">
        <v>116</v>
      </c>
      <c r="AU262" s="674" t="s">
        <v>297</v>
      </c>
      <c r="AV262" s="568"/>
      <c r="AW262" s="594"/>
      <c r="AX262" s="594"/>
      <c r="AY262" s="594"/>
      <c r="AZ262" s="889"/>
      <c r="BA262" s="902"/>
      <c r="BB262" s="902"/>
      <c r="BC262" s="110"/>
      <c r="BD262" s="242"/>
      <c r="BE262" s="1231"/>
      <c r="BF262" s="1305" t="s">
        <v>117</v>
      </c>
      <c r="BG262" s="98"/>
      <c r="BH262" s="1249"/>
      <c r="BI262" s="653"/>
      <c r="BJ262" s="1231"/>
      <c r="BK262" s="1344" t="s">
        <v>118</v>
      </c>
      <c r="BL262" s="1305" t="s">
        <v>152</v>
      </c>
      <c r="BM262" s="1343"/>
      <c r="BN262" s="1249"/>
      <c r="BO262" s="653"/>
      <c r="BP262" s="1231">
        <f>BE262*BM262</f>
        <v>0</v>
      </c>
      <c r="BQ262" s="1372" t="s">
        <v>968</v>
      </c>
      <c r="BR262" s="1249"/>
      <c r="BS262" s="1373"/>
      <c r="BT262" s="1249"/>
      <c r="BU262" s="1307"/>
      <c r="BV262" s="1307"/>
      <c r="BW262" s="1307"/>
      <c r="BX262" s="1307"/>
      <c r="BY262" s="1307"/>
      <c r="BZ262" s="1307"/>
      <c r="CA262" s="1307"/>
      <c r="CB262" s="1307"/>
      <c r="CC262" s="1307"/>
      <c r="CD262" s="1307"/>
      <c r="CE262" s="1307"/>
      <c r="CF262" s="1307"/>
      <c r="CG262" s="1307"/>
      <c r="CH262" s="1307"/>
      <c r="CI262" s="1307"/>
      <c r="CJ262" s="1307"/>
      <c r="CK262" s="155"/>
      <c r="CL262" s="155"/>
      <c r="CM262" s="594"/>
      <c r="CN262" s="354" t="s">
        <v>3864</v>
      </c>
      <c r="CO262" s="596" t="s">
        <v>122</v>
      </c>
      <c r="CP262" s="124"/>
      <c r="CQ262" s="124"/>
      <c r="CR262" s="124" t="s">
        <v>4567</v>
      </c>
      <c r="CS262" s="242"/>
      <c r="CT262" s="242"/>
      <c r="CU262" s="242"/>
      <c r="CV262" s="124"/>
      <c r="CW262" s="124"/>
      <c r="CX262" s="1369"/>
      <c r="CY262" s="1369"/>
      <c r="CZ262" s="1369"/>
      <c r="DA262" s="1351"/>
      <c r="DB262" s="1351"/>
      <c r="DC262" s="1374"/>
      <c r="DD262" s="1350"/>
      <c r="DE262" s="1350"/>
      <c r="DF262" s="1351"/>
      <c r="DG262" s="1351"/>
      <c r="DH262" s="1374"/>
      <c r="DI262" s="1266"/>
      <c r="DJ262" s="1266"/>
      <c r="DK262" s="1375"/>
      <c r="DL262" s="1375"/>
      <c r="DM262" s="1351"/>
      <c r="DN262" s="1351"/>
      <c r="DO262" s="1351"/>
      <c r="DP262" s="1351"/>
      <c r="DQ262" s="1351"/>
      <c r="DR262" s="729"/>
      <c r="DS262" s="729"/>
      <c r="DT262" s="729"/>
    </row>
    <row r="263" spans="1:124" ht="30" customHeight="1">
      <c r="A263" s="1359"/>
      <c r="B263" s="155"/>
      <c r="C263" s="155">
        <f t="shared" si="198"/>
        <v>16</v>
      </c>
      <c r="D263" s="757">
        <v>1</v>
      </c>
      <c r="E263" s="757">
        <v>1</v>
      </c>
      <c r="F263" s="757">
        <v>1</v>
      </c>
      <c r="G263" s="864" t="s">
        <v>2511</v>
      </c>
      <c r="H263" s="865" t="s">
        <v>2512</v>
      </c>
      <c r="I263" s="294" t="s">
        <v>2513</v>
      </c>
      <c r="J263" s="207" t="str">
        <f t="shared" si="201"/>
        <v>Piergiorgio Ghidini</v>
      </c>
      <c r="K263" s="848"/>
      <c r="L263" s="849"/>
      <c r="M263" s="828"/>
      <c r="N263" s="131" t="str">
        <f t="shared" si="199"/>
        <v>Rcs Tecnoimpianti</v>
      </c>
      <c r="O263" s="1376"/>
      <c r="P263" s="850"/>
      <c r="Q263" s="850"/>
      <c r="R263" s="828" t="s">
        <v>4568</v>
      </c>
      <c r="S263" s="828"/>
      <c r="T263" s="828"/>
      <c r="U263" s="828"/>
      <c r="V263" s="828"/>
      <c r="W263" s="850"/>
      <c r="X263" s="131"/>
      <c r="Y263" s="850"/>
      <c r="Z263" s="850"/>
      <c r="AA263" s="850"/>
      <c r="AB263" s="850"/>
      <c r="AC263" s="131"/>
      <c r="AD263" s="1362"/>
      <c r="AE263" s="869"/>
      <c r="AF263" s="851"/>
      <c r="AG263" s="852"/>
      <c r="AH263" s="852"/>
      <c r="AI263" s="852"/>
      <c r="AJ263" s="515"/>
      <c r="AK263" s="815"/>
      <c r="AL263" s="815"/>
      <c r="AM263" s="815"/>
      <c r="AN263" s="851"/>
      <c r="AO263" s="815"/>
      <c r="AP263" s="124"/>
      <c r="AQ263" s="815"/>
      <c r="AR263" s="515"/>
      <c r="AS263" s="259" t="s">
        <v>116</v>
      </c>
      <c r="AT263" s="259" t="s">
        <v>116</v>
      </c>
      <c r="AU263" s="259" t="s">
        <v>116</v>
      </c>
      <c r="AV263" s="568"/>
      <c r="AW263" s="121"/>
      <c r="AX263" s="121"/>
      <c r="AY263" s="121"/>
      <c r="AZ263" s="889"/>
      <c r="BA263" s="902"/>
      <c r="BB263" s="902"/>
      <c r="BC263" s="110"/>
      <c r="BD263" s="242"/>
      <c r="BE263" s="1231"/>
      <c r="BF263" s="161" t="s">
        <v>117</v>
      </c>
      <c r="BG263" s="604"/>
      <c r="BH263" s="349"/>
      <c r="BI263" s="242"/>
      <c r="BJ263" s="1231"/>
      <c r="BK263" s="1344" t="s">
        <v>118</v>
      </c>
      <c r="BL263" s="305" t="s">
        <v>3539</v>
      </c>
      <c r="BM263" s="145"/>
      <c r="BN263" s="110"/>
      <c r="BO263" s="242"/>
      <c r="BP263" s="1231"/>
      <c r="BQ263" s="1377"/>
      <c r="BR263" s="301"/>
      <c r="BS263" s="206"/>
      <c r="BT263" s="301"/>
      <c r="BU263" s="263"/>
      <c r="BV263" s="110"/>
      <c r="BW263" s="226"/>
      <c r="BX263" s="110"/>
      <c r="BY263" s="263"/>
      <c r="BZ263" s="110"/>
      <c r="CA263" s="226"/>
      <c r="CB263" s="110"/>
      <c r="CC263" s="263"/>
      <c r="CD263" s="110"/>
      <c r="CE263" s="226"/>
      <c r="CF263" s="110"/>
      <c r="CG263" s="263"/>
      <c r="CH263" s="110"/>
      <c r="CI263" s="226"/>
      <c r="CJ263" s="110"/>
      <c r="CK263" s="207"/>
      <c r="CL263" s="207"/>
      <c r="CM263" s="207"/>
      <c r="CN263" s="207"/>
      <c r="CO263" s="155" t="s">
        <v>122</v>
      </c>
      <c r="CP263" s="155"/>
      <c r="CQ263" s="828"/>
      <c r="CR263" s="828" t="s">
        <v>4569</v>
      </c>
      <c r="CS263" s="242"/>
      <c r="CT263" s="242"/>
      <c r="CU263" s="242"/>
      <c r="CV263" s="181"/>
      <c r="CW263" s="207"/>
      <c r="CX263" s="1351"/>
      <c r="CY263" s="1351"/>
      <c r="CZ263" s="1351"/>
      <c r="DA263" s="1351"/>
      <c r="DB263" s="1351"/>
      <c r="DC263" s="1351"/>
      <c r="DD263" s="1369"/>
      <c r="DE263" s="1369"/>
      <c r="DF263" s="1369"/>
      <c r="DG263" s="1369"/>
      <c r="DH263" s="1369"/>
      <c r="DI263" s="1369"/>
      <c r="DJ263" s="1369"/>
      <c r="DK263" s="1369"/>
      <c r="DL263" s="1369"/>
      <c r="DM263" s="1369"/>
      <c r="DN263" s="1369"/>
      <c r="DO263" s="1369"/>
      <c r="DP263" s="1369"/>
      <c r="DQ263" s="1369"/>
    </row>
    <row r="264" spans="1:124" ht="30" customHeight="1">
      <c r="A264" s="1359"/>
      <c r="B264" s="1237"/>
      <c r="C264" s="155">
        <f t="shared" si="198"/>
        <v>17</v>
      </c>
      <c r="D264" s="781"/>
      <c r="E264" s="781"/>
      <c r="F264" s="781">
        <v>1</v>
      </c>
      <c r="G264" s="840" t="s">
        <v>2588</v>
      </c>
      <c r="H264" s="621" t="s">
        <v>884</v>
      </c>
      <c r="I264" s="207" t="s">
        <v>4570</v>
      </c>
      <c r="J264" s="207" t="str">
        <f t="shared" si="201"/>
        <v>Cesare Braghini</v>
      </c>
      <c r="K264" s="156"/>
      <c r="L264" s="131"/>
      <c r="M264" s="131"/>
      <c r="N264" s="131"/>
      <c r="O264" s="1297"/>
      <c r="P264" s="251"/>
      <c r="Q264" s="131"/>
      <c r="R264" s="252"/>
      <c r="S264" s="254"/>
      <c r="T264" s="346"/>
      <c r="U264" s="253"/>
      <c r="V264" s="253"/>
      <c r="W264" s="251"/>
      <c r="X264" s="131"/>
      <c r="Y264" s="251"/>
      <c r="Z264" s="251"/>
      <c r="AA264" s="251"/>
      <c r="AB264" s="255"/>
      <c r="AC264" s="256"/>
      <c r="AD264" s="121"/>
      <c r="AE264" s="80"/>
      <c r="AF264" s="257"/>
      <c r="AG264" s="155"/>
      <c r="AH264" s="155"/>
      <c r="AI264" s="155"/>
      <c r="AJ264" s="257"/>
      <c r="AK264" s="155"/>
      <c r="AL264" s="155"/>
      <c r="AM264" s="155"/>
      <c r="AN264" s="257"/>
      <c r="AO264" s="258"/>
      <c r="AP264" s="258"/>
      <c r="AQ264" s="258"/>
      <c r="AR264" s="211"/>
      <c r="AS264" s="259"/>
      <c r="AT264" s="259"/>
      <c r="AU264" s="259" t="s">
        <v>116</v>
      </c>
      <c r="AV264" s="211"/>
      <c r="AW264" s="259"/>
      <c r="AX264" s="259"/>
      <c r="AY264" s="259"/>
      <c r="AZ264" s="889"/>
      <c r="BA264" s="932"/>
      <c r="BB264" s="932"/>
      <c r="BC264" s="110"/>
      <c r="BD264" s="242"/>
      <c r="BE264" s="1231"/>
      <c r="BF264" s="275"/>
      <c r="BG264" s="604"/>
      <c r="BH264" s="261"/>
      <c r="BI264" s="242"/>
      <c r="BJ264" s="1231"/>
      <c r="BK264" s="680"/>
      <c r="BL264" s="1305"/>
      <c r="BM264" s="347"/>
      <c r="BN264" s="262"/>
      <c r="BO264" s="242"/>
      <c r="BP264" s="1231"/>
      <c r="BQ264" s="772"/>
      <c r="BR264" s="110"/>
      <c r="BS264" s="226"/>
      <c r="BT264" s="110"/>
      <c r="BU264" s="263"/>
      <c r="BV264" s="110"/>
      <c r="BW264" s="348"/>
      <c r="BX264" s="110"/>
      <c r="BY264" s="263"/>
      <c r="BZ264" s="110"/>
      <c r="CA264" s="263"/>
      <c r="CB264" s="110"/>
      <c r="CC264" s="263"/>
      <c r="CD264" s="110"/>
      <c r="CE264" s="226"/>
      <c r="CF264" s="110"/>
      <c r="CG264" s="263"/>
      <c r="CH264" s="110"/>
      <c r="CI264" s="226"/>
      <c r="CJ264" s="110"/>
      <c r="CK264" s="155"/>
      <c r="CL264" s="181"/>
      <c r="CM264" s="181"/>
      <c r="CN264" s="207"/>
      <c r="CO264" s="155"/>
      <c r="CP264" s="155"/>
      <c r="CQ264" s="131"/>
      <c r="CR264" s="828" t="s">
        <v>4569</v>
      </c>
      <c r="CS264" s="242"/>
      <c r="CT264" s="242"/>
      <c r="CU264" s="242"/>
      <c r="CV264" s="181"/>
      <c r="CW264" s="181"/>
      <c r="CX264" s="1350"/>
      <c r="CY264" s="1351"/>
      <c r="CZ264" s="1351"/>
      <c r="DA264" s="1351"/>
      <c r="DB264" s="1351"/>
      <c r="DC264" s="1351"/>
      <c r="DD264" s="1352"/>
      <c r="DE264" s="1352"/>
      <c r="DF264" s="1352"/>
      <c r="DG264" s="1352"/>
      <c r="DH264" s="1352"/>
      <c r="DI264" s="1352"/>
      <c r="DJ264" s="1352"/>
      <c r="DK264" s="1352"/>
      <c r="DL264" s="1352"/>
      <c r="DM264" s="1352"/>
      <c r="DN264" s="1352"/>
      <c r="DO264" s="1352"/>
      <c r="DP264" s="1352"/>
      <c r="DQ264" s="1352"/>
      <c r="DR264" s="265"/>
      <c r="DS264" s="265"/>
      <c r="DT264" s="265"/>
    </row>
    <row r="265" spans="1:124" ht="30" customHeight="1">
      <c r="A265" s="1359"/>
      <c r="B265" s="1237"/>
      <c r="C265" s="155">
        <f t="shared" si="198"/>
        <v>18</v>
      </c>
      <c r="D265" s="781">
        <v>1</v>
      </c>
      <c r="E265" s="781">
        <v>1</v>
      </c>
      <c r="F265" s="781"/>
      <c r="G265" s="112" t="s">
        <v>2333</v>
      </c>
      <c r="H265" s="621" t="s">
        <v>2334</v>
      </c>
      <c r="I265" s="207" t="s">
        <v>2335</v>
      </c>
      <c r="J265" s="207" t="str">
        <f t="shared" si="201"/>
        <v>Rachele Di Terlizzi</v>
      </c>
      <c r="K265" s="156"/>
      <c r="L265" s="131"/>
      <c r="M265" s="131"/>
      <c r="N265" s="131" t="str">
        <f t="shared" ref="N265:N270" si="202">CR265</f>
        <v>Pantani Group</v>
      </c>
      <c r="O265" s="1297"/>
      <c r="P265" s="251"/>
      <c r="Q265" s="131"/>
      <c r="R265" s="252"/>
      <c r="S265" s="254"/>
      <c r="T265" s="346"/>
      <c r="U265" s="253"/>
      <c r="V265" s="253"/>
      <c r="W265" s="251"/>
      <c r="X265" s="131"/>
      <c r="Y265" s="251"/>
      <c r="Z265" s="251"/>
      <c r="AA265" s="251"/>
      <c r="AB265" s="255"/>
      <c r="AC265" s="256"/>
      <c r="AD265" s="121"/>
      <c r="AE265" s="80">
        <f t="shared" ref="AE265:AE270" si="203">L265</f>
        <v>0</v>
      </c>
      <c r="AF265" s="257"/>
      <c r="AG265" s="155"/>
      <c r="AH265" s="155"/>
      <c r="AI265" s="155"/>
      <c r="AJ265" s="257"/>
      <c r="AK265" s="155"/>
      <c r="AL265" s="155"/>
      <c r="AM265" s="155"/>
      <c r="AN265" s="257"/>
      <c r="AO265" s="258"/>
      <c r="AP265" s="258"/>
      <c r="AQ265" s="258"/>
      <c r="AR265" s="211"/>
      <c r="AS265" s="350" t="s">
        <v>116</v>
      </c>
      <c r="AT265" s="259" t="s">
        <v>116</v>
      </c>
      <c r="AU265" s="674" t="s">
        <v>297</v>
      </c>
      <c r="AV265" s="211"/>
      <c r="AW265" s="259"/>
      <c r="AX265" s="259"/>
      <c r="AY265" s="259"/>
      <c r="AZ265" s="808"/>
      <c r="BA265" s="761"/>
      <c r="BB265" s="761"/>
      <c r="BC265" s="110"/>
      <c r="BD265" s="242">
        <f t="shared" ref="BD265:BD272" si="204">AZ265</f>
        <v>0</v>
      </c>
      <c r="BE265" s="1231"/>
      <c r="BF265" s="285" t="s">
        <v>117</v>
      </c>
      <c r="BG265" s="145"/>
      <c r="BH265" s="261"/>
      <c r="BI265" s="242"/>
      <c r="BJ265" s="1231"/>
      <c r="BK265" s="1344" t="s">
        <v>118</v>
      </c>
      <c r="BL265" s="1305" t="s">
        <v>152</v>
      </c>
      <c r="BM265" s="347"/>
      <c r="BN265" s="262"/>
      <c r="BO265" s="242"/>
      <c r="BP265" s="1231"/>
      <c r="BQ265" s="243"/>
      <c r="BR265" s="110"/>
      <c r="BS265" s="226"/>
      <c r="BT265" s="110"/>
      <c r="BU265" s="263"/>
      <c r="BV265" s="110"/>
      <c r="BW265" s="348"/>
      <c r="BX265" s="110"/>
      <c r="BY265" s="263"/>
      <c r="BZ265" s="110"/>
      <c r="CA265" s="263"/>
      <c r="CB265" s="110"/>
      <c r="CC265" s="263"/>
      <c r="CD265" s="110"/>
      <c r="CE265" s="226"/>
      <c r="CF265" s="110"/>
      <c r="CG265" s="263"/>
      <c r="CH265" s="110"/>
      <c r="CI265" s="226"/>
      <c r="CJ265" s="110"/>
      <c r="CK265" s="155"/>
      <c r="CL265" s="181"/>
      <c r="CM265" s="181"/>
      <c r="CN265" s="207"/>
      <c r="CO265" s="155" t="s">
        <v>122</v>
      </c>
      <c r="CP265" s="155"/>
      <c r="CQ265" s="131"/>
      <c r="CR265" s="823" t="s">
        <v>4571</v>
      </c>
      <c r="CS265" s="242"/>
      <c r="CT265" s="242"/>
      <c r="CU265" s="242"/>
      <c r="CV265" s="181"/>
      <c r="CW265" s="181"/>
      <c r="CX265" s="1350"/>
      <c r="CY265" s="1351"/>
      <c r="CZ265" s="1351"/>
      <c r="DA265" s="1351"/>
      <c r="DB265" s="1351"/>
      <c r="DC265" s="1351"/>
      <c r="DD265" s="1352"/>
      <c r="DE265" s="1352"/>
      <c r="DF265" s="1352"/>
      <c r="DG265" s="1352"/>
      <c r="DH265" s="1352"/>
      <c r="DI265" s="1352"/>
      <c r="DJ265" s="1352"/>
      <c r="DK265" s="1352"/>
      <c r="DL265" s="1352"/>
      <c r="DM265" s="1352"/>
      <c r="DN265" s="1352"/>
      <c r="DO265" s="1352"/>
      <c r="DP265" s="1352"/>
      <c r="DQ265" s="1352"/>
      <c r="DR265" s="265"/>
      <c r="DS265" s="265"/>
      <c r="DT265" s="265"/>
    </row>
    <row r="266" spans="1:124" ht="30" customHeight="1">
      <c r="A266" s="1359"/>
      <c r="B266" s="1237"/>
      <c r="C266" s="155">
        <f t="shared" si="198"/>
        <v>19</v>
      </c>
      <c r="D266" s="781">
        <v>1</v>
      </c>
      <c r="E266" s="781">
        <v>1</v>
      </c>
      <c r="F266" s="781">
        <v>1</v>
      </c>
      <c r="G266" s="112" t="s">
        <v>1185</v>
      </c>
      <c r="H266" s="621" t="s">
        <v>2349</v>
      </c>
      <c r="I266" s="207" t="s">
        <v>2350</v>
      </c>
      <c r="J266" s="207" t="str">
        <f t="shared" si="201"/>
        <v>Angelo Dottore</v>
      </c>
      <c r="K266" s="156"/>
      <c r="L266" s="131"/>
      <c r="M266" s="131"/>
      <c r="N266" s="131" t="str">
        <f t="shared" si="202"/>
        <v>GTI</v>
      </c>
      <c r="O266" s="1297"/>
      <c r="P266" s="251"/>
      <c r="Q266" s="131"/>
      <c r="R266" s="252"/>
      <c r="S266" s="254"/>
      <c r="T266" s="346"/>
      <c r="U266" s="253"/>
      <c r="V266" s="253"/>
      <c r="W266" s="251"/>
      <c r="X266" s="131"/>
      <c r="Y266" s="251"/>
      <c r="Z266" s="251"/>
      <c r="AA266" s="251"/>
      <c r="AB266" s="255"/>
      <c r="AC266" s="256"/>
      <c r="AD266" s="121"/>
      <c r="AE266" s="80">
        <f t="shared" si="203"/>
        <v>0</v>
      </c>
      <c r="AF266" s="257"/>
      <c r="AG266" s="155"/>
      <c r="AH266" s="155"/>
      <c r="AI266" s="155"/>
      <c r="AJ266" s="257"/>
      <c r="AK266" s="155"/>
      <c r="AL266" s="155"/>
      <c r="AM266" s="155"/>
      <c r="AN266" s="257"/>
      <c r="AO266" s="258"/>
      <c r="AP266" s="258"/>
      <c r="AQ266" s="258"/>
      <c r="AR266" s="211"/>
      <c r="AS266" s="259" t="s">
        <v>116</v>
      </c>
      <c r="AT266" s="259" t="s">
        <v>116</v>
      </c>
      <c r="AU266" s="259" t="s">
        <v>116</v>
      </c>
      <c r="AV266" s="211"/>
      <c r="AW266" s="259"/>
      <c r="AX266" s="259"/>
      <c r="AY266" s="259"/>
      <c r="AZ266" s="808"/>
      <c r="BA266" s="761"/>
      <c r="BB266" s="761"/>
      <c r="BC266" s="110"/>
      <c r="BD266" s="242">
        <f t="shared" si="204"/>
        <v>0</v>
      </c>
      <c r="BE266" s="1231"/>
      <c r="BF266" s="318" t="s">
        <v>160</v>
      </c>
      <c r="BG266" s="145"/>
      <c r="BH266" s="261"/>
      <c r="BI266" s="242"/>
      <c r="BJ266" s="1231"/>
      <c r="BK266" s="1344" t="s">
        <v>118</v>
      </c>
      <c r="BL266" s="131" t="s">
        <v>160</v>
      </c>
      <c r="BM266" s="347"/>
      <c r="BN266" s="262"/>
      <c r="BO266" s="242"/>
      <c r="BP266" s="1231"/>
      <c r="BQ266" s="243"/>
      <c r="BR266" s="110"/>
      <c r="BS266" s="226"/>
      <c r="BT266" s="110"/>
      <c r="BU266" s="263"/>
      <c r="BV266" s="110"/>
      <c r="BW266" s="348"/>
      <c r="BX266" s="110"/>
      <c r="BY266" s="263"/>
      <c r="BZ266" s="110"/>
      <c r="CA266" s="263"/>
      <c r="CB266" s="110"/>
      <c r="CC266" s="263"/>
      <c r="CD266" s="110"/>
      <c r="CE266" s="226"/>
      <c r="CF266" s="110"/>
      <c r="CG266" s="263"/>
      <c r="CH266" s="110"/>
      <c r="CI266" s="226"/>
      <c r="CJ266" s="110"/>
      <c r="CK266" s="155"/>
      <c r="CL266" s="181"/>
      <c r="CM266" s="181"/>
      <c r="CN266" s="207"/>
      <c r="CO266" s="155" t="s">
        <v>122</v>
      </c>
      <c r="CP266" s="155"/>
      <c r="CQ266" s="131"/>
      <c r="CR266" s="823" t="s">
        <v>2351</v>
      </c>
      <c r="CS266" s="242"/>
      <c r="CT266" s="242"/>
      <c r="CU266" s="242"/>
      <c r="CV266" s="181"/>
      <c r="CW266" s="181"/>
      <c r="CX266" s="1350"/>
      <c r="CY266" s="1351"/>
      <c r="CZ266" s="1351"/>
      <c r="DA266" s="1351"/>
      <c r="DB266" s="1351"/>
      <c r="DC266" s="1351"/>
      <c r="DD266" s="1352"/>
      <c r="DE266" s="1352"/>
      <c r="DF266" s="1352"/>
      <c r="DG266" s="1352"/>
      <c r="DH266" s="1352"/>
      <c r="DI266" s="1352"/>
      <c r="DJ266" s="1352"/>
      <c r="DK266" s="1352"/>
      <c r="DL266" s="1352"/>
      <c r="DM266" s="1352"/>
      <c r="DN266" s="1352"/>
      <c r="DO266" s="1352"/>
      <c r="DP266" s="1352"/>
      <c r="DQ266" s="1352"/>
      <c r="DR266" s="265"/>
      <c r="DS266" s="265"/>
      <c r="DT266" s="265"/>
    </row>
    <row r="267" spans="1:124" ht="30" customHeight="1">
      <c r="A267" s="1359"/>
      <c r="B267" s="1237"/>
      <c r="C267" s="155">
        <f t="shared" si="198"/>
        <v>20</v>
      </c>
      <c r="D267" s="781">
        <v>1</v>
      </c>
      <c r="E267" s="781">
        <v>1</v>
      </c>
      <c r="F267" s="781">
        <v>1</v>
      </c>
      <c r="G267" s="112" t="s">
        <v>2377</v>
      </c>
      <c r="H267" s="621" t="s">
        <v>2378</v>
      </c>
      <c r="I267" s="207" t="s">
        <v>2379</v>
      </c>
      <c r="J267" s="207" t="str">
        <f t="shared" si="201"/>
        <v>Gian Luca Boarini</v>
      </c>
      <c r="K267" s="156"/>
      <c r="L267" s="131"/>
      <c r="M267" s="131"/>
      <c r="N267" s="131" t="str">
        <f t="shared" si="202"/>
        <v>Switch Up</v>
      </c>
      <c r="O267" s="1297"/>
      <c r="P267" s="251"/>
      <c r="Q267" s="131"/>
      <c r="R267" s="252"/>
      <c r="S267" s="254"/>
      <c r="T267" s="346"/>
      <c r="U267" s="253"/>
      <c r="V267" s="253"/>
      <c r="W267" s="251"/>
      <c r="X267" s="131"/>
      <c r="Y267" s="251"/>
      <c r="Z267" s="251"/>
      <c r="AA267" s="251"/>
      <c r="AB267" s="255"/>
      <c r="AC267" s="256"/>
      <c r="AD267" s="121"/>
      <c r="AE267" s="80">
        <f t="shared" si="203"/>
        <v>0</v>
      </c>
      <c r="AF267" s="257"/>
      <c r="AG267" s="155"/>
      <c r="AH267" s="155"/>
      <c r="AI267" s="155"/>
      <c r="AJ267" s="257"/>
      <c r="AK267" s="155"/>
      <c r="AL267" s="155"/>
      <c r="AM267" s="155"/>
      <c r="AN267" s="257"/>
      <c r="AO267" s="258"/>
      <c r="AP267" s="258"/>
      <c r="AQ267" s="258"/>
      <c r="AR267" s="211"/>
      <c r="AS267" s="259" t="s">
        <v>116</v>
      </c>
      <c r="AT267" s="259" t="s">
        <v>116</v>
      </c>
      <c r="AU267" s="350" t="s">
        <v>116</v>
      </c>
      <c r="AV267" s="211"/>
      <c r="AW267" s="259"/>
      <c r="AX267" s="259"/>
      <c r="AY267" s="259"/>
      <c r="AZ267" s="808"/>
      <c r="BA267" s="761"/>
      <c r="BB267" s="761"/>
      <c r="BC267" s="110"/>
      <c r="BD267" s="242">
        <f t="shared" si="204"/>
        <v>0</v>
      </c>
      <c r="BE267" s="1231"/>
      <c r="BF267" s="318" t="s">
        <v>262</v>
      </c>
      <c r="BG267" s="145"/>
      <c r="BH267" s="261"/>
      <c r="BI267" s="242"/>
      <c r="BJ267" s="1231"/>
      <c r="BK267" s="1344" t="s">
        <v>118</v>
      </c>
      <c r="BL267" s="131" t="s">
        <v>4572</v>
      </c>
      <c r="BM267" s="347"/>
      <c r="BN267" s="262"/>
      <c r="BO267" s="242"/>
      <c r="BP267" s="1231"/>
      <c r="BQ267" s="243"/>
      <c r="BR267" s="110"/>
      <c r="BS267" s="226"/>
      <c r="BT267" s="110"/>
      <c r="BU267" s="263"/>
      <c r="BV267" s="110"/>
      <c r="BW267" s="348"/>
      <c r="BX267" s="110"/>
      <c r="BY267" s="263"/>
      <c r="BZ267" s="110"/>
      <c r="CA267" s="263"/>
      <c r="CB267" s="110"/>
      <c r="CC267" s="263"/>
      <c r="CD267" s="110"/>
      <c r="CE267" s="226"/>
      <c r="CF267" s="110"/>
      <c r="CG267" s="263"/>
      <c r="CH267" s="110"/>
      <c r="CI267" s="226"/>
      <c r="CJ267" s="110"/>
      <c r="CK267" s="155"/>
      <c r="CL267" s="181"/>
      <c r="CM267" s="181"/>
      <c r="CN267" s="207"/>
      <c r="CO267" s="155" t="s">
        <v>122</v>
      </c>
      <c r="CP267" s="155"/>
      <c r="CQ267" s="131"/>
      <c r="CR267" s="823" t="s">
        <v>2380</v>
      </c>
      <c r="CS267" s="242"/>
      <c r="CT267" s="242"/>
      <c r="CU267" s="242"/>
      <c r="CV267" s="181"/>
      <c r="CW267" s="181"/>
      <c r="CX267" s="1350"/>
      <c r="CY267" s="1351"/>
      <c r="CZ267" s="1351"/>
      <c r="DA267" s="1351"/>
      <c r="DB267" s="1351"/>
      <c r="DC267" s="1351"/>
      <c r="DD267" s="1352"/>
      <c r="DE267" s="1352"/>
      <c r="DF267" s="1352"/>
      <c r="DG267" s="1352"/>
      <c r="DH267" s="1352"/>
      <c r="DI267" s="1352"/>
      <c r="DJ267" s="1352"/>
      <c r="DK267" s="1352"/>
      <c r="DL267" s="1352"/>
      <c r="DM267" s="1352"/>
      <c r="DN267" s="1352"/>
      <c r="DO267" s="1352"/>
      <c r="DP267" s="1352"/>
      <c r="DQ267" s="1352"/>
      <c r="DR267" s="265"/>
      <c r="DS267" s="265"/>
      <c r="DT267" s="265"/>
    </row>
    <row r="268" spans="1:124" ht="30" customHeight="1">
      <c r="A268" s="1359"/>
      <c r="B268" s="1237"/>
      <c r="C268" s="155">
        <f t="shared" si="198"/>
        <v>21</v>
      </c>
      <c r="D268" s="781">
        <v>1</v>
      </c>
      <c r="E268" s="781">
        <v>1</v>
      </c>
      <c r="F268" s="781"/>
      <c r="G268" s="112" t="s">
        <v>1307</v>
      </c>
      <c r="H268" s="621" t="s">
        <v>2338</v>
      </c>
      <c r="I268" s="207" t="s">
        <v>2339</v>
      </c>
      <c r="J268" s="207" t="str">
        <f t="shared" si="201"/>
        <v>Alberto Stillo</v>
      </c>
      <c r="K268" s="156"/>
      <c r="L268" s="131"/>
      <c r="M268" s="131"/>
      <c r="N268" s="131" t="str">
        <f t="shared" si="202"/>
        <v>Switch Up</v>
      </c>
      <c r="O268" s="1297"/>
      <c r="P268" s="251"/>
      <c r="Q268" s="131"/>
      <c r="R268" s="252"/>
      <c r="S268" s="254"/>
      <c r="T268" s="346"/>
      <c r="U268" s="253"/>
      <c r="V268" s="253"/>
      <c r="W268" s="251"/>
      <c r="X268" s="131"/>
      <c r="Y268" s="251"/>
      <c r="Z268" s="251"/>
      <c r="AA268" s="251"/>
      <c r="AB268" s="255"/>
      <c r="AC268" s="256"/>
      <c r="AD268" s="121"/>
      <c r="AE268" s="80">
        <f t="shared" si="203"/>
        <v>0</v>
      </c>
      <c r="AF268" s="257"/>
      <c r="AG268" s="155"/>
      <c r="AH268" s="155"/>
      <c r="AI268" s="155"/>
      <c r="AJ268" s="257"/>
      <c r="AK268" s="155"/>
      <c r="AL268" s="155"/>
      <c r="AM268" s="155"/>
      <c r="AN268" s="257"/>
      <c r="AO268" s="258"/>
      <c r="AP268" s="258"/>
      <c r="AQ268" s="258"/>
      <c r="AR268" s="211"/>
      <c r="AS268" s="259" t="s">
        <v>116</v>
      </c>
      <c r="AT268" s="259" t="s">
        <v>116</v>
      </c>
      <c r="AU268" s="674" t="s">
        <v>297</v>
      </c>
      <c r="AV268" s="211"/>
      <c r="AW268" s="259"/>
      <c r="AX268" s="259"/>
      <c r="AY268" s="259"/>
      <c r="AZ268" s="808"/>
      <c r="BA268" s="761"/>
      <c r="BB268" s="761"/>
      <c r="BC268" s="110"/>
      <c r="BD268" s="242">
        <f t="shared" si="204"/>
        <v>0</v>
      </c>
      <c r="BE268" s="1231"/>
      <c r="BF268" s="318" t="s">
        <v>262</v>
      </c>
      <c r="BG268" s="145"/>
      <c r="BH268" s="261"/>
      <c r="BI268" s="242"/>
      <c r="BJ268" s="1231"/>
      <c r="BK268" s="1344" t="s">
        <v>118</v>
      </c>
      <c r="BL268" s="131" t="s">
        <v>4572</v>
      </c>
      <c r="BM268" s="347"/>
      <c r="BN268" s="262"/>
      <c r="BO268" s="242"/>
      <c r="BP268" s="1231"/>
      <c r="BQ268" s="243"/>
      <c r="BR268" s="110"/>
      <c r="BS268" s="226"/>
      <c r="BT268" s="110"/>
      <c r="BU268" s="263"/>
      <c r="BV268" s="110"/>
      <c r="BW268" s="348"/>
      <c r="BX268" s="110"/>
      <c r="BY268" s="263"/>
      <c r="BZ268" s="110"/>
      <c r="CA268" s="263"/>
      <c r="CB268" s="110"/>
      <c r="CC268" s="263"/>
      <c r="CD268" s="110"/>
      <c r="CE268" s="226"/>
      <c r="CF268" s="110"/>
      <c r="CG268" s="263"/>
      <c r="CH268" s="110"/>
      <c r="CI268" s="226"/>
      <c r="CJ268" s="110"/>
      <c r="CK268" s="155"/>
      <c r="CL268" s="181"/>
      <c r="CM268" s="181"/>
      <c r="CN268" s="207"/>
      <c r="CO268" s="155" t="s">
        <v>122</v>
      </c>
      <c r="CP268" s="155"/>
      <c r="CQ268" s="131"/>
      <c r="CR268" s="823" t="s">
        <v>2380</v>
      </c>
      <c r="CS268" s="242"/>
      <c r="CT268" s="242"/>
      <c r="CU268" s="242"/>
      <c r="CV268" s="181"/>
      <c r="CW268" s="181"/>
      <c r="CX268" s="1350"/>
      <c r="CY268" s="1351"/>
      <c r="CZ268" s="1351"/>
      <c r="DA268" s="1351"/>
      <c r="DB268" s="1351"/>
      <c r="DC268" s="1351"/>
      <c r="DD268" s="1352"/>
      <c r="DE268" s="1352"/>
      <c r="DF268" s="1352"/>
      <c r="DG268" s="1352"/>
      <c r="DH268" s="1352"/>
      <c r="DI268" s="1352"/>
      <c r="DJ268" s="1352"/>
      <c r="DK268" s="1352"/>
      <c r="DL268" s="1352"/>
      <c r="DM268" s="1352"/>
      <c r="DN268" s="1352"/>
      <c r="DO268" s="1352"/>
      <c r="DP268" s="1352"/>
      <c r="DQ268" s="1352"/>
      <c r="DR268" s="265"/>
      <c r="DS268" s="265"/>
      <c r="DT268" s="265"/>
    </row>
    <row r="269" spans="1:124" ht="30" customHeight="1">
      <c r="A269" s="1359"/>
      <c r="B269" s="1314"/>
      <c r="C269" s="155">
        <f t="shared" si="198"/>
        <v>22</v>
      </c>
      <c r="D269" s="781">
        <v>1</v>
      </c>
      <c r="E269" s="781">
        <v>1</v>
      </c>
      <c r="F269" s="781">
        <v>1</v>
      </c>
      <c r="G269" s="112" t="s">
        <v>246</v>
      </c>
      <c r="H269" s="621" t="s">
        <v>2448</v>
      </c>
      <c r="I269" s="207" t="s">
        <v>4573</v>
      </c>
      <c r="J269" s="207" t="str">
        <f t="shared" si="201"/>
        <v>Marco Sciarratta</v>
      </c>
      <c r="K269" s="156">
        <v>3357404714</v>
      </c>
      <c r="L269" s="131" t="s">
        <v>4574</v>
      </c>
      <c r="M269" s="131"/>
      <c r="N269" s="131" t="str">
        <f t="shared" si="202"/>
        <v>Data Connect</v>
      </c>
      <c r="O269" s="1297"/>
      <c r="P269" s="251"/>
      <c r="Q269" s="131"/>
      <c r="R269" s="252"/>
      <c r="S269" s="254"/>
      <c r="T269" s="346"/>
      <c r="U269" s="253"/>
      <c r="V269" s="253"/>
      <c r="W269" s="251"/>
      <c r="X269" s="131"/>
      <c r="Y269" s="251"/>
      <c r="Z269" s="251"/>
      <c r="AA269" s="251"/>
      <c r="AB269" s="255"/>
      <c r="AC269" s="256"/>
      <c r="AD269" s="121"/>
      <c r="AE269" s="80" t="str">
        <f t="shared" si="203"/>
        <v>Solo Sabato e Domenica</v>
      </c>
      <c r="AF269" s="257"/>
      <c r="AG269" s="155"/>
      <c r="AH269" s="155"/>
      <c r="AI269" s="155"/>
      <c r="AJ269" s="257"/>
      <c r="AK269" s="155"/>
      <c r="AL269" s="155"/>
      <c r="AM269" s="155"/>
      <c r="AN269" s="257"/>
      <c r="AO269" s="258"/>
      <c r="AP269" s="258"/>
      <c r="AQ269" s="258"/>
      <c r="AR269" s="211"/>
      <c r="AS269" s="350" t="s">
        <v>116</v>
      </c>
      <c r="AT269" s="259" t="s">
        <v>116</v>
      </c>
      <c r="AU269" s="259" t="s">
        <v>116</v>
      </c>
      <c r="AV269" s="211"/>
      <c r="AW269" s="259"/>
      <c r="AX269" s="259"/>
      <c r="AY269" s="259"/>
      <c r="AZ269" s="808"/>
      <c r="BA269" s="761"/>
      <c r="BB269" s="761"/>
      <c r="BC269" s="110"/>
      <c r="BD269" s="242">
        <f t="shared" si="204"/>
        <v>0</v>
      </c>
      <c r="BE269" s="1231"/>
      <c r="BF269" s="318" t="s">
        <v>690</v>
      </c>
      <c r="BG269" s="145"/>
      <c r="BH269" s="261"/>
      <c r="BI269" s="242"/>
      <c r="BJ269" s="1231"/>
      <c r="BK269" s="1344" t="s">
        <v>118</v>
      </c>
      <c r="BL269" s="131" t="s">
        <v>133</v>
      </c>
      <c r="BM269" s="347"/>
      <c r="BN269" s="262"/>
      <c r="BO269" s="242"/>
      <c r="BP269" s="1231"/>
      <c r="BQ269" s="243"/>
      <c r="BR269" s="110"/>
      <c r="BS269" s="226"/>
      <c r="BT269" s="110"/>
      <c r="BU269" s="263"/>
      <c r="BV269" s="110"/>
      <c r="BW269" s="348"/>
      <c r="BX269" s="110"/>
      <c r="BY269" s="263"/>
      <c r="BZ269" s="110"/>
      <c r="CA269" s="263"/>
      <c r="CB269" s="110"/>
      <c r="CC269" s="263"/>
      <c r="CD269" s="110"/>
      <c r="CE269" s="226"/>
      <c r="CF269" s="110"/>
      <c r="CG269" s="263"/>
      <c r="CH269" s="110"/>
      <c r="CI269" s="226"/>
      <c r="CJ269" s="110"/>
      <c r="CK269" s="155"/>
      <c r="CL269" s="181"/>
      <c r="CM269" s="181"/>
      <c r="CN269" s="207"/>
      <c r="CO269" s="155" t="s">
        <v>122</v>
      </c>
      <c r="CP269" s="155"/>
      <c r="CQ269" s="131" t="s">
        <v>1869</v>
      </c>
      <c r="CR269" s="823" t="s">
        <v>4575</v>
      </c>
      <c r="CS269" s="242"/>
      <c r="CT269" s="242"/>
      <c r="CU269" s="242"/>
      <c r="CV269" s="181"/>
      <c r="CW269" s="181"/>
      <c r="CX269" s="1350"/>
      <c r="CY269" s="1351"/>
      <c r="CZ269" s="1351"/>
      <c r="DA269" s="1351"/>
      <c r="DB269" s="1351"/>
      <c r="DC269" s="1351"/>
      <c r="DD269" s="1352"/>
      <c r="DE269" s="1352"/>
      <c r="DF269" s="1352"/>
      <c r="DG269" s="1352"/>
      <c r="DH269" s="1352"/>
      <c r="DI269" s="1352"/>
      <c r="DJ269" s="1352"/>
      <c r="DK269" s="1352"/>
      <c r="DL269" s="1352"/>
      <c r="DM269" s="1352"/>
      <c r="DN269" s="1352"/>
      <c r="DO269" s="1352"/>
      <c r="DP269" s="1352"/>
      <c r="DQ269" s="1352"/>
      <c r="DR269" s="265"/>
      <c r="DS269" s="265"/>
      <c r="DT269" s="265"/>
    </row>
    <row r="270" spans="1:124" ht="30" customHeight="1">
      <c r="A270" s="1359"/>
      <c r="B270" s="1314"/>
      <c r="C270" s="155">
        <f t="shared" si="198"/>
        <v>23</v>
      </c>
      <c r="D270" s="781">
        <v>1</v>
      </c>
      <c r="E270" s="781"/>
      <c r="F270" s="781">
        <v>1</v>
      </c>
      <c r="G270" s="112" t="s">
        <v>1340</v>
      </c>
      <c r="H270" s="112" t="s">
        <v>1424</v>
      </c>
      <c r="I270" s="207" t="s">
        <v>4576</v>
      </c>
      <c r="J270" s="207" t="str">
        <f t="shared" si="201"/>
        <v>Roberta Proni</v>
      </c>
      <c r="K270" s="156" t="s">
        <v>4325</v>
      </c>
      <c r="L270" s="131"/>
      <c r="M270" s="131" t="s">
        <v>702</v>
      </c>
      <c r="N270" s="131" t="str">
        <f t="shared" si="202"/>
        <v>Italsample</v>
      </c>
      <c r="O270" s="1297"/>
      <c r="P270" s="251"/>
      <c r="Q270" s="131"/>
      <c r="R270" s="252"/>
      <c r="S270" s="254"/>
      <c r="T270" s="346"/>
      <c r="U270" s="253"/>
      <c r="V270" s="253"/>
      <c r="W270" s="251"/>
      <c r="X270" s="131"/>
      <c r="Y270" s="251"/>
      <c r="Z270" s="251"/>
      <c r="AA270" s="251"/>
      <c r="AB270" s="255"/>
      <c r="AC270" s="256"/>
      <c r="AD270" s="121"/>
      <c r="AE270" s="80">
        <f t="shared" si="203"/>
        <v>0</v>
      </c>
      <c r="AF270" s="257"/>
      <c r="AG270" s="155"/>
      <c r="AH270" s="155"/>
      <c r="AI270" s="155"/>
      <c r="AJ270" s="257"/>
      <c r="AK270" s="155"/>
      <c r="AL270" s="155"/>
      <c r="AM270" s="155"/>
      <c r="AN270" s="257"/>
      <c r="AO270" s="258"/>
      <c r="AP270" s="258"/>
      <c r="AQ270" s="258"/>
      <c r="AR270" s="211"/>
      <c r="AS270" s="259" t="s">
        <v>116</v>
      </c>
      <c r="AT270" s="259" t="s">
        <v>116</v>
      </c>
      <c r="AU270" s="259" t="s">
        <v>116</v>
      </c>
      <c r="AV270" s="211"/>
      <c r="AW270" s="259"/>
      <c r="AX270" s="259"/>
      <c r="AY270" s="259"/>
      <c r="AZ270" s="808"/>
      <c r="BA270" s="761"/>
      <c r="BB270" s="761"/>
      <c r="BC270" s="110"/>
      <c r="BD270" s="242">
        <f t="shared" si="204"/>
        <v>0</v>
      </c>
      <c r="BE270" s="1231"/>
      <c r="BF270" s="377" t="s">
        <v>117</v>
      </c>
      <c r="BG270" s="145"/>
      <c r="BH270" s="262"/>
      <c r="BI270" s="242"/>
      <c r="BJ270" s="1232"/>
      <c r="BK270" s="1267" t="s">
        <v>118</v>
      </c>
      <c r="BL270" s="1316" t="s">
        <v>160</v>
      </c>
      <c r="BM270" s="145"/>
      <c r="BN270" s="262"/>
      <c r="BO270" s="242"/>
      <c r="BP270" s="1231"/>
      <c r="BQ270" s="243"/>
      <c r="BR270" s="110"/>
      <c r="BS270" s="226"/>
      <c r="BT270" s="110"/>
      <c r="BU270" s="263"/>
      <c r="BV270" s="110"/>
      <c r="BW270" s="348"/>
      <c r="BX270" s="110"/>
      <c r="BY270" s="263"/>
      <c r="BZ270" s="110"/>
      <c r="CA270" s="263"/>
      <c r="CB270" s="110"/>
      <c r="CC270" s="263"/>
      <c r="CD270" s="110"/>
      <c r="CE270" s="226"/>
      <c r="CF270" s="110"/>
      <c r="CG270" s="263"/>
      <c r="CH270" s="110"/>
      <c r="CI270" s="226"/>
      <c r="CJ270" s="110"/>
      <c r="CK270" s="155"/>
      <c r="CL270" s="181"/>
      <c r="CM270" s="181"/>
      <c r="CN270" s="207"/>
      <c r="CO270" s="155" t="s">
        <v>122</v>
      </c>
      <c r="CP270" s="155"/>
      <c r="CQ270" s="131" t="s">
        <v>4327</v>
      </c>
      <c r="CR270" s="823" t="s">
        <v>4328</v>
      </c>
      <c r="CS270" s="242"/>
      <c r="CT270" s="242"/>
      <c r="CU270" s="242"/>
      <c r="CV270" s="181"/>
      <c r="CW270" s="181"/>
      <c r="CX270" s="779"/>
      <c r="CY270" s="729"/>
      <c r="CZ270" s="729"/>
      <c r="DA270" s="729"/>
      <c r="DB270" s="729"/>
      <c r="DC270" s="729"/>
      <c r="DD270" s="265"/>
      <c r="DE270" s="265"/>
      <c r="DF270" s="265"/>
      <c r="DG270" s="265"/>
      <c r="DH270" s="265"/>
      <c r="DI270" s="265"/>
      <c r="DJ270" s="265"/>
      <c r="DK270" s="265"/>
      <c r="DL270" s="265"/>
      <c r="DM270" s="265"/>
      <c r="DN270" s="265"/>
      <c r="DO270" s="265"/>
      <c r="DP270" s="265"/>
      <c r="DQ270" s="265"/>
      <c r="DR270" s="265"/>
      <c r="DS270" s="265"/>
      <c r="DT270" s="265"/>
    </row>
    <row r="271" spans="1:124" ht="30" customHeight="1">
      <c r="A271" s="1359"/>
      <c r="B271" s="1314"/>
      <c r="C271" s="155">
        <f t="shared" si="198"/>
        <v>24</v>
      </c>
      <c r="D271" s="781">
        <v>1</v>
      </c>
      <c r="E271" s="781"/>
      <c r="F271" s="781"/>
      <c r="G271" s="112" t="s">
        <v>4577</v>
      </c>
      <c r="H271" s="112" t="s">
        <v>4578</v>
      </c>
      <c r="I271" s="207" t="s">
        <v>4579</v>
      </c>
      <c r="J271" s="207" t="str">
        <f t="shared" si="201"/>
        <v>Maura Minguzzi</v>
      </c>
      <c r="K271" s="156"/>
      <c r="L271" s="131" t="s">
        <v>4580</v>
      </c>
      <c r="M271" s="131" t="s">
        <v>4581</v>
      </c>
      <c r="N271" s="131" t="s">
        <v>2270</v>
      </c>
      <c r="O271" s="1297"/>
      <c r="P271" s="251"/>
      <c r="Q271" s="131"/>
      <c r="R271" s="252"/>
      <c r="S271" s="254"/>
      <c r="T271" s="346"/>
      <c r="U271" s="253"/>
      <c r="V271" s="253"/>
      <c r="W271" s="251"/>
      <c r="X271" s="131"/>
      <c r="Y271" s="251"/>
      <c r="Z271" s="251"/>
      <c r="AA271" s="251"/>
      <c r="AB271" s="255"/>
      <c r="AC271" s="256"/>
      <c r="AD271" s="121"/>
      <c r="AE271" s="80" t="e">
        <f>#REF!</f>
        <v>#REF!</v>
      </c>
      <c r="AF271" s="257"/>
      <c r="AG271" s="155"/>
      <c r="AH271" s="155"/>
      <c r="AI271" s="155"/>
      <c r="AJ271" s="257"/>
      <c r="AK271" s="155"/>
      <c r="AL271" s="155"/>
      <c r="AM271" s="155"/>
      <c r="AN271" s="257"/>
      <c r="AO271" s="258"/>
      <c r="AP271" s="258"/>
      <c r="AQ271" s="258"/>
      <c r="AR271" s="211"/>
      <c r="AS271" s="259" t="s">
        <v>116</v>
      </c>
      <c r="AT271" s="395" t="s">
        <v>297</v>
      </c>
      <c r="AU271" s="395" t="s">
        <v>297</v>
      </c>
      <c r="AV271" s="211"/>
      <c r="AW271" s="259"/>
      <c r="AX271" s="259"/>
      <c r="AY271" s="259"/>
      <c r="AZ271" s="808"/>
      <c r="BA271" s="761"/>
      <c r="BB271" s="761"/>
      <c r="BC271" s="110"/>
      <c r="BD271" s="242">
        <f t="shared" si="204"/>
        <v>0</v>
      </c>
      <c r="BE271" s="1231"/>
      <c r="BF271" s="377" t="s">
        <v>407</v>
      </c>
      <c r="BG271" s="145"/>
      <c r="BH271" s="262"/>
      <c r="BI271" s="242"/>
      <c r="BJ271" s="1232"/>
      <c r="BK271" s="243"/>
      <c r="BL271" s="1316" t="s">
        <v>407</v>
      </c>
      <c r="BM271" s="145"/>
      <c r="BN271" s="262"/>
      <c r="BO271" s="242"/>
      <c r="BP271" s="1231"/>
      <c r="BQ271" s="243"/>
      <c r="BR271" s="110"/>
      <c r="BS271" s="226"/>
      <c r="BT271" s="110"/>
      <c r="BU271" s="263"/>
      <c r="BV271" s="110"/>
      <c r="BW271" s="348"/>
      <c r="BX271" s="110"/>
      <c r="BY271" s="263"/>
      <c r="BZ271" s="110"/>
      <c r="CA271" s="263"/>
      <c r="CB271" s="110"/>
      <c r="CC271" s="263"/>
      <c r="CD271" s="110"/>
      <c r="CE271" s="226"/>
      <c r="CF271" s="110"/>
      <c r="CG271" s="263"/>
      <c r="CH271" s="110"/>
      <c r="CI271" s="226"/>
      <c r="CJ271" s="110"/>
      <c r="CK271" s="155"/>
      <c r="CL271" s="181"/>
      <c r="CM271" s="181"/>
      <c r="CN271" s="207"/>
      <c r="CO271" s="155" t="s">
        <v>122</v>
      </c>
      <c r="CP271" s="155"/>
      <c r="CQ271" s="131" t="s">
        <v>760</v>
      </c>
      <c r="CR271" s="823" t="s">
        <v>2270</v>
      </c>
      <c r="CS271" s="242"/>
      <c r="CT271" s="242"/>
      <c r="CU271" s="242"/>
      <c r="CV271" s="181"/>
      <c r="CW271" s="181"/>
      <c r="CX271" s="779"/>
      <c r="CY271" s="729"/>
      <c r="CZ271" s="729"/>
      <c r="DA271" s="729"/>
      <c r="DB271" s="729"/>
      <c r="DC271" s="729"/>
      <c r="DD271" s="265"/>
      <c r="DE271" s="265"/>
      <c r="DF271" s="265"/>
      <c r="DG271" s="265"/>
      <c r="DH271" s="265"/>
      <c r="DI271" s="265"/>
      <c r="DJ271" s="265"/>
      <c r="DK271" s="265"/>
      <c r="DL271" s="265"/>
      <c r="DM271" s="265"/>
      <c r="DN271" s="265"/>
      <c r="DO271" s="265"/>
      <c r="DP271" s="265"/>
      <c r="DQ271" s="265"/>
      <c r="DR271" s="265"/>
      <c r="DS271" s="265"/>
      <c r="DT271" s="265"/>
    </row>
    <row r="272" spans="1:124" ht="30" customHeight="1">
      <c r="A272" s="1359"/>
      <c r="B272" s="1314"/>
      <c r="C272" s="155">
        <f t="shared" si="198"/>
        <v>25</v>
      </c>
      <c r="D272" s="781">
        <v>1</v>
      </c>
      <c r="E272" s="781">
        <v>1</v>
      </c>
      <c r="F272" s="781"/>
      <c r="G272" s="112" t="s">
        <v>188</v>
      </c>
      <c r="H272" s="112" t="s">
        <v>2585</v>
      </c>
      <c r="I272" s="294" t="s">
        <v>4582</v>
      </c>
      <c r="J272" s="207" t="str">
        <f t="shared" si="201"/>
        <v>Andrea Cabiati</v>
      </c>
      <c r="K272" s="156"/>
      <c r="L272" s="131" t="s">
        <v>4583</v>
      </c>
      <c r="M272" s="131"/>
      <c r="N272" s="131" t="str">
        <f t="shared" ref="N272:N279" si="205">CR272</f>
        <v>Tech Style</v>
      </c>
      <c r="O272" s="1297"/>
      <c r="P272" s="251"/>
      <c r="Q272" s="131"/>
      <c r="R272" s="252"/>
      <c r="S272" s="254"/>
      <c r="T272" s="346"/>
      <c r="U272" s="253"/>
      <c r="V272" s="253"/>
      <c r="W272" s="251"/>
      <c r="X272" s="131"/>
      <c r="Y272" s="251"/>
      <c r="Z272" s="251"/>
      <c r="AA272" s="251"/>
      <c r="AB272" s="255"/>
      <c r="AC272" s="256"/>
      <c r="AD272" s="121"/>
      <c r="AE272" s="80" t="str">
        <f>L272</f>
        <v>NON PARTECIPA LA DOMENICA 6 nov 22</v>
      </c>
      <c r="AF272" s="257"/>
      <c r="AG272" s="155"/>
      <c r="AH272" s="155"/>
      <c r="AI272" s="155"/>
      <c r="AJ272" s="257"/>
      <c r="AK272" s="155"/>
      <c r="AL272" s="155"/>
      <c r="AM272" s="155"/>
      <c r="AN272" s="257"/>
      <c r="AO272" s="258"/>
      <c r="AP272" s="258"/>
      <c r="AQ272" s="258"/>
      <c r="AR272" s="211"/>
      <c r="AS272" s="350" t="s">
        <v>116</v>
      </c>
      <c r="AT272" s="259" t="s">
        <v>116</v>
      </c>
      <c r="AU272" s="259"/>
      <c r="AV272" s="211"/>
      <c r="AW272" s="259"/>
      <c r="AX272" s="259"/>
      <c r="AY272" s="259"/>
      <c r="AZ272" s="808"/>
      <c r="BA272" s="761"/>
      <c r="BB272" s="761"/>
      <c r="BC272" s="110"/>
      <c r="BD272" s="242">
        <f t="shared" si="204"/>
        <v>0</v>
      </c>
      <c r="BE272" s="1231"/>
      <c r="BF272" s="377"/>
      <c r="BG272" s="145"/>
      <c r="BH272" s="262"/>
      <c r="BI272" s="242"/>
      <c r="BJ272" s="1232"/>
      <c r="BK272" s="1344" t="s">
        <v>118</v>
      </c>
      <c r="BL272" s="1316"/>
      <c r="BM272" s="145"/>
      <c r="BN272" s="262"/>
      <c r="BO272" s="242"/>
      <c r="BP272" s="1231"/>
      <c r="BQ272" s="243"/>
      <c r="BR272" s="110"/>
      <c r="BS272" s="226"/>
      <c r="BT272" s="110"/>
      <c r="BU272" s="263"/>
      <c r="BV272" s="110"/>
      <c r="BW272" s="348"/>
      <c r="BX272" s="110"/>
      <c r="BY272" s="263"/>
      <c r="BZ272" s="110"/>
      <c r="CA272" s="263"/>
      <c r="CB272" s="110"/>
      <c r="CC272" s="263"/>
      <c r="CD272" s="110"/>
      <c r="CE272" s="226"/>
      <c r="CF272" s="110"/>
      <c r="CG272" s="263"/>
      <c r="CH272" s="110"/>
      <c r="CI272" s="226"/>
      <c r="CJ272" s="110"/>
      <c r="CK272" s="155"/>
      <c r="CL272" s="181"/>
      <c r="CM272" s="181"/>
      <c r="CN272" s="207"/>
      <c r="CO272" s="155" t="s">
        <v>122</v>
      </c>
      <c r="CP272" s="155"/>
      <c r="CQ272" s="131"/>
      <c r="CR272" s="823" t="s">
        <v>4584</v>
      </c>
      <c r="CS272" s="242"/>
      <c r="CT272" s="242"/>
      <c r="CU272" s="242"/>
      <c r="CV272" s="181"/>
      <c r="CW272" s="181"/>
      <c r="CX272" s="779"/>
      <c r="CY272" s="729"/>
      <c r="CZ272" s="729"/>
      <c r="DA272" s="729"/>
      <c r="DB272" s="729"/>
      <c r="DC272" s="729"/>
      <c r="DD272" s="265"/>
      <c r="DE272" s="265"/>
      <c r="DF272" s="265"/>
      <c r="DG272" s="265"/>
      <c r="DH272" s="265"/>
      <c r="DI272" s="265"/>
      <c r="DJ272" s="265"/>
      <c r="DK272" s="265"/>
      <c r="DL272" s="265"/>
      <c r="DM272" s="265"/>
      <c r="DN272" s="265"/>
      <c r="DO272" s="265"/>
      <c r="DP272" s="265"/>
      <c r="DQ272" s="265"/>
      <c r="DR272" s="265"/>
      <c r="DS272" s="265"/>
      <c r="DT272" s="265"/>
    </row>
    <row r="273" spans="1:115" ht="30" customHeight="1">
      <c r="A273" s="1359"/>
      <c r="B273" s="90"/>
      <c r="C273" s="155">
        <f t="shared" si="198"/>
        <v>26</v>
      </c>
      <c r="D273" s="781">
        <v>1</v>
      </c>
      <c r="E273" s="781">
        <v>1</v>
      </c>
      <c r="F273" s="781">
        <v>1</v>
      </c>
      <c r="G273" s="840" t="s">
        <v>570</v>
      </c>
      <c r="H273" s="621" t="s">
        <v>3093</v>
      </c>
      <c r="I273" s="207" t="s">
        <v>4585</v>
      </c>
      <c r="J273" s="207" t="str">
        <f t="shared" si="201"/>
        <v>Giovanni Passarello</v>
      </c>
      <c r="K273" s="224"/>
      <c r="L273" s="131"/>
      <c r="M273" s="131"/>
      <c r="N273" s="131" t="str">
        <f t="shared" si="205"/>
        <v>Giovanni Passarello</v>
      </c>
      <c r="O273" s="1349"/>
      <c r="P273" s="245"/>
      <c r="Q273" s="255"/>
      <c r="R273" s="131"/>
      <c r="S273" s="131"/>
      <c r="T273" s="318"/>
      <c r="U273" s="251"/>
      <c r="V273" s="251"/>
      <c r="W273" s="329"/>
      <c r="X273" s="131"/>
      <c r="Y273" s="329"/>
      <c r="Z273" s="329"/>
      <c r="AA273" s="329"/>
      <c r="AB273" s="255"/>
      <c r="AC273" s="131"/>
      <c r="AD273" s="224"/>
      <c r="AE273" s="113"/>
      <c r="AF273" s="560"/>
      <c r="AG273" s="516"/>
      <c r="AH273" s="516"/>
      <c r="AI273" s="516"/>
      <c r="AJ273" s="560"/>
      <c r="AK273" s="155"/>
      <c r="AL273" s="155"/>
      <c r="AM273" s="155"/>
      <c r="AN273" s="560"/>
      <c r="AO273" s="155"/>
      <c r="AP273" s="155"/>
      <c r="AQ273" s="155"/>
      <c r="AR273" s="321"/>
      <c r="AS273" s="259" t="s">
        <v>116</v>
      </c>
      <c r="AT273" s="259" t="s">
        <v>116</v>
      </c>
      <c r="AU273" s="259" t="s">
        <v>116</v>
      </c>
      <c r="AV273" s="321"/>
      <c r="AW273" s="259"/>
      <c r="AX273" s="259"/>
      <c r="AY273" s="259"/>
      <c r="AZ273" s="889"/>
      <c r="BA273" s="902"/>
      <c r="BB273" s="902"/>
      <c r="BC273" s="110"/>
      <c r="BD273" s="242"/>
      <c r="BE273" s="1231"/>
      <c r="BF273" s="377" t="s">
        <v>117</v>
      </c>
      <c r="BG273" s="145"/>
      <c r="BH273" s="262"/>
      <c r="BI273" s="242"/>
      <c r="BJ273" s="1231"/>
      <c r="BK273" s="1344" t="s">
        <v>118</v>
      </c>
      <c r="BL273" s="131" t="s">
        <v>119</v>
      </c>
      <c r="BM273" s="145"/>
      <c r="BN273" s="262"/>
      <c r="BO273" s="242"/>
      <c r="BP273" s="1231"/>
      <c r="BQ273" s="665"/>
      <c r="BR273" s="338"/>
      <c r="BS273" s="338"/>
      <c r="BT273" s="338"/>
      <c r="BU273" s="338"/>
      <c r="BV273" s="338"/>
      <c r="BW273" s="338"/>
      <c r="BX273" s="338"/>
      <c r="BY273" s="338"/>
      <c r="BZ273" s="338"/>
      <c r="CA273" s="338"/>
      <c r="CB273" s="338"/>
      <c r="CC273" s="338"/>
      <c r="CD273" s="338"/>
      <c r="CE273" s="338"/>
      <c r="CF273" s="338"/>
      <c r="CG273" s="338"/>
      <c r="CH273" s="338"/>
      <c r="CI273" s="338"/>
      <c r="CJ273" s="338"/>
      <c r="CK273" s="245"/>
      <c r="CL273" s="181"/>
      <c r="CM273" s="369"/>
      <c r="CN273" s="207"/>
      <c r="CO273" s="155" t="s">
        <v>122</v>
      </c>
      <c r="CP273" s="155"/>
      <c r="CQ273" s="131"/>
      <c r="CR273" s="131" t="s">
        <v>3098</v>
      </c>
      <c r="CS273" s="242"/>
      <c r="CT273" s="242"/>
      <c r="CU273" s="242"/>
      <c r="CV273" s="207"/>
      <c r="CW273" s="207"/>
      <c r="CX273" s="729"/>
      <c r="CY273" s="729"/>
      <c r="CZ273" s="729"/>
      <c r="DA273" s="729"/>
      <c r="DB273" s="729"/>
      <c r="DC273" s="729"/>
    </row>
    <row r="274" spans="1:115" ht="30" customHeight="1">
      <c r="A274" s="1359"/>
      <c r="B274" s="155"/>
      <c r="C274" s="155">
        <f t="shared" si="198"/>
        <v>27</v>
      </c>
      <c r="D274" s="757">
        <v>1</v>
      </c>
      <c r="E274" s="757">
        <v>1</v>
      </c>
      <c r="F274" s="757"/>
      <c r="G274" s="987" t="s">
        <v>4586</v>
      </c>
      <c r="H274" s="923" t="s">
        <v>4587</v>
      </c>
      <c r="I274" s="207" t="s">
        <v>4588</v>
      </c>
      <c r="J274" s="207" t="str">
        <f t="shared" si="201"/>
        <v>Ottorino Pellini</v>
      </c>
      <c r="K274" s="1335">
        <v>3483715142</v>
      </c>
      <c r="L274" s="1378" t="s">
        <v>4589</v>
      </c>
      <c r="M274" s="305" t="s">
        <v>868</v>
      </c>
      <c r="N274" s="131" t="str">
        <f t="shared" si="205"/>
        <v>Tecnowood</v>
      </c>
      <c r="O274" s="1376"/>
      <c r="P274" s="1379" t="s">
        <v>4590</v>
      </c>
      <c r="Q274" s="1379" t="s">
        <v>4590</v>
      </c>
      <c r="R274" s="124"/>
      <c r="S274" s="207" t="s">
        <v>4591</v>
      </c>
      <c r="T274" s="359"/>
      <c r="U274" s="359"/>
      <c r="V274" s="359"/>
      <c r="W274" s="359"/>
      <c r="X274" s="359"/>
      <c r="Y274" s="359"/>
      <c r="Z274" s="359"/>
      <c r="AA274" s="359"/>
      <c r="AB274" s="359" t="s">
        <v>2300</v>
      </c>
      <c r="AC274" s="640"/>
      <c r="AD274" s="1380"/>
      <c r="AE274" s="640"/>
      <c r="AF274" s="851"/>
      <c r="AG274" s="852" t="s">
        <v>115</v>
      </c>
      <c r="AH274" s="852" t="s">
        <v>115</v>
      </c>
      <c r="AI274" s="852" t="s">
        <v>115</v>
      </c>
      <c r="AJ274" s="641"/>
      <c r="AK274" s="359" t="s">
        <v>116</v>
      </c>
      <c r="AL274" s="353" t="s">
        <v>2992</v>
      </c>
      <c r="AM274" s="353" t="s">
        <v>2992</v>
      </c>
      <c r="AN274" s="641"/>
      <c r="AO274" s="353" t="s">
        <v>116</v>
      </c>
      <c r="AP274" s="353" t="s">
        <v>116</v>
      </c>
      <c r="AQ274" s="617"/>
      <c r="AR274" s="515"/>
      <c r="AS274" s="350" t="s">
        <v>116</v>
      </c>
      <c r="AT274" s="259" t="s">
        <v>116</v>
      </c>
      <c r="AU274" s="259"/>
      <c r="AV274" s="568"/>
      <c r="AW274" s="121"/>
      <c r="AX274" s="121"/>
      <c r="AY274" s="121"/>
      <c r="AZ274" s="889"/>
      <c r="BA274" s="902"/>
      <c r="BB274" s="902"/>
      <c r="BC274" s="110"/>
      <c r="BD274" s="242"/>
      <c r="BE274" s="1231"/>
      <c r="BF274" s="966"/>
      <c r="BG274" s="604"/>
      <c r="BH274" s="262"/>
      <c r="BI274" s="242"/>
      <c r="BJ274" s="1231"/>
      <c r="BK274" s="1344" t="s">
        <v>118</v>
      </c>
      <c r="BL274" s="600"/>
      <c r="BM274" s="145"/>
      <c r="BN274" s="110"/>
      <c r="BO274" s="242"/>
      <c r="BP274" s="1231"/>
      <c r="BQ274" s="604"/>
      <c r="BR274" s="349"/>
      <c r="BS274" s="301"/>
      <c r="BT274" s="301"/>
      <c r="BU274" s="301"/>
      <c r="BV274" s="301"/>
      <c r="BW274" s="301"/>
      <c r="BX274" s="301"/>
      <c r="BY274" s="301"/>
      <c r="BZ274" s="301"/>
      <c r="CA274" s="983"/>
      <c r="CB274" s="982"/>
      <c r="CC274" s="871"/>
      <c r="CD274" s="262"/>
      <c r="CE274" s="984"/>
      <c r="CF274" s="262"/>
      <c r="CG274" s="871"/>
      <c r="CH274" s="262"/>
      <c r="CI274" s="984"/>
      <c r="CJ274" s="262"/>
      <c r="CK274" s="207"/>
      <c r="CL274" s="207"/>
      <c r="CM274" s="207"/>
      <c r="CN274" s="207"/>
      <c r="CO274" s="155" t="s">
        <v>122</v>
      </c>
      <c r="CP274" s="155"/>
      <c r="CQ274" s="828" t="s">
        <v>1992</v>
      </c>
      <c r="CR274" s="828" t="s">
        <v>4592</v>
      </c>
      <c r="CS274" s="242"/>
      <c r="CT274" s="242"/>
      <c r="CU274" s="242"/>
      <c r="CV274" s="779"/>
      <c r="CW274" s="181"/>
      <c r="CX274" s="779"/>
      <c r="CY274" s="779"/>
      <c r="CZ274" s="779"/>
      <c r="DA274" s="779"/>
      <c r="DB274" s="779"/>
      <c r="DC274" s="779"/>
      <c r="DD274" s="779"/>
      <c r="DE274" s="779"/>
      <c r="DF274" s="779"/>
      <c r="DG274" s="779"/>
      <c r="DH274" s="779"/>
      <c r="DI274" s="779"/>
      <c r="DJ274" s="779"/>
      <c r="DK274" s="779"/>
    </row>
    <row r="275" spans="1:115" ht="30" customHeight="1">
      <c r="A275" s="1359"/>
      <c r="B275" s="155"/>
      <c r="C275" s="155">
        <f t="shared" si="198"/>
        <v>28</v>
      </c>
      <c r="D275" s="757">
        <v>1</v>
      </c>
      <c r="E275" s="757">
        <v>1</v>
      </c>
      <c r="F275" s="757"/>
      <c r="G275" s="987" t="s">
        <v>622</v>
      </c>
      <c r="H275" s="865" t="s">
        <v>4593</v>
      </c>
      <c r="I275" s="207" t="s">
        <v>4594</v>
      </c>
      <c r="J275" s="207" t="str">
        <f t="shared" si="201"/>
        <v>Laura Orsucci</v>
      </c>
      <c r="K275" s="1335"/>
      <c r="L275" s="305"/>
      <c r="M275" s="305"/>
      <c r="N275" s="131" t="str">
        <f t="shared" si="205"/>
        <v>Laura Orsucci</v>
      </c>
      <c r="O275" s="1376"/>
      <c r="P275" s="359"/>
      <c r="Q275" s="359"/>
      <c r="R275" s="124"/>
      <c r="S275" s="207"/>
      <c r="T275" s="359"/>
      <c r="U275" s="359"/>
      <c r="V275" s="359"/>
      <c r="W275" s="359"/>
      <c r="X275" s="359"/>
      <c r="Y275" s="359"/>
      <c r="Z275" s="359"/>
      <c r="AA275" s="359"/>
      <c r="AB275" s="359"/>
      <c r="AC275" s="640"/>
      <c r="AD275" s="1380"/>
      <c r="AE275" s="640"/>
      <c r="AF275" s="851"/>
      <c r="AG275" s="852"/>
      <c r="AH275" s="852"/>
      <c r="AI275" s="852"/>
      <c r="AJ275" s="641"/>
      <c r="AK275" s="359"/>
      <c r="AL275" s="353"/>
      <c r="AM275" s="353"/>
      <c r="AN275" s="641"/>
      <c r="AO275" s="353"/>
      <c r="AP275" s="353"/>
      <c r="AQ275" s="617"/>
      <c r="AR275" s="515"/>
      <c r="AS275" s="259" t="s">
        <v>116</v>
      </c>
      <c r="AT275" s="259" t="s">
        <v>116</v>
      </c>
      <c r="AU275" s="395" t="s">
        <v>297</v>
      </c>
      <c r="AV275" s="568"/>
      <c r="AW275" s="121"/>
      <c r="AX275" s="121"/>
      <c r="AY275" s="121"/>
      <c r="AZ275" s="889"/>
      <c r="BA275" s="902"/>
      <c r="BB275" s="902"/>
      <c r="BC275" s="110"/>
      <c r="BD275" s="242"/>
      <c r="BE275" s="1231"/>
      <c r="BF275" s="966"/>
      <c r="BG275" s="604"/>
      <c r="BH275" s="349"/>
      <c r="BI275" s="242"/>
      <c r="BJ275" s="1231"/>
      <c r="BK275" s="1344" t="s">
        <v>118</v>
      </c>
      <c r="BL275" s="600"/>
      <c r="BM275" s="145"/>
      <c r="BN275" s="110"/>
      <c r="BO275" s="242"/>
      <c r="BP275" s="1231"/>
      <c r="BQ275" s="604"/>
      <c r="BR275" s="349"/>
      <c r="BS275" s="301"/>
      <c r="BT275" s="301"/>
      <c r="BU275" s="301"/>
      <c r="BV275" s="301"/>
      <c r="BW275" s="301"/>
      <c r="BX275" s="301"/>
      <c r="BY275" s="301"/>
      <c r="BZ275" s="301"/>
      <c r="CA275" s="983"/>
      <c r="CB275" s="982"/>
      <c r="CC275" s="871"/>
      <c r="CD275" s="262"/>
      <c r="CE275" s="984"/>
      <c r="CF275" s="262"/>
      <c r="CG275" s="871"/>
      <c r="CH275" s="262"/>
      <c r="CI275" s="984"/>
      <c r="CJ275" s="262"/>
      <c r="CK275" s="247"/>
      <c r="CL275" s="207"/>
      <c r="CM275" s="354"/>
      <c r="CN275" s="207"/>
      <c r="CO275" s="155" t="s">
        <v>122</v>
      </c>
      <c r="CP275" s="155"/>
      <c r="CQ275" s="828"/>
      <c r="CR275" s="828" t="s">
        <v>4595</v>
      </c>
      <c r="CS275" s="242"/>
      <c r="CT275" s="242"/>
      <c r="CU275" s="242"/>
      <c r="CV275" s="779"/>
      <c r="CW275" s="181"/>
      <c r="CX275" s="779"/>
      <c r="CY275" s="779"/>
      <c r="CZ275" s="779"/>
      <c r="DA275" s="779"/>
      <c r="DB275" s="779"/>
      <c r="DC275" s="779"/>
      <c r="DD275" s="779"/>
      <c r="DE275" s="779"/>
      <c r="DF275" s="779"/>
      <c r="DG275" s="779"/>
      <c r="DH275" s="779"/>
      <c r="DI275" s="779"/>
      <c r="DJ275" s="779"/>
      <c r="DK275" s="779"/>
    </row>
    <row r="276" spans="1:115" ht="30" customHeight="1">
      <c r="A276" s="1359"/>
      <c r="B276" s="155"/>
      <c r="C276" s="155">
        <f t="shared" si="198"/>
        <v>29</v>
      </c>
      <c r="D276" s="757">
        <v>1</v>
      </c>
      <c r="E276" s="757">
        <v>1</v>
      </c>
      <c r="F276" s="757"/>
      <c r="G276" s="987" t="s">
        <v>1134</v>
      </c>
      <c r="H276" s="865" t="s">
        <v>4596</v>
      </c>
      <c r="I276" s="207" t="s">
        <v>4597</v>
      </c>
      <c r="J276" s="207" t="str">
        <f t="shared" si="201"/>
        <v>Massimo Pozzi</v>
      </c>
      <c r="K276" s="1335"/>
      <c r="L276" s="305"/>
      <c r="M276" s="305"/>
      <c r="N276" s="131" t="str">
        <f t="shared" si="205"/>
        <v>Massimo Pozzi</v>
      </c>
      <c r="O276" s="1376"/>
      <c r="P276" s="359"/>
      <c r="Q276" s="359"/>
      <c r="R276" s="124"/>
      <c r="S276" s="207"/>
      <c r="T276" s="359"/>
      <c r="U276" s="359"/>
      <c r="V276" s="359"/>
      <c r="W276" s="359"/>
      <c r="X276" s="359"/>
      <c r="Y276" s="359"/>
      <c r="Z276" s="359"/>
      <c r="AA276" s="359"/>
      <c r="AB276" s="359"/>
      <c r="AC276" s="640"/>
      <c r="AD276" s="1380"/>
      <c r="AE276" s="640"/>
      <c r="AF276" s="851"/>
      <c r="AG276" s="852"/>
      <c r="AH276" s="852"/>
      <c r="AI276" s="852"/>
      <c r="AJ276" s="641"/>
      <c r="AK276" s="359"/>
      <c r="AL276" s="353"/>
      <c r="AM276" s="353"/>
      <c r="AN276" s="641"/>
      <c r="AO276" s="353"/>
      <c r="AP276" s="353"/>
      <c r="AQ276" s="617"/>
      <c r="AR276" s="515"/>
      <c r="AS276" s="259" t="s">
        <v>116</v>
      </c>
      <c r="AT276" s="259" t="s">
        <v>116</v>
      </c>
      <c r="AU276" s="395" t="s">
        <v>297</v>
      </c>
      <c r="AV276" s="568"/>
      <c r="AW276" s="121"/>
      <c r="AX276" s="121"/>
      <c r="AY276" s="121"/>
      <c r="AZ276" s="889"/>
      <c r="BA276" s="902"/>
      <c r="BB276" s="902"/>
      <c r="BC276" s="110"/>
      <c r="BD276" s="242"/>
      <c r="BE276" s="1231"/>
      <c r="BF276" s="966"/>
      <c r="BG276" s="604"/>
      <c r="BH276" s="349"/>
      <c r="BI276" s="242"/>
      <c r="BJ276" s="1231"/>
      <c r="BK276" s="1344" t="s">
        <v>118</v>
      </c>
      <c r="BL276" s="600"/>
      <c r="BM276" s="145"/>
      <c r="BN276" s="110"/>
      <c r="BO276" s="242"/>
      <c r="BP276" s="1231"/>
      <c r="BQ276" s="604"/>
      <c r="BR276" s="349"/>
      <c r="BS276" s="301"/>
      <c r="BT276" s="301"/>
      <c r="BU276" s="301"/>
      <c r="BV276" s="301"/>
      <c r="BW276" s="301"/>
      <c r="BX276" s="301"/>
      <c r="BY276" s="301"/>
      <c r="BZ276" s="301"/>
      <c r="CA276" s="983"/>
      <c r="CB276" s="982"/>
      <c r="CC276" s="871"/>
      <c r="CD276" s="262"/>
      <c r="CE276" s="984"/>
      <c r="CF276" s="262"/>
      <c r="CG276" s="871"/>
      <c r="CH276" s="262"/>
      <c r="CI276" s="984"/>
      <c r="CJ276" s="262"/>
      <c r="CK276" s="247"/>
      <c r="CL276" s="207"/>
      <c r="CM276" s="354"/>
      <c r="CN276" s="207"/>
      <c r="CO276" s="155" t="s">
        <v>122</v>
      </c>
      <c r="CP276" s="155"/>
      <c r="CQ276" s="131"/>
      <c r="CR276" s="823" t="s">
        <v>4598</v>
      </c>
      <c r="CS276" s="242"/>
      <c r="CT276" s="242"/>
      <c r="CU276" s="242"/>
      <c r="CV276" s="779"/>
      <c r="CW276" s="181"/>
      <c r="CX276" s="779"/>
      <c r="CY276" s="779"/>
      <c r="CZ276" s="779"/>
      <c r="DA276" s="779"/>
      <c r="DB276" s="779"/>
      <c r="DC276" s="779"/>
      <c r="DD276" s="779"/>
      <c r="DE276" s="779"/>
      <c r="DF276" s="779"/>
      <c r="DG276" s="779"/>
      <c r="DH276" s="779"/>
      <c r="DI276" s="779"/>
      <c r="DJ276" s="779"/>
      <c r="DK276" s="779"/>
    </row>
    <row r="277" spans="1:115" ht="30" customHeight="1">
      <c r="A277" s="1359"/>
      <c r="B277" s="155"/>
      <c r="C277" s="155">
        <f t="shared" si="198"/>
        <v>30</v>
      </c>
      <c r="D277" s="757">
        <v>1</v>
      </c>
      <c r="E277" s="757">
        <v>1</v>
      </c>
      <c r="F277" s="757"/>
      <c r="G277" s="222" t="s">
        <v>741</v>
      </c>
      <c r="H277" s="672" t="s">
        <v>2387</v>
      </c>
      <c r="I277" s="207" t="s">
        <v>2388</v>
      </c>
      <c r="J277" s="207" t="str">
        <f t="shared" si="201"/>
        <v>Michele Mezzi</v>
      </c>
      <c r="K277" s="1335"/>
      <c r="L277" s="305" t="s">
        <v>4599</v>
      </c>
      <c r="M277" s="305"/>
      <c r="N277" s="131" t="str">
        <f t="shared" si="205"/>
        <v>Michele Mezzi</v>
      </c>
      <c r="O277" s="1349"/>
      <c r="P277" s="353"/>
      <c r="Q277" s="359"/>
      <c r="R277" s="131"/>
      <c r="S277" s="131"/>
      <c r="T277" s="305"/>
      <c r="U277" s="305"/>
      <c r="V277" s="305"/>
      <c r="W277" s="361"/>
      <c r="X277" s="305"/>
      <c r="Y277" s="361"/>
      <c r="Z277" s="361"/>
      <c r="AA277" s="361"/>
      <c r="AB277" s="359"/>
      <c r="AC277" s="305"/>
      <c r="AD277" s="1335"/>
      <c r="AE277" s="354"/>
      <c r="AF277" s="515"/>
      <c r="AG277" s="516"/>
      <c r="AH277" s="516"/>
      <c r="AI277" s="516"/>
      <c r="AJ277" s="603"/>
      <c r="AK277" s="353"/>
      <c r="AL277" s="353"/>
      <c r="AM277" s="353"/>
      <c r="AN277" s="603"/>
      <c r="AO277" s="353"/>
      <c r="AP277" s="353"/>
      <c r="AQ277" s="353"/>
      <c r="AR277" s="515"/>
      <c r="AS277" s="350" t="s">
        <v>116</v>
      </c>
      <c r="AT277" s="259" t="s">
        <v>116</v>
      </c>
      <c r="AU277" s="1381"/>
      <c r="AV277" s="568"/>
      <c r="AW277" s="121"/>
      <c r="AX277" s="121"/>
      <c r="AY277" s="121"/>
      <c r="AZ277" s="889"/>
      <c r="BA277" s="902"/>
      <c r="BB277" s="902"/>
      <c r="BC277" s="110"/>
      <c r="BD277" s="242"/>
      <c r="BE277" s="1231"/>
      <c r="BF277" s="966"/>
      <c r="BG277" s="604"/>
      <c r="BH277" s="349"/>
      <c r="BI277" s="242"/>
      <c r="BJ277" s="1231"/>
      <c r="BK277" s="1344" t="s">
        <v>118</v>
      </c>
      <c r="BL277" s="600"/>
      <c r="BM277" s="145"/>
      <c r="BN277" s="110"/>
      <c r="BO277" s="242"/>
      <c r="BP277" s="1231"/>
      <c r="BQ277" s="1382"/>
      <c r="BR277" s="605"/>
      <c r="BS277" s="338"/>
      <c r="BT277" s="338"/>
      <c r="BU277" s="338"/>
      <c r="BV277" s="338"/>
      <c r="BW277" s="338"/>
      <c r="BX277" s="338"/>
      <c r="BY277" s="338"/>
      <c r="BZ277" s="338"/>
      <c r="CA277" s="606"/>
      <c r="CB277" s="606"/>
      <c r="CC277" s="606"/>
      <c r="CD277" s="606"/>
      <c r="CE277" s="606"/>
      <c r="CF277" s="606"/>
      <c r="CG277" s="606"/>
      <c r="CH277" s="606"/>
      <c r="CI277" s="606"/>
      <c r="CJ277" s="606"/>
      <c r="CK277" s="245"/>
      <c r="CL277" s="181"/>
      <c r="CM277" s="369"/>
      <c r="CN277" s="207"/>
      <c r="CO277" s="155" t="s">
        <v>122</v>
      </c>
      <c r="CP277" s="155"/>
      <c r="CQ277" s="131"/>
      <c r="CR277" s="823" t="s">
        <v>4600</v>
      </c>
      <c r="CS277" s="242"/>
      <c r="CT277" s="242"/>
      <c r="CU277" s="242"/>
      <c r="CV277" s="729"/>
      <c r="CW277" s="207"/>
      <c r="CX277" s="729"/>
      <c r="CY277" s="729"/>
      <c r="CZ277" s="729"/>
      <c r="DA277" s="729"/>
      <c r="DB277" s="729"/>
      <c r="DC277" s="729"/>
    </row>
    <row r="278" spans="1:115" ht="30" customHeight="1">
      <c r="A278" s="1359"/>
      <c r="B278" s="155"/>
      <c r="C278" s="155">
        <f t="shared" si="198"/>
        <v>31</v>
      </c>
      <c r="D278" s="757">
        <v>1</v>
      </c>
      <c r="E278" s="757"/>
      <c r="F278" s="757"/>
      <c r="G278" s="222" t="s">
        <v>400</v>
      </c>
      <c r="H278" s="672" t="s">
        <v>4601</v>
      </c>
      <c r="I278" s="294" t="s">
        <v>4602</v>
      </c>
      <c r="J278" s="207" t="str">
        <f t="shared" si="201"/>
        <v>Eleonora Saroni</v>
      </c>
      <c r="K278" s="1335"/>
      <c r="L278" s="305"/>
      <c r="M278" s="305"/>
      <c r="N278" s="131" t="str">
        <f t="shared" si="205"/>
        <v>Icona</v>
      </c>
      <c r="O278" s="1349"/>
      <c r="P278" s="353"/>
      <c r="Q278" s="359"/>
      <c r="R278" s="131"/>
      <c r="S278" s="131"/>
      <c r="T278" s="305"/>
      <c r="U278" s="305"/>
      <c r="V278" s="305"/>
      <c r="W278" s="361"/>
      <c r="X278" s="305"/>
      <c r="Y278" s="361"/>
      <c r="Z278" s="361"/>
      <c r="AA278" s="361"/>
      <c r="AB278" s="359"/>
      <c r="AC278" s="305"/>
      <c r="AD278" s="1335"/>
      <c r="AE278" s="354"/>
      <c r="AF278" s="515"/>
      <c r="AG278" s="516"/>
      <c r="AH278" s="516"/>
      <c r="AI278" s="516"/>
      <c r="AJ278" s="603"/>
      <c r="AK278" s="353"/>
      <c r="AL278" s="353"/>
      <c r="AM278" s="353"/>
      <c r="AN278" s="603"/>
      <c r="AO278" s="353"/>
      <c r="AP278" s="353"/>
      <c r="AQ278" s="353"/>
      <c r="AR278" s="515"/>
      <c r="AS278" s="350" t="s">
        <v>116</v>
      </c>
      <c r="AT278" s="259"/>
      <c r="AU278" s="259"/>
      <c r="AV278" s="568"/>
      <c r="AW278" s="121"/>
      <c r="AX278" s="121"/>
      <c r="AY278" s="121"/>
      <c r="AZ278" s="889"/>
      <c r="BA278" s="902"/>
      <c r="BB278" s="902"/>
      <c r="BC278" s="110"/>
      <c r="BD278" s="242"/>
      <c r="BE278" s="1231"/>
      <c r="BF278" s="966"/>
      <c r="BG278" s="604"/>
      <c r="BH278" s="349"/>
      <c r="BI278" s="242"/>
      <c r="BJ278" s="1231"/>
      <c r="BK278" s="529"/>
      <c r="BL278" s="600"/>
      <c r="BM278" s="145"/>
      <c r="BN278" s="110"/>
      <c r="BO278" s="242"/>
      <c r="BP278" s="1231"/>
      <c r="BQ278" s="1382"/>
      <c r="BR278" s="605"/>
      <c r="BS278" s="338"/>
      <c r="BT278" s="338"/>
      <c r="BU278" s="338"/>
      <c r="BV278" s="338"/>
      <c r="BW278" s="338"/>
      <c r="BX278" s="338"/>
      <c r="BY278" s="338"/>
      <c r="BZ278" s="338"/>
      <c r="CA278" s="606"/>
      <c r="CB278" s="606"/>
      <c r="CC278" s="606"/>
      <c r="CD278" s="606"/>
      <c r="CE278" s="606"/>
      <c r="CF278" s="606"/>
      <c r="CG278" s="606"/>
      <c r="CH278" s="606"/>
      <c r="CI278" s="606"/>
      <c r="CJ278" s="606"/>
      <c r="CK278" s="245"/>
      <c r="CL278" s="181"/>
      <c r="CM278" s="369"/>
      <c r="CN278" s="207"/>
      <c r="CO278" s="155" t="s">
        <v>122</v>
      </c>
      <c r="CP278" s="155"/>
      <c r="CQ278" s="131" t="s">
        <v>3956</v>
      </c>
      <c r="CR278" s="823" t="s">
        <v>3957</v>
      </c>
      <c r="CS278" s="242"/>
      <c r="CT278" s="242"/>
      <c r="CU278" s="242"/>
      <c r="CV278" s="729"/>
      <c r="CW278" s="207"/>
      <c r="CX278" s="729"/>
      <c r="CY278" s="729"/>
      <c r="CZ278" s="729"/>
      <c r="DA278" s="729"/>
      <c r="DB278" s="729"/>
      <c r="DC278" s="729"/>
    </row>
    <row r="279" spans="1:115" ht="30" customHeight="1">
      <c r="A279" s="1359"/>
      <c r="B279" s="155"/>
      <c r="C279" s="155">
        <f t="shared" si="198"/>
        <v>32</v>
      </c>
      <c r="D279" s="757">
        <v>1</v>
      </c>
      <c r="E279" s="757">
        <v>1</v>
      </c>
      <c r="F279" s="757">
        <v>1</v>
      </c>
      <c r="G279" s="222" t="s">
        <v>769</v>
      </c>
      <c r="H279" s="672" t="s">
        <v>2987</v>
      </c>
      <c r="I279" s="294" t="s">
        <v>4603</v>
      </c>
      <c r="J279" s="207" t="str">
        <f t="shared" si="201"/>
        <v>Paolo Rossi</v>
      </c>
      <c r="K279" s="1335"/>
      <c r="L279" s="305"/>
      <c r="M279" s="305"/>
      <c r="N279" s="131" t="str">
        <f t="shared" si="205"/>
        <v>Icona</v>
      </c>
      <c r="O279" s="1349"/>
      <c r="P279" s="353"/>
      <c r="Q279" s="359"/>
      <c r="R279" s="131"/>
      <c r="S279" s="131"/>
      <c r="T279" s="305"/>
      <c r="U279" s="305"/>
      <c r="V279" s="305"/>
      <c r="W279" s="361"/>
      <c r="X279" s="305"/>
      <c r="Y279" s="361"/>
      <c r="Z279" s="361"/>
      <c r="AA279" s="361"/>
      <c r="AB279" s="359"/>
      <c r="AC279" s="305"/>
      <c r="AD279" s="1335"/>
      <c r="AE279" s="354"/>
      <c r="AF279" s="515"/>
      <c r="AG279" s="516"/>
      <c r="AH279" s="516"/>
      <c r="AI279" s="516"/>
      <c r="AJ279" s="603"/>
      <c r="AK279" s="353"/>
      <c r="AL279" s="353"/>
      <c r="AM279" s="353"/>
      <c r="AN279" s="603"/>
      <c r="AO279" s="353"/>
      <c r="AP279" s="353"/>
      <c r="AQ279" s="353"/>
      <c r="AR279" s="515"/>
      <c r="AS279" s="259" t="s">
        <v>116</v>
      </c>
      <c r="AT279" s="1383" t="s">
        <v>116</v>
      </c>
      <c r="AU279" s="1383" t="s">
        <v>116</v>
      </c>
      <c r="AV279" s="568"/>
      <c r="AW279" s="121"/>
      <c r="AX279" s="121"/>
      <c r="AY279" s="121"/>
      <c r="AZ279" s="889"/>
      <c r="BA279" s="902"/>
      <c r="BB279" s="902"/>
      <c r="BC279" s="110"/>
      <c r="BD279" s="242"/>
      <c r="BE279" s="1231"/>
      <c r="BF279" s="966"/>
      <c r="BG279" s="604"/>
      <c r="BH279" s="349"/>
      <c r="BI279" s="242"/>
      <c r="BJ279" s="1231"/>
      <c r="BK279" s="1344" t="s">
        <v>118</v>
      </c>
      <c r="BL279" s="600"/>
      <c r="BM279" s="145"/>
      <c r="BN279" s="110"/>
      <c r="BO279" s="242"/>
      <c r="BP279" s="1231"/>
      <c r="BQ279" s="1382"/>
      <c r="BR279" s="605"/>
      <c r="BS279" s="338"/>
      <c r="BT279" s="338"/>
      <c r="BU279" s="338"/>
      <c r="BV279" s="338"/>
      <c r="BW279" s="338"/>
      <c r="BX279" s="338"/>
      <c r="BY279" s="338"/>
      <c r="BZ279" s="338"/>
      <c r="CA279" s="606"/>
      <c r="CB279" s="606"/>
      <c r="CC279" s="606"/>
      <c r="CD279" s="606"/>
      <c r="CE279" s="606"/>
      <c r="CF279" s="606"/>
      <c r="CG279" s="606"/>
      <c r="CH279" s="606"/>
      <c r="CI279" s="606"/>
      <c r="CJ279" s="606"/>
      <c r="CK279" s="245"/>
      <c r="CL279" s="181"/>
      <c r="CM279" s="369"/>
      <c r="CN279" s="207"/>
      <c r="CO279" s="155" t="s">
        <v>122</v>
      </c>
      <c r="CP279" s="155"/>
      <c r="CQ279" s="131" t="s">
        <v>3956</v>
      </c>
      <c r="CR279" s="823" t="s">
        <v>3957</v>
      </c>
      <c r="CS279" s="242"/>
      <c r="CT279" s="242"/>
      <c r="CU279" s="242"/>
      <c r="CV279" s="729"/>
      <c r="CW279" s="207"/>
      <c r="CX279" s="729"/>
      <c r="CY279" s="729"/>
      <c r="CZ279" s="729"/>
      <c r="DA279" s="729"/>
      <c r="DB279" s="729"/>
      <c r="DC279" s="729"/>
    </row>
    <row r="280" spans="1:115" ht="30" customHeight="1">
      <c r="A280" s="1359"/>
      <c r="B280" s="155"/>
      <c r="C280" s="155">
        <f t="shared" si="198"/>
        <v>33</v>
      </c>
      <c r="D280" s="757"/>
      <c r="E280" s="757"/>
      <c r="F280" s="757"/>
      <c r="G280" s="222" t="s">
        <v>1134</v>
      </c>
      <c r="H280" s="672" t="s">
        <v>4604</v>
      </c>
      <c r="I280" s="207" t="s">
        <v>4605</v>
      </c>
      <c r="J280" s="354" t="str">
        <f t="shared" si="201"/>
        <v>Massimo De Tommaso</v>
      </c>
      <c r="K280" s="1335">
        <v>3356653758</v>
      </c>
      <c r="L280" s="305"/>
      <c r="M280" s="305" t="s">
        <v>606</v>
      </c>
      <c r="N280" s="131" t="s">
        <v>4606</v>
      </c>
      <c r="O280" s="1349"/>
      <c r="P280" s="353"/>
      <c r="Q280" s="359"/>
      <c r="R280" s="131"/>
      <c r="S280" s="131"/>
      <c r="T280" s="305"/>
      <c r="U280" s="305"/>
      <c r="V280" s="305"/>
      <c r="W280" s="361"/>
      <c r="X280" s="305"/>
      <c r="Y280" s="361"/>
      <c r="Z280" s="361"/>
      <c r="AA280" s="361"/>
      <c r="AB280" s="359"/>
      <c r="AC280" s="305"/>
      <c r="AD280" s="1335"/>
      <c r="AE280" s="354"/>
      <c r="AF280" s="515"/>
      <c r="AG280" s="516"/>
      <c r="AH280" s="516"/>
      <c r="AI280" s="516"/>
      <c r="AJ280" s="603"/>
      <c r="AK280" s="353"/>
      <c r="AL280" s="353"/>
      <c r="AM280" s="353"/>
      <c r="AN280" s="603"/>
      <c r="AO280" s="353"/>
      <c r="AP280" s="353"/>
      <c r="AQ280" s="353"/>
      <c r="AR280" s="515"/>
      <c r="AS280" s="1383"/>
      <c r="AT280" s="1383"/>
      <c r="AU280" s="1383"/>
      <c r="AV280" s="568"/>
      <c r="AW280" s="121" t="s">
        <v>116</v>
      </c>
      <c r="AX280" s="121" t="s">
        <v>116</v>
      </c>
      <c r="AY280" s="121" t="s">
        <v>116</v>
      </c>
      <c r="AZ280" s="889"/>
      <c r="BA280" s="902"/>
      <c r="BB280" s="902"/>
      <c r="BC280" s="110"/>
      <c r="BD280" s="242"/>
      <c r="BE280" s="1231"/>
      <c r="BF280" s="966"/>
      <c r="BG280" s="604"/>
      <c r="BH280" s="349"/>
      <c r="BI280" s="242"/>
      <c r="BJ280" s="1231"/>
      <c r="BK280" s="529"/>
      <c r="BL280" s="600"/>
      <c r="BM280" s="145"/>
      <c r="BN280" s="110"/>
      <c r="BO280" s="242"/>
      <c r="BP280" s="1231"/>
      <c r="BQ280" s="1382"/>
      <c r="BR280" s="605"/>
      <c r="BS280" s="338"/>
      <c r="BT280" s="338"/>
      <c r="BU280" s="338"/>
      <c r="BV280" s="338"/>
      <c r="BW280" s="338"/>
      <c r="BX280" s="338"/>
      <c r="BY280" s="338"/>
      <c r="BZ280" s="338"/>
      <c r="CA280" s="606"/>
      <c r="CB280" s="606"/>
      <c r="CC280" s="606"/>
      <c r="CD280" s="606"/>
      <c r="CE280" s="606"/>
      <c r="CF280" s="606"/>
      <c r="CG280" s="606"/>
      <c r="CH280" s="606"/>
      <c r="CI280" s="606"/>
      <c r="CJ280" s="606"/>
      <c r="CK280" s="245"/>
      <c r="CL280" s="181"/>
      <c r="CM280" s="369"/>
      <c r="CN280" s="207"/>
      <c r="CO280" s="207"/>
      <c r="CP280" s="155"/>
      <c r="CQ280" s="131" t="s">
        <v>778</v>
      </c>
      <c r="CR280" s="823" t="s">
        <v>4606</v>
      </c>
      <c r="CS280" s="242"/>
      <c r="CT280" s="242"/>
      <c r="CU280" s="242"/>
      <c r="CV280" s="729"/>
      <c r="CW280" s="207"/>
      <c r="CX280" s="729"/>
      <c r="CY280" s="729"/>
      <c r="CZ280" s="729"/>
      <c r="DA280" s="729"/>
      <c r="DB280" s="729"/>
      <c r="DC280" s="729"/>
    </row>
    <row r="281" spans="1:115" ht="30" customHeight="1">
      <c r="A281" s="1359"/>
      <c r="B281" s="155"/>
      <c r="C281" s="155">
        <f t="shared" si="198"/>
        <v>34</v>
      </c>
      <c r="D281" s="757">
        <v>1</v>
      </c>
      <c r="E281" s="757"/>
      <c r="F281" s="757">
        <v>1</v>
      </c>
      <c r="G281" s="222" t="s">
        <v>3844</v>
      </c>
      <c r="H281" s="672" t="s">
        <v>4607</v>
      </c>
      <c r="I281" s="294" t="s">
        <v>4608</v>
      </c>
      <c r="J281" s="354" t="str">
        <f t="shared" si="201"/>
        <v>Dario Marchetti</v>
      </c>
      <c r="K281" s="1335"/>
      <c r="L281" s="305"/>
      <c r="M281" s="305"/>
      <c r="N281" s="131" t="str">
        <f t="shared" ref="N281:N303" si="206">CR281</f>
        <v>Algo</v>
      </c>
      <c r="O281" s="1349"/>
      <c r="P281" s="353"/>
      <c r="Q281" s="359"/>
      <c r="R281" s="131"/>
      <c r="S281" s="131"/>
      <c r="T281" s="305"/>
      <c r="U281" s="305"/>
      <c r="V281" s="305"/>
      <c r="W281" s="361"/>
      <c r="X281" s="305"/>
      <c r="Y281" s="361"/>
      <c r="Z281" s="361"/>
      <c r="AA281" s="361"/>
      <c r="AB281" s="359"/>
      <c r="AC281" s="305"/>
      <c r="AD281" s="1335"/>
      <c r="AE281" s="354"/>
      <c r="AF281" s="515"/>
      <c r="AG281" s="516"/>
      <c r="AH281" s="516"/>
      <c r="AI281" s="516"/>
      <c r="AJ281" s="603"/>
      <c r="AK281" s="353"/>
      <c r="AL281" s="353"/>
      <c r="AM281" s="353"/>
      <c r="AN281" s="603"/>
      <c r="AO281" s="353"/>
      <c r="AP281" s="353"/>
      <c r="AQ281" s="353"/>
      <c r="AR281" s="515"/>
      <c r="AS281" s="259" t="s">
        <v>116</v>
      </c>
      <c r="AT281" s="395" t="s">
        <v>297</v>
      </c>
      <c r="AU281" s="1383" t="s">
        <v>116</v>
      </c>
      <c r="AV281" s="568"/>
      <c r="AW281" s="121"/>
      <c r="AX281" s="121"/>
      <c r="AY281" s="121"/>
      <c r="AZ281" s="889"/>
      <c r="BA281" s="902"/>
      <c r="BB281" s="902"/>
      <c r="BC281" s="110"/>
      <c r="BD281" s="242"/>
      <c r="BE281" s="1231"/>
      <c r="BF281" s="966"/>
      <c r="BG281" s="604"/>
      <c r="BH281" s="349"/>
      <c r="BI281" s="242"/>
      <c r="BJ281" s="1231"/>
      <c r="BK281" s="529"/>
      <c r="BL281" s="600"/>
      <c r="BM281" s="145"/>
      <c r="BN281" s="110"/>
      <c r="BO281" s="242"/>
      <c r="BP281" s="1231"/>
      <c r="BQ281" s="1382"/>
      <c r="BR281" s="605"/>
      <c r="BS281" s="338"/>
      <c r="BT281" s="338"/>
      <c r="BU281" s="338"/>
      <c r="BV281" s="338"/>
      <c r="BW281" s="338"/>
      <c r="BX281" s="338"/>
      <c r="BY281" s="338"/>
      <c r="BZ281" s="338"/>
      <c r="CA281" s="606"/>
      <c r="CB281" s="606"/>
      <c r="CC281" s="606"/>
      <c r="CD281" s="606"/>
      <c r="CE281" s="606"/>
      <c r="CF281" s="606"/>
      <c r="CG281" s="606"/>
      <c r="CH281" s="606"/>
      <c r="CI281" s="606"/>
      <c r="CJ281" s="606"/>
      <c r="CK281" s="245"/>
      <c r="CL281" s="181"/>
      <c r="CM281" s="369"/>
      <c r="CN281" s="207"/>
      <c r="CO281" s="155" t="s">
        <v>122</v>
      </c>
      <c r="CP281" s="155"/>
      <c r="CQ281" s="131" t="s">
        <v>4609</v>
      </c>
      <c r="CR281" s="823" t="s">
        <v>4610</v>
      </c>
      <c r="CS281" s="242"/>
      <c r="CT281" s="242"/>
      <c r="CU281" s="242"/>
      <c r="CV281" s="729"/>
      <c r="CW281" s="207"/>
      <c r="CX281" s="729"/>
      <c r="CY281" s="729"/>
      <c r="CZ281" s="729"/>
      <c r="DA281" s="729"/>
      <c r="DB281" s="729"/>
      <c r="DC281" s="729"/>
    </row>
    <row r="282" spans="1:115" ht="30" customHeight="1">
      <c r="A282" s="1359"/>
      <c r="B282" s="155"/>
      <c r="C282" s="155">
        <f t="shared" si="198"/>
        <v>35</v>
      </c>
      <c r="D282" s="757">
        <v>1</v>
      </c>
      <c r="E282" s="757"/>
      <c r="F282" s="757">
        <v>1</v>
      </c>
      <c r="G282" s="222" t="s">
        <v>4611</v>
      </c>
      <c r="H282" s="672" t="s">
        <v>4612</v>
      </c>
      <c r="I282" s="207" t="s">
        <v>4613</v>
      </c>
      <c r="J282" s="354" t="str">
        <f t="shared" si="201"/>
        <v>Lorena Zandonà</v>
      </c>
      <c r="K282" s="1335"/>
      <c r="L282" s="305"/>
      <c r="M282" s="305"/>
      <c r="N282" s="131" t="str">
        <f t="shared" si="206"/>
        <v>Algo</v>
      </c>
      <c r="O282" s="1349"/>
      <c r="P282" s="353"/>
      <c r="Q282" s="359"/>
      <c r="R282" s="131"/>
      <c r="S282" s="131"/>
      <c r="T282" s="305"/>
      <c r="U282" s="305"/>
      <c r="V282" s="305"/>
      <c r="W282" s="361"/>
      <c r="X282" s="305"/>
      <c r="Y282" s="361"/>
      <c r="Z282" s="361"/>
      <c r="AA282" s="361"/>
      <c r="AB282" s="359"/>
      <c r="AC282" s="305"/>
      <c r="AD282" s="1335"/>
      <c r="AE282" s="354"/>
      <c r="AF282" s="515"/>
      <c r="AG282" s="516"/>
      <c r="AH282" s="516"/>
      <c r="AI282" s="516"/>
      <c r="AJ282" s="603"/>
      <c r="AK282" s="353"/>
      <c r="AL282" s="353"/>
      <c r="AM282" s="353"/>
      <c r="AN282" s="603"/>
      <c r="AO282" s="353"/>
      <c r="AP282" s="353"/>
      <c r="AQ282" s="353"/>
      <c r="AR282" s="515"/>
      <c r="AS282" s="259" t="s">
        <v>116</v>
      </c>
      <c r="AT282" s="395" t="s">
        <v>297</v>
      </c>
      <c r="AU282" s="1383" t="s">
        <v>116</v>
      </c>
      <c r="AV282" s="568"/>
      <c r="AW282" s="121"/>
      <c r="AX282" s="121"/>
      <c r="AY282" s="121"/>
      <c r="AZ282" s="889"/>
      <c r="BA282" s="902"/>
      <c r="BB282" s="902"/>
      <c r="BC282" s="110"/>
      <c r="BD282" s="242"/>
      <c r="BE282" s="1231"/>
      <c r="BF282" s="966"/>
      <c r="BG282" s="604"/>
      <c r="BH282" s="349"/>
      <c r="BI282" s="242"/>
      <c r="BJ282" s="1231"/>
      <c r="BK282" s="529"/>
      <c r="BL282" s="600"/>
      <c r="BM282" s="145"/>
      <c r="BN282" s="110"/>
      <c r="BO282" s="242"/>
      <c r="BP282" s="1231"/>
      <c r="BQ282" s="1382"/>
      <c r="BR282" s="605"/>
      <c r="BS282" s="338"/>
      <c r="BT282" s="338"/>
      <c r="BU282" s="338"/>
      <c r="BV282" s="338"/>
      <c r="BW282" s="338"/>
      <c r="BX282" s="338"/>
      <c r="BY282" s="338"/>
      <c r="BZ282" s="338"/>
      <c r="CA282" s="606"/>
      <c r="CB282" s="606"/>
      <c r="CC282" s="606"/>
      <c r="CD282" s="606"/>
      <c r="CE282" s="606"/>
      <c r="CF282" s="606"/>
      <c r="CG282" s="606"/>
      <c r="CH282" s="606"/>
      <c r="CI282" s="606"/>
      <c r="CJ282" s="606"/>
      <c r="CK282" s="245"/>
      <c r="CL282" s="181"/>
      <c r="CM282" s="369"/>
      <c r="CN282" s="207"/>
      <c r="CO282" s="155" t="s">
        <v>122</v>
      </c>
      <c r="CP282" s="155"/>
      <c r="CQ282" s="131" t="s">
        <v>4609</v>
      </c>
      <c r="CR282" s="823" t="s">
        <v>4610</v>
      </c>
      <c r="CS282" s="242"/>
      <c r="CT282" s="242"/>
      <c r="CU282" s="242"/>
      <c r="CV282" s="729"/>
      <c r="CW282" s="207"/>
      <c r="CX282" s="729"/>
      <c r="CY282" s="729"/>
      <c r="CZ282" s="729"/>
      <c r="DA282" s="729"/>
      <c r="DB282" s="729"/>
      <c r="DC282" s="729"/>
    </row>
    <row r="283" spans="1:115" ht="30" customHeight="1">
      <c r="A283" s="1359"/>
      <c r="B283" s="155"/>
      <c r="C283" s="155">
        <f t="shared" si="198"/>
        <v>36</v>
      </c>
      <c r="D283" s="757"/>
      <c r="E283" s="757">
        <v>1</v>
      </c>
      <c r="F283" s="757">
        <v>1</v>
      </c>
      <c r="G283" s="222" t="s">
        <v>2464</v>
      </c>
      <c r="H283" s="672" t="s">
        <v>2465</v>
      </c>
      <c r="I283" s="294" t="s">
        <v>2466</v>
      </c>
      <c r="J283" s="354" t="str">
        <f t="shared" si="201"/>
        <v>Marilena Riello</v>
      </c>
      <c r="K283" s="1335"/>
      <c r="L283" s="305"/>
      <c r="M283" s="305"/>
      <c r="N283" s="131" t="str">
        <f t="shared" si="206"/>
        <v>Studio Riello Comm. Associati</v>
      </c>
      <c r="O283" s="1349"/>
      <c r="P283" s="353"/>
      <c r="Q283" s="359"/>
      <c r="R283" s="131"/>
      <c r="S283" s="131"/>
      <c r="T283" s="305"/>
      <c r="U283" s="305"/>
      <c r="V283" s="305"/>
      <c r="W283" s="361"/>
      <c r="X283" s="305"/>
      <c r="Y283" s="361"/>
      <c r="Z283" s="361"/>
      <c r="AA283" s="361"/>
      <c r="AB283" s="359"/>
      <c r="AC283" s="305"/>
      <c r="AD283" s="1335"/>
      <c r="AE283" s="354"/>
      <c r="AF283" s="515"/>
      <c r="AG283" s="516"/>
      <c r="AH283" s="516"/>
      <c r="AI283" s="516"/>
      <c r="AJ283" s="603"/>
      <c r="AK283" s="353"/>
      <c r="AL283" s="353"/>
      <c r="AM283" s="353"/>
      <c r="AN283" s="603"/>
      <c r="AO283" s="353"/>
      <c r="AP283" s="353"/>
      <c r="AQ283" s="353"/>
      <c r="AR283" s="515"/>
      <c r="AS283" s="259"/>
      <c r="AT283" s="350" t="s">
        <v>116</v>
      </c>
      <c r="AU283" s="1383" t="s">
        <v>116</v>
      </c>
      <c r="AV283" s="568"/>
      <c r="AW283" s="121"/>
      <c r="AX283" s="121"/>
      <c r="AY283" s="121"/>
      <c r="AZ283" s="889"/>
      <c r="BA283" s="902"/>
      <c r="BB283" s="902"/>
      <c r="BC283" s="110"/>
      <c r="BD283" s="242"/>
      <c r="BE283" s="1231"/>
      <c r="BF283" s="966"/>
      <c r="BG283" s="604"/>
      <c r="BH283" s="349"/>
      <c r="BI283" s="242"/>
      <c r="BJ283" s="1231"/>
      <c r="BK283" s="1344" t="s">
        <v>118</v>
      </c>
      <c r="BL283" s="600"/>
      <c r="BM283" s="145"/>
      <c r="BN283" s="110"/>
      <c r="BO283" s="242"/>
      <c r="BP283" s="1231"/>
      <c r="BQ283" s="1382"/>
      <c r="BR283" s="605"/>
      <c r="BS283" s="338"/>
      <c r="BT283" s="338"/>
      <c r="BU283" s="338"/>
      <c r="BV283" s="338"/>
      <c r="BW283" s="338"/>
      <c r="BX283" s="338"/>
      <c r="BY283" s="338"/>
      <c r="BZ283" s="338"/>
      <c r="CA283" s="606"/>
      <c r="CB283" s="606"/>
      <c r="CC283" s="606"/>
      <c r="CD283" s="606"/>
      <c r="CE283" s="606"/>
      <c r="CF283" s="606"/>
      <c r="CG283" s="606"/>
      <c r="CH283" s="606"/>
      <c r="CI283" s="606"/>
      <c r="CJ283" s="606"/>
      <c r="CK283" s="245"/>
      <c r="CL283" s="181"/>
      <c r="CM283" s="369"/>
      <c r="CN283" s="207"/>
      <c r="CO283" s="155"/>
      <c r="CP283" s="155"/>
      <c r="CQ283" s="131" t="s">
        <v>1055</v>
      </c>
      <c r="CR283" s="131" t="s">
        <v>3843</v>
      </c>
      <c r="CS283" s="242"/>
      <c r="CT283" s="242"/>
      <c r="CU283" s="242"/>
      <c r="CV283" s="729"/>
      <c r="CW283" s="207"/>
      <c r="CX283" s="729"/>
      <c r="CY283" s="729"/>
      <c r="CZ283" s="729"/>
      <c r="DA283" s="729"/>
      <c r="DB283" s="729"/>
      <c r="DC283" s="729"/>
    </row>
    <row r="284" spans="1:115" ht="30" customHeight="1">
      <c r="A284" s="1359"/>
      <c r="B284" s="155"/>
      <c r="C284" s="155">
        <f t="shared" si="198"/>
        <v>37</v>
      </c>
      <c r="D284" s="757">
        <v>1</v>
      </c>
      <c r="E284" s="757">
        <v>1</v>
      </c>
      <c r="F284" s="757">
        <v>1</v>
      </c>
      <c r="G284" s="222" t="s">
        <v>2191</v>
      </c>
      <c r="H284" s="672" t="s">
        <v>4614</v>
      </c>
      <c r="I284" s="294" t="s">
        <v>4615</v>
      </c>
      <c r="J284" s="354" t="str">
        <f t="shared" si="201"/>
        <v>Walter Morelli</v>
      </c>
      <c r="K284" s="1335"/>
      <c r="L284" s="305"/>
      <c r="M284" s="305"/>
      <c r="N284" s="131" t="str">
        <f t="shared" si="206"/>
        <v>Morelli Walter</v>
      </c>
      <c r="O284" s="1349"/>
      <c r="P284" s="353"/>
      <c r="Q284" s="359"/>
      <c r="R284" s="131"/>
      <c r="S284" s="131"/>
      <c r="T284" s="305"/>
      <c r="U284" s="305"/>
      <c r="V284" s="305"/>
      <c r="W284" s="361"/>
      <c r="X284" s="305"/>
      <c r="Y284" s="361"/>
      <c r="Z284" s="361"/>
      <c r="AA284" s="361"/>
      <c r="AB284" s="359"/>
      <c r="AC284" s="305"/>
      <c r="AD284" s="1335"/>
      <c r="AE284" s="354"/>
      <c r="AF284" s="515"/>
      <c r="AG284" s="516"/>
      <c r="AH284" s="516"/>
      <c r="AI284" s="516"/>
      <c r="AJ284" s="603"/>
      <c r="AK284" s="353"/>
      <c r="AL284" s="353"/>
      <c r="AM284" s="353"/>
      <c r="AN284" s="603"/>
      <c r="AO284" s="353"/>
      <c r="AP284" s="353"/>
      <c r="AQ284" s="353"/>
      <c r="AR284" s="515"/>
      <c r="AS284" s="350" t="s">
        <v>116</v>
      </c>
      <c r="AT284" s="259" t="s">
        <v>116</v>
      </c>
      <c r="AU284" s="1383" t="s">
        <v>116</v>
      </c>
      <c r="AV284" s="568"/>
      <c r="AW284" s="121"/>
      <c r="AX284" s="121"/>
      <c r="AY284" s="121"/>
      <c r="AZ284" s="889"/>
      <c r="BA284" s="902"/>
      <c r="BB284" s="902"/>
      <c r="BC284" s="110"/>
      <c r="BD284" s="242"/>
      <c r="BE284" s="1231"/>
      <c r="BF284" s="966"/>
      <c r="BG284" s="604"/>
      <c r="BH284" s="349"/>
      <c r="BI284" s="242"/>
      <c r="BJ284" s="1231"/>
      <c r="BK284" s="1344" t="s">
        <v>118</v>
      </c>
      <c r="BL284" s="600"/>
      <c r="BM284" s="145"/>
      <c r="BN284" s="110"/>
      <c r="BO284" s="242"/>
      <c r="BP284" s="1231"/>
      <c r="BQ284" s="1382"/>
      <c r="BR284" s="605"/>
      <c r="BS284" s="338"/>
      <c r="BT284" s="338"/>
      <c r="BU284" s="338"/>
      <c r="BV284" s="338"/>
      <c r="BW284" s="338"/>
      <c r="BX284" s="338"/>
      <c r="BY284" s="338"/>
      <c r="BZ284" s="338"/>
      <c r="CA284" s="606"/>
      <c r="CB284" s="606"/>
      <c r="CC284" s="606"/>
      <c r="CD284" s="606"/>
      <c r="CE284" s="606"/>
      <c r="CF284" s="606"/>
      <c r="CG284" s="606"/>
      <c r="CH284" s="606"/>
      <c r="CI284" s="606"/>
      <c r="CJ284" s="606"/>
      <c r="CK284" s="245"/>
      <c r="CL284" s="181"/>
      <c r="CM284" s="369"/>
      <c r="CN284" s="207"/>
      <c r="CO284" s="155" t="s">
        <v>122</v>
      </c>
      <c r="CP284" s="155"/>
      <c r="CQ284" s="131" t="s">
        <v>4031</v>
      </c>
      <c r="CR284" s="131" t="s">
        <v>4616</v>
      </c>
      <c r="CS284" s="242"/>
      <c r="CT284" s="242"/>
      <c r="CU284" s="242"/>
      <c r="CV284" s="729"/>
      <c r="CW284" s="155">
        <v>1</v>
      </c>
      <c r="CX284" s="729"/>
      <c r="CY284" s="729"/>
      <c r="CZ284" s="729"/>
      <c r="DA284" s="729"/>
      <c r="DB284" s="729"/>
      <c r="DC284" s="729"/>
    </row>
    <row r="285" spans="1:115" ht="30" customHeight="1">
      <c r="A285" s="1359"/>
      <c r="B285" s="155"/>
      <c r="C285" s="155">
        <f t="shared" si="198"/>
        <v>38</v>
      </c>
      <c r="D285" s="757"/>
      <c r="E285" s="757">
        <v>1</v>
      </c>
      <c r="F285" s="757">
        <v>1</v>
      </c>
      <c r="G285" s="840" t="s">
        <v>135</v>
      </c>
      <c r="H285" s="621" t="s">
        <v>4617</v>
      </c>
      <c r="I285" s="207" t="s">
        <v>4618</v>
      </c>
      <c r="J285" s="207" t="str">
        <f t="shared" si="201"/>
        <v>Alessandro Tomasini</v>
      </c>
      <c r="K285" s="224">
        <v>335214123</v>
      </c>
      <c r="L285" s="131"/>
      <c r="M285" s="289"/>
      <c r="N285" s="131" t="str">
        <f t="shared" si="206"/>
        <v>Sos Informatica</v>
      </c>
      <c r="O285" s="1277"/>
      <c r="P285" s="564" t="s">
        <v>4619</v>
      </c>
      <c r="Q285" s="564" t="s">
        <v>4619</v>
      </c>
      <c r="R285" s="289" t="s">
        <v>4620</v>
      </c>
      <c r="S285" s="131" t="s">
        <v>4621</v>
      </c>
      <c r="T285" s="131"/>
      <c r="U285" s="131"/>
      <c r="V285" s="131"/>
      <c r="W285" s="258"/>
      <c r="X285" s="131" t="s">
        <v>4618</v>
      </c>
      <c r="Y285" s="258"/>
      <c r="Z285" s="258"/>
      <c r="AA285" s="258"/>
      <c r="AB285" s="255" t="s">
        <v>3266</v>
      </c>
      <c r="AC285" s="131"/>
      <c r="AD285" s="1363"/>
      <c r="AE285" s="207" t="s">
        <v>4622</v>
      </c>
      <c r="AF285" s="515"/>
      <c r="AG285" s="516" t="s">
        <v>115</v>
      </c>
      <c r="AH285" s="516" t="s">
        <v>115</v>
      </c>
      <c r="AI285" s="516" t="s">
        <v>115</v>
      </c>
      <c r="AJ285" s="515"/>
      <c r="AK285" s="155"/>
      <c r="AL285" s="155"/>
      <c r="AM285" s="155"/>
      <c r="AN285" s="515"/>
      <c r="AO285" s="155"/>
      <c r="AP285" s="155"/>
      <c r="AQ285" s="155" t="s">
        <v>27</v>
      </c>
      <c r="AR285" s="515"/>
      <c r="AS285" s="121"/>
      <c r="AT285" s="350" t="s">
        <v>116</v>
      </c>
      <c r="AU285" s="350" t="s">
        <v>116</v>
      </c>
      <c r="AV285" s="568"/>
      <c r="AW285" s="121"/>
      <c r="AX285" s="121"/>
      <c r="AY285" s="121"/>
      <c r="AZ285" s="889"/>
      <c r="BA285" s="902"/>
      <c r="BB285" s="902"/>
      <c r="BC285" s="110"/>
      <c r="BD285" s="242"/>
      <c r="BE285" s="1231"/>
      <c r="BF285" s="529" t="s">
        <v>4623</v>
      </c>
      <c r="BG285" s="145">
        <v>0</v>
      </c>
      <c r="BH285" s="110"/>
      <c r="BI285" s="242"/>
      <c r="BJ285" s="1231"/>
      <c r="BK285" s="244" t="s">
        <v>118</v>
      </c>
      <c r="BL285" s="529" t="s">
        <v>152</v>
      </c>
      <c r="BM285" s="145"/>
      <c r="BN285" s="110"/>
      <c r="BO285" s="242"/>
      <c r="BP285" s="1231"/>
      <c r="BQ285" s="277"/>
      <c r="BR285" s="301"/>
      <c r="BS285" s="206"/>
      <c r="BT285" s="301"/>
      <c r="BU285" s="206"/>
      <c r="BV285" s="206"/>
      <c r="BW285" s="206"/>
      <c r="BX285" s="206"/>
      <c r="BY285" s="206"/>
      <c r="BZ285" s="206"/>
      <c r="CA285" s="206"/>
      <c r="CB285" s="778"/>
      <c r="CC285" s="263"/>
      <c r="CD285" s="263"/>
      <c r="CE285" s="263"/>
      <c r="CF285" s="263"/>
      <c r="CG285" s="263"/>
      <c r="CH285" s="263"/>
      <c r="CI285" s="263"/>
      <c r="CJ285" s="263"/>
      <c r="CK285" s="245" t="s">
        <v>2612</v>
      </c>
      <c r="CL285" s="181" t="s">
        <v>2311</v>
      </c>
      <c r="CM285" s="369"/>
      <c r="CN285" s="181"/>
      <c r="CO285" s="181"/>
      <c r="CP285" s="121"/>
      <c r="CQ285" s="1384" t="s">
        <v>4624</v>
      </c>
      <c r="CR285" s="289" t="s">
        <v>4625</v>
      </c>
      <c r="CS285" s="242"/>
      <c r="CT285" s="242"/>
      <c r="CU285" s="242"/>
      <c r="CV285" s="779"/>
      <c r="CW285" s="779"/>
      <c r="CX285" s="779"/>
      <c r="CY285" s="729"/>
      <c r="CZ285" s="729"/>
      <c r="DA285" s="729"/>
      <c r="DB285" s="729"/>
      <c r="DC285" s="729"/>
    </row>
    <row r="286" spans="1:115" ht="30" customHeight="1">
      <c r="A286" s="1359"/>
      <c r="B286" s="155"/>
      <c r="C286" s="155">
        <f t="shared" si="198"/>
        <v>39</v>
      </c>
      <c r="D286" s="757"/>
      <c r="E286" s="757"/>
      <c r="F286" s="757"/>
      <c r="G286" s="840" t="s">
        <v>693</v>
      </c>
      <c r="H286" s="621" t="s">
        <v>2478</v>
      </c>
      <c r="I286" s="207" t="s">
        <v>4626</v>
      </c>
      <c r="J286" s="207" t="str">
        <f t="shared" si="201"/>
        <v>Silvia Sardena</v>
      </c>
      <c r="K286" s="224"/>
      <c r="L286" s="131"/>
      <c r="M286" s="131"/>
      <c r="N286" s="131" t="str">
        <f t="shared" si="206"/>
        <v>Tonucci &amp; Partners</v>
      </c>
      <c r="O286" s="1277"/>
      <c r="P286" s="155"/>
      <c r="Q286" s="255"/>
      <c r="R286" s="131"/>
      <c r="S286" s="131"/>
      <c r="T286" s="131"/>
      <c r="U286" s="131"/>
      <c r="V286" s="131"/>
      <c r="W286" s="258"/>
      <c r="X286" s="131"/>
      <c r="Y286" s="258"/>
      <c r="Z286" s="258"/>
      <c r="AA286" s="258"/>
      <c r="AB286" s="255"/>
      <c r="AC286" s="131"/>
      <c r="AD286" s="224"/>
      <c r="AE286" s="207"/>
      <c r="AF286" s="515"/>
      <c r="AG286" s="516"/>
      <c r="AH286" s="516"/>
      <c r="AI286" s="516"/>
      <c r="AJ286" s="515"/>
      <c r="AK286" s="155"/>
      <c r="AL286" s="155"/>
      <c r="AM286" s="155"/>
      <c r="AN286" s="515"/>
      <c r="AO286" s="155"/>
      <c r="AP286" s="155"/>
      <c r="AQ286" s="155"/>
      <c r="AR286" s="515"/>
      <c r="AS286" s="121"/>
      <c r="AT286" s="395" t="s">
        <v>297</v>
      </c>
      <c r="AU286" s="395" t="s">
        <v>297</v>
      </c>
      <c r="AV286" s="568"/>
      <c r="AW286" s="121"/>
      <c r="AX286" s="259"/>
      <c r="AY286" s="259"/>
      <c r="AZ286" s="889"/>
      <c r="BA286" s="902"/>
      <c r="BB286" s="902"/>
      <c r="BC286" s="110"/>
      <c r="BD286" s="242"/>
      <c r="BE286" s="1231"/>
      <c r="BF286" s="529"/>
      <c r="BG286" s="145"/>
      <c r="BH286" s="110"/>
      <c r="BI286" s="242"/>
      <c r="BJ286" s="1231"/>
      <c r="BK286" s="529"/>
      <c r="BL286" s="529"/>
      <c r="BM286" s="145"/>
      <c r="BN286" s="110"/>
      <c r="BO286" s="242"/>
      <c r="BP286" s="1227"/>
      <c r="BQ286" s="1385"/>
      <c r="BR286" s="338"/>
      <c r="BS286" s="338"/>
      <c r="BT286" s="338"/>
      <c r="BU286" s="338"/>
      <c r="BV286" s="338"/>
      <c r="BW286" s="338"/>
      <c r="BX286" s="338"/>
      <c r="BY286" s="338"/>
      <c r="BZ286" s="338"/>
      <c r="CA286" s="338"/>
      <c r="CB286" s="605"/>
      <c r="CC286" s="338"/>
      <c r="CD286" s="338"/>
      <c r="CE286" s="338"/>
      <c r="CF286" s="338"/>
      <c r="CG286" s="338"/>
      <c r="CH286" s="338"/>
      <c r="CI286" s="338"/>
      <c r="CJ286" s="338"/>
      <c r="CK286" s="245"/>
      <c r="CL286" s="181"/>
      <c r="CM286" s="369"/>
      <c r="CN286" s="207"/>
      <c r="CO286" s="155"/>
      <c r="CP286" s="155"/>
      <c r="CQ286" s="131" t="s">
        <v>707</v>
      </c>
      <c r="CR286" s="131" t="s">
        <v>4627</v>
      </c>
      <c r="CS286" s="242"/>
      <c r="CT286" s="242"/>
      <c r="CU286" s="242"/>
      <c r="CV286" s="729"/>
      <c r="CW286" s="729"/>
      <c r="CX286" s="729"/>
      <c r="CY286" s="729"/>
      <c r="CZ286" s="729"/>
      <c r="DA286" s="729"/>
      <c r="DB286" s="729"/>
      <c r="DC286" s="729"/>
    </row>
    <row r="287" spans="1:115" ht="30" customHeight="1">
      <c r="A287" s="228"/>
      <c r="B287" s="155"/>
      <c r="C287" s="155">
        <v>1</v>
      </c>
      <c r="D287" s="757"/>
      <c r="E287" s="757"/>
      <c r="F287" s="757"/>
      <c r="G287" s="369" t="s">
        <v>1733</v>
      </c>
      <c r="H287" s="672" t="s">
        <v>2279</v>
      </c>
      <c r="I287" s="207" t="s">
        <v>2280</v>
      </c>
      <c r="J287" s="207" t="str">
        <f t="shared" si="201"/>
        <v>Elisabetta Sartorato</v>
      </c>
      <c r="K287" s="224">
        <v>3383494173</v>
      </c>
      <c r="L287" s="131"/>
      <c r="M287" s="131"/>
      <c r="N287" s="131" t="str">
        <f t="shared" si="206"/>
        <v>Maglieria Marchioro</v>
      </c>
      <c r="O287" s="1277"/>
      <c r="P287" s="155"/>
      <c r="Q287" s="255"/>
      <c r="R287" s="131"/>
      <c r="S287" s="131"/>
      <c r="T287" s="131"/>
      <c r="U287" s="131"/>
      <c r="V287" s="131"/>
      <c r="W287" s="258"/>
      <c r="X287" s="131"/>
      <c r="Y287" s="258"/>
      <c r="Z287" s="258"/>
      <c r="AA287" s="258"/>
      <c r="AB287" s="255"/>
      <c r="AC287" s="131"/>
      <c r="AD287" s="224"/>
      <c r="AE287" s="207"/>
      <c r="AF287" s="515"/>
      <c r="AG287" s="516" t="s">
        <v>115</v>
      </c>
      <c r="AH287" s="516"/>
      <c r="AI287" s="516"/>
      <c r="AJ287" s="515"/>
      <c r="AK287" s="155"/>
      <c r="AL287" s="155"/>
      <c r="AM287" s="155"/>
      <c r="AN287" s="515"/>
      <c r="AO287" s="155"/>
      <c r="AP287" s="155"/>
      <c r="AQ287" s="155"/>
      <c r="AR287" s="515"/>
      <c r="AS287" s="121"/>
      <c r="AT287" s="121"/>
      <c r="AU287" s="121"/>
      <c r="AV287" s="568"/>
      <c r="AW287" s="121"/>
      <c r="AX287" s="259" t="s">
        <v>27</v>
      </c>
      <c r="AY287" s="259" t="s">
        <v>27</v>
      </c>
      <c r="AZ287" s="889"/>
      <c r="BA287" s="902"/>
      <c r="BB287" s="902"/>
      <c r="BC287" s="110"/>
      <c r="BD287" s="242"/>
      <c r="BE287" s="1231"/>
      <c r="BF287" s="529"/>
      <c r="BG287" s="145"/>
      <c r="BH287" s="110"/>
      <c r="BI287" s="242"/>
      <c r="BJ287" s="1231"/>
      <c r="BK287" s="529"/>
      <c r="BL287" s="529"/>
      <c r="BM287" s="145"/>
      <c r="BN287" s="110"/>
      <c r="BO287" s="242"/>
      <c r="BP287" s="1231"/>
      <c r="BQ287" s="665"/>
      <c r="BR287" s="338"/>
      <c r="BS287" s="338"/>
      <c r="BT287" s="338"/>
      <c r="BU287" s="338"/>
      <c r="BV287" s="338"/>
      <c r="BW287" s="338"/>
      <c r="BX287" s="338"/>
      <c r="BY287" s="338"/>
      <c r="BZ287" s="338"/>
      <c r="CA287" s="338"/>
      <c r="CB287" s="338"/>
      <c r="CC287" s="338"/>
      <c r="CD287" s="338"/>
      <c r="CE287" s="338"/>
      <c r="CF287" s="338"/>
      <c r="CG287" s="338"/>
      <c r="CH287" s="338"/>
      <c r="CI287" s="338"/>
      <c r="CJ287" s="338"/>
      <c r="CK287" s="245"/>
      <c r="CL287" s="181"/>
      <c r="CM287" s="369"/>
      <c r="CN287" s="207"/>
      <c r="CO287" s="207"/>
      <c r="CP287" s="155"/>
      <c r="CQ287" s="131"/>
      <c r="CR287" s="131" t="s">
        <v>2281</v>
      </c>
      <c r="CS287" s="242"/>
      <c r="CT287" s="242"/>
      <c r="CU287" s="242"/>
      <c r="CV287" s="729"/>
      <c r="CW287" s="729"/>
      <c r="CX287" s="729"/>
      <c r="CY287" s="729"/>
      <c r="CZ287" s="729"/>
      <c r="DA287" s="729"/>
      <c r="DB287" s="729"/>
      <c r="DC287" s="729"/>
    </row>
    <row r="288" spans="1:115" ht="30" customHeight="1">
      <c r="A288" s="228"/>
      <c r="B288" s="155"/>
      <c r="C288" s="155">
        <f t="shared" ref="C288:C303" si="207">C287+1</f>
        <v>2</v>
      </c>
      <c r="D288" s="757"/>
      <c r="E288" s="757"/>
      <c r="F288" s="757"/>
      <c r="G288" s="840" t="s">
        <v>246</v>
      </c>
      <c r="H288" s="621" t="s">
        <v>2406</v>
      </c>
      <c r="I288" s="207" t="s">
        <v>2407</v>
      </c>
      <c r="J288" s="207" t="str">
        <f t="shared" si="201"/>
        <v>Marco Regazzo</v>
      </c>
      <c r="K288" s="224">
        <v>3461081171</v>
      </c>
      <c r="L288" s="131"/>
      <c r="M288" s="289"/>
      <c r="N288" s="131" t="str">
        <f t="shared" si="206"/>
        <v>Marco Regazzo</v>
      </c>
      <c r="O288" s="1259"/>
      <c r="P288" s="255" t="s">
        <v>2408</v>
      </c>
      <c r="Q288" s="255" t="s">
        <v>2408</v>
      </c>
      <c r="R288" s="289" t="s">
        <v>2409</v>
      </c>
      <c r="S288" s="598" t="s">
        <v>2410</v>
      </c>
      <c r="T288" s="598"/>
      <c r="U288" s="598"/>
      <c r="V288" s="598"/>
      <c r="W288" s="258"/>
      <c r="X288" s="131" t="s">
        <v>2411</v>
      </c>
      <c r="Y288" s="258"/>
      <c r="Z288" s="258"/>
      <c r="AA288" s="258"/>
      <c r="AB288" s="255" t="s">
        <v>2412</v>
      </c>
      <c r="AC288" s="131"/>
      <c r="AD288" s="1363"/>
      <c r="AE288" s="207"/>
      <c r="AF288" s="515"/>
      <c r="AG288" s="516"/>
      <c r="AH288" s="516"/>
      <c r="AI288" s="516"/>
      <c r="AJ288" s="515"/>
      <c r="AK288" s="155" t="s">
        <v>115</v>
      </c>
      <c r="AL288" s="155"/>
      <c r="AM288" s="155"/>
      <c r="AN288" s="515"/>
      <c r="AO288" s="155"/>
      <c r="AP288" s="155" t="s">
        <v>27</v>
      </c>
      <c r="AQ288" s="155" t="s">
        <v>27</v>
      </c>
      <c r="AR288" s="515"/>
      <c r="AS288" s="121"/>
      <c r="AT288" s="121"/>
      <c r="AU288" s="121"/>
      <c r="AV288" s="568"/>
      <c r="AW288" s="121"/>
      <c r="AX288" s="121" t="s">
        <v>27</v>
      </c>
      <c r="AY288" s="121" t="s">
        <v>27</v>
      </c>
      <c r="AZ288" s="889"/>
      <c r="BA288" s="902"/>
      <c r="BB288" s="902"/>
      <c r="BC288" s="110"/>
      <c r="BD288" s="242"/>
      <c r="BE288" s="1231"/>
      <c r="BF288" s="131"/>
      <c r="BG288" s="98"/>
      <c r="BH288" s="110"/>
      <c r="BI288" s="242"/>
      <c r="BJ288" s="1231"/>
      <c r="BK288" s="529"/>
      <c r="BL288" s="529"/>
      <c r="BM288" s="145"/>
      <c r="BN288" s="110"/>
      <c r="BO288" s="242"/>
      <c r="BP288" s="1231"/>
      <c r="BQ288" s="131"/>
      <c r="BR288" s="338"/>
      <c r="BS288" s="338"/>
      <c r="BT288" s="338"/>
      <c r="BU288" s="338"/>
      <c r="BV288" s="338"/>
      <c r="BW288" s="338"/>
      <c r="BX288" s="338"/>
      <c r="BY288" s="338"/>
      <c r="BZ288" s="338"/>
      <c r="CA288" s="338"/>
      <c r="CB288" s="338"/>
      <c r="CC288" s="338"/>
      <c r="CD288" s="338"/>
      <c r="CE288" s="338"/>
      <c r="CF288" s="338"/>
      <c r="CG288" s="338"/>
      <c r="CH288" s="338"/>
      <c r="CI288" s="338"/>
      <c r="CJ288" s="338"/>
      <c r="CK288" s="245"/>
      <c r="CL288" s="181"/>
      <c r="CM288" s="369"/>
      <c r="CN288" s="207"/>
      <c r="CO288" s="207"/>
      <c r="CP288" s="155"/>
      <c r="CQ288" s="289"/>
      <c r="CR288" s="289" t="s">
        <v>4628</v>
      </c>
      <c r="CS288" s="242"/>
      <c r="CT288" s="242"/>
      <c r="CU288" s="242"/>
      <c r="CV288" s="729"/>
      <c r="CW288" s="729"/>
      <c r="CX288" s="729"/>
      <c r="CY288" s="729"/>
      <c r="CZ288" s="729"/>
      <c r="DA288" s="729"/>
      <c r="DB288" s="729"/>
      <c r="DC288" s="729"/>
    </row>
    <row r="289" spans="1:124" ht="30" customHeight="1">
      <c r="A289" s="228"/>
      <c r="B289" s="155"/>
      <c r="C289" s="155">
        <f t="shared" si="207"/>
        <v>3</v>
      </c>
      <c r="D289" s="757"/>
      <c r="E289" s="757"/>
      <c r="F289" s="757"/>
      <c r="G289" s="840" t="s">
        <v>2418</v>
      </c>
      <c r="H289" s="621" t="s">
        <v>2419</v>
      </c>
      <c r="I289" s="207" t="s">
        <v>2420</v>
      </c>
      <c r="J289" s="207" t="str">
        <f t="shared" si="201"/>
        <v>Marta Azzurra Brognoli</v>
      </c>
      <c r="K289" s="676"/>
      <c r="L289" s="131"/>
      <c r="M289" s="131"/>
      <c r="N289" s="131" t="str">
        <f t="shared" si="206"/>
        <v>Marta Azzurra Brognoli</v>
      </c>
      <c r="O289" s="1386"/>
      <c r="P289" s="255"/>
      <c r="Q289" s="255"/>
      <c r="R289" s="131" t="s">
        <v>2423</v>
      </c>
      <c r="S289" s="207"/>
      <c r="T289" s="207"/>
      <c r="U289" s="207"/>
      <c r="V289" s="207"/>
      <c r="W289" s="258"/>
      <c r="X289" s="131"/>
      <c r="Y289" s="258"/>
      <c r="Z289" s="258"/>
      <c r="AA289" s="258"/>
      <c r="AB289" s="255"/>
      <c r="AC289" s="131"/>
      <c r="AD289" s="1363"/>
      <c r="AE289" s="207" t="s">
        <v>2421</v>
      </c>
      <c r="AF289" s="515"/>
      <c r="AG289" s="516"/>
      <c r="AH289" s="516"/>
      <c r="AI289" s="516"/>
      <c r="AJ289" s="515"/>
      <c r="AK289" s="155" t="s">
        <v>115</v>
      </c>
      <c r="AL289" s="155" t="s">
        <v>115</v>
      </c>
      <c r="AM289" s="155"/>
      <c r="AN289" s="515"/>
      <c r="AO289" s="155"/>
      <c r="AP289" s="155"/>
      <c r="AQ289" s="155"/>
      <c r="AR289" s="515"/>
      <c r="AS289" s="121"/>
      <c r="AT289" s="121"/>
      <c r="AU289" s="395" t="s">
        <v>297</v>
      </c>
      <c r="AV289" s="568"/>
      <c r="AW289" s="121"/>
      <c r="AX289" s="121"/>
      <c r="AY289" s="259" t="s">
        <v>2369</v>
      </c>
      <c r="AZ289" s="889"/>
      <c r="BA289" s="902"/>
      <c r="BB289" s="902"/>
      <c r="BC289" s="110"/>
      <c r="BD289" s="242"/>
      <c r="BE289" s="1231"/>
      <c r="BF289" s="529"/>
      <c r="BG289" s="145"/>
      <c r="BH289" s="110"/>
      <c r="BI289" s="242"/>
      <c r="BJ289" s="1231"/>
      <c r="BK289" s="529"/>
      <c r="BL289" s="529"/>
      <c r="BM289" s="145"/>
      <c r="BN289" s="110"/>
      <c r="BO289" s="242"/>
      <c r="BP289" s="1231"/>
      <c r="BQ289" s="191"/>
      <c r="BR289" s="338"/>
      <c r="BS289" s="338"/>
      <c r="BT289" s="338"/>
      <c r="BU289" s="338"/>
      <c r="BV289" s="338"/>
      <c r="BW289" s="338"/>
      <c r="BX289" s="338"/>
      <c r="BY289" s="338"/>
      <c r="BZ289" s="338"/>
      <c r="CA289" s="338"/>
      <c r="CB289" s="338"/>
      <c r="CC289" s="338"/>
      <c r="CD289" s="338"/>
      <c r="CE289" s="338"/>
      <c r="CF289" s="338"/>
      <c r="CG289" s="338"/>
      <c r="CH289" s="338"/>
      <c r="CI289" s="338"/>
      <c r="CJ289" s="338"/>
      <c r="CK289" s="245" t="s">
        <v>2612</v>
      </c>
      <c r="CL289" s="181"/>
      <c r="CM289" s="369"/>
      <c r="CN289" s="181"/>
      <c r="CO289" s="181"/>
      <c r="CP289" s="121"/>
      <c r="CQ289" s="131"/>
      <c r="CR289" s="131" t="s">
        <v>2422</v>
      </c>
      <c r="CS289" s="242"/>
      <c r="CT289" s="242"/>
      <c r="CU289" s="242"/>
      <c r="CV289" s="779"/>
      <c r="CW289" s="779"/>
      <c r="CX289" s="779"/>
      <c r="CY289" s="779"/>
      <c r="CZ289" s="779"/>
      <c r="DA289" s="779"/>
      <c r="DB289" s="779"/>
      <c r="DC289" s="779"/>
    </row>
    <row r="290" spans="1:124" ht="30" customHeight="1">
      <c r="A290" s="228"/>
      <c r="B290" s="155"/>
      <c r="C290" s="155">
        <f t="shared" si="207"/>
        <v>4</v>
      </c>
      <c r="D290" s="757"/>
      <c r="E290" s="757"/>
      <c r="F290" s="757"/>
      <c r="G290" s="369" t="s">
        <v>1828</v>
      </c>
      <c r="H290" s="672" t="s">
        <v>2394</v>
      </c>
      <c r="I290" s="207" t="s">
        <v>2395</v>
      </c>
      <c r="J290" s="207" t="str">
        <f t="shared" si="201"/>
        <v>Lara Esposito</v>
      </c>
      <c r="K290" s="224" t="s">
        <v>2396</v>
      </c>
      <c r="L290" s="131"/>
      <c r="M290" s="131"/>
      <c r="N290" s="131" t="str">
        <f t="shared" si="206"/>
        <v>Lara Esposito</v>
      </c>
      <c r="O290" s="1259"/>
      <c r="P290" s="155" t="s">
        <v>2398</v>
      </c>
      <c r="Q290" s="155" t="s">
        <v>2398</v>
      </c>
      <c r="R290" s="131" t="s">
        <v>2399</v>
      </c>
      <c r="S290" s="131" t="s">
        <v>2400</v>
      </c>
      <c r="T290" s="131"/>
      <c r="U290" s="131"/>
      <c r="V290" s="131"/>
      <c r="W290" s="258"/>
      <c r="X290" s="558" t="s">
        <v>2401</v>
      </c>
      <c r="Y290" s="258"/>
      <c r="Z290" s="258"/>
      <c r="AA290" s="258"/>
      <c r="AB290" s="255" t="s">
        <v>2402</v>
      </c>
      <c r="AC290" s="558" t="s">
        <v>2403</v>
      </c>
      <c r="AD290" s="1363"/>
      <c r="AE290" s="207" t="s">
        <v>2397</v>
      </c>
      <c r="AF290" s="515"/>
      <c r="AG290" s="516" t="s">
        <v>115</v>
      </c>
      <c r="AH290" s="516"/>
      <c r="AI290" s="516" t="s">
        <v>115</v>
      </c>
      <c r="AJ290" s="515"/>
      <c r="AK290" s="155"/>
      <c r="AL290" s="155"/>
      <c r="AM290" s="155"/>
      <c r="AN290" s="515"/>
      <c r="AO290" s="155"/>
      <c r="AP290" s="155" t="s">
        <v>154</v>
      </c>
      <c r="AQ290" s="155" t="s">
        <v>2404</v>
      </c>
      <c r="AR290" s="515"/>
      <c r="AS290" s="121"/>
      <c r="AT290" s="121"/>
      <c r="AU290" s="121"/>
      <c r="AV290" s="568"/>
      <c r="AW290" s="121"/>
      <c r="AX290" s="1381" t="s">
        <v>27</v>
      </c>
      <c r="AY290" s="121"/>
      <c r="AZ290" s="889"/>
      <c r="BA290" s="932"/>
      <c r="BB290" s="902"/>
      <c r="BC290" s="110"/>
      <c r="BD290" s="242"/>
      <c r="BE290" s="1231"/>
      <c r="BF290" s="529"/>
      <c r="BG290" s="145"/>
      <c r="BH290" s="110"/>
      <c r="BI290" s="242"/>
      <c r="BJ290" s="1231"/>
      <c r="BK290" s="678"/>
      <c r="BL290" s="529"/>
      <c r="BM290" s="145"/>
      <c r="BN290" s="110"/>
      <c r="BO290" s="242"/>
      <c r="BP290" s="1231"/>
      <c r="BQ290" s="665"/>
      <c r="BR290" s="338"/>
      <c r="BS290" s="338"/>
      <c r="BT290" s="338"/>
      <c r="BU290" s="338"/>
      <c r="BV290" s="338"/>
      <c r="BW290" s="338"/>
      <c r="BX290" s="338"/>
      <c r="BY290" s="338"/>
      <c r="BZ290" s="338"/>
      <c r="CA290" s="338"/>
      <c r="CB290" s="338"/>
      <c r="CC290" s="338"/>
      <c r="CD290" s="338"/>
      <c r="CE290" s="338"/>
      <c r="CF290" s="338"/>
      <c r="CG290" s="338"/>
      <c r="CH290" s="338"/>
      <c r="CI290" s="338"/>
      <c r="CJ290" s="338"/>
      <c r="CK290" s="245" t="s">
        <v>2612</v>
      </c>
      <c r="CL290" s="181"/>
      <c r="CM290" s="369"/>
      <c r="CN290" s="181"/>
      <c r="CO290" s="181"/>
      <c r="CP290" s="121"/>
      <c r="CQ290" s="131"/>
      <c r="CR290" s="131" t="s">
        <v>4629</v>
      </c>
      <c r="CS290" s="242"/>
      <c r="CT290" s="242"/>
      <c r="CU290" s="242"/>
      <c r="CV290" s="779"/>
      <c r="CW290" s="779"/>
      <c r="CX290" s="779"/>
      <c r="CY290" s="779"/>
      <c r="CZ290" s="779"/>
      <c r="DA290" s="779"/>
      <c r="DB290" s="779"/>
      <c r="DC290" s="779"/>
    </row>
    <row r="291" spans="1:124" ht="30" customHeight="1">
      <c r="A291" s="228"/>
      <c r="B291" s="155"/>
      <c r="C291" s="155">
        <f t="shared" si="207"/>
        <v>5</v>
      </c>
      <c r="D291" s="757"/>
      <c r="E291" s="757"/>
      <c r="F291" s="757"/>
      <c r="G291" s="840" t="s">
        <v>622</v>
      </c>
      <c r="H291" s="621" t="s">
        <v>4630</v>
      </c>
      <c r="I291" s="207" t="s">
        <v>4631</v>
      </c>
      <c r="J291" s="207" t="str">
        <f t="shared" si="201"/>
        <v>Laura Tanzi</v>
      </c>
      <c r="K291" s="224">
        <v>33935003312</v>
      </c>
      <c r="L291" s="131"/>
      <c r="M291" s="131"/>
      <c r="N291" s="131">
        <f t="shared" si="206"/>
        <v>0</v>
      </c>
      <c r="O291" s="1277"/>
      <c r="P291" s="255" t="s">
        <v>4632</v>
      </c>
      <c r="Q291" s="564" t="s">
        <v>4633</v>
      </c>
      <c r="R291" s="131" t="s">
        <v>4634</v>
      </c>
      <c r="S291" s="131" t="s">
        <v>4635</v>
      </c>
      <c r="T291" s="131"/>
      <c r="U291" s="131"/>
      <c r="V291" s="131"/>
      <c r="W291" s="258"/>
      <c r="X291" s="131"/>
      <c r="Y291" s="258"/>
      <c r="Z291" s="258"/>
      <c r="AA291" s="258"/>
      <c r="AB291" s="255" t="s">
        <v>3022</v>
      </c>
      <c r="AC291" s="558" t="s">
        <v>4636</v>
      </c>
      <c r="AD291" s="1363"/>
      <c r="AE291" s="207" t="s">
        <v>3177</v>
      </c>
      <c r="AF291" s="515"/>
      <c r="AG291" s="516" t="s">
        <v>115</v>
      </c>
      <c r="AH291" s="516"/>
      <c r="AI291" s="516" t="s">
        <v>115</v>
      </c>
      <c r="AJ291" s="515"/>
      <c r="AK291" s="155"/>
      <c r="AL291" s="155"/>
      <c r="AM291" s="155"/>
      <c r="AN291" s="515"/>
      <c r="AO291" s="155"/>
      <c r="AP291" s="155" t="s">
        <v>154</v>
      </c>
      <c r="AQ291" s="155" t="s">
        <v>2404</v>
      </c>
      <c r="AR291" s="515"/>
      <c r="AS291" s="121"/>
      <c r="AT291" s="121"/>
      <c r="AU291" s="121"/>
      <c r="AV291" s="568"/>
      <c r="AW291" s="121"/>
      <c r="AX291" s="1381" t="s">
        <v>27</v>
      </c>
      <c r="AY291" s="121"/>
      <c r="AZ291" s="889"/>
      <c r="BA291" s="932"/>
      <c r="BB291" s="902"/>
      <c r="BC291" s="110"/>
      <c r="BD291" s="242"/>
      <c r="BE291" s="1231"/>
      <c r="BF291" s="529"/>
      <c r="BG291" s="145"/>
      <c r="BH291" s="110"/>
      <c r="BI291" s="242"/>
      <c r="BJ291" s="1231"/>
      <c r="BK291" s="529"/>
      <c r="BL291" s="529"/>
      <c r="BM291" s="145"/>
      <c r="BN291" s="110"/>
      <c r="BO291" s="242"/>
      <c r="BP291" s="1231"/>
      <c r="BQ291" s="665"/>
      <c r="BR291" s="338"/>
      <c r="BS291" s="338"/>
      <c r="BT291" s="338"/>
      <c r="BU291" s="338"/>
      <c r="BV291" s="338"/>
      <c r="BW291" s="338"/>
      <c r="BX291" s="338"/>
      <c r="BY291" s="338"/>
      <c r="BZ291" s="338"/>
      <c r="CA291" s="338"/>
      <c r="CB291" s="338"/>
      <c r="CC291" s="338"/>
      <c r="CD291" s="338"/>
      <c r="CE291" s="338"/>
      <c r="CF291" s="338"/>
      <c r="CG291" s="338"/>
      <c r="CH291" s="338"/>
      <c r="CI291" s="338"/>
      <c r="CJ291" s="338"/>
      <c r="CK291" s="245" t="s">
        <v>2612</v>
      </c>
      <c r="CL291" s="181"/>
      <c r="CM291" s="369"/>
      <c r="CN291" s="181"/>
      <c r="CO291" s="181"/>
      <c r="CP291" s="121"/>
      <c r="CQ291" s="207"/>
      <c r="CR291" s="131"/>
      <c r="CS291" s="242"/>
      <c r="CT291" s="242"/>
      <c r="CU291" s="242"/>
      <c r="CV291" s="779"/>
      <c r="CW291" s="779"/>
      <c r="CX291" s="779"/>
      <c r="CY291" s="779"/>
      <c r="CZ291" s="779"/>
      <c r="DA291" s="779"/>
      <c r="DB291" s="779"/>
      <c r="DC291" s="779"/>
    </row>
    <row r="292" spans="1:124" ht="30" customHeight="1">
      <c r="A292" s="228"/>
      <c r="B292" s="155"/>
      <c r="C292" s="155">
        <f t="shared" si="207"/>
        <v>6</v>
      </c>
      <c r="D292" s="757"/>
      <c r="E292" s="757"/>
      <c r="F292" s="757"/>
      <c r="G292" s="181" t="s">
        <v>166</v>
      </c>
      <c r="H292" s="181" t="s">
        <v>2424</v>
      </c>
      <c r="I292" s="207" t="s">
        <v>2425</v>
      </c>
      <c r="J292" s="207" t="str">
        <f t="shared" si="201"/>
        <v>Matteo Canali</v>
      </c>
      <c r="K292" s="224">
        <v>3393104949</v>
      </c>
      <c r="L292" s="131"/>
      <c r="M292" s="131"/>
      <c r="N292" s="131">
        <f t="shared" si="206"/>
        <v>0</v>
      </c>
      <c r="O292" s="1277"/>
      <c r="P292" s="255" t="s">
        <v>2427</v>
      </c>
      <c r="Q292" s="564" t="s">
        <v>2427</v>
      </c>
      <c r="R292" s="131" t="s">
        <v>2428</v>
      </c>
      <c r="S292" s="131" t="s">
        <v>2429</v>
      </c>
      <c r="T292" s="131"/>
      <c r="U292" s="131"/>
      <c r="V292" s="131"/>
      <c r="W292" s="258"/>
      <c r="X292" s="131" t="s">
        <v>2425</v>
      </c>
      <c r="Y292" s="258"/>
      <c r="Z292" s="258"/>
      <c r="AA292" s="258"/>
      <c r="AB292" s="255" t="s">
        <v>2412</v>
      </c>
      <c r="AC292" s="131"/>
      <c r="AD292" s="1363"/>
      <c r="AE292" s="207"/>
      <c r="AF292" s="515"/>
      <c r="AG292" s="516" t="s">
        <v>115</v>
      </c>
      <c r="AH292" s="516" t="s">
        <v>115</v>
      </c>
      <c r="AI292" s="516"/>
      <c r="AJ292" s="515"/>
      <c r="AK292" s="155" t="s">
        <v>116</v>
      </c>
      <c r="AL292" s="155"/>
      <c r="AM292" s="155"/>
      <c r="AN292" s="515"/>
      <c r="AO292" s="155"/>
      <c r="AP292" s="155"/>
      <c r="AQ292" s="155" t="s">
        <v>27</v>
      </c>
      <c r="AR292" s="515"/>
      <c r="AS292" s="121"/>
      <c r="AT292" s="121"/>
      <c r="AU292" s="121"/>
      <c r="AV292" s="568"/>
      <c r="AW292" s="121"/>
      <c r="AX292" s="121"/>
      <c r="AY292" s="121" t="s">
        <v>27</v>
      </c>
      <c r="AZ292" s="889"/>
      <c r="BA292" s="902"/>
      <c r="BB292" s="902"/>
      <c r="BC292" s="110"/>
      <c r="BD292" s="242"/>
      <c r="BE292" s="1231"/>
      <c r="BF292" s="529"/>
      <c r="BG292" s="145"/>
      <c r="BH292" s="110"/>
      <c r="BI292" s="242"/>
      <c r="BJ292" s="1231"/>
      <c r="BK292" s="529"/>
      <c r="BL292" s="529"/>
      <c r="BM292" s="145"/>
      <c r="BN292" s="110"/>
      <c r="BO292" s="242"/>
      <c r="BP292" s="1231"/>
      <c r="BQ292" s="131"/>
      <c r="BR292" s="338"/>
      <c r="BS292" s="338"/>
      <c r="BT292" s="338"/>
      <c r="BU292" s="338"/>
      <c r="BV292" s="338"/>
      <c r="BW292" s="338"/>
      <c r="BX292" s="338"/>
      <c r="BY292" s="338"/>
      <c r="BZ292" s="338"/>
      <c r="CA292" s="338"/>
      <c r="CB292" s="338"/>
      <c r="CC292" s="338"/>
      <c r="CD292" s="338"/>
      <c r="CE292" s="338"/>
      <c r="CF292" s="338"/>
      <c r="CG292" s="338"/>
      <c r="CH292" s="338"/>
      <c r="CI292" s="338"/>
      <c r="CJ292" s="338"/>
      <c r="CK292" s="245" t="s">
        <v>126</v>
      </c>
      <c r="CL292" s="181"/>
      <c r="CM292" s="369"/>
      <c r="CN292" s="181"/>
      <c r="CO292" s="181"/>
      <c r="CP292" s="121"/>
      <c r="CQ292" s="131"/>
      <c r="CR292" s="131"/>
      <c r="CS292" s="242"/>
      <c r="CT292" s="242"/>
      <c r="CU292" s="242"/>
      <c r="CV292" s="779"/>
      <c r="CW292" s="779"/>
      <c r="CX292" s="779"/>
      <c r="CY292" s="779"/>
      <c r="CZ292" s="779"/>
      <c r="DA292" s="779"/>
      <c r="DB292" s="779"/>
      <c r="DC292" s="779"/>
    </row>
    <row r="293" spans="1:124" ht="30" customHeight="1">
      <c r="A293" s="228"/>
      <c r="B293" s="155"/>
      <c r="C293" s="155">
        <f t="shared" si="207"/>
        <v>7</v>
      </c>
      <c r="D293" s="757"/>
      <c r="E293" s="757"/>
      <c r="F293" s="757"/>
      <c r="G293" s="1387" t="s">
        <v>570</v>
      </c>
      <c r="H293" s="1388" t="s">
        <v>2293</v>
      </c>
      <c r="I293" s="207" t="s">
        <v>2294</v>
      </c>
      <c r="J293" s="207" t="str">
        <f t="shared" si="201"/>
        <v xml:space="preserve">Giovanni Polo </v>
      </c>
      <c r="K293" s="224">
        <v>3356027818</v>
      </c>
      <c r="L293" s="598"/>
      <c r="M293" s="598"/>
      <c r="N293" s="131">
        <f t="shared" si="206"/>
        <v>0</v>
      </c>
      <c r="O293" s="1259"/>
      <c r="P293" s="255" t="s">
        <v>2296</v>
      </c>
      <c r="Q293" s="255" t="s">
        <v>2296</v>
      </c>
      <c r="R293" s="598" t="s">
        <v>2297</v>
      </c>
      <c r="S293" s="598" t="s">
        <v>2298</v>
      </c>
      <c r="T293" s="598"/>
      <c r="U293" s="598"/>
      <c r="V293" s="598"/>
      <c r="W293" s="258"/>
      <c r="X293" s="131" t="s">
        <v>2299</v>
      </c>
      <c r="Y293" s="258"/>
      <c r="Z293" s="258"/>
      <c r="AA293" s="258"/>
      <c r="AB293" s="255" t="s">
        <v>2300</v>
      </c>
      <c r="AC293" s="131"/>
      <c r="AD293" s="1363"/>
      <c r="AE293" s="595"/>
      <c r="AF293" s="515"/>
      <c r="AG293" s="516"/>
      <c r="AH293" s="516"/>
      <c r="AI293" s="516"/>
      <c r="AJ293" s="515"/>
      <c r="AK293" s="155"/>
      <c r="AL293" s="155"/>
      <c r="AM293" s="155"/>
      <c r="AN293" s="515"/>
      <c r="AO293" s="155"/>
      <c r="AP293" s="155" t="s">
        <v>27</v>
      </c>
      <c r="AQ293" s="155"/>
      <c r="AR293" s="515"/>
      <c r="AS293" s="121"/>
      <c r="AT293" s="121"/>
      <c r="AU293" s="121"/>
      <c r="AV293" s="568"/>
      <c r="AW293" s="121"/>
      <c r="AX293" s="617" t="s">
        <v>27</v>
      </c>
      <c r="AY293" s="121"/>
      <c r="AZ293" s="889"/>
      <c r="BA293" s="932"/>
      <c r="BB293" s="902"/>
      <c r="BC293" s="110"/>
      <c r="BD293" s="242"/>
      <c r="BE293" s="1231"/>
      <c r="BF293" s="529"/>
      <c r="BG293" s="145"/>
      <c r="BH293" s="110"/>
      <c r="BI293" s="242"/>
      <c r="BJ293" s="1231"/>
      <c r="BK293" s="529"/>
      <c r="BL293" s="529"/>
      <c r="BM293" s="145"/>
      <c r="BN293" s="110"/>
      <c r="BO293" s="242"/>
      <c r="BP293" s="1231"/>
      <c r="BQ293" s="665"/>
      <c r="BR293" s="338"/>
      <c r="BS293" s="338"/>
      <c r="BT293" s="338"/>
      <c r="BU293" s="338"/>
      <c r="BV293" s="338"/>
      <c r="BW293" s="338"/>
      <c r="BX293" s="338"/>
      <c r="BY293" s="338"/>
      <c r="BZ293" s="338"/>
      <c r="CA293" s="338"/>
      <c r="CB293" s="338"/>
      <c r="CC293" s="338"/>
      <c r="CD293" s="338"/>
      <c r="CE293" s="338"/>
      <c r="CF293" s="338"/>
      <c r="CG293" s="338"/>
      <c r="CH293" s="338"/>
      <c r="CI293" s="338"/>
      <c r="CJ293" s="338"/>
      <c r="CK293" s="245"/>
      <c r="CL293" s="181"/>
      <c r="CM293" s="369"/>
      <c r="CN293" s="207"/>
      <c r="CO293" s="207"/>
      <c r="CP293" s="155"/>
      <c r="CQ293" s="598"/>
      <c r="CR293" s="131"/>
      <c r="CS293" s="242"/>
      <c r="CT293" s="242"/>
      <c r="CU293" s="242"/>
      <c r="CV293" s="729"/>
      <c r="CW293" s="729"/>
      <c r="CX293" s="729"/>
      <c r="CY293" s="729"/>
      <c r="CZ293" s="729"/>
      <c r="DA293" s="729"/>
      <c r="DB293" s="729"/>
      <c r="DC293" s="729"/>
    </row>
    <row r="294" spans="1:124" ht="30" customHeight="1">
      <c r="A294" s="228"/>
      <c r="B294" s="155"/>
      <c r="C294" s="155">
        <f t="shared" si="207"/>
        <v>8</v>
      </c>
      <c r="D294" s="757"/>
      <c r="E294" s="757"/>
      <c r="F294" s="757"/>
      <c r="G294" s="369" t="s">
        <v>570</v>
      </c>
      <c r="H294" s="672" t="s">
        <v>2301</v>
      </c>
      <c r="I294" s="294" t="s">
        <v>2302</v>
      </c>
      <c r="J294" s="207" t="str">
        <f t="shared" si="201"/>
        <v>Giovanni Giovi</v>
      </c>
      <c r="K294" s="224"/>
      <c r="L294" s="131"/>
      <c r="M294" s="131"/>
      <c r="N294" s="131" t="str">
        <f t="shared" si="206"/>
        <v>Automazioni Industriali</v>
      </c>
      <c r="O294" s="1259"/>
      <c r="P294" s="37"/>
      <c r="Q294" s="37"/>
      <c r="R294" s="131" t="s">
        <v>916</v>
      </c>
      <c r="S294" s="160"/>
      <c r="T294" s="160"/>
      <c r="U294" s="160"/>
      <c r="V294" s="160"/>
      <c r="W294" s="233"/>
      <c r="X294" s="131"/>
      <c r="Y294" s="233"/>
      <c r="Z294" s="233"/>
      <c r="AA294" s="233"/>
      <c r="AB294" s="37"/>
      <c r="AC294" s="131"/>
      <c r="AD294" s="1364"/>
      <c r="AE294" s="207"/>
      <c r="AF294" s="515"/>
      <c r="AG294" s="155"/>
      <c r="AH294" s="155"/>
      <c r="AI294" s="155"/>
      <c r="AJ294" s="515"/>
      <c r="AK294" s="155"/>
      <c r="AL294" s="155"/>
      <c r="AM294" s="155"/>
      <c r="AN294" s="515"/>
      <c r="AO294" s="155"/>
      <c r="AP294" s="155"/>
      <c r="AQ294" s="155"/>
      <c r="AR294" s="515"/>
      <c r="AS294" s="121"/>
      <c r="AT294" s="121"/>
      <c r="AU294" s="121"/>
      <c r="AV294" s="568"/>
      <c r="AW294" s="121" t="s">
        <v>2369</v>
      </c>
      <c r="AX294" s="121" t="s">
        <v>2369</v>
      </c>
      <c r="AY294" s="121" t="s">
        <v>2369</v>
      </c>
      <c r="AZ294" s="889"/>
      <c r="BA294" s="932"/>
      <c r="BB294" s="902"/>
      <c r="BC294" s="110"/>
      <c r="BD294" s="242"/>
      <c r="BE294" s="1231"/>
      <c r="BF294" s="131"/>
      <c r="BG294" s="145"/>
      <c r="BH294" s="110"/>
      <c r="BI294" s="242"/>
      <c r="BJ294" s="1231"/>
      <c r="BK294" s="131"/>
      <c r="BL294" s="529"/>
      <c r="BM294" s="145"/>
      <c r="BN294" s="110"/>
      <c r="BO294" s="242"/>
      <c r="BP294" s="1231"/>
      <c r="BQ294" s="665"/>
      <c r="BR294" s="338"/>
      <c r="BS294" s="338"/>
      <c r="BT294" s="338"/>
      <c r="BU294" s="338"/>
      <c r="BV294" s="338"/>
      <c r="BW294" s="338"/>
      <c r="BX294" s="338"/>
      <c r="BY294" s="338"/>
      <c r="BZ294" s="338"/>
      <c r="CA294" s="338"/>
      <c r="CB294" s="338"/>
      <c r="CC294" s="338"/>
      <c r="CD294" s="338"/>
      <c r="CE294" s="338"/>
      <c r="CF294" s="338"/>
      <c r="CG294" s="338"/>
      <c r="CH294" s="338"/>
      <c r="CI294" s="338"/>
      <c r="CJ294" s="338"/>
      <c r="CK294" s="245" t="s">
        <v>2612</v>
      </c>
      <c r="CL294" s="181" t="s">
        <v>2311</v>
      </c>
      <c r="CM294" s="369"/>
      <c r="CN294" s="207"/>
      <c r="CO294" s="207"/>
      <c r="CP294" s="155"/>
      <c r="CQ294" s="131"/>
      <c r="CR294" s="131" t="s">
        <v>916</v>
      </c>
      <c r="CS294" s="242"/>
      <c r="CT294" s="242"/>
      <c r="CU294" s="242"/>
      <c r="CV294" s="729"/>
      <c r="CW294" s="729"/>
      <c r="CX294" s="729"/>
      <c r="CY294" s="729"/>
      <c r="CZ294" s="729"/>
      <c r="DA294" s="729"/>
      <c r="DB294" s="729"/>
      <c r="DC294" s="729"/>
    </row>
    <row r="295" spans="1:124" ht="30" customHeight="1">
      <c r="A295" s="228"/>
      <c r="B295" s="155"/>
      <c r="C295" s="155">
        <f t="shared" si="207"/>
        <v>9</v>
      </c>
      <c r="D295" s="757"/>
      <c r="E295" s="757"/>
      <c r="F295" s="757"/>
      <c r="G295" s="369" t="s">
        <v>2314</v>
      </c>
      <c r="H295" s="672" t="s">
        <v>2315</v>
      </c>
      <c r="I295" s="207" t="s">
        <v>2316</v>
      </c>
      <c r="J295" s="207" t="str">
        <f t="shared" si="201"/>
        <v>Gloria Folli</v>
      </c>
      <c r="K295" s="224"/>
      <c r="L295" s="160"/>
      <c r="M295" s="160"/>
      <c r="N295" s="131" t="str">
        <f t="shared" si="206"/>
        <v>Automazioni Industriali</v>
      </c>
      <c r="O295" s="1259"/>
      <c r="P295" s="37"/>
      <c r="Q295" s="37"/>
      <c r="R295" s="131"/>
      <c r="S295" s="160"/>
      <c r="T295" s="160"/>
      <c r="U295" s="160"/>
      <c r="V295" s="160"/>
      <c r="W295" s="233"/>
      <c r="X295" s="131"/>
      <c r="Y295" s="233"/>
      <c r="Z295" s="233"/>
      <c r="AA295" s="233"/>
      <c r="AB295" s="37"/>
      <c r="AC295" s="131"/>
      <c r="AD295" s="1364"/>
      <c r="AE295" s="207"/>
      <c r="AF295" s="515"/>
      <c r="AG295" s="155"/>
      <c r="AH295" s="155"/>
      <c r="AI295" s="155"/>
      <c r="AJ295" s="515"/>
      <c r="AK295" s="155"/>
      <c r="AL295" s="155"/>
      <c r="AM295" s="155"/>
      <c r="AN295" s="198"/>
      <c r="AO295" s="155"/>
      <c r="AP295" s="155"/>
      <c r="AQ295" s="155"/>
      <c r="AR295" s="198"/>
      <c r="AS295" s="121"/>
      <c r="AT295" s="121"/>
      <c r="AU295" s="121"/>
      <c r="AV295" s="235"/>
      <c r="AW295" s="121" t="s">
        <v>2369</v>
      </c>
      <c r="AX295" s="121" t="s">
        <v>2369</v>
      </c>
      <c r="AY295" s="121" t="s">
        <v>2369</v>
      </c>
      <c r="AZ295" s="889"/>
      <c r="BA295" s="932"/>
      <c r="BB295" s="902"/>
      <c r="BC295" s="110"/>
      <c r="BD295" s="242"/>
      <c r="BE295" s="1231"/>
      <c r="BF295" s="131"/>
      <c r="BG295" s="145"/>
      <c r="BH295" s="110"/>
      <c r="BI295" s="242"/>
      <c r="BJ295" s="1231"/>
      <c r="BK295" s="131"/>
      <c r="BL295" s="131"/>
      <c r="BM295" s="145"/>
      <c r="BN295" s="110"/>
      <c r="BO295" s="242"/>
      <c r="BP295" s="1231"/>
      <c r="BQ295" s="665"/>
      <c r="BR295" s="338"/>
      <c r="BS295" s="338"/>
      <c r="BT295" s="338"/>
      <c r="BU295" s="338"/>
      <c r="BV295" s="338"/>
      <c r="BW295" s="338"/>
      <c r="BX295" s="338"/>
      <c r="BY295" s="338"/>
      <c r="BZ295" s="338"/>
      <c r="CA295" s="338"/>
      <c r="CB295" s="338"/>
      <c r="CC295" s="338"/>
      <c r="CD295" s="338"/>
      <c r="CE295" s="338"/>
      <c r="CF295" s="338"/>
      <c r="CG295" s="338"/>
      <c r="CH295" s="338"/>
      <c r="CI295" s="338"/>
      <c r="CJ295" s="338"/>
      <c r="CK295" s="245" t="s">
        <v>2612</v>
      </c>
      <c r="CL295" s="181" t="s">
        <v>2311</v>
      </c>
      <c r="CM295" s="369"/>
      <c r="CN295" s="207"/>
      <c r="CO295" s="207"/>
      <c r="CP295" s="155"/>
      <c r="CQ295" s="160"/>
      <c r="CR295" s="131" t="s">
        <v>916</v>
      </c>
      <c r="CS295" s="242"/>
      <c r="CT295" s="242"/>
      <c r="CU295" s="242"/>
      <c r="CV295" s="729"/>
      <c r="CW295" s="729"/>
      <c r="CX295" s="729"/>
      <c r="CY295" s="729"/>
      <c r="CZ295" s="729"/>
      <c r="DA295" s="729"/>
      <c r="DB295" s="729"/>
      <c r="DC295" s="729"/>
    </row>
    <row r="296" spans="1:124" ht="30" customHeight="1">
      <c r="A296" s="228"/>
      <c r="B296" s="121"/>
      <c r="C296" s="155">
        <f t="shared" si="207"/>
        <v>10</v>
      </c>
      <c r="D296" s="757"/>
      <c r="E296" s="757"/>
      <c r="F296" s="757"/>
      <c r="G296" s="369" t="s">
        <v>595</v>
      </c>
      <c r="H296" s="672" t="s">
        <v>4637</v>
      </c>
      <c r="I296" s="207" t="s">
        <v>4638</v>
      </c>
      <c r="J296" s="207" t="str">
        <f t="shared" si="201"/>
        <v>Giuseppe Moccia</v>
      </c>
      <c r="K296" s="224"/>
      <c r="L296" s="160"/>
      <c r="M296" s="160"/>
      <c r="N296" s="131" t="str">
        <f t="shared" si="206"/>
        <v>Consorzio Technobuild</v>
      </c>
      <c r="O296" s="1360"/>
      <c r="P296" s="160"/>
      <c r="Q296" s="160"/>
      <c r="R296" s="131" t="s">
        <v>4639</v>
      </c>
      <c r="S296" s="160"/>
      <c r="T296" s="160"/>
      <c r="U296" s="160"/>
      <c r="V296" s="160"/>
      <c r="W296" s="160"/>
      <c r="X296" s="131"/>
      <c r="Y296" s="160"/>
      <c r="Z296" s="160"/>
      <c r="AA296" s="160"/>
      <c r="AB296" s="37"/>
      <c r="AC296" s="131"/>
      <c r="AD296" s="684"/>
      <c r="AE296" s="207" t="s">
        <v>4640</v>
      </c>
      <c r="AF296" s="515"/>
      <c r="AG296" s="406"/>
      <c r="AH296" s="406"/>
      <c r="AI296" s="406"/>
      <c r="AJ296" s="515"/>
      <c r="AK296" s="155" t="s">
        <v>115</v>
      </c>
      <c r="AL296" s="155" t="s">
        <v>115</v>
      </c>
      <c r="AM296" s="155" t="s">
        <v>115</v>
      </c>
      <c r="AN296" s="198"/>
      <c r="AO296" s="155"/>
      <c r="AP296" s="155"/>
      <c r="AQ296" s="155"/>
      <c r="AR296" s="198"/>
      <c r="AS296" s="121"/>
      <c r="AT296" s="121"/>
      <c r="AU296" s="121"/>
      <c r="AV296" s="235"/>
      <c r="AW296" s="121" t="s">
        <v>2369</v>
      </c>
      <c r="AX296" s="121" t="s">
        <v>2369</v>
      </c>
      <c r="AY296" s="121" t="s">
        <v>2369</v>
      </c>
      <c r="AZ296" s="889"/>
      <c r="BA296" s="932"/>
      <c r="BB296" s="902"/>
      <c r="BC296" s="110"/>
      <c r="BD296" s="242"/>
      <c r="BE296" s="1231"/>
      <c r="BF296" s="529"/>
      <c r="BG296" s="145"/>
      <c r="BH296" s="110"/>
      <c r="BI296" s="242"/>
      <c r="BJ296" s="1231"/>
      <c r="BK296" s="843"/>
      <c r="BL296" s="131"/>
      <c r="BM296" s="145"/>
      <c r="BN296" s="110"/>
      <c r="BO296" s="242"/>
      <c r="BP296" s="1231"/>
      <c r="BQ296" s="665"/>
      <c r="BR296" s="338"/>
      <c r="BS296" s="338"/>
      <c r="BT296" s="338"/>
      <c r="BU296" s="338"/>
      <c r="BV296" s="338"/>
      <c r="BW296" s="338"/>
      <c r="BX296" s="338"/>
      <c r="BY296" s="338"/>
      <c r="BZ296" s="338"/>
      <c r="CA296" s="338"/>
      <c r="CB296" s="338"/>
      <c r="CC296" s="338"/>
      <c r="CD296" s="338"/>
      <c r="CE296" s="338"/>
      <c r="CF296" s="338"/>
      <c r="CG296" s="338"/>
      <c r="CH296" s="338"/>
      <c r="CI296" s="338"/>
      <c r="CJ296" s="338"/>
      <c r="CK296" s="245" t="s">
        <v>2612</v>
      </c>
      <c r="CL296" s="181"/>
      <c r="CM296" s="369"/>
      <c r="CN296" s="181"/>
      <c r="CO296" s="181"/>
      <c r="CP296" s="121"/>
      <c r="CQ296" s="160"/>
      <c r="CR296" s="131" t="s">
        <v>4641</v>
      </c>
      <c r="CS296" s="242"/>
      <c r="CT296" s="242"/>
      <c r="CU296" s="242"/>
      <c r="CV296" s="779"/>
      <c r="CW296" s="779"/>
      <c r="CX296" s="779"/>
      <c r="CY296" s="779"/>
      <c r="CZ296" s="779"/>
      <c r="DA296" s="779"/>
      <c r="DB296" s="779"/>
      <c r="DC296" s="779"/>
      <c r="DD296" s="6"/>
      <c r="DE296" s="6"/>
      <c r="DF296" s="6"/>
      <c r="DG296" s="6"/>
      <c r="DH296" s="6"/>
      <c r="DI296" s="6"/>
      <c r="DJ296" s="6"/>
      <c r="DK296" s="6"/>
      <c r="DL296" s="6"/>
      <c r="DM296" s="6"/>
      <c r="DN296" s="6"/>
      <c r="DO296" s="6"/>
      <c r="DP296" s="6"/>
      <c r="DQ296" s="6"/>
      <c r="DR296" s="6"/>
      <c r="DS296" s="6"/>
      <c r="DT296" s="6"/>
    </row>
    <row r="297" spans="1:124" ht="30" customHeight="1">
      <c r="A297" s="228"/>
      <c r="B297" s="121"/>
      <c r="C297" s="155">
        <f t="shared" si="207"/>
        <v>11</v>
      </c>
      <c r="D297" s="757"/>
      <c r="E297" s="757"/>
      <c r="F297" s="757"/>
      <c r="G297" s="369" t="s">
        <v>977</v>
      </c>
      <c r="H297" s="672" t="s">
        <v>4642</v>
      </c>
      <c r="I297" s="207" t="s">
        <v>4643</v>
      </c>
      <c r="J297" s="207" t="str">
        <f t="shared" si="201"/>
        <v>Antonio Guttilla</v>
      </c>
      <c r="K297" s="684"/>
      <c r="L297" s="1353"/>
      <c r="M297" s="1354"/>
      <c r="N297" s="131" t="str">
        <f t="shared" si="206"/>
        <v>Consorzio Technobuild</v>
      </c>
      <c r="O297" s="1360"/>
      <c r="P297" s="160"/>
      <c r="Q297" s="160"/>
      <c r="R297" s="1389" t="s">
        <v>4639</v>
      </c>
      <c r="S297" s="160"/>
      <c r="T297" s="160"/>
      <c r="U297" s="160"/>
      <c r="V297" s="160"/>
      <c r="W297" s="160"/>
      <c r="X297" s="131"/>
      <c r="Y297" s="160"/>
      <c r="Z297" s="160"/>
      <c r="AA297" s="160"/>
      <c r="AB297" s="37"/>
      <c r="AC297" s="131"/>
      <c r="AD297" s="684"/>
      <c r="AE297" s="207"/>
      <c r="AF297" s="515"/>
      <c r="AG297" s="406"/>
      <c r="AH297" s="406"/>
      <c r="AI297" s="406"/>
      <c r="AJ297" s="515"/>
      <c r="AK297" s="155" t="s">
        <v>115</v>
      </c>
      <c r="AL297" s="155" t="s">
        <v>115</v>
      </c>
      <c r="AM297" s="155" t="s">
        <v>115</v>
      </c>
      <c r="AN297" s="198"/>
      <c r="AO297" s="155"/>
      <c r="AP297" s="155"/>
      <c r="AQ297" s="155"/>
      <c r="AR297" s="198"/>
      <c r="AS297" s="121"/>
      <c r="AT297" s="121"/>
      <c r="AU297" s="121"/>
      <c r="AV297" s="235"/>
      <c r="AW297" s="121" t="s">
        <v>2369</v>
      </c>
      <c r="AX297" s="121" t="s">
        <v>2369</v>
      </c>
      <c r="AY297" s="121" t="s">
        <v>2369</v>
      </c>
      <c r="AZ297" s="760"/>
      <c r="BA297" s="761"/>
      <c r="BB297" s="761"/>
      <c r="BC297" s="110"/>
      <c r="BD297" s="242"/>
      <c r="BE297" s="1231"/>
      <c r="BF297" s="131"/>
      <c r="BG297" s="98"/>
      <c r="BH297" s="110"/>
      <c r="BI297" s="242"/>
      <c r="BJ297" s="1231"/>
      <c r="BK297" s="160"/>
      <c r="BL297" s="131"/>
      <c r="BM297" s="145"/>
      <c r="BN297" s="110"/>
      <c r="BO297" s="242"/>
      <c r="BP297" s="1231"/>
      <c r="BQ297" s="277"/>
      <c r="BR297" s="414"/>
      <c r="BS297" s="1356"/>
      <c r="BT297" s="414"/>
      <c r="BU297" s="1357"/>
      <c r="BV297" s="415"/>
      <c r="BW297" s="416"/>
      <c r="BX297" s="415"/>
      <c r="BY297" s="1357"/>
      <c r="BZ297" s="415"/>
      <c r="CA297" s="416"/>
      <c r="CB297" s="1358"/>
      <c r="CC297" s="263"/>
      <c r="CD297" s="263"/>
      <c r="CE297" s="263"/>
      <c r="CF297" s="263"/>
      <c r="CG297" s="263"/>
      <c r="CH297" s="263"/>
      <c r="CI297" s="263"/>
      <c r="CJ297" s="263"/>
      <c r="CK297" s="245" t="s">
        <v>2612</v>
      </c>
      <c r="CL297" s="181"/>
      <c r="CM297" s="369"/>
      <c r="CN297" s="181"/>
      <c r="CO297" s="181"/>
      <c r="CP297" s="121">
        <v>1</v>
      </c>
      <c r="CQ297" s="1390"/>
      <c r="CR297" s="131" t="s">
        <v>4641</v>
      </c>
      <c r="CS297" s="242"/>
      <c r="CT297" s="242"/>
      <c r="CU297" s="242"/>
      <c r="CV297" s="779"/>
      <c r="CW297" s="779"/>
      <c r="CX297" s="779"/>
      <c r="CY297" s="779"/>
      <c r="CZ297" s="779"/>
      <c r="DA297" s="779"/>
      <c r="DB297" s="779"/>
      <c r="DC297" s="779"/>
      <c r="DD297" s="6"/>
      <c r="DE297" s="6"/>
      <c r="DF297" s="6"/>
      <c r="DG297" s="6"/>
      <c r="DH297" s="6"/>
      <c r="DI297" s="6"/>
      <c r="DJ297" s="6"/>
      <c r="DK297" s="6"/>
      <c r="DL297" s="6"/>
      <c r="DM297" s="6"/>
      <c r="DN297" s="6"/>
      <c r="DO297" s="6"/>
      <c r="DP297" s="6"/>
      <c r="DQ297" s="6"/>
      <c r="DR297" s="6"/>
      <c r="DS297" s="6"/>
      <c r="DT297" s="6"/>
    </row>
    <row r="298" spans="1:124" ht="30" customHeight="1">
      <c r="A298" s="228"/>
      <c r="B298" s="155"/>
      <c r="C298" s="155">
        <f t="shared" si="207"/>
        <v>12</v>
      </c>
      <c r="D298" s="757"/>
      <c r="E298" s="757"/>
      <c r="F298" s="757"/>
      <c r="G298" s="369" t="s">
        <v>861</v>
      </c>
      <c r="H298" s="672" t="s">
        <v>851</v>
      </c>
      <c r="I298" s="294" t="s">
        <v>4644</v>
      </c>
      <c r="J298" s="207" t="str">
        <f t="shared" si="201"/>
        <v>Simone Filippi</v>
      </c>
      <c r="K298" s="224" t="s">
        <v>4645</v>
      </c>
      <c r="L298" s="131"/>
      <c r="M298" s="131"/>
      <c r="N298" s="131">
        <f t="shared" si="206"/>
        <v>0</v>
      </c>
      <c r="O298" s="1259"/>
      <c r="P298" s="255" t="s">
        <v>4646</v>
      </c>
      <c r="Q298" s="255" t="s">
        <v>4646</v>
      </c>
      <c r="R298" s="131" t="s">
        <v>4647</v>
      </c>
      <c r="S298" s="131" t="s">
        <v>4648</v>
      </c>
      <c r="T298" s="131"/>
      <c r="U298" s="131"/>
      <c r="V298" s="131"/>
      <c r="W298" s="514"/>
      <c r="X298" s="131"/>
      <c r="Y298" s="514"/>
      <c r="Z298" s="514"/>
      <c r="AA298" s="514"/>
      <c r="AB298" s="255"/>
      <c r="AC298" s="131"/>
      <c r="AD298" s="1363"/>
      <c r="AE298" s="207"/>
      <c r="AF298" s="515"/>
      <c r="AG298" s="516"/>
      <c r="AH298" s="516"/>
      <c r="AI298" s="516"/>
      <c r="AJ298" s="515"/>
      <c r="AK298" s="155"/>
      <c r="AL298" s="155"/>
      <c r="AM298" s="155"/>
      <c r="AN298" s="515"/>
      <c r="AO298" s="258"/>
      <c r="AP298" s="258"/>
      <c r="AQ298" s="258"/>
      <c r="AR298" s="515"/>
      <c r="AS298" s="121"/>
      <c r="AT298" s="121"/>
      <c r="AU298" s="121"/>
      <c r="AV298" s="568"/>
      <c r="AW298" s="121" t="s">
        <v>2369</v>
      </c>
      <c r="AX298" s="121" t="s">
        <v>2369</v>
      </c>
      <c r="AY298" s="121" t="s">
        <v>2369</v>
      </c>
      <c r="AZ298" s="760"/>
      <c r="BA298" s="808"/>
      <c r="BB298" s="808"/>
      <c r="BC298" s="110"/>
      <c r="BD298" s="242"/>
      <c r="BE298" s="1231"/>
      <c r="BF298" s="529"/>
      <c r="BG298" s="145"/>
      <c r="BH298" s="110"/>
      <c r="BI298" s="242"/>
      <c r="BJ298" s="1231"/>
      <c r="BK298" s="131"/>
      <c r="BL298" s="529"/>
      <c r="BM298" s="145"/>
      <c r="BN298" s="110"/>
      <c r="BO298" s="242"/>
      <c r="BP298" s="1231"/>
      <c r="BQ298" s="191"/>
      <c r="BR298" s="110"/>
      <c r="BS298" s="226"/>
      <c r="BT298" s="110"/>
      <c r="BU298" s="263"/>
      <c r="BV298" s="110"/>
      <c r="BW298" s="226"/>
      <c r="BX298" s="110"/>
      <c r="BY298" s="263"/>
      <c r="BZ298" s="110"/>
      <c r="CA298" s="226"/>
      <c r="CB298" s="110"/>
      <c r="CC298" s="206"/>
      <c r="CD298" s="206"/>
      <c r="CE298" s="206"/>
      <c r="CF298" s="206"/>
      <c r="CG298" s="206"/>
      <c r="CH298" s="206"/>
      <c r="CI298" s="206"/>
      <c r="CJ298" s="206"/>
      <c r="CK298" s="155"/>
      <c r="CL298" s="181"/>
      <c r="CM298" s="181"/>
      <c r="CN298" s="207"/>
      <c r="CO298" s="207"/>
      <c r="CP298" s="155"/>
      <c r="CQ298" s="131"/>
      <c r="CR298" s="131"/>
      <c r="CS298" s="242"/>
      <c r="CT298" s="242"/>
      <c r="CU298" s="242"/>
      <c r="CV298" s="729"/>
      <c r="CW298" s="729"/>
      <c r="CX298" s="729"/>
      <c r="CY298" s="729"/>
      <c r="CZ298" s="729"/>
      <c r="DA298" s="729"/>
      <c r="DB298" s="729"/>
      <c r="DC298" s="729"/>
    </row>
    <row r="299" spans="1:124" ht="89.25">
      <c r="A299" s="228"/>
      <c r="B299" s="155"/>
      <c r="C299" s="155">
        <f t="shared" si="207"/>
        <v>13</v>
      </c>
      <c r="D299" s="757"/>
      <c r="E299" s="757"/>
      <c r="F299" s="757"/>
      <c r="G299" s="885" t="s">
        <v>861</v>
      </c>
      <c r="H299" s="885" t="s">
        <v>4649</v>
      </c>
      <c r="I299" s="207" t="s">
        <v>4650</v>
      </c>
      <c r="J299" s="207" t="str">
        <f t="shared" si="201"/>
        <v>Simone Broglia</v>
      </c>
      <c r="K299" s="898"/>
      <c r="L299" s="555" t="s">
        <v>4651</v>
      </c>
      <c r="M299" s="1391"/>
      <c r="N299" s="131">
        <f t="shared" si="206"/>
        <v>0</v>
      </c>
      <c r="O299" s="1392"/>
      <c r="P299" s="131"/>
      <c r="Q299" s="131"/>
      <c r="R299" s="131"/>
      <c r="S299" s="224"/>
      <c r="T299" s="255"/>
      <c r="U299" s="255"/>
      <c r="V299" s="131"/>
      <c r="W299" s="131"/>
      <c r="X299" s="131"/>
      <c r="Y299" s="131"/>
      <c r="Z299" s="131"/>
      <c r="AA299" s="514"/>
      <c r="AB299" s="255"/>
      <c r="AC299" s="131"/>
      <c r="AD299" s="1363" t="s">
        <v>4652</v>
      </c>
      <c r="AE299" s="514"/>
      <c r="AF299" s="627"/>
      <c r="AG299" s="1393"/>
      <c r="AH299" s="628"/>
      <c r="AI299" s="629"/>
      <c r="AJ299" s="515"/>
      <c r="AK299" s="258"/>
      <c r="AL299" s="258"/>
      <c r="AM299" s="258"/>
      <c r="AN299" s="627"/>
      <c r="AO299" s="878"/>
      <c r="AP299" s="878"/>
      <c r="AQ299" s="878"/>
      <c r="AR299" s="515"/>
      <c r="AS299" s="304"/>
      <c r="AT299" s="304"/>
      <c r="AU299" s="304"/>
      <c r="AV299" s="568"/>
      <c r="AW299" s="304" t="s">
        <v>151</v>
      </c>
      <c r="AX299" s="304"/>
      <c r="AY299" s="304"/>
      <c r="AZ299" s="760"/>
      <c r="BA299" s="808"/>
      <c r="BB299" s="808"/>
      <c r="BC299" s="110">
        <v>0</v>
      </c>
      <c r="BD299" s="242"/>
      <c r="BE299" s="1231"/>
      <c r="BF299" s="131"/>
      <c r="BG299" s="98"/>
      <c r="BH299" s="110"/>
      <c r="BI299" s="242"/>
      <c r="BJ299" s="1231"/>
      <c r="BK299" s="131"/>
      <c r="BL299" s="131"/>
      <c r="BM299" s="207"/>
      <c r="BN299" s="110"/>
      <c r="BO299" s="242"/>
      <c r="BP299" s="1231"/>
      <c r="BQ299" s="665"/>
      <c r="BR299" s="961">
        <f t="shared" ref="BR299:BR300" si="208">163.93</f>
        <v>163.93</v>
      </c>
      <c r="BS299" s="962">
        <v>44092</v>
      </c>
      <c r="BT299" s="961">
        <f t="shared" ref="BT299:BT300" si="209">163.93</f>
        <v>163.93</v>
      </c>
      <c r="BU299" s="1394"/>
      <c r="BV299" s="961">
        <v>933.07</v>
      </c>
      <c r="BW299" s="962">
        <v>44112</v>
      </c>
      <c r="BX299" s="262"/>
      <c r="BY299" s="263"/>
      <c r="BZ299" s="905"/>
      <c r="CA299" s="226"/>
      <c r="CB299" s="226"/>
      <c r="CC299" s="226"/>
      <c r="CD299" s="226"/>
      <c r="CE299" s="206"/>
      <c r="CF299" s="206"/>
      <c r="CG299" s="206"/>
      <c r="CH299" s="206"/>
      <c r="CI299" s="206"/>
      <c r="CJ299" s="206"/>
      <c r="CK299" s="331"/>
      <c r="CL299" s="331"/>
      <c r="CM299" s="331"/>
      <c r="CN299" s="331"/>
      <c r="CO299" s="331"/>
      <c r="CP299" s="331"/>
      <c r="CQ299" s="331"/>
      <c r="CR299" s="561"/>
      <c r="CS299" s="242"/>
      <c r="CT299" s="242"/>
      <c r="CU299" s="242"/>
      <c r="CV299" s="265"/>
      <c r="CW299" s="265"/>
      <c r="CX299" s="265"/>
      <c r="CY299" s="265"/>
      <c r="CZ299" s="265"/>
      <c r="DA299" s="265"/>
      <c r="DB299" s="265"/>
      <c r="DC299" s="265"/>
    </row>
    <row r="300" spans="1:124" ht="51">
      <c r="A300" s="228"/>
      <c r="B300" s="155"/>
      <c r="C300" s="155">
        <f t="shared" si="207"/>
        <v>14</v>
      </c>
      <c r="D300" s="757"/>
      <c r="E300" s="757"/>
      <c r="F300" s="757"/>
      <c r="G300" s="885" t="s">
        <v>2972</v>
      </c>
      <c r="H300" s="885" t="s">
        <v>4653</v>
      </c>
      <c r="I300" s="449"/>
      <c r="J300" s="207" t="str">
        <f t="shared" si="201"/>
        <v>Caterina Freddi</v>
      </c>
      <c r="K300" s="898"/>
      <c r="L300" s="555" t="s">
        <v>4654</v>
      </c>
      <c r="M300" s="1391"/>
      <c r="N300" s="131">
        <f t="shared" si="206"/>
        <v>0</v>
      </c>
      <c r="O300" s="1392"/>
      <c r="P300" s="131"/>
      <c r="Q300" s="131"/>
      <c r="R300" s="131"/>
      <c r="S300" s="224"/>
      <c r="T300" s="255"/>
      <c r="U300" s="255"/>
      <c r="V300" s="131"/>
      <c r="W300" s="131"/>
      <c r="X300" s="131"/>
      <c r="Y300" s="131"/>
      <c r="Z300" s="131"/>
      <c r="AA300" s="514"/>
      <c r="AB300" s="255"/>
      <c r="AC300" s="131"/>
      <c r="AD300" s="1363" t="s">
        <v>4652</v>
      </c>
      <c r="AE300" s="514"/>
      <c r="AF300" s="627"/>
      <c r="AG300" s="1393"/>
      <c r="AH300" s="628"/>
      <c r="AI300" s="629"/>
      <c r="AJ300" s="515"/>
      <c r="AK300" s="258"/>
      <c r="AL300" s="258"/>
      <c r="AM300" s="258"/>
      <c r="AN300" s="627"/>
      <c r="AO300" s="878"/>
      <c r="AP300" s="878"/>
      <c r="AQ300" s="878"/>
      <c r="AR300" s="515"/>
      <c r="AS300" s="304"/>
      <c r="AT300" s="304"/>
      <c r="AU300" s="304"/>
      <c r="AV300" s="568"/>
      <c r="AW300" s="304" t="s">
        <v>151</v>
      </c>
      <c r="AX300" s="304"/>
      <c r="AY300" s="304"/>
      <c r="AZ300" s="760"/>
      <c r="BA300" s="808"/>
      <c r="BB300" s="808"/>
      <c r="BC300" s="110">
        <v>0</v>
      </c>
      <c r="BD300" s="242"/>
      <c r="BE300" s="1231"/>
      <c r="BF300" s="131"/>
      <c r="BG300" s="98"/>
      <c r="BH300" s="110"/>
      <c r="BI300" s="242"/>
      <c r="BJ300" s="1231"/>
      <c r="BK300" s="131"/>
      <c r="BL300" s="131"/>
      <c r="BM300" s="207"/>
      <c r="BN300" s="110"/>
      <c r="BO300" s="242"/>
      <c r="BP300" s="1231"/>
      <c r="BQ300" s="665"/>
      <c r="BR300" s="961">
        <f t="shared" si="208"/>
        <v>163.93</v>
      </c>
      <c r="BS300" s="962">
        <v>44092</v>
      </c>
      <c r="BT300" s="961">
        <f t="shared" si="209"/>
        <v>163.93</v>
      </c>
      <c r="BU300" s="1394"/>
      <c r="BV300" s="961">
        <v>933.07</v>
      </c>
      <c r="BW300" s="962">
        <v>44112</v>
      </c>
      <c r="BX300" s="262"/>
      <c r="BY300" s="263"/>
      <c r="BZ300" s="905"/>
      <c r="CA300" s="226"/>
      <c r="CB300" s="226"/>
      <c r="CC300" s="226"/>
      <c r="CD300" s="226"/>
      <c r="CE300" s="206"/>
      <c r="CF300" s="206"/>
      <c r="CG300" s="206"/>
      <c r="CH300" s="206"/>
      <c r="CI300" s="206"/>
      <c r="CJ300" s="206"/>
      <c r="CK300" s="331"/>
      <c r="CL300" s="331"/>
      <c r="CM300" s="331"/>
      <c r="CN300" s="331"/>
      <c r="CO300" s="331"/>
      <c r="CP300" s="331"/>
      <c r="CQ300" s="331"/>
      <c r="CR300" s="561"/>
      <c r="CS300" s="242"/>
      <c r="CT300" s="242"/>
      <c r="CU300" s="242"/>
      <c r="CV300" s="265"/>
      <c r="CW300" s="265"/>
      <c r="CX300" s="265"/>
      <c r="CY300" s="265"/>
      <c r="CZ300" s="265"/>
      <c r="DA300" s="265"/>
      <c r="DB300" s="265"/>
      <c r="DC300" s="265"/>
    </row>
    <row r="301" spans="1:124" ht="51">
      <c r="A301" s="228"/>
      <c r="B301" s="155"/>
      <c r="C301" s="155">
        <f t="shared" si="207"/>
        <v>15</v>
      </c>
      <c r="D301" s="757"/>
      <c r="E301" s="757"/>
      <c r="F301" s="757"/>
      <c r="G301" s="369" t="s">
        <v>141</v>
      </c>
      <c r="H301" s="672" t="s">
        <v>2257</v>
      </c>
      <c r="I301" s="207" t="s">
        <v>2258</v>
      </c>
      <c r="J301" s="207" t="str">
        <f t="shared" si="201"/>
        <v>Daniele Domeniconi</v>
      </c>
      <c r="K301" s="224">
        <v>3480910652</v>
      </c>
      <c r="L301" s="555" t="s">
        <v>4655</v>
      </c>
      <c r="M301" s="131"/>
      <c r="N301" s="131" t="str">
        <f t="shared" si="206"/>
        <v>Nextmedia</v>
      </c>
      <c r="O301" s="1259"/>
      <c r="P301" s="255" t="s">
        <v>2261</v>
      </c>
      <c r="Q301" s="255" t="s">
        <v>2261</v>
      </c>
      <c r="R301" s="131" t="s">
        <v>2262</v>
      </c>
      <c r="S301" s="131" t="s">
        <v>2263</v>
      </c>
      <c r="T301" s="131"/>
      <c r="U301" s="131"/>
      <c r="V301" s="131"/>
      <c r="W301" s="331"/>
      <c r="X301" s="131"/>
      <c r="Y301" s="258"/>
      <c r="Z301" s="258"/>
      <c r="AA301" s="258"/>
      <c r="AB301" s="258" t="s">
        <v>2264</v>
      </c>
      <c r="AC301" s="558" t="s">
        <v>2265</v>
      </c>
      <c r="AD301" s="1395" t="s">
        <v>2266</v>
      </c>
      <c r="AE301" s="207"/>
      <c r="AF301" s="515"/>
      <c r="AG301" s="516"/>
      <c r="AH301" s="516" t="s">
        <v>115</v>
      </c>
      <c r="AI301" s="516" t="s">
        <v>115</v>
      </c>
      <c r="AJ301" s="515"/>
      <c r="AK301" s="155"/>
      <c r="AL301" s="155"/>
      <c r="AM301" s="155"/>
      <c r="AN301" s="515"/>
      <c r="AO301" s="155"/>
      <c r="AP301" s="155"/>
      <c r="AQ301" s="155"/>
      <c r="AR301" s="515"/>
      <c r="AS301" s="121"/>
      <c r="AT301" s="121"/>
      <c r="AU301" s="121"/>
      <c r="AV301" s="568"/>
      <c r="AW301" s="121" t="s">
        <v>27</v>
      </c>
      <c r="AX301" s="121"/>
      <c r="AY301" s="121"/>
      <c r="AZ301" s="889"/>
      <c r="BA301" s="902"/>
      <c r="BB301" s="902"/>
      <c r="BC301" s="110"/>
      <c r="BD301" s="242"/>
      <c r="BE301" s="1231"/>
      <c r="BF301" s="529"/>
      <c r="BG301" s="145"/>
      <c r="BH301" s="110"/>
      <c r="BI301" s="242"/>
      <c r="BJ301" s="1231"/>
      <c r="BK301" s="678"/>
      <c r="BL301" s="529"/>
      <c r="BM301" s="145"/>
      <c r="BN301" s="110"/>
      <c r="BO301" s="242"/>
      <c r="BP301" s="1231"/>
      <c r="BQ301" s="243"/>
      <c r="BR301" s="301"/>
      <c r="BS301" s="206"/>
      <c r="BT301" s="301"/>
      <c r="BU301" s="206"/>
      <c r="BV301" s="206"/>
      <c r="BW301" s="206"/>
      <c r="BX301" s="206"/>
      <c r="BY301" s="263"/>
      <c r="BZ301" s="110"/>
      <c r="CA301" s="226"/>
      <c r="CB301" s="110"/>
      <c r="CC301" s="263"/>
      <c r="CD301" s="110"/>
      <c r="CE301" s="226"/>
      <c r="CF301" s="110"/>
      <c r="CG301" s="263"/>
      <c r="CH301" s="110"/>
      <c r="CI301" s="226"/>
      <c r="CJ301" s="110"/>
      <c r="CK301" s="245"/>
      <c r="CL301" s="181"/>
      <c r="CM301" s="369"/>
      <c r="CN301" s="181"/>
      <c r="CO301" s="181"/>
      <c r="CP301" s="121"/>
      <c r="CQ301" s="131"/>
      <c r="CR301" s="131" t="s">
        <v>2260</v>
      </c>
      <c r="CS301" s="242"/>
      <c r="CT301" s="242"/>
      <c r="CU301" s="242"/>
      <c r="CV301" s="779"/>
      <c r="CW301" s="779"/>
      <c r="CX301" s="779"/>
      <c r="CY301" s="779"/>
      <c r="CZ301" s="779"/>
      <c r="DA301" s="779"/>
      <c r="DB301" s="779"/>
      <c r="DC301" s="779"/>
    </row>
    <row r="302" spans="1:124" ht="30" customHeight="1">
      <c r="A302" s="632"/>
      <c r="B302" s="594"/>
      <c r="C302" s="155">
        <f t="shared" si="207"/>
        <v>16</v>
      </c>
      <c r="D302" s="643"/>
      <c r="E302" s="643"/>
      <c r="F302" s="643"/>
      <c r="G302" s="634" t="s">
        <v>1799</v>
      </c>
      <c r="H302" s="634" t="s">
        <v>2284</v>
      </c>
      <c r="I302" s="207" t="s">
        <v>2285</v>
      </c>
      <c r="J302" s="594" t="str">
        <f t="shared" si="201"/>
        <v>Fulvio Manenti</v>
      </c>
      <c r="K302" s="1396"/>
      <c r="L302" s="1397"/>
      <c r="M302" s="1398"/>
      <c r="N302" s="131">
        <f t="shared" si="206"/>
        <v>0</v>
      </c>
      <c r="O302" s="641"/>
      <c r="P302" s="1399"/>
      <c r="Q302" s="1399"/>
      <c r="R302" s="358" t="s">
        <v>2288</v>
      </c>
      <c r="S302" s="639"/>
      <c r="T302" s="640"/>
      <c r="U302" s="640"/>
      <c r="V302" s="594"/>
      <c r="W302" s="640"/>
      <c r="X302" s="594"/>
      <c r="Y302" s="640"/>
      <c r="Z302" s="640"/>
      <c r="AA302" s="640"/>
      <c r="AB302" s="640"/>
      <c r="AC302" s="594"/>
      <c r="AD302" s="1400" t="s">
        <v>2289</v>
      </c>
      <c r="AE302" s="640" t="s">
        <v>4656</v>
      </c>
      <c r="AF302" s="641"/>
      <c r="AG302" s="642"/>
      <c r="AH302" s="642"/>
      <c r="AI302" s="643"/>
      <c r="AJ302" s="641"/>
      <c r="AK302" s="594"/>
      <c r="AL302" s="594"/>
      <c r="AM302" s="594"/>
      <c r="AN302" s="641"/>
      <c r="AO302" s="594"/>
      <c r="AP302" s="594"/>
      <c r="AQ302" s="594"/>
      <c r="AR302" s="641"/>
      <c r="AS302" s="617"/>
      <c r="AT302" s="617"/>
      <c r="AU302" s="617"/>
      <c r="AV302" s="644"/>
      <c r="AW302" s="121"/>
      <c r="AX302" s="617" t="s">
        <v>27</v>
      </c>
      <c r="AY302" s="617" t="s">
        <v>27</v>
      </c>
      <c r="AZ302" s="1300"/>
      <c r="BA302" s="1301"/>
      <c r="BB302" s="1300"/>
      <c r="BC302" s="586"/>
      <c r="BD302" s="587"/>
      <c r="BE302" s="1231"/>
      <c r="BF302" s="1401"/>
      <c r="BG302" s="651"/>
      <c r="BH302" s="652"/>
      <c r="BI302" s="653"/>
      <c r="BJ302" s="1231"/>
      <c r="BK302" s="1402"/>
      <c r="BL302" s="383"/>
      <c r="BM302" s="1403"/>
      <c r="BN302" s="1249"/>
      <c r="BO302" s="1302"/>
      <c r="BP302" s="1231"/>
      <c r="BQ302" s="1402"/>
      <c r="BR302" s="658"/>
      <c r="BS302" s="658"/>
      <c r="BT302" s="658"/>
      <c r="BU302" s="658"/>
      <c r="BV302" s="658"/>
      <c r="BW302" s="658"/>
      <c r="BX302" s="658"/>
      <c r="BY302" s="658"/>
      <c r="BZ302" s="658"/>
      <c r="CA302" s="658"/>
      <c r="CB302" s="658"/>
      <c r="CC302" s="658"/>
      <c r="CD302" s="658"/>
      <c r="CE302" s="658"/>
      <c r="CF302" s="658"/>
      <c r="CG302" s="658"/>
      <c r="CH302" s="658"/>
      <c r="CI302" s="658"/>
      <c r="CJ302" s="658"/>
      <c r="CK302" s="594"/>
      <c r="CL302" s="594"/>
      <c r="CM302" s="594"/>
      <c r="CN302" s="594"/>
      <c r="CO302" s="594"/>
      <c r="CP302" s="594"/>
      <c r="CQ302" s="594"/>
      <c r="CR302" s="655"/>
      <c r="CS302" s="682"/>
      <c r="CT302" s="242"/>
      <c r="CU302" s="242"/>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row>
    <row r="303" spans="1:124" ht="68.25" customHeight="1">
      <c r="A303" s="228"/>
      <c r="B303" s="155"/>
      <c r="C303" s="155">
        <f t="shared" si="207"/>
        <v>17</v>
      </c>
      <c r="D303" s="757"/>
      <c r="E303" s="757"/>
      <c r="F303" s="757"/>
      <c r="G303" s="921" t="s">
        <v>4657</v>
      </c>
      <c r="H303" s="922" t="s">
        <v>4658</v>
      </c>
      <c r="I303" s="207" t="s">
        <v>2285</v>
      </c>
      <c r="J303" s="207" t="str">
        <f t="shared" si="201"/>
        <v>Ketty Quabba</v>
      </c>
      <c r="K303" s="671"/>
      <c r="L303" s="555" t="s">
        <v>2393</v>
      </c>
      <c r="M303" s="183"/>
      <c r="N303" s="131">
        <f t="shared" si="206"/>
        <v>0</v>
      </c>
      <c r="O303" s="1361"/>
      <c r="P303" s="623"/>
      <c r="Q303" s="623"/>
      <c r="R303" s="624" t="s">
        <v>2288</v>
      </c>
      <c r="S303" s="625"/>
      <c r="T303" s="255"/>
      <c r="U303" s="255"/>
      <c r="V303" s="131"/>
      <c r="W303" s="131"/>
      <c r="X303" s="131"/>
      <c r="Y303" s="131"/>
      <c r="Z303" s="131"/>
      <c r="AA303" s="514"/>
      <c r="AB303" s="255"/>
      <c r="AC303" s="131"/>
      <c r="AD303" s="1404" t="s">
        <v>2292</v>
      </c>
      <c r="AE303" s="514"/>
      <c r="AF303" s="627"/>
      <c r="AG303" s="1393"/>
      <c r="AH303" s="628"/>
      <c r="AI303" s="629"/>
      <c r="AJ303" s="515"/>
      <c r="AK303" s="258"/>
      <c r="AL303" s="258"/>
      <c r="AM303" s="258"/>
      <c r="AN303" s="627"/>
      <c r="AO303" s="207"/>
      <c r="AP303" s="207"/>
      <c r="AQ303" s="207"/>
      <c r="AR303" s="515"/>
      <c r="AS303" s="121"/>
      <c r="AT303" s="121"/>
      <c r="AU303" s="121"/>
      <c r="AV303" s="568"/>
      <c r="AW303" s="121" t="s">
        <v>27</v>
      </c>
      <c r="AX303" s="121" t="s">
        <v>27</v>
      </c>
      <c r="AY303" s="121" t="s">
        <v>27</v>
      </c>
      <c r="AZ303" s="889"/>
      <c r="BA303" s="932"/>
      <c r="BB303" s="902"/>
      <c r="BC303" s="110"/>
      <c r="BD303" s="242"/>
      <c r="BE303" s="1231"/>
      <c r="BF303" s="630"/>
      <c r="BG303" s="191"/>
      <c r="BH303" s="110"/>
      <c r="BI303" s="242"/>
      <c r="BJ303" s="1231"/>
      <c r="BK303" s="207"/>
      <c r="BL303" s="131"/>
      <c r="BM303" s="207"/>
      <c r="BN303" s="110"/>
      <c r="BO303" s="242"/>
      <c r="BP303" s="1231"/>
      <c r="BQ303" s="665"/>
      <c r="BR303" s="338"/>
      <c r="BS303" s="338"/>
      <c r="BT303" s="338"/>
      <c r="BU303" s="338"/>
      <c r="BV303" s="338"/>
      <c r="BW303" s="338"/>
      <c r="BX303" s="338"/>
      <c r="BY303" s="338"/>
      <c r="BZ303" s="338"/>
      <c r="CA303" s="338"/>
      <c r="CB303" s="338"/>
      <c r="CC303" s="338"/>
      <c r="CD303" s="338"/>
      <c r="CE303" s="338"/>
      <c r="CF303" s="338"/>
      <c r="CG303" s="338"/>
      <c r="CH303" s="338"/>
      <c r="CI303" s="338"/>
      <c r="CJ303" s="338"/>
      <c r="CK303" s="557"/>
      <c r="CL303" s="331"/>
      <c r="CM303" s="631"/>
      <c r="CN303" s="331"/>
      <c r="CO303" s="331"/>
      <c r="CP303" s="331"/>
      <c r="CQ303" s="331"/>
      <c r="CR303" s="561"/>
      <c r="CS303" s="242"/>
      <c r="CT303" s="242"/>
      <c r="CU303" s="242"/>
      <c r="CV303" s="265"/>
      <c r="CW303" s="265"/>
      <c r="CX303" s="265"/>
      <c r="CY303" s="265"/>
      <c r="CZ303" s="265"/>
      <c r="DA303" s="265"/>
      <c r="DB303" s="265"/>
      <c r="DC303" s="265"/>
    </row>
    <row r="304" spans="1:124" ht="36.75" customHeight="1">
      <c r="A304" s="228"/>
      <c r="B304" s="711"/>
      <c r="C304" s="711"/>
      <c r="D304" s="711"/>
      <c r="E304" s="711"/>
      <c r="F304" s="711"/>
      <c r="G304" s="711"/>
      <c r="H304" s="711"/>
      <c r="I304" s="711"/>
      <c r="J304" s="711"/>
      <c r="K304" s="1405"/>
      <c r="L304" s="1406"/>
      <c r="M304" s="1406"/>
      <c r="N304" s="1406"/>
      <c r="O304" s="711"/>
      <c r="P304" s="711"/>
      <c r="Q304" s="711"/>
      <c r="R304" s="1407"/>
      <c r="S304" s="711"/>
      <c r="T304" s="711"/>
      <c r="U304" s="711"/>
      <c r="V304" s="711"/>
      <c r="W304" s="711"/>
      <c r="X304" s="711"/>
      <c r="Y304" s="711"/>
      <c r="Z304" s="711"/>
      <c r="AA304" s="711"/>
      <c r="AB304" s="711"/>
      <c r="AC304" s="711"/>
      <c r="AD304" s="711"/>
      <c r="AE304" s="711"/>
      <c r="AF304" s="711"/>
      <c r="AG304" s="711"/>
      <c r="AH304" s="711"/>
      <c r="AI304" s="711"/>
      <c r="AJ304" s="711"/>
      <c r="AK304" s="711"/>
      <c r="AL304" s="711"/>
      <c r="AM304" s="711"/>
      <c r="AN304" s="711"/>
      <c r="AO304" s="1408"/>
      <c r="AP304" s="1408"/>
      <c r="AQ304" s="1408"/>
      <c r="AR304" s="568"/>
      <c r="AS304" s="1408"/>
      <c r="AT304" s="1408"/>
      <c r="AU304" s="1408"/>
      <c r="AV304" s="568"/>
      <c r="AW304" s="1408"/>
      <c r="AX304" s="1408"/>
      <c r="AY304" s="1408"/>
      <c r="AZ304" s="1409">
        <f t="shared" ref="AZ304:BE304" si="210">SUM(AZ2:AZ303)</f>
        <v>648546.00442622951</v>
      </c>
      <c r="BA304" s="1409">
        <f t="shared" si="210"/>
        <v>494172.21655737708</v>
      </c>
      <c r="BB304" s="1409">
        <f t="shared" si="210"/>
        <v>154373.78786885247</v>
      </c>
      <c r="BC304" s="415">
        <f t="shared" si="210"/>
        <v>121874</v>
      </c>
      <c r="BD304" s="1410">
        <f t="shared" si="210"/>
        <v>321984.2</v>
      </c>
      <c r="BE304" s="1411">
        <f t="shared" si="210"/>
        <v>207193</v>
      </c>
      <c r="BF304" s="805"/>
      <c r="BG304" s="724"/>
      <c r="BH304" s="1412">
        <f t="shared" ref="BH304:BJ304" si="211">SUM(BH2:BH303)</f>
        <v>14534.849999999991</v>
      </c>
      <c r="BI304" s="1413">
        <f t="shared" si="211"/>
        <v>32961.849999999962</v>
      </c>
      <c r="BJ304" s="1414">
        <f t="shared" si="211"/>
        <v>21638.249999999978</v>
      </c>
      <c r="BK304" s="3"/>
      <c r="BL304" s="2"/>
      <c r="BM304" s="3"/>
      <c r="BN304" s="1412">
        <f t="shared" ref="BN304:BP304" si="212">SUM(BN2:BN303)</f>
        <v>7752.0499999999975</v>
      </c>
      <c r="BO304" s="1413">
        <f t="shared" si="212"/>
        <v>19869.449999999983</v>
      </c>
      <c r="BP304" s="1414">
        <f t="shared" si="212"/>
        <v>11613.450000000015</v>
      </c>
      <c r="BQ304" s="724"/>
      <c r="BR304" s="3"/>
      <c r="BS304" s="3"/>
      <c r="BT304" s="3"/>
      <c r="BU304" s="3"/>
      <c r="BV304" s="3"/>
      <c r="BW304" s="3"/>
      <c r="BX304" s="3"/>
      <c r="BY304" s="3"/>
      <c r="BZ304" s="3"/>
      <c r="CA304" s="3"/>
      <c r="CB304" s="3"/>
      <c r="CC304" s="3"/>
      <c r="CD304" s="3"/>
      <c r="CE304" s="3"/>
      <c r="CF304" s="3"/>
      <c r="CG304" s="3"/>
      <c r="CH304" s="3"/>
      <c r="CI304" s="3"/>
      <c r="CJ304" s="3"/>
      <c r="CK304" s="228"/>
      <c r="CL304" s="3"/>
      <c r="CM304" s="3"/>
      <c r="CN304" s="3"/>
      <c r="CO304" s="3"/>
      <c r="CP304" s="3"/>
      <c r="CQ304" s="3"/>
      <c r="CR304" s="2"/>
      <c r="CS304" s="2"/>
      <c r="CT304" s="1415">
        <f t="shared" ref="CT304:CU304" si="213">SUM(CT2:CT303)</f>
        <v>31704.429999999964</v>
      </c>
      <c r="CU304" s="1415">
        <f t="shared" si="213"/>
        <v>19030.759999999991</v>
      </c>
      <c r="CV304" s="729"/>
      <c r="CW304" s="729"/>
      <c r="CX304" s="729"/>
      <c r="CY304" s="729"/>
      <c r="CZ304" s="729"/>
      <c r="DA304" s="729"/>
      <c r="DB304" s="729"/>
      <c r="DC304" s="729"/>
      <c r="DD304" s="265"/>
      <c r="DE304" s="265"/>
      <c r="DF304" s="265"/>
      <c r="DG304" s="265"/>
      <c r="DH304" s="265"/>
      <c r="DI304" s="265"/>
      <c r="DJ304" s="265"/>
      <c r="DK304" s="265"/>
      <c r="DL304" s="265"/>
      <c r="DM304" s="265"/>
      <c r="DN304" s="265"/>
      <c r="DO304" s="265"/>
      <c r="DP304" s="265"/>
      <c r="DQ304" s="265"/>
      <c r="DR304" s="265"/>
      <c r="DS304" s="265"/>
      <c r="DT304" s="265"/>
    </row>
    <row r="305" spans="1:124" ht="36.75" customHeight="1">
      <c r="A305" s="228"/>
      <c r="B305" s="3"/>
      <c r="C305" s="3"/>
      <c r="D305" s="121">
        <f t="shared" ref="D305:F305" si="214">SUM(D2:D303)</f>
        <v>142</v>
      </c>
      <c r="E305" s="121">
        <f t="shared" si="214"/>
        <v>152</v>
      </c>
      <c r="F305" s="121">
        <f t="shared" si="214"/>
        <v>142</v>
      </c>
      <c r="G305" s="3"/>
      <c r="H305" s="3"/>
      <c r="I305" s="3"/>
      <c r="J305" s="3"/>
      <c r="K305" s="731"/>
      <c r="L305" s="2"/>
      <c r="M305" s="2"/>
      <c r="N305" s="2"/>
      <c r="O305" s="3"/>
      <c r="P305" s="3"/>
      <c r="Q305" s="3"/>
      <c r="R305" s="265"/>
      <c r="S305" s="3"/>
      <c r="T305" s="3"/>
      <c r="U305" s="3"/>
      <c r="V305" s="3"/>
      <c r="W305" s="3"/>
      <c r="X305" s="3"/>
      <c r="Y305" s="3"/>
      <c r="Z305" s="3"/>
      <c r="AA305" s="3"/>
      <c r="AB305" s="3"/>
      <c r="AC305" s="3"/>
      <c r="AD305" s="3"/>
      <c r="AE305" s="3"/>
      <c r="AF305" s="3"/>
      <c r="AG305" s="3"/>
      <c r="AH305" s="3"/>
      <c r="AI305" s="3"/>
      <c r="AJ305" s="3"/>
      <c r="AK305" s="711"/>
      <c r="AL305" s="711"/>
      <c r="AM305" s="711"/>
      <c r="AN305" s="711"/>
      <c r="AO305" s="1408"/>
      <c r="AP305" s="1408"/>
      <c r="AQ305" s="1408"/>
      <c r="AR305" s="568"/>
      <c r="AS305" s="1416">
        <f t="shared" ref="AS305:AU305" si="215">AS306+AS307+AS308</f>
        <v>141</v>
      </c>
      <c r="AT305" s="1417">
        <f t="shared" si="215"/>
        <v>152</v>
      </c>
      <c r="AU305" s="38">
        <f t="shared" si="215"/>
        <v>141</v>
      </c>
      <c r="AV305" s="568"/>
      <c r="AW305" s="1416">
        <f t="shared" ref="AW305:AY305" si="216">AW306+AW307+AW308</f>
        <v>36</v>
      </c>
      <c r="AX305" s="1417">
        <f t="shared" si="216"/>
        <v>33</v>
      </c>
      <c r="AY305" s="1417">
        <f t="shared" si="216"/>
        <v>39</v>
      </c>
      <c r="AZ305" s="3"/>
      <c r="BA305" s="3"/>
      <c r="BB305" s="3"/>
      <c r="BC305" s="3"/>
      <c r="BD305" s="3"/>
      <c r="BE305" s="3"/>
      <c r="BF305" s="3"/>
      <c r="BG305" s="3"/>
      <c r="BH305" s="3"/>
      <c r="BI305" s="3"/>
      <c r="BJ305" s="3"/>
      <c r="BK305" s="3"/>
      <c r="BL305" s="2"/>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228"/>
      <c r="CL305" s="3"/>
      <c r="CM305" s="3"/>
      <c r="CN305" s="3"/>
      <c r="CO305" s="3"/>
      <c r="CP305" s="3"/>
      <c r="CQ305" s="3"/>
      <c r="CR305" s="2"/>
      <c r="CS305" s="2"/>
      <c r="CT305" s="2"/>
      <c r="CU305" s="2"/>
      <c r="CV305" s="729"/>
      <c r="CW305" s="729"/>
      <c r="CX305" s="729"/>
      <c r="CY305" s="729"/>
      <c r="CZ305" s="729"/>
      <c r="DA305" s="729"/>
      <c r="DB305" s="729"/>
      <c r="DC305" s="729"/>
      <c r="DD305" s="265"/>
      <c r="DE305" s="265"/>
      <c r="DF305" s="265"/>
      <c r="DG305" s="265"/>
      <c r="DH305" s="265"/>
      <c r="DI305" s="265"/>
      <c r="DJ305" s="265"/>
      <c r="DK305" s="265"/>
      <c r="DL305" s="265"/>
      <c r="DM305" s="265"/>
      <c r="DN305" s="265"/>
      <c r="DO305" s="265"/>
      <c r="DP305" s="265"/>
      <c r="DQ305" s="265"/>
      <c r="DR305" s="265"/>
      <c r="DS305" s="265"/>
      <c r="DT305" s="265"/>
    </row>
    <row r="306" spans="1:124" ht="36.75" customHeight="1">
      <c r="A306" s="228"/>
      <c r="B306" s="3"/>
      <c r="C306" s="3"/>
      <c r="D306" s="3"/>
      <c r="E306" s="3"/>
      <c r="F306" s="3"/>
      <c r="G306" s="3"/>
      <c r="H306" s="3"/>
      <c r="I306" s="3"/>
      <c r="J306" s="3"/>
      <c r="K306" s="731"/>
      <c r="L306" s="2"/>
      <c r="M306" s="2"/>
      <c r="N306" s="2"/>
      <c r="O306" s="3"/>
      <c r="P306" s="3"/>
      <c r="Q306" s="3"/>
      <c r="R306" s="265"/>
      <c r="S306" s="3"/>
      <c r="T306" s="3"/>
      <c r="U306" s="3"/>
      <c r="V306" s="3"/>
      <c r="W306" s="3"/>
      <c r="X306" s="3"/>
      <c r="Y306" s="3"/>
      <c r="Z306" s="3"/>
      <c r="AA306" s="3"/>
      <c r="AB306" s="3"/>
      <c r="AC306" s="3"/>
      <c r="AD306" s="3"/>
      <c r="AE306" s="3"/>
      <c r="AF306" s="3"/>
      <c r="AG306" s="3"/>
      <c r="AH306" s="3"/>
      <c r="AI306" s="3"/>
      <c r="AJ306" s="3"/>
      <c r="AK306" s="1418" t="s">
        <v>2596</v>
      </c>
      <c r="AL306" s="3"/>
      <c r="AM306" s="3"/>
      <c r="AN306" s="3"/>
      <c r="AO306" s="228"/>
      <c r="AP306" s="228"/>
      <c r="AQ306" s="736"/>
      <c r="AR306" s="737" t="s">
        <v>115</v>
      </c>
      <c r="AS306" s="1419">
        <f t="shared" ref="AS306:AU306" si="217">COUNTIF(AS2:AS303,"F")</f>
        <v>111</v>
      </c>
      <c r="AT306" s="1419">
        <f t="shared" si="217"/>
        <v>124</v>
      </c>
      <c r="AU306" s="1419">
        <f t="shared" si="217"/>
        <v>122</v>
      </c>
      <c r="AV306" s="737" t="s">
        <v>115</v>
      </c>
      <c r="AW306" s="1419">
        <f t="shared" ref="AW306:AY306" si="218">COUNTIF(AW2:AW303,"F")</f>
        <v>33</v>
      </c>
      <c r="AX306" s="1419">
        <f t="shared" si="218"/>
        <v>30</v>
      </c>
      <c r="AY306" s="1419">
        <f t="shared" si="218"/>
        <v>36</v>
      </c>
      <c r="AZ306" s="3"/>
      <c r="BA306" s="3"/>
      <c r="BB306" s="3"/>
      <c r="BC306" s="3"/>
      <c r="BD306" s="3"/>
      <c r="BF306" s="3"/>
      <c r="BG306" s="3"/>
      <c r="BH306" s="3"/>
      <c r="BI306" s="3"/>
      <c r="BJ306" s="3"/>
      <c r="BK306" s="3"/>
      <c r="BL306" s="2"/>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228"/>
      <c r="CL306" s="3"/>
      <c r="CM306" s="3"/>
      <c r="CN306" s="3"/>
      <c r="CO306" s="3"/>
      <c r="CP306" s="3"/>
      <c r="CQ306" s="3"/>
      <c r="CR306" s="2"/>
      <c r="CS306" s="2"/>
      <c r="CT306" s="2"/>
      <c r="CU306" s="2"/>
      <c r="CV306" s="729"/>
      <c r="CW306" s="729"/>
      <c r="CX306" s="729"/>
      <c r="CY306" s="729"/>
      <c r="CZ306" s="729"/>
      <c r="DA306" s="729"/>
      <c r="DB306" s="729"/>
      <c r="DC306" s="729"/>
      <c r="DD306" s="265"/>
      <c r="DE306" s="265"/>
      <c r="DF306" s="265"/>
      <c r="DG306" s="265"/>
      <c r="DH306" s="265"/>
      <c r="DI306" s="265"/>
      <c r="DJ306" s="265"/>
      <c r="DK306" s="265"/>
      <c r="DL306" s="265"/>
      <c r="DM306" s="265"/>
      <c r="DN306" s="265"/>
      <c r="DO306" s="265"/>
      <c r="DP306" s="265"/>
      <c r="DQ306" s="265"/>
      <c r="DR306" s="265"/>
      <c r="DS306" s="265"/>
      <c r="DT306" s="265"/>
    </row>
    <row r="307" spans="1:124" ht="36.75" customHeight="1">
      <c r="A307" s="228"/>
      <c r="B307" s="3"/>
      <c r="C307" s="3"/>
      <c r="D307" s="3"/>
      <c r="E307" s="3"/>
      <c r="F307" s="3"/>
      <c r="G307" s="3"/>
      <c r="H307" s="3"/>
      <c r="I307" s="3"/>
      <c r="J307" s="3"/>
      <c r="K307" s="731"/>
      <c r="L307" s="2"/>
      <c r="M307" s="2"/>
      <c r="N307" s="2"/>
      <c r="O307" s="3"/>
      <c r="P307" s="3"/>
      <c r="Q307" s="3"/>
      <c r="R307" s="265"/>
      <c r="S307" s="3"/>
      <c r="T307" s="3"/>
      <c r="U307" s="3"/>
      <c r="V307" s="3"/>
      <c r="W307" s="3"/>
      <c r="X307" s="3"/>
      <c r="Y307" s="3"/>
      <c r="Z307" s="3"/>
      <c r="AA307" s="3"/>
      <c r="AB307" s="3"/>
      <c r="AC307" s="3"/>
      <c r="AD307" s="3"/>
      <c r="AE307" s="3"/>
      <c r="AF307" s="3"/>
      <c r="AG307" s="3"/>
      <c r="AH307" s="3"/>
      <c r="AI307" s="3"/>
      <c r="AJ307" s="3"/>
      <c r="AK307" s="1418" t="s">
        <v>4659</v>
      </c>
      <c r="AL307" s="3"/>
      <c r="AM307" s="3"/>
      <c r="AN307" s="3"/>
      <c r="AO307" s="228"/>
      <c r="AP307" s="228"/>
      <c r="AQ307" s="736"/>
      <c r="AR307" s="1420" t="s">
        <v>2992</v>
      </c>
      <c r="AS307" s="1421">
        <f t="shared" ref="AS307:AU307" si="219">COUNTIF(AS2:AS303,"L")</f>
        <v>0</v>
      </c>
      <c r="AT307" s="1421">
        <f t="shared" si="219"/>
        <v>0</v>
      </c>
      <c r="AU307" s="1421">
        <f t="shared" si="219"/>
        <v>0</v>
      </c>
      <c r="AV307" s="1420" t="s">
        <v>2992</v>
      </c>
      <c r="AW307" s="1421">
        <f t="shared" ref="AW307:AY307" si="220">COUNTIF(AW2:AW303,"L")</f>
        <v>0</v>
      </c>
      <c r="AX307" s="1421">
        <f t="shared" si="220"/>
        <v>0</v>
      </c>
      <c r="AY307" s="1421">
        <f t="shared" si="220"/>
        <v>0</v>
      </c>
      <c r="AZ307" s="3"/>
      <c r="BA307" s="3"/>
      <c r="BB307" s="3"/>
      <c r="BC307" s="3"/>
      <c r="BD307" s="3"/>
      <c r="BE307" s="3"/>
      <c r="BF307" s="3"/>
      <c r="BG307" s="3"/>
      <c r="BH307" s="3"/>
      <c r="BI307" s="3"/>
      <c r="BJ307" s="3"/>
      <c r="BK307" s="3"/>
      <c r="BL307" s="2"/>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228"/>
      <c r="CL307" s="3"/>
      <c r="CM307" s="3"/>
      <c r="CN307" s="3"/>
      <c r="CO307" s="3"/>
      <c r="CP307" s="3"/>
      <c r="CQ307" s="3"/>
      <c r="CR307" s="2"/>
      <c r="CS307" s="2"/>
      <c r="CT307" s="2"/>
      <c r="CU307" s="2"/>
      <c r="CV307" s="729"/>
      <c r="CW307" s="729"/>
      <c r="CX307" s="729"/>
      <c r="CY307" s="729"/>
      <c r="CZ307" s="729"/>
      <c r="DA307" s="729"/>
      <c r="DB307" s="729"/>
      <c r="DC307" s="729"/>
      <c r="DD307" s="265"/>
      <c r="DE307" s="265"/>
      <c r="DF307" s="265"/>
      <c r="DG307" s="265"/>
      <c r="DH307" s="265"/>
      <c r="DI307" s="265"/>
      <c r="DJ307" s="265"/>
      <c r="DK307" s="265"/>
      <c r="DL307" s="265"/>
      <c r="DM307" s="265"/>
      <c r="DN307" s="265"/>
      <c r="DO307" s="265"/>
      <c r="DP307" s="265"/>
      <c r="DQ307" s="265"/>
      <c r="DR307" s="265"/>
      <c r="DS307" s="265"/>
      <c r="DT307" s="265"/>
    </row>
    <row r="308" spans="1:124" ht="36.75" customHeight="1">
      <c r="A308" s="228"/>
      <c r="B308" s="3"/>
      <c r="C308" s="3"/>
      <c r="D308" s="3"/>
      <c r="E308" s="3"/>
      <c r="F308" s="3"/>
      <c r="G308" s="3"/>
      <c r="H308" s="3"/>
      <c r="I308" s="3"/>
      <c r="J308" s="3"/>
      <c r="K308" s="731"/>
      <c r="L308" s="2"/>
      <c r="M308" s="2"/>
      <c r="N308" s="2"/>
      <c r="O308" s="3"/>
      <c r="P308" s="3"/>
      <c r="Q308" s="3"/>
      <c r="R308" s="265"/>
      <c r="S308" s="3"/>
      <c r="T308" s="3"/>
      <c r="U308" s="3"/>
      <c r="V308" s="3"/>
      <c r="W308" s="3"/>
      <c r="X308" s="3"/>
      <c r="Y308" s="3"/>
      <c r="Z308" s="3"/>
      <c r="AA308" s="3"/>
      <c r="AB308" s="3"/>
      <c r="AC308" s="3"/>
      <c r="AD308" s="3"/>
      <c r="AE308" s="3"/>
      <c r="AF308" s="3"/>
      <c r="AG308" s="3"/>
      <c r="AH308" s="3"/>
      <c r="AI308" s="3"/>
      <c r="AJ308" s="3"/>
      <c r="AK308" s="1418" t="s">
        <v>2597</v>
      </c>
      <c r="AL308" s="3"/>
      <c r="AM308" s="3"/>
      <c r="AN308" s="3"/>
      <c r="AO308" s="228"/>
      <c r="AP308" s="228"/>
      <c r="AQ308" s="736"/>
      <c r="AR308" s="737" t="s">
        <v>116</v>
      </c>
      <c r="AS308" s="740">
        <f t="shared" ref="AS308:AU308" si="221">COUNTIF(AS2:AS303,"R")</f>
        <v>30</v>
      </c>
      <c r="AT308" s="740">
        <f t="shared" si="221"/>
        <v>28</v>
      </c>
      <c r="AU308" s="740">
        <f t="shared" si="221"/>
        <v>19</v>
      </c>
      <c r="AV308" s="737" t="s">
        <v>116</v>
      </c>
      <c r="AW308" s="740">
        <f t="shared" ref="AW308:AY308" si="222">COUNTIF(AW2:AW303,"R")</f>
        <v>3</v>
      </c>
      <c r="AX308" s="740">
        <f t="shared" si="222"/>
        <v>3</v>
      </c>
      <c r="AY308" s="740">
        <f t="shared" si="222"/>
        <v>3</v>
      </c>
      <c r="AZ308" s="3"/>
      <c r="BA308" s="3"/>
      <c r="BB308" s="3"/>
      <c r="BC308" s="3"/>
      <c r="BD308" s="3"/>
      <c r="BE308" s="3"/>
      <c r="BF308" s="3"/>
      <c r="BG308" s="3"/>
      <c r="BH308" s="3"/>
      <c r="BI308" s="3"/>
      <c r="BJ308" s="3"/>
      <c r="BK308" s="3"/>
      <c r="BL308" s="2"/>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228"/>
      <c r="CL308" s="3"/>
      <c r="CM308" s="3"/>
      <c r="CN308" s="3"/>
      <c r="CO308" s="3"/>
      <c r="CP308" s="3"/>
      <c r="CQ308" s="3"/>
      <c r="CR308" s="2"/>
      <c r="CS308" s="2"/>
      <c r="CT308" s="2"/>
      <c r="CU308" s="2"/>
      <c r="CV308" s="729"/>
      <c r="CW308" s="729"/>
      <c r="CX308" s="729"/>
      <c r="CY308" s="729"/>
      <c r="CZ308" s="729"/>
      <c r="DA308" s="729"/>
      <c r="DB308" s="729"/>
      <c r="DC308" s="729"/>
      <c r="DD308" s="265"/>
      <c r="DE308" s="265"/>
      <c r="DF308" s="265"/>
      <c r="DG308" s="265"/>
      <c r="DH308" s="265"/>
      <c r="DI308" s="265"/>
      <c r="DJ308" s="265"/>
      <c r="DK308" s="265"/>
      <c r="DL308" s="265"/>
      <c r="DM308" s="265"/>
      <c r="DN308" s="265"/>
      <c r="DO308" s="265"/>
      <c r="DP308" s="265"/>
      <c r="DQ308" s="265"/>
      <c r="DR308" s="265"/>
      <c r="DS308" s="265"/>
      <c r="DT308" s="265"/>
    </row>
    <row r="309" spans="1:124" ht="36.75" customHeight="1">
      <c r="A309" s="228"/>
      <c r="B309" s="3"/>
      <c r="C309" s="3"/>
      <c r="D309" s="3"/>
      <c r="E309" s="3"/>
      <c r="F309" s="3"/>
      <c r="G309" s="3"/>
      <c r="H309" s="3"/>
      <c r="I309" s="3"/>
      <c r="J309" s="3"/>
      <c r="K309" s="731"/>
      <c r="L309" s="2"/>
      <c r="M309" s="2"/>
      <c r="N309" s="2"/>
      <c r="O309" s="3"/>
      <c r="P309" s="3"/>
      <c r="Q309" s="3"/>
      <c r="R309" s="265"/>
      <c r="S309" s="3"/>
      <c r="T309" s="3"/>
      <c r="U309" s="3"/>
      <c r="V309" s="3"/>
      <c r="W309" s="3"/>
      <c r="X309" s="3"/>
      <c r="Y309" s="3"/>
      <c r="Z309" s="3"/>
      <c r="AA309" s="3"/>
      <c r="AB309" s="3"/>
      <c r="AC309" s="3"/>
      <c r="AD309" s="3"/>
      <c r="AE309" s="3"/>
      <c r="AF309" s="3"/>
      <c r="AG309" s="3"/>
      <c r="AH309" s="3"/>
      <c r="AI309" s="3"/>
      <c r="AJ309" s="3"/>
      <c r="AK309" s="1418" t="s">
        <v>4660</v>
      </c>
      <c r="AL309" s="3"/>
      <c r="AM309" s="3"/>
      <c r="AN309" s="3"/>
      <c r="AO309" s="228"/>
      <c r="AP309" s="228"/>
      <c r="AQ309" s="736"/>
      <c r="AR309" s="737" t="s">
        <v>245</v>
      </c>
      <c r="AS309" s="740">
        <f t="shared" ref="AS309:AU309" si="223">COUNTIF(AS2:AS303,"P")</f>
        <v>0</v>
      </c>
      <c r="AT309" s="740">
        <f t="shared" si="223"/>
        <v>0</v>
      </c>
      <c r="AU309" s="740">
        <f t="shared" si="223"/>
        <v>0</v>
      </c>
      <c r="AV309" s="737" t="s">
        <v>245</v>
      </c>
      <c r="AW309" s="740">
        <f t="shared" ref="AW309:AY309" si="224">COUNTIF(AW2:AW303,"P")</f>
        <v>1</v>
      </c>
      <c r="AX309" s="740">
        <f t="shared" si="224"/>
        <v>1</v>
      </c>
      <c r="AY309" s="740">
        <f t="shared" si="224"/>
        <v>1</v>
      </c>
      <c r="AZ309" s="3"/>
      <c r="BA309" s="3"/>
      <c r="BB309" s="3"/>
      <c r="BC309" s="3"/>
      <c r="BD309" s="3"/>
      <c r="BE309" s="3"/>
      <c r="BF309" s="3"/>
      <c r="BG309" s="3"/>
      <c r="BH309" s="3"/>
      <c r="BI309" s="3"/>
      <c r="BJ309" s="3"/>
      <c r="BK309" s="3"/>
      <c r="BL309" s="2"/>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228"/>
      <c r="CL309" s="3"/>
      <c r="CM309" s="3"/>
      <c r="CN309" s="3"/>
      <c r="CO309" s="3"/>
      <c r="CP309" s="3"/>
      <c r="CQ309" s="3"/>
      <c r="CR309" s="2"/>
      <c r="CS309" s="2"/>
      <c r="CT309" s="2"/>
      <c r="CU309" s="2"/>
      <c r="CV309" s="729"/>
      <c r="CW309" s="729"/>
      <c r="CX309" s="729"/>
      <c r="CY309" s="729"/>
      <c r="CZ309" s="729"/>
      <c r="DA309" s="729"/>
      <c r="DB309" s="729"/>
      <c r="DC309" s="729"/>
      <c r="DD309" s="265"/>
      <c r="DE309" s="265"/>
      <c r="DF309" s="265"/>
      <c r="DG309" s="265"/>
      <c r="DH309" s="265"/>
      <c r="DI309" s="265"/>
      <c r="DJ309" s="265"/>
      <c r="DK309" s="265"/>
      <c r="DL309" s="265"/>
      <c r="DM309" s="265"/>
      <c r="DN309" s="265"/>
      <c r="DO309" s="265"/>
      <c r="DP309" s="265"/>
      <c r="DQ309" s="265"/>
      <c r="DR309" s="265"/>
      <c r="DS309" s="265"/>
      <c r="DT309" s="265"/>
    </row>
    <row r="310" spans="1:124" ht="36.75" customHeight="1">
      <c r="A310" s="228"/>
      <c r="B310" s="3"/>
      <c r="C310" s="3"/>
      <c r="D310" s="3"/>
      <c r="E310" s="3"/>
      <c r="F310" s="3"/>
      <c r="G310" s="3"/>
      <c r="H310" s="3"/>
      <c r="I310" s="3"/>
      <c r="J310" s="3"/>
      <c r="K310" s="731"/>
      <c r="L310" s="2"/>
      <c r="M310" s="2"/>
      <c r="N310" s="2"/>
      <c r="O310" s="3"/>
      <c r="P310" s="3"/>
      <c r="Q310" s="3"/>
      <c r="R310" s="265"/>
      <c r="S310" s="3"/>
      <c r="T310" s="3"/>
      <c r="U310" s="3"/>
      <c r="V310" s="3"/>
      <c r="W310" s="3"/>
      <c r="X310" s="3"/>
      <c r="Y310" s="3"/>
      <c r="Z310" s="3"/>
      <c r="AA310" s="3"/>
      <c r="AB310" s="3"/>
      <c r="AC310" s="3"/>
      <c r="AD310" s="3"/>
      <c r="AE310" s="3"/>
      <c r="AF310" s="3"/>
      <c r="AG310" s="3"/>
      <c r="AH310" s="3"/>
      <c r="AI310" s="3"/>
      <c r="AJ310" s="3"/>
      <c r="AK310" s="1418" t="s">
        <v>4661</v>
      </c>
      <c r="AL310" s="3"/>
      <c r="AM310" s="3"/>
      <c r="AN310" s="3"/>
      <c r="AO310" s="228"/>
      <c r="AP310" s="228"/>
      <c r="AQ310" s="736"/>
      <c r="AR310" s="737" t="s">
        <v>151</v>
      </c>
      <c r="AS310" s="740">
        <f t="shared" ref="AS310:AU310" si="225">COUNTIF(AS2:AS303,"C")</f>
        <v>0</v>
      </c>
      <c r="AT310" s="740">
        <f t="shared" si="225"/>
        <v>0</v>
      </c>
      <c r="AU310" s="740">
        <f t="shared" si="225"/>
        <v>0</v>
      </c>
      <c r="AV310" s="737" t="s">
        <v>151</v>
      </c>
      <c r="AW310" s="740">
        <f t="shared" ref="AW310:AY310" si="226">COUNTIF(AW2:AW303,"C")</f>
        <v>25</v>
      </c>
      <c r="AX310" s="740">
        <f t="shared" si="226"/>
        <v>23</v>
      </c>
      <c r="AY310" s="740">
        <f t="shared" si="226"/>
        <v>23</v>
      </c>
      <c r="AZ310" s="3"/>
      <c r="BA310" s="3"/>
      <c r="BB310" s="3"/>
      <c r="BC310" s="3"/>
      <c r="BD310" s="3"/>
      <c r="BE310" s="3"/>
      <c r="BF310" s="3"/>
      <c r="BG310" s="3"/>
      <c r="BH310" s="3"/>
      <c r="BI310" s="3"/>
      <c r="BJ310" s="3"/>
      <c r="BK310" s="3"/>
      <c r="BL310" s="2"/>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228"/>
      <c r="CL310" s="3"/>
      <c r="CM310" s="3"/>
      <c r="CN310" s="3"/>
      <c r="CO310" s="3"/>
      <c r="CP310" s="3"/>
      <c r="CQ310" s="3"/>
      <c r="CR310" s="2"/>
      <c r="CS310" s="2"/>
      <c r="CT310" s="2"/>
      <c r="CU310" s="2"/>
      <c r="CV310" s="729"/>
      <c r="CW310" s="729"/>
      <c r="CX310" s="729"/>
      <c r="CY310" s="729"/>
      <c r="CZ310" s="729"/>
      <c r="DA310" s="729"/>
      <c r="DB310" s="729"/>
      <c r="DC310" s="729"/>
      <c r="DD310" s="265"/>
      <c r="DE310" s="265"/>
      <c r="DF310" s="265"/>
      <c r="DG310" s="265"/>
      <c r="DH310" s="265"/>
      <c r="DI310" s="265"/>
      <c r="DJ310" s="265"/>
      <c r="DK310" s="265"/>
      <c r="DL310" s="265"/>
      <c r="DM310" s="265"/>
      <c r="DN310" s="265"/>
      <c r="DO310" s="265"/>
      <c r="DP310" s="265"/>
      <c r="DQ310" s="265"/>
      <c r="DR310" s="265"/>
      <c r="DS310" s="265"/>
      <c r="DT310" s="265"/>
    </row>
    <row r="311" spans="1:124" ht="36.75" customHeight="1">
      <c r="A311" s="228"/>
      <c r="B311" s="3"/>
      <c r="C311" s="3"/>
      <c r="D311" s="3"/>
      <c r="E311" s="3"/>
      <c r="F311" s="3"/>
      <c r="G311" s="3"/>
      <c r="H311" s="3"/>
      <c r="I311" s="3"/>
      <c r="J311" s="3"/>
      <c r="K311" s="731"/>
      <c r="L311" s="2"/>
      <c r="M311" s="2"/>
      <c r="N311" s="2"/>
      <c r="O311" s="3"/>
      <c r="P311" s="3"/>
      <c r="Q311" s="3"/>
      <c r="R311" s="265"/>
      <c r="S311" s="3"/>
      <c r="T311" s="3"/>
      <c r="U311" s="3"/>
      <c r="V311" s="3"/>
      <c r="W311" s="3"/>
      <c r="X311" s="3"/>
      <c r="Y311" s="3"/>
      <c r="Z311" s="3"/>
      <c r="AA311" s="3"/>
      <c r="AB311" s="3"/>
      <c r="AC311" s="3"/>
      <c r="AD311" s="3"/>
      <c r="AE311" s="3"/>
      <c r="AF311" s="3"/>
      <c r="AG311" s="3"/>
      <c r="AH311" s="3"/>
      <c r="AI311" s="3"/>
      <c r="AJ311" s="3"/>
      <c r="AK311" s="1422" t="s">
        <v>4662</v>
      </c>
      <c r="AL311" s="3"/>
      <c r="AM311" s="3"/>
      <c r="AN311" s="3"/>
      <c r="AO311" s="228"/>
      <c r="AP311" s="228"/>
      <c r="AQ311" s="729"/>
      <c r="AR311" s="743" t="s">
        <v>2404</v>
      </c>
      <c r="AS311" s="740">
        <f t="shared" ref="AS311:AT311" si="227">COUNTIF(AS2:AS303,"CL")</f>
        <v>0</v>
      </c>
      <c r="AT311" s="740">
        <f t="shared" si="227"/>
        <v>0</v>
      </c>
      <c r="AU311" s="740">
        <f>COUNTIF(AU2:AU298,"CL")</f>
        <v>0</v>
      </c>
      <c r="AV311" s="743" t="s">
        <v>2404</v>
      </c>
      <c r="AW311" s="740">
        <f t="shared" ref="AW311:AY311" si="228">COUNTIF(AW2:AW303,"CL")</f>
        <v>0</v>
      </c>
      <c r="AX311" s="740">
        <f t="shared" si="228"/>
        <v>0</v>
      </c>
      <c r="AY311" s="740">
        <f t="shared" si="228"/>
        <v>0</v>
      </c>
      <c r="AZ311" s="3"/>
      <c r="BA311" s="3"/>
      <c r="BB311" s="3"/>
      <c r="BC311" s="3"/>
      <c r="BD311" s="3"/>
      <c r="BE311" s="3"/>
      <c r="BF311" s="3"/>
      <c r="BG311" s="3"/>
      <c r="BH311" s="3"/>
      <c r="BI311" s="3"/>
      <c r="BJ311" s="3"/>
      <c r="BK311" s="3"/>
      <c r="BL311" s="2"/>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228"/>
      <c r="CL311" s="3"/>
      <c r="CM311" s="3"/>
      <c r="CN311" s="3"/>
      <c r="CO311" s="3"/>
      <c r="CP311" s="3"/>
      <c r="CQ311" s="3"/>
      <c r="CR311" s="2"/>
      <c r="CS311" s="2"/>
      <c r="CT311" s="2"/>
      <c r="CU311" s="2"/>
      <c r="CV311" s="729"/>
      <c r="CW311" s="729"/>
      <c r="CX311" s="729"/>
      <c r="CY311" s="729"/>
      <c r="CZ311" s="729"/>
      <c r="DA311" s="729"/>
      <c r="DB311" s="729"/>
      <c r="DC311" s="729"/>
      <c r="DD311" s="265"/>
      <c r="DE311" s="265"/>
      <c r="DF311" s="265"/>
      <c r="DG311" s="265"/>
      <c r="DH311" s="265"/>
      <c r="DI311" s="265"/>
      <c r="DJ311" s="265"/>
      <c r="DK311" s="265"/>
      <c r="DL311" s="265"/>
      <c r="DM311" s="265"/>
      <c r="DN311" s="265"/>
      <c r="DO311" s="265"/>
      <c r="DP311" s="265"/>
      <c r="DQ311" s="265"/>
      <c r="DR311" s="265"/>
      <c r="DS311" s="265"/>
      <c r="DT311" s="265"/>
    </row>
    <row r="312" spans="1:124" ht="36.75" customHeight="1">
      <c r="A312" s="228"/>
      <c r="B312" s="3"/>
      <c r="C312" s="3"/>
      <c r="D312" s="3"/>
      <c r="E312" s="3"/>
      <c r="F312" s="3"/>
      <c r="G312" s="3"/>
      <c r="H312" s="3"/>
      <c r="I312" s="3"/>
      <c r="J312" s="3"/>
      <c r="K312" s="731"/>
      <c r="L312" s="2"/>
      <c r="M312" s="2"/>
      <c r="N312" s="2"/>
      <c r="O312" s="3"/>
      <c r="P312" s="3"/>
      <c r="Q312" s="3"/>
      <c r="R312" s="265"/>
      <c r="S312" s="3"/>
      <c r="T312" s="3"/>
      <c r="U312" s="3"/>
      <c r="V312" s="3"/>
      <c r="W312" s="3"/>
      <c r="X312" s="3"/>
      <c r="Y312" s="3"/>
      <c r="Z312" s="3"/>
      <c r="AA312" s="3"/>
      <c r="AB312" s="3"/>
      <c r="AC312" s="3"/>
      <c r="AD312" s="3"/>
      <c r="AE312" s="3"/>
      <c r="AF312" s="3"/>
      <c r="AG312" s="3"/>
      <c r="AH312" s="3"/>
      <c r="AI312" s="3"/>
      <c r="AJ312" s="3"/>
      <c r="AK312" s="1422" t="s">
        <v>4663</v>
      </c>
      <c r="AL312" s="3"/>
      <c r="AM312" s="3"/>
      <c r="AN312" s="3"/>
      <c r="AO312" s="228"/>
      <c r="AP312" s="228"/>
      <c r="AQ312" s="729"/>
      <c r="AR312" s="743" t="s">
        <v>2369</v>
      </c>
      <c r="AS312" s="740">
        <f t="shared" ref="AS312:AU312" si="229">COUNTIF(AS2:AS303,"CR")</f>
        <v>0</v>
      </c>
      <c r="AT312" s="740">
        <f t="shared" si="229"/>
        <v>0</v>
      </c>
      <c r="AU312" s="740">
        <f t="shared" si="229"/>
        <v>0</v>
      </c>
      <c r="AV312" s="743" t="s">
        <v>2369</v>
      </c>
      <c r="AW312" s="740">
        <f t="shared" ref="AW312:AY312" si="230">COUNTIF(AW2:AW303,"CR")</f>
        <v>5</v>
      </c>
      <c r="AX312" s="740">
        <f t="shared" si="230"/>
        <v>6</v>
      </c>
      <c r="AY312" s="740">
        <f t="shared" si="230"/>
        <v>7</v>
      </c>
      <c r="AZ312" s="3"/>
      <c r="BA312" s="3"/>
      <c r="BB312" s="3"/>
      <c r="BC312" s="3"/>
      <c r="BD312" s="3"/>
      <c r="BE312" s="3"/>
      <c r="BF312" s="3"/>
      <c r="BG312" s="3"/>
      <c r="BH312" s="3"/>
      <c r="BI312" s="3"/>
      <c r="BJ312" s="3"/>
      <c r="BK312" s="3"/>
      <c r="BL312" s="2"/>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228"/>
      <c r="CL312" s="3"/>
      <c r="CM312" s="3"/>
      <c r="CN312" s="3"/>
      <c r="CO312" s="3"/>
      <c r="CP312" s="3"/>
      <c r="CQ312" s="3"/>
      <c r="CR312" s="2"/>
      <c r="CS312" s="2"/>
      <c r="CT312" s="2"/>
      <c r="CU312" s="2"/>
      <c r="CV312" s="729"/>
      <c r="CW312" s="729"/>
      <c r="CX312" s="729"/>
      <c r="CY312" s="729"/>
      <c r="CZ312" s="729"/>
      <c r="DA312" s="729"/>
      <c r="DB312" s="729"/>
      <c r="DC312" s="729"/>
      <c r="DD312" s="265"/>
      <c r="DE312" s="265"/>
      <c r="DF312" s="265"/>
      <c r="DG312" s="265"/>
      <c r="DH312" s="265"/>
      <c r="DI312" s="265"/>
      <c r="DJ312" s="265"/>
      <c r="DK312" s="265"/>
      <c r="DL312" s="265"/>
      <c r="DM312" s="265"/>
      <c r="DN312" s="265"/>
      <c r="DO312" s="265"/>
      <c r="DP312" s="265"/>
      <c r="DQ312" s="265"/>
      <c r="DR312" s="265"/>
      <c r="DS312" s="265"/>
      <c r="DT312" s="265"/>
    </row>
    <row r="313" spans="1:124" ht="36.75" customHeight="1">
      <c r="A313" s="228"/>
      <c r="B313" s="3"/>
      <c r="C313" s="3"/>
      <c r="D313" s="3"/>
      <c r="E313" s="3"/>
      <c r="F313" s="3"/>
      <c r="G313" s="3"/>
      <c r="H313" s="3"/>
      <c r="I313" s="3"/>
      <c r="J313" s="3"/>
      <c r="K313" s="731"/>
      <c r="L313" s="2"/>
      <c r="M313" s="2"/>
      <c r="N313" s="2"/>
      <c r="O313" s="3"/>
      <c r="P313" s="3"/>
      <c r="Q313" s="3"/>
      <c r="R313" s="265"/>
      <c r="S313" s="3"/>
      <c r="T313" s="3"/>
      <c r="U313" s="3"/>
      <c r="V313" s="3"/>
      <c r="W313" s="3"/>
      <c r="X313" s="3"/>
      <c r="Y313" s="3"/>
      <c r="Z313" s="3"/>
      <c r="AA313" s="3"/>
      <c r="AB313" s="3"/>
      <c r="AC313" s="3"/>
      <c r="AD313" s="3"/>
      <c r="AE313" s="3"/>
      <c r="AF313" s="3"/>
      <c r="AG313" s="3"/>
      <c r="AH313" s="3"/>
      <c r="AI313" s="3"/>
      <c r="AJ313" s="3"/>
      <c r="AK313" s="1422" t="s">
        <v>2603</v>
      </c>
      <c r="AL313" s="3"/>
      <c r="AM313" s="3"/>
      <c r="AN313" s="3"/>
      <c r="AO313" s="228"/>
      <c r="AP313" s="228"/>
      <c r="AQ313" s="729"/>
      <c r="AR313" s="743" t="s">
        <v>194</v>
      </c>
      <c r="AS313" s="740">
        <f t="shared" ref="AS313:AU313" si="231">COUNTIF(AS2:AS303,"FD")</f>
        <v>2</v>
      </c>
      <c r="AT313" s="740">
        <f t="shared" si="231"/>
        <v>7</v>
      </c>
      <c r="AU313" s="740">
        <f t="shared" si="231"/>
        <v>18</v>
      </c>
      <c r="AV313" s="743" t="s">
        <v>194</v>
      </c>
      <c r="AW313" s="740">
        <f t="shared" ref="AW313:AY313" si="232">COUNTIF(AW2:AW303,"FD")</f>
        <v>0</v>
      </c>
      <c r="AX313" s="740">
        <f t="shared" si="232"/>
        <v>0</v>
      </c>
      <c r="AY313" s="740">
        <f t="shared" si="232"/>
        <v>0</v>
      </c>
      <c r="AZ313" s="3"/>
      <c r="BA313" s="3"/>
      <c r="BB313" s="3"/>
      <c r="BC313" s="3"/>
      <c r="BD313" s="3"/>
      <c r="BE313" s="3"/>
      <c r="BF313" s="3"/>
      <c r="BG313" s="3"/>
      <c r="BH313" s="3"/>
      <c r="BI313" s="3"/>
      <c r="BJ313" s="3"/>
      <c r="BK313" s="3"/>
      <c r="BL313" s="2"/>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228"/>
      <c r="CL313" s="3"/>
      <c r="CM313" s="3"/>
      <c r="CN313" s="3"/>
      <c r="CO313" s="3"/>
      <c r="CP313" s="3"/>
      <c r="CQ313" s="3"/>
      <c r="CR313" s="2"/>
      <c r="CS313" s="2"/>
      <c r="CT313" s="2"/>
      <c r="CU313" s="2"/>
      <c r="CV313" s="729"/>
      <c r="CW313" s="729"/>
      <c r="CX313" s="729"/>
      <c r="CY313" s="729"/>
      <c r="CZ313" s="729"/>
      <c r="DA313" s="729"/>
      <c r="DB313" s="729"/>
      <c r="DC313" s="729"/>
      <c r="DD313" s="265"/>
      <c r="DE313" s="265"/>
      <c r="DF313" s="265"/>
      <c r="DG313" s="265"/>
      <c r="DH313" s="265"/>
      <c r="DI313" s="265"/>
      <c r="DJ313" s="265"/>
      <c r="DK313" s="265"/>
      <c r="DL313" s="265"/>
      <c r="DM313" s="265"/>
      <c r="DN313" s="265"/>
      <c r="DO313" s="265"/>
      <c r="DP313" s="265"/>
      <c r="DQ313" s="265"/>
      <c r="DR313" s="265"/>
      <c r="DS313" s="265"/>
      <c r="DT313" s="265"/>
    </row>
    <row r="314" spans="1:124" ht="36.75" customHeight="1">
      <c r="A314" s="228"/>
      <c r="B314" s="3"/>
      <c r="C314" s="3"/>
      <c r="D314" s="3"/>
      <c r="E314" s="3"/>
      <c r="F314" s="3"/>
      <c r="G314" s="3"/>
      <c r="H314" s="3"/>
      <c r="I314" s="3"/>
      <c r="J314" s="3"/>
      <c r="K314" s="731"/>
      <c r="L314" s="2"/>
      <c r="M314" s="2"/>
      <c r="N314" s="2"/>
      <c r="O314" s="3"/>
      <c r="P314" s="3"/>
      <c r="Q314" s="3"/>
      <c r="R314" s="265"/>
      <c r="S314" s="3"/>
      <c r="T314" s="3"/>
      <c r="U314" s="3"/>
      <c r="V314" s="3"/>
      <c r="W314" s="3"/>
      <c r="X314" s="3"/>
      <c r="Y314" s="3"/>
      <c r="Z314" s="3"/>
      <c r="AA314" s="3"/>
      <c r="AB314" s="3"/>
      <c r="AC314" s="3"/>
      <c r="AD314" s="3"/>
      <c r="AE314" s="3"/>
      <c r="AF314" s="3"/>
      <c r="AG314" s="3"/>
      <c r="AH314" s="3"/>
      <c r="AI314" s="3"/>
      <c r="AJ314" s="3"/>
      <c r="AK314" s="1422" t="s">
        <v>4664</v>
      </c>
      <c r="AL314" s="3"/>
      <c r="AM314" s="3"/>
      <c r="AN314" s="3"/>
      <c r="AO314" s="228"/>
      <c r="AP314" s="228"/>
      <c r="AQ314" s="729"/>
      <c r="AR314" s="743" t="s">
        <v>165</v>
      </c>
      <c r="AS314" s="740">
        <f t="shared" ref="AS314:AU314" si="233">COUNTIF(AS2:AS303,"D")</f>
        <v>0</v>
      </c>
      <c r="AT314" s="740">
        <f t="shared" si="233"/>
        <v>0</v>
      </c>
      <c r="AU314" s="740">
        <f t="shared" si="233"/>
        <v>0</v>
      </c>
      <c r="AV314" s="743" t="s">
        <v>165</v>
      </c>
      <c r="AW314" s="740">
        <f t="shared" ref="AW314:AY314" si="234">COUNTIF(AW2:AW303,"D")</f>
        <v>0</v>
      </c>
      <c r="AX314" s="740">
        <f t="shared" si="234"/>
        <v>0</v>
      </c>
      <c r="AY314" s="740">
        <f t="shared" si="234"/>
        <v>0</v>
      </c>
      <c r="AZ314" s="3"/>
      <c r="BA314" s="3"/>
      <c r="BB314" s="3"/>
      <c r="BC314" s="3"/>
      <c r="BD314" s="3"/>
      <c r="BE314" s="3"/>
      <c r="BF314" s="3"/>
      <c r="BG314" s="3"/>
      <c r="BH314" s="3"/>
      <c r="BI314" s="3"/>
      <c r="BJ314" s="3"/>
      <c r="BK314" s="3"/>
      <c r="BL314" s="2"/>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228"/>
      <c r="CL314" s="3"/>
      <c r="CM314" s="3"/>
      <c r="CN314" s="3"/>
      <c r="CO314" s="3"/>
      <c r="CP314" s="3"/>
      <c r="CQ314" s="3"/>
      <c r="CR314" s="2"/>
      <c r="CS314" s="2"/>
      <c r="CT314" s="2"/>
      <c r="CU314" s="2"/>
      <c r="CV314" s="729"/>
      <c r="CW314" s="729"/>
      <c r="CX314" s="729"/>
      <c r="CY314" s="729"/>
      <c r="CZ314" s="729"/>
      <c r="DA314" s="729"/>
      <c r="DB314" s="729"/>
      <c r="DC314" s="729"/>
      <c r="DD314" s="265"/>
      <c r="DE314" s="265"/>
      <c r="DF314" s="265"/>
      <c r="DG314" s="265"/>
      <c r="DH314" s="265"/>
      <c r="DI314" s="265"/>
      <c r="DJ314" s="265"/>
      <c r="DK314" s="265"/>
      <c r="DL314" s="265"/>
      <c r="DM314" s="265"/>
      <c r="DN314" s="265"/>
      <c r="DO314" s="265"/>
      <c r="DP314" s="265"/>
      <c r="DQ314" s="265"/>
      <c r="DR314" s="265"/>
      <c r="DS314" s="265"/>
      <c r="DT314" s="265"/>
    </row>
    <row r="315" spans="1:124" ht="36.75" customHeight="1">
      <c r="A315" s="228"/>
      <c r="B315" s="3"/>
      <c r="C315" s="3"/>
      <c r="D315" s="3"/>
      <c r="E315" s="3"/>
      <c r="F315" s="3"/>
      <c r="G315" s="3"/>
      <c r="H315" s="3"/>
      <c r="I315" s="3"/>
      <c r="J315" s="3"/>
      <c r="K315" s="731"/>
      <c r="L315" s="2"/>
      <c r="M315" s="2"/>
      <c r="N315" s="2"/>
      <c r="O315" s="3"/>
      <c r="P315" s="3"/>
      <c r="Q315" s="3"/>
      <c r="R315" s="265"/>
      <c r="S315" s="3"/>
      <c r="T315" s="3"/>
      <c r="U315" s="3"/>
      <c r="V315" s="3"/>
      <c r="W315" s="3"/>
      <c r="X315" s="3"/>
      <c r="Y315" s="3"/>
      <c r="Z315" s="3"/>
      <c r="AA315" s="3"/>
      <c r="AB315" s="3"/>
      <c r="AC315" s="3"/>
      <c r="AD315" s="3"/>
      <c r="AE315" s="3"/>
      <c r="AF315" s="3"/>
      <c r="AG315" s="3"/>
      <c r="AH315" s="3"/>
      <c r="AI315" s="3"/>
      <c r="AJ315" s="3"/>
      <c r="AK315" s="1422" t="s">
        <v>4665</v>
      </c>
      <c r="AL315" s="3"/>
      <c r="AM315" s="3"/>
      <c r="AN315" s="3"/>
      <c r="AO315" s="228"/>
      <c r="AP315" s="228"/>
      <c r="AQ315" s="729"/>
      <c r="AR315" s="743" t="s">
        <v>27</v>
      </c>
      <c r="AS315" s="740">
        <f t="shared" ref="AS315:AU315" si="235">COUNTIF(AS2:AS303,"CF")</f>
        <v>0</v>
      </c>
      <c r="AT315" s="740">
        <f t="shared" si="235"/>
        <v>0</v>
      </c>
      <c r="AU315" s="740">
        <f t="shared" si="235"/>
        <v>0</v>
      </c>
      <c r="AV315" s="743" t="s">
        <v>165</v>
      </c>
      <c r="AW315" s="740">
        <f t="shared" ref="AW315:AY315" si="236">COUNTIF(AW2:AW303,"CF")</f>
        <v>35</v>
      </c>
      <c r="AX315" s="740">
        <f t="shared" si="236"/>
        <v>43</v>
      </c>
      <c r="AY315" s="740">
        <f t="shared" si="236"/>
        <v>46</v>
      </c>
      <c r="AZ315" s="3"/>
      <c r="BA315" s="3"/>
      <c r="BB315" s="3"/>
      <c r="BC315" s="3"/>
      <c r="BD315" s="3"/>
      <c r="BE315" s="3"/>
      <c r="BF315" s="3"/>
      <c r="BG315" s="3"/>
      <c r="BH315" s="3"/>
      <c r="BI315" s="3"/>
      <c r="BJ315" s="3"/>
      <c r="BK315" s="3"/>
      <c r="BL315" s="2"/>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228"/>
      <c r="CL315" s="3"/>
      <c r="CM315" s="3"/>
      <c r="CN315" s="3"/>
      <c r="CO315" s="3"/>
      <c r="CP315" s="3"/>
      <c r="CQ315" s="3"/>
      <c r="CR315" s="2"/>
      <c r="CS315" s="2"/>
      <c r="CT315" s="2"/>
      <c r="CU315" s="2"/>
      <c r="CV315" s="729"/>
      <c r="CW315" s="729"/>
      <c r="CX315" s="729"/>
      <c r="CY315" s="729"/>
      <c r="CZ315" s="729"/>
      <c r="DA315" s="729"/>
      <c r="DB315" s="729"/>
      <c r="DC315" s="729"/>
      <c r="DD315" s="265"/>
      <c r="DE315" s="265"/>
      <c r="DF315" s="265"/>
      <c r="DG315" s="265"/>
      <c r="DH315" s="265"/>
      <c r="DI315" s="265"/>
      <c r="DJ315" s="265"/>
      <c r="DK315" s="265"/>
      <c r="DL315" s="265"/>
      <c r="DM315" s="265"/>
      <c r="DN315" s="265"/>
      <c r="DO315" s="265"/>
      <c r="DP315" s="265"/>
      <c r="DQ315" s="265"/>
      <c r="DR315" s="265"/>
      <c r="DS315" s="265"/>
      <c r="DT315" s="265"/>
    </row>
    <row r="316" spans="1:124" ht="35.25" customHeight="1">
      <c r="A316" s="228"/>
      <c r="B316" s="748"/>
      <c r="C316" s="748"/>
      <c r="D316" s="748"/>
      <c r="E316" s="748"/>
      <c r="F316" s="748"/>
      <c r="G316" s="748" t="s">
        <v>2607</v>
      </c>
      <c r="H316" s="748" t="s">
        <v>2607</v>
      </c>
      <c r="I316" s="748"/>
      <c r="J316" s="748"/>
      <c r="K316" s="750"/>
      <c r="L316" s="751"/>
      <c r="M316" s="751"/>
      <c r="N316" s="751"/>
      <c r="O316" s="748"/>
      <c r="P316" s="748"/>
      <c r="Q316" s="748"/>
      <c r="R316" s="748" t="s">
        <v>2607</v>
      </c>
      <c r="S316" s="748"/>
      <c r="T316" s="748"/>
      <c r="U316" s="748"/>
      <c r="V316" s="748"/>
      <c r="W316" s="748"/>
      <c r="X316" s="748"/>
      <c r="Y316" s="748"/>
      <c r="Z316" s="748"/>
      <c r="AA316" s="748"/>
      <c r="AB316" s="748"/>
      <c r="AC316" s="748"/>
      <c r="AD316" s="748"/>
      <c r="AE316" s="748"/>
      <c r="AF316" s="748"/>
      <c r="AG316" s="748"/>
      <c r="AH316" s="748"/>
      <c r="AI316" s="748"/>
      <c r="AJ316" s="748"/>
      <c r="AK316" s="748"/>
      <c r="AL316" s="748"/>
      <c r="AM316" s="748"/>
      <c r="AN316" s="748"/>
      <c r="AO316" s="749"/>
      <c r="AP316" s="749"/>
      <c r="AQ316" s="749"/>
      <c r="AR316" s="748"/>
      <c r="AS316" s="748"/>
      <c r="AT316" s="748"/>
      <c r="AU316" s="748"/>
      <c r="AV316" s="748"/>
      <c r="AW316" s="748"/>
      <c r="AX316" s="748"/>
      <c r="AY316" s="748"/>
      <c r="AZ316" s="748"/>
      <c r="BA316" s="748"/>
      <c r="BB316" s="748"/>
      <c r="BC316" s="177"/>
      <c r="BD316" s="177"/>
      <c r="BE316" s="177"/>
      <c r="BF316" s="751"/>
      <c r="BG316" s="748"/>
      <c r="BH316" s="752"/>
      <c r="BI316" s="753"/>
      <c r="BJ316" s="753"/>
      <c r="BK316" s="748"/>
      <c r="BL316" s="751"/>
      <c r="BM316" s="748"/>
      <c r="BN316" s="752"/>
      <c r="BO316" s="753"/>
      <c r="BP316" s="753"/>
      <c r="BQ316" s="748"/>
      <c r="BR316" s="748"/>
      <c r="BS316" s="748"/>
      <c r="BT316" s="748"/>
      <c r="BU316" s="748"/>
      <c r="BV316" s="748"/>
      <c r="BW316" s="748"/>
      <c r="BX316" s="748"/>
      <c r="BY316" s="748"/>
      <c r="BZ316" s="748"/>
      <c r="CA316" s="748"/>
      <c r="CB316" s="748"/>
      <c r="CC316" s="748"/>
      <c r="CD316" s="748"/>
      <c r="CE316" s="748"/>
      <c r="CF316" s="748"/>
      <c r="CG316" s="748"/>
      <c r="CH316" s="748"/>
      <c r="CI316" s="748"/>
      <c r="CJ316" s="748"/>
      <c r="CK316" s="749"/>
      <c r="CL316" s="748"/>
      <c r="CM316" s="748"/>
      <c r="CN316" s="748"/>
      <c r="CO316" s="748"/>
      <c r="CP316" s="748"/>
      <c r="CQ316" s="748"/>
      <c r="CR316" s="751"/>
      <c r="CS316" s="753"/>
      <c r="CT316" s="753"/>
      <c r="CU316" s="753"/>
      <c r="CV316" s="729"/>
      <c r="CW316" s="729"/>
      <c r="CX316" s="729"/>
      <c r="CY316" s="729"/>
      <c r="CZ316" s="729"/>
      <c r="DA316" s="729"/>
      <c r="DB316" s="729"/>
      <c r="DC316" s="729"/>
      <c r="DD316" s="265"/>
      <c r="DE316" s="265"/>
      <c r="DF316" s="265"/>
      <c r="DG316" s="265"/>
      <c r="DH316" s="265"/>
      <c r="DI316" s="265"/>
      <c r="DJ316" s="265"/>
      <c r="DK316" s="265"/>
      <c r="DL316" s="265"/>
      <c r="DM316" s="265"/>
      <c r="DN316" s="265"/>
      <c r="DO316" s="265"/>
      <c r="DP316" s="265"/>
      <c r="DQ316" s="265"/>
      <c r="DR316" s="265"/>
      <c r="DS316" s="265"/>
      <c r="DT316" s="265"/>
    </row>
    <row r="317" spans="1:124" ht="30" customHeight="1">
      <c r="A317" s="228"/>
      <c r="B317" s="155"/>
      <c r="C317" s="756">
        <v>1</v>
      </c>
      <c r="D317" s="244"/>
      <c r="E317" s="244"/>
      <c r="F317" s="244"/>
      <c r="G317" s="767" t="s">
        <v>1307</v>
      </c>
      <c r="H317" s="767" t="s">
        <v>2608</v>
      </c>
      <c r="I317" s="207" t="s">
        <v>2609</v>
      </c>
      <c r="J317" s="207" t="str">
        <f t="shared" ref="J317:J342" si="237">CONCATENATE(G317," ",H317)</f>
        <v>Alberto Novelli</v>
      </c>
      <c r="K317" s="224">
        <v>3939205590</v>
      </c>
      <c r="L317" s="131"/>
      <c r="M317" s="131"/>
      <c r="N317" s="131"/>
      <c r="O317" s="284"/>
      <c r="P317" s="37"/>
      <c r="Q317" s="37"/>
      <c r="R317" s="131" t="s">
        <v>2610</v>
      </c>
      <c r="S317" s="160"/>
      <c r="T317" s="160"/>
      <c r="U317" s="160"/>
      <c r="V317" s="160"/>
      <c r="W317" s="233"/>
      <c r="X317" s="234"/>
      <c r="Y317" s="233"/>
      <c r="Z317" s="233"/>
      <c r="AA317" s="233"/>
      <c r="AB317" s="37"/>
      <c r="AC317" s="37"/>
      <c r="AD317" s="37"/>
      <c r="AE317" s="181" t="s">
        <v>2611</v>
      </c>
      <c r="AF317" s="198"/>
      <c r="AG317" s="121"/>
      <c r="AH317" s="121"/>
      <c r="AI317" s="121"/>
      <c r="AJ317" s="198"/>
      <c r="AK317" s="121"/>
      <c r="AL317" s="121"/>
      <c r="AM317" s="121"/>
      <c r="AN317" s="198"/>
      <c r="AO317" s="155"/>
      <c r="AP317" s="155"/>
      <c r="AQ317" s="155"/>
      <c r="AR317" s="198"/>
      <c r="AS317" s="304"/>
      <c r="AT317" s="304"/>
      <c r="AU317" s="304"/>
      <c r="AV317" s="235"/>
      <c r="AW317" s="304" t="s">
        <v>151</v>
      </c>
      <c r="AX317" s="304" t="s">
        <v>151</v>
      </c>
      <c r="AY317" s="304" t="s">
        <v>151</v>
      </c>
      <c r="AZ317" s="760">
        <f t="shared" ref="AZ317:AZ384" si="238">BR317+BV317+BZ317+CD317+CH317</f>
        <v>3497.0000000000005</v>
      </c>
      <c r="BA317" s="761">
        <f t="shared" ref="BA317:BA384" si="239">BT317+BX317+CB317+CF317+CJ317</f>
        <v>0</v>
      </c>
      <c r="BB317" s="761">
        <f t="shared" ref="BB317:BB392" si="240">AZ317-BA317</f>
        <v>3497.0000000000005</v>
      </c>
      <c r="BC317" s="110">
        <f t="shared" ref="BC317:BC338" si="241">BA317</f>
        <v>0</v>
      </c>
      <c r="BD317" s="762">
        <f t="shared" ref="BD317:BD340" si="242">AZ317-BC317</f>
        <v>3497.0000000000005</v>
      </c>
      <c r="BE317" s="762"/>
      <c r="BF317" s="243" t="s">
        <v>407</v>
      </c>
      <c r="BG317" s="98">
        <v>0.15</v>
      </c>
      <c r="BH317" s="110"/>
      <c r="BI317" s="242">
        <f t="shared" ref="BI317:BI321" si="243">BD317*BG317</f>
        <v>524.55000000000007</v>
      </c>
      <c r="BJ317" s="242"/>
      <c r="BK317" s="243"/>
      <c r="BL317" s="243" t="s">
        <v>407</v>
      </c>
      <c r="BM317" s="98">
        <v>0.05</v>
      </c>
      <c r="BN317" s="110"/>
      <c r="BO317" s="242">
        <f t="shared" ref="BO317:BO321" si="244">BD317*BM317</f>
        <v>174.85000000000002</v>
      </c>
      <c r="BP317" s="242"/>
      <c r="BQ317" s="243"/>
      <c r="BR317" s="110">
        <f>200/1.22</f>
        <v>163.9344262295082</v>
      </c>
      <c r="BS317" s="226">
        <v>44645</v>
      </c>
      <c r="BT317" s="301"/>
      <c r="BU317" s="206"/>
      <c r="BV317" s="110">
        <f>1720/1.22</f>
        <v>1409.8360655737706</v>
      </c>
      <c r="BW317" s="226">
        <v>44694</v>
      </c>
      <c r="BX317" s="206"/>
      <c r="BY317" s="206"/>
      <c r="BZ317" s="110">
        <f>2346.34/1.22</f>
        <v>1923.2295081967216</v>
      </c>
      <c r="CA317" s="263" t="s">
        <v>2721</v>
      </c>
      <c r="CB317" s="206"/>
      <c r="CC317" s="206"/>
      <c r="CD317" s="206"/>
      <c r="CE317" s="206"/>
      <c r="CF317" s="206"/>
      <c r="CG317" s="206"/>
      <c r="CH317" s="206"/>
      <c r="CI317" s="206"/>
      <c r="CJ317" s="206"/>
      <c r="CK317" s="245" t="s">
        <v>2612</v>
      </c>
      <c r="CL317" s="181"/>
      <c r="CM317" s="246"/>
      <c r="CN317" s="247" t="s">
        <v>2802</v>
      </c>
      <c r="CO317" s="207"/>
      <c r="CP317" s="155"/>
      <c r="CQ317" s="131"/>
      <c r="CR317" s="131" t="s">
        <v>2615</v>
      </c>
      <c r="CS317" s="242"/>
      <c r="CT317" s="242"/>
      <c r="CU317" s="242"/>
      <c r="CV317" s="729"/>
      <c r="CW317" s="729"/>
      <c r="CX317" s="729"/>
      <c r="CY317" s="729"/>
      <c r="CZ317" s="729"/>
      <c r="DA317" s="729"/>
      <c r="DB317" s="729"/>
      <c r="DC317" s="729"/>
    </row>
    <row r="318" spans="1:124" ht="30" customHeight="1">
      <c r="A318" s="228"/>
      <c r="B318" s="155"/>
      <c r="C318" s="756">
        <f t="shared" ref="C318:C321" si="245">C317+1</f>
        <v>2</v>
      </c>
      <c r="D318" s="244"/>
      <c r="E318" s="244"/>
      <c r="F318" s="244"/>
      <c r="G318" s="767" t="s">
        <v>300</v>
      </c>
      <c r="H318" s="767" t="s">
        <v>2616</v>
      </c>
      <c r="I318" s="207" t="s">
        <v>2617</v>
      </c>
      <c r="J318" s="207" t="str">
        <f t="shared" si="237"/>
        <v>Cristina Marchi</v>
      </c>
      <c r="K318" s="224" t="s">
        <v>2618</v>
      </c>
      <c r="L318" s="131"/>
      <c r="M318" s="131"/>
      <c r="N318" s="131"/>
      <c r="O318" s="284"/>
      <c r="P318" s="37"/>
      <c r="Q318" s="37"/>
      <c r="R318" s="131" t="s">
        <v>2619</v>
      </c>
      <c r="S318" s="160"/>
      <c r="T318" s="160"/>
      <c r="U318" s="160"/>
      <c r="V318" s="160"/>
      <c r="W318" s="233"/>
      <c r="X318" s="234"/>
      <c r="Y318" s="233"/>
      <c r="Z318" s="233"/>
      <c r="AA318" s="233"/>
      <c r="AB318" s="37"/>
      <c r="AC318" s="37"/>
      <c r="AD318" s="37"/>
      <c r="AE318" s="181" t="s">
        <v>2620</v>
      </c>
      <c r="AF318" s="198"/>
      <c r="AG318" s="121"/>
      <c r="AH318" s="121"/>
      <c r="AI318" s="121"/>
      <c r="AJ318" s="198"/>
      <c r="AK318" s="121"/>
      <c r="AL318" s="121"/>
      <c r="AM318" s="121"/>
      <c r="AN318" s="198"/>
      <c r="AO318" s="155"/>
      <c r="AP318" s="155"/>
      <c r="AQ318" s="155"/>
      <c r="AR318" s="198"/>
      <c r="AS318" s="304"/>
      <c r="AT318" s="304"/>
      <c r="AU318" s="304"/>
      <c r="AV318" s="235"/>
      <c r="AW318" s="304" t="s">
        <v>151</v>
      </c>
      <c r="AX318" s="304" t="s">
        <v>151</v>
      </c>
      <c r="AY318" s="304" t="s">
        <v>151</v>
      </c>
      <c r="AZ318" s="760">
        <f t="shared" si="238"/>
        <v>2997</v>
      </c>
      <c r="BA318" s="761">
        <f t="shared" si="239"/>
        <v>0</v>
      </c>
      <c r="BB318" s="761">
        <f t="shared" si="240"/>
        <v>2997</v>
      </c>
      <c r="BC318" s="110">
        <f t="shared" si="241"/>
        <v>0</v>
      </c>
      <c r="BD318" s="762">
        <f t="shared" si="242"/>
        <v>2997</v>
      </c>
      <c r="BE318" s="762"/>
      <c r="BF318" s="243" t="s">
        <v>407</v>
      </c>
      <c r="BG318" s="98">
        <v>0.15</v>
      </c>
      <c r="BH318" s="110"/>
      <c r="BI318" s="242">
        <f t="shared" si="243"/>
        <v>449.55</v>
      </c>
      <c r="BJ318" s="242"/>
      <c r="BK318" s="243"/>
      <c r="BL318" s="243" t="s">
        <v>407</v>
      </c>
      <c r="BM318" s="98">
        <v>0.05</v>
      </c>
      <c r="BN318" s="110"/>
      <c r="BO318" s="242">
        <f t="shared" si="244"/>
        <v>149.85</v>
      </c>
      <c r="BP318" s="242"/>
      <c r="BQ318" s="243"/>
      <c r="BR318" s="110">
        <v>2997</v>
      </c>
      <c r="BS318" s="206"/>
      <c r="BT318" s="301"/>
      <c r="BU318" s="206"/>
      <c r="BV318" s="206"/>
      <c r="BW318" s="206"/>
      <c r="BX318" s="206"/>
      <c r="BY318" s="206"/>
      <c r="BZ318" s="206"/>
      <c r="CA318" s="302"/>
      <c r="CB318" s="206"/>
      <c r="CC318" s="206"/>
      <c r="CD318" s="206"/>
      <c r="CE318" s="206"/>
      <c r="CF318" s="206"/>
      <c r="CG318" s="206"/>
      <c r="CH318" s="206"/>
      <c r="CI318" s="206"/>
      <c r="CJ318" s="206"/>
      <c r="CK318" s="245" t="s">
        <v>2612</v>
      </c>
      <c r="CL318" s="181"/>
      <c r="CM318" s="246"/>
      <c r="CN318" s="247" t="s">
        <v>4666</v>
      </c>
      <c r="CO318" s="207"/>
      <c r="CP318" s="155"/>
      <c r="CQ318" s="131"/>
      <c r="CR318" s="131"/>
      <c r="CS318" s="242"/>
      <c r="CT318" s="242"/>
      <c r="CU318" s="242"/>
      <c r="CV318" s="729"/>
      <c r="CW318" s="729"/>
      <c r="CX318" s="729"/>
      <c r="CY318" s="729"/>
      <c r="CZ318" s="729"/>
      <c r="DA318" s="729"/>
      <c r="DB318" s="729"/>
      <c r="DC318" s="729"/>
    </row>
    <row r="319" spans="1:124" ht="30" customHeight="1">
      <c r="A319" s="228"/>
      <c r="B319" s="155"/>
      <c r="C319" s="756">
        <f t="shared" si="245"/>
        <v>3</v>
      </c>
      <c r="D319" s="244"/>
      <c r="E319" s="244"/>
      <c r="F319" s="244"/>
      <c r="G319" s="767" t="s">
        <v>321</v>
      </c>
      <c r="H319" s="767" t="s">
        <v>2623</v>
      </c>
      <c r="I319" s="207" t="s">
        <v>2624</v>
      </c>
      <c r="J319" s="207" t="str">
        <f t="shared" si="237"/>
        <v>Davide Buono</v>
      </c>
      <c r="K319" s="224">
        <v>3401622002</v>
      </c>
      <c r="L319" s="131"/>
      <c r="M319" s="131"/>
      <c r="N319" s="131"/>
      <c r="O319" s="284"/>
      <c r="P319" s="37"/>
      <c r="Q319" s="37"/>
      <c r="R319" s="131" t="s">
        <v>2625</v>
      </c>
      <c r="S319" s="160"/>
      <c r="T319" s="160"/>
      <c r="U319" s="160"/>
      <c r="V319" s="160"/>
      <c r="W319" s="233"/>
      <c r="X319" s="234"/>
      <c r="Y319" s="233"/>
      <c r="Z319" s="233"/>
      <c r="AA319" s="233"/>
      <c r="AB319" s="37"/>
      <c r="AC319" s="37"/>
      <c r="AD319" s="37"/>
      <c r="AE319" s="181" t="s">
        <v>2626</v>
      </c>
      <c r="AF319" s="198"/>
      <c r="AG319" s="121"/>
      <c r="AH319" s="121"/>
      <c r="AI319" s="121"/>
      <c r="AJ319" s="198"/>
      <c r="AK319" s="121"/>
      <c r="AL319" s="121"/>
      <c r="AM319" s="3"/>
      <c r="AN319" s="198"/>
      <c r="AO319" s="155"/>
      <c r="AP319" s="155"/>
      <c r="AQ319" s="155"/>
      <c r="AR319" s="198"/>
      <c r="AS319" s="304"/>
      <c r="AT319" s="304"/>
      <c r="AU319" s="304"/>
      <c r="AV319" s="235"/>
      <c r="AW319" s="304" t="s">
        <v>151</v>
      </c>
      <c r="AX319" s="304" t="s">
        <v>151</v>
      </c>
      <c r="AY319" s="304" t="s">
        <v>151</v>
      </c>
      <c r="AZ319" s="760">
        <f t="shared" si="238"/>
        <v>2997</v>
      </c>
      <c r="BA319" s="761">
        <f t="shared" si="239"/>
        <v>0</v>
      </c>
      <c r="BB319" s="761">
        <f t="shared" si="240"/>
        <v>2997</v>
      </c>
      <c r="BC319" s="110">
        <f t="shared" si="241"/>
        <v>0</v>
      </c>
      <c r="BD319" s="762">
        <f t="shared" si="242"/>
        <v>2997</v>
      </c>
      <c r="BE319" s="762"/>
      <c r="BF319" s="243" t="s">
        <v>160</v>
      </c>
      <c r="BG319" s="768">
        <v>0.15</v>
      </c>
      <c r="BH319" s="110"/>
      <c r="BI319" s="242">
        <f t="shared" si="243"/>
        <v>449.55</v>
      </c>
      <c r="BJ319" s="986"/>
      <c r="BK319" s="1242"/>
      <c r="BL319" s="243" t="s">
        <v>160</v>
      </c>
      <c r="BM319" s="98">
        <v>0.05</v>
      </c>
      <c r="BN319" s="110"/>
      <c r="BO319" s="242">
        <f t="shared" si="244"/>
        <v>149.85</v>
      </c>
      <c r="BP319" s="986"/>
      <c r="BQ319" s="1242"/>
      <c r="BR319" s="262">
        <v>2997</v>
      </c>
      <c r="BS319" s="206"/>
      <c r="BT319" s="301"/>
      <c r="BU319" s="206"/>
      <c r="BV319" s="206"/>
      <c r="BW319" s="206"/>
      <c r="BX319" s="206"/>
      <c r="BY319" s="206"/>
      <c r="BZ319" s="206"/>
      <c r="CA319" s="302"/>
      <c r="CB319" s="206"/>
      <c r="CC319" s="206"/>
      <c r="CD319" s="206"/>
      <c r="CE319" s="206"/>
      <c r="CF319" s="206"/>
      <c r="CG319" s="206"/>
      <c r="CH319" s="206"/>
      <c r="CI319" s="206"/>
      <c r="CJ319" s="206"/>
      <c r="CK319" s="245" t="s">
        <v>2612</v>
      </c>
      <c r="CL319" s="181"/>
      <c r="CM319" s="246"/>
      <c r="CN319" s="247" t="s">
        <v>2260</v>
      </c>
      <c r="CO319" s="207"/>
      <c r="CP319" s="155"/>
      <c r="CQ319" s="131"/>
      <c r="CR319" s="131"/>
      <c r="CS319" s="242"/>
      <c r="CT319" s="242"/>
      <c r="CU319" s="242"/>
      <c r="CV319" s="729"/>
      <c r="CW319" s="729"/>
      <c r="CX319" s="729"/>
      <c r="CY319" s="729"/>
      <c r="CZ319" s="729"/>
      <c r="DA319" s="729"/>
      <c r="DB319" s="729"/>
      <c r="DC319" s="729"/>
    </row>
    <row r="320" spans="1:124" ht="30" customHeight="1">
      <c r="A320" s="228"/>
      <c r="B320" s="155"/>
      <c r="C320" s="756">
        <f t="shared" si="245"/>
        <v>4</v>
      </c>
      <c r="D320" s="244"/>
      <c r="E320" s="244"/>
      <c r="F320" s="244"/>
      <c r="G320" s="767" t="s">
        <v>488</v>
      </c>
      <c r="H320" s="767" t="s">
        <v>2628</v>
      </c>
      <c r="I320" s="207" t="s">
        <v>2629</v>
      </c>
      <c r="J320" s="207" t="str">
        <f t="shared" si="237"/>
        <v>Francesca Lissandrini</v>
      </c>
      <c r="K320" s="224">
        <v>3488790050</v>
      </c>
      <c r="L320" s="131" t="s">
        <v>2630</v>
      </c>
      <c r="M320" s="131"/>
      <c r="N320" s="131"/>
      <c r="O320" s="284"/>
      <c r="P320" s="37"/>
      <c r="Q320" s="37"/>
      <c r="R320" s="131" t="s">
        <v>2631</v>
      </c>
      <c r="S320" s="160"/>
      <c r="T320" s="160"/>
      <c r="U320" s="160"/>
      <c r="V320" s="160"/>
      <c r="W320" s="233"/>
      <c r="X320" s="234"/>
      <c r="Y320" s="233"/>
      <c r="Z320" s="233"/>
      <c r="AA320" s="233"/>
      <c r="AB320" s="37"/>
      <c r="AC320" s="37"/>
      <c r="AD320" s="37"/>
      <c r="AE320" s="181" t="s">
        <v>2632</v>
      </c>
      <c r="AF320" s="198"/>
      <c r="AG320" s="977"/>
      <c r="AH320" s="121"/>
      <c r="AI320" s="121"/>
      <c r="AJ320" s="198"/>
      <c r="AK320" s="121"/>
      <c r="AL320" s="121"/>
      <c r="AM320" s="121"/>
      <c r="AN320" s="198"/>
      <c r="AO320" s="155"/>
      <c r="AP320" s="155"/>
      <c r="AQ320" s="155"/>
      <c r="AR320" s="198"/>
      <c r="AS320" s="565" t="s">
        <v>165</v>
      </c>
      <c r="AT320" s="565" t="s">
        <v>165</v>
      </c>
      <c r="AU320" s="565" t="s">
        <v>165</v>
      </c>
      <c r="AV320" s="235"/>
      <c r="AW320" s="304"/>
      <c r="AX320" s="304"/>
      <c r="AY320" s="304"/>
      <c r="AZ320" s="760">
        <f t="shared" si="238"/>
        <v>2997</v>
      </c>
      <c r="BA320" s="761">
        <f t="shared" si="239"/>
        <v>0</v>
      </c>
      <c r="BB320" s="761">
        <f t="shared" si="240"/>
        <v>2997</v>
      </c>
      <c r="BC320" s="110">
        <f t="shared" si="241"/>
        <v>0</v>
      </c>
      <c r="BD320" s="762">
        <f t="shared" si="242"/>
        <v>2997</v>
      </c>
      <c r="BE320" s="809"/>
      <c r="BF320" s="772" t="s">
        <v>262</v>
      </c>
      <c r="BG320" s="98">
        <v>0.15</v>
      </c>
      <c r="BH320" s="110"/>
      <c r="BI320" s="242">
        <f t="shared" si="243"/>
        <v>449.55</v>
      </c>
      <c r="BJ320" s="1230"/>
      <c r="BK320" s="772"/>
      <c r="BL320" s="243" t="s">
        <v>184</v>
      </c>
      <c r="BM320" s="775">
        <v>0.05</v>
      </c>
      <c r="BN320" s="110"/>
      <c r="BO320" s="242">
        <f t="shared" si="244"/>
        <v>149.85</v>
      </c>
      <c r="BP320" s="242"/>
      <c r="BQ320" s="243"/>
      <c r="BR320" s="110">
        <v>2997</v>
      </c>
      <c r="BS320" s="206"/>
      <c r="BT320" s="301"/>
      <c r="BU320" s="206"/>
      <c r="BV320" s="206"/>
      <c r="BW320" s="206"/>
      <c r="BX320" s="206"/>
      <c r="BY320" s="206"/>
      <c r="BZ320" s="206"/>
      <c r="CA320" s="302"/>
      <c r="CB320" s="206"/>
      <c r="CC320" s="206"/>
      <c r="CD320" s="206"/>
      <c r="CE320" s="206"/>
      <c r="CF320" s="206"/>
      <c r="CG320" s="206"/>
      <c r="CH320" s="206"/>
      <c r="CI320" s="206"/>
      <c r="CJ320" s="206"/>
      <c r="CK320" s="245" t="s">
        <v>2612</v>
      </c>
      <c r="CL320" s="181"/>
      <c r="CM320" s="246"/>
      <c r="CN320" s="247" t="s">
        <v>4667</v>
      </c>
      <c r="CO320" s="207"/>
      <c r="CP320" s="155"/>
      <c r="CQ320" s="131"/>
      <c r="CR320" s="131"/>
      <c r="CS320" s="242"/>
      <c r="CT320" s="242"/>
      <c r="CU320" s="242"/>
      <c r="CV320" s="729"/>
      <c r="CW320" s="729"/>
      <c r="CX320" s="729"/>
      <c r="CY320" s="729"/>
      <c r="CZ320" s="729"/>
      <c r="DA320" s="729"/>
      <c r="DB320" s="729"/>
      <c r="DC320" s="729"/>
    </row>
    <row r="321" spans="1:107" ht="30" customHeight="1">
      <c r="A321" s="228"/>
      <c r="B321" s="155"/>
      <c r="C321" s="756">
        <f t="shared" si="245"/>
        <v>5</v>
      </c>
      <c r="D321" s="244"/>
      <c r="E321" s="244"/>
      <c r="F321" s="244"/>
      <c r="G321" s="767" t="s">
        <v>895</v>
      </c>
      <c r="H321" s="767" t="s">
        <v>2635</v>
      </c>
      <c r="I321" s="207" t="s">
        <v>2636</v>
      </c>
      <c r="J321" s="207" t="str">
        <f t="shared" si="237"/>
        <v>Valentina Zanetti</v>
      </c>
      <c r="K321" s="224">
        <v>3401622005</v>
      </c>
      <c r="L321" s="131"/>
      <c r="M321" s="131"/>
      <c r="N321" s="131"/>
      <c r="O321" s="284"/>
      <c r="P321" s="37"/>
      <c r="Q321" s="37"/>
      <c r="R321" s="131" t="s">
        <v>2625</v>
      </c>
      <c r="S321" s="160"/>
      <c r="T321" s="160"/>
      <c r="U321" s="160"/>
      <c r="V321" s="160"/>
      <c r="W321" s="233"/>
      <c r="X321" s="234"/>
      <c r="Y321" s="233"/>
      <c r="Z321" s="233"/>
      <c r="AA321" s="233"/>
      <c r="AB321" s="37"/>
      <c r="AC321" s="37"/>
      <c r="AD321" s="37"/>
      <c r="AE321" s="181" t="s">
        <v>2637</v>
      </c>
      <c r="AF321" s="198"/>
      <c r="AG321" s="121"/>
      <c r="AH321" s="121"/>
      <c r="AI321" s="121"/>
      <c r="AJ321" s="198"/>
      <c r="AK321" s="121"/>
      <c r="AL321" s="121"/>
      <c r="AM321" s="121"/>
      <c r="AN321" s="198"/>
      <c r="AO321" s="155"/>
      <c r="AP321" s="155"/>
      <c r="AQ321" s="155"/>
      <c r="AR321" s="198"/>
      <c r="AS321" s="304"/>
      <c r="AT321" s="304"/>
      <c r="AU321" s="304"/>
      <c r="AV321" s="235"/>
      <c r="AW321" s="304" t="s">
        <v>151</v>
      </c>
      <c r="AX321" s="304" t="s">
        <v>151</v>
      </c>
      <c r="AY321" s="304" t="s">
        <v>151</v>
      </c>
      <c r="AZ321" s="760">
        <f t="shared" si="238"/>
        <v>2997</v>
      </c>
      <c r="BA321" s="761">
        <f t="shared" si="239"/>
        <v>0</v>
      </c>
      <c r="BB321" s="761">
        <f t="shared" si="240"/>
        <v>2997</v>
      </c>
      <c r="BC321" s="110">
        <f t="shared" si="241"/>
        <v>0</v>
      </c>
      <c r="BD321" s="762">
        <f t="shared" si="242"/>
        <v>2997</v>
      </c>
      <c r="BE321" s="762"/>
      <c r="BF321" s="243" t="s">
        <v>160</v>
      </c>
      <c r="BG321" s="98">
        <v>0.15</v>
      </c>
      <c r="BH321" s="110"/>
      <c r="BI321" s="242">
        <f t="shared" si="243"/>
        <v>449.55</v>
      </c>
      <c r="BJ321" s="242"/>
      <c r="BK321" s="243"/>
      <c r="BL321" s="243" t="s">
        <v>160</v>
      </c>
      <c r="BM321" s="98">
        <v>0.05</v>
      </c>
      <c r="BN321" s="110"/>
      <c r="BO321" s="242">
        <f t="shared" si="244"/>
        <v>149.85</v>
      </c>
      <c r="BP321" s="242"/>
      <c r="BQ321" s="243"/>
      <c r="BR321" s="110">
        <v>2997</v>
      </c>
      <c r="BS321" s="206"/>
      <c r="BT321" s="301"/>
      <c r="BU321" s="206"/>
      <c r="BV321" s="206"/>
      <c r="BW321" s="206"/>
      <c r="BX321" s="206"/>
      <c r="BY321" s="206"/>
      <c r="BZ321" s="206"/>
      <c r="CA321" s="302"/>
      <c r="CB321" s="206"/>
      <c r="CC321" s="206"/>
      <c r="CD321" s="206"/>
      <c r="CE321" s="206"/>
      <c r="CF321" s="206"/>
      <c r="CG321" s="206"/>
      <c r="CH321" s="206"/>
      <c r="CI321" s="206"/>
      <c r="CJ321" s="206"/>
      <c r="CK321" s="245" t="s">
        <v>2612</v>
      </c>
      <c r="CL321" s="181"/>
      <c r="CM321" s="246"/>
      <c r="CN321" s="247" t="s">
        <v>2260</v>
      </c>
      <c r="CO321" s="207"/>
      <c r="CP321" s="155"/>
      <c r="CQ321" s="131"/>
      <c r="CR321" s="131"/>
      <c r="CS321" s="242"/>
      <c r="CT321" s="242"/>
      <c r="CU321" s="242"/>
      <c r="CV321" s="729"/>
      <c r="CW321" s="729"/>
      <c r="CX321" s="729"/>
      <c r="CY321" s="729"/>
      <c r="CZ321" s="729"/>
      <c r="DA321" s="729"/>
      <c r="DB321" s="729"/>
      <c r="DC321" s="729"/>
    </row>
    <row r="322" spans="1:107" ht="30" customHeight="1">
      <c r="A322" s="228"/>
      <c r="B322" s="155"/>
      <c r="C322" s="776">
        <v>1</v>
      </c>
      <c r="D322" s="244"/>
      <c r="E322" s="244"/>
      <c r="F322" s="244"/>
      <c r="G322" s="283" t="s">
        <v>135</v>
      </c>
      <c r="H322" s="283" t="s">
        <v>2639</v>
      </c>
      <c r="I322" s="207" t="s">
        <v>2640</v>
      </c>
      <c r="J322" s="207" t="str">
        <f t="shared" si="237"/>
        <v>Alessandro Farina</v>
      </c>
      <c r="K322" s="224">
        <v>3487986130</v>
      </c>
      <c r="L322" s="131"/>
      <c r="M322" s="131"/>
      <c r="N322" s="131"/>
      <c r="O322" s="1259"/>
      <c r="P322" s="37"/>
      <c r="Q322" s="37"/>
      <c r="R322" s="131" t="s">
        <v>2641</v>
      </c>
      <c r="S322" s="160"/>
      <c r="T322" s="160"/>
      <c r="U322" s="160"/>
      <c r="V322" s="160"/>
      <c r="W322" s="233"/>
      <c r="X322" s="131"/>
      <c r="Y322" s="233"/>
      <c r="Z322" s="233"/>
      <c r="AA322" s="233"/>
      <c r="AB322" s="37"/>
      <c r="AC322" s="131"/>
      <c r="AD322" s="1364" t="s">
        <v>118</v>
      </c>
      <c r="AE322" s="207"/>
      <c r="AF322" s="515"/>
      <c r="AG322" s="155"/>
      <c r="AH322" s="155"/>
      <c r="AI322" s="155"/>
      <c r="AJ322" s="515"/>
      <c r="AK322" s="121"/>
      <c r="AL322" s="121"/>
      <c r="AM322" s="3"/>
      <c r="AN322" s="198"/>
      <c r="AO322" s="565" t="s">
        <v>194</v>
      </c>
      <c r="AP322" s="565" t="s">
        <v>194</v>
      </c>
      <c r="AQ322" s="565" t="s">
        <v>194</v>
      </c>
      <c r="AR322" s="198"/>
      <c r="AS322" s="121"/>
      <c r="AT322" s="121"/>
      <c r="AU322" s="121"/>
      <c r="AV322" s="235"/>
      <c r="AW322" s="121"/>
      <c r="AX322" s="121"/>
      <c r="AY322" s="121"/>
      <c r="AZ322" s="760">
        <f t="shared" si="238"/>
        <v>0</v>
      </c>
      <c r="BA322" s="761">
        <f t="shared" si="239"/>
        <v>0</v>
      </c>
      <c r="BB322" s="761">
        <f t="shared" si="240"/>
        <v>0</v>
      </c>
      <c r="BC322" s="110">
        <f t="shared" si="241"/>
        <v>0</v>
      </c>
      <c r="BD322" s="242">
        <f t="shared" si="242"/>
        <v>0</v>
      </c>
      <c r="BE322" s="242"/>
      <c r="BF322" s="243" t="s">
        <v>414</v>
      </c>
      <c r="BG322" s="98">
        <v>0.15</v>
      </c>
      <c r="BH322" s="110">
        <f t="shared" ref="BH322:BH341" si="246">AZ322*BG322</f>
        <v>0</v>
      </c>
      <c r="BI322" s="242"/>
      <c r="BJ322" s="1231"/>
      <c r="BK322" s="243"/>
      <c r="BL322" s="243" t="s">
        <v>414</v>
      </c>
      <c r="BM322" s="98">
        <v>0.05</v>
      </c>
      <c r="BN322" s="110">
        <f t="shared" ref="BN322:BN341" si="247">AZ322*BM322</f>
        <v>0</v>
      </c>
      <c r="BO322" s="242"/>
      <c r="BP322" s="242"/>
      <c r="BQ322" s="243"/>
      <c r="BR322" s="110"/>
      <c r="BS322" s="206"/>
      <c r="BT322" s="301"/>
      <c r="BU322" s="206"/>
      <c r="BV322" s="206"/>
      <c r="BW322" s="206"/>
      <c r="BX322" s="206"/>
      <c r="BY322" s="206"/>
      <c r="BZ322" s="206"/>
      <c r="CA322" s="206"/>
      <c r="CB322" s="778"/>
      <c r="CC322" s="206"/>
      <c r="CD322" s="206"/>
      <c r="CE322" s="206"/>
      <c r="CF322" s="206"/>
      <c r="CG322" s="206"/>
      <c r="CH322" s="206"/>
      <c r="CI322" s="206"/>
      <c r="CJ322" s="206"/>
      <c r="CK322" s="245" t="s">
        <v>2612</v>
      </c>
      <c r="CL322" s="181"/>
      <c r="CM322" s="369"/>
      <c r="CN322" s="207" t="s">
        <v>998</v>
      </c>
      <c r="CO322" s="207"/>
      <c r="CP322" s="155"/>
      <c r="CQ322" s="131"/>
      <c r="CR322" s="131"/>
      <c r="CS322" s="242"/>
      <c r="CT322" s="242"/>
      <c r="CU322" s="242"/>
      <c r="CV322" s="729"/>
      <c r="CW322" s="729"/>
      <c r="CX322" s="729"/>
      <c r="CY322" s="779"/>
      <c r="CZ322" s="779"/>
      <c r="DA322" s="779"/>
      <c r="DB322" s="779"/>
      <c r="DC322" s="779"/>
    </row>
    <row r="323" spans="1:107" ht="30" customHeight="1">
      <c r="A323" s="228"/>
      <c r="B323" s="155"/>
      <c r="C323" s="780">
        <f t="shared" ref="C323:C344" si="248">C322+1</f>
        <v>2</v>
      </c>
      <c r="D323" s="244"/>
      <c r="E323" s="244"/>
      <c r="F323" s="244"/>
      <c r="G323" s="283" t="s">
        <v>1449</v>
      </c>
      <c r="H323" s="283" t="s">
        <v>2643</v>
      </c>
      <c r="I323" s="207" t="s">
        <v>2644</v>
      </c>
      <c r="J323" s="207" t="str">
        <f t="shared" si="237"/>
        <v>Alessio Garbi</v>
      </c>
      <c r="K323" s="224">
        <v>3484104746</v>
      </c>
      <c r="L323" s="131"/>
      <c r="M323" s="131"/>
      <c r="N323" s="131"/>
      <c r="O323" s="1259"/>
      <c r="P323" s="37"/>
      <c r="Q323" s="37"/>
      <c r="R323" s="131" t="s">
        <v>2645</v>
      </c>
      <c r="S323" s="160"/>
      <c r="T323" s="160"/>
      <c r="U323" s="160"/>
      <c r="V323" s="160"/>
      <c r="W323" s="233"/>
      <c r="X323" s="131"/>
      <c r="Y323" s="233"/>
      <c r="Z323" s="233"/>
      <c r="AA323" s="233"/>
      <c r="AB323" s="37"/>
      <c r="AC323" s="131"/>
      <c r="AD323" s="1364" t="s">
        <v>118</v>
      </c>
      <c r="AE323" s="207"/>
      <c r="AF323" s="515"/>
      <c r="AG323" s="155"/>
      <c r="AH323" s="155"/>
      <c r="AI323" s="155"/>
      <c r="AJ323" s="515"/>
      <c r="AK323" s="155"/>
      <c r="AL323" s="155"/>
      <c r="AM323" s="155"/>
      <c r="AN323" s="198"/>
      <c r="AO323" s="565" t="s">
        <v>194</v>
      </c>
      <c r="AP323" s="565" t="s">
        <v>194</v>
      </c>
      <c r="AQ323" s="565" t="s">
        <v>194</v>
      </c>
      <c r="AR323" s="198"/>
      <c r="AS323" s="121"/>
      <c r="AT323" s="121"/>
      <c r="AU323" s="121"/>
      <c r="AV323" s="235"/>
      <c r="AW323" s="121"/>
      <c r="AX323" s="121"/>
      <c r="AY323" s="121"/>
      <c r="AZ323" s="760">
        <f t="shared" si="238"/>
        <v>0</v>
      </c>
      <c r="BA323" s="761">
        <f t="shared" si="239"/>
        <v>0</v>
      </c>
      <c r="BB323" s="761">
        <f t="shared" si="240"/>
        <v>0</v>
      </c>
      <c r="BC323" s="110">
        <f t="shared" si="241"/>
        <v>0</v>
      </c>
      <c r="BD323" s="242">
        <f t="shared" si="242"/>
        <v>0</v>
      </c>
      <c r="BE323" s="1230"/>
      <c r="BF323" s="772" t="s">
        <v>262</v>
      </c>
      <c r="BG323" s="98">
        <v>0.15</v>
      </c>
      <c r="BH323" s="110">
        <f t="shared" si="246"/>
        <v>0</v>
      </c>
      <c r="BI323" s="242"/>
      <c r="BJ323" s="1231"/>
      <c r="BK323" s="243"/>
      <c r="BL323" s="243" t="s">
        <v>184</v>
      </c>
      <c r="BM323" s="98">
        <v>0.05</v>
      </c>
      <c r="BN323" s="110">
        <f t="shared" si="247"/>
        <v>0</v>
      </c>
      <c r="BO323" s="242"/>
      <c r="BP323" s="242"/>
      <c r="BQ323" s="243"/>
      <c r="BR323" s="110"/>
      <c r="BS323" s="206"/>
      <c r="BT323" s="301"/>
      <c r="BU323" s="206"/>
      <c r="BV323" s="206"/>
      <c r="BW323" s="206"/>
      <c r="BX323" s="206"/>
      <c r="BY323" s="206"/>
      <c r="BZ323" s="206"/>
      <c r="CA323" s="206"/>
      <c r="CB323" s="778"/>
      <c r="CC323" s="206"/>
      <c r="CD323" s="206"/>
      <c r="CE323" s="206"/>
      <c r="CF323" s="206"/>
      <c r="CG323" s="206"/>
      <c r="CH323" s="206"/>
      <c r="CI323" s="206"/>
      <c r="CJ323" s="206"/>
      <c r="CK323" s="245" t="s">
        <v>2612</v>
      </c>
      <c r="CL323" s="181"/>
      <c r="CM323" s="369"/>
      <c r="CN323" s="207" t="s">
        <v>3667</v>
      </c>
      <c r="CO323" s="207"/>
      <c r="CP323" s="155"/>
      <c r="CQ323" s="131"/>
      <c r="CR323" s="131"/>
      <c r="CS323" s="242"/>
      <c r="CT323" s="242"/>
      <c r="CU323" s="242"/>
      <c r="CV323" s="729"/>
      <c r="CW323" s="729"/>
      <c r="CX323" s="729"/>
      <c r="CY323" s="779"/>
      <c r="CZ323" s="779"/>
      <c r="DA323" s="779"/>
      <c r="DB323" s="779"/>
      <c r="DC323" s="779"/>
    </row>
    <row r="324" spans="1:107" ht="30" customHeight="1">
      <c r="A324" s="228"/>
      <c r="B324" s="155"/>
      <c r="C324" s="780">
        <f t="shared" si="248"/>
        <v>3</v>
      </c>
      <c r="D324" s="244"/>
      <c r="E324" s="244"/>
      <c r="F324" s="278"/>
      <c r="G324" s="782" t="s">
        <v>188</v>
      </c>
      <c r="H324" s="783" t="s">
        <v>2646</v>
      </c>
      <c r="I324" s="113" t="s">
        <v>2647</v>
      </c>
      <c r="J324" s="207" t="str">
        <f t="shared" si="237"/>
        <v>Andrea Todeschi</v>
      </c>
      <c r="K324" s="224"/>
      <c r="L324" s="131"/>
      <c r="M324" s="131"/>
      <c r="N324" s="131"/>
      <c r="O324" s="1259"/>
      <c r="P324" s="37"/>
      <c r="Q324" s="37"/>
      <c r="R324" s="131" t="s">
        <v>2648</v>
      </c>
      <c r="S324" s="160"/>
      <c r="T324" s="160"/>
      <c r="U324" s="160"/>
      <c r="V324" s="160"/>
      <c r="W324" s="233"/>
      <c r="X324" s="131"/>
      <c r="Y324" s="233"/>
      <c r="Z324" s="233"/>
      <c r="AA324" s="233"/>
      <c r="AB324" s="37"/>
      <c r="AC324" s="131"/>
      <c r="AD324" s="1364" t="s">
        <v>118</v>
      </c>
      <c r="AE324" s="207"/>
      <c r="AF324" s="515"/>
      <c r="AG324" s="155"/>
      <c r="AH324" s="155"/>
      <c r="AI324" s="155"/>
      <c r="AJ324" s="515"/>
      <c r="AK324" s="155"/>
      <c r="AL324" s="155"/>
      <c r="AM324" s="155"/>
      <c r="AN324" s="198"/>
      <c r="AO324" s="565" t="s">
        <v>194</v>
      </c>
      <c r="AP324" s="565" t="s">
        <v>194</v>
      </c>
      <c r="AQ324" s="565" t="s">
        <v>194</v>
      </c>
      <c r="AR324" s="198"/>
      <c r="AS324" s="121"/>
      <c r="AT324" s="121"/>
      <c r="AU324" s="121"/>
      <c r="AV324" s="235"/>
      <c r="AW324" s="121"/>
      <c r="AX324" s="121"/>
      <c r="AY324" s="121"/>
      <c r="AZ324" s="760">
        <f t="shared" si="238"/>
        <v>0</v>
      </c>
      <c r="BA324" s="761">
        <f t="shared" si="239"/>
        <v>0</v>
      </c>
      <c r="BB324" s="761">
        <f t="shared" si="240"/>
        <v>0</v>
      </c>
      <c r="BC324" s="110">
        <f t="shared" si="241"/>
        <v>0</v>
      </c>
      <c r="BD324" s="242">
        <f t="shared" si="242"/>
        <v>0</v>
      </c>
      <c r="BE324" s="242"/>
      <c r="BF324" s="243" t="s">
        <v>117</v>
      </c>
      <c r="BG324" s="98">
        <v>0</v>
      </c>
      <c r="BH324" s="110">
        <f t="shared" si="246"/>
        <v>0</v>
      </c>
      <c r="BI324" s="242"/>
      <c r="BJ324" s="242"/>
      <c r="BK324" s="1267" t="s">
        <v>118</v>
      </c>
      <c r="BL324" s="243" t="s">
        <v>152</v>
      </c>
      <c r="BM324" s="98">
        <v>0.05</v>
      </c>
      <c r="BN324" s="110">
        <f t="shared" si="247"/>
        <v>0</v>
      </c>
      <c r="BO324" s="242"/>
      <c r="BP324" s="242"/>
      <c r="BQ324" s="243"/>
      <c r="BR324" s="110"/>
      <c r="BS324" s="206"/>
      <c r="BT324" s="301"/>
      <c r="BU324" s="206"/>
      <c r="BV324" s="206"/>
      <c r="BW324" s="206"/>
      <c r="BX324" s="206"/>
      <c r="BY324" s="206"/>
      <c r="BZ324" s="206"/>
      <c r="CA324" s="206"/>
      <c r="CB324" s="778"/>
      <c r="CC324" s="206"/>
      <c r="CD324" s="206"/>
      <c r="CE324" s="206"/>
      <c r="CF324" s="206"/>
      <c r="CG324" s="206"/>
      <c r="CH324" s="206"/>
      <c r="CI324" s="206"/>
      <c r="CJ324" s="206"/>
      <c r="CK324" s="245" t="s">
        <v>2612</v>
      </c>
      <c r="CL324" s="181"/>
      <c r="CM324" s="369"/>
      <c r="CN324" s="207" t="s">
        <v>4668</v>
      </c>
      <c r="CO324" s="207"/>
      <c r="CP324" s="155"/>
      <c r="CQ324" s="131"/>
      <c r="CR324" s="131"/>
      <c r="CS324" s="242"/>
      <c r="CT324" s="242"/>
      <c r="CU324" s="242"/>
      <c r="CV324" s="729"/>
      <c r="CW324" s="729"/>
      <c r="CX324" s="729"/>
      <c r="CY324" s="779"/>
      <c r="CZ324" s="779"/>
      <c r="DA324" s="779"/>
      <c r="DB324" s="779"/>
      <c r="DC324" s="779"/>
    </row>
    <row r="325" spans="1:107" ht="30" customHeight="1">
      <c r="A325" s="228"/>
      <c r="B325" s="155"/>
      <c r="C325" s="780">
        <f t="shared" si="248"/>
        <v>4</v>
      </c>
      <c r="D325" s="244"/>
      <c r="E325" s="244"/>
      <c r="F325" s="244"/>
      <c r="G325" s="782" t="s">
        <v>392</v>
      </c>
      <c r="H325" s="783" t="s">
        <v>1512</v>
      </c>
      <c r="I325" s="207" t="s">
        <v>2649</v>
      </c>
      <c r="J325" s="207" t="str">
        <f t="shared" si="237"/>
        <v>Elena Pegoraro</v>
      </c>
      <c r="K325" s="224">
        <v>3356534865</v>
      </c>
      <c r="L325" s="131"/>
      <c r="M325" s="131"/>
      <c r="N325" s="131"/>
      <c r="O325" s="1259"/>
      <c r="P325" s="37"/>
      <c r="Q325" s="37"/>
      <c r="R325" s="131" t="s">
        <v>2650</v>
      </c>
      <c r="S325" s="160"/>
      <c r="T325" s="160"/>
      <c r="U325" s="160"/>
      <c r="V325" s="160"/>
      <c r="W325" s="233"/>
      <c r="X325" s="131"/>
      <c r="Y325" s="233"/>
      <c r="Z325" s="233"/>
      <c r="AA325" s="233"/>
      <c r="AB325" s="37"/>
      <c r="AC325" s="131"/>
      <c r="AD325" s="1364" t="s">
        <v>118</v>
      </c>
      <c r="AE325" s="207"/>
      <c r="AF325" s="515"/>
      <c r="AG325" s="155"/>
      <c r="AH325" s="155"/>
      <c r="AI325" s="155"/>
      <c r="AJ325" s="515"/>
      <c r="AK325" s="155"/>
      <c r="AL325" s="155"/>
      <c r="AM325" s="155"/>
      <c r="AN325" s="198"/>
      <c r="AO325" s="565" t="s">
        <v>165</v>
      </c>
      <c r="AP325" s="565" t="s">
        <v>165</v>
      </c>
      <c r="AQ325" s="565" t="s">
        <v>165</v>
      </c>
      <c r="AR325" s="198"/>
      <c r="AS325" s="121"/>
      <c r="AT325" s="121"/>
      <c r="AU325" s="121"/>
      <c r="AV325" s="235"/>
      <c r="AW325" s="121"/>
      <c r="AX325" s="121"/>
      <c r="AY325" s="121"/>
      <c r="AZ325" s="760">
        <f t="shared" si="238"/>
        <v>0</v>
      </c>
      <c r="BA325" s="761">
        <f t="shared" si="239"/>
        <v>0</v>
      </c>
      <c r="BB325" s="761">
        <f t="shared" si="240"/>
        <v>0</v>
      </c>
      <c r="BC325" s="110">
        <f t="shared" si="241"/>
        <v>0</v>
      </c>
      <c r="BD325" s="242">
        <f t="shared" si="242"/>
        <v>0</v>
      </c>
      <c r="BE325" s="242"/>
      <c r="BF325" s="243" t="s">
        <v>117</v>
      </c>
      <c r="BG325" s="98">
        <v>0</v>
      </c>
      <c r="BH325" s="110">
        <f t="shared" si="246"/>
        <v>0</v>
      </c>
      <c r="BI325" s="242"/>
      <c r="BJ325" s="242"/>
      <c r="BK325" s="1267" t="s">
        <v>118</v>
      </c>
      <c r="BL325" s="243" t="s">
        <v>152</v>
      </c>
      <c r="BM325" s="98">
        <v>0.05</v>
      </c>
      <c r="BN325" s="110">
        <f t="shared" si="247"/>
        <v>0</v>
      </c>
      <c r="BO325" s="242"/>
      <c r="BP325" s="242"/>
      <c r="BQ325" s="243"/>
      <c r="BR325" s="110"/>
      <c r="BS325" s="206"/>
      <c r="BT325" s="301"/>
      <c r="BU325" s="206"/>
      <c r="BV325" s="206"/>
      <c r="BW325" s="206"/>
      <c r="BX325" s="206"/>
      <c r="BY325" s="206"/>
      <c r="BZ325" s="206"/>
      <c r="CA325" s="206"/>
      <c r="CB325" s="778"/>
      <c r="CC325" s="206"/>
      <c r="CD325" s="206"/>
      <c r="CE325" s="206"/>
      <c r="CF325" s="206"/>
      <c r="CG325" s="206"/>
      <c r="CH325" s="206"/>
      <c r="CI325" s="206"/>
      <c r="CJ325" s="206"/>
      <c r="CK325" s="245" t="s">
        <v>2612</v>
      </c>
      <c r="CL325" s="181"/>
      <c r="CM325" s="369"/>
      <c r="CN325" s="207" t="s">
        <v>4669</v>
      </c>
      <c r="CO325" s="207"/>
      <c r="CP325" s="155"/>
      <c r="CQ325" s="131"/>
      <c r="CR325" s="131"/>
      <c r="CS325" s="242"/>
      <c r="CT325" s="242"/>
      <c r="CU325" s="242"/>
      <c r="CV325" s="729"/>
      <c r="CW325" s="729"/>
      <c r="CX325" s="729"/>
      <c r="CY325" s="779"/>
      <c r="CZ325" s="779"/>
      <c r="DA325" s="779"/>
      <c r="DB325" s="779"/>
      <c r="DC325" s="779"/>
    </row>
    <row r="326" spans="1:107" ht="30" customHeight="1">
      <c r="A326" s="228"/>
      <c r="B326" s="155"/>
      <c r="C326" s="780">
        <f t="shared" si="248"/>
        <v>5</v>
      </c>
      <c r="D326" s="244"/>
      <c r="E326" s="244"/>
      <c r="F326" s="244"/>
      <c r="G326" s="782" t="s">
        <v>428</v>
      </c>
      <c r="H326" s="783" t="s">
        <v>2568</v>
      </c>
      <c r="I326" s="207" t="s">
        <v>2652</v>
      </c>
      <c r="J326" s="207" t="str">
        <f t="shared" si="237"/>
        <v>Enrico Martini</v>
      </c>
      <c r="K326" s="224">
        <v>3401610822</v>
      </c>
      <c r="L326" s="131"/>
      <c r="M326" s="131"/>
      <c r="N326" s="131"/>
      <c r="O326" s="1259"/>
      <c r="P326" s="37"/>
      <c r="Q326" s="37"/>
      <c r="R326" s="131" t="s">
        <v>2653</v>
      </c>
      <c r="S326" s="160"/>
      <c r="T326" s="160"/>
      <c r="U326" s="160"/>
      <c r="V326" s="160"/>
      <c r="W326" s="233"/>
      <c r="X326" s="131"/>
      <c r="Y326" s="233"/>
      <c r="Z326" s="233"/>
      <c r="AA326" s="233"/>
      <c r="AB326" s="37"/>
      <c r="AC326" s="131"/>
      <c r="AD326" s="1364" t="s">
        <v>118</v>
      </c>
      <c r="AE326" s="207"/>
      <c r="AF326" s="515"/>
      <c r="AG326" s="155"/>
      <c r="AH326" s="155"/>
      <c r="AI326" s="155"/>
      <c r="AJ326" s="515"/>
      <c r="AK326" s="155"/>
      <c r="AL326" s="155"/>
      <c r="AM326" s="155"/>
      <c r="AN326" s="198"/>
      <c r="AO326" s="565" t="s">
        <v>194</v>
      </c>
      <c r="AP326" s="565" t="s">
        <v>194</v>
      </c>
      <c r="AQ326" s="565" t="s">
        <v>194</v>
      </c>
      <c r="AR326" s="198"/>
      <c r="AS326" s="121"/>
      <c r="AT326" s="121"/>
      <c r="AU326" s="121"/>
      <c r="AV326" s="235"/>
      <c r="AW326" s="121"/>
      <c r="AX326" s="121"/>
      <c r="AY326" s="121"/>
      <c r="AZ326" s="760">
        <f t="shared" si="238"/>
        <v>0</v>
      </c>
      <c r="BA326" s="761">
        <f t="shared" si="239"/>
        <v>0</v>
      </c>
      <c r="BB326" s="761">
        <f t="shared" si="240"/>
        <v>0</v>
      </c>
      <c r="BC326" s="110">
        <f t="shared" si="241"/>
        <v>0</v>
      </c>
      <c r="BD326" s="242">
        <f t="shared" si="242"/>
        <v>0</v>
      </c>
      <c r="BE326" s="242"/>
      <c r="BF326" s="243" t="s">
        <v>117</v>
      </c>
      <c r="BG326" s="98">
        <v>0</v>
      </c>
      <c r="BH326" s="110">
        <f t="shared" si="246"/>
        <v>0</v>
      </c>
      <c r="BI326" s="242"/>
      <c r="BJ326" s="242"/>
      <c r="BK326" s="1267" t="s">
        <v>118</v>
      </c>
      <c r="BL326" s="243" t="s">
        <v>152</v>
      </c>
      <c r="BM326" s="98">
        <v>0.05</v>
      </c>
      <c r="BN326" s="110">
        <f t="shared" si="247"/>
        <v>0</v>
      </c>
      <c r="BO326" s="242"/>
      <c r="BP326" s="242"/>
      <c r="BQ326" s="243"/>
      <c r="BR326" s="110"/>
      <c r="BS326" s="206"/>
      <c r="BT326" s="301"/>
      <c r="BU326" s="206"/>
      <c r="BV326" s="206"/>
      <c r="BW326" s="206"/>
      <c r="BX326" s="206"/>
      <c r="BY326" s="206"/>
      <c r="BZ326" s="206"/>
      <c r="CA326" s="206"/>
      <c r="CB326" s="778"/>
      <c r="CC326" s="206"/>
      <c r="CD326" s="206"/>
      <c r="CE326" s="206"/>
      <c r="CF326" s="206"/>
      <c r="CG326" s="206"/>
      <c r="CH326" s="206"/>
      <c r="CI326" s="206"/>
      <c r="CJ326" s="206"/>
      <c r="CK326" s="245" t="s">
        <v>2612</v>
      </c>
      <c r="CL326" s="181"/>
      <c r="CM326" s="369"/>
      <c r="CN326" s="207" t="s">
        <v>4670</v>
      </c>
      <c r="CO326" s="207"/>
      <c r="CP326" s="155"/>
      <c r="CQ326" s="131"/>
      <c r="CR326" s="131"/>
      <c r="CS326" s="242"/>
      <c r="CT326" s="242"/>
      <c r="CU326" s="242"/>
      <c r="CV326" s="729"/>
      <c r="CW326" s="729"/>
      <c r="CX326" s="729"/>
      <c r="CY326" s="779"/>
      <c r="CZ326" s="779"/>
      <c r="DA326" s="779"/>
      <c r="DB326" s="779"/>
      <c r="DC326" s="779"/>
    </row>
    <row r="327" spans="1:107" ht="30" customHeight="1">
      <c r="A327" s="228"/>
      <c r="B327" s="155"/>
      <c r="C327" s="780">
        <f t="shared" si="248"/>
        <v>6</v>
      </c>
      <c r="D327" s="244"/>
      <c r="E327" s="244"/>
      <c r="F327" s="244"/>
      <c r="G327" s="782" t="s">
        <v>2654</v>
      </c>
      <c r="H327" s="783" t="s">
        <v>2655</v>
      </c>
      <c r="I327" s="207" t="s">
        <v>2656</v>
      </c>
      <c r="J327" s="207" t="str">
        <f t="shared" si="237"/>
        <v>Enrico Mario Bulgaron</v>
      </c>
      <c r="K327" s="224">
        <v>3482681526</v>
      </c>
      <c r="L327" s="131"/>
      <c r="M327" s="131"/>
      <c r="N327" s="131"/>
      <c r="O327" s="1259"/>
      <c r="P327" s="37"/>
      <c r="Q327" s="37"/>
      <c r="R327" s="131" t="s">
        <v>2657</v>
      </c>
      <c r="S327" s="160"/>
      <c r="T327" s="160"/>
      <c r="U327" s="160"/>
      <c r="V327" s="160"/>
      <c r="W327" s="233"/>
      <c r="X327" s="131"/>
      <c r="Y327" s="233"/>
      <c r="Z327" s="233"/>
      <c r="AA327" s="233"/>
      <c r="AB327" s="37"/>
      <c r="AC327" s="131"/>
      <c r="AD327" s="1364" t="s">
        <v>118</v>
      </c>
      <c r="AE327" s="207"/>
      <c r="AF327" s="515"/>
      <c r="AG327" s="155"/>
      <c r="AH327" s="155"/>
      <c r="AI327" s="155"/>
      <c r="AJ327" s="515"/>
      <c r="AK327" s="155"/>
      <c r="AL327" s="155"/>
      <c r="AM327" s="155"/>
      <c r="AN327" s="198"/>
      <c r="AO327" s="565" t="s">
        <v>194</v>
      </c>
      <c r="AP327" s="565" t="s">
        <v>194</v>
      </c>
      <c r="AQ327" s="565" t="s">
        <v>194</v>
      </c>
      <c r="AR327" s="198"/>
      <c r="AS327" s="121"/>
      <c r="AT327" s="121"/>
      <c r="AU327" s="121"/>
      <c r="AV327" s="235"/>
      <c r="AW327" s="121"/>
      <c r="AX327" s="121"/>
      <c r="AY327" s="121"/>
      <c r="AZ327" s="760">
        <f t="shared" si="238"/>
        <v>0</v>
      </c>
      <c r="BA327" s="761">
        <f t="shared" si="239"/>
        <v>0</v>
      </c>
      <c r="BB327" s="761">
        <f t="shared" si="240"/>
        <v>0</v>
      </c>
      <c r="BC327" s="110">
        <f t="shared" si="241"/>
        <v>0</v>
      </c>
      <c r="BD327" s="242">
        <f t="shared" si="242"/>
        <v>0</v>
      </c>
      <c r="BE327" s="242"/>
      <c r="BF327" s="243" t="s">
        <v>160</v>
      </c>
      <c r="BG327" s="98">
        <v>0.15</v>
      </c>
      <c r="BH327" s="110">
        <f t="shared" si="246"/>
        <v>0</v>
      </c>
      <c r="BI327" s="242"/>
      <c r="BJ327" s="1231"/>
      <c r="BK327" s="243"/>
      <c r="BL327" s="243" t="s">
        <v>160</v>
      </c>
      <c r="BM327" s="98">
        <v>0.05</v>
      </c>
      <c r="BN327" s="110">
        <f t="shared" si="247"/>
        <v>0</v>
      </c>
      <c r="BO327" s="242"/>
      <c r="BP327" s="242"/>
      <c r="BQ327" s="243"/>
      <c r="BR327" s="110"/>
      <c r="BS327" s="206"/>
      <c r="BT327" s="301"/>
      <c r="BU327" s="206"/>
      <c r="BV327" s="206"/>
      <c r="BW327" s="206"/>
      <c r="BX327" s="206"/>
      <c r="BY327" s="206"/>
      <c r="BZ327" s="206"/>
      <c r="CA327" s="206"/>
      <c r="CB327" s="778"/>
      <c r="CC327" s="206"/>
      <c r="CD327" s="206"/>
      <c r="CE327" s="206"/>
      <c r="CF327" s="206"/>
      <c r="CG327" s="206"/>
      <c r="CH327" s="206"/>
      <c r="CI327" s="206"/>
      <c r="CJ327" s="206"/>
      <c r="CK327" s="245" t="s">
        <v>2612</v>
      </c>
      <c r="CL327" s="181"/>
      <c r="CM327" s="369"/>
      <c r="CN327" s="207" t="s">
        <v>4671</v>
      </c>
      <c r="CO327" s="207"/>
      <c r="CP327" s="155"/>
      <c r="CQ327" s="131"/>
      <c r="CR327" s="131"/>
      <c r="CS327" s="242"/>
      <c r="CT327" s="242"/>
      <c r="CU327" s="242"/>
      <c r="CV327" s="729"/>
      <c r="CW327" s="729"/>
      <c r="CX327" s="729"/>
      <c r="CY327" s="779"/>
      <c r="CZ327" s="779"/>
      <c r="DA327" s="779"/>
      <c r="DB327" s="779"/>
      <c r="DC327" s="779"/>
    </row>
    <row r="328" spans="1:107" ht="30" customHeight="1">
      <c r="A328" s="228"/>
      <c r="B328" s="155"/>
      <c r="C328" s="780">
        <f t="shared" si="248"/>
        <v>7</v>
      </c>
      <c r="D328" s="244"/>
      <c r="E328" s="244"/>
      <c r="F328" s="244"/>
      <c r="G328" s="782" t="s">
        <v>912</v>
      </c>
      <c r="H328" s="783" t="s">
        <v>2658</v>
      </c>
      <c r="I328" s="207" t="s">
        <v>2659</v>
      </c>
      <c r="J328" s="207" t="str">
        <f t="shared" si="237"/>
        <v>Francesco Boccardo</v>
      </c>
      <c r="K328" s="224">
        <v>3475508845</v>
      </c>
      <c r="L328" s="131"/>
      <c r="M328" s="131"/>
      <c r="N328" s="131"/>
      <c r="O328" s="1259"/>
      <c r="P328" s="37"/>
      <c r="Q328" s="37"/>
      <c r="R328" s="131" t="s">
        <v>2660</v>
      </c>
      <c r="S328" s="160"/>
      <c r="T328" s="160"/>
      <c r="U328" s="160"/>
      <c r="V328" s="160"/>
      <c r="W328" s="233"/>
      <c r="X328" s="131"/>
      <c r="Y328" s="233"/>
      <c r="Z328" s="233"/>
      <c r="AA328" s="233"/>
      <c r="AB328" s="37"/>
      <c r="AC328" s="131"/>
      <c r="AD328" s="1364" t="s">
        <v>118</v>
      </c>
      <c r="AE328" s="207" t="s">
        <v>2661</v>
      </c>
      <c r="AF328" s="515"/>
      <c r="AG328" s="976"/>
      <c r="AH328" s="155"/>
      <c r="AI328" s="155"/>
      <c r="AJ328" s="515"/>
      <c r="AK328" s="155"/>
      <c r="AL328" s="155"/>
      <c r="AM328" s="155"/>
      <c r="AN328" s="198"/>
      <c r="AO328" s="565" t="s">
        <v>165</v>
      </c>
      <c r="AP328" s="565" t="s">
        <v>165</v>
      </c>
      <c r="AQ328" s="565" t="s">
        <v>165</v>
      </c>
      <c r="AR328" s="198"/>
      <c r="AS328" s="121"/>
      <c r="AT328" s="121"/>
      <c r="AU328" s="121"/>
      <c r="AV328" s="235"/>
      <c r="AW328" s="121"/>
      <c r="AX328" s="121"/>
      <c r="AY328" s="121"/>
      <c r="AZ328" s="760">
        <f t="shared" si="238"/>
        <v>0</v>
      </c>
      <c r="BA328" s="761">
        <f t="shared" si="239"/>
        <v>0</v>
      </c>
      <c r="BB328" s="761">
        <f t="shared" si="240"/>
        <v>0</v>
      </c>
      <c r="BC328" s="110">
        <f t="shared" si="241"/>
        <v>0</v>
      </c>
      <c r="BD328" s="242">
        <f t="shared" si="242"/>
        <v>0</v>
      </c>
      <c r="BE328" s="242"/>
      <c r="BF328" s="243" t="s">
        <v>184</v>
      </c>
      <c r="BG328" s="98">
        <v>0.15</v>
      </c>
      <c r="BH328" s="110">
        <f t="shared" si="246"/>
        <v>0</v>
      </c>
      <c r="BI328" s="242"/>
      <c r="BJ328" s="1231"/>
      <c r="BK328" s="243"/>
      <c r="BL328" s="243" t="s">
        <v>184</v>
      </c>
      <c r="BM328" s="98">
        <v>0.05</v>
      </c>
      <c r="BN328" s="110">
        <f t="shared" si="247"/>
        <v>0</v>
      </c>
      <c r="BO328" s="242"/>
      <c r="BP328" s="242"/>
      <c r="BQ328" s="243"/>
      <c r="BR328" s="110"/>
      <c r="BS328" s="206"/>
      <c r="BT328" s="301"/>
      <c r="BU328" s="206"/>
      <c r="BV328" s="206"/>
      <c r="BW328" s="206"/>
      <c r="BX328" s="206"/>
      <c r="BY328" s="206"/>
      <c r="BZ328" s="206"/>
      <c r="CA328" s="206"/>
      <c r="CB328" s="778"/>
      <c r="CC328" s="206"/>
      <c r="CD328" s="206"/>
      <c r="CE328" s="206"/>
      <c r="CF328" s="206"/>
      <c r="CG328" s="206"/>
      <c r="CH328" s="206"/>
      <c r="CI328" s="206"/>
      <c r="CJ328" s="206"/>
      <c r="CK328" s="245" t="s">
        <v>2612</v>
      </c>
      <c r="CL328" s="181"/>
      <c r="CM328" s="369"/>
      <c r="CN328" s="207" t="s">
        <v>1077</v>
      </c>
      <c r="CO328" s="207"/>
      <c r="CP328" s="155"/>
      <c r="CQ328" s="131"/>
      <c r="CR328" s="131"/>
      <c r="CS328" s="242"/>
      <c r="CT328" s="242"/>
      <c r="CU328" s="242"/>
      <c r="CV328" s="729"/>
      <c r="CW328" s="729"/>
      <c r="CX328" s="729"/>
      <c r="CY328" s="779"/>
      <c r="CZ328" s="779"/>
      <c r="DA328" s="779"/>
      <c r="DB328" s="779"/>
      <c r="DC328" s="779"/>
    </row>
    <row r="329" spans="1:107" ht="30" customHeight="1">
      <c r="A329" s="228"/>
      <c r="B329" s="155"/>
      <c r="C329" s="780">
        <f t="shared" si="248"/>
        <v>8</v>
      </c>
      <c r="D329" s="244"/>
      <c r="E329" s="244"/>
      <c r="F329" s="244"/>
      <c r="G329" s="782" t="s">
        <v>570</v>
      </c>
      <c r="H329" s="783" t="s">
        <v>2663</v>
      </c>
      <c r="I329" s="207" t="s">
        <v>2664</v>
      </c>
      <c r="J329" s="207" t="str">
        <f t="shared" si="237"/>
        <v>Giovanni Viola</v>
      </c>
      <c r="K329" s="224">
        <v>3381546671</v>
      </c>
      <c r="L329" s="131"/>
      <c r="M329" s="131"/>
      <c r="N329" s="131"/>
      <c r="O329" s="1259"/>
      <c r="P329" s="37"/>
      <c r="Q329" s="37"/>
      <c r="R329" s="131" t="s">
        <v>2665</v>
      </c>
      <c r="S329" s="160"/>
      <c r="T329" s="160"/>
      <c r="U329" s="160"/>
      <c r="V329" s="160"/>
      <c r="W329" s="233"/>
      <c r="X329" s="131"/>
      <c r="Y329" s="233"/>
      <c r="Z329" s="233"/>
      <c r="AA329" s="233"/>
      <c r="AB329" s="37"/>
      <c r="AC329" s="131"/>
      <c r="AD329" s="1364" t="s">
        <v>118</v>
      </c>
      <c r="AE329" s="207" t="s">
        <v>2666</v>
      </c>
      <c r="AF329" s="515"/>
      <c r="AG329" s="155"/>
      <c r="AH329" s="155"/>
      <c r="AI329" s="155"/>
      <c r="AJ329" s="515"/>
      <c r="AK329" s="155"/>
      <c r="AL329" s="155"/>
      <c r="AM329" s="155"/>
      <c r="AN329" s="198"/>
      <c r="AO329" s="565" t="s">
        <v>165</v>
      </c>
      <c r="AP329" s="565" t="s">
        <v>165</v>
      </c>
      <c r="AQ329" s="565" t="s">
        <v>165</v>
      </c>
      <c r="AR329" s="198"/>
      <c r="AS329" s="121"/>
      <c r="AT329" s="121"/>
      <c r="AU329" s="121"/>
      <c r="AV329" s="235"/>
      <c r="AW329" s="121"/>
      <c r="AX329" s="121"/>
      <c r="AY329" s="121"/>
      <c r="AZ329" s="760">
        <f t="shared" si="238"/>
        <v>0</v>
      </c>
      <c r="BA329" s="761">
        <f t="shared" si="239"/>
        <v>0</v>
      </c>
      <c r="BB329" s="761">
        <f t="shared" si="240"/>
        <v>0</v>
      </c>
      <c r="BC329" s="110">
        <f t="shared" si="241"/>
        <v>0</v>
      </c>
      <c r="BD329" s="242">
        <f t="shared" si="242"/>
        <v>0</v>
      </c>
      <c r="BE329" s="242"/>
      <c r="BF329" s="243" t="s">
        <v>2371</v>
      </c>
      <c r="BG329" s="98">
        <v>0.15</v>
      </c>
      <c r="BH329" s="110">
        <f t="shared" si="246"/>
        <v>0</v>
      </c>
      <c r="BI329" s="242"/>
      <c r="BJ329" s="1231"/>
      <c r="BK329" s="243"/>
      <c r="BL329" s="243" t="s">
        <v>487</v>
      </c>
      <c r="BM329" s="98">
        <v>0.05</v>
      </c>
      <c r="BN329" s="110">
        <f t="shared" si="247"/>
        <v>0</v>
      </c>
      <c r="BO329" s="242"/>
      <c r="BP329" s="242"/>
      <c r="BQ329" s="243"/>
      <c r="BR329" s="110"/>
      <c r="BS329" s="206"/>
      <c r="BT329" s="301"/>
      <c r="BU329" s="206"/>
      <c r="BV329" s="206"/>
      <c r="BW329" s="206"/>
      <c r="BX329" s="206"/>
      <c r="BY329" s="206"/>
      <c r="BZ329" s="206"/>
      <c r="CA329" s="206"/>
      <c r="CB329" s="778"/>
      <c r="CC329" s="206"/>
      <c r="CD329" s="206"/>
      <c r="CE329" s="206"/>
      <c r="CF329" s="206"/>
      <c r="CG329" s="206"/>
      <c r="CH329" s="206"/>
      <c r="CI329" s="206"/>
      <c r="CJ329" s="206"/>
      <c r="CK329" s="245" t="s">
        <v>2612</v>
      </c>
      <c r="CL329" s="181"/>
      <c r="CM329" s="369"/>
      <c r="CN329" s="207" t="s">
        <v>1388</v>
      </c>
      <c r="CO329" s="207"/>
      <c r="CP329" s="155"/>
      <c r="CQ329" s="131"/>
      <c r="CR329" s="131"/>
      <c r="CS329" s="242"/>
      <c r="CT329" s="242"/>
      <c r="CU329" s="242"/>
      <c r="CV329" s="729"/>
      <c r="CW329" s="729"/>
      <c r="CX329" s="729"/>
      <c r="CY329" s="779"/>
      <c r="CZ329" s="779"/>
      <c r="DA329" s="779"/>
      <c r="DB329" s="779"/>
      <c r="DC329" s="779"/>
    </row>
    <row r="330" spans="1:107" ht="30" customHeight="1">
      <c r="A330" s="228"/>
      <c r="B330" s="155"/>
      <c r="C330" s="780">
        <f t="shared" si="248"/>
        <v>9</v>
      </c>
      <c r="D330" s="244"/>
      <c r="E330" s="244"/>
      <c r="F330" s="244"/>
      <c r="G330" s="782" t="s">
        <v>2668</v>
      </c>
      <c r="H330" s="783" t="s">
        <v>2669</v>
      </c>
      <c r="I330" s="207" t="s">
        <v>2670</v>
      </c>
      <c r="J330" s="207" t="str">
        <f t="shared" si="237"/>
        <v>Maria Agazzi</v>
      </c>
      <c r="K330" s="224">
        <v>3515821549</v>
      </c>
      <c r="L330" s="131"/>
      <c r="M330" s="131"/>
      <c r="N330" s="131"/>
      <c r="O330" s="1259"/>
      <c r="P330" s="37"/>
      <c r="Q330" s="37"/>
      <c r="R330" s="131" t="s">
        <v>2671</v>
      </c>
      <c r="S330" s="160"/>
      <c r="T330" s="160"/>
      <c r="U330" s="160"/>
      <c r="V330" s="160"/>
      <c r="W330" s="233"/>
      <c r="X330" s="131"/>
      <c r="Y330" s="233"/>
      <c r="Z330" s="233"/>
      <c r="AA330" s="233"/>
      <c r="AB330" s="37"/>
      <c r="AC330" s="131"/>
      <c r="AD330" s="1364" t="s">
        <v>118</v>
      </c>
      <c r="AE330" s="1384" t="s">
        <v>2672</v>
      </c>
      <c r="AF330" s="515"/>
      <c r="AG330" s="155"/>
      <c r="AH330" s="155"/>
      <c r="AI330" s="155"/>
      <c r="AJ330" s="515"/>
      <c r="AK330" s="155"/>
      <c r="AL330" s="155"/>
      <c r="AM330" s="155"/>
      <c r="AN330" s="198"/>
      <c r="AO330" s="155"/>
      <c r="AP330" s="155"/>
      <c r="AQ330" s="155"/>
      <c r="AR330" s="198"/>
      <c r="AS330" s="154" t="s">
        <v>165</v>
      </c>
      <c r="AT330" s="154" t="s">
        <v>165</v>
      </c>
      <c r="AU330" s="154" t="s">
        <v>165</v>
      </c>
      <c r="AV330" s="235"/>
      <c r="AW330" s="121"/>
      <c r="AX330" s="121"/>
      <c r="AY330" s="121"/>
      <c r="AZ330" s="760">
        <f t="shared" si="238"/>
        <v>0</v>
      </c>
      <c r="BA330" s="761">
        <f t="shared" si="239"/>
        <v>0</v>
      </c>
      <c r="BB330" s="761">
        <f t="shared" si="240"/>
        <v>0</v>
      </c>
      <c r="BC330" s="110">
        <f t="shared" si="241"/>
        <v>0</v>
      </c>
      <c r="BD330" s="242">
        <f t="shared" si="242"/>
        <v>0</v>
      </c>
      <c r="BE330" s="242"/>
      <c r="BF330" s="243" t="s">
        <v>184</v>
      </c>
      <c r="BG330" s="98">
        <v>0.05</v>
      </c>
      <c r="BH330" s="110">
        <f t="shared" si="246"/>
        <v>0</v>
      </c>
      <c r="BI330" s="242"/>
      <c r="BJ330" s="1231"/>
      <c r="BK330" s="243"/>
      <c r="BL330" s="243" t="s">
        <v>184</v>
      </c>
      <c r="BM330" s="98">
        <v>0.05</v>
      </c>
      <c r="BN330" s="110">
        <f t="shared" si="247"/>
        <v>0</v>
      </c>
      <c r="BO330" s="242"/>
      <c r="BP330" s="242"/>
      <c r="BQ330" s="243"/>
      <c r="BR330" s="110"/>
      <c r="BS330" s="206"/>
      <c r="BT330" s="301"/>
      <c r="BU330" s="206"/>
      <c r="BV330" s="206"/>
      <c r="BW330" s="206"/>
      <c r="BX330" s="206"/>
      <c r="BY330" s="206"/>
      <c r="BZ330" s="206"/>
      <c r="CA330" s="206"/>
      <c r="CB330" s="778"/>
      <c r="CC330" s="206"/>
      <c r="CD330" s="206"/>
      <c r="CE330" s="206"/>
      <c r="CF330" s="206"/>
      <c r="CG330" s="206"/>
      <c r="CH330" s="206"/>
      <c r="CI330" s="206"/>
      <c r="CJ330" s="206"/>
      <c r="CK330" s="245" t="s">
        <v>2612</v>
      </c>
      <c r="CL330" s="181"/>
      <c r="CM330" s="369"/>
      <c r="CN330" s="207" t="s">
        <v>4672</v>
      </c>
      <c r="CO330" s="207"/>
      <c r="CP330" s="155"/>
      <c r="CQ330" s="131"/>
      <c r="CR330" s="131"/>
      <c r="CS330" s="242"/>
      <c r="CT330" s="242"/>
      <c r="CU330" s="242"/>
      <c r="CV330" s="729"/>
      <c r="CW330" s="729"/>
      <c r="CX330" s="729"/>
      <c r="CY330" s="779"/>
      <c r="CZ330" s="779"/>
      <c r="DA330" s="779"/>
      <c r="DB330" s="779"/>
      <c r="DC330" s="779"/>
    </row>
    <row r="331" spans="1:107" ht="30" customHeight="1">
      <c r="A331" s="228"/>
      <c r="B331" s="155"/>
      <c r="C331" s="780">
        <f t="shared" si="248"/>
        <v>10</v>
      </c>
      <c r="D331" s="244"/>
      <c r="E331" s="244"/>
      <c r="F331" s="244"/>
      <c r="G331" s="782" t="s">
        <v>1945</v>
      </c>
      <c r="H331" s="783" t="s">
        <v>2673</v>
      </c>
      <c r="I331" s="207" t="s">
        <v>2674</v>
      </c>
      <c r="J331" s="207" t="str">
        <f t="shared" si="237"/>
        <v>Mattia Baldo</v>
      </c>
      <c r="K331" s="224"/>
      <c r="L331" s="131"/>
      <c r="M331" s="131"/>
      <c r="N331" s="131"/>
      <c r="O331" s="1259"/>
      <c r="P331" s="37"/>
      <c r="Q331" s="37"/>
      <c r="R331" s="131" t="s">
        <v>2675</v>
      </c>
      <c r="S331" s="160"/>
      <c r="T331" s="160"/>
      <c r="U331" s="160"/>
      <c r="V331" s="160"/>
      <c r="W331" s="233"/>
      <c r="X331" s="131"/>
      <c r="Y331" s="233"/>
      <c r="Z331" s="233"/>
      <c r="AA331" s="233"/>
      <c r="AB331" s="37"/>
      <c r="AC331" s="131"/>
      <c r="AD331" s="1364" t="s">
        <v>118</v>
      </c>
      <c r="AE331" s="207" t="s">
        <v>2676</v>
      </c>
      <c r="AF331" s="515"/>
      <c r="AG331" s="155"/>
      <c r="AH331" s="155"/>
      <c r="AI331" s="155"/>
      <c r="AJ331" s="515"/>
      <c r="AK331" s="155"/>
      <c r="AL331" s="155"/>
      <c r="AM331" s="155"/>
      <c r="AN331" s="198"/>
      <c r="AO331" s="565" t="s">
        <v>165</v>
      </c>
      <c r="AP331" s="565" t="s">
        <v>165</v>
      </c>
      <c r="AQ331" s="565" t="s">
        <v>165</v>
      </c>
      <c r="AR331" s="198"/>
      <c r="AS331" s="121"/>
      <c r="AT331" s="121"/>
      <c r="AU331" s="121"/>
      <c r="AV331" s="235"/>
      <c r="AW331" s="121"/>
      <c r="AX331" s="121"/>
      <c r="AY331" s="121"/>
      <c r="AZ331" s="760">
        <f t="shared" si="238"/>
        <v>0</v>
      </c>
      <c r="BA331" s="761">
        <f t="shared" si="239"/>
        <v>0</v>
      </c>
      <c r="BB331" s="761">
        <f t="shared" si="240"/>
        <v>0</v>
      </c>
      <c r="BC331" s="110">
        <f t="shared" si="241"/>
        <v>0</v>
      </c>
      <c r="BD331" s="242">
        <f t="shared" si="242"/>
        <v>0</v>
      </c>
      <c r="BE331" s="242"/>
      <c r="BF331" s="243" t="s">
        <v>690</v>
      </c>
      <c r="BG331" s="98">
        <v>0.15</v>
      </c>
      <c r="BH331" s="110">
        <f t="shared" si="246"/>
        <v>0</v>
      </c>
      <c r="BI331" s="242"/>
      <c r="BJ331" s="1231"/>
      <c r="BK331" s="243"/>
      <c r="BL331" s="243" t="s">
        <v>152</v>
      </c>
      <c r="BM331" s="98">
        <v>0.05</v>
      </c>
      <c r="BN331" s="110">
        <f t="shared" si="247"/>
        <v>0</v>
      </c>
      <c r="BO331" s="242"/>
      <c r="BP331" s="242"/>
      <c r="BQ331" s="243"/>
      <c r="BR331" s="110"/>
      <c r="BS331" s="206"/>
      <c r="BT331" s="301"/>
      <c r="BU331" s="206"/>
      <c r="BV331" s="206"/>
      <c r="BW331" s="206"/>
      <c r="BX331" s="206"/>
      <c r="BY331" s="206"/>
      <c r="BZ331" s="206"/>
      <c r="CA331" s="206"/>
      <c r="CB331" s="778"/>
      <c r="CC331" s="206"/>
      <c r="CD331" s="206"/>
      <c r="CE331" s="206"/>
      <c r="CF331" s="206"/>
      <c r="CG331" s="206"/>
      <c r="CH331" s="206"/>
      <c r="CI331" s="206"/>
      <c r="CJ331" s="206"/>
      <c r="CK331" s="245" t="s">
        <v>2612</v>
      </c>
      <c r="CL331" s="181"/>
      <c r="CM331" s="369"/>
      <c r="CN331" s="207" t="s">
        <v>690</v>
      </c>
      <c r="CO331" s="207"/>
      <c r="CP331" s="155"/>
      <c r="CQ331" s="131"/>
      <c r="CR331" s="131"/>
      <c r="CS331" s="242"/>
      <c r="CT331" s="242"/>
      <c r="CU331" s="242"/>
      <c r="CV331" s="729"/>
      <c r="CW331" s="729"/>
      <c r="CX331" s="729"/>
      <c r="CY331" s="779"/>
      <c r="CZ331" s="779"/>
      <c r="DA331" s="779"/>
      <c r="DB331" s="779"/>
      <c r="DC331" s="779"/>
    </row>
    <row r="332" spans="1:107" ht="30" customHeight="1">
      <c r="A332" s="228"/>
      <c r="B332" s="155"/>
      <c r="C332" s="780">
        <f t="shared" si="248"/>
        <v>11</v>
      </c>
      <c r="D332" s="244"/>
      <c r="E332" s="244"/>
      <c r="F332" s="244"/>
      <c r="G332" s="782" t="s">
        <v>741</v>
      </c>
      <c r="H332" s="783" t="s">
        <v>2677</v>
      </c>
      <c r="I332" s="207" t="s">
        <v>2678</v>
      </c>
      <c r="J332" s="207" t="str">
        <f t="shared" si="237"/>
        <v>Michele Bersani</v>
      </c>
      <c r="K332" s="224">
        <v>3455820418</v>
      </c>
      <c r="L332" s="131"/>
      <c r="M332" s="131"/>
      <c r="N332" s="131"/>
      <c r="O332" s="1259"/>
      <c r="P332" s="37"/>
      <c r="Q332" s="37"/>
      <c r="R332" s="131" t="s">
        <v>2679</v>
      </c>
      <c r="S332" s="160"/>
      <c r="T332" s="160"/>
      <c r="U332" s="160"/>
      <c r="V332" s="160"/>
      <c r="W332" s="233"/>
      <c r="X332" s="131"/>
      <c r="Y332" s="233"/>
      <c r="Z332" s="233"/>
      <c r="AA332" s="233"/>
      <c r="AB332" s="37"/>
      <c r="AC332" s="131"/>
      <c r="AD332" s="1364" t="s">
        <v>118</v>
      </c>
      <c r="AE332" s="207"/>
      <c r="AF332" s="515"/>
      <c r="AG332" s="155"/>
      <c r="AH332" s="155"/>
      <c r="AI332" s="155"/>
      <c r="AJ332" s="515"/>
      <c r="AK332" s="155"/>
      <c r="AL332" s="155"/>
      <c r="AM332" s="155"/>
      <c r="AN332" s="198"/>
      <c r="AO332" s="565" t="s">
        <v>194</v>
      </c>
      <c r="AP332" s="565" t="s">
        <v>194</v>
      </c>
      <c r="AQ332" s="565" t="s">
        <v>194</v>
      </c>
      <c r="AR332" s="198"/>
      <c r="AS332" s="121"/>
      <c r="AT332" s="121"/>
      <c r="AU332" s="121"/>
      <c r="AV332" s="235"/>
      <c r="AW332" s="121"/>
      <c r="AX332" s="121"/>
      <c r="AY332" s="121"/>
      <c r="AZ332" s="760">
        <f t="shared" si="238"/>
        <v>0</v>
      </c>
      <c r="BA332" s="761">
        <f t="shared" si="239"/>
        <v>0</v>
      </c>
      <c r="BB332" s="761">
        <f t="shared" si="240"/>
        <v>0</v>
      </c>
      <c r="BC332" s="110">
        <f t="shared" si="241"/>
        <v>0</v>
      </c>
      <c r="BD332" s="242">
        <f t="shared" si="242"/>
        <v>0</v>
      </c>
      <c r="BE332" s="242"/>
      <c r="BF332" s="243" t="s">
        <v>2680</v>
      </c>
      <c r="BG332" s="98">
        <v>0.05</v>
      </c>
      <c r="BH332" s="110">
        <f t="shared" si="246"/>
        <v>0</v>
      </c>
      <c r="BI332" s="242"/>
      <c r="BJ332" s="1231"/>
      <c r="BK332" s="243"/>
      <c r="BL332" s="243" t="s">
        <v>152</v>
      </c>
      <c r="BM332" s="98">
        <v>0.05</v>
      </c>
      <c r="BN332" s="110">
        <f t="shared" si="247"/>
        <v>0</v>
      </c>
      <c r="BO332" s="242"/>
      <c r="BP332" s="242"/>
      <c r="BQ332" s="243"/>
      <c r="BR332" s="110"/>
      <c r="BS332" s="206"/>
      <c r="BT332" s="301"/>
      <c r="BU332" s="206"/>
      <c r="BV332" s="206"/>
      <c r="BW332" s="206"/>
      <c r="BX332" s="206"/>
      <c r="BY332" s="206"/>
      <c r="BZ332" s="206"/>
      <c r="CA332" s="206"/>
      <c r="CB332" s="778"/>
      <c r="CC332" s="206"/>
      <c r="CD332" s="206"/>
      <c r="CE332" s="206"/>
      <c r="CF332" s="206"/>
      <c r="CG332" s="206"/>
      <c r="CH332" s="206"/>
      <c r="CI332" s="206"/>
      <c r="CJ332" s="206"/>
      <c r="CK332" s="245" t="s">
        <v>2612</v>
      </c>
      <c r="CL332" s="181"/>
      <c r="CM332" s="369"/>
      <c r="CN332" s="207" t="s">
        <v>2680</v>
      </c>
      <c r="CO332" s="207"/>
      <c r="CP332" s="155"/>
      <c r="CQ332" s="131"/>
      <c r="CR332" s="131"/>
      <c r="CS332" s="242"/>
      <c r="CT332" s="242"/>
      <c r="CU332" s="242"/>
      <c r="CV332" s="729"/>
      <c r="CW332" s="729"/>
      <c r="CX332" s="729"/>
    </row>
    <row r="333" spans="1:107" ht="30" customHeight="1">
      <c r="A333" s="228"/>
      <c r="B333" s="155"/>
      <c r="C333" s="780">
        <f t="shared" si="248"/>
        <v>12</v>
      </c>
      <c r="D333" s="244"/>
      <c r="E333" s="244"/>
      <c r="F333" s="244"/>
      <c r="G333" s="782" t="s">
        <v>127</v>
      </c>
      <c r="H333" s="783" t="s">
        <v>2682</v>
      </c>
      <c r="I333" s="207" t="s">
        <v>2683</v>
      </c>
      <c r="J333" s="207" t="str">
        <f t="shared" si="237"/>
        <v>Nicola Riboli</v>
      </c>
      <c r="K333" s="224">
        <v>3391904177</v>
      </c>
      <c r="L333" s="131"/>
      <c r="M333" s="131"/>
      <c r="N333" s="131"/>
      <c r="O333" s="1259"/>
      <c r="P333" s="37"/>
      <c r="Q333" s="37"/>
      <c r="R333" s="131" t="s">
        <v>2684</v>
      </c>
      <c r="S333" s="160"/>
      <c r="T333" s="160"/>
      <c r="U333" s="160"/>
      <c r="V333" s="160"/>
      <c r="W333" s="233"/>
      <c r="X333" s="131"/>
      <c r="Y333" s="233"/>
      <c r="Z333" s="233"/>
      <c r="AA333" s="233"/>
      <c r="AB333" s="37"/>
      <c r="AC333" s="131"/>
      <c r="AD333" s="1364" t="s">
        <v>118</v>
      </c>
      <c r="AE333" s="207"/>
      <c r="AF333" s="515"/>
      <c r="AG333" s="155"/>
      <c r="AH333" s="155"/>
      <c r="AI333" s="155"/>
      <c r="AJ333" s="515"/>
      <c r="AK333" s="155"/>
      <c r="AL333" s="155"/>
      <c r="AM333" s="155"/>
      <c r="AN333" s="198"/>
      <c r="AO333" s="565" t="s">
        <v>194</v>
      </c>
      <c r="AP333" s="565" t="s">
        <v>194</v>
      </c>
      <c r="AQ333" s="565" t="s">
        <v>194</v>
      </c>
      <c r="AR333" s="198"/>
      <c r="AS333" s="121"/>
      <c r="AT333" s="121"/>
      <c r="AU333" s="121"/>
      <c r="AV333" s="235"/>
      <c r="AW333" s="121"/>
      <c r="AX333" s="121"/>
      <c r="AY333" s="121"/>
      <c r="AZ333" s="760">
        <f t="shared" si="238"/>
        <v>0</v>
      </c>
      <c r="BA333" s="761">
        <f t="shared" si="239"/>
        <v>0</v>
      </c>
      <c r="BB333" s="761">
        <f t="shared" si="240"/>
        <v>0</v>
      </c>
      <c r="BC333" s="110">
        <f t="shared" si="241"/>
        <v>0</v>
      </c>
      <c r="BD333" s="242">
        <f t="shared" si="242"/>
        <v>0</v>
      </c>
      <c r="BE333" s="242"/>
      <c r="BF333" s="243" t="s">
        <v>117</v>
      </c>
      <c r="BG333" s="98">
        <v>0</v>
      </c>
      <c r="BH333" s="110">
        <f t="shared" si="246"/>
        <v>0</v>
      </c>
      <c r="BI333" s="242"/>
      <c r="BJ333" s="242"/>
      <c r="BK333" s="1267" t="s">
        <v>118</v>
      </c>
      <c r="BL333" s="243" t="s">
        <v>152</v>
      </c>
      <c r="BM333" s="98">
        <v>0.05</v>
      </c>
      <c r="BN333" s="110">
        <f t="shared" si="247"/>
        <v>0</v>
      </c>
      <c r="BO333" s="242"/>
      <c r="BP333" s="242"/>
      <c r="BQ333" s="243"/>
      <c r="BR333" s="110"/>
      <c r="BS333" s="206"/>
      <c r="BT333" s="301"/>
      <c r="BU333" s="206"/>
      <c r="BV333" s="206"/>
      <c r="BW333" s="206"/>
      <c r="BX333" s="206"/>
      <c r="BY333" s="206"/>
      <c r="BZ333" s="206"/>
      <c r="CA333" s="206"/>
      <c r="CB333" s="778"/>
      <c r="CC333" s="206"/>
      <c r="CD333" s="206"/>
      <c r="CE333" s="206"/>
      <c r="CF333" s="206"/>
      <c r="CG333" s="206"/>
      <c r="CH333" s="206"/>
      <c r="CI333" s="206"/>
      <c r="CJ333" s="206"/>
      <c r="CK333" s="245" t="s">
        <v>2612</v>
      </c>
      <c r="CL333" s="181"/>
      <c r="CM333" s="369"/>
      <c r="CN333" s="207" t="s">
        <v>4673</v>
      </c>
      <c r="CO333" s="207"/>
      <c r="CP333" s="155"/>
      <c r="CQ333" s="131"/>
      <c r="CR333" s="131"/>
      <c r="CS333" s="242"/>
      <c r="CT333" s="242"/>
      <c r="CU333" s="242"/>
      <c r="CV333" s="729"/>
      <c r="CW333" s="729"/>
      <c r="CX333" s="729"/>
    </row>
    <row r="334" spans="1:107" ht="30" customHeight="1">
      <c r="A334" s="228"/>
      <c r="B334" s="155"/>
      <c r="C334" s="780">
        <f t="shared" si="248"/>
        <v>13</v>
      </c>
      <c r="D334" s="244"/>
      <c r="E334" s="244"/>
      <c r="F334" s="244"/>
      <c r="G334" s="782" t="s">
        <v>2685</v>
      </c>
      <c r="H334" s="783" t="s">
        <v>2686</v>
      </c>
      <c r="I334" s="207" t="s">
        <v>2687</v>
      </c>
      <c r="J334" s="207" t="str">
        <f t="shared" si="237"/>
        <v>Oreste Alessandro Fagà</v>
      </c>
      <c r="K334" s="224">
        <v>3496278229</v>
      </c>
      <c r="L334" s="131"/>
      <c r="M334" s="131"/>
      <c r="N334" s="131"/>
      <c r="O334" s="1259"/>
      <c r="P334" s="37"/>
      <c r="Q334" s="37"/>
      <c r="R334" s="789"/>
      <c r="S334" s="160"/>
      <c r="T334" s="160"/>
      <c r="U334" s="160"/>
      <c r="V334" s="160"/>
      <c r="W334" s="233"/>
      <c r="X334" s="131"/>
      <c r="Y334" s="233"/>
      <c r="Z334" s="233"/>
      <c r="AA334" s="233"/>
      <c r="AB334" s="37"/>
      <c r="AC334" s="131"/>
      <c r="AD334" s="1364" t="s">
        <v>118</v>
      </c>
      <c r="AE334" s="207" t="s">
        <v>2688</v>
      </c>
      <c r="AF334" s="515"/>
      <c r="AG334" s="155"/>
      <c r="AH334" s="155"/>
      <c r="AI334" s="155"/>
      <c r="AJ334" s="515"/>
      <c r="AK334" s="155"/>
      <c r="AL334" s="155"/>
      <c r="AM334" s="155"/>
      <c r="AN334" s="198"/>
      <c r="AO334" s="565" t="s">
        <v>165</v>
      </c>
      <c r="AP334" s="565" t="s">
        <v>165</v>
      </c>
      <c r="AQ334" s="565" t="s">
        <v>165</v>
      </c>
      <c r="AR334" s="198"/>
      <c r="AS334" s="121"/>
      <c r="AT334" s="121"/>
      <c r="AU334" s="121"/>
      <c r="AV334" s="235"/>
      <c r="AW334" s="121"/>
      <c r="AX334" s="121"/>
      <c r="AY334" s="121"/>
      <c r="AZ334" s="760">
        <f t="shared" si="238"/>
        <v>0</v>
      </c>
      <c r="BA334" s="761">
        <f t="shared" si="239"/>
        <v>0</v>
      </c>
      <c r="BB334" s="761">
        <f t="shared" si="240"/>
        <v>0</v>
      </c>
      <c r="BC334" s="110">
        <f t="shared" si="241"/>
        <v>0</v>
      </c>
      <c r="BD334" s="242">
        <f t="shared" si="242"/>
        <v>0</v>
      </c>
      <c r="BE334" s="242"/>
      <c r="BF334" s="243" t="s">
        <v>525</v>
      </c>
      <c r="BG334" s="98">
        <v>0.15</v>
      </c>
      <c r="BH334" s="110">
        <f t="shared" si="246"/>
        <v>0</v>
      </c>
      <c r="BI334" s="242"/>
      <c r="BJ334" s="1231"/>
      <c r="BK334" s="243"/>
      <c r="BL334" s="243" t="s">
        <v>525</v>
      </c>
      <c r="BM334" s="98">
        <v>0.05</v>
      </c>
      <c r="BN334" s="110">
        <f t="shared" si="247"/>
        <v>0</v>
      </c>
      <c r="BO334" s="242"/>
      <c r="BP334" s="242"/>
      <c r="BQ334" s="243"/>
      <c r="BR334" s="110"/>
      <c r="BS334" s="206"/>
      <c r="BT334" s="301"/>
      <c r="BU334" s="206"/>
      <c r="BV334" s="206"/>
      <c r="BW334" s="206"/>
      <c r="BX334" s="206"/>
      <c r="BY334" s="206"/>
      <c r="BZ334" s="206"/>
      <c r="CA334" s="206"/>
      <c r="CB334" s="778"/>
      <c r="CC334" s="206"/>
      <c r="CD334" s="206"/>
      <c r="CE334" s="206"/>
      <c r="CF334" s="206"/>
      <c r="CG334" s="206"/>
      <c r="CH334" s="206"/>
      <c r="CI334" s="206"/>
      <c r="CJ334" s="206"/>
      <c r="CK334" s="245" t="s">
        <v>2612</v>
      </c>
      <c r="CL334" s="181"/>
      <c r="CM334" s="369"/>
      <c r="CN334" s="207" t="s">
        <v>990</v>
      </c>
      <c r="CO334" s="207"/>
      <c r="CP334" s="155"/>
      <c r="CQ334" s="131"/>
      <c r="CR334" s="131"/>
      <c r="CS334" s="242"/>
      <c r="CT334" s="242"/>
      <c r="CU334" s="242"/>
      <c r="CV334" s="729"/>
      <c r="CW334" s="729"/>
      <c r="CX334" s="729"/>
      <c r="CY334" s="779"/>
      <c r="CZ334" s="779"/>
      <c r="DA334" s="779"/>
      <c r="DB334" s="779"/>
      <c r="DC334" s="779"/>
    </row>
    <row r="335" spans="1:107" ht="30" customHeight="1">
      <c r="A335" s="228"/>
      <c r="B335" s="155"/>
      <c r="C335" s="780">
        <f t="shared" si="248"/>
        <v>14</v>
      </c>
      <c r="D335" s="244"/>
      <c r="E335" s="244"/>
      <c r="F335" s="244"/>
      <c r="G335" s="782" t="s">
        <v>208</v>
      </c>
      <c r="H335" s="783" t="s">
        <v>4674</v>
      </c>
      <c r="I335" s="207" t="s">
        <v>4675</v>
      </c>
      <c r="J335" s="207" t="str">
        <f t="shared" si="237"/>
        <v>Sara Calvanese</v>
      </c>
      <c r="K335" s="224">
        <v>3496706624</v>
      </c>
      <c r="L335" s="131"/>
      <c r="M335" s="131"/>
      <c r="N335" s="131"/>
      <c r="O335" s="1259"/>
      <c r="P335" s="37"/>
      <c r="Q335" s="37"/>
      <c r="R335" s="131" t="s">
        <v>4676</v>
      </c>
      <c r="S335" s="160"/>
      <c r="T335" s="160"/>
      <c r="U335" s="160"/>
      <c r="V335" s="160"/>
      <c r="W335" s="233"/>
      <c r="X335" s="131"/>
      <c r="Y335" s="233"/>
      <c r="Z335" s="233"/>
      <c r="AA335" s="233"/>
      <c r="AB335" s="37"/>
      <c r="AC335" s="131"/>
      <c r="AD335" s="1364" t="s">
        <v>118</v>
      </c>
      <c r="AE335" s="207"/>
      <c r="AF335" s="515"/>
      <c r="AG335" s="155"/>
      <c r="AH335" s="155"/>
      <c r="AI335" s="155"/>
      <c r="AJ335" s="515"/>
      <c r="AK335" s="155"/>
      <c r="AL335" s="155"/>
      <c r="AM335" s="155"/>
      <c r="AN335" s="198"/>
      <c r="AO335" s="565" t="s">
        <v>165</v>
      </c>
      <c r="AP335" s="565" t="s">
        <v>165</v>
      </c>
      <c r="AQ335" s="565" t="s">
        <v>165</v>
      </c>
      <c r="AR335" s="198"/>
      <c r="AS335" s="121"/>
      <c r="AT335" s="121"/>
      <c r="AU335" s="121"/>
      <c r="AV335" s="235"/>
      <c r="AW335" s="121"/>
      <c r="AX335" s="121"/>
      <c r="AY335" s="121"/>
      <c r="AZ335" s="760">
        <f t="shared" si="238"/>
        <v>0</v>
      </c>
      <c r="BA335" s="761">
        <f t="shared" si="239"/>
        <v>0</v>
      </c>
      <c r="BB335" s="761">
        <f t="shared" si="240"/>
        <v>0</v>
      </c>
      <c r="BC335" s="110">
        <f t="shared" si="241"/>
        <v>0</v>
      </c>
      <c r="BD335" s="242">
        <f t="shared" si="242"/>
        <v>0</v>
      </c>
      <c r="BE335" s="242"/>
      <c r="BF335" s="243" t="s">
        <v>117</v>
      </c>
      <c r="BG335" s="98">
        <v>0</v>
      </c>
      <c r="BH335" s="110">
        <f t="shared" si="246"/>
        <v>0</v>
      </c>
      <c r="BI335" s="242"/>
      <c r="BJ335" s="242"/>
      <c r="BK335" s="1267" t="s">
        <v>118</v>
      </c>
      <c r="BL335" s="243" t="s">
        <v>152</v>
      </c>
      <c r="BM335" s="98">
        <v>0.05</v>
      </c>
      <c r="BN335" s="110">
        <f t="shared" si="247"/>
        <v>0</v>
      </c>
      <c r="BO335" s="242"/>
      <c r="BP335" s="242"/>
      <c r="BQ335" s="243"/>
      <c r="BR335" s="110"/>
      <c r="BS335" s="206"/>
      <c r="BT335" s="110"/>
      <c r="BU335" s="206"/>
      <c r="BV335" s="206"/>
      <c r="BW335" s="206"/>
      <c r="BX335" s="206"/>
      <c r="BY335" s="206"/>
      <c r="BZ335" s="206"/>
      <c r="CA335" s="206"/>
      <c r="CB335" s="778"/>
      <c r="CC335" s="206"/>
      <c r="CD335" s="206"/>
      <c r="CE335" s="206"/>
      <c r="CF335" s="206"/>
      <c r="CG335" s="206"/>
      <c r="CH335" s="206"/>
      <c r="CI335" s="206"/>
      <c r="CJ335" s="206"/>
      <c r="CK335" s="245" t="s">
        <v>2612</v>
      </c>
      <c r="CL335" s="181"/>
      <c r="CM335" s="369"/>
      <c r="CN335" s="207"/>
      <c r="CO335" s="207"/>
      <c r="CP335" s="155"/>
      <c r="CQ335" s="131"/>
      <c r="CR335" s="131" t="s">
        <v>4677</v>
      </c>
      <c r="CS335" s="242"/>
      <c r="CT335" s="242"/>
      <c r="CU335" s="242"/>
      <c r="CV335" s="729"/>
      <c r="CW335" s="729"/>
      <c r="CX335" s="729"/>
    </row>
    <row r="336" spans="1:107" ht="30" customHeight="1">
      <c r="A336" s="228"/>
      <c r="B336" s="155"/>
      <c r="C336" s="780">
        <f t="shared" si="248"/>
        <v>15</v>
      </c>
      <c r="D336" s="244"/>
      <c r="E336" s="244"/>
      <c r="F336" s="244"/>
      <c r="G336" s="782" t="s">
        <v>861</v>
      </c>
      <c r="H336" s="783" t="s">
        <v>2690</v>
      </c>
      <c r="I336" s="207" t="s">
        <v>2691</v>
      </c>
      <c r="J336" s="207" t="str">
        <f t="shared" si="237"/>
        <v>Simone Paganotti</v>
      </c>
      <c r="K336" s="224"/>
      <c r="L336" s="131"/>
      <c r="M336" s="131"/>
      <c r="N336" s="131"/>
      <c r="O336" s="1259"/>
      <c r="P336" s="37"/>
      <c r="Q336" s="37"/>
      <c r="R336" s="131" t="s">
        <v>2692</v>
      </c>
      <c r="S336" s="160"/>
      <c r="T336" s="160"/>
      <c r="U336" s="160"/>
      <c r="V336" s="160"/>
      <c r="W336" s="233"/>
      <c r="X336" s="131"/>
      <c r="Y336" s="233"/>
      <c r="Z336" s="233"/>
      <c r="AA336" s="233"/>
      <c r="AB336" s="37"/>
      <c r="AC336" s="131"/>
      <c r="AD336" s="1364" t="s">
        <v>118</v>
      </c>
      <c r="AE336" s="207"/>
      <c r="AF336" s="515"/>
      <c r="AG336" s="155"/>
      <c r="AH336" s="155"/>
      <c r="AI336" s="155"/>
      <c r="AJ336" s="515"/>
      <c r="AK336" s="155"/>
      <c r="AL336" s="155"/>
      <c r="AM336" s="155"/>
      <c r="AN336" s="198"/>
      <c r="AO336" s="565" t="s">
        <v>194</v>
      </c>
      <c r="AP336" s="565" t="s">
        <v>194</v>
      </c>
      <c r="AQ336" s="565" t="s">
        <v>194</v>
      </c>
      <c r="AR336" s="198"/>
      <c r="AS336" s="121"/>
      <c r="AT336" s="121"/>
      <c r="AU336" s="121"/>
      <c r="AV336" s="235"/>
      <c r="AW336" s="121"/>
      <c r="AX336" s="121"/>
      <c r="AY336" s="121"/>
      <c r="AZ336" s="760">
        <f t="shared" si="238"/>
        <v>0</v>
      </c>
      <c r="BA336" s="761">
        <f t="shared" si="239"/>
        <v>0</v>
      </c>
      <c r="BB336" s="761">
        <f t="shared" si="240"/>
        <v>0</v>
      </c>
      <c r="BC336" s="110">
        <f t="shared" si="241"/>
        <v>0</v>
      </c>
      <c r="BD336" s="242">
        <f t="shared" si="242"/>
        <v>0</v>
      </c>
      <c r="BE336" s="242"/>
      <c r="BF336" s="243" t="s">
        <v>117</v>
      </c>
      <c r="BG336" s="98">
        <v>0</v>
      </c>
      <c r="BH336" s="110">
        <f t="shared" si="246"/>
        <v>0</v>
      </c>
      <c r="BI336" s="242"/>
      <c r="BJ336" s="242"/>
      <c r="BK336" s="1267" t="s">
        <v>118</v>
      </c>
      <c r="BL336" s="243" t="s">
        <v>152</v>
      </c>
      <c r="BM336" s="98">
        <v>0.05</v>
      </c>
      <c r="BN336" s="110">
        <f t="shared" si="247"/>
        <v>0</v>
      </c>
      <c r="BO336" s="242"/>
      <c r="BP336" s="242"/>
      <c r="BQ336" s="243"/>
      <c r="BR336" s="110"/>
      <c r="BS336" s="206"/>
      <c r="BT336" s="301"/>
      <c r="BU336" s="206"/>
      <c r="BV336" s="206"/>
      <c r="BW336" s="206"/>
      <c r="BX336" s="206"/>
      <c r="BY336" s="206"/>
      <c r="BZ336" s="206"/>
      <c r="CA336" s="206"/>
      <c r="CB336" s="778"/>
      <c r="CC336" s="206"/>
      <c r="CD336" s="206"/>
      <c r="CE336" s="206"/>
      <c r="CF336" s="206"/>
      <c r="CG336" s="206"/>
      <c r="CH336" s="206"/>
      <c r="CI336" s="206"/>
      <c r="CJ336" s="206"/>
      <c r="CK336" s="245" t="s">
        <v>2612</v>
      </c>
      <c r="CL336" s="181"/>
      <c r="CM336" s="369"/>
      <c r="CN336" s="207" t="s">
        <v>4600</v>
      </c>
      <c r="CO336" s="207"/>
      <c r="CP336" s="155"/>
      <c r="CQ336" s="131"/>
      <c r="CR336" s="131"/>
      <c r="CS336" s="242"/>
      <c r="CT336" s="242"/>
      <c r="CU336" s="242"/>
      <c r="CV336" s="729"/>
      <c r="CW336" s="729"/>
      <c r="CX336" s="729"/>
      <c r="CY336" s="779"/>
      <c r="CZ336" s="779"/>
      <c r="DA336" s="779"/>
      <c r="DB336" s="779"/>
      <c r="DC336" s="779"/>
    </row>
    <row r="337" spans="1:124" ht="30" customHeight="1">
      <c r="A337" s="228"/>
      <c r="B337" s="155"/>
      <c r="C337" s="780">
        <f t="shared" si="248"/>
        <v>16</v>
      </c>
      <c r="D337" s="244"/>
      <c r="E337" s="244"/>
      <c r="F337" s="244"/>
      <c r="G337" s="790" t="s">
        <v>407</v>
      </c>
      <c r="H337" s="791" t="s">
        <v>2694</v>
      </c>
      <c r="I337" s="207" t="s">
        <v>2695</v>
      </c>
      <c r="J337" s="207" t="str">
        <f t="shared" si="237"/>
        <v>Stefano Saleri</v>
      </c>
      <c r="K337" s="224">
        <v>3271398205</v>
      </c>
      <c r="L337" s="131"/>
      <c r="M337" s="131"/>
      <c r="N337" s="131"/>
      <c r="O337" s="1259"/>
      <c r="P337" s="37"/>
      <c r="Q337" s="37"/>
      <c r="R337" s="131" t="s">
        <v>2697</v>
      </c>
      <c r="S337" s="160"/>
      <c r="T337" s="160"/>
      <c r="U337" s="160"/>
      <c r="V337" s="160"/>
      <c r="W337" s="233"/>
      <c r="X337" s="131"/>
      <c r="Y337" s="233"/>
      <c r="Z337" s="233"/>
      <c r="AA337" s="233"/>
      <c r="AB337" s="37"/>
      <c r="AC337" s="131"/>
      <c r="AD337" s="1364" t="s">
        <v>118</v>
      </c>
      <c r="AE337" s="207"/>
      <c r="AF337" s="515"/>
      <c r="AG337" s="155"/>
      <c r="AH337" s="155"/>
      <c r="AI337" s="155"/>
      <c r="AJ337" s="515"/>
      <c r="AK337" s="155"/>
      <c r="AL337" s="155"/>
      <c r="AM337" s="155"/>
      <c r="AN337" s="198"/>
      <c r="AO337" s="565" t="s">
        <v>165</v>
      </c>
      <c r="AP337" s="565" t="s">
        <v>165</v>
      </c>
      <c r="AQ337" s="565" t="s">
        <v>165</v>
      </c>
      <c r="AR337" s="198"/>
      <c r="AS337" s="121"/>
      <c r="AT337" s="121"/>
      <c r="AU337" s="121"/>
      <c r="AV337" s="235"/>
      <c r="AW337" s="121"/>
      <c r="AX337" s="121"/>
      <c r="AY337" s="121"/>
      <c r="AZ337" s="760">
        <f t="shared" si="238"/>
        <v>0</v>
      </c>
      <c r="BA337" s="761">
        <f t="shared" si="239"/>
        <v>0</v>
      </c>
      <c r="BB337" s="761">
        <f t="shared" si="240"/>
        <v>0</v>
      </c>
      <c r="BC337" s="110">
        <f t="shared" si="241"/>
        <v>0</v>
      </c>
      <c r="BD337" s="242">
        <f t="shared" si="242"/>
        <v>0</v>
      </c>
      <c r="BE337" s="242"/>
      <c r="BF337" s="243" t="s">
        <v>184</v>
      </c>
      <c r="BG337" s="98">
        <v>0.05</v>
      </c>
      <c r="BH337" s="110">
        <f t="shared" si="246"/>
        <v>0</v>
      </c>
      <c r="BI337" s="242"/>
      <c r="BJ337" s="1231"/>
      <c r="BK337" s="243"/>
      <c r="BL337" s="243" t="s">
        <v>184</v>
      </c>
      <c r="BM337" s="98">
        <v>0.05</v>
      </c>
      <c r="BN337" s="110">
        <f t="shared" si="247"/>
        <v>0</v>
      </c>
      <c r="BO337" s="242"/>
      <c r="BP337" s="242"/>
      <c r="BQ337" s="243"/>
      <c r="BR337" s="110"/>
      <c r="BS337" s="206"/>
      <c r="BT337" s="301"/>
      <c r="BU337" s="206"/>
      <c r="BV337" s="206"/>
      <c r="BW337" s="206"/>
      <c r="BX337" s="206"/>
      <c r="BY337" s="206"/>
      <c r="BZ337" s="206"/>
      <c r="CA337" s="206"/>
      <c r="CB337" s="206"/>
      <c r="CC337" s="206"/>
      <c r="CD337" s="206"/>
      <c r="CE337" s="206"/>
      <c r="CF337" s="206"/>
      <c r="CG337" s="206"/>
      <c r="CH337" s="206"/>
      <c r="CI337" s="206"/>
      <c r="CJ337" s="206"/>
      <c r="CK337" s="245" t="s">
        <v>2612</v>
      </c>
      <c r="CL337" s="181"/>
      <c r="CM337" s="369"/>
      <c r="CN337" s="207" t="s">
        <v>4678</v>
      </c>
      <c r="CO337" s="207"/>
      <c r="CP337" s="155"/>
      <c r="CQ337" s="131"/>
      <c r="CR337" s="131"/>
      <c r="CS337" s="242"/>
      <c r="CT337" s="242"/>
      <c r="CU337" s="242"/>
      <c r="CV337" s="729"/>
      <c r="CW337" s="729"/>
      <c r="CX337" s="729"/>
      <c r="CY337" s="779"/>
      <c r="CZ337" s="779"/>
      <c r="DA337" s="779"/>
      <c r="DB337" s="779"/>
      <c r="DC337" s="779"/>
    </row>
    <row r="338" spans="1:124" ht="30" customHeight="1">
      <c r="A338" s="228"/>
      <c r="B338" s="155"/>
      <c r="C338" s="780">
        <f t="shared" si="248"/>
        <v>17</v>
      </c>
      <c r="D338" s="244"/>
      <c r="E338" s="244"/>
      <c r="F338" s="244"/>
      <c r="G338" s="790" t="s">
        <v>2185</v>
      </c>
      <c r="H338" s="791" t="s">
        <v>2698</v>
      </c>
      <c r="I338" s="207" t="s">
        <v>2699</v>
      </c>
      <c r="J338" s="207" t="str">
        <f t="shared" si="237"/>
        <v>Vittorio Migotto</v>
      </c>
      <c r="K338" s="224">
        <v>3484661889</v>
      </c>
      <c r="L338" s="131"/>
      <c r="M338" s="131"/>
      <c r="N338" s="131"/>
      <c r="O338" s="1259"/>
      <c r="P338" s="37"/>
      <c r="Q338" s="37"/>
      <c r="R338" s="131" t="s">
        <v>2653</v>
      </c>
      <c r="S338" s="160"/>
      <c r="T338" s="160"/>
      <c r="U338" s="160"/>
      <c r="V338" s="160"/>
      <c r="W338" s="233"/>
      <c r="X338" s="131"/>
      <c r="Y338" s="233"/>
      <c r="Z338" s="233"/>
      <c r="AA338" s="233"/>
      <c r="AB338" s="37"/>
      <c r="AC338" s="131"/>
      <c r="AD338" s="1364" t="s">
        <v>118</v>
      </c>
      <c r="AE338" s="207"/>
      <c r="AF338" s="515"/>
      <c r="AG338" s="155"/>
      <c r="AH338" s="155"/>
      <c r="AI338" s="155"/>
      <c r="AJ338" s="515"/>
      <c r="AK338" s="155"/>
      <c r="AL338" s="155"/>
      <c r="AM338" s="155"/>
      <c r="AN338" s="198"/>
      <c r="AO338" s="565" t="s">
        <v>194</v>
      </c>
      <c r="AP338" s="565" t="s">
        <v>194</v>
      </c>
      <c r="AQ338" s="565" t="s">
        <v>194</v>
      </c>
      <c r="AR338" s="198"/>
      <c r="AS338" s="121"/>
      <c r="AT338" s="121"/>
      <c r="AU338" s="121"/>
      <c r="AV338" s="235"/>
      <c r="AW338" s="121"/>
      <c r="AX338" s="121"/>
      <c r="AY338" s="121"/>
      <c r="AZ338" s="760">
        <f t="shared" si="238"/>
        <v>0</v>
      </c>
      <c r="BA338" s="761">
        <f t="shared" si="239"/>
        <v>0</v>
      </c>
      <c r="BB338" s="761">
        <f t="shared" si="240"/>
        <v>0</v>
      </c>
      <c r="BC338" s="110">
        <f t="shared" si="241"/>
        <v>0</v>
      </c>
      <c r="BD338" s="242">
        <f t="shared" si="242"/>
        <v>0</v>
      </c>
      <c r="BE338" s="242"/>
      <c r="BF338" s="243" t="s">
        <v>117</v>
      </c>
      <c r="BG338" s="98">
        <v>0</v>
      </c>
      <c r="BH338" s="110">
        <f t="shared" si="246"/>
        <v>0</v>
      </c>
      <c r="BI338" s="242"/>
      <c r="BJ338" s="242"/>
      <c r="BK338" s="1267" t="s">
        <v>118</v>
      </c>
      <c r="BL338" s="243" t="s">
        <v>152</v>
      </c>
      <c r="BM338" s="98">
        <v>0.05</v>
      </c>
      <c r="BN338" s="110">
        <f t="shared" si="247"/>
        <v>0</v>
      </c>
      <c r="BO338" s="242"/>
      <c r="BP338" s="242"/>
      <c r="BQ338" s="243"/>
      <c r="BR338" s="110"/>
      <c r="BS338" s="206"/>
      <c r="BT338" s="301"/>
      <c r="BU338" s="206"/>
      <c r="BV338" s="206"/>
      <c r="BW338" s="206"/>
      <c r="BX338" s="206"/>
      <c r="BY338" s="206"/>
      <c r="BZ338" s="206"/>
      <c r="CA338" s="206"/>
      <c r="CB338" s="206"/>
      <c r="CC338" s="206"/>
      <c r="CD338" s="206"/>
      <c r="CE338" s="206"/>
      <c r="CF338" s="206"/>
      <c r="CG338" s="206"/>
      <c r="CH338" s="206"/>
      <c r="CI338" s="206"/>
      <c r="CJ338" s="206"/>
      <c r="CK338" s="245" t="s">
        <v>2612</v>
      </c>
      <c r="CL338" s="181"/>
      <c r="CM338" s="369"/>
      <c r="CN338" s="207" t="s">
        <v>4679</v>
      </c>
      <c r="CO338" s="207"/>
      <c r="CP338" s="155"/>
      <c r="CQ338" s="131"/>
      <c r="CR338" s="131"/>
      <c r="CS338" s="242"/>
      <c r="CT338" s="242"/>
      <c r="CU338" s="242"/>
      <c r="CV338" s="729"/>
      <c r="CW338" s="729"/>
      <c r="CX338" s="729"/>
      <c r="CY338" s="779"/>
      <c r="CZ338" s="779"/>
      <c r="DA338" s="779"/>
      <c r="DB338" s="779"/>
      <c r="DC338" s="779"/>
    </row>
    <row r="339" spans="1:124" ht="30" customHeight="1">
      <c r="A339" s="228"/>
      <c r="B339" s="155"/>
      <c r="C339" s="780">
        <f t="shared" si="248"/>
        <v>18</v>
      </c>
      <c r="D339" s="244"/>
      <c r="E339" s="244"/>
      <c r="F339" s="244"/>
      <c r="G339" s="1423" t="s">
        <v>631</v>
      </c>
      <c r="H339" s="783" t="s">
        <v>2700</v>
      </c>
      <c r="I339" s="207" t="s">
        <v>2701</v>
      </c>
      <c r="J339" s="207" t="str">
        <f t="shared" si="237"/>
        <v>Lorenzo Vigezzi</v>
      </c>
      <c r="K339" s="224">
        <v>3292151796</v>
      </c>
      <c r="L339" s="131"/>
      <c r="M339" s="131"/>
      <c r="N339" s="131"/>
      <c r="O339" s="1259"/>
      <c r="P339" s="37"/>
      <c r="Q339" s="37"/>
      <c r="R339" s="131" t="s">
        <v>2702</v>
      </c>
      <c r="S339" s="160"/>
      <c r="T339" s="160"/>
      <c r="U339" s="160"/>
      <c r="V339" s="160"/>
      <c r="W339" s="233"/>
      <c r="X339" s="131"/>
      <c r="Y339" s="233"/>
      <c r="Z339" s="233"/>
      <c r="AA339" s="233"/>
      <c r="AB339" s="37"/>
      <c r="AC339" s="131"/>
      <c r="AD339" s="1364" t="s">
        <v>118</v>
      </c>
      <c r="AE339" s="207" t="s">
        <v>2703</v>
      </c>
      <c r="AF339" s="515"/>
      <c r="AG339" s="155"/>
      <c r="AH339" s="155"/>
      <c r="AI339" s="155"/>
      <c r="AJ339" s="515"/>
      <c r="AK339" s="155"/>
      <c r="AL339" s="155"/>
      <c r="AM339" s="155"/>
      <c r="AN339" s="198"/>
      <c r="AO339" s="565" t="s">
        <v>165</v>
      </c>
      <c r="AP339" s="565" t="s">
        <v>165</v>
      </c>
      <c r="AQ339" s="565" t="s">
        <v>165</v>
      </c>
      <c r="AR339" s="198"/>
      <c r="AS339" s="121"/>
      <c r="AT339" s="121"/>
      <c r="AU339" s="121"/>
      <c r="AV339" s="235"/>
      <c r="AW339" s="121"/>
      <c r="AX339" s="121"/>
      <c r="AY339" s="121"/>
      <c r="AZ339" s="760">
        <f t="shared" si="238"/>
        <v>0</v>
      </c>
      <c r="BA339" s="761">
        <f t="shared" si="239"/>
        <v>0</v>
      </c>
      <c r="BB339" s="761">
        <f t="shared" si="240"/>
        <v>0</v>
      </c>
      <c r="BC339" s="110">
        <v>0</v>
      </c>
      <c r="BD339" s="242">
        <f t="shared" si="242"/>
        <v>0</v>
      </c>
      <c r="BE339" s="242"/>
      <c r="BF339" s="243" t="s">
        <v>414</v>
      </c>
      <c r="BG339" s="98">
        <v>0.15</v>
      </c>
      <c r="BH339" s="110">
        <f t="shared" si="246"/>
        <v>0</v>
      </c>
      <c r="BI339" s="242"/>
      <c r="BJ339" s="1231"/>
      <c r="BK339" s="243"/>
      <c r="BL339" s="243" t="s">
        <v>414</v>
      </c>
      <c r="BM339" s="98">
        <v>0.05</v>
      </c>
      <c r="BN339" s="110">
        <f t="shared" si="247"/>
        <v>0</v>
      </c>
      <c r="BO339" s="242"/>
      <c r="BP339" s="242"/>
      <c r="BQ339" s="243"/>
      <c r="BR339" s="110"/>
      <c r="BS339" s="206"/>
      <c r="BT339" s="301"/>
      <c r="BU339" s="206"/>
      <c r="BV339" s="206"/>
      <c r="BW339" s="206"/>
      <c r="BX339" s="206"/>
      <c r="BY339" s="206"/>
      <c r="BZ339" s="206"/>
      <c r="CA339" s="206"/>
      <c r="CB339" s="778"/>
      <c r="CC339" s="206"/>
      <c r="CD339" s="206"/>
      <c r="CE339" s="206"/>
      <c r="CF339" s="206"/>
      <c r="CG339" s="206"/>
      <c r="CH339" s="206"/>
      <c r="CI339" s="206"/>
      <c r="CJ339" s="206"/>
      <c r="CK339" s="245" t="s">
        <v>2612</v>
      </c>
      <c r="CL339" s="181"/>
      <c r="CM339" s="369"/>
      <c r="CN339" s="207"/>
      <c r="CO339" s="207"/>
      <c r="CP339" s="155"/>
      <c r="CQ339" s="131"/>
      <c r="CR339" s="131"/>
      <c r="CS339" s="242"/>
      <c r="CT339" s="242"/>
      <c r="CU339" s="242"/>
      <c r="CV339" s="729"/>
      <c r="CW339" s="729"/>
      <c r="CX339" s="729"/>
      <c r="CY339" s="779"/>
      <c r="CZ339" s="779"/>
      <c r="DA339" s="779"/>
      <c r="DB339" s="779"/>
      <c r="DC339" s="779"/>
    </row>
    <row r="340" spans="1:124" ht="30" customHeight="1">
      <c r="A340" s="228"/>
      <c r="B340" s="155"/>
      <c r="C340" s="780">
        <f t="shared" si="248"/>
        <v>19</v>
      </c>
      <c r="D340" s="244"/>
      <c r="E340" s="244"/>
      <c r="F340" s="244"/>
      <c r="G340" s="790" t="s">
        <v>2705</v>
      </c>
      <c r="H340" s="791" t="s">
        <v>2706</v>
      </c>
      <c r="I340" s="207" t="s">
        <v>2707</v>
      </c>
      <c r="J340" s="207" t="str">
        <f t="shared" si="237"/>
        <v>Susanna Salvador</v>
      </c>
      <c r="K340" s="224">
        <v>3457461293</v>
      </c>
      <c r="L340" s="131"/>
      <c r="M340" s="131"/>
      <c r="N340" s="131"/>
      <c r="O340" s="1259"/>
      <c r="P340" s="37"/>
      <c r="Q340" s="37"/>
      <c r="R340" s="131" t="s">
        <v>2708</v>
      </c>
      <c r="S340" s="160"/>
      <c r="T340" s="160"/>
      <c r="U340" s="160"/>
      <c r="V340" s="160"/>
      <c r="W340" s="233"/>
      <c r="X340" s="131"/>
      <c r="Y340" s="233"/>
      <c r="Z340" s="233"/>
      <c r="AA340" s="233"/>
      <c r="AB340" s="37"/>
      <c r="AC340" s="131"/>
      <c r="AD340" s="1364"/>
      <c r="AE340" s="207" t="s">
        <v>2709</v>
      </c>
      <c r="AF340" s="515"/>
      <c r="AG340" s="155"/>
      <c r="AH340" s="155"/>
      <c r="AI340" s="155"/>
      <c r="AJ340" s="515"/>
      <c r="AK340" s="155"/>
      <c r="AL340" s="155"/>
      <c r="AM340" s="155"/>
      <c r="AN340" s="198"/>
      <c r="AO340" s="565" t="s">
        <v>165</v>
      </c>
      <c r="AP340" s="565" t="s">
        <v>165</v>
      </c>
      <c r="AQ340" s="565" t="s">
        <v>165</v>
      </c>
      <c r="AR340" s="198"/>
      <c r="AS340" s="121"/>
      <c r="AT340" s="121"/>
      <c r="AU340" s="121"/>
      <c r="AV340" s="235"/>
      <c r="AW340" s="121"/>
      <c r="AX340" s="121"/>
      <c r="AY340" s="121"/>
      <c r="AZ340" s="760">
        <f t="shared" si="238"/>
        <v>0</v>
      </c>
      <c r="BA340" s="761">
        <f t="shared" si="239"/>
        <v>0</v>
      </c>
      <c r="BB340" s="761">
        <f t="shared" si="240"/>
        <v>0</v>
      </c>
      <c r="BC340" s="110">
        <f t="shared" ref="BC340:BC341" si="249">BA340</f>
        <v>0</v>
      </c>
      <c r="BD340" s="242">
        <f t="shared" si="242"/>
        <v>0</v>
      </c>
      <c r="BE340" s="242"/>
      <c r="BF340" s="243" t="s">
        <v>160</v>
      </c>
      <c r="BG340" s="98">
        <v>0.05</v>
      </c>
      <c r="BH340" s="110">
        <f t="shared" si="246"/>
        <v>0</v>
      </c>
      <c r="BI340" s="242"/>
      <c r="BJ340" s="1231"/>
      <c r="BK340" s="1424"/>
      <c r="BL340" s="389" t="s">
        <v>160</v>
      </c>
      <c r="BM340" s="795">
        <v>0.05</v>
      </c>
      <c r="BN340" s="110">
        <f t="shared" si="247"/>
        <v>0</v>
      </c>
      <c r="BO340" s="242"/>
      <c r="BP340" s="276"/>
      <c r="BQ340" s="277"/>
      <c r="BR340" s="108"/>
      <c r="BS340" s="206"/>
      <c r="BT340" s="798"/>
      <c r="BU340" s="206"/>
      <c r="BV340" s="206"/>
      <c r="BW340" s="206"/>
      <c r="BX340" s="206"/>
      <c r="BY340" s="206"/>
      <c r="BZ340" s="206"/>
      <c r="CA340" s="206"/>
      <c r="CB340" s="206"/>
      <c r="CC340" s="206"/>
      <c r="CD340" s="206"/>
      <c r="CE340" s="206"/>
      <c r="CF340" s="206"/>
      <c r="CG340" s="206"/>
      <c r="CH340" s="206"/>
      <c r="CI340" s="206"/>
      <c r="CJ340" s="206"/>
      <c r="CK340" s="245" t="s">
        <v>2612</v>
      </c>
      <c r="CL340" s="181"/>
      <c r="CM340" s="369"/>
      <c r="CN340" s="207" t="s">
        <v>4680</v>
      </c>
      <c r="CO340" s="207"/>
      <c r="CP340" s="155"/>
      <c r="CQ340" s="131"/>
      <c r="CR340" s="131"/>
      <c r="CS340" s="242"/>
      <c r="CT340" s="242"/>
      <c r="CU340" s="242"/>
      <c r="CV340" s="729"/>
      <c r="CW340" s="729"/>
      <c r="CX340" s="729"/>
      <c r="CY340" s="729"/>
      <c r="CZ340" s="729"/>
      <c r="DA340" s="729"/>
      <c r="DB340" s="729"/>
      <c r="DC340" s="729"/>
    </row>
    <row r="341" spans="1:124" ht="30" customHeight="1">
      <c r="A341" s="228"/>
      <c r="B341" s="155"/>
      <c r="C341" s="780">
        <f t="shared" si="248"/>
        <v>20</v>
      </c>
      <c r="D341" s="757"/>
      <c r="E341" s="757"/>
      <c r="F341" s="757"/>
      <c r="G341" s="320" t="s">
        <v>2710</v>
      </c>
      <c r="H341" s="320" t="s">
        <v>2711</v>
      </c>
      <c r="I341" s="207" t="s">
        <v>2712</v>
      </c>
      <c r="J341" s="207" t="str">
        <f t="shared" si="237"/>
        <v>Marco  Liverani</v>
      </c>
      <c r="K341" s="224"/>
      <c r="L341" s="131"/>
      <c r="M341" s="131"/>
      <c r="N341" s="289"/>
      <c r="O341" s="1277"/>
      <c r="P341" s="131"/>
      <c r="Q341" s="131"/>
      <c r="R341" s="131" t="s">
        <v>2713</v>
      </c>
      <c r="S341" s="131"/>
      <c r="T341" s="131"/>
      <c r="U341" s="131"/>
      <c r="V341" s="131"/>
      <c r="W341" s="131"/>
      <c r="X341" s="131"/>
      <c r="Y341" s="131"/>
      <c r="Z341" s="131"/>
      <c r="AA341" s="131"/>
      <c r="AB341" s="255"/>
      <c r="AC341" s="131"/>
      <c r="AD341" s="224"/>
      <c r="AE341" s="207" t="s">
        <v>2714</v>
      </c>
      <c r="AF341" s="515"/>
      <c r="AG341" s="155"/>
      <c r="AH341" s="155"/>
      <c r="AI341" s="155"/>
      <c r="AJ341" s="515"/>
      <c r="AK341" s="155"/>
      <c r="AL341" s="155"/>
      <c r="AM341" s="155"/>
      <c r="AN341" s="198"/>
      <c r="AO341" s="124"/>
      <c r="AP341" s="124"/>
      <c r="AQ341" s="124"/>
      <c r="AR341" s="198"/>
      <c r="AS341" s="154" t="s">
        <v>165</v>
      </c>
      <c r="AT341" s="154" t="s">
        <v>165</v>
      </c>
      <c r="AU341" s="154" t="s">
        <v>165</v>
      </c>
      <c r="AV341" s="235"/>
      <c r="AW341" s="121"/>
      <c r="AX341" s="121"/>
      <c r="AY341" s="121"/>
      <c r="AZ341" s="760">
        <f t="shared" si="238"/>
        <v>0</v>
      </c>
      <c r="BA341" s="761">
        <f t="shared" si="239"/>
        <v>0</v>
      </c>
      <c r="BB341" s="761">
        <f t="shared" si="240"/>
        <v>0</v>
      </c>
      <c r="BC341" s="110">
        <f t="shared" si="249"/>
        <v>0</v>
      </c>
      <c r="BD341" s="242"/>
      <c r="BE341" s="242"/>
      <c r="BF341" s="131" t="s">
        <v>160</v>
      </c>
      <c r="BG341" s="145">
        <v>0.15</v>
      </c>
      <c r="BH341" s="110">
        <f t="shared" si="246"/>
        <v>0</v>
      </c>
      <c r="BI341" s="242"/>
      <c r="BJ341" s="1231"/>
      <c r="BK341" s="243"/>
      <c r="BL341" s="243" t="s">
        <v>160</v>
      </c>
      <c r="BM341" s="98">
        <v>0.05</v>
      </c>
      <c r="BN341" s="110">
        <f t="shared" si="247"/>
        <v>0</v>
      </c>
      <c r="BO341" s="242"/>
      <c r="BP341" s="276"/>
      <c r="BQ341" s="277"/>
      <c r="BR341" s="110"/>
      <c r="BS341" s="226"/>
      <c r="BT341" s="110"/>
      <c r="BU341" s="263"/>
      <c r="BV341" s="110"/>
      <c r="BW341" s="226"/>
      <c r="BX341" s="110"/>
      <c r="BY341" s="263"/>
      <c r="BZ341" s="110"/>
      <c r="CA341" s="226"/>
      <c r="CB341" s="349"/>
      <c r="CC341" s="263"/>
      <c r="CD341" s="110"/>
      <c r="CE341" s="226"/>
      <c r="CF341" s="110"/>
      <c r="CG341" s="263"/>
      <c r="CH341" s="110"/>
      <c r="CI341" s="226"/>
      <c r="CJ341" s="110"/>
      <c r="CK341" s="245" t="s">
        <v>2612</v>
      </c>
      <c r="CL341" s="181" t="s">
        <v>2715</v>
      </c>
      <c r="CM341" s="369"/>
      <c r="CN341" s="181"/>
      <c r="CO341" s="181"/>
      <c r="CP341" s="121"/>
      <c r="CQ341" s="131"/>
      <c r="CR341" s="131"/>
      <c r="CS341" s="242"/>
      <c r="CT341" s="242"/>
      <c r="CU341" s="242"/>
      <c r="CV341" s="779"/>
      <c r="CW341" s="779"/>
      <c r="CX341" s="779"/>
      <c r="CY341" s="729"/>
      <c r="CZ341" s="729"/>
      <c r="DA341" s="729"/>
      <c r="DB341" s="729"/>
      <c r="DC341" s="729"/>
    </row>
    <row r="342" spans="1:124" ht="30" customHeight="1">
      <c r="A342" s="228"/>
      <c r="B342" s="155"/>
      <c r="C342" s="780">
        <f t="shared" si="248"/>
        <v>21</v>
      </c>
      <c r="D342" s="244"/>
      <c r="E342" s="244"/>
      <c r="F342" s="244"/>
      <c r="G342" s="288" t="s">
        <v>665</v>
      </c>
      <c r="H342" s="288" t="s">
        <v>2716</v>
      </c>
      <c r="I342" s="207" t="s">
        <v>2717</v>
      </c>
      <c r="J342" s="207" t="str">
        <f t="shared" si="237"/>
        <v>Luigi Cassago</v>
      </c>
      <c r="K342" s="800">
        <v>3391483969</v>
      </c>
      <c r="L342" s="801"/>
      <c r="M342" s="341"/>
      <c r="N342" s="131"/>
      <c r="O342" s="1425"/>
      <c r="P342" s="803"/>
      <c r="Q342" s="803"/>
      <c r="R342" s="801" t="s">
        <v>2718</v>
      </c>
      <c r="S342" s="804"/>
      <c r="T342" s="805"/>
      <c r="U342" s="805"/>
      <c r="V342" s="805"/>
      <c r="W342" s="806"/>
      <c r="X342" s="807"/>
      <c r="Y342" s="806"/>
      <c r="Z342" s="806"/>
      <c r="AA342" s="806"/>
      <c r="AB342" s="37"/>
      <c r="AC342" s="37"/>
      <c r="AD342" s="37"/>
      <c r="AE342" s="181" t="s">
        <v>2719</v>
      </c>
      <c r="AF342" s="198"/>
      <c r="AG342" s="121"/>
      <c r="AH342" s="121"/>
      <c r="AI342" s="121"/>
      <c r="AJ342" s="198"/>
      <c r="AK342" s="155"/>
      <c r="AL342" s="155"/>
      <c r="AM342" s="155"/>
      <c r="AN342" s="198"/>
      <c r="AO342" s="265"/>
      <c r="AP342" s="155"/>
      <c r="AQ342" s="155"/>
      <c r="AR342" s="198"/>
      <c r="AS342" s="304"/>
      <c r="AT342" s="304"/>
      <c r="AU342" s="304"/>
      <c r="AV342" s="198"/>
      <c r="AW342" s="304" t="s">
        <v>151</v>
      </c>
      <c r="AX342" s="304" t="s">
        <v>151</v>
      </c>
      <c r="AY342" s="304" t="s">
        <v>151</v>
      </c>
      <c r="AZ342" s="808">
        <f t="shared" si="238"/>
        <v>3497.0000000000005</v>
      </c>
      <c r="BA342" s="761">
        <f t="shared" si="239"/>
        <v>0</v>
      </c>
      <c r="BB342" s="761">
        <f t="shared" si="240"/>
        <v>3497.0000000000005</v>
      </c>
      <c r="BC342" s="110"/>
      <c r="BD342" s="809">
        <v>0</v>
      </c>
      <c r="BE342" s="242"/>
      <c r="BF342" s="285" t="s">
        <v>2720</v>
      </c>
      <c r="BG342" s="98">
        <v>0.15</v>
      </c>
      <c r="BH342" s="110"/>
      <c r="BI342" s="242">
        <f>BD342*BG342</f>
        <v>0</v>
      </c>
      <c r="BJ342" s="242"/>
      <c r="BK342" s="243"/>
      <c r="BL342" s="772" t="s">
        <v>262</v>
      </c>
      <c r="BM342" s="98">
        <v>0.05</v>
      </c>
      <c r="BN342" s="110"/>
      <c r="BO342" s="242">
        <f>BD342*BM342</f>
        <v>0</v>
      </c>
      <c r="BP342" s="276"/>
      <c r="BQ342" s="243"/>
      <c r="BR342" s="110">
        <f>200/1.22</f>
        <v>163.9344262295082</v>
      </c>
      <c r="BS342" s="226">
        <v>44645</v>
      </c>
      <c r="BT342" s="301"/>
      <c r="BU342" s="206"/>
      <c r="BV342" s="110">
        <f>1720/1.22</f>
        <v>1409.8360655737706</v>
      </c>
      <c r="BW342" s="226">
        <v>44694</v>
      </c>
      <c r="BX342" s="206"/>
      <c r="BY342" s="206"/>
      <c r="BZ342" s="110">
        <f>2346.34/1.22</f>
        <v>1923.2295081967216</v>
      </c>
      <c r="CA342" s="263" t="s">
        <v>2721</v>
      </c>
      <c r="CB342" s="206"/>
      <c r="CC342" s="206"/>
      <c r="CD342" s="206"/>
      <c r="CE342" s="206"/>
      <c r="CF342" s="206"/>
      <c r="CG342" s="206"/>
      <c r="CH342" s="206"/>
      <c r="CI342" s="206"/>
      <c r="CJ342" s="206"/>
      <c r="CK342" s="245" t="s">
        <v>2612</v>
      </c>
      <c r="CL342" s="181"/>
      <c r="CM342" s="246"/>
      <c r="CN342" s="247" t="s">
        <v>2720</v>
      </c>
      <c r="CO342" s="207"/>
      <c r="CP342" s="155"/>
      <c r="CQ342" s="131"/>
      <c r="CR342" s="131"/>
      <c r="CS342" s="811"/>
      <c r="CT342" s="811" t="b">
        <f>IF(D342=1,IF(BB342=0,BD342*BG342,0))</f>
        <v>0</v>
      </c>
      <c r="CU342" s="811" t="b">
        <f>IF(D342=1,IF(BB342=0,BD342*BM342,0))</f>
        <v>0</v>
      </c>
      <c r="CV342" s="729"/>
      <c r="CW342" s="729"/>
      <c r="CX342" s="729"/>
      <c r="CY342" s="729"/>
      <c r="CZ342" s="729"/>
      <c r="DA342" s="729"/>
      <c r="DB342" s="729"/>
      <c r="DC342" s="729"/>
    </row>
    <row r="343" spans="1:124" ht="30" customHeight="1">
      <c r="A343" s="228"/>
      <c r="B343" s="155"/>
      <c r="C343" s="780">
        <f t="shared" si="248"/>
        <v>22</v>
      </c>
      <c r="D343" s="757"/>
      <c r="E343" s="757"/>
      <c r="F343" s="757"/>
      <c r="G343" s="840" t="s">
        <v>135</v>
      </c>
      <c r="H343" s="621" t="s">
        <v>4681</v>
      </c>
      <c r="I343" s="207" t="s">
        <v>4682</v>
      </c>
      <c r="J343" s="207"/>
      <c r="K343" s="916"/>
      <c r="L343" s="131"/>
      <c r="M343" s="131"/>
      <c r="N343" s="917"/>
      <c r="O343" s="1426"/>
      <c r="P343" s="124"/>
      <c r="Q343" s="124"/>
      <c r="R343" s="131" t="s">
        <v>3056</v>
      </c>
      <c r="S343" s="124"/>
      <c r="T343" s="124"/>
      <c r="U343" s="124"/>
      <c r="V343" s="124"/>
      <c r="W343" s="124"/>
      <c r="X343" s="131"/>
      <c r="Y343" s="124"/>
      <c r="Z343" s="124"/>
      <c r="AA343" s="124"/>
      <c r="AB343" s="255"/>
      <c r="AC343" s="131"/>
      <c r="AD343" s="1427"/>
      <c r="AE343" s="207" t="s">
        <v>3057</v>
      </c>
      <c r="AF343" s="515"/>
      <c r="AG343" s="580"/>
      <c r="AH343" s="580"/>
      <c r="AI343" s="580"/>
      <c r="AJ343" s="515"/>
      <c r="AK343" s="121"/>
      <c r="AL343" s="121"/>
      <c r="AM343" s="121"/>
      <c r="AN343" s="198"/>
      <c r="AO343" s="124"/>
      <c r="AP343" s="124"/>
      <c r="AQ343" s="124"/>
      <c r="AR343" s="515"/>
      <c r="AS343" s="570"/>
      <c r="AT343" s="570"/>
      <c r="AU343" s="570"/>
      <c r="AV343" s="568"/>
      <c r="AW343" s="570"/>
      <c r="AX343" s="570"/>
      <c r="AY343" s="121" t="s">
        <v>27</v>
      </c>
      <c r="AZ343" s="760">
        <f t="shared" si="238"/>
        <v>0</v>
      </c>
      <c r="BA343" s="761">
        <f t="shared" si="239"/>
        <v>0</v>
      </c>
      <c r="BB343" s="761">
        <f t="shared" si="240"/>
        <v>0</v>
      </c>
      <c r="BC343" s="110"/>
      <c r="BD343" s="242"/>
      <c r="BE343" s="242"/>
      <c r="BF343" s="131" t="s">
        <v>2371</v>
      </c>
      <c r="BG343" s="145">
        <v>0.15</v>
      </c>
      <c r="BH343" s="110"/>
      <c r="BI343" s="242"/>
      <c r="BJ343" s="1231"/>
      <c r="BK343" s="131"/>
      <c r="BL343" s="529" t="s">
        <v>2920</v>
      </c>
      <c r="BM343" s="145">
        <v>0.05</v>
      </c>
      <c r="BN343" s="110">
        <f>AZ343*BM343</f>
        <v>0</v>
      </c>
      <c r="BO343" s="242"/>
      <c r="BP343" s="276"/>
      <c r="BQ343" s="277"/>
      <c r="BR343" s="110"/>
      <c r="BS343" s="226"/>
      <c r="BT343" s="110"/>
      <c r="BU343" s="263"/>
      <c r="BV343" s="110"/>
      <c r="BW343" s="226"/>
      <c r="BX343" s="110"/>
      <c r="BY343" s="263"/>
      <c r="BZ343" s="110"/>
      <c r="CA343" s="226"/>
      <c r="CB343" s="349"/>
      <c r="CC343" s="263"/>
      <c r="CD343" s="110"/>
      <c r="CE343" s="226"/>
      <c r="CF343" s="110"/>
      <c r="CG343" s="263"/>
      <c r="CH343" s="110"/>
      <c r="CI343" s="226"/>
      <c r="CJ343" s="110"/>
      <c r="CK343" s="919"/>
      <c r="CL343" s="570"/>
      <c r="CM343" s="920"/>
      <c r="CN343" s="124"/>
      <c r="CO343" s="331"/>
      <c r="CP343" s="596"/>
      <c r="CQ343" s="131"/>
      <c r="CR343" s="131"/>
      <c r="CS343" s="242"/>
      <c r="CT343" s="242"/>
      <c r="CU343" s="242"/>
      <c r="CV343" s="265"/>
      <c r="CW343" s="265"/>
      <c r="CX343" s="265"/>
      <c r="CY343" s="265"/>
      <c r="CZ343" s="265"/>
      <c r="DA343" s="265"/>
      <c r="DB343" s="265"/>
      <c r="DC343" s="265"/>
    </row>
    <row r="344" spans="1:124" ht="30" customHeight="1">
      <c r="A344" s="228"/>
      <c r="B344" s="155"/>
      <c r="C344" s="780">
        <f t="shared" si="248"/>
        <v>23</v>
      </c>
      <c r="D344" s="244"/>
      <c r="E344" s="244"/>
      <c r="F344" s="244"/>
      <c r="G344" s="320" t="s">
        <v>407</v>
      </c>
      <c r="H344" s="812" t="s">
        <v>2723</v>
      </c>
      <c r="I344" s="294" t="s">
        <v>2724</v>
      </c>
      <c r="J344" s="207" t="str">
        <f t="shared" ref="J344:J466" si="250">CONCATENATE(G344," ",H344)</f>
        <v>Stefano Poli</v>
      </c>
      <c r="K344" s="224"/>
      <c r="L344" s="160"/>
      <c r="M344" s="160"/>
      <c r="N344" s="131"/>
      <c r="O344" s="1258"/>
      <c r="P344" s="37"/>
      <c r="Q344" s="37"/>
      <c r="R344" s="131" t="s">
        <v>2725</v>
      </c>
      <c r="S344" s="160"/>
      <c r="T344" s="160"/>
      <c r="U344" s="160"/>
      <c r="V344" s="160"/>
      <c r="W344" s="233"/>
      <c r="X344" s="234"/>
      <c r="Y344" s="233"/>
      <c r="Z344" s="233"/>
      <c r="AA344" s="233"/>
      <c r="AB344" s="37"/>
      <c r="AC344" s="37"/>
      <c r="AD344" s="37"/>
      <c r="AE344" s="112" t="s">
        <v>2726</v>
      </c>
      <c r="AF344" s="198"/>
      <c r="AG344" s="121"/>
      <c r="AH344" s="121"/>
      <c r="AI344" s="121"/>
      <c r="AJ344" s="198"/>
      <c r="AK344" s="258" t="s">
        <v>115</v>
      </c>
      <c r="AL344" s="258" t="s">
        <v>115</v>
      </c>
      <c r="AM344" s="258"/>
      <c r="AN344" s="515"/>
      <c r="AO344" s="258"/>
      <c r="AP344" s="258"/>
      <c r="AQ344" s="258"/>
      <c r="AR344" s="198"/>
      <c r="AS344" s="304"/>
      <c r="AT344" s="304"/>
      <c r="AU344" s="304"/>
      <c r="AV344" s="198"/>
      <c r="AW344" s="177" t="s">
        <v>151</v>
      </c>
      <c r="AX344" s="177" t="s">
        <v>151</v>
      </c>
      <c r="AY344" s="177" t="s">
        <v>151</v>
      </c>
      <c r="AZ344" s="808">
        <f t="shared" si="238"/>
        <v>2997</v>
      </c>
      <c r="BA344" s="761">
        <f t="shared" si="239"/>
        <v>0</v>
      </c>
      <c r="BB344" s="761">
        <f t="shared" si="240"/>
        <v>2997</v>
      </c>
      <c r="BC344" s="110">
        <f>BA344</f>
        <v>0</v>
      </c>
      <c r="BD344" s="809">
        <f>AZ344-BC344</f>
        <v>2997</v>
      </c>
      <c r="BE344" s="242"/>
      <c r="BF344" s="285" t="s">
        <v>184</v>
      </c>
      <c r="BG344" s="98">
        <v>0.15</v>
      </c>
      <c r="BH344" s="110"/>
      <c r="BI344" s="242">
        <f>BD344*BG344</f>
        <v>449.55</v>
      </c>
      <c r="BJ344" s="242"/>
      <c r="BK344" s="243"/>
      <c r="BL344" s="243" t="s">
        <v>184</v>
      </c>
      <c r="BM344" s="98">
        <v>0.1</v>
      </c>
      <c r="BN344" s="110"/>
      <c r="BO344" s="242">
        <f t="shared" ref="BO344:BO381" si="251">BD344*BM344</f>
        <v>299.7</v>
      </c>
      <c r="BP344" s="276"/>
      <c r="BQ344" s="1285"/>
      <c r="BR344" s="110">
        <v>2997</v>
      </c>
      <c r="BS344" s="226"/>
      <c r="BT344" s="110"/>
      <c r="BU344" s="263"/>
      <c r="BV344" s="263"/>
      <c r="BW344" s="263"/>
      <c r="BX344" s="263"/>
      <c r="BY344" s="263"/>
      <c r="BZ344" s="263"/>
      <c r="CA344" s="263"/>
      <c r="CB344" s="814"/>
      <c r="CC344" s="263"/>
      <c r="CD344" s="263"/>
      <c r="CE344" s="263"/>
      <c r="CF344" s="263"/>
      <c r="CG344" s="263"/>
      <c r="CH344" s="263"/>
      <c r="CI344" s="263"/>
      <c r="CJ344" s="263"/>
      <c r="CK344" s="245"/>
      <c r="CL344" s="181"/>
      <c r="CM344" s="246"/>
      <c r="CN344" s="247"/>
      <c r="CO344" s="869"/>
      <c r="CP344" s="155"/>
      <c r="CQ344" s="131"/>
      <c r="CR344" s="131" t="s">
        <v>2728</v>
      </c>
      <c r="CS344" s="811"/>
      <c r="CT344" s="811" t="b">
        <f>IF(D344=1,IF(BB344=0,BD344*BG344,0))</f>
        <v>0</v>
      </c>
      <c r="CU344" s="811" t="b">
        <f>IF(D344=1,IF(BB344=0,BD344*BM344,0))</f>
        <v>0</v>
      </c>
      <c r="CV344" s="729"/>
      <c r="CW344" s="729"/>
      <c r="CX344" s="729"/>
      <c r="CY344" s="729"/>
      <c r="CZ344" s="729"/>
      <c r="DA344" s="729"/>
      <c r="DB344" s="729"/>
      <c r="DC344" s="729"/>
    </row>
    <row r="345" spans="1:124" ht="30" customHeight="1">
      <c r="A345" s="228"/>
      <c r="B345" s="1237"/>
      <c r="C345" s="155">
        <v>1</v>
      </c>
      <c r="D345" s="781"/>
      <c r="E345" s="781"/>
      <c r="F345" s="781"/>
      <c r="G345" s="817" t="s">
        <v>135</v>
      </c>
      <c r="H345" s="817" t="s">
        <v>2729</v>
      </c>
      <c r="I345" s="207" t="s">
        <v>2730</v>
      </c>
      <c r="J345" s="207" t="str">
        <f t="shared" si="250"/>
        <v>Alessandro Romanini</v>
      </c>
      <c r="K345" s="156" t="s">
        <v>2731</v>
      </c>
      <c r="L345" s="204" t="s">
        <v>2732</v>
      </c>
      <c r="M345" s="131" t="s">
        <v>2733</v>
      </c>
      <c r="N345" s="131" t="str">
        <f t="shared" ref="N345:N382" si="252">CR345</f>
        <v>Mechinno</v>
      </c>
      <c r="O345" s="1297"/>
      <c r="P345" s="251"/>
      <c r="Q345" s="131"/>
      <c r="R345" s="252"/>
      <c r="S345" s="254"/>
      <c r="T345" s="346"/>
      <c r="U345" s="253"/>
      <c r="V345" s="253"/>
      <c r="W345" s="251"/>
      <c r="X345" s="131"/>
      <c r="Y345" s="251"/>
      <c r="Z345" s="251"/>
      <c r="AA345" s="251"/>
      <c r="AB345" s="255"/>
      <c r="AC345" s="256"/>
      <c r="AD345" s="121"/>
      <c r="AE345" s="80" t="str">
        <f t="shared" ref="AE345:AE381" si="253">L345</f>
        <v>CONFERMA ENTRO IL 30/9</v>
      </c>
      <c r="AF345" s="257"/>
      <c r="AG345" s="155"/>
      <c r="AH345" s="155"/>
      <c r="AI345" s="155"/>
      <c r="AJ345" s="257"/>
      <c r="AK345" s="155"/>
      <c r="AL345" s="155"/>
      <c r="AM345" s="155"/>
      <c r="AN345" s="257"/>
      <c r="AO345" s="258"/>
      <c r="AP345" s="258"/>
      <c r="AQ345" s="258"/>
      <c r="AR345" s="211"/>
      <c r="AS345" s="154" t="s">
        <v>165</v>
      </c>
      <c r="AT345" s="154" t="s">
        <v>165</v>
      </c>
      <c r="AU345" s="154" t="s">
        <v>165</v>
      </c>
      <c r="AV345" s="211"/>
      <c r="AW345" s="259"/>
      <c r="AX345" s="259"/>
      <c r="AY345" s="259"/>
      <c r="AZ345" s="808">
        <f t="shared" si="238"/>
        <v>0</v>
      </c>
      <c r="BA345" s="761">
        <f t="shared" si="239"/>
        <v>0</v>
      </c>
      <c r="BB345" s="761">
        <f t="shared" si="240"/>
        <v>0</v>
      </c>
      <c r="BC345" s="262"/>
      <c r="BD345" s="242"/>
      <c r="BE345" s="1231"/>
      <c r="BF345" s="363" t="s">
        <v>690</v>
      </c>
      <c r="BG345" s="145">
        <v>0.15</v>
      </c>
      <c r="BH345" s="262"/>
      <c r="BI345" s="242"/>
      <c r="BJ345" s="1231"/>
      <c r="BK345" s="772"/>
      <c r="BL345" s="289" t="s">
        <v>184</v>
      </c>
      <c r="BM345" s="145">
        <v>0.05</v>
      </c>
      <c r="BN345" s="262"/>
      <c r="BO345" s="242">
        <f t="shared" si="251"/>
        <v>0</v>
      </c>
      <c r="BP345" s="1231">
        <f t="shared" ref="BP345:BP381" si="254">BE345*BM345</f>
        <v>0</v>
      </c>
      <c r="BQ345" s="243"/>
      <c r="BR345" s="110">
        <v>0</v>
      </c>
      <c r="BS345" s="226"/>
      <c r="BT345" s="110"/>
      <c r="BU345" s="263"/>
      <c r="BV345" s="110"/>
      <c r="BW345" s="348"/>
      <c r="BX345" s="110"/>
      <c r="BY345" s="263"/>
      <c r="BZ345" s="110"/>
      <c r="CA345" s="263"/>
      <c r="CB345" s="110"/>
      <c r="CC345" s="263"/>
      <c r="CD345" s="110"/>
      <c r="CE345" s="226"/>
      <c r="CF345" s="110"/>
      <c r="CG345" s="263"/>
      <c r="CH345" s="110"/>
      <c r="CI345" s="226"/>
      <c r="CJ345" s="110"/>
      <c r="CK345" s="155"/>
      <c r="CL345" s="181"/>
      <c r="CM345" s="181"/>
      <c r="CN345" s="207"/>
      <c r="CO345" s="207"/>
      <c r="CP345" s="155"/>
      <c r="CQ345" s="131"/>
      <c r="CR345" s="823" t="s">
        <v>2734</v>
      </c>
      <c r="CS345" s="820"/>
      <c r="CT345" s="820" t="b">
        <f t="shared" ref="CT345:CT370" si="255">IF(OR(D345&gt;0,E345&gt;0,F345&gt;0),IF(BB345=0,BD345*BG345,0))</f>
        <v>0</v>
      </c>
      <c r="CU345" s="820" t="b">
        <f t="shared" ref="CU345:CU370" si="256">IF(OR(D345&gt;0,E345&gt;0,F345&gt;0),IF(BB345=0,BD345*BM345,0))</f>
        <v>0</v>
      </c>
      <c r="CV345" s="779"/>
      <c r="CW345" s="779"/>
      <c r="CX345" s="779"/>
      <c r="CY345" s="729"/>
      <c r="CZ345" s="729"/>
      <c r="DA345" s="729"/>
      <c r="DB345" s="729"/>
      <c r="DC345" s="729"/>
      <c r="DD345" s="265"/>
      <c r="DE345" s="265"/>
      <c r="DF345" s="265"/>
      <c r="DG345" s="265"/>
      <c r="DH345" s="265"/>
      <c r="DI345" s="265"/>
      <c r="DJ345" s="265"/>
      <c r="DK345" s="265"/>
      <c r="DL345" s="265"/>
      <c r="DM345" s="265"/>
      <c r="DN345" s="265"/>
      <c r="DO345" s="265"/>
      <c r="DP345" s="265"/>
      <c r="DQ345" s="265"/>
      <c r="DR345" s="265"/>
      <c r="DS345" s="265"/>
      <c r="DT345" s="265"/>
    </row>
    <row r="346" spans="1:124" ht="30" customHeight="1">
      <c r="A346" s="228"/>
      <c r="B346" s="1237"/>
      <c r="C346" s="155">
        <f t="shared" ref="C346:C381" si="257">C345+1</f>
        <v>2</v>
      </c>
      <c r="D346" s="781"/>
      <c r="E346" s="781"/>
      <c r="F346" s="781"/>
      <c r="G346" s="817" t="s">
        <v>2735</v>
      </c>
      <c r="H346" s="817" t="s">
        <v>2736</v>
      </c>
      <c r="I346" s="207" t="s">
        <v>2737</v>
      </c>
      <c r="J346" s="207" t="str">
        <f t="shared" si="250"/>
        <v>Alessia  Collavo</v>
      </c>
      <c r="K346" s="156">
        <v>3461360222</v>
      </c>
      <c r="L346" s="131"/>
      <c r="M346" s="131"/>
      <c r="N346" s="131" t="str">
        <f t="shared" si="252"/>
        <v>Sidi Sport</v>
      </c>
      <c r="O346" s="1297"/>
      <c r="P346" s="251"/>
      <c r="Q346" s="131"/>
      <c r="R346" s="252"/>
      <c r="S346" s="254"/>
      <c r="T346" s="346"/>
      <c r="U346" s="253"/>
      <c r="V346" s="253"/>
      <c r="W346" s="251"/>
      <c r="X346" s="131"/>
      <c r="Y346" s="251"/>
      <c r="Z346" s="251"/>
      <c r="AA346" s="251"/>
      <c r="AB346" s="255"/>
      <c r="AC346" s="256"/>
      <c r="AD346" s="121"/>
      <c r="AE346" s="80">
        <f t="shared" si="253"/>
        <v>0</v>
      </c>
      <c r="AF346" s="257"/>
      <c r="AG346" s="155"/>
      <c r="AH346" s="155"/>
      <c r="AI346" s="155"/>
      <c r="AJ346" s="257"/>
      <c r="AK346" s="155"/>
      <c r="AL346" s="155"/>
      <c r="AM346" s="155"/>
      <c r="AN346" s="257"/>
      <c r="AO346" s="258"/>
      <c r="AP346" s="258"/>
      <c r="AQ346" s="258"/>
      <c r="AR346" s="211"/>
      <c r="AS346" s="154" t="s">
        <v>165</v>
      </c>
      <c r="AT346" s="154" t="s">
        <v>165</v>
      </c>
      <c r="AU346" s="154" t="s">
        <v>165</v>
      </c>
      <c r="AV346" s="211"/>
      <c r="AW346" s="259"/>
      <c r="AX346" s="259"/>
      <c r="AY346" s="259"/>
      <c r="AZ346" s="808">
        <f t="shared" si="238"/>
        <v>0</v>
      </c>
      <c r="BA346" s="761">
        <f t="shared" si="239"/>
        <v>0</v>
      </c>
      <c r="BB346" s="761">
        <f t="shared" si="240"/>
        <v>0</v>
      </c>
      <c r="BC346" s="262"/>
      <c r="BD346" s="242"/>
      <c r="BE346" s="1231"/>
      <c r="BF346" s="105" t="s">
        <v>160</v>
      </c>
      <c r="BG346" s="145">
        <v>0.05</v>
      </c>
      <c r="BH346" s="262"/>
      <c r="BI346" s="242"/>
      <c r="BJ346" s="1231"/>
      <c r="BK346" s="772"/>
      <c r="BL346" s="822" t="s">
        <v>160</v>
      </c>
      <c r="BM346" s="145">
        <v>0.05</v>
      </c>
      <c r="BN346" s="262"/>
      <c r="BO346" s="242">
        <f t="shared" si="251"/>
        <v>0</v>
      </c>
      <c r="BP346" s="1231">
        <f t="shared" si="254"/>
        <v>0</v>
      </c>
      <c r="BQ346" s="243"/>
      <c r="BR346" s="110"/>
      <c r="BS346" s="226"/>
      <c r="BT346" s="110"/>
      <c r="BU346" s="263"/>
      <c r="BV346" s="110"/>
      <c r="BW346" s="348"/>
      <c r="BX346" s="110"/>
      <c r="BY346" s="263"/>
      <c r="BZ346" s="110"/>
      <c r="CA346" s="263"/>
      <c r="CB346" s="110"/>
      <c r="CC346" s="263"/>
      <c r="CD346" s="110"/>
      <c r="CE346" s="226"/>
      <c r="CF346" s="110"/>
      <c r="CG346" s="263"/>
      <c r="CH346" s="110"/>
      <c r="CI346" s="226"/>
      <c r="CJ346" s="110"/>
      <c r="CK346" s="155"/>
      <c r="CL346" s="181"/>
      <c r="CM346" s="181"/>
      <c r="CN346" s="207"/>
      <c r="CO346" s="207"/>
      <c r="CP346" s="155"/>
      <c r="CQ346" s="131"/>
      <c r="CR346" s="823" t="s">
        <v>2738</v>
      </c>
      <c r="CS346" s="820"/>
      <c r="CT346" s="820" t="b">
        <f t="shared" si="255"/>
        <v>0</v>
      </c>
      <c r="CU346" s="820" t="b">
        <f t="shared" si="256"/>
        <v>0</v>
      </c>
      <c r="CV346" s="779"/>
      <c r="CW346" s="779"/>
      <c r="CX346" s="779"/>
      <c r="CY346" s="729"/>
      <c r="CZ346" s="729"/>
      <c r="DA346" s="729"/>
      <c r="DB346" s="729"/>
      <c r="DC346" s="729"/>
      <c r="DD346" s="265"/>
      <c r="DE346" s="265"/>
      <c r="DF346" s="265"/>
      <c r="DG346" s="265"/>
      <c r="DH346" s="265"/>
      <c r="DI346" s="265"/>
      <c r="DJ346" s="265"/>
      <c r="DK346" s="265"/>
      <c r="DL346" s="265"/>
      <c r="DM346" s="265"/>
      <c r="DN346" s="265"/>
      <c r="DO346" s="265"/>
      <c r="DP346" s="265"/>
      <c r="DQ346" s="265"/>
      <c r="DR346" s="265"/>
      <c r="DS346" s="265"/>
      <c r="DT346" s="265"/>
    </row>
    <row r="347" spans="1:124" ht="30" customHeight="1">
      <c r="A347" s="228"/>
      <c r="B347" s="1237"/>
      <c r="C347" s="155">
        <f t="shared" si="257"/>
        <v>3</v>
      </c>
      <c r="D347" s="781"/>
      <c r="E347" s="781"/>
      <c r="F347" s="781"/>
      <c r="G347" s="817" t="s">
        <v>2739</v>
      </c>
      <c r="H347" s="817" t="s">
        <v>2740</v>
      </c>
      <c r="I347" s="207"/>
      <c r="J347" s="207" t="str">
        <f t="shared" si="250"/>
        <v>Alex Mazza</v>
      </c>
      <c r="K347" s="156"/>
      <c r="L347" s="204" t="s">
        <v>2741</v>
      </c>
      <c r="M347" s="823" t="s">
        <v>2742</v>
      </c>
      <c r="N347" s="131" t="str">
        <f t="shared" si="252"/>
        <v>Aere</v>
      </c>
      <c r="O347" s="1297"/>
      <c r="P347" s="251"/>
      <c r="Q347" s="131"/>
      <c r="R347" s="252"/>
      <c r="S347" s="254"/>
      <c r="T347" s="346"/>
      <c r="U347" s="253"/>
      <c r="V347" s="253"/>
      <c r="W347" s="251"/>
      <c r="X347" s="131"/>
      <c r="Y347" s="251"/>
      <c r="Z347" s="251"/>
      <c r="AA347" s="251"/>
      <c r="AB347" s="255"/>
      <c r="AC347" s="256"/>
      <c r="AD347" s="121"/>
      <c r="AE347" s="80" t="str">
        <f t="shared" si="253"/>
        <v>Appuntamento 14.10 in azienda per Aiutarli</v>
      </c>
      <c r="AF347" s="257"/>
      <c r="AG347" s="155"/>
      <c r="AH347" s="155"/>
      <c r="AI347" s="155"/>
      <c r="AJ347" s="257"/>
      <c r="AK347" s="155"/>
      <c r="AL347" s="155"/>
      <c r="AM347" s="155"/>
      <c r="AN347" s="257"/>
      <c r="AO347" s="258"/>
      <c r="AP347" s="258"/>
      <c r="AQ347" s="258"/>
      <c r="AR347" s="211"/>
      <c r="AS347" s="565" t="s">
        <v>165</v>
      </c>
      <c r="AT347" s="565" t="s">
        <v>165</v>
      </c>
      <c r="AU347" s="565" t="s">
        <v>165</v>
      </c>
      <c r="AV347" s="211"/>
      <c r="AW347" s="259"/>
      <c r="AX347" s="259"/>
      <c r="AY347" s="259"/>
      <c r="AZ347" s="808">
        <f t="shared" si="238"/>
        <v>0</v>
      </c>
      <c r="BA347" s="761">
        <f t="shared" si="239"/>
        <v>0</v>
      </c>
      <c r="BB347" s="761">
        <f t="shared" si="240"/>
        <v>0</v>
      </c>
      <c r="BC347" s="262"/>
      <c r="BD347" s="824">
        <f>AZ347</f>
        <v>0</v>
      </c>
      <c r="BE347" s="1231"/>
      <c r="BF347" s="380" t="s">
        <v>117</v>
      </c>
      <c r="BG347" s="98">
        <v>0</v>
      </c>
      <c r="BH347" s="262"/>
      <c r="BI347" s="242">
        <f>BD347*BG347</f>
        <v>0</v>
      </c>
      <c r="BJ347" s="1231">
        <f>BE347*BG347</f>
        <v>0</v>
      </c>
      <c r="BK347" s="1267" t="s">
        <v>118</v>
      </c>
      <c r="BL347" s="825" t="s">
        <v>152</v>
      </c>
      <c r="BM347" s="145">
        <v>0.05</v>
      </c>
      <c r="BN347" s="262"/>
      <c r="BO347" s="242">
        <f t="shared" si="251"/>
        <v>0</v>
      </c>
      <c r="BP347" s="1231">
        <f t="shared" si="254"/>
        <v>0</v>
      </c>
      <c r="BQ347" s="243"/>
      <c r="BR347" s="110"/>
      <c r="BS347" s="226"/>
      <c r="BT347" s="110"/>
      <c r="BU347" s="263"/>
      <c r="BV347" s="110"/>
      <c r="BW347" s="348"/>
      <c r="BX347" s="110"/>
      <c r="BY347" s="263"/>
      <c r="BZ347" s="110"/>
      <c r="CA347" s="263"/>
      <c r="CB347" s="110"/>
      <c r="CC347" s="263"/>
      <c r="CD347" s="110"/>
      <c r="CE347" s="226"/>
      <c r="CF347" s="110"/>
      <c r="CG347" s="263"/>
      <c r="CH347" s="110"/>
      <c r="CI347" s="226"/>
      <c r="CJ347" s="110"/>
      <c r="CK347" s="155">
        <v>1</v>
      </c>
      <c r="CL347" s="181" t="s">
        <v>1123</v>
      </c>
      <c r="CM347" s="181"/>
      <c r="CN347" s="207"/>
      <c r="CO347" s="207"/>
      <c r="CP347" s="155"/>
      <c r="CQ347" s="131" t="s">
        <v>2745</v>
      </c>
      <c r="CR347" s="823" t="s">
        <v>2746</v>
      </c>
      <c r="CS347" s="820"/>
      <c r="CT347" s="820" t="b">
        <f t="shared" si="255"/>
        <v>0</v>
      </c>
      <c r="CU347" s="820" t="b">
        <f t="shared" si="256"/>
        <v>0</v>
      </c>
      <c r="CV347" s="779"/>
      <c r="CW347" s="779"/>
      <c r="CX347" s="779"/>
      <c r="CY347" s="729"/>
      <c r="CZ347" s="729"/>
      <c r="DA347" s="729"/>
      <c r="DB347" s="729"/>
      <c r="DC347" s="729"/>
      <c r="DD347" s="265"/>
      <c r="DE347" s="265"/>
      <c r="DF347" s="265"/>
      <c r="DG347" s="265"/>
      <c r="DH347" s="265"/>
      <c r="DI347" s="265"/>
      <c r="DJ347" s="265"/>
      <c r="DK347" s="265"/>
      <c r="DL347" s="265"/>
      <c r="DM347" s="265"/>
      <c r="DN347" s="265"/>
      <c r="DO347" s="265"/>
      <c r="DP347" s="265"/>
      <c r="DQ347" s="265"/>
      <c r="DR347" s="265"/>
      <c r="DS347" s="265"/>
      <c r="DT347" s="265"/>
    </row>
    <row r="348" spans="1:124" ht="30" customHeight="1">
      <c r="A348" s="228"/>
      <c r="B348" s="1237"/>
      <c r="C348" s="155">
        <f t="shared" si="257"/>
        <v>4</v>
      </c>
      <c r="D348" s="781"/>
      <c r="E348" s="781"/>
      <c r="F348" s="781"/>
      <c r="G348" s="817" t="s">
        <v>414</v>
      </c>
      <c r="H348" s="817" t="s">
        <v>2747</v>
      </c>
      <c r="I348" s="207" t="s">
        <v>2748</v>
      </c>
      <c r="J348" s="207" t="str">
        <f t="shared" si="250"/>
        <v>Barbara Fava</v>
      </c>
      <c r="K348" s="156" t="s">
        <v>2749</v>
      </c>
      <c r="L348" s="204" t="s">
        <v>2750</v>
      </c>
      <c r="M348" s="131" t="s">
        <v>2751</v>
      </c>
      <c r="N348" s="131" t="str">
        <f t="shared" si="252"/>
        <v>We Nudge</v>
      </c>
      <c r="O348" s="1297"/>
      <c r="P348" s="251"/>
      <c r="Q348" s="131"/>
      <c r="R348" s="252"/>
      <c r="S348" s="254"/>
      <c r="T348" s="346"/>
      <c r="U348" s="253"/>
      <c r="V348" s="253"/>
      <c r="W348" s="251"/>
      <c r="X348" s="131"/>
      <c r="Y348" s="251"/>
      <c r="Z348" s="251"/>
      <c r="AA348" s="251"/>
      <c r="AB348" s="255"/>
      <c r="AC348" s="256"/>
      <c r="AD348" s="121"/>
      <c r="AE348" s="80" t="str">
        <f t="shared" si="253"/>
        <v>CONFERMA ENTRO IL 30/09/2022. Disdetta. Sentita Raffa e Confermato che non c'è</v>
      </c>
      <c r="AF348" s="257"/>
      <c r="AG348" s="155"/>
      <c r="AH348" s="155"/>
      <c r="AI348" s="155"/>
      <c r="AJ348" s="257"/>
      <c r="AK348" s="155"/>
      <c r="AL348" s="155"/>
      <c r="AM348" s="155"/>
      <c r="AN348" s="257"/>
      <c r="AO348" s="258"/>
      <c r="AP348" s="258"/>
      <c r="AQ348" s="258"/>
      <c r="AR348" s="211"/>
      <c r="AS348" s="565" t="s">
        <v>165</v>
      </c>
      <c r="AT348" s="565" t="s">
        <v>165</v>
      </c>
      <c r="AU348" s="565" t="s">
        <v>165</v>
      </c>
      <c r="AV348" s="211"/>
      <c r="AW348" s="259"/>
      <c r="AX348" s="259"/>
      <c r="AY348" s="259"/>
      <c r="AZ348" s="808">
        <f t="shared" si="238"/>
        <v>0</v>
      </c>
      <c r="BA348" s="761">
        <f t="shared" si="239"/>
        <v>0</v>
      </c>
      <c r="BB348" s="761">
        <f t="shared" si="240"/>
        <v>0</v>
      </c>
      <c r="BC348" s="262"/>
      <c r="BD348" s="242"/>
      <c r="BE348" s="1231"/>
      <c r="BF348" s="392" t="s">
        <v>119</v>
      </c>
      <c r="BG348" s="145">
        <v>0.15</v>
      </c>
      <c r="BH348" s="262"/>
      <c r="BI348" s="242"/>
      <c r="BJ348" s="1231"/>
      <c r="BK348" s="772"/>
      <c r="BL348" s="826" t="s">
        <v>119</v>
      </c>
      <c r="BM348" s="145">
        <v>0.05</v>
      </c>
      <c r="BN348" s="262"/>
      <c r="BO348" s="242">
        <f t="shared" si="251"/>
        <v>0</v>
      </c>
      <c r="BP348" s="1231">
        <f t="shared" si="254"/>
        <v>0</v>
      </c>
      <c r="BQ348" s="243"/>
      <c r="BR348" s="110"/>
      <c r="BS348" s="226"/>
      <c r="BT348" s="110"/>
      <c r="BU348" s="263"/>
      <c r="BV348" s="110"/>
      <c r="BW348" s="348"/>
      <c r="BX348" s="110"/>
      <c r="BY348" s="263"/>
      <c r="BZ348" s="110"/>
      <c r="CA348" s="263"/>
      <c r="CB348" s="110"/>
      <c r="CC348" s="263"/>
      <c r="CD348" s="110"/>
      <c r="CE348" s="226"/>
      <c r="CF348" s="110"/>
      <c r="CG348" s="263"/>
      <c r="CH348" s="110"/>
      <c r="CI348" s="226"/>
      <c r="CJ348" s="110"/>
      <c r="CK348" s="155">
        <v>1</v>
      </c>
      <c r="CL348" s="181" t="s">
        <v>1123</v>
      </c>
      <c r="CM348" s="181"/>
      <c r="CN348" s="207"/>
      <c r="CO348" s="207"/>
      <c r="CP348" s="155"/>
      <c r="CQ348" s="131"/>
      <c r="CR348" s="823" t="s">
        <v>2752</v>
      </c>
      <c r="CS348" s="820"/>
      <c r="CT348" s="820" t="b">
        <f t="shared" si="255"/>
        <v>0</v>
      </c>
      <c r="CU348" s="820" t="b">
        <f t="shared" si="256"/>
        <v>0</v>
      </c>
      <c r="CV348" s="779"/>
      <c r="CW348" s="779"/>
      <c r="CX348" s="779"/>
      <c r="CY348" s="729"/>
      <c r="CZ348" s="729"/>
      <c r="DA348" s="729"/>
      <c r="DB348" s="729"/>
      <c r="DC348" s="729"/>
      <c r="DD348" s="265"/>
      <c r="DE348" s="265"/>
      <c r="DF348" s="265"/>
      <c r="DG348" s="265"/>
      <c r="DH348" s="265"/>
      <c r="DI348" s="265"/>
      <c r="DJ348" s="265"/>
      <c r="DK348" s="265"/>
      <c r="DL348" s="265"/>
      <c r="DM348" s="265"/>
      <c r="DN348" s="265"/>
      <c r="DO348" s="265"/>
      <c r="DP348" s="265"/>
      <c r="DQ348" s="265"/>
      <c r="DR348" s="265"/>
      <c r="DS348" s="265"/>
      <c r="DT348" s="265"/>
    </row>
    <row r="349" spans="1:124" ht="30" customHeight="1">
      <c r="A349" s="228"/>
      <c r="B349" s="1237"/>
      <c r="C349" s="155">
        <f t="shared" si="257"/>
        <v>5</v>
      </c>
      <c r="D349" s="781"/>
      <c r="E349" s="781"/>
      <c r="F349" s="781"/>
      <c r="G349" s="817" t="s">
        <v>275</v>
      </c>
      <c r="H349" s="817" t="s">
        <v>2753</v>
      </c>
      <c r="I349" s="207" t="s">
        <v>2754</v>
      </c>
      <c r="J349" s="207" t="str">
        <f t="shared" si="250"/>
        <v>Chiara Di Palma</v>
      </c>
      <c r="K349" s="156">
        <v>3667490606</v>
      </c>
      <c r="L349" s="131"/>
      <c r="M349" s="131" t="s">
        <v>2755</v>
      </c>
      <c r="N349" s="131" t="str">
        <f t="shared" si="252"/>
        <v>Olympus</v>
      </c>
      <c r="O349" s="1297"/>
      <c r="P349" s="251"/>
      <c r="Q349" s="131"/>
      <c r="R349" s="252"/>
      <c r="S349" s="254"/>
      <c r="T349" s="346"/>
      <c r="U349" s="253"/>
      <c r="V349" s="253"/>
      <c r="W349" s="251"/>
      <c r="X349" s="131"/>
      <c r="Y349" s="251"/>
      <c r="Z349" s="251"/>
      <c r="AA349" s="251"/>
      <c r="AB349" s="255"/>
      <c r="AC349" s="256"/>
      <c r="AD349" s="121"/>
      <c r="AE349" s="80">
        <f t="shared" si="253"/>
        <v>0</v>
      </c>
      <c r="AF349" s="257"/>
      <c r="AG349" s="155"/>
      <c r="AH349" s="155"/>
      <c r="AI349" s="155"/>
      <c r="AJ349" s="257"/>
      <c r="AK349" s="155"/>
      <c r="AL349" s="155"/>
      <c r="AM349" s="155"/>
      <c r="AN349" s="257"/>
      <c r="AO349" s="258"/>
      <c r="AP349" s="258"/>
      <c r="AQ349" s="258"/>
      <c r="AR349" s="211"/>
      <c r="AS349" s="395" t="s">
        <v>165</v>
      </c>
      <c r="AT349" s="395" t="s">
        <v>165</v>
      </c>
      <c r="AU349" s="395" t="s">
        <v>165</v>
      </c>
      <c r="AV349" s="211"/>
      <c r="AW349" s="259"/>
      <c r="AX349" s="259"/>
      <c r="AY349" s="259"/>
      <c r="AZ349" s="808">
        <f t="shared" si="238"/>
        <v>0</v>
      </c>
      <c r="BA349" s="761">
        <f t="shared" si="239"/>
        <v>0</v>
      </c>
      <c r="BB349" s="761">
        <f t="shared" si="240"/>
        <v>0</v>
      </c>
      <c r="BC349" s="262"/>
      <c r="BD349" s="242"/>
      <c r="BE349" s="1231"/>
      <c r="BF349" s="105" t="s">
        <v>451</v>
      </c>
      <c r="BG349" s="145">
        <v>0.15</v>
      </c>
      <c r="BH349" s="262"/>
      <c r="BI349" s="242"/>
      <c r="BJ349" s="1231"/>
      <c r="BK349" s="243"/>
      <c r="BL349" s="825" t="s">
        <v>451</v>
      </c>
      <c r="BM349" s="145">
        <v>0.05</v>
      </c>
      <c r="BN349" s="262"/>
      <c r="BO349" s="242">
        <f t="shared" si="251"/>
        <v>0</v>
      </c>
      <c r="BP349" s="1231">
        <f t="shared" si="254"/>
        <v>0</v>
      </c>
      <c r="BQ349" s="243"/>
      <c r="BR349" s="110"/>
      <c r="BS349" s="226"/>
      <c r="BT349" s="110"/>
      <c r="BU349" s="263"/>
      <c r="BV349" s="110"/>
      <c r="BW349" s="348"/>
      <c r="BX349" s="110"/>
      <c r="BY349" s="263"/>
      <c r="BZ349" s="110"/>
      <c r="CA349" s="263"/>
      <c r="CB349" s="110"/>
      <c r="CC349" s="263"/>
      <c r="CD349" s="110"/>
      <c r="CE349" s="226"/>
      <c r="CF349" s="110"/>
      <c r="CG349" s="263"/>
      <c r="CH349" s="110"/>
      <c r="CI349" s="226"/>
      <c r="CJ349" s="110"/>
      <c r="CK349" s="155">
        <v>1</v>
      </c>
      <c r="CL349" s="181" t="s">
        <v>1123</v>
      </c>
      <c r="CM349" s="181"/>
      <c r="CN349" s="207"/>
      <c r="CO349" s="207"/>
      <c r="CP349" s="155"/>
      <c r="CQ349" s="131"/>
      <c r="CR349" s="823" t="s">
        <v>2756</v>
      </c>
      <c r="CS349" s="820"/>
      <c r="CT349" s="820" t="b">
        <f t="shared" si="255"/>
        <v>0</v>
      </c>
      <c r="CU349" s="820" t="b">
        <f t="shared" si="256"/>
        <v>0</v>
      </c>
      <c r="CV349" s="779"/>
      <c r="CW349" s="779"/>
      <c r="CX349" s="779"/>
      <c r="CY349" s="729"/>
      <c r="CZ349" s="729"/>
      <c r="DA349" s="729"/>
      <c r="DB349" s="729"/>
      <c r="DC349" s="729"/>
      <c r="DD349" s="265"/>
      <c r="DE349" s="265"/>
      <c r="DF349" s="265"/>
      <c r="DG349" s="265"/>
      <c r="DH349" s="265"/>
      <c r="DI349" s="265"/>
      <c r="DJ349" s="265"/>
      <c r="DK349" s="265"/>
      <c r="DL349" s="265"/>
      <c r="DM349" s="265"/>
      <c r="DN349" s="265"/>
      <c r="DO349" s="265"/>
      <c r="DP349" s="265"/>
      <c r="DQ349" s="265"/>
      <c r="DR349" s="265"/>
      <c r="DS349" s="265"/>
      <c r="DT349" s="265"/>
    </row>
    <row r="350" spans="1:124" ht="30" customHeight="1">
      <c r="A350" s="228"/>
      <c r="B350" s="1237"/>
      <c r="C350" s="155">
        <f t="shared" si="257"/>
        <v>6</v>
      </c>
      <c r="D350" s="781"/>
      <c r="E350" s="781"/>
      <c r="F350" s="781"/>
      <c r="G350" s="817" t="s">
        <v>300</v>
      </c>
      <c r="H350" s="817" t="s">
        <v>2757</v>
      </c>
      <c r="I350" s="382" t="s">
        <v>2758</v>
      </c>
      <c r="J350" s="207" t="str">
        <f t="shared" si="250"/>
        <v>Cristina Pompilii</v>
      </c>
      <c r="K350" s="156" t="s">
        <v>2759</v>
      </c>
      <c r="L350" s="204" t="s">
        <v>2732</v>
      </c>
      <c r="M350" s="131"/>
      <c r="N350" s="131" t="str">
        <f t="shared" si="252"/>
        <v>Mechinno</v>
      </c>
      <c r="O350" s="1297"/>
      <c r="P350" s="251"/>
      <c r="Q350" s="131"/>
      <c r="R350" s="252"/>
      <c r="S350" s="254"/>
      <c r="T350" s="346"/>
      <c r="U350" s="253"/>
      <c r="V350" s="253"/>
      <c r="W350" s="251"/>
      <c r="X350" s="131"/>
      <c r="Y350" s="251"/>
      <c r="Z350" s="251"/>
      <c r="AA350" s="251"/>
      <c r="AB350" s="255"/>
      <c r="AC350" s="256"/>
      <c r="AD350" s="121"/>
      <c r="AE350" s="80" t="str">
        <f t="shared" si="253"/>
        <v>CONFERMA ENTRO IL 30/9</v>
      </c>
      <c r="AF350" s="257"/>
      <c r="AG350" s="155"/>
      <c r="AH350" s="155"/>
      <c r="AI350" s="155"/>
      <c r="AJ350" s="257"/>
      <c r="AK350" s="155"/>
      <c r="AL350" s="155"/>
      <c r="AM350" s="155"/>
      <c r="AN350" s="257"/>
      <c r="AO350" s="258"/>
      <c r="AP350" s="258"/>
      <c r="AQ350" s="258"/>
      <c r="AR350" s="211"/>
      <c r="AS350" s="395" t="s">
        <v>165</v>
      </c>
      <c r="AT350" s="395" t="s">
        <v>165</v>
      </c>
      <c r="AU350" s="395" t="s">
        <v>165</v>
      </c>
      <c r="AV350" s="211"/>
      <c r="AW350" s="259"/>
      <c r="AX350" s="259"/>
      <c r="AY350" s="259"/>
      <c r="AZ350" s="808">
        <f t="shared" si="238"/>
        <v>0</v>
      </c>
      <c r="BA350" s="761">
        <f t="shared" si="239"/>
        <v>0</v>
      </c>
      <c r="BB350" s="761">
        <f t="shared" si="240"/>
        <v>0</v>
      </c>
      <c r="BC350" s="262"/>
      <c r="BD350" s="242"/>
      <c r="BE350" s="1231"/>
      <c r="BF350" s="827" t="s">
        <v>690</v>
      </c>
      <c r="BG350" s="145">
        <v>0.15</v>
      </c>
      <c r="BH350" s="262"/>
      <c r="BI350" s="242"/>
      <c r="BJ350" s="1231"/>
      <c r="BK350" s="772"/>
      <c r="BL350" s="826" t="s">
        <v>184</v>
      </c>
      <c r="BM350" s="145">
        <v>0.05</v>
      </c>
      <c r="BN350" s="262"/>
      <c r="BO350" s="242">
        <f t="shared" si="251"/>
        <v>0</v>
      </c>
      <c r="BP350" s="1231">
        <f t="shared" si="254"/>
        <v>0</v>
      </c>
      <c r="BQ350" s="243"/>
      <c r="BR350" s="110">
        <v>0</v>
      </c>
      <c r="BS350" s="226"/>
      <c r="BT350" s="110"/>
      <c r="BU350" s="263"/>
      <c r="BV350" s="110"/>
      <c r="BW350" s="348"/>
      <c r="BX350" s="110"/>
      <c r="BY350" s="263"/>
      <c r="BZ350" s="110"/>
      <c r="CA350" s="263"/>
      <c r="CB350" s="110"/>
      <c r="CC350" s="263"/>
      <c r="CD350" s="110"/>
      <c r="CE350" s="226"/>
      <c r="CF350" s="110"/>
      <c r="CG350" s="263"/>
      <c r="CH350" s="110"/>
      <c r="CI350" s="226"/>
      <c r="CJ350" s="110"/>
      <c r="CK350" s="155">
        <v>1</v>
      </c>
      <c r="CL350" s="181" t="s">
        <v>1123</v>
      </c>
      <c r="CM350" s="181"/>
      <c r="CN350" s="207"/>
      <c r="CO350" s="207"/>
      <c r="CP350" s="155"/>
      <c r="CQ350" s="131"/>
      <c r="CR350" s="823" t="s">
        <v>2734</v>
      </c>
      <c r="CS350" s="820"/>
      <c r="CT350" s="820" t="b">
        <f t="shared" si="255"/>
        <v>0</v>
      </c>
      <c r="CU350" s="820" t="b">
        <f t="shared" si="256"/>
        <v>0</v>
      </c>
      <c r="CV350" s="779"/>
      <c r="CW350" s="779"/>
      <c r="CX350" s="779"/>
      <c r="CY350" s="729"/>
      <c r="CZ350" s="729"/>
      <c r="DA350" s="729"/>
      <c r="DB350" s="729"/>
      <c r="DC350" s="729"/>
      <c r="DD350" s="265"/>
      <c r="DE350" s="265"/>
      <c r="DF350" s="265"/>
      <c r="DG350" s="265"/>
      <c r="DH350" s="265"/>
      <c r="DI350" s="265"/>
      <c r="DJ350" s="265"/>
      <c r="DK350" s="265"/>
      <c r="DL350" s="265"/>
      <c r="DM350" s="265"/>
      <c r="DN350" s="265"/>
      <c r="DO350" s="265"/>
      <c r="DP350" s="265"/>
      <c r="DQ350" s="265"/>
      <c r="DR350" s="265"/>
      <c r="DS350" s="265"/>
      <c r="DT350" s="265"/>
    </row>
    <row r="351" spans="1:124" ht="35.25" customHeight="1">
      <c r="A351" s="228"/>
      <c r="B351" s="1237"/>
      <c r="C351" s="155">
        <f t="shared" si="257"/>
        <v>7</v>
      </c>
      <c r="D351" s="781"/>
      <c r="E351" s="781"/>
      <c r="F351" s="781"/>
      <c r="G351" s="817" t="s">
        <v>487</v>
      </c>
      <c r="H351" s="817" t="s">
        <v>2761</v>
      </c>
      <c r="I351" s="207" t="s">
        <v>2762</v>
      </c>
      <c r="J351" s="207" t="str">
        <f t="shared" si="250"/>
        <v>Daniela Multari</v>
      </c>
      <c r="K351" s="156">
        <v>3280514211</v>
      </c>
      <c r="L351" s="673" t="s">
        <v>2763</v>
      </c>
      <c r="M351" s="131" t="s">
        <v>514</v>
      </c>
      <c r="N351" s="131" t="str">
        <f t="shared" si="252"/>
        <v>Chiorino Technology</v>
      </c>
      <c r="O351" s="1297"/>
      <c r="P351" s="251"/>
      <c r="Q351" s="131"/>
      <c r="R351" s="252"/>
      <c r="S351" s="254"/>
      <c r="T351" s="346"/>
      <c r="U351" s="253"/>
      <c r="V351" s="253"/>
      <c r="W351" s="251"/>
      <c r="X351" s="131"/>
      <c r="Y351" s="251"/>
      <c r="Z351" s="251"/>
      <c r="AA351" s="251"/>
      <c r="AB351" s="255"/>
      <c r="AC351" s="256"/>
      <c r="AD351" s="121"/>
      <c r="AE351" s="80" t="str">
        <f t="shared" si="253"/>
        <v>Contattata da Marco, farà tentativo per  intercedere con il titolare</v>
      </c>
      <c r="AF351" s="257"/>
      <c r="AG351" s="155"/>
      <c r="AH351" s="155"/>
      <c r="AI351" s="155"/>
      <c r="AJ351" s="257"/>
      <c r="AK351" s="155"/>
      <c r="AL351" s="155"/>
      <c r="AM351" s="155"/>
      <c r="AN351" s="257"/>
      <c r="AO351" s="258"/>
      <c r="AP351" s="258"/>
      <c r="AQ351" s="258"/>
      <c r="AR351" s="211"/>
      <c r="AS351" s="395" t="s">
        <v>165</v>
      </c>
      <c r="AT351" s="395" t="s">
        <v>165</v>
      </c>
      <c r="AU351" s="395" t="s">
        <v>165</v>
      </c>
      <c r="AV351" s="211"/>
      <c r="AW351" s="259"/>
      <c r="AX351" s="259"/>
      <c r="AY351" s="259"/>
      <c r="AZ351" s="808">
        <f t="shared" si="238"/>
        <v>0</v>
      </c>
      <c r="BA351" s="761">
        <f t="shared" si="239"/>
        <v>0</v>
      </c>
      <c r="BB351" s="761">
        <f t="shared" si="240"/>
        <v>0</v>
      </c>
      <c r="BC351" s="262"/>
      <c r="BD351" s="824">
        <f>AZ351</f>
        <v>0</v>
      </c>
      <c r="BE351" s="1231"/>
      <c r="BF351" s="399" t="s">
        <v>117</v>
      </c>
      <c r="BG351" s="98">
        <v>0</v>
      </c>
      <c r="BH351" s="262"/>
      <c r="BI351" s="242">
        <f>BD351*BG351</f>
        <v>0</v>
      </c>
      <c r="BJ351" s="1232">
        <f>BE351*BG351</f>
        <v>0</v>
      </c>
      <c r="BK351" s="1267" t="s">
        <v>118</v>
      </c>
      <c r="BL351" s="277" t="s">
        <v>152</v>
      </c>
      <c r="BM351" s="145">
        <v>0.05</v>
      </c>
      <c r="BN351" s="262"/>
      <c r="BO351" s="242">
        <f t="shared" si="251"/>
        <v>0</v>
      </c>
      <c r="BP351" s="1231">
        <f t="shared" si="254"/>
        <v>0</v>
      </c>
      <c r="BQ351" s="243"/>
      <c r="BR351" s="110"/>
      <c r="BS351" s="226"/>
      <c r="BT351" s="110"/>
      <c r="BU351" s="263"/>
      <c r="BV351" s="110"/>
      <c r="BW351" s="348"/>
      <c r="BX351" s="110"/>
      <c r="BY351" s="263"/>
      <c r="BZ351" s="110"/>
      <c r="CA351" s="263"/>
      <c r="CB351" s="110"/>
      <c r="CC351" s="263"/>
      <c r="CD351" s="110"/>
      <c r="CE351" s="226"/>
      <c r="CF351" s="110"/>
      <c r="CG351" s="263"/>
      <c r="CH351" s="110"/>
      <c r="CI351" s="226"/>
      <c r="CJ351" s="110"/>
      <c r="CK351" s="155">
        <v>0</v>
      </c>
      <c r="CL351" s="181" t="s">
        <v>154</v>
      </c>
      <c r="CM351" s="181"/>
      <c r="CN351" s="207"/>
      <c r="CO351" s="207"/>
      <c r="CP351" s="155"/>
      <c r="CQ351" s="131" t="s">
        <v>2765</v>
      </c>
      <c r="CR351" s="823" t="s">
        <v>2766</v>
      </c>
      <c r="CS351" s="820"/>
      <c r="CT351" s="820" t="b">
        <f t="shared" si="255"/>
        <v>0</v>
      </c>
      <c r="CU351" s="820" t="b">
        <f t="shared" si="256"/>
        <v>0</v>
      </c>
      <c r="CV351" s="779"/>
      <c r="CW351" s="779"/>
      <c r="CX351" s="779"/>
      <c r="CY351" s="729"/>
      <c r="CZ351" s="729"/>
      <c r="DA351" s="729"/>
      <c r="DB351" s="729"/>
      <c r="DC351" s="729"/>
      <c r="DD351" s="265"/>
      <c r="DE351" s="265"/>
      <c r="DF351" s="265"/>
      <c r="DG351" s="265"/>
      <c r="DH351" s="265"/>
      <c r="DI351" s="265"/>
      <c r="DJ351" s="265"/>
      <c r="DK351" s="265"/>
      <c r="DL351" s="265"/>
      <c r="DM351" s="265"/>
      <c r="DN351" s="265"/>
      <c r="DO351" s="265"/>
      <c r="DP351" s="265"/>
      <c r="DQ351" s="265"/>
      <c r="DR351" s="265"/>
      <c r="DS351" s="265"/>
      <c r="DT351" s="265"/>
    </row>
    <row r="352" spans="1:124" ht="30" customHeight="1">
      <c r="A352" s="228"/>
      <c r="B352" s="1237"/>
      <c r="C352" s="155">
        <f t="shared" si="257"/>
        <v>8</v>
      </c>
      <c r="D352" s="781"/>
      <c r="E352" s="781"/>
      <c r="F352" s="781"/>
      <c r="G352" s="817" t="s">
        <v>321</v>
      </c>
      <c r="H352" s="817" t="s">
        <v>2767</v>
      </c>
      <c r="I352" s="207" t="s">
        <v>2768</v>
      </c>
      <c r="J352" s="207" t="str">
        <f t="shared" si="250"/>
        <v>Davide Felici</v>
      </c>
      <c r="K352" s="156" t="s">
        <v>2769</v>
      </c>
      <c r="L352" s="204" t="s">
        <v>2770</v>
      </c>
      <c r="M352" s="131" t="s">
        <v>2771</v>
      </c>
      <c r="N352" s="131" t="str">
        <f t="shared" si="252"/>
        <v>Forma Aquae</v>
      </c>
      <c r="O352" s="1297"/>
      <c r="P352" s="251"/>
      <c r="Q352" s="131"/>
      <c r="R352" s="252"/>
      <c r="S352" s="254"/>
      <c r="T352" s="346"/>
      <c r="U352" s="253"/>
      <c r="V352" s="253"/>
      <c r="W352" s="251"/>
      <c r="X352" s="131"/>
      <c r="Y352" s="251"/>
      <c r="Z352" s="251"/>
      <c r="AA352" s="251"/>
      <c r="AB352" s="255"/>
      <c r="AC352" s="256"/>
      <c r="AD352" s="121"/>
      <c r="AE352" s="80" t="str">
        <f t="shared" si="253"/>
        <v>deve confermare il metodo di pagamento. Annullato per attriti in azienda</v>
      </c>
      <c r="AF352" s="257"/>
      <c r="AG352" s="155"/>
      <c r="AH352" s="155"/>
      <c r="AI352" s="155"/>
      <c r="AJ352" s="257"/>
      <c r="AK352" s="155"/>
      <c r="AL352" s="155"/>
      <c r="AM352" s="155"/>
      <c r="AN352" s="257"/>
      <c r="AO352" s="258"/>
      <c r="AP352" s="258"/>
      <c r="AQ352" s="258"/>
      <c r="AR352" s="211"/>
      <c r="AS352" s="395" t="s">
        <v>165</v>
      </c>
      <c r="AT352" s="395" t="s">
        <v>165</v>
      </c>
      <c r="AU352" s="395" t="s">
        <v>165</v>
      </c>
      <c r="AV352" s="211"/>
      <c r="AW352" s="259"/>
      <c r="AX352" s="259"/>
      <c r="AY352" s="259"/>
      <c r="AZ352" s="808">
        <f t="shared" si="238"/>
        <v>0</v>
      </c>
      <c r="BA352" s="761">
        <f t="shared" si="239"/>
        <v>0</v>
      </c>
      <c r="BB352" s="761">
        <f t="shared" si="240"/>
        <v>0</v>
      </c>
      <c r="BC352" s="262"/>
      <c r="BD352" s="242"/>
      <c r="BE352" s="1231"/>
      <c r="BF352" s="392" t="s">
        <v>119</v>
      </c>
      <c r="BG352" s="145">
        <v>0.15</v>
      </c>
      <c r="BH352" s="262"/>
      <c r="BI352" s="242"/>
      <c r="BJ352" s="1231"/>
      <c r="BK352" s="772"/>
      <c r="BL352" s="826" t="s">
        <v>119</v>
      </c>
      <c r="BM352" s="145">
        <v>0.05</v>
      </c>
      <c r="BN352" s="262"/>
      <c r="BO352" s="242">
        <f t="shared" si="251"/>
        <v>0</v>
      </c>
      <c r="BP352" s="1231">
        <f t="shared" si="254"/>
        <v>0</v>
      </c>
      <c r="BQ352" s="243"/>
      <c r="BR352" s="110"/>
      <c r="BS352" s="226"/>
      <c r="BT352" s="110"/>
      <c r="BU352" s="263"/>
      <c r="BV352" s="110"/>
      <c r="BW352" s="348"/>
      <c r="BX352" s="110"/>
      <c r="BY352" s="263"/>
      <c r="BZ352" s="110"/>
      <c r="CA352" s="263"/>
      <c r="CB352" s="110"/>
      <c r="CC352" s="263"/>
      <c r="CD352" s="110"/>
      <c r="CE352" s="226"/>
      <c r="CF352" s="110"/>
      <c r="CG352" s="263"/>
      <c r="CH352" s="110"/>
      <c r="CI352" s="226"/>
      <c r="CJ352" s="110"/>
      <c r="CK352" s="155">
        <v>1</v>
      </c>
      <c r="CL352" s="181" t="s">
        <v>1123</v>
      </c>
      <c r="CM352" s="181"/>
      <c r="CN352" s="207"/>
      <c r="CO352" s="207"/>
      <c r="CP352" s="155"/>
      <c r="CQ352" s="131" t="s">
        <v>2772</v>
      </c>
      <c r="CR352" s="823" t="s">
        <v>2773</v>
      </c>
      <c r="CS352" s="820"/>
      <c r="CT352" s="820" t="b">
        <f t="shared" si="255"/>
        <v>0</v>
      </c>
      <c r="CU352" s="820" t="b">
        <f t="shared" si="256"/>
        <v>0</v>
      </c>
      <c r="CV352" s="779"/>
      <c r="CW352" s="779"/>
      <c r="CX352" s="779"/>
      <c r="CY352" s="729"/>
      <c r="CZ352" s="729"/>
      <c r="DA352" s="729"/>
      <c r="DB352" s="729"/>
      <c r="DC352" s="729"/>
      <c r="DD352" s="265"/>
      <c r="DE352" s="265"/>
      <c r="DF352" s="265"/>
      <c r="DG352" s="265"/>
      <c r="DH352" s="265"/>
      <c r="DI352" s="265"/>
      <c r="DJ352" s="265"/>
      <c r="DK352" s="265"/>
      <c r="DL352" s="265"/>
      <c r="DM352" s="265"/>
      <c r="DN352" s="265"/>
      <c r="DO352" s="265"/>
      <c r="DP352" s="265"/>
      <c r="DQ352" s="265"/>
      <c r="DR352" s="265"/>
      <c r="DS352" s="265"/>
      <c r="DT352" s="265"/>
    </row>
    <row r="353" spans="1:124" ht="30" customHeight="1">
      <c r="A353" s="228"/>
      <c r="B353" s="1237"/>
      <c r="C353" s="155">
        <f t="shared" si="257"/>
        <v>9</v>
      </c>
      <c r="D353" s="781"/>
      <c r="E353" s="781"/>
      <c r="F353" s="781"/>
      <c r="G353" s="817" t="s">
        <v>1998</v>
      </c>
      <c r="H353" s="817" t="s">
        <v>2774</v>
      </c>
      <c r="I353" s="207" t="s">
        <v>2775</v>
      </c>
      <c r="J353" s="207" t="str">
        <f t="shared" si="250"/>
        <v>Elena  Del Fiacco</v>
      </c>
      <c r="K353" s="156" t="s">
        <v>2776</v>
      </c>
      <c r="L353" s="131"/>
      <c r="M353" s="131" t="s">
        <v>1447</v>
      </c>
      <c r="N353" s="131" t="str">
        <f t="shared" si="252"/>
        <v>NT Majocchi</v>
      </c>
      <c r="O353" s="1297"/>
      <c r="P353" s="251"/>
      <c r="Q353" s="131"/>
      <c r="R353" s="252"/>
      <c r="S353" s="254"/>
      <c r="T353" s="346"/>
      <c r="U353" s="253"/>
      <c r="V353" s="253"/>
      <c r="W353" s="251"/>
      <c r="X353" s="131"/>
      <c r="Y353" s="251"/>
      <c r="Z353" s="251"/>
      <c r="AA353" s="251"/>
      <c r="AB353" s="255"/>
      <c r="AC353" s="256"/>
      <c r="AD353" s="121"/>
      <c r="AE353" s="80">
        <f t="shared" si="253"/>
        <v>0</v>
      </c>
      <c r="AF353" s="257"/>
      <c r="AG353" s="155"/>
      <c r="AH353" s="155"/>
      <c r="AI353" s="155"/>
      <c r="AJ353" s="257"/>
      <c r="AK353" s="155"/>
      <c r="AL353" s="155"/>
      <c r="AM353" s="155"/>
      <c r="AN353" s="257"/>
      <c r="AO353" s="258"/>
      <c r="AP353" s="258"/>
      <c r="AQ353" s="258"/>
      <c r="AR353" s="211"/>
      <c r="AS353" s="565" t="s">
        <v>165</v>
      </c>
      <c r="AT353" s="565" t="s">
        <v>165</v>
      </c>
      <c r="AU353" s="565" t="s">
        <v>165</v>
      </c>
      <c r="AV353" s="211"/>
      <c r="AW353" s="244"/>
      <c r="AX353" s="244"/>
      <c r="AY353" s="244"/>
      <c r="AZ353" s="808">
        <f t="shared" si="238"/>
        <v>0</v>
      </c>
      <c r="BA353" s="761">
        <f t="shared" si="239"/>
        <v>0</v>
      </c>
      <c r="BB353" s="761">
        <f t="shared" si="240"/>
        <v>0</v>
      </c>
      <c r="BC353" s="262"/>
      <c r="BD353" s="824">
        <f t="shared" ref="BD353:BD355" si="258">AZ353</f>
        <v>0</v>
      </c>
      <c r="BE353" s="1231"/>
      <c r="BF353" s="363" t="s">
        <v>117</v>
      </c>
      <c r="BG353" s="98">
        <v>0</v>
      </c>
      <c r="BH353" s="262"/>
      <c r="BI353" s="242">
        <f t="shared" ref="BI353:BI355" si="259">BD353*BG353</f>
        <v>0</v>
      </c>
      <c r="BJ353" s="1232">
        <f t="shared" ref="BJ353:BJ355" si="260">BE353*BG353</f>
        <v>0</v>
      </c>
      <c r="BK353" s="1267" t="s">
        <v>118</v>
      </c>
      <c r="BL353" s="828" t="s">
        <v>152</v>
      </c>
      <c r="BM353" s="145">
        <v>0.05</v>
      </c>
      <c r="BN353" s="262"/>
      <c r="BO353" s="242">
        <f t="shared" si="251"/>
        <v>0</v>
      </c>
      <c r="BP353" s="1231">
        <f t="shared" si="254"/>
        <v>0</v>
      </c>
      <c r="BQ353" s="243"/>
      <c r="BR353" s="110"/>
      <c r="BS353" s="226"/>
      <c r="BT353" s="110"/>
      <c r="BU353" s="263"/>
      <c r="BV353" s="110"/>
      <c r="BW353" s="348"/>
      <c r="BX353" s="110"/>
      <c r="BY353" s="263"/>
      <c r="BZ353" s="110"/>
      <c r="CA353" s="263"/>
      <c r="CB353" s="110"/>
      <c r="CC353" s="263"/>
      <c r="CD353" s="110"/>
      <c r="CE353" s="226"/>
      <c r="CF353" s="110"/>
      <c r="CG353" s="263"/>
      <c r="CH353" s="110"/>
      <c r="CI353" s="226"/>
      <c r="CJ353" s="110"/>
      <c r="CK353" s="155">
        <v>1</v>
      </c>
      <c r="CL353" s="181" t="s">
        <v>1123</v>
      </c>
      <c r="CM353" s="181"/>
      <c r="CN353" s="207"/>
      <c r="CO353" s="207"/>
      <c r="CP353" s="155"/>
      <c r="CQ353" s="131"/>
      <c r="CR353" s="823" t="s">
        <v>2778</v>
      </c>
      <c r="CS353" s="820"/>
      <c r="CT353" s="820" t="b">
        <f t="shared" si="255"/>
        <v>0</v>
      </c>
      <c r="CU353" s="820" t="b">
        <f t="shared" si="256"/>
        <v>0</v>
      </c>
      <c r="CV353" s="779"/>
      <c r="CW353" s="779"/>
      <c r="CX353" s="779"/>
      <c r="CY353" s="729"/>
      <c r="CZ353" s="729"/>
      <c r="DA353" s="729"/>
      <c r="DB353" s="729"/>
      <c r="DC353" s="729"/>
      <c r="DD353" s="265"/>
      <c r="DE353" s="265"/>
      <c r="DF353" s="265"/>
      <c r="DG353" s="265"/>
      <c r="DH353" s="265"/>
      <c r="DI353" s="265"/>
      <c r="DJ353" s="265"/>
      <c r="DK353" s="265"/>
      <c r="DL353" s="265"/>
      <c r="DM353" s="265"/>
      <c r="DN353" s="265"/>
      <c r="DO353" s="265"/>
      <c r="DP353" s="265"/>
      <c r="DQ353" s="265"/>
      <c r="DR353" s="265"/>
      <c r="DS353" s="265"/>
      <c r="DT353" s="265"/>
    </row>
    <row r="354" spans="1:124" ht="39">
      <c r="A354" s="228"/>
      <c r="B354" s="331"/>
      <c r="C354" s="155">
        <f t="shared" si="257"/>
        <v>10</v>
      </c>
      <c r="D354" s="781"/>
      <c r="E354" s="781"/>
      <c r="F354" s="781"/>
      <c r="G354" s="830" t="s">
        <v>898</v>
      </c>
      <c r="H354" s="830" t="s">
        <v>2779</v>
      </c>
      <c r="I354" s="294" t="s">
        <v>2780</v>
      </c>
      <c r="J354" s="207" t="str">
        <f t="shared" si="250"/>
        <v>Elisa Sabatti</v>
      </c>
      <c r="K354" s="156">
        <v>3319148206</v>
      </c>
      <c r="L354" s="204" t="s">
        <v>2781</v>
      </c>
      <c r="M354" s="131" t="s">
        <v>514</v>
      </c>
      <c r="N354" s="131" t="str">
        <f t="shared" si="252"/>
        <v>PEDERSOLI DAVIDE</v>
      </c>
      <c r="O354" s="1297"/>
      <c r="P354" s="251"/>
      <c r="Q354" s="131"/>
      <c r="R354" s="252"/>
      <c r="S354" s="254"/>
      <c r="T354" s="346"/>
      <c r="U354" s="253"/>
      <c r="V354" s="253"/>
      <c r="W354" s="251"/>
      <c r="X354" s="131"/>
      <c r="Y354" s="251"/>
      <c r="Z354" s="251"/>
      <c r="AA354" s="251"/>
      <c r="AB354" s="255"/>
      <c r="AC354" s="256"/>
      <c r="AD354" s="121"/>
      <c r="AE354" s="80" t="str">
        <f t="shared" si="253"/>
        <v>CONFERMA ENTRO IL 1/10 dopo aver parlato con Titolare</v>
      </c>
      <c r="AF354" s="257"/>
      <c r="AG354" s="155"/>
      <c r="AH354" s="155"/>
      <c r="AI354" s="155"/>
      <c r="AJ354" s="257"/>
      <c r="AK354" s="155"/>
      <c r="AL354" s="155"/>
      <c r="AM354" s="155"/>
      <c r="AN354" s="257"/>
      <c r="AO354" s="258"/>
      <c r="AP354" s="258"/>
      <c r="AQ354" s="258"/>
      <c r="AR354" s="211"/>
      <c r="AS354" s="154" t="s">
        <v>165</v>
      </c>
      <c r="AT354" s="154" t="s">
        <v>165</v>
      </c>
      <c r="AU354" s="154" t="s">
        <v>165</v>
      </c>
      <c r="AV354" s="211"/>
      <c r="AW354" s="259"/>
      <c r="AX354" s="259"/>
      <c r="AY354" s="259"/>
      <c r="AZ354" s="808">
        <f t="shared" si="238"/>
        <v>0</v>
      </c>
      <c r="BA354" s="761">
        <f t="shared" si="239"/>
        <v>0</v>
      </c>
      <c r="BB354" s="761">
        <f t="shared" si="240"/>
        <v>0</v>
      </c>
      <c r="BC354" s="262"/>
      <c r="BD354" s="824">
        <f t="shared" si="258"/>
        <v>0</v>
      </c>
      <c r="BE354" s="1231"/>
      <c r="BF354" s="380" t="s">
        <v>117</v>
      </c>
      <c r="BG354" s="98">
        <v>0</v>
      </c>
      <c r="BH354" s="262"/>
      <c r="BI354" s="242">
        <f t="shared" si="259"/>
        <v>0</v>
      </c>
      <c r="BJ354" s="1232">
        <f t="shared" si="260"/>
        <v>0</v>
      </c>
      <c r="BK354" s="1267" t="s">
        <v>118</v>
      </c>
      <c r="BL354" s="825" t="s">
        <v>152</v>
      </c>
      <c r="BM354" s="145">
        <v>0.05</v>
      </c>
      <c r="BN354" s="262"/>
      <c r="BO354" s="242">
        <f t="shared" si="251"/>
        <v>0</v>
      </c>
      <c r="BP354" s="1231">
        <f t="shared" si="254"/>
        <v>0</v>
      </c>
      <c r="BQ354" s="243"/>
      <c r="BR354" s="110"/>
      <c r="BS354" s="226"/>
      <c r="BT354" s="110"/>
      <c r="BU354" s="263"/>
      <c r="BV354" s="110"/>
      <c r="BW354" s="348"/>
      <c r="BX354" s="110"/>
      <c r="BY354" s="263"/>
      <c r="BZ354" s="110"/>
      <c r="CA354" s="263"/>
      <c r="CB354" s="110"/>
      <c r="CC354" s="263"/>
      <c r="CD354" s="110"/>
      <c r="CE354" s="226"/>
      <c r="CF354" s="110"/>
      <c r="CG354" s="263"/>
      <c r="CH354" s="110"/>
      <c r="CI354" s="226"/>
      <c r="CJ354" s="110"/>
      <c r="CK354" s="155">
        <v>1</v>
      </c>
      <c r="CL354" s="181" t="s">
        <v>1123</v>
      </c>
      <c r="CM354" s="181"/>
      <c r="CN354" s="207"/>
      <c r="CO354" s="207"/>
      <c r="CP354" s="155"/>
      <c r="CQ354" s="131" t="s">
        <v>2783</v>
      </c>
      <c r="CR354" s="823" t="s">
        <v>2784</v>
      </c>
      <c r="CS354" s="820"/>
      <c r="CT354" s="820" t="b">
        <f t="shared" si="255"/>
        <v>0</v>
      </c>
      <c r="CU354" s="820" t="b">
        <f t="shared" si="256"/>
        <v>0</v>
      </c>
      <c r="CV354" s="779"/>
      <c r="CW354" s="779"/>
      <c r="CX354" s="779"/>
      <c r="CY354" s="729"/>
      <c r="CZ354" s="729"/>
      <c r="DA354" s="729"/>
      <c r="DB354" s="729"/>
      <c r="DC354" s="729"/>
      <c r="DD354" s="265"/>
      <c r="DE354" s="265"/>
      <c r="DF354" s="265"/>
      <c r="DG354" s="265"/>
      <c r="DH354" s="265"/>
      <c r="DI354" s="265"/>
      <c r="DJ354" s="265"/>
      <c r="DK354" s="265"/>
      <c r="DL354" s="265"/>
      <c r="DM354" s="265"/>
      <c r="DN354" s="265"/>
      <c r="DO354" s="265"/>
      <c r="DP354" s="265"/>
      <c r="DQ354" s="265"/>
      <c r="DR354" s="265"/>
      <c r="DS354" s="265"/>
      <c r="DT354" s="265"/>
    </row>
    <row r="355" spans="1:124" ht="39">
      <c r="A355" s="228"/>
      <c r="B355" s="1314"/>
      <c r="C355" s="155">
        <f t="shared" si="257"/>
        <v>11</v>
      </c>
      <c r="D355" s="781"/>
      <c r="E355" s="781"/>
      <c r="F355" s="781"/>
      <c r="G355" s="830" t="s">
        <v>1738</v>
      </c>
      <c r="H355" s="830" t="s">
        <v>2785</v>
      </c>
      <c r="I355" s="294" t="s">
        <v>2786</v>
      </c>
      <c r="J355" s="207" t="str">
        <f t="shared" si="250"/>
        <v>Emanuela De Simone</v>
      </c>
      <c r="K355" s="156">
        <v>3206667911</v>
      </c>
      <c r="L355" s="204" t="s">
        <v>2781</v>
      </c>
      <c r="M355" s="131" t="s">
        <v>514</v>
      </c>
      <c r="N355" s="131" t="str">
        <f t="shared" si="252"/>
        <v>PEDERSOLI DAVIDE</v>
      </c>
      <c r="O355" s="1297"/>
      <c r="P355" s="251"/>
      <c r="Q355" s="131"/>
      <c r="R355" s="252"/>
      <c r="S355" s="254"/>
      <c r="T355" s="346"/>
      <c r="U355" s="253"/>
      <c r="V355" s="253"/>
      <c r="W355" s="251"/>
      <c r="X355" s="131"/>
      <c r="Y355" s="251"/>
      <c r="Z355" s="251"/>
      <c r="AA355" s="251"/>
      <c r="AB355" s="255"/>
      <c r="AC355" s="256"/>
      <c r="AD355" s="121"/>
      <c r="AE355" s="80" t="str">
        <f t="shared" si="253"/>
        <v>CONFERMA ENTRO IL 1/10 dopo aver parlato con Titolare</v>
      </c>
      <c r="AF355" s="257"/>
      <c r="AG355" s="155"/>
      <c r="AH355" s="155"/>
      <c r="AI355" s="155"/>
      <c r="AJ355" s="257"/>
      <c r="AK355" s="155"/>
      <c r="AL355" s="155"/>
      <c r="AM355" s="155"/>
      <c r="AN355" s="257"/>
      <c r="AO355" s="258"/>
      <c r="AP355" s="258"/>
      <c r="AQ355" s="258"/>
      <c r="AR355" s="211"/>
      <c r="AS355" s="154" t="s">
        <v>165</v>
      </c>
      <c r="AT355" s="154" t="s">
        <v>165</v>
      </c>
      <c r="AU355" s="154" t="s">
        <v>165</v>
      </c>
      <c r="AV355" s="211"/>
      <c r="AW355" s="259"/>
      <c r="AX355" s="259"/>
      <c r="AY355" s="259"/>
      <c r="AZ355" s="808">
        <f t="shared" si="238"/>
        <v>0</v>
      </c>
      <c r="BA355" s="761">
        <f t="shared" si="239"/>
        <v>0</v>
      </c>
      <c r="BB355" s="761">
        <f t="shared" si="240"/>
        <v>0</v>
      </c>
      <c r="BC355" s="262"/>
      <c r="BD355" s="824">
        <f t="shared" si="258"/>
        <v>0</v>
      </c>
      <c r="BE355" s="1231"/>
      <c r="BF355" s="380" t="s">
        <v>117</v>
      </c>
      <c r="BG355" s="98">
        <v>0</v>
      </c>
      <c r="BH355" s="262"/>
      <c r="BI355" s="242">
        <f t="shared" si="259"/>
        <v>0</v>
      </c>
      <c r="BJ355" s="1232">
        <f t="shared" si="260"/>
        <v>0</v>
      </c>
      <c r="BK355" s="1267" t="s">
        <v>118</v>
      </c>
      <c r="BL355" s="825" t="s">
        <v>152</v>
      </c>
      <c r="BM355" s="145">
        <v>0.05</v>
      </c>
      <c r="BN355" s="262"/>
      <c r="BO355" s="242">
        <f t="shared" si="251"/>
        <v>0</v>
      </c>
      <c r="BP355" s="1231">
        <f t="shared" si="254"/>
        <v>0</v>
      </c>
      <c r="BQ355" s="243"/>
      <c r="BR355" s="110"/>
      <c r="BS355" s="226"/>
      <c r="BT355" s="110"/>
      <c r="BU355" s="263"/>
      <c r="BV355" s="110"/>
      <c r="BW355" s="348"/>
      <c r="BX355" s="110"/>
      <c r="BY355" s="263"/>
      <c r="BZ355" s="110"/>
      <c r="CA355" s="263"/>
      <c r="CB355" s="110"/>
      <c r="CC355" s="263"/>
      <c r="CD355" s="110"/>
      <c r="CE355" s="226"/>
      <c r="CF355" s="110"/>
      <c r="CG355" s="263"/>
      <c r="CH355" s="110"/>
      <c r="CI355" s="226"/>
      <c r="CJ355" s="110"/>
      <c r="CK355" s="155">
        <v>1</v>
      </c>
      <c r="CL355" s="181" t="s">
        <v>1123</v>
      </c>
      <c r="CM355" s="131" t="s">
        <v>2783</v>
      </c>
      <c r="CN355" s="207"/>
      <c r="CO355" s="207"/>
      <c r="CP355" s="155"/>
      <c r="CQ355" s="131" t="s">
        <v>2783</v>
      </c>
      <c r="CR355" s="823" t="s">
        <v>2784</v>
      </c>
      <c r="CS355" s="820"/>
      <c r="CT355" s="820" t="b">
        <f t="shared" si="255"/>
        <v>0</v>
      </c>
      <c r="CU355" s="820" t="b">
        <f t="shared" si="256"/>
        <v>0</v>
      </c>
      <c r="CV355" s="779"/>
      <c r="CW355" s="779"/>
      <c r="CX355" s="779"/>
      <c r="CY355" s="729"/>
      <c r="CZ355" s="729"/>
      <c r="DA355" s="729"/>
      <c r="DB355" s="729"/>
      <c r="DC355" s="729"/>
      <c r="DD355" s="265"/>
      <c r="DE355" s="265"/>
      <c r="DF355" s="265"/>
      <c r="DG355" s="265"/>
      <c r="DH355" s="265"/>
      <c r="DI355" s="265"/>
      <c r="DJ355" s="265"/>
      <c r="DK355" s="265"/>
      <c r="DL355" s="265"/>
      <c r="DM355" s="265"/>
      <c r="DN355" s="265"/>
      <c r="DO355" s="265"/>
      <c r="DP355" s="265"/>
      <c r="DQ355" s="265"/>
      <c r="DR355" s="265"/>
      <c r="DS355" s="265"/>
      <c r="DT355" s="265"/>
    </row>
    <row r="356" spans="1:124" ht="30" customHeight="1">
      <c r="A356" s="228"/>
      <c r="B356" s="1237"/>
      <c r="C356" s="155">
        <f t="shared" si="257"/>
        <v>12</v>
      </c>
      <c r="D356" s="781"/>
      <c r="E356" s="781"/>
      <c r="F356" s="781"/>
      <c r="G356" s="830" t="s">
        <v>2788</v>
      </c>
      <c r="H356" s="830" t="s">
        <v>2789</v>
      </c>
      <c r="I356" s="294" t="s">
        <v>2790</v>
      </c>
      <c r="J356" s="207" t="str">
        <f t="shared" si="250"/>
        <v>Eros Mugnaini</v>
      </c>
      <c r="K356" s="156" t="s">
        <v>2791</v>
      </c>
      <c r="L356" s="204" t="s">
        <v>2792</v>
      </c>
      <c r="M356" s="131"/>
      <c r="N356" s="131" t="str">
        <f t="shared" si="252"/>
        <v>Tentamus Agriparadigma</v>
      </c>
      <c r="O356" s="1297"/>
      <c r="P356" s="251"/>
      <c r="Q356" s="131"/>
      <c r="R356" s="252"/>
      <c r="S356" s="254"/>
      <c r="T356" s="346"/>
      <c r="U356" s="253"/>
      <c r="V356" s="253"/>
      <c r="W356" s="251"/>
      <c r="X356" s="131"/>
      <c r="Y356" s="251"/>
      <c r="Z356" s="251"/>
      <c r="AA356" s="251"/>
      <c r="AB356" s="255"/>
      <c r="AC356" s="256"/>
      <c r="AD356" s="121"/>
      <c r="AE356" s="80" t="str">
        <f t="shared" si="253"/>
        <v xml:space="preserve">Interessati percorso in azienda, tenete in sospeso gli 8 Master </v>
      </c>
      <c r="AF356" s="257"/>
      <c r="AG356" s="155"/>
      <c r="AH356" s="155"/>
      <c r="AI356" s="155"/>
      <c r="AJ356" s="257"/>
      <c r="AK356" s="155"/>
      <c r="AL356" s="155"/>
      <c r="AM356" s="155"/>
      <c r="AN356" s="257"/>
      <c r="AO356" s="258"/>
      <c r="AP356" s="258"/>
      <c r="AQ356" s="258"/>
      <c r="AR356" s="211"/>
      <c r="AS356" s="154" t="s">
        <v>165</v>
      </c>
      <c r="AT356" s="154" t="s">
        <v>165</v>
      </c>
      <c r="AU356" s="154" t="s">
        <v>165</v>
      </c>
      <c r="AV356" s="211"/>
      <c r="AW356" s="259"/>
      <c r="AX356" s="259"/>
      <c r="AY356" s="259"/>
      <c r="AZ356" s="760">
        <f t="shared" si="238"/>
        <v>0</v>
      </c>
      <c r="BA356" s="761">
        <f t="shared" si="239"/>
        <v>0</v>
      </c>
      <c r="BB356" s="761">
        <f t="shared" si="240"/>
        <v>0</v>
      </c>
      <c r="BC356" s="262"/>
      <c r="BD356" s="242"/>
      <c r="BE356" s="1231"/>
      <c r="BF356" s="383" t="s">
        <v>407</v>
      </c>
      <c r="BG356" s="145">
        <v>0.15</v>
      </c>
      <c r="BH356" s="262"/>
      <c r="BI356" s="242"/>
      <c r="BJ356" s="1231"/>
      <c r="BK356" s="772"/>
      <c r="BL356" s="289" t="s">
        <v>407</v>
      </c>
      <c r="BM356" s="145">
        <v>0.05</v>
      </c>
      <c r="BN356" s="262"/>
      <c r="BO356" s="242">
        <f t="shared" si="251"/>
        <v>0</v>
      </c>
      <c r="BP356" s="1231">
        <f t="shared" si="254"/>
        <v>0</v>
      </c>
      <c r="BQ356" s="243"/>
      <c r="BR356" s="110"/>
      <c r="BS356" s="226"/>
      <c r="BT356" s="110"/>
      <c r="BU356" s="263"/>
      <c r="BV356" s="110"/>
      <c r="BW356" s="348"/>
      <c r="BX356" s="110"/>
      <c r="BY356" s="263"/>
      <c r="BZ356" s="110"/>
      <c r="CA356" s="263"/>
      <c r="CB356" s="110"/>
      <c r="CC356" s="263"/>
      <c r="CD356" s="110"/>
      <c r="CE356" s="226"/>
      <c r="CF356" s="110"/>
      <c r="CG356" s="263"/>
      <c r="CH356" s="110"/>
      <c r="CI356" s="226"/>
      <c r="CJ356" s="110"/>
      <c r="CK356" s="155"/>
      <c r="CL356" s="181"/>
      <c r="CM356" s="181"/>
      <c r="CN356" s="207"/>
      <c r="CO356" s="207"/>
      <c r="CP356" s="155"/>
      <c r="CQ356" s="131"/>
      <c r="CR356" s="823" t="s">
        <v>2794</v>
      </c>
      <c r="CS356" s="820"/>
      <c r="CT356" s="820" t="b">
        <f t="shared" si="255"/>
        <v>0</v>
      </c>
      <c r="CU356" s="820" t="b">
        <f t="shared" si="256"/>
        <v>0</v>
      </c>
      <c r="CV356" s="779"/>
      <c r="CW356" s="779"/>
      <c r="CX356" s="779"/>
      <c r="CY356" s="729"/>
      <c r="CZ356" s="729"/>
      <c r="DA356" s="729"/>
      <c r="DB356" s="729"/>
      <c r="DC356" s="729"/>
      <c r="DD356" s="265"/>
      <c r="DE356" s="265"/>
      <c r="DF356" s="265"/>
      <c r="DG356" s="265"/>
      <c r="DH356" s="265"/>
      <c r="DI356" s="265"/>
      <c r="DJ356" s="265"/>
      <c r="DK356" s="265"/>
      <c r="DL356" s="265"/>
      <c r="DM356" s="265"/>
      <c r="DN356" s="265"/>
      <c r="DO356" s="265"/>
      <c r="DP356" s="265"/>
      <c r="DQ356" s="265"/>
      <c r="DR356" s="265"/>
      <c r="DS356" s="265"/>
      <c r="DT356" s="265"/>
    </row>
    <row r="357" spans="1:124" ht="30" customHeight="1">
      <c r="A357" s="228"/>
      <c r="B357" s="331"/>
      <c r="C357" s="155">
        <f t="shared" si="257"/>
        <v>13</v>
      </c>
      <c r="D357" s="781"/>
      <c r="E357" s="781"/>
      <c r="F357" s="781"/>
      <c r="G357" s="830" t="s">
        <v>471</v>
      </c>
      <c r="H357" s="830" t="s">
        <v>2795</v>
      </c>
      <c r="I357" s="207" t="s">
        <v>2796</v>
      </c>
      <c r="J357" s="207" t="str">
        <f t="shared" si="250"/>
        <v>Federico Scazzosi</v>
      </c>
      <c r="K357" s="156">
        <v>3669327860</v>
      </c>
      <c r="L357" s="131"/>
      <c r="M357" s="131" t="s">
        <v>1177</v>
      </c>
      <c r="N357" s="131" t="str">
        <f t="shared" si="252"/>
        <v>Scazzosi Federico</v>
      </c>
      <c r="O357" s="1297"/>
      <c r="P357" s="251"/>
      <c r="Q357" s="131"/>
      <c r="R357" s="252"/>
      <c r="S357" s="254"/>
      <c r="T357" s="346"/>
      <c r="U357" s="253"/>
      <c r="V357" s="253"/>
      <c r="W357" s="251"/>
      <c r="X357" s="131"/>
      <c r="Y357" s="251"/>
      <c r="Z357" s="251"/>
      <c r="AA357" s="251"/>
      <c r="AB357" s="255"/>
      <c r="AC357" s="256"/>
      <c r="AD357" s="121"/>
      <c r="AE357" s="80">
        <f t="shared" si="253"/>
        <v>0</v>
      </c>
      <c r="AF357" s="257"/>
      <c r="AG357" s="155"/>
      <c r="AH357" s="155"/>
      <c r="AI357" s="155"/>
      <c r="AJ357" s="257"/>
      <c r="AK357" s="155"/>
      <c r="AL357" s="155"/>
      <c r="AM357" s="155"/>
      <c r="AN357" s="257"/>
      <c r="AO357" s="258"/>
      <c r="AP357" s="258"/>
      <c r="AQ357" s="258"/>
      <c r="AR357" s="211"/>
      <c r="AS357" s="154" t="s">
        <v>165</v>
      </c>
      <c r="AT357" s="154" t="s">
        <v>165</v>
      </c>
      <c r="AU357" s="154" t="s">
        <v>165</v>
      </c>
      <c r="AV357" s="211"/>
      <c r="AW357" s="259"/>
      <c r="AX357" s="259"/>
      <c r="AY357" s="259"/>
      <c r="AZ357" s="808">
        <f t="shared" si="238"/>
        <v>0</v>
      </c>
      <c r="BA357" s="761">
        <f t="shared" si="239"/>
        <v>0</v>
      </c>
      <c r="BB357" s="761">
        <f t="shared" si="240"/>
        <v>0</v>
      </c>
      <c r="BC357" s="262"/>
      <c r="BD357" s="242"/>
      <c r="BE357" s="1231"/>
      <c r="BF357" s="380" t="s">
        <v>414</v>
      </c>
      <c r="BG357" s="145">
        <v>0.15</v>
      </c>
      <c r="BH357" s="110"/>
      <c r="BI357" s="242"/>
      <c r="BJ357" s="1231"/>
      <c r="BK357" s="243"/>
      <c r="BL357" s="825" t="s">
        <v>414</v>
      </c>
      <c r="BM357" s="145">
        <v>0.05</v>
      </c>
      <c r="BN357" s="110"/>
      <c r="BO357" s="242">
        <f t="shared" si="251"/>
        <v>0</v>
      </c>
      <c r="BP357" s="1231">
        <f t="shared" si="254"/>
        <v>0</v>
      </c>
      <c r="BQ357" s="243"/>
      <c r="BR357" s="110">
        <v>0</v>
      </c>
      <c r="BS357" s="226"/>
      <c r="BT357" s="110"/>
      <c r="BU357" s="263"/>
      <c r="BV357" s="110"/>
      <c r="BW357" s="348"/>
      <c r="BX357" s="110"/>
      <c r="BY357" s="263"/>
      <c r="BZ357" s="110"/>
      <c r="CA357" s="263"/>
      <c r="CB357" s="110"/>
      <c r="CC357" s="263"/>
      <c r="CD357" s="110"/>
      <c r="CE357" s="226"/>
      <c r="CF357" s="110"/>
      <c r="CG357" s="263"/>
      <c r="CH357" s="110"/>
      <c r="CI357" s="226"/>
      <c r="CJ357" s="110"/>
      <c r="CK357" s="155">
        <v>1</v>
      </c>
      <c r="CL357" s="181" t="s">
        <v>1123</v>
      </c>
      <c r="CM357" s="181"/>
      <c r="CN357" s="207"/>
      <c r="CO357" s="207"/>
      <c r="CP357" s="155"/>
      <c r="CQ357" s="131"/>
      <c r="CR357" s="823" t="s">
        <v>2797</v>
      </c>
      <c r="CS357" s="820"/>
      <c r="CT357" s="820" t="b">
        <f t="shared" si="255"/>
        <v>0</v>
      </c>
      <c r="CU357" s="820" t="b">
        <f t="shared" si="256"/>
        <v>0</v>
      </c>
      <c r="CV357" s="779"/>
      <c r="CW357" s="779"/>
      <c r="CX357" s="779"/>
      <c r="CY357" s="729"/>
      <c r="CZ357" s="729"/>
      <c r="DA357" s="729"/>
      <c r="DB357" s="729"/>
      <c r="DC357" s="729"/>
      <c r="DD357" s="265"/>
      <c r="DE357" s="265"/>
      <c r="DF357" s="265"/>
      <c r="DG357" s="265"/>
      <c r="DH357" s="265"/>
      <c r="DI357" s="265"/>
      <c r="DJ357" s="265"/>
      <c r="DK357" s="265"/>
      <c r="DL357" s="265"/>
      <c r="DM357" s="265"/>
      <c r="DN357" s="265"/>
      <c r="DO357" s="265"/>
      <c r="DP357" s="265"/>
      <c r="DQ357" s="265"/>
      <c r="DR357" s="265"/>
      <c r="DS357" s="265"/>
      <c r="DT357" s="265"/>
    </row>
    <row r="358" spans="1:124" ht="30" customHeight="1">
      <c r="A358" s="228"/>
      <c r="B358" s="1237"/>
      <c r="C358" s="155">
        <f t="shared" si="257"/>
        <v>14</v>
      </c>
      <c r="D358" s="781"/>
      <c r="E358" s="781"/>
      <c r="F358" s="781"/>
      <c r="G358" s="830" t="s">
        <v>488</v>
      </c>
      <c r="H358" s="830" t="s">
        <v>2798</v>
      </c>
      <c r="I358" s="207" t="s">
        <v>2799</v>
      </c>
      <c r="J358" s="207" t="str">
        <f t="shared" si="250"/>
        <v>Francesca Balocco</v>
      </c>
      <c r="K358" s="156" t="s">
        <v>2800</v>
      </c>
      <c r="L358" s="204" t="s">
        <v>2792</v>
      </c>
      <c r="M358" s="131"/>
      <c r="N358" s="131" t="str">
        <f t="shared" si="252"/>
        <v>Laemme Group</v>
      </c>
      <c r="O358" s="1297"/>
      <c r="P358" s="251"/>
      <c r="Q358" s="131"/>
      <c r="R358" s="252"/>
      <c r="S358" s="254"/>
      <c r="T358" s="346"/>
      <c r="U358" s="253"/>
      <c r="V358" s="253"/>
      <c r="W358" s="251"/>
      <c r="X358" s="131"/>
      <c r="Y358" s="251"/>
      <c r="Z358" s="251"/>
      <c r="AA358" s="251"/>
      <c r="AB358" s="255"/>
      <c r="AC358" s="256"/>
      <c r="AD358" s="121"/>
      <c r="AE358" s="80" t="str">
        <f t="shared" si="253"/>
        <v xml:space="preserve">Interessati percorso in azienda, tenete in sospeso gli 8 Master </v>
      </c>
      <c r="AF358" s="257"/>
      <c r="AG358" s="155"/>
      <c r="AH358" s="155"/>
      <c r="AI358" s="155"/>
      <c r="AJ358" s="257"/>
      <c r="AK358" s="155"/>
      <c r="AL358" s="155"/>
      <c r="AM358" s="155"/>
      <c r="AN358" s="257"/>
      <c r="AO358" s="258"/>
      <c r="AP358" s="258"/>
      <c r="AQ358" s="258"/>
      <c r="AR358" s="211"/>
      <c r="AS358" s="154" t="s">
        <v>165</v>
      </c>
      <c r="AT358" s="154" t="s">
        <v>165</v>
      </c>
      <c r="AU358" s="154" t="s">
        <v>165</v>
      </c>
      <c r="AV358" s="211"/>
      <c r="AW358" s="259"/>
      <c r="AX358" s="259"/>
      <c r="AY358" s="259"/>
      <c r="AZ358" s="760">
        <f t="shared" si="238"/>
        <v>0</v>
      </c>
      <c r="BA358" s="761">
        <f t="shared" si="239"/>
        <v>0</v>
      </c>
      <c r="BB358" s="761">
        <f t="shared" si="240"/>
        <v>0</v>
      </c>
      <c r="BC358" s="262"/>
      <c r="BD358" s="242"/>
      <c r="BE358" s="1231"/>
      <c r="BF358" s="383" t="s">
        <v>407</v>
      </c>
      <c r="BG358" s="145">
        <v>0.15</v>
      </c>
      <c r="BH358" s="262"/>
      <c r="BI358" s="242"/>
      <c r="BJ358" s="1231"/>
      <c r="BK358" s="772"/>
      <c r="BL358" s="289" t="s">
        <v>407</v>
      </c>
      <c r="BM358" s="145">
        <v>0.05</v>
      </c>
      <c r="BN358" s="262"/>
      <c r="BO358" s="242">
        <f t="shared" si="251"/>
        <v>0</v>
      </c>
      <c r="BP358" s="1231">
        <f t="shared" si="254"/>
        <v>0</v>
      </c>
      <c r="BQ358" s="243"/>
      <c r="BR358" s="110"/>
      <c r="BS358" s="226"/>
      <c r="BT358" s="110"/>
      <c r="BU358" s="263"/>
      <c r="BV358" s="110"/>
      <c r="BW358" s="348"/>
      <c r="BX358" s="110"/>
      <c r="BY358" s="263"/>
      <c r="BZ358" s="110"/>
      <c r="CA358" s="263"/>
      <c r="CB358" s="110"/>
      <c r="CC358" s="263"/>
      <c r="CD358" s="110"/>
      <c r="CE358" s="226"/>
      <c r="CF358" s="110"/>
      <c r="CG358" s="263"/>
      <c r="CH358" s="110"/>
      <c r="CI358" s="226"/>
      <c r="CJ358" s="110"/>
      <c r="CK358" s="155"/>
      <c r="CL358" s="181"/>
      <c r="CM358" s="181"/>
      <c r="CN358" s="207"/>
      <c r="CO358" s="207"/>
      <c r="CP358" s="155"/>
      <c r="CQ358" s="131"/>
      <c r="CR358" s="823" t="s">
        <v>2803</v>
      </c>
      <c r="CS358" s="820"/>
      <c r="CT358" s="820" t="b">
        <f t="shared" si="255"/>
        <v>0</v>
      </c>
      <c r="CU358" s="820" t="b">
        <f t="shared" si="256"/>
        <v>0</v>
      </c>
      <c r="CV358" s="779"/>
      <c r="CW358" s="779"/>
      <c r="CX358" s="779"/>
      <c r="CY358" s="729"/>
      <c r="CZ358" s="729"/>
      <c r="DA358" s="729"/>
      <c r="DB358" s="729"/>
      <c r="DC358" s="729"/>
      <c r="DD358" s="265"/>
      <c r="DE358" s="265"/>
      <c r="DF358" s="265"/>
      <c r="DG358" s="265"/>
      <c r="DH358" s="265"/>
      <c r="DI358" s="265"/>
      <c r="DJ358" s="265"/>
      <c r="DK358" s="265"/>
      <c r="DL358" s="265"/>
      <c r="DM358" s="265"/>
      <c r="DN358" s="265"/>
      <c r="DO358" s="265"/>
      <c r="DP358" s="265"/>
      <c r="DQ358" s="265"/>
      <c r="DR358" s="265"/>
      <c r="DS358" s="265"/>
      <c r="DT358" s="265"/>
    </row>
    <row r="359" spans="1:124" ht="30" customHeight="1">
      <c r="A359" s="228"/>
      <c r="B359" s="331"/>
      <c r="C359" s="155">
        <f t="shared" si="257"/>
        <v>15</v>
      </c>
      <c r="D359" s="781"/>
      <c r="E359" s="781"/>
      <c r="F359" s="781"/>
      <c r="G359" s="830" t="s">
        <v>511</v>
      </c>
      <c r="H359" s="830" t="s">
        <v>2804</v>
      </c>
      <c r="I359" s="207"/>
      <c r="J359" s="207" t="str">
        <f t="shared" si="250"/>
        <v>Gabriele Baretta</v>
      </c>
      <c r="K359" s="156"/>
      <c r="L359" s="131"/>
      <c r="M359" s="131"/>
      <c r="N359" s="131" t="str">
        <f t="shared" si="252"/>
        <v>NT Majocchi</v>
      </c>
      <c r="O359" s="1297"/>
      <c r="P359" s="251"/>
      <c r="Q359" s="131"/>
      <c r="R359" s="252"/>
      <c r="S359" s="254"/>
      <c r="T359" s="346"/>
      <c r="U359" s="253"/>
      <c r="V359" s="253"/>
      <c r="W359" s="251"/>
      <c r="X359" s="131"/>
      <c r="Y359" s="251"/>
      <c r="Z359" s="251"/>
      <c r="AA359" s="251"/>
      <c r="AB359" s="255"/>
      <c r="AC359" s="256"/>
      <c r="AD359" s="121"/>
      <c r="AE359" s="80">
        <f t="shared" si="253"/>
        <v>0</v>
      </c>
      <c r="AF359" s="257"/>
      <c r="AG359" s="155"/>
      <c r="AH359" s="155"/>
      <c r="AI359" s="155"/>
      <c r="AJ359" s="257"/>
      <c r="AK359" s="155"/>
      <c r="AL359" s="155"/>
      <c r="AM359" s="155"/>
      <c r="AN359" s="257"/>
      <c r="AO359" s="258"/>
      <c r="AP359" s="258"/>
      <c r="AQ359" s="258"/>
      <c r="AR359" s="211"/>
      <c r="AS359" s="565" t="s">
        <v>165</v>
      </c>
      <c r="AT359" s="565" t="s">
        <v>165</v>
      </c>
      <c r="AU359" s="565" t="s">
        <v>165</v>
      </c>
      <c r="AV359" s="211"/>
      <c r="AW359" s="259"/>
      <c r="AX359" s="259"/>
      <c r="AY359" s="259"/>
      <c r="AZ359" s="808">
        <f t="shared" si="238"/>
        <v>0</v>
      </c>
      <c r="BA359" s="761">
        <f t="shared" si="239"/>
        <v>0</v>
      </c>
      <c r="BB359" s="761">
        <f t="shared" si="240"/>
        <v>0</v>
      </c>
      <c r="BC359" s="262"/>
      <c r="BD359" s="824">
        <f t="shared" ref="BD359:BD360" si="261">AZ359</f>
        <v>0</v>
      </c>
      <c r="BE359" s="1231"/>
      <c r="BF359" s="363" t="s">
        <v>117</v>
      </c>
      <c r="BG359" s="98">
        <v>0</v>
      </c>
      <c r="BH359" s="262"/>
      <c r="BI359" s="242">
        <f t="shared" ref="BI359:BI360" si="262">BD359*BG359</f>
        <v>0</v>
      </c>
      <c r="BJ359" s="1232">
        <f t="shared" ref="BJ359:BJ360" si="263">BE359*BG359</f>
        <v>0</v>
      </c>
      <c r="BK359" s="1267" t="s">
        <v>118</v>
      </c>
      <c r="BL359" s="828" t="s">
        <v>152</v>
      </c>
      <c r="BM359" s="145">
        <v>0.05</v>
      </c>
      <c r="BN359" s="262"/>
      <c r="BO359" s="242">
        <f t="shared" si="251"/>
        <v>0</v>
      </c>
      <c r="BP359" s="1231">
        <f t="shared" si="254"/>
        <v>0</v>
      </c>
      <c r="BQ359" s="243"/>
      <c r="BR359" s="110"/>
      <c r="BS359" s="226"/>
      <c r="BT359" s="110"/>
      <c r="BU359" s="263"/>
      <c r="BV359" s="110"/>
      <c r="BW359" s="348"/>
      <c r="BX359" s="110"/>
      <c r="BY359" s="263"/>
      <c r="BZ359" s="110"/>
      <c r="CA359" s="263"/>
      <c r="CB359" s="110"/>
      <c r="CC359" s="263"/>
      <c r="CD359" s="110"/>
      <c r="CE359" s="226"/>
      <c r="CF359" s="110"/>
      <c r="CG359" s="263"/>
      <c r="CH359" s="110"/>
      <c r="CI359" s="226"/>
      <c r="CJ359" s="110"/>
      <c r="CK359" s="155">
        <v>1</v>
      </c>
      <c r="CL359" s="181" t="s">
        <v>1123</v>
      </c>
      <c r="CM359" s="181"/>
      <c r="CN359" s="207"/>
      <c r="CO359" s="207"/>
      <c r="CP359" s="155"/>
      <c r="CQ359" s="131"/>
      <c r="CR359" s="823" t="s">
        <v>2778</v>
      </c>
      <c r="CS359" s="820"/>
      <c r="CT359" s="820" t="b">
        <f t="shared" si="255"/>
        <v>0</v>
      </c>
      <c r="CU359" s="820" t="b">
        <f t="shared" si="256"/>
        <v>0</v>
      </c>
      <c r="CV359" s="779"/>
      <c r="CW359" s="779"/>
      <c r="CX359" s="779"/>
      <c r="CY359" s="729"/>
      <c r="CZ359" s="729"/>
      <c r="DA359" s="729"/>
      <c r="DB359" s="729"/>
      <c r="DC359" s="729"/>
      <c r="DD359" s="265"/>
      <c r="DE359" s="265"/>
      <c r="DF359" s="265"/>
      <c r="DG359" s="265"/>
      <c r="DH359" s="265"/>
      <c r="DI359" s="265"/>
      <c r="DJ359" s="265"/>
      <c r="DK359" s="265"/>
      <c r="DL359" s="265"/>
      <c r="DM359" s="265"/>
      <c r="DN359" s="265"/>
      <c r="DO359" s="265"/>
      <c r="DP359" s="265"/>
      <c r="DQ359" s="265"/>
      <c r="DR359" s="265"/>
      <c r="DS359" s="265"/>
      <c r="DT359" s="265"/>
    </row>
    <row r="360" spans="1:124" ht="30" customHeight="1">
      <c r="A360" s="228"/>
      <c r="B360" s="331"/>
      <c r="C360" s="155">
        <f t="shared" si="257"/>
        <v>16</v>
      </c>
      <c r="D360" s="781"/>
      <c r="E360" s="781"/>
      <c r="F360" s="781"/>
      <c r="G360" s="830" t="s">
        <v>2805</v>
      </c>
      <c r="H360" s="830" t="s">
        <v>2806</v>
      </c>
      <c r="I360" s="207" t="s">
        <v>2807</v>
      </c>
      <c r="J360" s="207" t="str">
        <f t="shared" si="250"/>
        <v>Giorgia Galbiati</v>
      </c>
      <c r="K360" s="156" t="s">
        <v>2808</v>
      </c>
      <c r="L360" s="131"/>
      <c r="M360" s="131" t="s">
        <v>2809</v>
      </c>
      <c r="N360" s="131" t="str">
        <f t="shared" si="252"/>
        <v>NT Majocchi</v>
      </c>
      <c r="O360" s="1297"/>
      <c r="P360" s="251"/>
      <c r="Q360" s="131"/>
      <c r="R360" s="252"/>
      <c r="S360" s="254"/>
      <c r="T360" s="346"/>
      <c r="U360" s="253"/>
      <c r="V360" s="253"/>
      <c r="W360" s="251"/>
      <c r="X360" s="131"/>
      <c r="Y360" s="251"/>
      <c r="Z360" s="251"/>
      <c r="AA360" s="251"/>
      <c r="AB360" s="255"/>
      <c r="AC360" s="256"/>
      <c r="AD360" s="121"/>
      <c r="AE360" s="80">
        <f t="shared" si="253"/>
        <v>0</v>
      </c>
      <c r="AF360" s="257"/>
      <c r="AG360" s="155"/>
      <c r="AH360" s="155"/>
      <c r="AI360" s="155"/>
      <c r="AJ360" s="257"/>
      <c r="AK360" s="155"/>
      <c r="AL360" s="155"/>
      <c r="AM360" s="155"/>
      <c r="AN360" s="257"/>
      <c r="AO360" s="258"/>
      <c r="AP360" s="832"/>
      <c r="AQ360" s="258"/>
      <c r="AR360" s="211"/>
      <c r="AS360" s="565" t="s">
        <v>165</v>
      </c>
      <c r="AT360" s="565" t="s">
        <v>165</v>
      </c>
      <c r="AU360" s="565" t="s">
        <v>165</v>
      </c>
      <c r="AV360" s="211"/>
      <c r="AW360" s="259"/>
      <c r="AX360" s="259"/>
      <c r="AY360" s="259"/>
      <c r="AZ360" s="808">
        <f t="shared" si="238"/>
        <v>0</v>
      </c>
      <c r="BA360" s="761">
        <f t="shared" si="239"/>
        <v>0</v>
      </c>
      <c r="BB360" s="761">
        <f t="shared" si="240"/>
        <v>0</v>
      </c>
      <c r="BC360" s="262"/>
      <c r="BD360" s="824">
        <f t="shared" si="261"/>
        <v>0</v>
      </c>
      <c r="BE360" s="1231"/>
      <c r="BF360" s="363" t="s">
        <v>117</v>
      </c>
      <c r="BG360" s="98">
        <v>0</v>
      </c>
      <c r="BH360" s="262"/>
      <c r="BI360" s="242">
        <f t="shared" si="262"/>
        <v>0</v>
      </c>
      <c r="BJ360" s="1232">
        <f t="shared" si="263"/>
        <v>0</v>
      </c>
      <c r="BK360" s="1267" t="s">
        <v>118</v>
      </c>
      <c r="BL360" s="828" t="s">
        <v>152</v>
      </c>
      <c r="BM360" s="145">
        <v>0.05</v>
      </c>
      <c r="BN360" s="262"/>
      <c r="BO360" s="242">
        <f t="shared" si="251"/>
        <v>0</v>
      </c>
      <c r="BP360" s="1231">
        <f t="shared" si="254"/>
        <v>0</v>
      </c>
      <c r="BQ360" s="243"/>
      <c r="BR360" s="110"/>
      <c r="BS360" s="226"/>
      <c r="BT360" s="110"/>
      <c r="BU360" s="263"/>
      <c r="BV360" s="110"/>
      <c r="BW360" s="348"/>
      <c r="BX360" s="110"/>
      <c r="BY360" s="263"/>
      <c r="BZ360" s="110"/>
      <c r="CA360" s="263"/>
      <c r="CB360" s="110"/>
      <c r="CC360" s="263"/>
      <c r="CD360" s="110"/>
      <c r="CE360" s="226"/>
      <c r="CF360" s="110"/>
      <c r="CG360" s="263"/>
      <c r="CH360" s="110"/>
      <c r="CI360" s="226"/>
      <c r="CJ360" s="110"/>
      <c r="CK360" s="155">
        <v>1</v>
      </c>
      <c r="CL360" s="181" t="s">
        <v>1123</v>
      </c>
      <c r="CM360" s="181"/>
      <c r="CN360" s="207"/>
      <c r="CO360" s="207"/>
      <c r="CP360" s="155"/>
      <c r="CQ360" s="131"/>
      <c r="CR360" s="823" t="s">
        <v>2778</v>
      </c>
      <c r="CS360" s="820"/>
      <c r="CT360" s="820" t="b">
        <f t="shared" si="255"/>
        <v>0</v>
      </c>
      <c r="CU360" s="820" t="b">
        <f t="shared" si="256"/>
        <v>0</v>
      </c>
      <c r="CV360" s="779"/>
      <c r="CW360" s="779"/>
      <c r="CX360" s="779"/>
      <c r="CY360" s="729"/>
      <c r="CZ360" s="729"/>
      <c r="DA360" s="729"/>
      <c r="DB360" s="729"/>
      <c r="DC360" s="729"/>
      <c r="DD360" s="265"/>
      <c r="DE360" s="265"/>
      <c r="DF360" s="265"/>
      <c r="DG360" s="265"/>
      <c r="DH360" s="265"/>
      <c r="DI360" s="265"/>
      <c r="DJ360" s="265"/>
      <c r="DK360" s="265"/>
      <c r="DL360" s="265"/>
      <c r="DM360" s="265"/>
      <c r="DN360" s="265"/>
      <c r="DO360" s="265"/>
      <c r="DP360" s="265"/>
      <c r="DQ360" s="265"/>
      <c r="DR360" s="265"/>
      <c r="DS360" s="265"/>
      <c r="DT360" s="265"/>
    </row>
    <row r="361" spans="1:124" ht="30" customHeight="1">
      <c r="A361" s="228"/>
      <c r="B361" s="1237"/>
      <c r="C361" s="155">
        <f t="shared" si="257"/>
        <v>17</v>
      </c>
      <c r="D361" s="781"/>
      <c r="E361" s="781"/>
      <c r="F361" s="781"/>
      <c r="G361" s="830" t="s">
        <v>216</v>
      </c>
      <c r="H361" s="830" t="s">
        <v>1971</v>
      </c>
      <c r="I361" s="207" t="s">
        <v>2810</v>
      </c>
      <c r="J361" s="207" t="str">
        <f t="shared" si="250"/>
        <v>Giulia Medici</v>
      </c>
      <c r="K361" s="156" t="s">
        <v>2811</v>
      </c>
      <c r="L361" s="204" t="s">
        <v>2792</v>
      </c>
      <c r="M361" s="131"/>
      <c r="N361" s="131" t="str">
        <f t="shared" si="252"/>
        <v>MK</v>
      </c>
      <c r="O361" s="1297"/>
      <c r="P361" s="251"/>
      <c r="Q361" s="131"/>
      <c r="R361" s="252"/>
      <c r="S361" s="254"/>
      <c r="T361" s="346"/>
      <c r="U361" s="253"/>
      <c r="V361" s="253"/>
      <c r="W361" s="251"/>
      <c r="X361" s="131"/>
      <c r="Y361" s="251"/>
      <c r="Z361" s="251"/>
      <c r="AA361" s="251"/>
      <c r="AB361" s="255"/>
      <c r="AC361" s="256"/>
      <c r="AD361" s="121"/>
      <c r="AE361" s="80" t="str">
        <f t="shared" si="253"/>
        <v xml:space="preserve">Interessati percorso in azienda, tenete in sospeso gli 8 Master </v>
      </c>
      <c r="AF361" s="257"/>
      <c r="AG361" s="155"/>
      <c r="AH361" s="155"/>
      <c r="AI361" s="155"/>
      <c r="AJ361" s="257"/>
      <c r="AK361" s="155"/>
      <c r="AL361" s="155"/>
      <c r="AM361" s="155"/>
      <c r="AN361" s="257"/>
      <c r="AO361" s="258"/>
      <c r="AP361" s="258"/>
      <c r="AQ361" s="258"/>
      <c r="AR361" s="211"/>
      <c r="AS361" s="154" t="s">
        <v>165</v>
      </c>
      <c r="AT361" s="154" t="s">
        <v>165</v>
      </c>
      <c r="AU361" s="154" t="s">
        <v>165</v>
      </c>
      <c r="AV361" s="211"/>
      <c r="AW361" s="259"/>
      <c r="AX361" s="259"/>
      <c r="AY361" s="259"/>
      <c r="AZ361" s="760">
        <f t="shared" si="238"/>
        <v>0</v>
      </c>
      <c r="BA361" s="761">
        <f t="shared" si="239"/>
        <v>0</v>
      </c>
      <c r="BB361" s="761">
        <f t="shared" si="240"/>
        <v>0</v>
      </c>
      <c r="BC361" s="262"/>
      <c r="BD361" s="242"/>
      <c r="BE361" s="1231"/>
      <c r="BF361" s="363" t="s">
        <v>407</v>
      </c>
      <c r="BG361" s="145">
        <v>0.15</v>
      </c>
      <c r="BH361" s="262"/>
      <c r="BI361" s="242"/>
      <c r="BJ361" s="1231"/>
      <c r="BK361" s="772"/>
      <c r="BL361" s="828" t="s">
        <v>407</v>
      </c>
      <c r="BM361" s="145">
        <v>0.05</v>
      </c>
      <c r="BN361" s="262"/>
      <c r="BO361" s="242">
        <f t="shared" si="251"/>
        <v>0</v>
      </c>
      <c r="BP361" s="1231">
        <f t="shared" si="254"/>
        <v>0</v>
      </c>
      <c r="BQ361" s="243"/>
      <c r="BR361" s="110"/>
      <c r="BS361" s="226"/>
      <c r="BT361" s="110"/>
      <c r="BU361" s="263"/>
      <c r="BV361" s="110"/>
      <c r="BW361" s="348"/>
      <c r="BX361" s="110"/>
      <c r="BY361" s="263"/>
      <c r="BZ361" s="110"/>
      <c r="CA361" s="263"/>
      <c r="CB361" s="110"/>
      <c r="CC361" s="263"/>
      <c r="CD361" s="110"/>
      <c r="CE361" s="226"/>
      <c r="CF361" s="110"/>
      <c r="CG361" s="263"/>
      <c r="CH361" s="110"/>
      <c r="CI361" s="226"/>
      <c r="CJ361" s="110"/>
      <c r="CK361" s="155"/>
      <c r="CL361" s="181"/>
      <c r="CM361" s="181"/>
      <c r="CN361" s="207"/>
      <c r="CO361" s="207"/>
      <c r="CP361" s="155"/>
      <c r="CQ361" s="131"/>
      <c r="CR361" s="823" t="s">
        <v>2813</v>
      </c>
      <c r="CS361" s="820"/>
      <c r="CT361" s="820" t="b">
        <f t="shared" si="255"/>
        <v>0</v>
      </c>
      <c r="CU361" s="820" t="b">
        <f t="shared" si="256"/>
        <v>0</v>
      </c>
      <c r="CV361" s="779"/>
      <c r="CW361" s="779"/>
      <c r="CX361" s="779"/>
      <c r="CY361" s="729"/>
      <c r="CZ361" s="729"/>
      <c r="DA361" s="729"/>
      <c r="DB361" s="729"/>
      <c r="DC361" s="729"/>
      <c r="DD361" s="265"/>
      <c r="DE361" s="265"/>
      <c r="DF361" s="265"/>
      <c r="DG361" s="265"/>
      <c r="DH361" s="265"/>
      <c r="DI361" s="265"/>
      <c r="DJ361" s="265"/>
      <c r="DK361" s="265"/>
      <c r="DL361" s="265"/>
      <c r="DM361" s="265"/>
      <c r="DN361" s="265"/>
      <c r="DO361" s="265"/>
      <c r="DP361" s="265"/>
      <c r="DQ361" s="265"/>
      <c r="DR361" s="265"/>
      <c r="DS361" s="265"/>
      <c r="DT361" s="265"/>
    </row>
    <row r="362" spans="1:124" ht="30" customHeight="1">
      <c r="A362" s="228"/>
      <c r="B362" s="1237"/>
      <c r="C362" s="155">
        <f t="shared" si="257"/>
        <v>18</v>
      </c>
      <c r="D362" s="781"/>
      <c r="E362" s="781"/>
      <c r="F362" s="781"/>
      <c r="G362" s="830" t="s">
        <v>216</v>
      </c>
      <c r="H362" s="830" t="s">
        <v>2814</v>
      </c>
      <c r="I362" s="207" t="s">
        <v>2815</v>
      </c>
      <c r="J362" s="207" t="str">
        <f t="shared" si="250"/>
        <v>Giulia Rizzi</v>
      </c>
      <c r="K362" s="156" t="s">
        <v>2816</v>
      </c>
      <c r="L362" s="204" t="s">
        <v>2817</v>
      </c>
      <c r="M362" s="823" t="s">
        <v>2818</v>
      </c>
      <c r="N362" s="131" t="str">
        <f t="shared" si="252"/>
        <v>Eurewb</v>
      </c>
      <c r="O362" s="1297"/>
      <c r="P362" s="251"/>
      <c r="Q362" s="131"/>
      <c r="R362" s="252"/>
      <c r="S362" s="254"/>
      <c r="T362" s="346"/>
      <c r="U362" s="253"/>
      <c r="V362" s="253"/>
      <c r="W362" s="251"/>
      <c r="X362" s="131"/>
      <c r="Y362" s="251"/>
      <c r="Z362" s="251"/>
      <c r="AA362" s="251"/>
      <c r="AB362" s="255"/>
      <c r="AC362" s="256"/>
      <c r="AD362" s="121"/>
      <c r="AE362" s="80" t="str">
        <f t="shared" si="253"/>
        <v>Sollecito a Massimo il 7 ott con Bruno in copia</v>
      </c>
      <c r="AF362" s="257"/>
      <c r="AG362" s="155"/>
      <c r="AH362" s="155"/>
      <c r="AI362" s="155"/>
      <c r="AJ362" s="257"/>
      <c r="AK362" s="155"/>
      <c r="AL362" s="155"/>
      <c r="AM362" s="155"/>
      <c r="AN362" s="257"/>
      <c r="AO362" s="258"/>
      <c r="AP362" s="258"/>
      <c r="AQ362" s="258"/>
      <c r="AR362" s="211"/>
      <c r="AS362" s="154" t="s">
        <v>165</v>
      </c>
      <c r="AT362" s="154" t="s">
        <v>165</v>
      </c>
      <c r="AU362" s="154" t="s">
        <v>165</v>
      </c>
      <c r="AV362" s="211"/>
      <c r="AW362" s="124"/>
      <c r="AX362" s="124"/>
      <c r="AY362" s="124"/>
      <c r="AZ362" s="808">
        <f t="shared" si="238"/>
        <v>0</v>
      </c>
      <c r="BA362" s="761">
        <f t="shared" si="239"/>
        <v>0</v>
      </c>
      <c r="BB362" s="761">
        <f t="shared" si="240"/>
        <v>0</v>
      </c>
      <c r="BC362" s="262"/>
      <c r="BD362" s="242"/>
      <c r="BE362" s="1231"/>
      <c r="BF362" s="399" t="s">
        <v>525</v>
      </c>
      <c r="BG362" s="145">
        <v>0.15</v>
      </c>
      <c r="BH362" s="262"/>
      <c r="BI362" s="242"/>
      <c r="BJ362" s="1231"/>
      <c r="BK362" s="772"/>
      <c r="BL362" s="833" t="s">
        <v>525</v>
      </c>
      <c r="BM362" s="145">
        <v>0.05</v>
      </c>
      <c r="BN362" s="262"/>
      <c r="BO362" s="242">
        <f t="shared" si="251"/>
        <v>0</v>
      </c>
      <c r="BP362" s="1231">
        <f t="shared" si="254"/>
        <v>0</v>
      </c>
      <c r="BQ362" s="243"/>
      <c r="BR362" s="110">
        <v>0</v>
      </c>
      <c r="BS362" s="226"/>
      <c r="BT362" s="110"/>
      <c r="BU362" s="263"/>
      <c r="BV362" s="110"/>
      <c r="BW362" s="348"/>
      <c r="BX362" s="110"/>
      <c r="BY362" s="263"/>
      <c r="BZ362" s="110"/>
      <c r="CA362" s="263"/>
      <c r="CB362" s="110"/>
      <c r="CC362" s="263"/>
      <c r="CD362" s="110"/>
      <c r="CE362" s="226"/>
      <c r="CF362" s="110"/>
      <c r="CG362" s="263"/>
      <c r="CH362" s="110"/>
      <c r="CI362" s="226"/>
      <c r="CJ362" s="110"/>
      <c r="CK362" s="155">
        <v>1</v>
      </c>
      <c r="CL362" s="181" t="s">
        <v>1123</v>
      </c>
      <c r="CM362" s="181"/>
      <c r="CN362" s="207"/>
      <c r="CO362" s="207"/>
      <c r="CP362" s="155"/>
      <c r="CQ362" s="131" t="s">
        <v>808</v>
      </c>
      <c r="CR362" s="823" t="s">
        <v>2819</v>
      </c>
      <c r="CS362" s="820"/>
      <c r="CT362" s="820" t="b">
        <f t="shared" si="255"/>
        <v>0</v>
      </c>
      <c r="CU362" s="820" t="b">
        <f t="shared" si="256"/>
        <v>0</v>
      </c>
      <c r="CV362" s="779"/>
      <c r="CW362" s="779"/>
      <c r="CX362" s="779"/>
      <c r="CY362" s="729"/>
      <c r="CZ362" s="729"/>
      <c r="DA362" s="729"/>
      <c r="DB362" s="729"/>
      <c r="DC362" s="729"/>
      <c r="DD362" s="265"/>
      <c r="DE362" s="265"/>
      <c r="DF362" s="265"/>
      <c r="DG362" s="265"/>
      <c r="DH362" s="265"/>
      <c r="DI362" s="265"/>
      <c r="DJ362" s="265"/>
      <c r="DK362" s="265"/>
      <c r="DL362" s="265"/>
      <c r="DM362" s="265"/>
      <c r="DN362" s="265"/>
      <c r="DO362" s="265"/>
      <c r="DP362" s="265"/>
      <c r="DQ362" s="265"/>
      <c r="DR362" s="265"/>
      <c r="DS362" s="265"/>
      <c r="DT362" s="265"/>
    </row>
    <row r="363" spans="1:124" ht="30" customHeight="1">
      <c r="A363" s="228"/>
      <c r="B363" s="1237"/>
      <c r="C363" s="155">
        <f t="shared" si="257"/>
        <v>19</v>
      </c>
      <c r="D363" s="781"/>
      <c r="E363" s="781"/>
      <c r="F363" s="781"/>
      <c r="G363" s="830" t="s">
        <v>2820</v>
      </c>
      <c r="H363" s="830" t="s">
        <v>2821</v>
      </c>
      <c r="I363" s="207" t="s">
        <v>2822</v>
      </c>
      <c r="J363" s="207" t="str">
        <f t="shared" si="250"/>
        <v>Hanan Belmoujoud</v>
      </c>
      <c r="K363" s="156">
        <v>3467526423</v>
      </c>
      <c r="L363" s="131" t="s">
        <v>2823</v>
      </c>
      <c r="M363" s="131" t="s">
        <v>514</v>
      </c>
      <c r="N363" s="131" t="str">
        <f t="shared" si="252"/>
        <v>Primavera International</v>
      </c>
      <c r="O363" s="1297"/>
      <c r="P363" s="251"/>
      <c r="Q363" s="131"/>
      <c r="R363" s="252"/>
      <c r="S363" s="254"/>
      <c r="T363" s="346"/>
      <c r="U363" s="253"/>
      <c r="V363" s="253"/>
      <c r="W363" s="251"/>
      <c r="X363" s="131"/>
      <c r="Y363" s="251"/>
      <c r="Z363" s="251"/>
      <c r="AA363" s="251"/>
      <c r="AB363" s="255"/>
      <c r="AC363" s="256"/>
      <c r="AD363" s="121"/>
      <c r="AE363" s="80" t="str">
        <f t="shared" si="253"/>
        <v>Ref Titolare: grazia@primavera.it (Grazia Remondi)</v>
      </c>
      <c r="AF363" s="257"/>
      <c r="AG363" s="155"/>
      <c r="AH363" s="155"/>
      <c r="AI363" s="155"/>
      <c r="AJ363" s="257"/>
      <c r="AK363" s="155"/>
      <c r="AL363" s="155"/>
      <c r="AM363" s="155"/>
      <c r="AN363" s="257"/>
      <c r="AO363" s="258"/>
      <c r="AP363" s="258"/>
      <c r="AQ363" s="258"/>
      <c r="AR363" s="211"/>
      <c r="AS363" s="154" t="s">
        <v>165</v>
      </c>
      <c r="AT363" s="154" t="s">
        <v>165</v>
      </c>
      <c r="AU363" s="154" t="s">
        <v>165</v>
      </c>
      <c r="AV363" s="211"/>
      <c r="AW363" s="124"/>
      <c r="AX363" s="124"/>
      <c r="AY363" s="124"/>
      <c r="AZ363" s="808">
        <f t="shared" si="238"/>
        <v>0</v>
      </c>
      <c r="BA363" s="761">
        <f t="shared" si="239"/>
        <v>0</v>
      </c>
      <c r="BB363" s="761">
        <f t="shared" si="240"/>
        <v>0</v>
      </c>
      <c r="BC363" s="262"/>
      <c r="BD363" s="242"/>
      <c r="BE363" s="1231"/>
      <c r="BF363" s="383" t="s">
        <v>184</v>
      </c>
      <c r="BG363" s="145">
        <v>0.15</v>
      </c>
      <c r="BH363" s="262"/>
      <c r="BI363" s="242"/>
      <c r="BJ363" s="1231"/>
      <c r="BK363" s="772"/>
      <c r="BL363" s="289" t="s">
        <v>184</v>
      </c>
      <c r="BM363" s="145">
        <v>0.05</v>
      </c>
      <c r="BN363" s="262"/>
      <c r="BO363" s="242">
        <f t="shared" si="251"/>
        <v>0</v>
      </c>
      <c r="BP363" s="1231">
        <f t="shared" si="254"/>
        <v>0</v>
      </c>
      <c r="BQ363" s="243"/>
      <c r="BR363" s="110">
        <v>0</v>
      </c>
      <c r="BS363" s="226"/>
      <c r="BT363" s="110"/>
      <c r="BU363" s="263"/>
      <c r="BV363" s="110"/>
      <c r="BW363" s="348"/>
      <c r="BX363" s="110"/>
      <c r="BY363" s="263"/>
      <c r="BZ363" s="110"/>
      <c r="CA363" s="263"/>
      <c r="CB363" s="110"/>
      <c r="CC363" s="263"/>
      <c r="CD363" s="110"/>
      <c r="CE363" s="226"/>
      <c r="CF363" s="110"/>
      <c r="CG363" s="263"/>
      <c r="CH363" s="110"/>
      <c r="CI363" s="226"/>
      <c r="CJ363" s="110"/>
      <c r="CK363" s="155">
        <v>1</v>
      </c>
      <c r="CL363" s="181" t="s">
        <v>1123</v>
      </c>
      <c r="CM363" s="181"/>
      <c r="CN363" s="207"/>
      <c r="CO363" s="207"/>
      <c r="CP363" s="155"/>
      <c r="CQ363" s="131" t="s">
        <v>2824</v>
      </c>
      <c r="CR363" s="823" t="s">
        <v>2825</v>
      </c>
      <c r="CS363" s="820"/>
      <c r="CT363" s="820" t="b">
        <f t="shared" si="255"/>
        <v>0</v>
      </c>
      <c r="CU363" s="820" t="b">
        <f t="shared" si="256"/>
        <v>0</v>
      </c>
      <c r="CV363" s="779"/>
      <c r="CW363" s="779"/>
      <c r="CX363" s="779"/>
      <c r="CY363" s="729"/>
      <c r="CZ363" s="729"/>
      <c r="DA363" s="729"/>
      <c r="DB363" s="729"/>
      <c r="DC363" s="729"/>
      <c r="DD363" s="265"/>
      <c r="DE363" s="265"/>
      <c r="DF363" s="265"/>
      <c r="DG363" s="265"/>
      <c r="DH363" s="265"/>
      <c r="DI363" s="265"/>
      <c r="DJ363" s="265"/>
      <c r="DK363" s="265"/>
      <c r="DL363" s="265"/>
      <c r="DM363" s="265"/>
      <c r="DN363" s="265"/>
      <c r="DO363" s="265"/>
      <c r="DP363" s="265"/>
      <c r="DQ363" s="265"/>
      <c r="DR363" s="265"/>
      <c r="DS363" s="265"/>
      <c r="DT363" s="265"/>
    </row>
    <row r="364" spans="1:124" ht="30" customHeight="1">
      <c r="A364" s="228"/>
      <c r="B364" s="1237"/>
      <c r="C364" s="155">
        <f t="shared" si="257"/>
        <v>20</v>
      </c>
      <c r="D364" s="781"/>
      <c r="E364" s="781"/>
      <c r="F364" s="781"/>
      <c r="G364" s="830" t="s">
        <v>2826</v>
      </c>
      <c r="H364" s="830" t="s">
        <v>2827</v>
      </c>
      <c r="I364" s="207" t="s">
        <v>2828</v>
      </c>
      <c r="J364" s="207" t="str">
        <f t="shared" si="250"/>
        <v>Jessica Vaccari</v>
      </c>
      <c r="K364" s="156" t="s">
        <v>2829</v>
      </c>
      <c r="L364" s="131"/>
      <c r="M364" s="131" t="s">
        <v>2830</v>
      </c>
      <c r="N364" s="131" t="str">
        <f t="shared" si="252"/>
        <v>Tutor International</v>
      </c>
      <c r="O364" s="1297"/>
      <c r="P364" s="251"/>
      <c r="Q364" s="131"/>
      <c r="R364" s="252"/>
      <c r="S364" s="254"/>
      <c r="T364" s="346"/>
      <c r="U364" s="253"/>
      <c r="V364" s="253"/>
      <c r="W364" s="251"/>
      <c r="X364" s="131"/>
      <c r="Y364" s="251"/>
      <c r="Z364" s="251"/>
      <c r="AA364" s="251"/>
      <c r="AB364" s="255"/>
      <c r="AC364" s="256"/>
      <c r="AD364" s="121"/>
      <c r="AE364" s="80">
        <f t="shared" si="253"/>
        <v>0</v>
      </c>
      <c r="AF364" s="257"/>
      <c r="AG364" s="155"/>
      <c r="AH364" s="155"/>
      <c r="AI364" s="155"/>
      <c r="AJ364" s="257"/>
      <c r="AK364" s="155"/>
      <c r="AL364" s="155"/>
      <c r="AM364" s="155"/>
      <c r="AN364" s="257"/>
      <c r="AO364" s="258"/>
      <c r="AP364" s="258"/>
      <c r="AQ364" s="258"/>
      <c r="AR364" s="211"/>
      <c r="AS364" s="154" t="s">
        <v>165</v>
      </c>
      <c r="AT364" s="154" t="s">
        <v>165</v>
      </c>
      <c r="AU364" s="154" t="s">
        <v>165</v>
      </c>
      <c r="AV364" s="211"/>
      <c r="AW364" s="124"/>
      <c r="AX364" s="124"/>
      <c r="AY364" s="124"/>
      <c r="AZ364" s="760">
        <f t="shared" si="238"/>
        <v>0</v>
      </c>
      <c r="BA364" s="761">
        <f t="shared" si="239"/>
        <v>0</v>
      </c>
      <c r="BB364" s="761">
        <f t="shared" si="240"/>
        <v>0</v>
      </c>
      <c r="BC364" s="262"/>
      <c r="BD364" s="242"/>
      <c r="BE364" s="1231"/>
      <c r="BF364" s="380" t="s">
        <v>119</v>
      </c>
      <c r="BG364" s="145">
        <v>0.15</v>
      </c>
      <c r="BH364" s="262"/>
      <c r="BI364" s="242"/>
      <c r="BJ364" s="1231"/>
      <c r="BK364" s="772"/>
      <c r="BL364" s="825" t="s">
        <v>119</v>
      </c>
      <c r="BM364" s="145">
        <v>0.05</v>
      </c>
      <c r="BN364" s="262"/>
      <c r="BO364" s="242">
        <f t="shared" si="251"/>
        <v>0</v>
      </c>
      <c r="BP364" s="1231">
        <f t="shared" si="254"/>
        <v>0</v>
      </c>
      <c r="BQ364" s="243"/>
      <c r="BR364" s="110"/>
      <c r="BS364" s="226"/>
      <c r="BT364" s="110"/>
      <c r="BU364" s="263"/>
      <c r="BV364" s="110"/>
      <c r="BW364" s="348"/>
      <c r="BX364" s="110"/>
      <c r="BY364" s="263"/>
      <c r="BZ364" s="110"/>
      <c r="CA364" s="263"/>
      <c r="CB364" s="110"/>
      <c r="CC364" s="263"/>
      <c r="CD364" s="110"/>
      <c r="CE364" s="226"/>
      <c r="CF364" s="110"/>
      <c r="CG364" s="263"/>
      <c r="CH364" s="110"/>
      <c r="CI364" s="226"/>
      <c r="CJ364" s="110"/>
      <c r="CK364" s="155">
        <v>1</v>
      </c>
      <c r="CL364" s="181" t="s">
        <v>1123</v>
      </c>
      <c r="CM364" s="181"/>
      <c r="CN364" s="207"/>
      <c r="CO364" s="207"/>
      <c r="CP364" s="155"/>
      <c r="CQ364" s="131"/>
      <c r="CR364" s="823" t="s">
        <v>2832</v>
      </c>
      <c r="CS364" s="820"/>
      <c r="CT364" s="820" t="b">
        <f t="shared" si="255"/>
        <v>0</v>
      </c>
      <c r="CU364" s="820" t="b">
        <f t="shared" si="256"/>
        <v>0</v>
      </c>
      <c r="CV364" s="779"/>
      <c r="CW364" s="779"/>
      <c r="CX364" s="779"/>
      <c r="CY364" s="729"/>
      <c r="CZ364" s="729"/>
      <c r="DA364" s="729"/>
      <c r="DB364" s="729"/>
      <c r="DC364" s="729"/>
      <c r="DD364" s="265"/>
      <c r="DE364" s="265"/>
      <c r="DF364" s="265"/>
      <c r="DG364" s="265"/>
      <c r="DH364" s="265"/>
      <c r="DI364" s="265"/>
      <c r="DJ364" s="265"/>
      <c r="DK364" s="265"/>
      <c r="DL364" s="265"/>
      <c r="DM364" s="265"/>
      <c r="DN364" s="265"/>
      <c r="DO364" s="265"/>
      <c r="DP364" s="265"/>
      <c r="DQ364" s="265"/>
      <c r="DR364" s="265"/>
      <c r="DS364" s="265"/>
      <c r="DT364" s="265"/>
    </row>
    <row r="365" spans="1:124" ht="30" customHeight="1">
      <c r="A365" s="228"/>
      <c r="B365" s="1237"/>
      <c r="C365" s="155">
        <f t="shared" si="257"/>
        <v>21</v>
      </c>
      <c r="D365" s="781"/>
      <c r="E365" s="781"/>
      <c r="F365" s="781"/>
      <c r="G365" s="830" t="s">
        <v>1795</v>
      </c>
      <c r="H365" s="830" t="s">
        <v>786</v>
      </c>
      <c r="I365" s="294" t="s">
        <v>2833</v>
      </c>
      <c r="J365" s="207" t="str">
        <f t="shared" si="250"/>
        <v>Lorenza Veneziani</v>
      </c>
      <c r="K365" s="156">
        <v>3478854358</v>
      </c>
      <c r="L365" s="131"/>
      <c r="M365" s="823" t="s">
        <v>2818</v>
      </c>
      <c r="N365" s="131" t="str">
        <f t="shared" si="252"/>
        <v>Eureweb</v>
      </c>
      <c r="O365" s="1297"/>
      <c r="P365" s="251"/>
      <c r="Q365" s="131"/>
      <c r="R365" s="252"/>
      <c r="S365" s="254"/>
      <c r="T365" s="346"/>
      <c r="U365" s="253"/>
      <c r="V365" s="253"/>
      <c r="W365" s="251"/>
      <c r="X365" s="131"/>
      <c r="Y365" s="251"/>
      <c r="Z365" s="251"/>
      <c r="AA365" s="251"/>
      <c r="AB365" s="255"/>
      <c r="AC365" s="256"/>
      <c r="AD365" s="121"/>
      <c r="AE365" s="80">
        <f t="shared" si="253"/>
        <v>0</v>
      </c>
      <c r="AF365" s="257"/>
      <c r="AG365" s="155"/>
      <c r="AH365" s="155"/>
      <c r="AI365" s="155"/>
      <c r="AJ365" s="257"/>
      <c r="AK365" s="155"/>
      <c r="AL365" s="155"/>
      <c r="AM365" s="155"/>
      <c r="AN365" s="257"/>
      <c r="AO365" s="258"/>
      <c r="AP365" s="258"/>
      <c r="AQ365" s="258"/>
      <c r="AR365" s="211"/>
      <c r="AS365" s="154" t="s">
        <v>165</v>
      </c>
      <c r="AT365" s="154" t="s">
        <v>165</v>
      </c>
      <c r="AU365" s="154" t="s">
        <v>165</v>
      </c>
      <c r="AV365" s="211"/>
      <c r="AW365" s="124"/>
      <c r="AX365" s="124"/>
      <c r="AY365" s="124"/>
      <c r="AZ365" s="808">
        <f t="shared" si="238"/>
        <v>0</v>
      </c>
      <c r="BA365" s="761">
        <f t="shared" si="239"/>
        <v>0</v>
      </c>
      <c r="BB365" s="761">
        <f t="shared" si="240"/>
        <v>0</v>
      </c>
      <c r="BC365" s="262"/>
      <c r="BD365" s="824">
        <f>AZ365</f>
        <v>0</v>
      </c>
      <c r="BE365" s="1231"/>
      <c r="BF365" s="372" t="s">
        <v>117</v>
      </c>
      <c r="BG365" s="98">
        <v>0</v>
      </c>
      <c r="BH365" s="262"/>
      <c r="BI365" s="242">
        <f>BD365*BG365</f>
        <v>0</v>
      </c>
      <c r="BJ365" s="1232">
        <f>BE365*BG365</f>
        <v>0</v>
      </c>
      <c r="BK365" s="1267" t="s">
        <v>118</v>
      </c>
      <c r="BL365" s="834" t="s">
        <v>152</v>
      </c>
      <c r="BM365" s="145">
        <v>0.05</v>
      </c>
      <c r="BN365" s="262"/>
      <c r="BO365" s="242">
        <f t="shared" si="251"/>
        <v>0</v>
      </c>
      <c r="BP365" s="1231">
        <f t="shared" si="254"/>
        <v>0</v>
      </c>
      <c r="BQ365" s="243"/>
      <c r="BR365" s="110">
        <v>0</v>
      </c>
      <c r="BS365" s="226"/>
      <c r="BT365" s="110"/>
      <c r="BU365" s="263"/>
      <c r="BV365" s="110"/>
      <c r="BW365" s="348"/>
      <c r="BX365" s="110"/>
      <c r="BY365" s="263"/>
      <c r="BZ365" s="110"/>
      <c r="CA365" s="263"/>
      <c r="CB365" s="110"/>
      <c r="CC365" s="263"/>
      <c r="CD365" s="110"/>
      <c r="CE365" s="226"/>
      <c r="CF365" s="110"/>
      <c r="CG365" s="263"/>
      <c r="CH365" s="110"/>
      <c r="CI365" s="226"/>
      <c r="CJ365" s="110"/>
      <c r="CK365" s="155">
        <v>1</v>
      </c>
      <c r="CL365" s="181" t="s">
        <v>1123</v>
      </c>
      <c r="CM365" s="181"/>
      <c r="CN365" s="207"/>
      <c r="CO365" s="207"/>
      <c r="CP365" s="155"/>
      <c r="CQ365" s="131" t="s">
        <v>808</v>
      </c>
      <c r="CR365" s="823" t="s">
        <v>987</v>
      </c>
      <c r="CS365" s="820"/>
      <c r="CT365" s="820" t="b">
        <f t="shared" si="255"/>
        <v>0</v>
      </c>
      <c r="CU365" s="820" t="b">
        <f t="shared" si="256"/>
        <v>0</v>
      </c>
      <c r="CV365" s="779"/>
      <c r="CW365" s="779"/>
      <c r="CX365" s="779"/>
      <c r="CY365" s="729"/>
      <c r="CZ365" s="729"/>
      <c r="DA365" s="729"/>
      <c r="DB365" s="729"/>
      <c r="DC365" s="729"/>
      <c r="DD365" s="265"/>
      <c r="DE365" s="265"/>
      <c r="DF365" s="265"/>
      <c r="DG365" s="265"/>
      <c r="DH365" s="265"/>
      <c r="DI365" s="265"/>
      <c r="DJ365" s="265"/>
      <c r="DK365" s="265"/>
      <c r="DL365" s="265"/>
      <c r="DM365" s="265"/>
      <c r="DN365" s="265"/>
      <c r="DO365" s="265"/>
      <c r="DP365" s="265"/>
      <c r="DQ365" s="265"/>
      <c r="DR365" s="265"/>
      <c r="DS365" s="265"/>
      <c r="DT365" s="265"/>
    </row>
    <row r="366" spans="1:124" ht="39">
      <c r="A366" s="228"/>
      <c r="B366" s="1237"/>
      <c r="C366" s="155">
        <f t="shared" si="257"/>
        <v>22</v>
      </c>
      <c r="D366" s="781"/>
      <c r="E366" s="781"/>
      <c r="F366" s="781"/>
      <c r="G366" s="830" t="s">
        <v>204</v>
      </c>
      <c r="H366" s="830" t="s">
        <v>1647</v>
      </c>
      <c r="I366" s="207" t="s">
        <v>2835</v>
      </c>
      <c r="J366" s="207" t="str">
        <f t="shared" si="250"/>
        <v>Luca Gatti</v>
      </c>
      <c r="K366" s="156" t="s">
        <v>2836</v>
      </c>
      <c r="L366" s="204" t="s">
        <v>2792</v>
      </c>
      <c r="M366" s="131" t="s">
        <v>719</v>
      </c>
      <c r="N366" s="131" t="str">
        <f t="shared" si="252"/>
        <v>Tentamus Agriparadigma</v>
      </c>
      <c r="O366" s="1297"/>
      <c r="P366" s="251"/>
      <c r="Q366" s="131"/>
      <c r="R366" s="252"/>
      <c r="S366" s="254"/>
      <c r="T366" s="346"/>
      <c r="U366" s="253"/>
      <c r="V366" s="253"/>
      <c r="W366" s="251"/>
      <c r="X366" s="131"/>
      <c r="Y366" s="251"/>
      <c r="Z366" s="251"/>
      <c r="AA366" s="251"/>
      <c r="AB366" s="255"/>
      <c r="AC366" s="256"/>
      <c r="AD366" s="121"/>
      <c r="AE366" s="80" t="str">
        <f t="shared" si="253"/>
        <v xml:space="preserve">Interessati percorso in azienda, tenete in sospeso gli 8 Master </v>
      </c>
      <c r="AF366" s="257"/>
      <c r="AG366" s="155"/>
      <c r="AH366" s="155"/>
      <c r="AI366" s="155"/>
      <c r="AJ366" s="257"/>
      <c r="AK366" s="155"/>
      <c r="AL366" s="155"/>
      <c r="AM366" s="155"/>
      <c r="AN366" s="257"/>
      <c r="AO366" s="258"/>
      <c r="AP366" s="258"/>
      <c r="AQ366" s="258"/>
      <c r="AR366" s="211"/>
      <c r="AS366" s="154" t="s">
        <v>165</v>
      </c>
      <c r="AT366" s="154" t="s">
        <v>165</v>
      </c>
      <c r="AU366" s="154" t="s">
        <v>165</v>
      </c>
      <c r="AV366" s="211"/>
      <c r="AW366" s="124"/>
      <c r="AX366" s="124"/>
      <c r="AY366" s="124"/>
      <c r="AZ366" s="808">
        <f t="shared" si="238"/>
        <v>0</v>
      </c>
      <c r="BA366" s="761">
        <f t="shared" si="239"/>
        <v>0</v>
      </c>
      <c r="BB366" s="761">
        <f t="shared" si="240"/>
        <v>0</v>
      </c>
      <c r="BC366" s="262"/>
      <c r="BD366" s="242"/>
      <c r="BE366" s="1231"/>
      <c r="BF366" s="383" t="s">
        <v>407</v>
      </c>
      <c r="BG366" s="145">
        <v>0.15</v>
      </c>
      <c r="BH366" s="262"/>
      <c r="BI366" s="242"/>
      <c r="BJ366" s="1231"/>
      <c r="BK366" s="772"/>
      <c r="BL366" s="835" t="s">
        <v>407</v>
      </c>
      <c r="BM366" s="145">
        <v>0.05</v>
      </c>
      <c r="BN366" s="262"/>
      <c r="BO366" s="242">
        <f t="shared" si="251"/>
        <v>0</v>
      </c>
      <c r="BP366" s="1231">
        <f t="shared" si="254"/>
        <v>0</v>
      </c>
      <c r="BQ366" s="243"/>
      <c r="BR366" s="110"/>
      <c r="BS366" s="226"/>
      <c r="BT366" s="110"/>
      <c r="BU366" s="263"/>
      <c r="BV366" s="110"/>
      <c r="BW366" s="348"/>
      <c r="BX366" s="110"/>
      <c r="BY366" s="263"/>
      <c r="BZ366" s="110"/>
      <c r="CA366" s="263"/>
      <c r="CB366" s="110"/>
      <c r="CC366" s="263"/>
      <c r="CD366" s="110"/>
      <c r="CE366" s="226"/>
      <c r="CF366" s="110"/>
      <c r="CG366" s="263"/>
      <c r="CH366" s="110"/>
      <c r="CI366" s="226"/>
      <c r="CJ366" s="110"/>
      <c r="CK366" s="155"/>
      <c r="CL366" s="181"/>
      <c r="CM366" s="181"/>
      <c r="CN366" s="207"/>
      <c r="CO366" s="207"/>
      <c r="CP366" s="155"/>
      <c r="CQ366" s="131"/>
      <c r="CR366" s="823" t="s">
        <v>2794</v>
      </c>
      <c r="CS366" s="820"/>
      <c r="CT366" s="820" t="b">
        <f t="shared" si="255"/>
        <v>0</v>
      </c>
      <c r="CU366" s="820" t="b">
        <f t="shared" si="256"/>
        <v>0</v>
      </c>
      <c r="CV366" s="779"/>
      <c r="CW366" s="779"/>
      <c r="CX366" s="779"/>
      <c r="CY366" s="729"/>
      <c r="CZ366" s="729"/>
      <c r="DA366" s="729"/>
      <c r="DB366" s="729"/>
      <c r="DC366" s="729"/>
      <c r="DD366" s="265"/>
      <c r="DE366" s="265"/>
      <c r="DF366" s="265"/>
      <c r="DG366" s="265"/>
      <c r="DH366" s="265"/>
      <c r="DI366" s="265"/>
      <c r="DJ366" s="265"/>
      <c r="DK366" s="265"/>
      <c r="DL366" s="265"/>
      <c r="DM366" s="265"/>
      <c r="DN366" s="265"/>
      <c r="DO366" s="265"/>
      <c r="DP366" s="265"/>
      <c r="DQ366" s="265"/>
      <c r="DR366" s="265"/>
      <c r="DS366" s="265"/>
      <c r="DT366" s="265"/>
    </row>
    <row r="367" spans="1:124" ht="30" customHeight="1">
      <c r="A367" s="228"/>
      <c r="B367" s="1237"/>
      <c r="C367" s="155">
        <f t="shared" si="257"/>
        <v>23</v>
      </c>
      <c r="D367" s="781"/>
      <c r="E367" s="781"/>
      <c r="F367" s="781"/>
      <c r="G367" s="830" t="s">
        <v>204</v>
      </c>
      <c r="H367" s="830" t="s">
        <v>2837</v>
      </c>
      <c r="I367" s="207" t="s">
        <v>2838</v>
      </c>
      <c r="J367" s="207" t="str">
        <f t="shared" si="250"/>
        <v>Luca Martinazzi</v>
      </c>
      <c r="K367" s="156" t="s">
        <v>2839</v>
      </c>
      <c r="L367" s="131"/>
      <c r="M367" s="131" t="s">
        <v>719</v>
      </c>
      <c r="N367" s="131" t="str">
        <f t="shared" si="252"/>
        <v>DIENNEA</v>
      </c>
      <c r="O367" s="1297"/>
      <c r="P367" s="251"/>
      <c r="Q367" s="131"/>
      <c r="R367" s="252"/>
      <c r="S367" s="254"/>
      <c r="T367" s="346"/>
      <c r="U367" s="253"/>
      <c r="V367" s="253"/>
      <c r="W367" s="251"/>
      <c r="X367" s="131"/>
      <c r="Y367" s="251"/>
      <c r="Z367" s="251"/>
      <c r="AA367" s="251"/>
      <c r="AB367" s="255"/>
      <c r="AC367" s="256"/>
      <c r="AD367" s="121"/>
      <c r="AE367" s="80">
        <f t="shared" si="253"/>
        <v>0</v>
      </c>
      <c r="AF367" s="257"/>
      <c r="AG367" s="155"/>
      <c r="AH367" s="155"/>
      <c r="AI367" s="155"/>
      <c r="AJ367" s="257"/>
      <c r="AK367" s="155"/>
      <c r="AL367" s="155"/>
      <c r="AM367" s="155"/>
      <c r="AN367" s="257"/>
      <c r="AO367" s="258"/>
      <c r="AP367" s="258"/>
      <c r="AQ367" s="258"/>
      <c r="AR367" s="211"/>
      <c r="AS367" s="154" t="s">
        <v>165</v>
      </c>
      <c r="AT367" s="154" t="s">
        <v>165</v>
      </c>
      <c r="AU367" s="154" t="s">
        <v>165</v>
      </c>
      <c r="AV367" s="211"/>
      <c r="AW367" s="124"/>
      <c r="AX367" s="124"/>
      <c r="AY367" s="124"/>
      <c r="AZ367" s="760">
        <f t="shared" si="238"/>
        <v>0</v>
      </c>
      <c r="BA367" s="761">
        <f t="shared" si="239"/>
        <v>0</v>
      </c>
      <c r="BB367" s="761">
        <f t="shared" si="240"/>
        <v>0</v>
      </c>
      <c r="BC367" s="262"/>
      <c r="BD367" s="824">
        <f t="shared" ref="BD367:BD368" si="264">AZ367</f>
        <v>0</v>
      </c>
      <c r="BE367" s="1231"/>
      <c r="BF367" s="827" t="s">
        <v>117</v>
      </c>
      <c r="BG367" s="98">
        <v>0</v>
      </c>
      <c r="BH367" s="262"/>
      <c r="BI367" s="242">
        <f t="shared" ref="BI367:BI368" si="265">BD367*BG367</f>
        <v>0</v>
      </c>
      <c r="BJ367" s="1232">
        <f t="shared" ref="BJ367:BJ368" si="266">BE367*BG367</f>
        <v>0</v>
      </c>
      <c r="BK367" s="1267" t="s">
        <v>118</v>
      </c>
      <c r="BL367" s="828" t="s">
        <v>152</v>
      </c>
      <c r="BM367" s="145">
        <v>0.05</v>
      </c>
      <c r="BN367" s="262"/>
      <c r="BO367" s="242">
        <f t="shared" si="251"/>
        <v>0</v>
      </c>
      <c r="BP367" s="1231">
        <f t="shared" si="254"/>
        <v>0</v>
      </c>
      <c r="BQ367" s="243"/>
      <c r="BR367" s="110"/>
      <c r="BS367" s="226"/>
      <c r="BT367" s="110"/>
      <c r="BU367" s="263"/>
      <c r="BV367" s="110"/>
      <c r="BW367" s="348"/>
      <c r="BX367" s="110"/>
      <c r="BY367" s="263"/>
      <c r="BZ367" s="110"/>
      <c r="CA367" s="263"/>
      <c r="CB367" s="110"/>
      <c r="CC367" s="263"/>
      <c r="CD367" s="110"/>
      <c r="CE367" s="226"/>
      <c r="CF367" s="110"/>
      <c r="CG367" s="263"/>
      <c r="CH367" s="110"/>
      <c r="CI367" s="226"/>
      <c r="CJ367" s="110"/>
      <c r="CK367" s="155">
        <v>1</v>
      </c>
      <c r="CL367" s="181" t="s">
        <v>1123</v>
      </c>
      <c r="CM367" s="181"/>
      <c r="CN367" s="207"/>
      <c r="CO367" s="207"/>
      <c r="CP367" s="155"/>
      <c r="CQ367" s="131" t="s">
        <v>778</v>
      </c>
      <c r="CR367" s="823" t="s">
        <v>2841</v>
      </c>
      <c r="CS367" s="820"/>
      <c r="CT367" s="820" t="b">
        <f t="shared" si="255"/>
        <v>0</v>
      </c>
      <c r="CU367" s="820" t="b">
        <f t="shared" si="256"/>
        <v>0</v>
      </c>
      <c r="CV367" s="779"/>
      <c r="CW367" s="779"/>
      <c r="CX367" s="779"/>
      <c r="CY367" s="729"/>
      <c r="CZ367" s="729"/>
      <c r="DA367" s="729"/>
      <c r="DB367" s="729"/>
      <c r="DC367" s="729"/>
      <c r="DD367" s="265"/>
      <c r="DE367" s="265"/>
      <c r="DF367" s="265"/>
      <c r="DG367" s="265"/>
      <c r="DH367" s="265"/>
      <c r="DI367" s="265"/>
      <c r="DJ367" s="265"/>
      <c r="DK367" s="265"/>
      <c r="DL367" s="265"/>
      <c r="DM367" s="265"/>
      <c r="DN367" s="265"/>
      <c r="DO367" s="265"/>
      <c r="DP367" s="265"/>
      <c r="DQ367" s="265"/>
      <c r="DR367" s="265"/>
      <c r="DS367" s="265"/>
      <c r="DT367" s="265"/>
    </row>
    <row r="368" spans="1:124" ht="30" customHeight="1">
      <c r="A368" s="228"/>
      <c r="B368" s="1237"/>
      <c r="C368" s="155">
        <f t="shared" si="257"/>
        <v>24</v>
      </c>
      <c r="D368" s="781"/>
      <c r="E368" s="781"/>
      <c r="F368" s="781"/>
      <c r="G368" s="830" t="s">
        <v>246</v>
      </c>
      <c r="H368" s="830" t="s">
        <v>2842</v>
      </c>
      <c r="I368" s="207" t="s">
        <v>2843</v>
      </c>
      <c r="J368" s="207" t="str">
        <f t="shared" si="250"/>
        <v>Marco Baruffato</v>
      </c>
      <c r="K368" s="156" t="s">
        <v>2844</v>
      </c>
      <c r="L368" s="204" t="s">
        <v>2845</v>
      </c>
      <c r="M368" s="131" t="s">
        <v>112</v>
      </c>
      <c r="N368" s="131" t="str">
        <f t="shared" si="252"/>
        <v>BB Creative</v>
      </c>
      <c r="O368" s="1297"/>
      <c r="P368" s="251"/>
      <c r="Q368" s="131"/>
      <c r="R368" s="252"/>
      <c r="S368" s="254"/>
      <c r="T368" s="346"/>
      <c r="U368" s="253"/>
      <c r="V368" s="253"/>
      <c r="W368" s="251"/>
      <c r="X368" s="131"/>
      <c r="Y368" s="251"/>
      <c r="Z368" s="251"/>
      <c r="AA368" s="251"/>
      <c r="AB368" s="255"/>
      <c r="AC368" s="256"/>
      <c r="AD368" s="121"/>
      <c r="AE368" s="80" t="str">
        <f t="shared" si="253"/>
        <v>Lo sente Marco V. Lun. 3 Ott.</v>
      </c>
      <c r="AF368" s="257"/>
      <c r="AG368" s="155"/>
      <c r="AH368" s="155"/>
      <c r="AI368" s="155"/>
      <c r="AJ368" s="257"/>
      <c r="AK368" s="155"/>
      <c r="AL368" s="155"/>
      <c r="AM368" s="155"/>
      <c r="AN368" s="257"/>
      <c r="AO368" s="258"/>
      <c r="AP368" s="258"/>
      <c r="AQ368" s="258"/>
      <c r="AR368" s="211"/>
      <c r="AS368" s="395" t="s">
        <v>165</v>
      </c>
      <c r="AT368" s="395" t="s">
        <v>165</v>
      </c>
      <c r="AU368" s="395" t="s">
        <v>165</v>
      </c>
      <c r="AV368" s="211"/>
      <c r="AW368" s="836"/>
      <c r="AX368" s="836"/>
      <c r="AY368" s="836"/>
      <c r="AZ368" s="808">
        <f t="shared" si="238"/>
        <v>0</v>
      </c>
      <c r="BA368" s="761">
        <f t="shared" si="239"/>
        <v>0</v>
      </c>
      <c r="BB368" s="761">
        <f t="shared" si="240"/>
        <v>0</v>
      </c>
      <c r="BC368" s="262"/>
      <c r="BD368" s="824">
        <f t="shared" si="264"/>
        <v>0</v>
      </c>
      <c r="BE368" s="1231"/>
      <c r="BF368" s="827" t="s">
        <v>117</v>
      </c>
      <c r="BG368" s="98">
        <v>0</v>
      </c>
      <c r="BH368" s="261"/>
      <c r="BI368" s="242">
        <f t="shared" si="265"/>
        <v>0</v>
      </c>
      <c r="BJ368" s="1232">
        <f t="shared" si="266"/>
        <v>0</v>
      </c>
      <c r="BK368" s="1267" t="s">
        <v>118</v>
      </c>
      <c r="BL368" s="828" t="s">
        <v>152</v>
      </c>
      <c r="BM368" s="145">
        <v>0.05</v>
      </c>
      <c r="BN368" s="262"/>
      <c r="BO368" s="242">
        <f t="shared" si="251"/>
        <v>0</v>
      </c>
      <c r="BP368" s="1231">
        <f t="shared" si="254"/>
        <v>0</v>
      </c>
      <c r="BQ368" s="243"/>
      <c r="BR368" s="110"/>
      <c r="BS368" s="226"/>
      <c r="BT368" s="110"/>
      <c r="BU368" s="263"/>
      <c r="BV368" s="110"/>
      <c r="BW368" s="348"/>
      <c r="BX368" s="110"/>
      <c r="BY368" s="263"/>
      <c r="BZ368" s="110"/>
      <c r="CA368" s="263"/>
      <c r="CB368" s="110"/>
      <c r="CC368" s="263"/>
      <c r="CD368" s="110"/>
      <c r="CE368" s="226"/>
      <c r="CF368" s="110"/>
      <c r="CG368" s="263"/>
      <c r="CH368" s="110"/>
      <c r="CI368" s="226"/>
      <c r="CJ368" s="110"/>
      <c r="CK368" s="155">
        <v>1</v>
      </c>
      <c r="CL368" s="181" t="s">
        <v>1123</v>
      </c>
      <c r="CM368" s="181"/>
      <c r="CN368" s="207"/>
      <c r="CO368" s="207"/>
      <c r="CP368" s="155"/>
      <c r="CQ368" s="131" t="s">
        <v>2847</v>
      </c>
      <c r="CR368" s="823" t="s">
        <v>2848</v>
      </c>
      <c r="CS368" s="820"/>
      <c r="CT368" s="820" t="b">
        <f t="shared" si="255"/>
        <v>0</v>
      </c>
      <c r="CU368" s="820" t="b">
        <f t="shared" si="256"/>
        <v>0</v>
      </c>
      <c r="CV368" s="779"/>
      <c r="CW368" s="779"/>
      <c r="CX368" s="779"/>
      <c r="CY368" s="729"/>
      <c r="CZ368" s="729"/>
      <c r="DA368" s="729"/>
      <c r="DB368" s="729"/>
      <c r="DC368" s="729"/>
      <c r="DD368" s="265"/>
      <c r="DE368" s="265"/>
      <c r="DF368" s="265"/>
      <c r="DG368" s="265"/>
      <c r="DH368" s="265"/>
      <c r="DI368" s="265"/>
      <c r="DJ368" s="265"/>
      <c r="DK368" s="265"/>
      <c r="DL368" s="265"/>
      <c r="DM368" s="265"/>
      <c r="DN368" s="265"/>
      <c r="DO368" s="265"/>
      <c r="DP368" s="265"/>
      <c r="DQ368" s="265"/>
      <c r="DR368" s="265"/>
      <c r="DS368" s="265"/>
      <c r="DT368" s="265"/>
    </row>
    <row r="369" spans="1:124" ht="30" customHeight="1">
      <c r="A369" s="228"/>
      <c r="B369" s="331"/>
      <c r="C369" s="155">
        <f t="shared" si="257"/>
        <v>25</v>
      </c>
      <c r="D369" s="781"/>
      <c r="E369" s="781"/>
      <c r="F369" s="781"/>
      <c r="G369" s="830" t="s">
        <v>246</v>
      </c>
      <c r="H369" s="830" t="s">
        <v>2849</v>
      </c>
      <c r="I369" s="294" t="s">
        <v>2850</v>
      </c>
      <c r="J369" s="207" t="str">
        <f t="shared" si="250"/>
        <v>Marco Boriosi</v>
      </c>
      <c r="K369" s="156" t="s">
        <v>2851</v>
      </c>
      <c r="L369" s="204" t="s">
        <v>2792</v>
      </c>
      <c r="M369" s="131"/>
      <c r="N369" s="131" t="str">
        <f t="shared" si="252"/>
        <v>MK</v>
      </c>
      <c r="O369" s="1297"/>
      <c r="P369" s="251"/>
      <c r="Q369" s="131"/>
      <c r="R369" s="252"/>
      <c r="S369" s="254"/>
      <c r="T369" s="346"/>
      <c r="U369" s="253"/>
      <c r="V369" s="253"/>
      <c r="W369" s="251"/>
      <c r="X369" s="131"/>
      <c r="Y369" s="251"/>
      <c r="Z369" s="251"/>
      <c r="AA369" s="251"/>
      <c r="AB369" s="255"/>
      <c r="AC369" s="256"/>
      <c r="AD369" s="121"/>
      <c r="AE369" s="80" t="str">
        <f t="shared" si="253"/>
        <v xml:space="preserve">Interessati percorso in azienda, tenete in sospeso gli 8 Master </v>
      </c>
      <c r="AF369" s="257"/>
      <c r="AG369" s="155"/>
      <c r="AH369" s="155"/>
      <c r="AI369" s="155"/>
      <c r="AJ369" s="257"/>
      <c r="AK369" s="155"/>
      <c r="AL369" s="155"/>
      <c r="AM369" s="155"/>
      <c r="AN369" s="257"/>
      <c r="AO369" s="258"/>
      <c r="AP369" s="258"/>
      <c r="AQ369" s="258"/>
      <c r="AR369" s="211"/>
      <c r="AS369" s="395" t="s">
        <v>165</v>
      </c>
      <c r="AT369" s="395" t="s">
        <v>165</v>
      </c>
      <c r="AU369" s="395" t="s">
        <v>165</v>
      </c>
      <c r="AV369" s="211"/>
      <c r="AW369" s="836"/>
      <c r="AX369" s="836"/>
      <c r="AY369" s="836"/>
      <c r="AZ369" s="808">
        <f t="shared" si="238"/>
        <v>0</v>
      </c>
      <c r="BA369" s="761">
        <f t="shared" si="239"/>
        <v>0</v>
      </c>
      <c r="BB369" s="761">
        <f t="shared" si="240"/>
        <v>0</v>
      </c>
      <c r="BC369" s="262"/>
      <c r="BD369" s="242"/>
      <c r="BE369" s="1231"/>
      <c r="BF369" s="827" t="s">
        <v>407</v>
      </c>
      <c r="BG369" s="145">
        <v>0.15</v>
      </c>
      <c r="BH369" s="261"/>
      <c r="BI369" s="242"/>
      <c r="BJ369" s="1231"/>
      <c r="BK369" s="243"/>
      <c r="BL369" s="828" t="s">
        <v>407</v>
      </c>
      <c r="BM369" s="145">
        <v>0.05</v>
      </c>
      <c r="BN369" s="262"/>
      <c r="BO369" s="242">
        <f t="shared" si="251"/>
        <v>0</v>
      </c>
      <c r="BP369" s="1231">
        <f t="shared" si="254"/>
        <v>0</v>
      </c>
      <c r="BQ369" s="243"/>
      <c r="BR369" s="110"/>
      <c r="BS369" s="226"/>
      <c r="BT369" s="110"/>
      <c r="BU369" s="263"/>
      <c r="BV369" s="110"/>
      <c r="BW369" s="348"/>
      <c r="BX369" s="110"/>
      <c r="BY369" s="263"/>
      <c r="BZ369" s="110"/>
      <c r="CA369" s="263"/>
      <c r="CB369" s="110"/>
      <c r="CC369" s="263"/>
      <c r="CD369" s="110"/>
      <c r="CE369" s="226"/>
      <c r="CF369" s="110"/>
      <c r="CG369" s="263"/>
      <c r="CH369" s="110"/>
      <c r="CI369" s="226"/>
      <c r="CJ369" s="110"/>
      <c r="CK369" s="155"/>
      <c r="CL369" s="181"/>
      <c r="CM369" s="181"/>
      <c r="CN369" s="207"/>
      <c r="CO369" s="207"/>
      <c r="CP369" s="155"/>
      <c r="CQ369" s="131"/>
      <c r="CR369" s="823" t="s">
        <v>2813</v>
      </c>
      <c r="CS369" s="820"/>
      <c r="CT369" s="820" t="b">
        <f t="shared" si="255"/>
        <v>0</v>
      </c>
      <c r="CU369" s="820" t="b">
        <f t="shared" si="256"/>
        <v>0</v>
      </c>
      <c r="CV369" s="779"/>
      <c r="CW369" s="779"/>
      <c r="CX369" s="779"/>
      <c r="CY369" s="729"/>
      <c r="CZ369" s="729"/>
      <c r="DA369" s="729"/>
      <c r="DB369" s="729"/>
      <c r="DC369" s="729"/>
      <c r="DD369" s="265"/>
      <c r="DE369" s="265"/>
      <c r="DF369" s="265"/>
      <c r="DG369" s="265"/>
      <c r="DH369" s="265"/>
      <c r="DI369" s="265"/>
      <c r="DJ369" s="265"/>
      <c r="DK369" s="265"/>
      <c r="DL369" s="265"/>
      <c r="DM369" s="265"/>
      <c r="DN369" s="265"/>
      <c r="DO369" s="265"/>
      <c r="DP369" s="265"/>
      <c r="DQ369" s="265"/>
      <c r="DR369" s="265"/>
      <c r="DS369" s="265"/>
      <c r="DT369" s="265"/>
    </row>
    <row r="370" spans="1:124" ht="30" customHeight="1">
      <c r="A370" s="228"/>
      <c r="B370" s="1237"/>
      <c r="C370" s="155">
        <f t="shared" si="257"/>
        <v>26</v>
      </c>
      <c r="D370" s="781"/>
      <c r="E370" s="781"/>
      <c r="F370" s="781"/>
      <c r="G370" s="830" t="s">
        <v>166</v>
      </c>
      <c r="H370" s="830" t="s">
        <v>2852</v>
      </c>
      <c r="I370" s="207" t="s">
        <v>2853</v>
      </c>
      <c r="J370" s="207" t="str">
        <f t="shared" si="250"/>
        <v>Matteo Canella</v>
      </c>
      <c r="K370" s="156" t="s">
        <v>2854</v>
      </c>
      <c r="L370" s="131"/>
      <c r="M370" s="131" t="s">
        <v>2855</v>
      </c>
      <c r="N370" s="131" t="str">
        <f t="shared" si="252"/>
        <v>INOXKING</v>
      </c>
      <c r="O370" s="1297"/>
      <c r="P370" s="251"/>
      <c r="Q370" s="131"/>
      <c r="R370" s="252"/>
      <c r="S370" s="254"/>
      <c r="T370" s="346"/>
      <c r="U370" s="253"/>
      <c r="V370" s="253"/>
      <c r="W370" s="251"/>
      <c r="X370" s="131"/>
      <c r="Y370" s="251"/>
      <c r="Z370" s="251"/>
      <c r="AA370" s="251"/>
      <c r="AB370" s="255"/>
      <c r="AC370" s="256"/>
      <c r="AD370" s="121"/>
      <c r="AE370" s="80">
        <f t="shared" si="253"/>
        <v>0</v>
      </c>
      <c r="AF370" s="257"/>
      <c r="AG370" s="155"/>
      <c r="AH370" s="155"/>
      <c r="AI370" s="155"/>
      <c r="AJ370" s="257"/>
      <c r="AK370" s="155"/>
      <c r="AL370" s="155"/>
      <c r="AM370" s="155"/>
      <c r="AN370" s="257"/>
      <c r="AO370" s="258"/>
      <c r="AP370" s="258"/>
      <c r="AQ370" s="258"/>
      <c r="AR370" s="211"/>
      <c r="AS370" s="395" t="s">
        <v>165</v>
      </c>
      <c r="AT370" s="395" t="s">
        <v>165</v>
      </c>
      <c r="AU370" s="395" t="s">
        <v>165</v>
      </c>
      <c r="AV370" s="211"/>
      <c r="AW370" s="836"/>
      <c r="AX370" s="836"/>
      <c r="AY370" s="836"/>
      <c r="AZ370" s="808">
        <f t="shared" si="238"/>
        <v>0</v>
      </c>
      <c r="BA370" s="761">
        <f t="shared" si="239"/>
        <v>0</v>
      </c>
      <c r="BB370" s="761">
        <f t="shared" si="240"/>
        <v>0</v>
      </c>
      <c r="BC370" s="262"/>
      <c r="BD370" s="242"/>
      <c r="BE370" s="1231"/>
      <c r="BF370" s="392" t="s">
        <v>184</v>
      </c>
      <c r="BG370" s="145">
        <v>0.05</v>
      </c>
      <c r="BH370" s="261"/>
      <c r="BI370" s="242"/>
      <c r="BJ370" s="1231"/>
      <c r="BK370" s="243"/>
      <c r="BL370" s="289" t="s">
        <v>184</v>
      </c>
      <c r="BM370" s="145">
        <v>0.05</v>
      </c>
      <c r="BN370" s="262"/>
      <c r="BO370" s="242">
        <f t="shared" si="251"/>
        <v>0</v>
      </c>
      <c r="BP370" s="1231">
        <f t="shared" si="254"/>
        <v>0</v>
      </c>
      <c r="BQ370" s="243"/>
      <c r="BR370" s="110"/>
      <c r="BS370" s="226"/>
      <c r="BT370" s="110"/>
      <c r="BU370" s="263"/>
      <c r="BV370" s="110"/>
      <c r="BW370" s="348"/>
      <c r="BX370" s="110"/>
      <c r="BY370" s="263"/>
      <c r="BZ370" s="110"/>
      <c r="CA370" s="263"/>
      <c r="CB370" s="110"/>
      <c r="CC370" s="263"/>
      <c r="CD370" s="110"/>
      <c r="CE370" s="226"/>
      <c r="CF370" s="110"/>
      <c r="CG370" s="263"/>
      <c r="CH370" s="110"/>
      <c r="CI370" s="226"/>
      <c r="CJ370" s="110"/>
      <c r="CK370" s="155">
        <v>1</v>
      </c>
      <c r="CL370" s="181" t="s">
        <v>1123</v>
      </c>
      <c r="CM370" s="181"/>
      <c r="CN370" s="207"/>
      <c r="CO370" s="207"/>
      <c r="CP370" s="155"/>
      <c r="CQ370" s="131" t="s">
        <v>1220</v>
      </c>
      <c r="CR370" s="823" t="s">
        <v>1219</v>
      </c>
      <c r="CS370" s="820"/>
      <c r="CT370" s="820" t="b">
        <f t="shared" si="255"/>
        <v>0</v>
      </c>
      <c r="CU370" s="820" t="b">
        <f t="shared" si="256"/>
        <v>0</v>
      </c>
      <c r="CV370" s="779"/>
      <c r="CW370" s="779"/>
      <c r="CX370" s="779"/>
      <c r="CY370" s="729"/>
      <c r="CZ370" s="729"/>
      <c r="DA370" s="729"/>
      <c r="DB370" s="729"/>
      <c r="DC370" s="729"/>
      <c r="DD370" s="265"/>
      <c r="DE370" s="265"/>
      <c r="DF370" s="265"/>
      <c r="DG370" s="265"/>
      <c r="DH370" s="265"/>
      <c r="DI370" s="265"/>
      <c r="DJ370" s="265"/>
      <c r="DK370" s="265"/>
      <c r="DL370" s="265"/>
      <c r="DM370" s="265"/>
      <c r="DN370" s="265"/>
      <c r="DO370" s="265"/>
      <c r="DP370" s="265"/>
      <c r="DQ370" s="265"/>
      <c r="DR370" s="265"/>
      <c r="DS370" s="265"/>
      <c r="DT370" s="265"/>
    </row>
    <row r="371" spans="1:124" ht="30" customHeight="1">
      <c r="A371" s="228"/>
      <c r="B371" s="1237"/>
      <c r="C371" s="155">
        <f t="shared" si="257"/>
        <v>27</v>
      </c>
      <c r="D371" s="781"/>
      <c r="E371" s="781"/>
      <c r="F371" s="781"/>
      <c r="G371" s="830" t="s">
        <v>166</v>
      </c>
      <c r="H371" s="830" t="s">
        <v>788</v>
      </c>
      <c r="I371" s="207"/>
      <c r="J371" s="207" t="str">
        <f t="shared" si="250"/>
        <v>Matteo Perrone</v>
      </c>
      <c r="K371" s="156"/>
      <c r="L371" s="131"/>
      <c r="M371" s="131"/>
      <c r="N371" s="131">
        <f t="shared" si="252"/>
        <v>0</v>
      </c>
      <c r="O371" s="1297"/>
      <c r="P371" s="251"/>
      <c r="Q371" s="131"/>
      <c r="R371" s="252"/>
      <c r="S371" s="254"/>
      <c r="T371" s="346"/>
      <c r="U371" s="253"/>
      <c r="V371" s="253"/>
      <c r="W371" s="251"/>
      <c r="X371" s="131"/>
      <c r="Y371" s="251"/>
      <c r="Z371" s="251"/>
      <c r="AA371" s="251"/>
      <c r="AB371" s="255"/>
      <c r="AC371" s="256"/>
      <c r="AD371" s="121"/>
      <c r="AE371" s="80">
        <f t="shared" si="253"/>
        <v>0</v>
      </c>
      <c r="AF371" s="257"/>
      <c r="AG371" s="155"/>
      <c r="AH371" s="155"/>
      <c r="AI371" s="155"/>
      <c r="AJ371" s="257"/>
      <c r="AK371" s="155"/>
      <c r="AL371" s="155"/>
      <c r="AM371" s="155"/>
      <c r="AN371" s="257"/>
      <c r="AO371" s="258"/>
      <c r="AP371" s="258"/>
      <c r="AQ371" s="258"/>
      <c r="AR371" s="211"/>
      <c r="AS371" s="395" t="s">
        <v>165</v>
      </c>
      <c r="AT371" s="395" t="s">
        <v>165</v>
      </c>
      <c r="AU371" s="395" t="s">
        <v>165</v>
      </c>
      <c r="AV371" s="211"/>
      <c r="AW371" s="259"/>
      <c r="AX371" s="259"/>
      <c r="AY371" s="259"/>
      <c r="AZ371" s="808">
        <f t="shared" si="238"/>
        <v>0</v>
      </c>
      <c r="BA371" s="761">
        <f t="shared" si="239"/>
        <v>0</v>
      </c>
      <c r="BB371" s="761">
        <f t="shared" si="240"/>
        <v>0</v>
      </c>
      <c r="BC371" s="262"/>
      <c r="BD371" s="242"/>
      <c r="BE371" s="1231"/>
      <c r="BF371" s="161"/>
      <c r="BG371" s="145"/>
      <c r="BH371" s="261"/>
      <c r="BI371" s="242"/>
      <c r="BJ371" s="1231"/>
      <c r="BK371" s="243"/>
      <c r="BL371" s="131"/>
      <c r="BM371" s="145">
        <v>0.05</v>
      </c>
      <c r="BN371" s="262"/>
      <c r="BO371" s="242">
        <f t="shared" si="251"/>
        <v>0</v>
      </c>
      <c r="BP371" s="1231">
        <f t="shared" si="254"/>
        <v>0</v>
      </c>
      <c r="BQ371" s="243"/>
      <c r="BR371" s="110"/>
      <c r="BS371" s="226"/>
      <c r="BT371" s="110"/>
      <c r="BU371" s="263"/>
      <c r="BV371" s="110"/>
      <c r="BW371" s="348"/>
      <c r="BX371" s="110"/>
      <c r="BY371" s="263"/>
      <c r="BZ371" s="110"/>
      <c r="CA371" s="263"/>
      <c r="CB371" s="110"/>
      <c r="CC371" s="263"/>
      <c r="CD371" s="110"/>
      <c r="CE371" s="226"/>
      <c r="CF371" s="110"/>
      <c r="CG371" s="263"/>
      <c r="CH371" s="110"/>
      <c r="CI371" s="226"/>
      <c r="CJ371" s="110"/>
      <c r="CK371" s="155"/>
      <c r="CL371" s="181"/>
      <c r="CM371" s="181"/>
      <c r="CN371" s="207"/>
      <c r="CO371" s="207"/>
      <c r="CP371" s="155"/>
      <c r="CQ371" s="131"/>
      <c r="CR371" s="823"/>
      <c r="CS371" s="242"/>
      <c r="CT371" s="242"/>
      <c r="CU371" s="242"/>
      <c r="CV371" s="779"/>
      <c r="CW371" s="779"/>
      <c r="CX371" s="779"/>
      <c r="CY371" s="729"/>
      <c r="CZ371" s="729"/>
      <c r="DA371" s="729"/>
      <c r="DB371" s="729"/>
      <c r="DC371" s="729"/>
      <c r="DE371" s="265"/>
      <c r="DF371" s="265"/>
      <c r="DG371" s="265"/>
      <c r="DH371" s="265"/>
      <c r="DI371" s="265"/>
      <c r="DJ371" s="265"/>
      <c r="DK371" s="265"/>
      <c r="DL371" s="265"/>
      <c r="DM371" s="265"/>
      <c r="DN371" s="265"/>
      <c r="DO371" s="265"/>
      <c r="DP371" s="265"/>
      <c r="DQ371" s="265"/>
      <c r="DR371" s="265"/>
      <c r="DS371" s="265"/>
      <c r="DT371" s="265"/>
    </row>
    <row r="372" spans="1:124" ht="30" customHeight="1">
      <c r="A372" s="228"/>
      <c r="B372" s="1237"/>
      <c r="C372" s="155">
        <f t="shared" si="257"/>
        <v>28</v>
      </c>
      <c r="D372" s="781"/>
      <c r="E372" s="781"/>
      <c r="F372" s="781"/>
      <c r="G372" s="830" t="s">
        <v>2857</v>
      </c>
      <c r="H372" s="830" t="s">
        <v>2858</v>
      </c>
      <c r="I372" s="207" t="s">
        <v>2859</v>
      </c>
      <c r="J372" s="207" t="str">
        <f t="shared" si="250"/>
        <v>Mattia Giulio Odone</v>
      </c>
      <c r="K372" s="156" t="s">
        <v>2860</v>
      </c>
      <c r="L372" s="131"/>
      <c r="M372" s="131" t="s">
        <v>719</v>
      </c>
      <c r="N372" s="131" t="str">
        <f t="shared" si="252"/>
        <v>Nt Majocchi</v>
      </c>
      <c r="O372" s="1297"/>
      <c r="P372" s="251"/>
      <c r="Q372" s="131"/>
      <c r="R372" s="252"/>
      <c r="S372" s="254"/>
      <c r="T372" s="346"/>
      <c r="U372" s="253"/>
      <c r="V372" s="253"/>
      <c r="W372" s="251"/>
      <c r="X372" s="131"/>
      <c r="Y372" s="251"/>
      <c r="Z372" s="251"/>
      <c r="AA372" s="251"/>
      <c r="AB372" s="255"/>
      <c r="AC372" s="256"/>
      <c r="AD372" s="121"/>
      <c r="AE372" s="80">
        <f t="shared" si="253"/>
        <v>0</v>
      </c>
      <c r="AF372" s="257"/>
      <c r="AG372" s="155"/>
      <c r="AH372" s="155"/>
      <c r="AI372" s="155"/>
      <c r="AJ372" s="257"/>
      <c r="AK372" s="155"/>
      <c r="AL372" s="155"/>
      <c r="AM372" s="155"/>
      <c r="AN372" s="257"/>
      <c r="AO372" s="258"/>
      <c r="AP372" s="258"/>
      <c r="AQ372" s="258"/>
      <c r="AR372" s="211"/>
      <c r="AS372" s="565" t="s">
        <v>165</v>
      </c>
      <c r="AT372" s="565" t="s">
        <v>165</v>
      </c>
      <c r="AU372" s="565" t="s">
        <v>165</v>
      </c>
      <c r="AV372" s="211"/>
      <c r="AW372" s="259"/>
      <c r="AX372" s="259"/>
      <c r="AY372" s="259"/>
      <c r="AZ372" s="808">
        <f t="shared" si="238"/>
        <v>0</v>
      </c>
      <c r="BA372" s="761">
        <f t="shared" si="239"/>
        <v>0</v>
      </c>
      <c r="BB372" s="761">
        <f t="shared" si="240"/>
        <v>0</v>
      </c>
      <c r="BC372" s="262"/>
      <c r="BD372" s="824">
        <f t="shared" ref="BD372:BD373" si="267">AZ372</f>
        <v>0</v>
      </c>
      <c r="BE372" s="1231"/>
      <c r="BF372" s="363" t="s">
        <v>117</v>
      </c>
      <c r="BG372" s="98">
        <v>0</v>
      </c>
      <c r="BH372" s="261"/>
      <c r="BI372" s="242">
        <f t="shared" ref="BI372:BI373" si="268">BD372*BG372</f>
        <v>0</v>
      </c>
      <c r="BJ372" s="1232">
        <f t="shared" ref="BJ372:BJ373" si="269">BE372*BG372</f>
        <v>0</v>
      </c>
      <c r="BK372" s="1267" t="s">
        <v>118</v>
      </c>
      <c r="BL372" s="828" t="s">
        <v>152</v>
      </c>
      <c r="BM372" s="145">
        <v>0.05</v>
      </c>
      <c r="BN372" s="262"/>
      <c r="BO372" s="242">
        <f t="shared" si="251"/>
        <v>0</v>
      </c>
      <c r="BP372" s="1231">
        <f t="shared" si="254"/>
        <v>0</v>
      </c>
      <c r="BQ372" s="243"/>
      <c r="BR372" s="110"/>
      <c r="BS372" s="226"/>
      <c r="BT372" s="110"/>
      <c r="BU372" s="263"/>
      <c r="BV372" s="110"/>
      <c r="BW372" s="348"/>
      <c r="BX372" s="110"/>
      <c r="BY372" s="263"/>
      <c r="BZ372" s="110"/>
      <c r="CA372" s="263"/>
      <c r="CB372" s="110"/>
      <c r="CC372" s="263"/>
      <c r="CD372" s="110"/>
      <c r="CE372" s="226"/>
      <c r="CF372" s="110"/>
      <c r="CG372" s="263"/>
      <c r="CH372" s="110"/>
      <c r="CI372" s="226"/>
      <c r="CJ372" s="110"/>
      <c r="CK372" s="155">
        <v>1</v>
      </c>
      <c r="CL372" s="181" t="s">
        <v>1123</v>
      </c>
      <c r="CM372" s="181"/>
      <c r="CN372" s="207"/>
      <c r="CO372" s="207"/>
      <c r="CP372" s="155"/>
      <c r="CQ372" s="131"/>
      <c r="CR372" s="823" t="s">
        <v>2862</v>
      </c>
      <c r="CS372" s="820"/>
      <c r="CT372" s="820" t="b">
        <f t="shared" ref="CT372:CT381" si="270">IF(OR(D372&gt;0,E372&gt;0,F372&gt;0),IF(BB372=0,BD372*BG372,0))</f>
        <v>0</v>
      </c>
      <c r="CU372" s="820" t="b">
        <f t="shared" ref="CU372:CU381" si="271">IF(OR(D372&gt;0,E372&gt;0,F372&gt;0),IF(BB372=0,BD372*BM372,0))</f>
        <v>0</v>
      </c>
      <c r="CV372" s="779"/>
      <c r="CW372" s="779"/>
      <c r="CX372" s="779"/>
      <c r="CY372" s="729"/>
      <c r="CZ372" s="729"/>
      <c r="DA372" s="729"/>
      <c r="DB372" s="729"/>
      <c r="DC372" s="729"/>
      <c r="DD372" s="265"/>
      <c r="DE372" s="265"/>
      <c r="DF372" s="265"/>
      <c r="DG372" s="265"/>
      <c r="DH372" s="265"/>
      <c r="DI372" s="265"/>
      <c r="DJ372" s="265"/>
      <c r="DK372" s="265"/>
      <c r="DL372" s="265"/>
      <c r="DM372" s="265"/>
      <c r="DN372" s="265"/>
      <c r="DO372" s="265"/>
      <c r="DP372" s="265"/>
      <c r="DQ372" s="265"/>
      <c r="DR372" s="265"/>
      <c r="DS372" s="265"/>
      <c r="DT372" s="265"/>
    </row>
    <row r="373" spans="1:124" ht="30" customHeight="1">
      <c r="A373" s="228"/>
      <c r="B373" s="1237"/>
      <c r="C373" s="155">
        <f t="shared" si="257"/>
        <v>29</v>
      </c>
      <c r="D373" s="781"/>
      <c r="E373" s="781"/>
      <c r="F373" s="781"/>
      <c r="G373" s="830" t="s">
        <v>730</v>
      </c>
      <c r="H373" s="830" t="s">
        <v>2863</v>
      </c>
      <c r="I373" s="207" t="s">
        <v>2864</v>
      </c>
      <c r="J373" s="207" t="str">
        <f t="shared" si="250"/>
        <v>Mauro Pagani</v>
      </c>
      <c r="K373" s="156">
        <v>3355362327</v>
      </c>
      <c r="L373" s="204" t="s">
        <v>2741</v>
      </c>
      <c r="M373" s="131" t="s">
        <v>1148</v>
      </c>
      <c r="N373" s="131" t="str">
        <f t="shared" si="252"/>
        <v>Aere</v>
      </c>
      <c r="O373" s="1297"/>
      <c r="P373" s="251"/>
      <c r="Q373" s="131"/>
      <c r="R373" s="252"/>
      <c r="S373" s="254"/>
      <c r="T373" s="346"/>
      <c r="U373" s="253"/>
      <c r="V373" s="253"/>
      <c r="W373" s="251"/>
      <c r="X373" s="131"/>
      <c r="Y373" s="251"/>
      <c r="Z373" s="251"/>
      <c r="AA373" s="251"/>
      <c r="AB373" s="255"/>
      <c r="AC373" s="256"/>
      <c r="AD373" s="121"/>
      <c r="AE373" s="80" t="str">
        <f t="shared" si="253"/>
        <v>Appuntamento 14.10 in azienda per Aiutarli</v>
      </c>
      <c r="AF373" s="257"/>
      <c r="AG373" s="155"/>
      <c r="AH373" s="155"/>
      <c r="AI373" s="155"/>
      <c r="AJ373" s="257"/>
      <c r="AK373" s="155"/>
      <c r="AL373" s="155"/>
      <c r="AM373" s="155"/>
      <c r="AN373" s="257"/>
      <c r="AO373" s="258"/>
      <c r="AP373" s="258"/>
      <c r="AQ373" s="258"/>
      <c r="AR373" s="211"/>
      <c r="AS373" s="565" t="s">
        <v>165</v>
      </c>
      <c r="AT373" s="565" t="s">
        <v>165</v>
      </c>
      <c r="AU373" s="565" t="s">
        <v>165</v>
      </c>
      <c r="AV373" s="211"/>
      <c r="AW373" s="259"/>
      <c r="AX373" s="259"/>
      <c r="AY373" s="259"/>
      <c r="AZ373" s="808">
        <f t="shared" si="238"/>
        <v>0</v>
      </c>
      <c r="BA373" s="761">
        <f t="shared" si="239"/>
        <v>0</v>
      </c>
      <c r="BB373" s="761">
        <f t="shared" si="240"/>
        <v>0</v>
      </c>
      <c r="BC373" s="262"/>
      <c r="BD373" s="824">
        <f t="shared" si="267"/>
        <v>0</v>
      </c>
      <c r="BE373" s="1231"/>
      <c r="BF373" s="105" t="s">
        <v>117</v>
      </c>
      <c r="BG373" s="98">
        <v>0</v>
      </c>
      <c r="BH373" s="261"/>
      <c r="BI373" s="242">
        <f t="shared" si="268"/>
        <v>0</v>
      </c>
      <c r="BJ373" s="1232">
        <f t="shared" si="269"/>
        <v>0</v>
      </c>
      <c r="BK373" s="1267" t="s">
        <v>118</v>
      </c>
      <c r="BL373" s="825" t="s">
        <v>152</v>
      </c>
      <c r="BM373" s="145">
        <v>0.05</v>
      </c>
      <c r="BN373" s="262"/>
      <c r="BO373" s="242">
        <f t="shared" si="251"/>
        <v>0</v>
      </c>
      <c r="BP373" s="1231">
        <f t="shared" si="254"/>
        <v>0</v>
      </c>
      <c r="BQ373" s="243"/>
      <c r="BR373" s="110"/>
      <c r="BS373" s="226"/>
      <c r="BT373" s="110"/>
      <c r="BU373" s="263"/>
      <c r="BV373" s="110"/>
      <c r="BW373" s="348"/>
      <c r="BX373" s="110"/>
      <c r="BY373" s="263"/>
      <c r="BZ373" s="110"/>
      <c r="CA373" s="263"/>
      <c r="CB373" s="110"/>
      <c r="CC373" s="263"/>
      <c r="CD373" s="110"/>
      <c r="CE373" s="226"/>
      <c r="CF373" s="110"/>
      <c r="CG373" s="263"/>
      <c r="CH373" s="110"/>
      <c r="CI373" s="226"/>
      <c r="CJ373" s="110"/>
      <c r="CK373" s="155">
        <v>1</v>
      </c>
      <c r="CL373" s="181" t="s">
        <v>1123</v>
      </c>
      <c r="CM373" s="181"/>
      <c r="CN373" s="207"/>
      <c r="CO373" s="207"/>
      <c r="CP373" s="155"/>
      <c r="CQ373" s="131" t="s">
        <v>2745</v>
      </c>
      <c r="CR373" s="823" t="s">
        <v>2746</v>
      </c>
      <c r="CS373" s="820"/>
      <c r="CT373" s="820" t="b">
        <f t="shared" si="270"/>
        <v>0</v>
      </c>
      <c r="CU373" s="820" t="b">
        <f t="shared" si="271"/>
        <v>0</v>
      </c>
      <c r="CV373" s="779"/>
      <c r="CW373" s="779"/>
      <c r="CX373" s="779"/>
      <c r="CY373" s="729"/>
      <c r="CZ373" s="729"/>
      <c r="DA373" s="729"/>
      <c r="DB373" s="729"/>
      <c r="DC373" s="729"/>
      <c r="DD373" s="265"/>
      <c r="DE373" s="265"/>
      <c r="DF373" s="265"/>
      <c r="DG373" s="265"/>
      <c r="DH373" s="265"/>
      <c r="DI373" s="265"/>
      <c r="DJ373" s="265"/>
      <c r="DK373" s="265"/>
      <c r="DL373" s="265"/>
      <c r="DM373" s="265"/>
      <c r="DN373" s="265"/>
      <c r="DO373" s="265"/>
      <c r="DP373" s="265"/>
      <c r="DQ373" s="265"/>
      <c r="DR373" s="265"/>
      <c r="DS373" s="265"/>
      <c r="DT373" s="265"/>
    </row>
    <row r="374" spans="1:124" ht="30" customHeight="1">
      <c r="A374" s="228"/>
      <c r="B374" s="1314"/>
      <c r="C374" s="155">
        <f t="shared" si="257"/>
        <v>30</v>
      </c>
      <c r="D374" s="781"/>
      <c r="E374" s="781"/>
      <c r="F374" s="781"/>
      <c r="G374" s="830" t="s">
        <v>769</v>
      </c>
      <c r="H374" s="830" t="s">
        <v>2865</v>
      </c>
      <c r="I374" s="207" t="s">
        <v>2866</v>
      </c>
      <c r="J374" s="207" t="str">
        <f t="shared" si="250"/>
        <v>Paolo Pucci</v>
      </c>
      <c r="K374" s="156" t="s">
        <v>2867</v>
      </c>
      <c r="L374" s="204" t="s">
        <v>2792</v>
      </c>
      <c r="M374" s="131" t="s">
        <v>2868</v>
      </c>
      <c r="N374" s="131" t="str">
        <f t="shared" si="252"/>
        <v>Tentamus Agriparadigma</v>
      </c>
      <c r="O374" s="1297"/>
      <c r="P374" s="251"/>
      <c r="Q374" s="131"/>
      <c r="R374" s="252"/>
      <c r="S374" s="254"/>
      <c r="T374" s="346"/>
      <c r="U374" s="253"/>
      <c r="V374" s="253"/>
      <c r="W374" s="251"/>
      <c r="X374" s="131"/>
      <c r="Y374" s="251"/>
      <c r="Z374" s="251"/>
      <c r="AA374" s="251"/>
      <c r="AB374" s="255"/>
      <c r="AC374" s="256"/>
      <c r="AD374" s="121"/>
      <c r="AE374" s="80" t="str">
        <f t="shared" si="253"/>
        <v xml:space="preserve">Interessati percorso in azienda, tenete in sospeso gli 8 Master </v>
      </c>
      <c r="AF374" s="257"/>
      <c r="AG374" s="155"/>
      <c r="AH374" s="155"/>
      <c r="AI374" s="155"/>
      <c r="AJ374" s="257"/>
      <c r="AK374" s="155"/>
      <c r="AL374" s="155"/>
      <c r="AM374" s="155"/>
      <c r="AN374" s="257"/>
      <c r="AO374" s="258"/>
      <c r="AP374" s="258"/>
      <c r="AQ374" s="258"/>
      <c r="AR374" s="211"/>
      <c r="AS374" s="154" t="s">
        <v>165</v>
      </c>
      <c r="AT374" s="154" t="s">
        <v>165</v>
      </c>
      <c r="AU374" s="154" t="s">
        <v>165</v>
      </c>
      <c r="AV374" s="211"/>
      <c r="AW374" s="121"/>
      <c r="AX374" s="121"/>
      <c r="AY374" s="121"/>
      <c r="AZ374" s="808">
        <f t="shared" si="238"/>
        <v>0</v>
      </c>
      <c r="BA374" s="761">
        <f t="shared" si="239"/>
        <v>0</v>
      </c>
      <c r="BB374" s="761">
        <f t="shared" si="240"/>
        <v>0</v>
      </c>
      <c r="BC374" s="262"/>
      <c r="BD374" s="242"/>
      <c r="BE374" s="1231"/>
      <c r="BF374" s="392" t="s">
        <v>407</v>
      </c>
      <c r="BG374" s="145">
        <v>0.15</v>
      </c>
      <c r="BH374" s="262"/>
      <c r="BI374" s="242"/>
      <c r="BJ374" s="1231"/>
      <c r="BK374" s="772"/>
      <c r="BL374" s="289" t="s">
        <v>407</v>
      </c>
      <c r="BM374" s="145">
        <v>0.05</v>
      </c>
      <c r="BN374" s="262"/>
      <c r="BO374" s="242">
        <f t="shared" si="251"/>
        <v>0</v>
      </c>
      <c r="BP374" s="1231">
        <f t="shared" si="254"/>
        <v>0</v>
      </c>
      <c r="BQ374" s="243"/>
      <c r="BR374" s="110"/>
      <c r="BS374" s="226"/>
      <c r="BT374" s="110"/>
      <c r="BU374" s="263"/>
      <c r="BV374" s="110"/>
      <c r="BW374" s="348"/>
      <c r="BX374" s="110"/>
      <c r="BY374" s="263"/>
      <c r="BZ374" s="110"/>
      <c r="CA374" s="263"/>
      <c r="CB374" s="110"/>
      <c r="CC374" s="263"/>
      <c r="CD374" s="110"/>
      <c r="CE374" s="226"/>
      <c r="CF374" s="110"/>
      <c r="CG374" s="263"/>
      <c r="CH374" s="110"/>
      <c r="CI374" s="226"/>
      <c r="CJ374" s="110"/>
      <c r="CK374" s="155"/>
      <c r="CL374" s="181"/>
      <c r="CM374" s="181"/>
      <c r="CN374" s="207"/>
      <c r="CO374" s="207"/>
      <c r="CP374" s="155"/>
      <c r="CQ374" s="131"/>
      <c r="CR374" s="823" t="s">
        <v>2794</v>
      </c>
      <c r="CS374" s="820"/>
      <c r="CT374" s="820" t="b">
        <f t="shared" si="270"/>
        <v>0</v>
      </c>
      <c r="CU374" s="820" t="b">
        <f t="shared" si="271"/>
        <v>0</v>
      </c>
      <c r="CV374" s="779"/>
      <c r="CW374" s="779"/>
      <c r="CX374" s="779"/>
      <c r="CY374" s="729"/>
      <c r="CZ374" s="729"/>
      <c r="DA374" s="729"/>
      <c r="DB374" s="729"/>
      <c r="DC374" s="729"/>
      <c r="DD374" s="265"/>
      <c r="DE374" s="265"/>
      <c r="DF374" s="265"/>
      <c r="DG374" s="265"/>
      <c r="DH374" s="265"/>
      <c r="DI374" s="265"/>
      <c r="DJ374" s="265"/>
      <c r="DK374" s="265"/>
      <c r="DL374" s="265"/>
      <c r="DM374" s="265"/>
      <c r="DN374" s="265"/>
      <c r="DO374" s="265"/>
      <c r="DP374" s="265"/>
      <c r="DQ374" s="265"/>
      <c r="DR374" s="265"/>
      <c r="DS374" s="265"/>
      <c r="DT374" s="265"/>
    </row>
    <row r="375" spans="1:124" ht="30" customHeight="1">
      <c r="A375" s="228"/>
      <c r="B375" s="1237"/>
      <c r="C375" s="155">
        <f t="shared" si="257"/>
        <v>31</v>
      </c>
      <c r="D375" s="781"/>
      <c r="E375" s="781"/>
      <c r="F375" s="781"/>
      <c r="G375" s="830" t="s">
        <v>822</v>
      </c>
      <c r="H375" s="830" t="s">
        <v>2870</v>
      </c>
      <c r="I375" s="207" t="s">
        <v>2871</v>
      </c>
      <c r="J375" s="207" t="str">
        <f t="shared" si="250"/>
        <v>Roberto Pegurri</v>
      </c>
      <c r="K375" s="156" t="s">
        <v>2872</v>
      </c>
      <c r="L375" s="204" t="s">
        <v>2741</v>
      </c>
      <c r="M375" s="131" t="s">
        <v>2873</v>
      </c>
      <c r="N375" s="131" t="str">
        <f t="shared" si="252"/>
        <v>Aere</v>
      </c>
      <c r="O375" s="1297"/>
      <c r="P375" s="251"/>
      <c r="Q375" s="131"/>
      <c r="R375" s="252"/>
      <c r="S375" s="254"/>
      <c r="T375" s="346"/>
      <c r="U375" s="253"/>
      <c r="V375" s="253"/>
      <c r="W375" s="251"/>
      <c r="X375" s="131"/>
      <c r="Y375" s="251"/>
      <c r="Z375" s="251"/>
      <c r="AA375" s="251"/>
      <c r="AB375" s="255"/>
      <c r="AC375" s="256"/>
      <c r="AD375" s="121"/>
      <c r="AE375" s="80" t="str">
        <f t="shared" si="253"/>
        <v>Appuntamento 14.10 in azienda per Aiutarli</v>
      </c>
      <c r="AF375" s="257"/>
      <c r="AG375" s="155"/>
      <c r="AH375" s="155"/>
      <c r="AI375" s="155"/>
      <c r="AJ375" s="257"/>
      <c r="AK375" s="155"/>
      <c r="AL375" s="155"/>
      <c r="AM375" s="155"/>
      <c r="AN375" s="257"/>
      <c r="AO375" s="258"/>
      <c r="AP375" s="258"/>
      <c r="AQ375" s="258"/>
      <c r="AR375" s="211"/>
      <c r="AS375" s="565" t="s">
        <v>165</v>
      </c>
      <c r="AT375" s="565" t="s">
        <v>165</v>
      </c>
      <c r="AU375" s="565" t="s">
        <v>165</v>
      </c>
      <c r="AV375" s="211"/>
      <c r="AW375" s="121"/>
      <c r="AX375" s="121"/>
      <c r="AY375" s="121"/>
      <c r="AZ375" s="808">
        <f t="shared" si="238"/>
        <v>0</v>
      </c>
      <c r="BA375" s="761">
        <f t="shared" si="239"/>
        <v>0</v>
      </c>
      <c r="BB375" s="761">
        <f t="shared" si="240"/>
        <v>0</v>
      </c>
      <c r="BC375" s="262"/>
      <c r="BD375" s="824">
        <f>AZ375</f>
        <v>0</v>
      </c>
      <c r="BE375" s="1231"/>
      <c r="BF375" s="380" t="s">
        <v>117</v>
      </c>
      <c r="BG375" s="98">
        <v>0</v>
      </c>
      <c r="BH375" s="262"/>
      <c r="BI375" s="242">
        <f>BD375*BG375</f>
        <v>0</v>
      </c>
      <c r="BJ375" s="1232">
        <f>BE375*BG375</f>
        <v>0</v>
      </c>
      <c r="BK375" s="1267" t="s">
        <v>118</v>
      </c>
      <c r="BL375" s="825" t="s">
        <v>152</v>
      </c>
      <c r="BM375" s="145">
        <v>0.05</v>
      </c>
      <c r="BN375" s="262"/>
      <c r="BO375" s="242">
        <f t="shared" si="251"/>
        <v>0</v>
      </c>
      <c r="BP375" s="1231">
        <f t="shared" si="254"/>
        <v>0</v>
      </c>
      <c r="BQ375" s="243"/>
      <c r="BR375" s="110"/>
      <c r="BS375" s="226"/>
      <c r="BT375" s="110"/>
      <c r="BU375" s="263"/>
      <c r="BV375" s="110"/>
      <c r="BW375" s="348"/>
      <c r="BX375" s="110"/>
      <c r="BY375" s="263"/>
      <c r="BZ375" s="110"/>
      <c r="CA375" s="263"/>
      <c r="CB375" s="110"/>
      <c r="CC375" s="263"/>
      <c r="CD375" s="110"/>
      <c r="CE375" s="226"/>
      <c r="CF375" s="110"/>
      <c r="CG375" s="263"/>
      <c r="CH375" s="110"/>
      <c r="CI375" s="226"/>
      <c r="CJ375" s="110"/>
      <c r="CK375" s="155">
        <v>1</v>
      </c>
      <c r="CL375" s="181" t="s">
        <v>1123</v>
      </c>
      <c r="CM375" s="181"/>
      <c r="CN375" s="207"/>
      <c r="CO375" s="207"/>
      <c r="CP375" s="155"/>
      <c r="CQ375" s="131" t="s">
        <v>2745</v>
      </c>
      <c r="CR375" s="823" t="s">
        <v>2746</v>
      </c>
      <c r="CS375" s="820"/>
      <c r="CT375" s="820" t="b">
        <f t="shared" si="270"/>
        <v>0</v>
      </c>
      <c r="CU375" s="820" t="b">
        <f t="shared" si="271"/>
        <v>0</v>
      </c>
      <c r="CV375" s="779"/>
      <c r="CW375" s="779"/>
      <c r="CX375" s="779"/>
      <c r="CY375" s="729"/>
      <c r="CZ375" s="729"/>
      <c r="DA375" s="729"/>
      <c r="DB375" s="729"/>
      <c r="DC375" s="729"/>
      <c r="DD375" s="265"/>
      <c r="DE375" s="265"/>
      <c r="DF375" s="265"/>
      <c r="DG375" s="265"/>
      <c r="DH375" s="265"/>
      <c r="DI375" s="265"/>
      <c r="DJ375" s="265"/>
      <c r="DK375" s="265"/>
      <c r="DL375" s="265"/>
      <c r="DM375" s="265"/>
      <c r="DN375" s="265"/>
      <c r="DO375" s="265"/>
      <c r="DP375" s="265"/>
      <c r="DQ375" s="265"/>
      <c r="DR375" s="265"/>
      <c r="DS375" s="265"/>
      <c r="DT375" s="265"/>
    </row>
    <row r="376" spans="1:124" ht="30" customHeight="1">
      <c r="A376" s="228"/>
      <c r="B376" s="1237"/>
      <c r="C376" s="155">
        <f t="shared" si="257"/>
        <v>32</v>
      </c>
      <c r="D376" s="781"/>
      <c r="E376" s="781"/>
      <c r="F376" s="781"/>
      <c r="G376" s="830" t="s">
        <v>1299</v>
      </c>
      <c r="H376" s="830" t="s">
        <v>2874</v>
      </c>
      <c r="I376" s="207" t="s">
        <v>2875</v>
      </c>
      <c r="J376" s="207" t="str">
        <f t="shared" si="250"/>
        <v>Samuele Trezza</v>
      </c>
      <c r="K376" s="156" t="s">
        <v>2876</v>
      </c>
      <c r="L376" s="131"/>
      <c r="M376" s="131" t="s">
        <v>2877</v>
      </c>
      <c r="N376" s="131" t="str">
        <f t="shared" si="252"/>
        <v>ELLETRE - ENGEL &amp; VOELKERS</v>
      </c>
      <c r="O376" s="1297"/>
      <c r="P376" s="251"/>
      <c r="Q376" s="131"/>
      <c r="R376" s="252"/>
      <c r="S376" s="254"/>
      <c r="T376" s="346"/>
      <c r="U376" s="253"/>
      <c r="V376" s="253"/>
      <c r="W376" s="251"/>
      <c r="X376" s="131"/>
      <c r="Y376" s="251"/>
      <c r="Z376" s="251"/>
      <c r="AA376" s="251"/>
      <c r="AB376" s="255"/>
      <c r="AC376" s="256"/>
      <c r="AD376" s="121"/>
      <c r="AE376" s="80">
        <f t="shared" si="253"/>
        <v>0</v>
      </c>
      <c r="AF376" s="257"/>
      <c r="AG376" s="155"/>
      <c r="AH376" s="155"/>
      <c r="AI376" s="155"/>
      <c r="AJ376" s="257"/>
      <c r="AK376" s="155"/>
      <c r="AL376" s="155"/>
      <c r="AM376" s="155"/>
      <c r="AN376" s="257"/>
      <c r="AO376" s="258"/>
      <c r="AP376" s="258"/>
      <c r="AQ376" s="258"/>
      <c r="AR376" s="211"/>
      <c r="AS376" s="154" t="s">
        <v>165</v>
      </c>
      <c r="AT376" s="154" t="s">
        <v>165</v>
      </c>
      <c r="AU376" s="154" t="s">
        <v>165</v>
      </c>
      <c r="AV376" s="211"/>
      <c r="AW376" s="121"/>
      <c r="AX376" s="121"/>
      <c r="AY376" s="121"/>
      <c r="AZ376" s="808">
        <f t="shared" si="238"/>
        <v>0</v>
      </c>
      <c r="BA376" s="761">
        <f t="shared" si="239"/>
        <v>0</v>
      </c>
      <c r="BB376" s="761">
        <f t="shared" si="240"/>
        <v>0</v>
      </c>
      <c r="BC376" s="262"/>
      <c r="BD376" s="242"/>
      <c r="BE376" s="1231"/>
      <c r="BF376" s="379" t="s">
        <v>487</v>
      </c>
      <c r="BG376" s="145">
        <v>0.15</v>
      </c>
      <c r="BH376" s="262"/>
      <c r="BI376" s="242"/>
      <c r="BJ376" s="1231"/>
      <c r="BK376" s="772"/>
      <c r="BL376" s="837" t="s">
        <v>487</v>
      </c>
      <c r="BM376" s="145">
        <v>0.05</v>
      </c>
      <c r="BN376" s="262"/>
      <c r="BO376" s="242">
        <f t="shared" si="251"/>
        <v>0</v>
      </c>
      <c r="BP376" s="1231">
        <f t="shared" si="254"/>
        <v>0</v>
      </c>
      <c r="BQ376" s="243"/>
      <c r="BR376" s="110"/>
      <c r="BS376" s="226"/>
      <c r="BT376" s="110"/>
      <c r="BU376" s="263"/>
      <c r="BV376" s="110"/>
      <c r="BW376" s="348"/>
      <c r="BX376" s="110"/>
      <c r="BY376" s="263"/>
      <c r="BZ376" s="110"/>
      <c r="CA376" s="263"/>
      <c r="CB376" s="110"/>
      <c r="CC376" s="263"/>
      <c r="CD376" s="110"/>
      <c r="CE376" s="226"/>
      <c r="CF376" s="110"/>
      <c r="CG376" s="263"/>
      <c r="CH376" s="110"/>
      <c r="CI376" s="226"/>
      <c r="CJ376" s="110"/>
      <c r="CK376" s="155">
        <v>0</v>
      </c>
      <c r="CL376" s="181" t="s">
        <v>154</v>
      </c>
      <c r="CM376" s="181"/>
      <c r="CN376" s="207"/>
      <c r="CO376" s="207"/>
      <c r="CP376" s="155"/>
      <c r="CQ376" s="131"/>
      <c r="CR376" s="823" t="s">
        <v>2878</v>
      </c>
      <c r="CS376" s="820"/>
      <c r="CT376" s="820" t="b">
        <f t="shared" si="270"/>
        <v>0</v>
      </c>
      <c r="CU376" s="820" t="b">
        <f t="shared" si="271"/>
        <v>0</v>
      </c>
      <c r="CV376" s="779"/>
      <c r="CW376" s="779"/>
      <c r="CX376" s="779"/>
      <c r="CY376" s="729"/>
      <c r="CZ376" s="729"/>
      <c r="DA376" s="729"/>
      <c r="DB376" s="729"/>
      <c r="DC376" s="729"/>
      <c r="DD376" s="265"/>
      <c r="DE376" s="265"/>
      <c r="DF376" s="265"/>
      <c r="DG376" s="265"/>
      <c r="DH376" s="265"/>
      <c r="DI376" s="265"/>
      <c r="DJ376" s="265"/>
      <c r="DK376" s="265"/>
      <c r="DL376" s="265"/>
      <c r="DM376" s="265"/>
      <c r="DN376" s="265"/>
      <c r="DO376" s="265"/>
      <c r="DP376" s="265"/>
      <c r="DQ376" s="265"/>
      <c r="DR376" s="265"/>
      <c r="DS376" s="265"/>
      <c r="DT376" s="265"/>
    </row>
    <row r="377" spans="1:124" ht="30" customHeight="1">
      <c r="A377" s="228"/>
      <c r="B377" s="1237"/>
      <c r="C377" s="155">
        <f t="shared" si="257"/>
        <v>33</v>
      </c>
      <c r="D377" s="781"/>
      <c r="E377" s="781"/>
      <c r="F377" s="781"/>
      <c r="G377" s="830" t="s">
        <v>208</v>
      </c>
      <c r="H377" s="830" t="s">
        <v>2879</v>
      </c>
      <c r="I377" s="207" t="s">
        <v>2880</v>
      </c>
      <c r="J377" s="207" t="str">
        <f t="shared" si="250"/>
        <v>Sara De Vecchi</v>
      </c>
      <c r="K377" s="156" t="s">
        <v>2881</v>
      </c>
      <c r="L377" s="131"/>
      <c r="M377" s="823" t="s">
        <v>2882</v>
      </c>
      <c r="N377" s="131" t="str">
        <f t="shared" si="252"/>
        <v>3 D service</v>
      </c>
      <c r="O377" s="1297"/>
      <c r="P377" s="251"/>
      <c r="Q377" s="131"/>
      <c r="R377" s="252"/>
      <c r="S377" s="254"/>
      <c r="T377" s="346"/>
      <c r="U377" s="253"/>
      <c r="V377" s="253"/>
      <c r="W377" s="251"/>
      <c r="X377" s="131"/>
      <c r="Y377" s="251"/>
      <c r="Z377" s="251"/>
      <c r="AA377" s="251"/>
      <c r="AB377" s="255"/>
      <c r="AC377" s="256"/>
      <c r="AD377" s="121"/>
      <c r="AE377" s="80">
        <f t="shared" si="253"/>
        <v>0</v>
      </c>
      <c r="AF377" s="257"/>
      <c r="AG377" s="155"/>
      <c r="AH377" s="155"/>
      <c r="AI377" s="155"/>
      <c r="AJ377" s="257"/>
      <c r="AK377" s="155"/>
      <c r="AL377" s="155"/>
      <c r="AM377" s="155"/>
      <c r="AN377" s="257"/>
      <c r="AO377" s="258"/>
      <c r="AP377" s="258"/>
      <c r="AQ377" s="258"/>
      <c r="AR377" s="211"/>
      <c r="AS377" s="154" t="s">
        <v>165</v>
      </c>
      <c r="AT377" s="154" t="s">
        <v>165</v>
      </c>
      <c r="AU377" s="154" t="s">
        <v>165</v>
      </c>
      <c r="AV377" s="211"/>
      <c r="AW377" s="259"/>
      <c r="AX377" s="259"/>
      <c r="AY377" s="259"/>
      <c r="AZ377" s="808">
        <f t="shared" si="238"/>
        <v>0</v>
      </c>
      <c r="BA377" s="761">
        <f t="shared" si="239"/>
        <v>0</v>
      </c>
      <c r="BB377" s="761">
        <f t="shared" si="240"/>
        <v>0</v>
      </c>
      <c r="BC377" s="262"/>
      <c r="BD377" s="242"/>
      <c r="BE377" s="1231"/>
      <c r="BF377" s="380" t="s">
        <v>133</v>
      </c>
      <c r="BG377" s="145">
        <v>0.15</v>
      </c>
      <c r="BH377" s="262"/>
      <c r="BI377" s="242"/>
      <c r="BJ377" s="1231"/>
      <c r="BK377" s="772"/>
      <c r="BL377" s="825" t="s">
        <v>133</v>
      </c>
      <c r="BM377" s="145">
        <v>0.05</v>
      </c>
      <c r="BN377" s="262"/>
      <c r="BO377" s="242">
        <f t="shared" si="251"/>
        <v>0</v>
      </c>
      <c r="BP377" s="1231">
        <f t="shared" si="254"/>
        <v>0</v>
      </c>
      <c r="BQ377" s="243"/>
      <c r="BR377" s="110"/>
      <c r="BS377" s="226"/>
      <c r="BT377" s="110"/>
      <c r="BU377" s="263"/>
      <c r="BV377" s="110"/>
      <c r="BW377" s="348"/>
      <c r="BX377" s="110"/>
      <c r="BY377" s="263"/>
      <c r="BZ377" s="110"/>
      <c r="CA377" s="263"/>
      <c r="CB377" s="110"/>
      <c r="CC377" s="263"/>
      <c r="CD377" s="110"/>
      <c r="CE377" s="226"/>
      <c r="CF377" s="110"/>
      <c r="CG377" s="263"/>
      <c r="CH377" s="110"/>
      <c r="CI377" s="226"/>
      <c r="CJ377" s="110"/>
      <c r="CK377" s="155">
        <v>0</v>
      </c>
      <c r="CL377" s="181" t="s">
        <v>154</v>
      </c>
      <c r="CM377" s="181"/>
      <c r="CN377" s="207"/>
      <c r="CO377" s="207"/>
      <c r="CP377" s="155"/>
      <c r="CQ377" s="131"/>
      <c r="CR377" s="823" t="s">
        <v>2883</v>
      </c>
      <c r="CS377" s="820"/>
      <c r="CT377" s="820" t="b">
        <f t="shared" si="270"/>
        <v>0</v>
      </c>
      <c r="CU377" s="820" t="b">
        <f t="shared" si="271"/>
        <v>0</v>
      </c>
      <c r="CV377" s="779"/>
      <c r="CW377" s="779"/>
      <c r="CX377" s="779"/>
      <c r="CY377" s="729"/>
      <c r="CZ377" s="729"/>
      <c r="DA377" s="729"/>
      <c r="DB377" s="729"/>
      <c r="DC377" s="729"/>
      <c r="DD377" s="265"/>
      <c r="DE377" s="265"/>
      <c r="DF377" s="265"/>
      <c r="DG377" s="265"/>
      <c r="DH377" s="265"/>
      <c r="DI377" s="265"/>
      <c r="DJ377" s="265"/>
      <c r="DK377" s="265"/>
      <c r="DL377" s="265"/>
      <c r="DM377" s="265"/>
      <c r="DN377" s="265"/>
      <c r="DO377" s="265"/>
      <c r="DP377" s="265"/>
      <c r="DQ377" s="265"/>
      <c r="DR377" s="265"/>
      <c r="DS377" s="265"/>
      <c r="DT377" s="265"/>
    </row>
    <row r="378" spans="1:124" ht="30" customHeight="1">
      <c r="A378" s="228"/>
      <c r="B378" s="331"/>
      <c r="C378" s="155">
        <f t="shared" si="257"/>
        <v>34</v>
      </c>
      <c r="D378" s="781"/>
      <c r="E378" s="781"/>
      <c r="F378" s="781"/>
      <c r="G378" s="830" t="s">
        <v>208</v>
      </c>
      <c r="H378" s="830" t="s">
        <v>2884</v>
      </c>
      <c r="I378" s="207" t="s">
        <v>2885</v>
      </c>
      <c r="J378" s="207" t="str">
        <f t="shared" si="250"/>
        <v>Sara Flamini</v>
      </c>
      <c r="K378" s="156" t="s">
        <v>2886</v>
      </c>
      <c r="L378" s="204" t="s">
        <v>2887</v>
      </c>
      <c r="M378" s="131" t="s">
        <v>2888</v>
      </c>
      <c r="N378" s="131" t="str">
        <f t="shared" si="252"/>
        <v>Flamini</v>
      </c>
      <c r="O378" s="1297"/>
      <c r="P378" s="251"/>
      <c r="Q378" s="131"/>
      <c r="R378" s="252"/>
      <c r="S378" s="254"/>
      <c r="T378" s="346"/>
      <c r="U378" s="253"/>
      <c r="V378" s="253"/>
      <c r="W378" s="251"/>
      <c r="X378" s="131"/>
      <c r="Y378" s="251"/>
      <c r="Z378" s="251"/>
      <c r="AA378" s="251"/>
      <c r="AB378" s="255"/>
      <c r="AC378" s="256"/>
      <c r="AD378" s="121"/>
      <c r="AE378" s="80" t="str">
        <f t="shared" si="253"/>
        <v>Pagando 200Euro può bloccare il prezzo e partecipare a Maggio 2023</v>
      </c>
      <c r="AF378" s="257"/>
      <c r="AG378" s="155"/>
      <c r="AH378" s="155"/>
      <c r="AI378" s="155"/>
      <c r="AJ378" s="257"/>
      <c r="AK378" s="155"/>
      <c r="AL378" s="155"/>
      <c r="AM378" s="155"/>
      <c r="AN378" s="257"/>
      <c r="AO378" s="258"/>
      <c r="AP378" s="258"/>
      <c r="AQ378" s="258"/>
      <c r="AR378" s="211"/>
      <c r="AS378" s="154" t="s">
        <v>165</v>
      </c>
      <c r="AT378" s="154" t="s">
        <v>165</v>
      </c>
      <c r="AU378" s="154" t="s">
        <v>165</v>
      </c>
      <c r="AV378" s="211"/>
      <c r="AW378" s="259" t="s">
        <v>27</v>
      </c>
      <c r="AX378" s="259" t="s">
        <v>27</v>
      </c>
      <c r="AY378" s="259" t="s">
        <v>27</v>
      </c>
      <c r="AZ378" s="808">
        <f t="shared" si="238"/>
        <v>0</v>
      </c>
      <c r="BA378" s="761">
        <f t="shared" si="239"/>
        <v>0</v>
      </c>
      <c r="BB378" s="761">
        <f t="shared" si="240"/>
        <v>0</v>
      </c>
      <c r="BC378" s="262"/>
      <c r="BD378" s="824">
        <f>AZ378</f>
        <v>0</v>
      </c>
      <c r="BE378" s="1231"/>
      <c r="BF378" s="363" t="s">
        <v>117</v>
      </c>
      <c r="BG378" s="98">
        <v>0</v>
      </c>
      <c r="BH378" s="262"/>
      <c r="BI378" s="242">
        <f>BD378*BG378</f>
        <v>0</v>
      </c>
      <c r="BJ378" s="1232">
        <f>BE378*BG378</f>
        <v>0</v>
      </c>
      <c r="BK378" s="1267" t="s">
        <v>118</v>
      </c>
      <c r="BL378" s="243" t="s">
        <v>152</v>
      </c>
      <c r="BM378" s="145">
        <v>0.05</v>
      </c>
      <c r="BN378" s="262"/>
      <c r="BO378" s="242">
        <f t="shared" si="251"/>
        <v>0</v>
      </c>
      <c r="BP378" s="1231">
        <f t="shared" si="254"/>
        <v>0</v>
      </c>
      <c r="BQ378" s="243"/>
      <c r="BR378" s="110"/>
      <c r="BS378" s="226"/>
      <c r="BT378" s="110"/>
      <c r="BU378" s="263"/>
      <c r="BV378" s="110"/>
      <c r="BW378" s="348"/>
      <c r="BX378" s="110"/>
      <c r="BY378" s="263"/>
      <c r="BZ378" s="110"/>
      <c r="CA378" s="263"/>
      <c r="CB378" s="110"/>
      <c r="CC378" s="263"/>
      <c r="CD378" s="110"/>
      <c r="CE378" s="226"/>
      <c r="CF378" s="110"/>
      <c r="CG378" s="263"/>
      <c r="CH378" s="110"/>
      <c r="CI378" s="226"/>
      <c r="CJ378" s="110"/>
      <c r="CK378" s="155">
        <v>1</v>
      </c>
      <c r="CL378" s="181" t="s">
        <v>1123</v>
      </c>
      <c r="CM378" s="181"/>
      <c r="CN378" s="207"/>
      <c r="CO378" s="207"/>
      <c r="CP378" s="155"/>
      <c r="CQ378" s="131" t="s">
        <v>2889</v>
      </c>
      <c r="CR378" s="823" t="s">
        <v>2884</v>
      </c>
      <c r="CS378" s="820"/>
      <c r="CT378" s="820" t="b">
        <f t="shared" si="270"/>
        <v>0</v>
      </c>
      <c r="CU378" s="820" t="b">
        <f t="shared" si="271"/>
        <v>0</v>
      </c>
      <c r="CV378" s="779"/>
      <c r="CW378" s="779"/>
      <c r="CX378" s="779"/>
      <c r="CY378" s="729"/>
      <c r="CZ378" s="729"/>
      <c r="DA378" s="729"/>
      <c r="DB378" s="729"/>
      <c r="DC378" s="729"/>
      <c r="DD378" s="265"/>
      <c r="DE378" s="265"/>
      <c r="DF378" s="265"/>
      <c r="DG378" s="265"/>
      <c r="DH378" s="265"/>
      <c r="DI378" s="265"/>
      <c r="DJ378" s="265"/>
      <c r="DK378" s="265"/>
      <c r="DL378" s="265"/>
      <c r="DM378" s="265"/>
      <c r="DN378" s="265"/>
      <c r="DO378" s="265"/>
      <c r="DP378" s="265"/>
      <c r="DQ378" s="265"/>
      <c r="DR378" s="265"/>
      <c r="DS378" s="265"/>
      <c r="DT378" s="265"/>
    </row>
    <row r="379" spans="1:124" ht="30" customHeight="1">
      <c r="A379" s="228"/>
      <c r="B379" s="1237"/>
      <c r="C379" s="155">
        <f t="shared" si="257"/>
        <v>35</v>
      </c>
      <c r="D379" s="781"/>
      <c r="E379" s="781"/>
      <c r="F379" s="781"/>
      <c r="G379" s="830" t="s">
        <v>208</v>
      </c>
      <c r="H379" s="830" t="s">
        <v>2890</v>
      </c>
      <c r="I379" s="207" t="s">
        <v>2891</v>
      </c>
      <c r="J379" s="207" t="str">
        <f t="shared" si="250"/>
        <v>Sara Sabbadini</v>
      </c>
      <c r="K379" s="156">
        <v>3271481225</v>
      </c>
      <c r="L379" s="204" t="s">
        <v>2892</v>
      </c>
      <c r="M379" s="131"/>
      <c r="N379" s="131" t="str">
        <f t="shared" si="252"/>
        <v>NetIsOn</v>
      </c>
      <c r="O379" s="1297"/>
      <c r="P379" s="251"/>
      <c r="Q379" s="131"/>
      <c r="R379" s="252"/>
      <c r="S379" s="254"/>
      <c r="T379" s="346"/>
      <c r="U379" s="253"/>
      <c r="V379" s="253"/>
      <c r="W379" s="251"/>
      <c r="X379" s="131"/>
      <c r="Y379" s="251"/>
      <c r="Z379" s="251"/>
      <c r="AA379" s="251"/>
      <c r="AB379" s="255"/>
      <c r="AC379" s="256"/>
      <c r="AD379" s="121"/>
      <c r="AE379" s="80" t="str">
        <f t="shared" si="253"/>
        <v>NON HA FLAGGATO TIPOLOGIA DI PAGAMENTO</v>
      </c>
      <c r="AF379" s="257"/>
      <c r="AG379" s="155"/>
      <c r="AH379" s="155"/>
      <c r="AI379" s="155"/>
      <c r="AJ379" s="257"/>
      <c r="AK379" s="155"/>
      <c r="AL379" s="155"/>
      <c r="AM379" s="155"/>
      <c r="AN379" s="257"/>
      <c r="AO379" s="258"/>
      <c r="AP379" s="258"/>
      <c r="AQ379" s="258"/>
      <c r="AR379" s="211"/>
      <c r="AS379" s="154" t="s">
        <v>165</v>
      </c>
      <c r="AT379" s="154" t="s">
        <v>165</v>
      </c>
      <c r="AU379" s="154" t="s">
        <v>165</v>
      </c>
      <c r="AV379" s="211"/>
      <c r="AW379" s="259"/>
      <c r="AX379" s="259"/>
      <c r="AY379" s="259"/>
      <c r="AZ379" s="808">
        <f t="shared" si="238"/>
        <v>0</v>
      </c>
      <c r="BA379" s="761">
        <f t="shared" si="239"/>
        <v>0</v>
      </c>
      <c r="BB379" s="761">
        <f t="shared" si="240"/>
        <v>0</v>
      </c>
      <c r="BC379" s="262"/>
      <c r="BD379" s="242"/>
      <c r="BE379" s="1231"/>
      <c r="BF379" s="105" t="s">
        <v>160</v>
      </c>
      <c r="BG379" s="145">
        <v>0.05</v>
      </c>
      <c r="BH379" s="261"/>
      <c r="BI379" s="242"/>
      <c r="BJ379" s="1231"/>
      <c r="BK379" s="243"/>
      <c r="BL379" s="825" t="s">
        <v>160</v>
      </c>
      <c r="BM379" s="145">
        <v>0.05</v>
      </c>
      <c r="BN379" s="262"/>
      <c r="BO379" s="242">
        <f t="shared" si="251"/>
        <v>0</v>
      </c>
      <c r="BP379" s="1231">
        <f t="shared" si="254"/>
        <v>0</v>
      </c>
      <c r="BQ379" s="243"/>
      <c r="BR379" s="110">
        <v>0</v>
      </c>
      <c r="BS379" s="226"/>
      <c r="BT379" s="110"/>
      <c r="BU379" s="263"/>
      <c r="BV379" s="110"/>
      <c r="BW379" s="348"/>
      <c r="BX379" s="110"/>
      <c r="BY379" s="263"/>
      <c r="BZ379" s="110"/>
      <c r="CA379" s="263"/>
      <c r="CB379" s="110"/>
      <c r="CC379" s="263"/>
      <c r="CD379" s="110"/>
      <c r="CE379" s="226"/>
      <c r="CF379" s="110"/>
      <c r="CG379" s="263"/>
      <c r="CH379" s="110"/>
      <c r="CI379" s="226"/>
      <c r="CJ379" s="110"/>
      <c r="CK379" s="155">
        <v>1</v>
      </c>
      <c r="CL379" s="181" t="s">
        <v>1123</v>
      </c>
      <c r="CM379" s="181"/>
      <c r="CN379" s="207"/>
      <c r="CO379" s="207"/>
      <c r="CP379" s="155"/>
      <c r="CQ379" s="131"/>
      <c r="CR379" s="823" t="s">
        <v>2893</v>
      </c>
      <c r="CS379" s="820"/>
      <c r="CT379" s="820" t="b">
        <f t="shared" si="270"/>
        <v>0</v>
      </c>
      <c r="CU379" s="820" t="b">
        <f t="shared" si="271"/>
        <v>0</v>
      </c>
      <c r="CV379" s="779"/>
      <c r="CW379" s="779"/>
      <c r="CX379" s="779"/>
      <c r="CY379" s="729"/>
      <c r="CZ379" s="729"/>
      <c r="DA379" s="729"/>
      <c r="DB379" s="729"/>
      <c r="DC379" s="729"/>
      <c r="DD379" s="265"/>
      <c r="DE379" s="265"/>
      <c r="DF379" s="265"/>
      <c r="DG379" s="265"/>
      <c r="DH379" s="265"/>
      <c r="DI379" s="265"/>
      <c r="DJ379" s="265"/>
      <c r="DK379" s="265"/>
      <c r="DL379" s="265"/>
      <c r="DM379" s="265"/>
      <c r="DN379" s="265"/>
      <c r="DO379" s="265"/>
      <c r="DP379" s="265"/>
      <c r="DQ379" s="265"/>
      <c r="DR379" s="265"/>
      <c r="DS379" s="265"/>
      <c r="DT379" s="265"/>
    </row>
    <row r="380" spans="1:124" ht="30" customHeight="1">
      <c r="A380" s="228"/>
      <c r="B380" s="1237"/>
      <c r="C380" s="155">
        <f t="shared" si="257"/>
        <v>36</v>
      </c>
      <c r="D380" s="781"/>
      <c r="E380" s="781"/>
      <c r="F380" s="781"/>
      <c r="G380" s="830" t="s">
        <v>861</v>
      </c>
      <c r="H380" s="830" t="s">
        <v>2894</v>
      </c>
      <c r="I380" s="207" t="s">
        <v>2895</v>
      </c>
      <c r="J380" s="207" t="str">
        <f t="shared" si="250"/>
        <v>Simone Bignotti</v>
      </c>
      <c r="K380" s="156">
        <v>3349806078</v>
      </c>
      <c r="L380" s="131"/>
      <c r="M380" s="131" t="s">
        <v>2896</v>
      </c>
      <c r="N380" s="131" t="str">
        <f t="shared" si="252"/>
        <v>IGEAX</v>
      </c>
      <c r="O380" s="1297"/>
      <c r="P380" s="251"/>
      <c r="Q380" s="131"/>
      <c r="R380" s="252"/>
      <c r="S380" s="254"/>
      <c r="T380" s="346"/>
      <c r="U380" s="253"/>
      <c r="V380" s="253"/>
      <c r="W380" s="251"/>
      <c r="X380" s="131"/>
      <c r="Y380" s="251"/>
      <c r="Z380" s="251"/>
      <c r="AA380" s="251"/>
      <c r="AB380" s="255"/>
      <c r="AC380" s="256"/>
      <c r="AD380" s="121"/>
      <c r="AE380" s="80">
        <f t="shared" si="253"/>
        <v>0</v>
      </c>
      <c r="AF380" s="257"/>
      <c r="AG380" s="155"/>
      <c r="AH380" s="155"/>
      <c r="AI380" s="155"/>
      <c r="AJ380" s="257"/>
      <c r="AK380" s="155"/>
      <c r="AL380" s="155"/>
      <c r="AM380" s="155"/>
      <c r="AN380" s="257"/>
      <c r="AO380" s="258"/>
      <c r="AP380" s="258"/>
      <c r="AQ380" s="258"/>
      <c r="AR380" s="211"/>
      <c r="AS380" s="154" t="s">
        <v>165</v>
      </c>
      <c r="AT380" s="154" t="s">
        <v>165</v>
      </c>
      <c r="AU380" s="154" t="s">
        <v>165</v>
      </c>
      <c r="AV380" s="211"/>
      <c r="AW380" s="259"/>
      <c r="AX380" s="259"/>
      <c r="AY380" s="259"/>
      <c r="AZ380" s="808">
        <f t="shared" si="238"/>
        <v>0</v>
      </c>
      <c r="BA380" s="761">
        <f t="shared" si="239"/>
        <v>0</v>
      </c>
      <c r="BB380" s="761">
        <f t="shared" si="240"/>
        <v>0</v>
      </c>
      <c r="BC380" s="262"/>
      <c r="BD380" s="824">
        <f>AZ380</f>
        <v>0</v>
      </c>
      <c r="BE380" s="1231"/>
      <c r="BF380" s="392" t="s">
        <v>117</v>
      </c>
      <c r="BG380" s="98">
        <v>0</v>
      </c>
      <c r="BH380" s="261"/>
      <c r="BI380" s="242">
        <f>BD380*BG380</f>
        <v>0</v>
      </c>
      <c r="BJ380" s="1232">
        <f>BE380*BG380</f>
        <v>0</v>
      </c>
      <c r="BK380" s="1267" t="s">
        <v>118</v>
      </c>
      <c r="BL380" s="289" t="s">
        <v>152</v>
      </c>
      <c r="BM380" s="145">
        <v>0.05</v>
      </c>
      <c r="BN380" s="262"/>
      <c r="BO380" s="242">
        <f t="shared" si="251"/>
        <v>0</v>
      </c>
      <c r="BP380" s="1231">
        <f t="shared" si="254"/>
        <v>0</v>
      </c>
      <c r="BQ380" s="243"/>
      <c r="BR380" s="110">
        <v>0</v>
      </c>
      <c r="BS380" s="226"/>
      <c r="BT380" s="110"/>
      <c r="BU380" s="263"/>
      <c r="BV380" s="110"/>
      <c r="BW380" s="348"/>
      <c r="BX380" s="110"/>
      <c r="BY380" s="263"/>
      <c r="BZ380" s="110"/>
      <c r="CA380" s="263"/>
      <c r="CB380" s="110"/>
      <c r="CC380" s="263"/>
      <c r="CD380" s="110"/>
      <c r="CE380" s="226"/>
      <c r="CF380" s="110"/>
      <c r="CG380" s="263"/>
      <c r="CH380" s="110"/>
      <c r="CI380" s="226"/>
      <c r="CJ380" s="110"/>
      <c r="CK380" s="155">
        <v>1</v>
      </c>
      <c r="CL380" s="181" t="s">
        <v>1123</v>
      </c>
      <c r="CM380" s="181"/>
      <c r="CN380" s="207"/>
      <c r="CO380" s="207"/>
      <c r="CP380" s="155"/>
      <c r="CQ380" s="131" t="s">
        <v>2897</v>
      </c>
      <c r="CR380" s="823" t="s">
        <v>2898</v>
      </c>
      <c r="CS380" s="820"/>
      <c r="CT380" s="820" t="b">
        <f t="shared" si="270"/>
        <v>0</v>
      </c>
      <c r="CU380" s="820" t="b">
        <f t="shared" si="271"/>
        <v>0</v>
      </c>
      <c r="CV380" s="779"/>
      <c r="CW380" s="779"/>
      <c r="CX380" s="779"/>
      <c r="CY380" s="729"/>
      <c r="CZ380" s="729"/>
      <c r="DA380" s="729"/>
      <c r="DB380" s="729"/>
      <c r="DC380" s="729"/>
      <c r="DD380" s="265"/>
      <c r="DE380" s="265"/>
      <c r="DF380" s="265"/>
      <c r="DG380" s="265"/>
      <c r="DH380" s="265"/>
      <c r="DI380" s="265"/>
      <c r="DJ380" s="265"/>
      <c r="DK380" s="265"/>
      <c r="DL380" s="265"/>
      <c r="DM380" s="265"/>
      <c r="DN380" s="265"/>
      <c r="DO380" s="265"/>
      <c r="DP380" s="265"/>
      <c r="DQ380" s="265"/>
      <c r="DR380" s="265"/>
      <c r="DS380" s="265"/>
      <c r="DT380" s="265"/>
    </row>
    <row r="381" spans="1:124" ht="30" customHeight="1">
      <c r="A381" s="228"/>
      <c r="B381" s="1237"/>
      <c r="C381" s="155">
        <f t="shared" si="257"/>
        <v>37</v>
      </c>
      <c r="D381" s="781"/>
      <c r="E381" s="781"/>
      <c r="F381" s="781"/>
      <c r="G381" s="830" t="s">
        <v>861</v>
      </c>
      <c r="H381" s="830" t="s">
        <v>2899</v>
      </c>
      <c r="I381" s="207" t="s">
        <v>2900</v>
      </c>
      <c r="J381" s="207" t="str">
        <f t="shared" si="250"/>
        <v>Simone Cagna</v>
      </c>
      <c r="K381" s="156" t="s">
        <v>2901</v>
      </c>
      <c r="L381" s="204" t="s">
        <v>2792</v>
      </c>
      <c r="M381" s="131" t="s">
        <v>2896</v>
      </c>
      <c r="N381" s="131" t="str">
        <f t="shared" si="252"/>
        <v>LAEMMEGROUP</v>
      </c>
      <c r="O381" s="1297"/>
      <c r="P381" s="251"/>
      <c r="Q381" s="131"/>
      <c r="R381" s="252"/>
      <c r="S381" s="254"/>
      <c r="T381" s="346"/>
      <c r="U381" s="253"/>
      <c r="V381" s="253"/>
      <c r="W381" s="251"/>
      <c r="X381" s="131"/>
      <c r="Y381" s="251"/>
      <c r="Z381" s="251"/>
      <c r="AA381" s="251"/>
      <c r="AB381" s="255"/>
      <c r="AC381" s="256"/>
      <c r="AD381" s="121"/>
      <c r="AE381" s="80" t="str">
        <f t="shared" si="253"/>
        <v xml:space="preserve">Interessati percorso in azienda, tenete in sospeso gli 8 Master </v>
      </c>
      <c r="AF381" s="257"/>
      <c r="AG381" s="155"/>
      <c r="AH381" s="155"/>
      <c r="AI381" s="155"/>
      <c r="AJ381" s="257"/>
      <c r="AK381" s="155"/>
      <c r="AL381" s="155"/>
      <c r="AM381" s="155"/>
      <c r="AN381" s="257"/>
      <c r="AO381" s="155"/>
      <c r="AP381" s="155"/>
      <c r="AQ381" s="155"/>
      <c r="AR381" s="211"/>
      <c r="AS381" s="154" t="s">
        <v>165</v>
      </c>
      <c r="AT381" s="154" t="s">
        <v>165</v>
      </c>
      <c r="AU381" s="154" t="s">
        <v>165</v>
      </c>
      <c r="AV381" s="211"/>
      <c r="AW381" s="259"/>
      <c r="AX381" s="259"/>
      <c r="AY381" s="259"/>
      <c r="AZ381" s="808">
        <f t="shared" si="238"/>
        <v>0</v>
      </c>
      <c r="BA381" s="761">
        <f t="shared" si="239"/>
        <v>0</v>
      </c>
      <c r="BB381" s="761">
        <f t="shared" si="240"/>
        <v>0</v>
      </c>
      <c r="BC381" s="262"/>
      <c r="BD381" s="242"/>
      <c r="BE381" s="1231"/>
      <c r="BF381" s="839" t="s">
        <v>407</v>
      </c>
      <c r="BG381" s="145">
        <v>0.15</v>
      </c>
      <c r="BH381" s="261"/>
      <c r="BI381" s="242"/>
      <c r="BJ381" s="1231"/>
      <c r="BK381" s="243"/>
      <c r="BL381" s="289" t="s">
        <v>407</v>
      </c>
      <c r="BM381" s="145">
        <v>0.05</v>
      </c>
      <c r="BN381" s="262"/>
      <c r="BO381" s="242">
        <f t="shared" si="251"/>
        <v>0</v>
      </c>
      <c r="BP381" s="1231">
        <f t="shared" si="254"/>
        <v>0</v>
      </c>
      <c r="BQ381" s="243"/>
      <c r="BR381" s="110"/>
      <c r="BS381" s="226"/>
      <c r="BT381" s="110"/>
      <c r="BU381" s="263"/>
      <c r="BV381" s="110"/>
      <c r="BW381" s="348"/>
      <c r="BX381" s="110"/>
      <c r="BY381" s="263"/>
      <c r="BZ381" s="110"/>
      <c r="CA381" s="263"/>
      <c r="CB381" s="110"/>
      <c r="CC381" s="263"/>
      <c r="CD381" s="110"/>
      <c r="CE381" s="226"/>
      <c r="CF381" s="110"/>
      <c r="CG381" s="263"/>
      <c r="CH381" s="110"/>
      <c r="CI381" s="226"/>
      <c r="CJ381" s="110"/>
      <c r="CK381" s="155"/>
      <c r="CL381" s="181"/>
      <c r="CM381" s="181"/>
      <c r="CN381" s="207"/>
      <c r="CO381" s="207"/>
      <c r="CP381" s="155"/>
      <c r="CQ381" s="131"/>
      <c r="CR381" s="823" t="s">
        <v>1253</v>
      </c>
      <c r="CS381" s="820"/>
      <c r="CT381" s="820" t="b">
        <f t="shared" si="270"/>
        <v>0</v>
      </c>
      <c r="CU381" s="820" t="b">
        <f t="shared" si="271"/>
        <v>0</v>
      </c>
      <c r="CV381" s="779"/>
      <c r="CW381" s="779"/>
      <c r="CX381" s="779"/>
      <c r="CY381" s="729"/>
      <c r="CZ381" s="729"/>
      <c r="DA381" s="729"/>
      <c r="DB381" s="729"/>
      <c r="DC381" s="729"/>
      <c r="DD381" s="265"/>
      <c r="DE381" s="265"/>
      <c r="DF381" s="265"/>
      <c r="DG381" s="265"/>
      <c r="DH381" s="265"/>
      <c r="DI381" s="265"/>
      <c r="DJ381" s="265"/>
      <c r="DK381" s="265"/>
      <c r="DL381" s="265"/>
      <c r="DM381" s="265"/>
      <c r="DN381" s="265"/>
      <c r="DO381" s="265"/>
      <c r="DP381" s="265"/>
      <c r="DQ381" s="265"/>
      <c r="DR381" s="265"/>
      <c r="DS381" s="265"/>
      <c r="DT381" s="265"/>
    </row>
    <row r="382" spans="1:124" ht="30" customHeight="1">
      <c r="A382" s="228"/>
      <c r="B382" s="155">
        <v>101299</v>
      </c>
      <c r="C382" s="155">
        <v>1</v>
      </c>
      <c r="D382" s="757"/>
      <c r="E382" s="757"/>
      <c r="F382" s="757"/>
      <c r="G382" s="830" t="s">
        <v>4683</v>
      </c>
      <c r="H382" s="830" t="s">
        <v>4684</v>
      </c>
      <c r="I382" s="207" t="s">
        <v>4685</v>
      </c>
      <c r="J382" s="207" t="str">
        <f t="shared" si="250"/>
        <v>Norman Cescut</v>
      </c>
      <c r="K382" s="224">
        <v>3357414764</v>
      </c>
      <c r="L382" s="131" t="s">
        <v>4686</v>
      </c>
      <c r="M382" s="131"/>
      <c r="N382" s="131" t="str">
        <f t="shared" si="252"/>
        <v>Desita</v>
      </c>
      <c r="O382" s="284"/>
      <c r="P382" s="37"/>
      <c r="Q382" s="37"/>
      <c r="R382" s="131" t="s">
        <v>4687</v>
      </c>
      <c r="S382" s="160"/>
      <c r="T382" s="160"/>
      <c r="U382" s="160"/>
      <c r="V382" s="160"/>
      <c r="W382" s="233"/>
      <c r="X382" s="234"/>
      <c r="Y382" s="233"/>
      <c r="Z382" s="233"/>
      <c r="AA382" s="233"/>
      <c r="AB382" s="37"/>
      <c r="AC382" s="37"/>
      <c r="AD382" s="37" t="s">
        <v>4688</v>
      </c>
      <c r="AE382" s="181"/>
      <c r="AF382" s="198"/>
      <c r="AG382" s="121"/>
      <c r="AH382" s="121"/>
      <c r="AI382" s="121"/>
      <c r="AJ382" s="198"/>
      <c r="AK382" s="121"/>
      <c r="AL382" s="121"/>
      <c r="AM382" s="121"/>
      <c r="AN382" s="198"/>
      <c r="AO382" s="155" t="s">
        <v>115</v>
      </c>
      <c r="AP382" s="155"/>
      <c r="AQ382" s="155"/>
      <c r="AR382" s="198"/>
      <c r="AS382" s="121"/>
      <c r="AT382" s="154" t="s">
        <v>194</v>
      </c>
      <c r="AU382" s="154" t="s">
        <v>194</v>
      </c>
      <c r="AV382" s="198"/>
      <c r="AW382" s="121"/>
      <c r="AX382" s="121"/>
      <c r="AY382" s="121"/>
      <c r="AZ382" s="808">
        <f t="shared" si="238"/>
        <v>2997</v>
      </c>
      <c r="BA382" s="761">
        <f t="shared" si="239"/>
        <v>2997</v>
      </c>
      <c r="BB382" s="761">
        <f t="shared" si="240"/>
        <v>0</v>
      </c>
      <c r="BC382" s="110">
        <f>BA382</f>
        <v>2997</v>
      </c>
      <c r="BD382" s="1230">
        <f>AZ382-BC382</f>
        <v>0</v>
      </c>
      <c r="BE382" s="1231"/>
      <c r="BF382" s="285" t="s">
        <v>117</v>
      </c>
      <c r="BG382" s="98">
        <v>0</v>
      </c>
      <c r="BH382" s="110">
        <f>AZ382*BG382</f>
        <v>0</v>
      </c>
      <c r="BI382" s="242">
        <f>BD382*BG382</f>
        <v>0</v>
      </c>
      <c r="BJ382" s="1231">
        <f>BE382*BG382</f>
        <v>0</v>
      </c>
      <c r="BK382" s="1267" t="s">
        <v>118</v>
      </c>
      <c r="BL382" s="243" t="s">
        <v>152</v>
      </c>
      <c r="BM382" s="98">
        <v>0.05</v>
      </c>
      <c r="BN382" s="110">
        <f t="shared" ref="BN382:BN390" si="272">AZ382*BM382</f>
        <v>149.85</v>
      </c>
      <c r="BO382" s="242"/>
      <c r="BP382" s="1231"/>
      <c r="BQ382" s="243" t="s">
        <v>968</v>
      </c>
      <c r="BR382" s="110">
        <v>2997</v>
      </c>
      <c r="BS382" s="286">
        <v>44664</v>
      </c>
      <c r="BT382" s="110">
        <v>2997</v>
      </c>
      <c r="BU382" s="206"/>
      <c r="BV382" s="206"/>
      <c r="BW382" s="206"/>
      <c r="BX382" s="206"/>
      <c r="BY382" s="206"/>
      <c r="BZ382" s="206"/>
      <c r="CA382" s="206"/>
      <c r="CB382" s="206"/>
      <c r="CC382" s="206"/>
      <c r="CD382" s="206"/>
      <c r="CE382" s="206"/>
      <c r="CF382" s="206"/>
      <c r="CG382" s="206"/>
      <c r="CH382" s="206"/>
      <c r="CI382" s="206"/>
      <c r="CJ382" s="206"/>
      <c r="CK382" s="245" t="s">
        <v>2612</v>
      </c>
      <c r="CL382" s="181"/>
      <c r="CM382" s="246"/>
      <c r="CN382" s="247" t="s">
        <v>3856</v>
      </c>
      <c r="CO382" s="207"/>
      <c r="CP382" s="155"/>
      <c r="CQ382" s="131"/>
      <c r="CR382" s="131" t="s">
        <v>4689</v>
      </c>
      <c r="CS382" s="242"/>
      <c r="CT382" s="242"/>
      <c r="CU382" s="242"/>
      <c r="CV382" s="729"/>
      <c r="CW382" s="729"/>
      <c r="CX382" s="729"/>
      <c r="CY382" s="729"/>
      <c r="CZ382" s="729"/>
      <c r="DA382" s="729"/>
      <c r="DB382" s="729"/>
      <c r="DC382" s="729"/>
    </row>
    <row r="383" spans="1:124" ht="30" customHeight="1">
      <c r="A383" s="228"/>
      <c r="B383" s="155"/>
      <c r="C383" s="155"/>
      <c r="D383" s="757"/>
      <c r="E383" s="757"/>
      <c r="F383" s="757"/>
      <c r="G383" s="840" t="s">
        <v>135</v>
      </c>
      <c r="H383" s="621" t="s">
        <v>2903</v>
      </c>
      <c r="I383" s="207" t="s">
        <v>2904</v>
      </c>
      <c r="J383" s="207" t="str">
        <f t="shared" si="250"/>
        <v>Alessandro Pasquinucci</v>
      </c>
      <c r="K383" s="156"/>
      <c r="L383" s="598"/>
      <c r="M383" s="598"/>
      <c r="N383" s="823"/>
      <c r="O383" s="1428"/>
      <c r="P383" s="255" t="s">
        <v>2905</v>
      </c>
      <c r="Q383" s="255" t="s">
        <v>2905</v>
      </c>
      <c r="R383" s="598" t="s">
        <v>2906</v>
      </c>
      <c r="S383" s="598" t="s">
        <v>2907</v>
      </c>
      <c r="T383" s="598"/>
      <c r="U383" s="598"/>
      <c r="V383" s="598"/>
      <c r="W383" s="258"/>
      <c r="X383" s="131"/>
      <c r="Y383" s="258"/>
      <c r="Z383" s="258"/>
      <c r="AA383" s="258"/>
      <c r="AB383" s="255" t="s">
        <v>1283</v>
      </c>
      <c r="AC383" s="131" t="s">
        <v>2908</v>
      </c>
      <c r="AD383" s="1363"/>
      <c r="AE383" s="207"/>
      <c r="AF383" s="515"/>
      <c r="AG383" s="516"/>
      <c r="AH383" s="516"/>
      <c r="AI383" s="516"/>
      <c r="AJ383" s="515"/>
      <c r="AK383" s="121"/>
      <c r="AL383" s="121"/>
      <c r="AM383" s="121"/>
      <c r="AN383" s="198"/>
      <c r="AO383" s="155"/>
      <c r="AP383" s="565" t="s">
        <v>2277</v>
      </c>
      <c r="AQ383" s="565" t="s">
        <v>2277</v>
      </c>
      <c r="AR383" s="515"/>
      <c r="AS383" s="121"/>
      <c r="AT383" s="121"/>
      <c r="AU383" s="570"/>
      <c r="AV383" s="568"/>
      <c r="AW383" s="121"/>
      <c r="AX383" s="121"/>
      <c r="AY383" s="121" t="s">
        <v>27</v>
      </c>
      <c r="AZ383" s="760">
        <f t="shared" si="238"/>
        <v>0</v>
      </c>
      <c r="BA383" s="761">
        <f t="shared" si="239"/>
        <v>0</v>
      </c>
      <c r="BB383" s="761">
        <f t="shared" si="240"/>
        <v>0</v>
      </c>
      <c r="BC383" s="110"/>
      <c r="BD383" s="242"/>
      <c r="BE383" s="1231"/>
      <c r="BF383" s="529" t="s">
        <v>2909</v>
      </c>
      <c r="BG383" s="145">
        <v>0.15</v>
      </c>
      <c r="BH383" s="110"/>
      <c r="BI383" s="242"/>
      <c r="BJ383" s="1231"/>
      <c r="BK383" s="529"/>
      <c r="BL383" s="529" t="s">
        <v>2909</v>
      </c>
      <c r="BM383" s="145">
        <v>0.05</v>
      </c>
      <c r="BN383" s="110">
        <f t="shared" si="272"/>
        <v>0</v>
      </c>
      <c r="BO383" s="242"/>
      <c r="BP383" s="276"/>
      <c r="BQ383" s="277"/>
      <c r="BR383" s="301"/>
      <c r="BS383" s="206"/>
      <c r="BT383" s="301"/>
      <c r="BU383" s="206"/>
      <c r="BV383" s="206"/>
      <c r="BW383" s="206"/>
      <c r="BX383" s="206"/>
      <c r="BY383" s="206"/>
      <c r="BZ383" s="206"/>
      <c r="CA383" s="206"/>
      <c r="CB383" s="349"/>
      <c r="CC383" s="263"/>
      <c r="CD383" s="110"/>
      <c r="CE383" s="226"/>
      <c r="CF383" s="110"/>
      <c r="CG383" s="263"/>
      <c r="CH383" s="110"/>
      <c r="CI383" s="226"/>
      <c r="CJ383" s="110"/>
      <c r="CK383" s="245"/>
      <c r="CL383" s="181"/>
      <c r="CM383" s="369"/>
      <c r="CN383" s="207"/>
      <c r="CO383" s="207"/>
      <c r="CP383" s="155"/>
      <c r="CQ383" s="598"/>
      <c r="CR383" s="598"/>
      <c r="CS383" s="242"/>
      <c r="CT383" s="242"/>
      <c r="CU383" s="242"/>
      <c r="CV383" s="729"/>
      <c r="CW383" s="729"/>
      <c r="CX383" s="729"/>
      <c r="CY383" s="729"/>
      <c r="CZ383" s="729"/>
      <c r="DA383" s="729"/>
      <c r="DB383" s="729"/>
      <c r="DC383" s="729"/>
    </row>
    <row r="384" spans="1:124" ht="30" customHeight="1">
      <c r="A384" s="228"/>
      <c r="B384" s="155"/>
      <c r="C384" s="224"/>
      <c r="D384" s="757"/>
      <c r="E384" s="757"/>
      <c r="F384" s="757"/>
      <c r="G384" s="846" t="s">
        <v>2910</v>
      </c>
      <c r="H384" s="847" t="s">
        <v>2911</v>
      </c>
      <c r="I384" s="207" t="s">
        <v>2912</v>
      </c>
      <c r="J384" s="207" t="str">
        <f t="shared" si="250"/>
        <v>Amerigo Tagliapietra</v>
      </c>
      <c r="K384" s="848"/>
      <c r="L384" s="849"/>
      <c r="M384" s="828"/>
      <c r="N384" s="828"/>
      <c r="O384" s="1361"/>
      <c r="P384" s="850" t="s">
        <v>2913</v>
      </c>
      <c r="Q384" s="850" t="s">
        <v>2913</v>
      </c>
      <c r="R384" s="828" t="s">
        <v>2914</v>
      </c>
      <c r="S384" s="828" t="s">
        <v>2915</v>
      </c>
      <c r="T384" s="828"/>
      <c r="U384" s="828"/>
      <c r="V384" s="828"/>
      <c r="W384" s="850"/>
      <c r="X384" s="558" t="s">
        <v>2916</v>
      </c>
      <c r="Y384" s="850"/>
      <c r="Z384" s="850"/>
      <c r="AA384" s="850"/>
      <c r="AB384" s="850" t="s">
        <v>2917</v>
      </c>
      <c r="AC384" s="558" t="s">
        <v>2918</v>
      </c>
      <c r="AD384" s="1362"/>
      <c r="AE384" s="869"/>
      <c r="AF384" s="851"/>
      <c r="AG384" s="852" t="s">
        <v>115</v>
      </c>
      <c r="AH384" s="852" t="s">
        <v>115</v>
      </c>
      <c r="AI384" s="852" t="s">
        <v>115</v>
      </c>
      <c r="AJ384" s="515"/>
      <c r="AK384" s="155"/>
      <c r="AL384" s="155"/>
      <c r="AM384" s="124"/>
      <c r="AN384" s="515"/>
      <c r="AO384" s="815"/>
      <c r="AP384" s="815" t="s">
        <v>2404</v>
      </c>
      <c r="AQ384" s="815" t="s">
        <v>2404</v>
      </c>
      <c r="AR384" s="853"/>
      <c r="AS384" s="609"/>
      <c r="AT384" s="609"/>
      <c r="AU384" s="609"/>
      <c r="AV384" s="854"/>
      <c r="AW384" s="609"/>
      <c r="AX384" s="609"/>
      <c r="AY384" s="609"/>
      <c r="AZ384" s="760">
        <f t="shared" si="238"/>
        <v>0</v>
      </c>
      <c r="BA384" s="761">
        <f t="shared" si="239"/>
        <v>0</v>
      </c>
      <c r="BB384" s="761">
        <f t="shared" si="240"/>
        <v>0</v>
      </c>
      <c r="BC384" s="110"/>
      <c r="BD384" s="242"/>
      <c r="BE384" s="1231"/>
      <c r="BF384" s="828" t="s">
        <v>2919</v>
      </c>
      <c r="BG384" s="856">
        <v>0.15</v>
      </c>
      <c r="BH384" s="110"/>
      <c r="BI384" s="242"/>
      <c r="BJ384" s="1231"/>
      <c r="BK384" s="849"/>
      <c r="BL384" s="828" t="s">
        <v>2920</v>
      </c>
      <c r="BM384" s="856">
        <v>0.05</v>
      </c>
      <c r="BN384" s="110">
        <f t="shared" si="272"/>
        <v>0</v>
      </c>
      <c r="BO384" s="242"/>
      <c r="BP384" s="276"/>
      <c r="BQ384" s="277"/>
      <c r="BR384" s="858"/>
      <c r="BS384" s="859"/>
      <c r="BT384" s="858"/>
      <c r="BU384" s="862"/>
      <c r="BV384" s="858"/>
      <c r="BW384" s="860"/>
      <c r="BX384" s="861"/>
      <c r="BY384" s="862"/>
      <c r="BZ384" s="862"/>
      <c r="CA384" s="862"/>
      <c r="CB384" s="863"/>
      <c r="CC384" s="263"/>
      <c r="CD384" s="263"/>
      <c r="CE384" s="263"/>
      <c r="CF384" s="263"/>
      <c r="CG384" s="263"/>
      <c r="CH384" s="263"/>
      <c r="CI384" s="263"/>
      <c r="CJ384" s="263"/>
      <c r="CK384" s="247"/>
      <c r="CL384" s="207"/>
      <c r="CM384" s="354"/>
      <c r="CN384" s="207"/>
      <c r="CO384" s="207"/>
      <c r="CP384" s="155"/>
      <c r="CQ384" s="828"/>
      <c r="CR384" s="828"/>
      <c r="CS384" s="242"/>
      <c r="CT384" s="242"/>
      <c r="CU384" s="242"/>
      <c r="CV384" s="779"/>
      <c r="CW384" s="729"/>
      <c r="CX384" s="729"/>
      <c r="CY384" s="729"/>
      <c r="CZ384" s="729"/>
      <c r="DA384" s="729"/>
      <c r="DB384" s="729"/>
      <c r="DC384" s="729"/>
    </row>
    <row r="385" spans="1:107" ht="30" customHeight="1">
      <c r="A385" s="228"/>
      <c r="B385" s="155"/>
      <c r="C385" s="224"/>
      <c r="D385" s="757"/>
      <c r="E385" s="757"/>
      <c r="F385" s="757"/>
      <c r="G385" s="864" t="s">
        <v>188</v>
      </c>
      <c r="H385" s="865" t="s">
        <v>2922</v>
      </c>
      <c r="I385" s="207" t="s">
        <v>2923</v>
      </c>
      <c r="J385" s="207" t="str">
        <f t="shared" si="250"/>
        <v>Andrea Amendola</v>
      </c>
      <c r="K385" s="848">
        <v>3398855372</v>
      </c>
      <c r="L385" s="849"/>
      <c r="M385" s="828"/>
      <c r="N385" s="828"/>
      <c r="O385" s="1361"/>
      <c r="P385" s="850" t="s">
        <v>2924</v>
      </c>
      <c r="Q385" s="850" t="s">
        <v>2924</v>
      </c>
      <c r="R385" s="828" t="s">
        <v>2925</v>
      </c>
      <c r="S385" s="828" t="s">
        <v>2926</v>
      </c>
      <c r="T385" s="828"/>
      <c r="U385" s="828"/>
      <c r="V385" s="828"/>
      <c r="W385" s="850"/>
      <c r="X385" s="131" t="s">
        <v>2927</v>
      </c>
      <c r="Y385" s="850"/>
      <c r="Z385" s="850"/>
      <c r="AA385" s="850"/>
      <c r="AB385" s="850" t="s">
        <v>2412</v>
      </c>
      <c r="AC385" s="131"/>
      <c r="AD385" s="1362"/>
      <c r="AE385" s="869"/>
      <c r="AF385" s="851"/>
      <c r="AG385" s="852" t="s">
        <v>115</v>
      </c>
      <c r="AH385" s="852" t="s">
        <v>115</v>
      </c>
      <c r="AI385" s="852" t="s">
        <v>115</v>
      </c>
      <c r="AJ385" s="515"/>
      <c r="AK385" s="815"/>
      <c r="AL385" s="815"/>
      <c r="AM385" s="815"/>
      <c r="AN385" s="851"/>
      <c r="AO385" s="815"/>
      <c r="AP385" s="815"/>
      <c r="AQ385" s="815"/>
      <c r="AR385" s="853"/>
      <c r="AS385" s="609"/>
      <c r="AT385" s="121"/>
      <c r="AU385" s="121"/>
      <c r="AV385" s="854"/>
      <c r="AW385" s="609"/>
      <c r="AX385" s="121"/>
      <c r="AY385" s="121"/>
      <c r="AZ385" s="760">
        <f>BR385+BV385+BZ385+CD243+CH243</f>
        <v>0</v>
      </c>
      <c r="BA385" s="761">
        <f>BT385+BX385+CB385+CF243+CJ243</f>
        <v>0</v>
      </c>
      <c r="BB385" s="761">
        <f t="shared" si="240"/>
        <v>0</v>
      </c>
      <c r="BC385" s="110"/>
      <c r="BD385" s="242"/>
      <c r="BE385" s="1231"/>
      <c r="BF385" s="828" t="s">
        <v>2928</v>
      </c>
      <c r="BG385" s="856">
        <v>0.15</v>
      </c>
      <c r="BH385" s="110"/>
      <c r="BI385" s="242"/>
      <c r="BJ385" s="1231"/>
      <c r="BK385" s="849"/>
      <c r="BL385" s="828" t="s">
        <v>2928</v>
      </c>
      <c r="BM385" s="856">
        <v>0.05</v>
      </c>
      <c r="BN385" s="110">
        <f t="shared" si="272"/>
        <v>0</v>
      </c>
      <c r="BO385" s="242"/>
      <c r="BP385" s="276"/>
      <c r="BQ385" s="277"/>
      <c r="BR385" s="858"/>
      <c r="BS385" s="866"/>
      <c r="BT385" s="858"/>
      <c r="BU385" s="859"/>
      <c r="BV385" s="867"/>
      <c r="BW385" s="859"/>
      <c r="BX385" s="867"/>
      <c r="BY385" s="859"/>
      <c r="BZ385" s="867"/>
      <c r="CA385" s="859"/>
      <c r="CB385" s="868"/>
      <c r="CC385" s="263"/>
      <c r="CD385" s="263"/>
      <c r="CE385" s="263"/>
      <c r="CF385" s="263"/>
      <c r="CG385" s="263"/>
      <c r="CH385" s="263"/>
      <c r="CI385" s="263"/>
      <c r="CJ385" s="263"/>
      <c r="CK385" s="247"/>
      <c r="CL385" s="207"/>
      <c r="CM385" s="354"/>
      <c r="CN385" s="207"/>
      <c r="CO385" s="207"/>
      <c r="CP385" s="155"/>
      <c r="CQ385" s="828"/>
      <c r="CR385" s="828"/>
      <c r="CS385" s="242"/>
      <c r="CT385" s="242"/>
      <c r="CU385" s="242"/>
      <c r="CV385" s="779"/>
      <c r="CW385" s="729"/>
      <c r="CX385" s="729"/>
      <c r="CY385" s="729"/>
      <c r="CZ385" s="729"/>
      <c r="DA385" s="729"/>
      <c r="DB385" s="729"/>
      <c r="DC385" s="729"/>
    </row>
    <row r="386" spans="1:107" ht="30" customHeight="1">
      <c r="A386" s="228"/>
      <c r="B386" s="155"/>
      <c r="C386" s="224"/>
      <c r="D386" s="757"/>
      <c r="E386" s="757"/>
      <c r="F386" s="757"/>
      <c r="G386" s="864" t="s">
        <v>188</v>
      </c>
      <c r="H386" s="865" t="s">
        <v>2930</v>
      </c>
      <c r="I386" s="207" t="s">
        <v>2931</v>
      </c>
      <c r="J386" s="207" t="str">
        <f t="shared" si="250"/>
        <v>Andrea Costa</v>
      </c>
      <c r="K386" s="848">
        <v>3342754871</v>
      </c>
      <c r="L386" s="849"/>
      <c r="M386" s="828"/>
      <c r="N386" s="828"/>
      <c r="O386" s="1361"/>
      <c r="P386" s="850" t="s">
        <v>2932</v>
      </c>
      <c r="Q386" s="850" t="s">
        <v>2932</v>
      </c>
      <c r="R386" s="828" t="s">
        <v>2933</v>
      </c>
      <c r="S386" s="828" t="s">
        <v>2934</v>
      </c>
      <c r="T386" s="828"/>
      <c r="U386" s="828"/>
      <c r="V386" s="828"/>
      <c r="W386" s="850"/>
      <c r="X386" s="131"/>
      <c r="Y386" s="850"/>
      <c r="Z386" s="850"/>
      <c r="AA386" s="850"/>
      <c r="AB386" s="850" t="s">
        <v>2935</v>
      </c>
      <c r="AC386" s="131"/>
      <c r="AD386" s="1362"/>
      <c r="AE386" s="869" t="s">
        <v>3085</v>
      </c>
      <c r="AF386" s="851"/>
      <c r="AG386" s="852" t="s">
        <v>115</v>
      </c>
      <c r="AH386" s="852" t="s">
        <v>115</v>
      </c>
      <c r="AI386" s="852" t="s">
        <v>115</v>
      </c>
      <c r="AJ386" s="515"/>
      <c r="AK386" s="815" t="s">
        <v>154</v>
      </c>
      <c r="AL386" s="815"/>
      <c r="AM386" s="815"/>
      <c r="AN386" s="851"/>
      <c r="AO386" s="815"/>
      <c r="AP386" s="815" t="s">
        <v>2404</v>
      </c>
      <c r="AQ386" s="815" t="s">
        <v>2404</v>
      </c>
      <c r="AR386" s="853"/>
      <c r="AS386" s="609"/>
      <c r="AT386" s="121"/>
      <c r="AU386" s="121"/>
      <c r="AV386" s="854"/>
      <c r="AW386" s="609"/>
      <c r="AX386" s="121"/>
      <c r="AY386" s="121"/>
      <c r="AZ386" s="760">
        <f t="shared" ref="AZ386:AZ388" si="273">BR386+BV386+BZ386+CD385+CH385</f>
        <v>0</v>
      </c>
      <c r="BA386" s="761">
        <f t="shared" ref="BA386:BA388" si="274">BT386+BX386+CB386+CF385+CJ385</f>
        <v>0</v>
      </c>
      <c r="BB386" s="761">
        <f t="shared" si="240"/>
        <v>0</v>
      </c>
      <c r="BC386" s="110"/>
      <c r="BD386" s="242"/>
      <c r="BE386" s="1231"/>
      <c r="BF386" s="828" t="s">
        <v>2936</v>
      </c>
      <c r="BG386" s="856">
        <v>0.15</v>
      </c>
      <c r="BH386" s="110"/>
      <c r="BI386" s="242"/>
      <c r="BJ386" s="1231"/>
      <c r="BK386" s="849"/>
      <c r="BL386" s="828" t="s">
        <v>2936</v>
      </c>
      <c r="BM386" s="856">
        <v>0.05</v>
      </c>
      <c r="BN386" s="110">
        <f t="shared" si="272"/>
        <v>0</v>
      </c>
      <c r="BO386" s="242"/>
      <c r="BP386" s="276"/>
      <c r="BQ386" s="277"/>
      <c r="BR386" s="858"/>
      <c r="BS386" s="866"/>
      <c r="BT386" s="858"/>
      <c r="BU386" s="859"/>
      <c r="BV386" s="867"/>
      <c r="BW386" s="859"/>
      <c r="BX386" s="867"/>
      <c r="BY386" s="859"/>
      <c r="BZ386" s="867"/>
      <c r="CA386" s="859"/>
      <c r="CB386" s="868"/>
      <c r="CC386" s="263"/>
      <c r="CD386" s="263"/>
      <c r="CE386" s="263"/>
      <c r="CF386" s="263"/>
      <c r="CG386" s="263"/>
      <c r="CH386" s="263"/>
      <c r="CI386" s="263"/>
      <c r="CJ386" s="263"/>
      <c r="CK386" s="247"/>
      <c r="CL386" s="207"/>
      <c r="CM386" s="354"/>
      <c r="CN386" s="207"/>
      <c r="CO386" s="207"/>
      <c r="CP386" s="155"/>
      <c r="CQ386" s="828"/>
      <c r="CR386" s="828"/>
      <c r="CS386" s="242"/>
      <c r="CT386" s="242"/>
      <c r="CU386" s="242"/>
      <c r="CV386" s="779"/>
      <c r="CW386" s="729"/>
      <c r="CX386" s="729"/>
      <c r="CY386" s="729"/>
      <c r="CZ386" s="729"/>
      <c r="DA386" s="729"/>
      <c r="DB386" s="729"/>
      <c r="DC386" s="729"/>
    </row>
    <row r="387" spans="1:107" ht="30" customHeight="1">
      <c r="A387" s="228"/>
      <c r="B387" s="155"/>
      <c r="C387" s="224"/>
      <c r="D387" s="757"/>
      <c r="E387" s="757"/>
      <c r="F387" s="757"/>
      <c r="G387" s="864" t="s">
        <v>188</v>
      </c>
      <c r="H387" s="865" t="s">
        <v>2937</v>
      </c>
      <c r="I387" s="207" t="s">
        <v>2938</v>
      </c>
      <c r="J387" s="207" t="str">
        <f t="shared" si="250"/>
        <v>Andrea Persiano</v>
      </c>
      <c r="K387" s="848"/>
      <c r="L387" s="849"/>
      <c r="M387" s="828"/>
      <c r="N387" s="828"/>
      <c r="O387" s="1361"/>
      <c r="P387" s="850"/>
      <c r="Q387" s="850"/>
      <c r="R387" s="828" t="s">
        <v>2939</v>
      </c>
      <c r="S387" s="869"/>
      <c r="T387" s="869"/>
      <c r="U387" s="869"/>
      <c r="V387" s="869"/>
      <c r="W387" s="850"/>
      <c r="X387" s="131"/>
      <c r="Y387" s="850"/>
      <c r="Z387" s="850"/>
      <c r="AA387" s="850"/>
      <c r="AB387" s="850"/>
      <c r="AC387" s="131"/>
      <c r="AD387" s="1362"/>
      <c r="AE387" s="869" t="s">
        <v>4690</v>
      </c>
      <c r="AF387" s="851"/>
      <c r="AG387" s="852" t="s">
        <v>115</v>
      </c>
      <c r="AH387" s="852" t="s">
        <v>115</v>
      </c>
      <c r="AI387" s="852" t="s">
        <v>115</v>
      </c>
      <c r="AJ387" s="515"/>
      <c r="AK387" s="815"/>
      <c r="AL387" s="815"/>
      <c r="AM387" s="815"/>
      <c r="AN387" s="851"/>
      <c r="AO387" s="815"/>
      <c r="AP387" s="815" t="s">
        <v>2404</v>
      </c>
      <c r="AQ387" s="815" t="s">
        <v>2404</v>
      </c>
      <c r="AR387" s="853"/>
      <c r="AS387" s="609"/>
      <c r="AT387" s="609"/>
      <c r="AU387" s="609"/>
      <c r="AV387" s="854"/>
      <c r="AW387" s="609"/>
      <c r="AX387" s="609"/>
      <c r="AY387" s="609"/>
      <c r="AZ387" s="760">
        <f t="shared" si="273"/>
        <v>0</v>
      </c>
      <c r="BA387" s="761">
        <f t="shared" si="274"/>
        <v>0</v>
      </c>
      <c r="BB387" s="761">
        <f t="shared" si="240"/>
        <v>0</v>
      </c>
      <c r="BC387" s="110"/>
      <c r="BD387" s="242"/>
      <c r="BE387" s="1231"/>
      <c r="BF387" s="828" t="s">
        <v>2613</v>
      </c>
      <c r="BG387" s="856">
        <v>0</v>
      </c>
      <c r="BH387" s="110"/>
      <c r="BI387" s="242"/>
      <c r="BJ387" s="1231"/>
      <c r="BK387" s="849"/>
      <c r="BL387" s="828" t="s">
        <v>2940</v>
      </c>
      <c r="BM387" s="856">
        <v>0</v>
      </c>
      <c r="BN387" s="110">
        <f t="shared" si="272"/>
        <v>0</v>
      </c>
      <c r="BO387" s="242"/>
      <c r="BP387" s="276"/>
      <c r="BQ387" s="277"/>
      <c r="BR387" s="867"/>
      <c r="BS387" s="859"/>
      <c r="BT387" s="867"/>
      <c r="BU387" s="859"/>
      <c r="BV387" s="862"/>
      <c r="BW387" s="859"/>
      <c r="BX387" s="862"/>
      <c r="BY387" s="859"/>
      <c r="BZ387" s="862"/>
      <c r="CA387" s="859"/>
      <c r="CB387" s="863"/>
      <c r="CC387" s="263"/>
      <c r="CD387" s="263"/>
      <c r="CE387" s="263"/>
      <c r="CF387" s="263"/>
      <c r="CG387" s="263"/>
      <c r="CH387" s="263"/>
      <c r="CI387" s="263"/>
      <c r="CJ387" s="263"/>
      <c r="CK387" s="247"/>
      <c r="CL387" s="207"/>
      <c r="CM387" s="354"/>
      <c r="CN387" s="207"/>
      <c r="CO387" s="207"/>
      <c r="CP387" s="155"/>
      <c r="CQ387" s="828"/>
      <c r="CR387" s="828"/>
      <c r="CS387" s="242"/>
      <c r="CT387" s="242"/>
      <c r="CU387" s="242"/>
      <c r="CV387" s="779"/>
      <c r="CW387" s="729"/>
      <c r="CX387" s="729"/>
      <c r="CY387" s="729"/>
      <c r="CZ387" s="729"/>
      <c r="DA387" s="729"/>
      <c r="DB387" s="729"/>
      <c r="DC387" s="729"/>
    </row>
    <row r="388" spans="1:107" ht="30" customHeight="1">
      <c r="A388" s="228"/>
      <c r="B388" s="155"/>
      <c r="C388" s="224"/>
      <c r="D388" s="757"/>
      <c r="E388" s="757"/>
      <c r="F388" s="757"/>
      <c r="G388" s="864" t="s">
        <v>977</v>
      </c>
      <c r="H388" s="865" t="s">
        <v>2941</v>
      </c>
      <c r="I388" s="207" t="s">
        <v>2942</v>
      </c>
      <c r="J388" s="207" t="str">
        <f t="shared" si="250"/>
        <v>Antonio Gallio</v>
      </c>
      <c r="K388" s="848" t="s">
        <v>2943</v>
      </c>
      <c r="L388" s="849"/>
      <c r="M388" s="828"/>
      <c r="N388" s="828"/>
      <c r="O388" s="1361"/>
      <c r="P388" s="850" t="s">
        <v>2944</v>
      </c>
      <c r="Q388" s="850" t="s">
        <v>2944</v>
      </c>
      <c r="R388" s="828" t="s">
        <v>2945</v>
      </c>
      <c r="S388" s="828" t="s">
        <v>2946</v>
      </c>
      <c r="T388" s="828"/>
      <c r="U388" s="828"/>
      <c r="V388" s="828"/>
      <c r="W388" s="850"/>
      <c r="X388" s="131"/>
      <c r="Y388" s="850"/>
      <c r="Z388" s="850"/>
      <c r="AA388" s="850"/>
      <c r="AB388" s="850" t="s">
        <v>2947</v>
      </c>
      <c r="AC388" s="131"/>
      <c r="AD388" s="1362"/>
      <c r="AE388" s="869" t="s">
        <v>3085</v>
      </c>
      <c r="AF388" s="851"/>
      <c r="AG388" s="852" t="s">
        <v>115</v>
      </c>
      <c r="AH388" s="852" t="s">
        <v>115</v>
      </c>
      <c r="AI388" s="852" t="s">
        <v>115</v>
      </c>
      <c r="AJ388" s="515"/>
      <c r="AK388" s="815"/>
      <c r="AL388" s="815"/>
      <c r="AM388" s="815"/>
      <c r="AN388" s="851"/>
      <c r="AO388" s="815"/>
      <c r="AP388" s="815" t="s">
        <v>2404</v>
      </c>
      <c r="AQ388" s="815" t="s">
        <v>2404</v>
      </c>
      <c r="AR388" s="853"/>
      <c r="AS388" s="609"/>
      <c r="AT388" s="609"/>
      <c r="AU388" s="609"/>
      <c r="AV388" s="854"/>
      <c r="AW388" s="609"/>
      <c r="AX388" s="609"/>
      <c r="AY388" s="609"/>
      <c r="AZ388" s="760">
        <f t="shared" si="273"/>
        <v>0</v>
      </c>
      <c r="BA388" s="761">
        <f t="shared" si="274"/>
        <v>0</v>
      </c>
      <c r="BB388" s="761">
        <f t="shared" si="240"/>
        <v>0</v>
      </c>
      <c r="BC388" s="110"/>
      <c r="BD388" s="242"/>
      <c r="BE388" s="1231"/>
      <c r="BF388" s="828" t="s">
        <v>2936</v>
      </c>
      <c r="BG388" s="856">
        <v>0.15</v>
      </c>
      <c r="BH388" s="110"/>
      <c r="BI388" s="242"/>
      <c r="BJ388" s="1231"/>
      <c r="BK388" s="849"/>
      <c r="BL388" s="828" t="s">
        <v>2936</v>
      </c>
      <c r="BM388" s="856">
        <v>0.05</v>
      </c>
      <c r="BN388" s="110">
        <f t="shared" si="272"/>
        <v>0</v>
      </c>
      <c r="BO388" s="242"/>
      <c r="BP388" s="276"/>
      <c r="BQ388" s="277"/>
      <c r="BR388" s="858"/>
      <c r="BS388" s="866"/>
      <c r="BT388" s="858"/>
      <c r="BU388" s="859"/>
      <c r="BV388" s="867"/>
      <c r="BW388" s="859"/>
      <c r="BX388" s="867"/>
      <c r="BY388" s="859"/>
      <c r="BZ388" s="867"/>
      <c r="CA388" s="859"/>
      <c r="CB388" s="868"/>
      <c r="CC388" s="263"/>
      <c r="CD388" s="263"/>
      <c r="CE388" s="263"/>
      <c r="CF388" s="263"/>
      <c r="CG388" s="263"/>
      <c r="CH388" s="263"/>
      <c r="CI388" s="263"/>
      <c r="CJ388" s="263"/>
      <c r="CK388" s="247"/>
      <c r="CL388" s="207"/>
      <c r="CM388" s="354"/>
      <c r="CN388" s="207"/>
      <c r="CO388" s="207"/>
      <c r="CP388" s="155"/>
      <c r="CQ388" s="828"/>
      <c r="CR388" s="828"/>
      <c r="CS388" s="242"/>
      <c r="CT388" s="242"/>
      <c r="CU388" s="242"/>
      <c r="CV388" s="779"/>
      <c r="CW388" s="729"/>
      <c r="CX388" s="729"/>
      <c r="CY388" s="729"/>
      <c r="CZ388" s="729"/>
      <c r="DA388" s="729"/>
      <c r="DB388" s="729"/>
      <c r="DC388" s="729"/>
    </row>
    <row r="389" spans="1:107" ht="30" customHeight="1">
      <c r="A389" s="228"/>
      <c r="B389" s="155"/>
      <c r="C389" s="155"/>
      <c r="D389" s="757"/>
      <c r="E389" s="757"/>
      <c r="F389" s="757"/>
      <c r="G389" s="369" t="s">
        <v>414</v>
      </c>
      <c r="H389" s="672" t="s">
        <v>2948</v>
      </c>
      <c r="I389" s="207" t="s">
        <v>2949</v>
      </c>
      <c r="J389" s="207" t="str">
        <f t="shared" si="250"/>
        <v>Barbara Boschi</v>
      </c>
      <c r="K389" s="224">
        <v>3481307497</v>
      </c>
      <c r="L389" s="131"/>
      <c r="M389" s="131"/>
      <c r="N389" s="131"/>
      <c r="O389" s="1259"/>
      <c r="P389" s="564" t="s">
        <v>2950</v>
      </c>
      <c r="Q389" s="131"/>
      <c r="R389" s="131"/>
      <c r="S389" s="131" t="s">
        <v>2951</v>
      </c>
      <c r="T389" s="131"/>
      <c r="U389" s="131"/>
      <c r="V389" s="131"/>
      <c r="W389" s="255"/>
      <c r="X389" s="131"/>
      <c r="Y389" s="255"/>
      <c r="Z389" s="255"/>
      <c r="AA389" s="255"/>
      <c r="AB389" s="255"/>
      <c r="AC389" s="131"/>
      <c r="AD389" s="1363"/>
      <c r="AE389" s="1429"/>
      <c r="AF389" s="515"/>
      <c r="AG389" s="516" t="s">
        <v>116</v>
      </c>
      <c r="AH389" s="516" t="s">
        <v>116</v>
      </c>
      <c r="AI389" s="516" t="s">
        <v>115</v>
      </c>
      <c r="AJ389" s="515"/>
      <c r="AK389" s="815"/>
      <c r="AL389" s="815"/>
      <c r="AM389" s="815"/>
      <c r="AN389" s="851"/>
      <c r="AO389" s="155"/>
      <c r="AP389" s="155"/>
      <c r="AQ389" s="155" t="s">
        <v>2404</v>
      </c>
      <c r="AR389" s="515"/>
      <c r="AS389" s="121"/>
      <c r="AT389" s="121"/>
      <c r="AU389" s="121"/>
      <c r="AV389" s="568"/>
      <c r="AW389" s="121"/>
      <c r="AX389" s="121"/>
      <c r="AY389" s="121"/>
      <c r="AZ389" s="760">
        <f>BR389+BV389+BZ389+CD250+CH250</f>
        <v>0</v>
      </c>
      <c r="BA389" s="761">
        <f>BT389+BX389+CB389+CF250+CJ250</f>
        <v>0</v>
      </c>
      <c r="BB389" s="761">
        <f t="shared" si="240"/>
        <v>0</v>
      </c>
      <c r="BC389" s="110"/>
      <c r="BD389" s="242"/>
      <c r="BE389" s="1231"/>
      <c r="BF389" s="529" t="s">
        <v>2952</v>
      </c>
      <c r="BG389" s="145">
        <v>0.15</v>
      </c>
      <c r="BH389" s="110"/>
      <c r="BI389" s="242"/>
      <c r="BJ389" s="1231"/>
      <c r="BK389" s="678"/>
      <c r="BL389" s="529" t="s">
        <v>2953</v>
      </c>
      <c r="BM389" s="145">
        <v>0.05</v>
      </c>
      <c r="BN389" s="110">
        <f t="shared" si="272"/>
        <v>0</v>
      </c>
      <c r="BO389" s="242"/>
      <c r="BP389" s="276"/>
      <c r="BQ389" s="277"/>
      <c r="BR389" s="301"/>
      <c r="BS389" s="206"/>
      <c r="BT389" s="301"/>
      <c r="BU389" s="263"/>
      <c r="BV389" s="110"/>
      <c r="BW389" s="226"/>
      <c r="BX389" s="110"/>
      <c r="BY389" s="263"/>
      <c r="BZ389" s="110"/>
      <c r="CA389" s="226"/>
      <c r="CB389" s="349"/>
      <c r="CC389" s="263"/>
      <c r="CD389" s="263"/>
      <c r="CE389" s="263"/>
      <c r="CF389" s="263"/>
      <c r="CG389" s="263"/>
      <c r="CH389" s="263"/>
      <c r="CI389" s="263"/>
      <c r="CJ389" s="263"/>
      <c r="CK389" s="245"/>
      <c r="CL389" s="181"/>
      <c r="CM389" s="369"/>
      <c r="CN389" s="207"/>
      <c r="CO389" s="207"/>
      <c r="CP389" s="155"/>
      <c r="CQ389" s="131"/>
      <c r="CR389" s="131"/>
      <c r="CS389" s="242"/>
      <c r="CT389" s="242"/>
      <c r="CU389" s="242"/>
      <c r="CV389" s="729"/>
      <c r="CW389" s="729"/>
      <c r="CX389" s="729"/>
      <c r="CY389" s="729"/>
      <c r="CZ389" s="729"/>
      <c r="DA389" s="729"/>
      <c r="DB389" s="729"/>
      <c r="DC389" s="729"/>
    </row>
    <row r="390" spans="1:107" ht="30" customHeight="1">
      <c r="A390" s="228"/>
      <c r="B390" s="155"/>
      <c r="C390" s="155"/>
      <c r="D390" s="757"/>
      <c r="E390" s="757"/>
      <c r="F390" s="757"/>
      <c r="G390" s="369" t="s">
        <v>414</v>
      </c>
      <c r="H390" s="672" t="s">
        <v>2954</v>
      </c>
      <c r="I390" s="207" t="s">
        <v>2955</v>
      </c>
      <c r="J390" s="207" t="str">
        <f t="shared" si="250"/>
        <v>Barbara Calabria</v>
      </c>
      <c r="K390" s="224">
        <v>3355680761</v>
      </c>
      <c r="L390" s="131"/>
      <c r="M390" s="131"/>
      <c r="N390" s="289"/>
      <c r="O390" s="1277"/>
      <c r="P390" s="255" t="s">
        <v>2956</v>
      </c>
      <c r="Q390" s="564" t="s">
        <v>2956</v>
      </c>
      <c r="R390" s="131" t="s">
        <v>2957</v>
      </c>
      <c r="S390" s="131" t="s">
        <v>2958</v>
      </c>
      <c r="T390" s="131"/>
      <c r="U390" s="131"/>
      <c r="V390" s="131"/>
      <c r="W390" s="258"/>
      <c r="X390" s="131" t="s">
        <v>2955</v>
      </c>
      <c r="Y390" s="258"/>
      <c r="Z390" s="258"/>
      <c r="AA390" s="258"/>
      <c r="AB390" s="255" t="s">
        <v>2412</v>
      </c>
      <c r="AC390" s="131"/>
      <c r="AD390" s="1363"/>
      <c r="AE390" s="207"/>
      <c r="AF390" s="515"/>
      <c r="AG390" s="516" t="s">
        <v>115</v>
      </c>
      <c r="AH390" s="516" t="s">
        <v>115</v>
      </c>
      <c r="AI390" s="516" t="s">
        <v>115</v>
      </c>
      <c r="AJ390" s="515"/>
      <c r="AK390" s="155"/>
      <c r="AL390" s="155"/>
      <c r="AM390" s="124"/>
      <c r="AN390" s="515"/>
      <c r="AO390" s="155"/>
      <c r="AP390" s="155"/>
      <c r="AQ390" s="155"/>
      <c r="AR390" s="515"/>
      <c r="AS390" s="121"/>
      <c r="AT390" s="121"/>
      <c r="AU390" s="121"/>
      <c r="AV390" s="568"/>
      <c r="AW390" s="121"/>
      <c r="AX390" s="121"/>
      <c r="AY390" s="121"/>
      <c r="AZ390" s="760">
        <f t="shared" ref="AZ390:AZ391" si="275">BR390+BV390+BZ390+CD389+CH389</f>
        <v>0</v>
      </c>
      <c r="BA390" s="761">
        <f>BT390+BX390+CB390+CF389+CJ389</f>
        <v>0</v>
      </c>
      <c r="BB390" s="761">
        <f t="shared" si="240"/>
        <v>0</v>
      </c>
      <c r="BC390" s="110"/>
      <c r="BD390" s="242"/>
      <c r="BE390" s="1231"/>
      <c r="BF390" s="529" t="s">
        <v>2959</v>
      </c>
      <c r="BG390" s="145">
        <v>0.15</v>
      </c>
      <c r="BH390" s="110"/>
      <c r="BI390" s="242"/>
      <c r="BJ390" s="1231"/>
      <c r="BK390" s="678"/>
      <c r="BL390" s="529" t="s">
        <v>2959</v>
      </c>
      <c r="BM390" s="145">
        <v>0.05</v>
      </c>
      <c r="BN390" s="110">
        <f t="shared" si="272"/>
        <v>0</v>
      </c>
      <c r="BO390" s="242"/>
      <c r="BP390" s="276"/>
      <c r="BQ390" s="277"/>
      <c r="BR390" s="301"/>
      <c r="BS390" s="206"/>
      <c r="BT390" s="301"/>
      <c r="BU390" s="263"/>
      <c r="BV390" s="110"/>
      <c r="BW390" s="226"/>
      <c r="BX390" s="110"/>
      <c r="BY390" s="263"/>
      <c r="BZ390" s="110"/>
      <c r="CA390" s="226"/>
      <c r="CB390" s="349"/>
      <c r="CC390" s="871"/>
      <c r="CD390" s="871"/>
      <c r="CE390" s="871"/>
      <c r="CF390" s="871"/>
      <c r="CG390" s="871"/>
      <c r="CH390" s="871"/>
      <c r="CI390" s="871"/>
      <c r="CJ390" s="871"/>
      <c r="CK390" s="245" t="s">
        <v>2612</v>
      </c>
      <c r="CL390" s="181"/>
      <c r="CM390" s="369"/>
      <c r="CN390" s="181"/>
      <c r="CO390" s="181"/>
      <c r="CP390" s="121"/>
      <c r="CQ390" s="207"/>
      <c r="CR390" s="131"/>
      <c r="CS390" s="242"/>
      <c r="CT390" s="242"/>
      <c r="CU390" s="242"/>
      <c r="CV390" s="779"/>
      <c r="CW390" s="779"/>
      <c r="CX390" s="779"/>
      <c r="CY390" s="779"/>
      <c r="CZ390" s="779"/>
      <c r="DA390" s="779"/>
      <c r="DB390" s="779"/>
      <c r="DC390" s="779"/>
    </row>
    <row r="391" spans="1:107" ht="98.25" customHeight="1">
      <c r="A391" s="228"/>
      <c r="B391" s="155"/>
      <c r="C391" s="155"/>
      <c r="D391" s="757"/>
      <c r="E391" s="757"/>
      <c r="F391" s="872"/>
      <c r="G391" s="873" t="s">
        <v>2960</v>
      </c>
      <c r="H391" s="874" t="s">
        <v>2961</v>
      </c>
      <c r="I391" s="875" t="s">
        <v>2962</v>
      </c>
      <c r="J391" s="207" t="str">
        <f t="shared" si="250"/>
        <v>Bruno Julian Papaleo</v>
      </c>
      <c r="K391" s="224">
        <v>3420208244</v>
      </c>
      <c r="L391" s="876" t="s">
        <v>2963</v>
      </c>
      <c r="M391" s="131"/>
      <c r="N391" s="289"/>
      <c r="O391" s="1277"/>
      <c r="P391" s="255" t="s">
        <v>2964</v>
      </c>
      <c r="Q391" s="564" t="s">
        <v>2965</v>
      </c>
      <c r="R391" s="131" t="s">
        <v>2966</v>
      </c>
      <c r="S391" s="131" t="s">
        <v>2967</v>
      </c>
      <c r="T391" s="131"/>
      <c r="U391" s="131"/>
      <c r="V391" s="131"/>
      <c r="W391" s="155"/>
      <c r="X391" s="131" t="s">
        <v>2927</v>
      </c>
      <c r="Y391" s="155"/>
      <c r="Z391" s="155"/>
      <c r="AA391" s="155"/>
      <c r="AB391" s="255" t="s">
        <v>2968</v>
      </c>
      <c r="AC391" s="558" t="s">
        <v>2969</v>
      </c>
      <c r="AD391" s="1430" t="s">
        <v>2970</v>
      </c>
      <c r="AE391" s="449" t="s">
        <v>4691</v>
      </c>
      <c r="AF391" s="515"/>
      <c r="AG391" s="406"/>
      <c r="AH391" s="406"/>
      <c r="AI391" s="406"/>
      <c r="AJ391" s="515"/>
      <c r="AK391" s="155"/>
      <c r="AL391" s="155"/>
      <c r="AM391" s="155"/>
      <c r="AN391" s="515"/>
      <c r="AO391" s="878" t="s">
        <v>245</v>
      </c>
      <c r="AP391" s="878" t="s">
        <v>245</v>
      </c>
      <c r="AQ391" s="878" t="s">
        <v>245</v>
      </c>
      <c r="AR391" s="515"/>
      <c r="AS391" s="304" t="s">
        <v>245</v>
      </c>
      <c r="AT391" s="304" t="s">
        <v>245</v>
      </c>
      <c r="AU391" s="304" t="s">
        <v>245</v>
      </c>
      <c r="AV391" s="568"/>
      <c r="AW391" s="304"/>
      <c r="AX391" s="304"/>
      <c r="AY391" s="304"/>
      <c r="AZ391" s="760">
        <f t="shared" si="275"/>
        <v>3497</v>
      </c>
      <c r="BA391" s="808">
        <f>BT391</f>
        <v>163.93</v>
      </c>
      <c r="BB391" s="808">
        <f t="shared" si="240"/>
        <v>3333.07</v>
      </c>
      <c r="BC391" s="110">
        <v>0</v>
      </c>
      <c r="BD391" s="242">
        <f>AZ391-BC391</f>
        <v>3497</v>
      </c>
      <c r="BE391" s="242"/>
      <c r="BF391" s="529" t="s">
        <v>2971</v>
      </c>
      <c r="BG391" s="145">
        <v>0</v>
      </c>
      <c r="BH391" s="110">
        <f>AZ391*BG391</f>
        <v>0</v>
      </c>
      <c r="BI391" s="242"/>
      <c r="BJ391" s="1230"/>
      <c r="BK391" s="678"/>
      <c r="BL391" s="529" t="s">
        <v>152</v>
      </c>
      <c r="BM391" s="145">
        <v>0.05</v>
      </c>
      <c r="BN391" s="110">
        <v>0</v>
      </c>
      <c r="BO391" s="242">
        <f t="shared" ref="BO391:BO461" si="276">BD391*BM391</f>
        <v>174.85000000000002</v>
      </c>
      <c r="BP391" s="242"/>
      <c r="BQ391" s="1285"/>
      <c r="BR391" s="110">
        <v>163.93</v>
      </c>
      <c r="BS391" s="226">
        <v>44092</v>
      </c>
      <c r="BT391" s="110">
        <v>163.93</v>
      </c>
      <c r="BU391" s="263"/>
      <c r="BV391" s="110">
        <f>1720/1.22</f>
        <v>1409.8360655737706</v>
      </c>
      <c r="BW391" s="226">
        <v>44141</v>
      </c>
      <c r="BX391" s="110">
        <v>0</v>
      </c>
      <c r="BY391" s="263"/>
      <c r="BZ391" s="110">
        <f>3497-BV391-BR391</f>
        <v>1923.2339344262293</v>
      </c>
      <c r="CA391" s="226">
        <v>44169</v>
      </c>
      <c r="CB391" s="349">
        <v>0</v>
      </c>
      <c r="CC391" s="871"/>
      <c r="CD391" s="871"/>
      <c r="CE391" s="871"/>
      <c r="CF391" s="871"/>
      <c r="CG391" s="871"/>
      <c r="CH391" s="871"/>
      <c r="CI391" s="871"/>
      <c r="CJ391" s="871"/>
      <c r="CK391" s="879" t="s">
        <v>2612</v>
      </c>
      <c r="CL391" s="181"/>
      <c r="CM391" s="369"/>
      <c r="CN391" s="181"/>
      <c r="CO391" s="181"/>
      <c r="CP391" s="121"/>
      <c r="CQ391" s="207"/>
      <c r="CR391" s="131"/>
      <c r="CS391" s="242"/>
      <c r="CT391" s="242"/>
      <c r="CU391" s="242"/>
      <c r="CV391" s="779"/>
      <c r="CW391" s="779"/>
      <c r="CX391" s="779"/>
      <c r="CY391" s="779"/>
      <c r="CZ391" s="779"/>
      <c r="DA391" s="779"/>
      <c r="DB391" s="779"/>
      <c r="DC391" s="779"/>
    </row>
    <row r="392" spans="1:107" ht="75.75" customHeight="1">
      <c r="A392" s="228"/>
      <c r="B392" s="155"/>
      <c r="C392" s="224"/>
      <c r="D392" s="757"/>
      <c r="E392" s="757"/>
      <c r="F392" s="757"/>
      <c r="G392" s="880" t="s">
        <v>2972</v>
      </c>
      <c r="H392" s="880" t="s">
        <v>2973</v>
      </c>
      <c r="I392" s="207" t="s">
        <v>2974</v>
      </c>
      <c r="J392" s="207" t="str">
        <f t="shared" si="250"/>
        <v>Caterina Bissoni</v>
      </c>
      <c r="K392" s="224">
        <v>3337119508</v>
      </c>
      <c r="L392" s="555" t="s">
        <v>2975</v>
      </c>
      <c r="M392" s="561"/>
      <c r="N392" s="289"/>
      <c r="O392" s="1277"/>
      <c r="P392" s="623"/>
      <c r="Q392" s="623"/>
      <c r="R392" s="131" t="s">
        <v>2976</v>
      </c>
      <c r="S392" s="625"/>
      <c r="T392" s="255"/>
      <c r="U392" s="255"/>
      <c r="V392" s="131"/>
      <c r="W392" s="131"/>
      <c r="X392" s="131"/>
      <c r="Y392" s="131"/>
      <c r="Z392" s="131"/>
      <c r="AA392" s="514"/>
      <c r="AB392" s="255"/>
      <c r="AC392" s="131"/>
      <c r="AD392" s="1430" t="s">
        <v>2977</v>
      </c>
      <c r="AE392" s="514"/>
      <c r="AF392" s="627"/>
      <c r="AG392" s="1393"/>
      <c r="AH392" s="628"/>
      <c r="AI392" s="629"/>
      <c r="AJ392" s="515"/>
      <c r="AK392" s="155"/>
      <c r="AL392" s="155"/>
      <c r="AM392" s="155"/>
      <c r="AN392" s="515"/>
      <c r="AO392" s="207"/>
      <c r="AP392" s="207"/>
      <c r="AQ392" s="207"/>
      <c r="AR392" s="853"/>
      <c r="AS392" s="616"/>
      <c r="AT392" s="616"/>
      <c r="AU392" s="616"/>
      <c r="AV392" s="854"/>
      <c r="AW392" s="121" t="s">
        <v>151</v>
      </c>
      <c r="AX392" s="121" t="s">
        <v>151</v>
      </c>
      <c r="AY392" s="121" t="s">
        <v>151</v>
      </c>
      <c r="AZ392" s="760">
        <f t="shared" ref="AZ392:AZ397" si="277">BR392+BV392+BZ392+CD392+CH392</f>
        <v>0</v>
      </c>
      <c r="BA392" s="808">
        <f>BT392+BX392+CB392+CF392+CJ392</f>
        <v>0</v>
      </c>
      <c r="BB392" s="808">
        <f t="shared" si="240"/>
        <v>0</v>
      </c>
      <c r="BC392" s="110">
        <f>BA392</f>
        <v>0</v>
      </c>
      <c r="BD392" s="242"/>
      <c r="BE392" s="1231"/>
      <c r="BF392" s="529" t="s">
        <v>262</v>
      </c>
      <c r="BG392" s="529"/>
      <c r="BH392" s="110"/>
      <c r="BI392" s="242"/>
      <c r="BJ392" s="1231"/>
      <c r="BK392" s="678"/>
      <c r="BL392" s="529" t="s">
        <v>262</v>
      </c>
      <c r="BM392" s="207"/>
      <c r="BN392" s="110">
        <v>0</v>
      </c>
      <c r="BO392" s="242">
        <f t="shared" si="276"/>
        <v>0</v>
      </c>
      <c r="BP392" s="242"/>
      <c r="BQ392" s="665"/>
      <c r="BR392" s="301"/>
      <c r="BS392" s="206"/>
      <c r="BT392" s="301"/>
      <c r="BU392" s="263"/>
      <c r="BV392" s="110"/>
      <c r="BW392" s="226"/>
      <c r="BX392" s="110"/>
      <c r="BY392" s="263"/>
      <c r="BZ392" s="110"/>
      <c r="CA392" s="226"/>
      <c r="CB392" s="349"/>
      <c r="CC392" s="871"/>
      <c r="CD392" s="871"/>
      <c r="CE392" s="871"/>
      <c r="CF392" s="871"/>
      <c r="CG392" s="871"/>
      <c r="CH392" s="871"/>
      <c r="CI392" s="871"/>
      <c r="CJ392" s="871"/>
      <c r="CK392" s="557"/>
      <c r="CL392" s="331"/>
      <c r="CM392" s="631"/>
      <c r="CN392" s="331"/>
      <c r="CO392" s="331"/>
      <c r="CP392" s="331"/>
      <c r="CQ392" s="331"/>
      <c r="CR392" s="561"/>
      <c r="CS392" s="242"/>
      <c r="CT392" s="242"/>
      <c r="CU392" s="242"/>
      <c r="CV392" s="265"/>
      <c r="CW392" s="265"/>
      <c r="CX392" s="265"/>
      <c r="CY392" s="265"/>
      <c r="CZ392" s="265"/>
      <c r="DA392" s="265"/>
      <c r="DB392" s="265"/>
      <c r="DC392" s="265"/>
    </row>
    <row r="393" spans="1:107" ht="75">
      <c r="A393" s="228"/>
      <c r="B393" s="155"/>
      <c r="C393" s="224"/>
      <c r="D393" s="757"/>
      <c r="E393" s="757"/>
      <c r="F393" s="757"/>
      <c r="G393" s="885" t="s">
        <v>2978</v>
      </c>
      <c r="H393" s="885" t="s">
        <v>2979</v>
      </c>
      <c r="I393" s="207"/>
      <c r="J393" s="207" t="str">
        <f t="shared" si="250"/>
        <v>Chiara  Bolzoni</v>
      </c>
      <c r="K393" s="886"/>
      <c r="L393" s="876" t="s">
        <v>2980</v>
      </c>
      <c r="M393" s="561"/>
      <c r="N393" s="289"/>
      <c r="O393" s="1431"/>
      <c r="P393" s="623"/>
      <c r="Q393" s="623"/>
      <c r="R393" s="624"/>
      <c r="S393" s="625"/>
      <c r="T393" s="255"/>
      <c r="U393" s="255"/>
      <c r="V393" s="131"/>
      <c r="W393" s="131"/>
      <c r="X393" s="131"/>
      <c r="Y393" s="131"/>
      <c r="Z393" s="131"/>
      <c r="AA393" s="514"/>
      <c r="AB393" s="255"/>
      <c r="AC393" s="131"/>
      <c r="AD393" s="1430" t="s">
        <v>2981</v>
      </c>
      <c r="AE393" s="514"/>
      <c r="AF393" s="627"/>
      <c r="AG393" s="1393"/>
      <c r="AH393" s="628"/>
      <c r="AI393" s="629"/>
      <c r="AJ393" s="515"/>
      <c r="AK393" s="258"/>
      <c r="AL393" s="258"/>
      <c r="AM393" s="258"/>
      <c r="AN393" s="627"/>
      <c r="AO393" s="878" t="s">
        <v>245</v>
      </c>
      <c r="AP393" s="878" t="s">
        <v>245</v>
      </c>
      <c r="AQ393" s="878" t="s">
        <v>245</v>
      </c>
      <c r="AR393" s="853"/>
      <c r="AS393" s="304" t="s">
        <v>245</v>
      </c>
      <c r="AT393" s="304" t="s">
        <v>245</v>
      </c>
      <c r="AU393" s="304" t="s">
        <v>245</v>
      </c>
      <c r="AV393" s="854"/>
      <c r="AW393" s="304"/>
      <c r="AX393" s="304"/>
      <c r="AY393" s="304"/>
      <c r="AZ393" s="889">
        <f t="shared" si="277"/>
        <v>3496.9700000000003</v>
      </c>
      <c r="BA393" s="808">
        <f t="shared" ref="BA393:BA394" si="278">BT393</f>
        <v>163.93</v>
      </c>
      <c r="BB393" s="902"/>
      <c r="BC393" s="262">
        <v>0</v>
      </c>
      <c r="BD393" s="242">
        <f t="shared" ref="BD393:BD394" si="279">AZ393-BC393</f>
        <v>3496.9700000000003</v>
      </c>
      <c r="BE393" s="986"/>
      <c r="BF393" s="890"/>
      <c r="BG393" s="891"/>
      <c r="BH393" s="110"/>
      <c r="BI393" s="242"/>
      <c r="BJ393" s="1231"/>
      <c r="BK393" s="890"/>
      <c r="BL393" s="890"/>
      <c r="BM393" s="891"/>
      <c r="BN393" s="110">
        <v>0</v>
      </c>
      <c r="BO393" s="242">
        <f t="shared" si="276"/>
        <v>0</v>
      </c>
      <c r="BP393" s="986"/>
      <c r="BQ393" s="1432"/>
      <c r="BR393" s="110">
        <v>163.93</v>
      </c>
      <c r="BS393" s="110">
        <v>43754</v>
      </c>
      <c r="BT393" s="110">
        <v>163.93</v>
      </c>
      <c r="BU393" s="263"/>
      <c r="BV393" s="110">
        <v>1409.82</v>
      </c>
      <c r="BW393" s="110">
        <v>44112</v>
      </c>
      <c r="BX393" s="110"/>
      <c r="BY393" s="1433"/>
      <c r="BZ393" s="110">
        <v>1923.22</v>
      </c>
      <c r="CA393" s="226">
        <v>44169</v>
      </c>
      <c r="CB393" s="226"/>
      <c r="CC393" s="226"/>
      <c r="CD393" s="226"/>
      <c r="CE393" s="871"/>
      <c r="CF393" s="871"/>
      <c r="CG393" s="871"/>
      <c r="CH393" s="871"/>
      <c r="CI393" s="871"/>
      <c r="CJ393" s="871"/>
      <c r="CK393" s="895"/>
      <c r="CL393" s="331"/>
      <c r="CM393" s="631"/>
      <c r="CN393" s="331"/>
      <c r="CO393" s="331"/>
      <c r="CP393" s="331"/>
      <c r="CQ393" s="331"/>
      <c r="CR393" s="561"/>
      <c r="CS393" s="242"/>
      <c r="CT393" s="242"/>
      <c r="CU393" s="242"/>
      <c r="CV393" s="265"/>
      <c r="CW393" s="265"/>
      <c r="CX393" s="265"/>
      <c r="CY393" s="265"/>
      <c r="CZ393" s="265"/>
      <c r="DA393" s="265"/>
      <c r="DB393" s="265"/>
      <c r="DC393" s="265"/>
    </row>
    <row r="394" spans="1:107" ht="75">
      <c r="A394" s="228"/>
      <c r="B394" s="155"/>
      <c r="C394" s="224"/>
      <c r="D394" s="757"/>
      <c r="E394" s="757"/>
      <c r="F394" s="757"/>
      <c r="G394" s="896" t="s">
        <v>2978</v>
      </c>
      <c r="H394" s="897" t="s">
        <v>2982</v>
      </c>
      <c r="I394" s="207"/>
      <c r="J394" s="207" t="str">
        <f t="shared" si="250"/>
        <v>Chiara  Mister</v>
      </c>
      <c r="K394" s="898"/>
      <c r="L394" s="876" t="s">
        <v>2983</v>
      </c>
      <c r="M394" s="183"/>
      <c r="N394" s="289"/>
      <c r="O394" s="1277"/>
      <c r="P394" s="131"/>
      <c r="Q394" s="131"/>
      <c r="R394" s="131" t="s">
        <v>2984</v>
      </c>
      <c r="S394" s="224"/>
      <c r="T394" s="255"/>
      <c r="U394" s="255"/>
      <c r="V394" s="131"/>
      <c r="W394" s="131"/>
      <c r="X394" s="131"/>
      <c r="Y394" s="131"/>
      <c r="Z394" s="131"/>
      <c r="AA394" s="514"/>
      <c r="AB394" s="255"/>
      <c r="AC394" s="131"/>
      <c r="AD394" s="1363" t="s">
        <v>2985</v>
      </c>
      <c r="AE394" s="514"/>
      <c r="AF394" s="627"/>
      <c r="AG394" s="1393"/>
      <c r="AH394" s="628"/>
      <c r="AI394" s="629"/>
      <c r="AJ394" s="515"/>
      <c r="AK394" s="258"/>
      <c r="AL394" s="258"/>
      <c r="AM394" s="258"/>
      <c r="AN394" s="627"/>
      <c r="AO394" s="878" t="s">
        <v>245</v>
      </c>
      <c r="AP394" s="878" t="s">
        <v>245</v>
      </c>
      <c r="AQ394" s="878" t="s">
        <v>245</v>
      </c>
      <c r="AR394" s="853"/>
      <c r="AS394" s="304" t="s">
        <v>245</v>
      </c>
      <c r="AT394" s="304" t="s">
        <v>245</v>
      </c>
      <c r="AU394" s="304" t="s">
        <v>245</v>
      </c>
      <c r="AV394" s="854"/>
      <c r="AW394" s="304"/>
      <c r="AX394" s="304"/>
      <c r="AY394" s="304"/>
      <c r="AZ394" s="889">
        <f t="shared" si="277"/>
        <v>3496.9700000000003</v>
      </c>
      <c r="BA394" s="808">
        <f t="shared" si="278"/>
        <v>163.93</v>
      </c>
      <c r="BB394" s="808">
        <f t="shared" ref="BB394:BB419" si="280">AZ394-BA394</f>
        <v>3333.0400000000004</v>
      </c>
      <c r="BC394" s="262">
        <v>0</v>
      </c>
      <c r="BD394" s="242">
        <f t="shared" si="279"/>
        <v>3496.9700000000003</v>
      </c>
      <c r="BE394" s="242"/>
      <c r="BF394" s="899"/>
      <c r="BG394" s="900"/>
      <c r="BH394" s="110">
        <f>AZ394*BG394</f>
        <v>0</v>
      </c>
      <c r="BI394" s="242"/>
      <c r="BJ394" s="242"/>
      <c r="BK394" s="207"/>
      <c r="BL394" s="131"/>
      <c r="BM394" s="207"/>
      <c r="BN394" s="110">
        <v>0</v>
      </c>
      <c r="BO394" s="242">
        <f t="shared" si="276"/>
        <v>0</v>
      </c>
      <c r="BP394" s="242"/>
      <c r="BQ394" s="665"/>
      <c r="BR394" s="110">
        <v>163.93</v>
      </c>
      <c r="BS394" s="110">
        <v>44092</v>
      </c>
      <c r="BT394" s="110">
        <v>163.93</v>
      </c>
      <c r="BU394" s="1433"/>
      <c r="BV394" s="110">
        <v>1409.82</v>
      </c>
      <c r="BW394" s="110">
        <v>44112</v>
      </c>
      <c r="BX394" s="110"/>
      <c r="BY394" s="1433"/>
      <c r="BZ394" s="110">
        <v>1923.22</v>
      </c>
      <c r="CA394" s="226">
        <v>44169</v>
      </c>
      <c r="CB394" s="226"/>
      <c r="CC394" s="226"/>
      <c r="CD394" s="226"/>
      <c r="CE394" s="871"/>
      <c r="CF394" s="871"/>
      <c r="CG394" s="871"/>
      <c r="CH394" s="871"/>
      <c r="CI394" s="871"/>
      <c r="CJ394" s="871"/>
      <c r="CK394" s="895"/>
      <c r="CL394" s="331"/>
      <c r="CM394" s="631"/>
      <c r="CN394" s="331"/>
      <c r="CO394" s="331"/>
      <c r="CP394" s="331"/>
      <c r="CQ394" s="331"/>
      <c r="CR394" s="561"/>
      <c r="CS394" s="242"/>
      <c r="CT394" s="242"/>
      <c r="CU394" s="242"/>
      <c r="CV394" s="265"/>
      <c r="CW394" s="265"/>
      <c r="CX394" s="265"/>
      <c r="CY394" s="265"/>
      <c r="CZ394" s="265"/>
      <c r="DA394" s="265"/>
      <c r="DB394" s="265"/>
      <c r="DC394" s="265"/>
    </row>
    <row r="395" spans="1:107" ht="30" customHeight="1">
      <c r="A395" s="228"/>
      <c r="B395" s="155"/>
      <c r="C395" s="155"/>
      <c r="D395" s="757"/>
      <c r="E395" s="757"/>
      <c r="F395" s="757"/>
      <c r="G395" s="369" t="s">
        <v>290</v>
      </c>
      <c r="H395" s="672" t="s">
        <v>2987</v>
      </c>
      <c r="I395" s="207" t="s">
        <v>2988</v>
      </c>
      <c r="J395" s="207" t="str">
        <f t="shared" si="250"/>
        <v>Claudio Rossi</v>
      </c>
      <c r="K395" s="224"/>
      <c r="L395" s="131"/>
      <c r="M395" s="131"/>
      <c r="N395" s="289"/>
      <c r="O395" s="1434"/>
      <c r="P395" s="564" t="s">
        <v>2989</v>
      </c>
      <c r="Q395" s="564" t="s">
        <v>2989</v>
      </c>
      <c r="R395" s="131" t="s">
        <v>2990</v>
      </c>
      <c r="S395" s="207" t="s">
        <v>2991</v>
      </c>
      <c r="T395" s="207"/>
      <c r="U395" s="207"/>
      <c r="V395" s="207"/>
      <c r="W395" s="155"/>
      <c r="X395" s="558" t="s">
        <v>2988</v>
      </c>
      <c r="Y395" s="155"/>
      <c r="Z395" s="155"/>
      <c r="AA395" s="155"/>
      <c r="AB395" s="255" t="s">
        <v>2968</v>
      </c>
      <c r="AC395" s="131"/>
      <c r="AD395" s="1363"/>
      <c r="AE395" s="207" t="s">
        <v>3259</v>
      </c>
      <c r="AF395" s="515"/>
      <c r="AG395" s="406" t="s">
        <v>115</v>
      </c>
      <c r="AH395" s="406" t="s">
        <v>115</v>
      </c>
      <c r="AI395" s="406" t="s">
        <v>115</v>
      </c>
      <c r="AJ395" s="515"/>
      <c r="AK395" s="258"/>
      <c r="AL395" s="258"/>
      <c r="AM395" s="258"/>
      <c r="AN395" s="627"/>
      <c r="AO395" s="155"/>
      <c r="AP395" s="155" t="s">
        <v>2992</v>
      </c>
      <c r="AQ395" s="155" t="s">
        <v>2992</v>
      </c>
      <c r="AR395" s="853"/>
      <c r="AS395" s="121"/>
      <c r="AT395" s="121"/>
      <c r="AU395" s="121"/>
      <c r="AV395" s="854"/>
      <c r="AW395" s="121"/>
      <c r="AX395" s="121"/>
      <c r="AY395" s="121"/>
      <c r="AZ395" s="760">
        <f t="shared" si="277"/>
        <v>0</v>
      </c>
      <c r="BA395" s="808">
        <f t="shared" ref="BA395:BA396" si="281">BT395+BX395+CB395+CF395+CJ395</f>
        <v>0</v>
      </c>
      <c r="BB395" s="808">
        <f t="shared" si="280"/>
        <v>0</v>
      </c>
      <c r="BC395" s="110"/>
      <c r="BD395" s="242"/>
      <c r="BE395" s="1231"/>
      <c r="BF395" s="529" t="s">
        <v>2920</v>
      </c>
      <c r="BG395" s="145">
        <v>0.15</v>
      </c>
      <c r="BH395" s="110"/>
      <c r="BI395" s="242"/>
      <c r="BJ395" s="1231"/>
      <c r="BK395" s="529"/>
      <c r="BL395" s="529" t="s">
        <v>2920</v>
      </c>
      <c r="BM395" s="145">
        <v>0.05</v>
      </c>
      <c r="BN395" s="110">
        <v>0</v>
      </c>
      <c r="BO395" s="242">
        <f t="shared" si="276"/>
        <v>0</v>
      </c>
      <c r="BP395" s="242"/>
      <c r="BQ395" s="243"/>
      <c r="BR395" s="301"/>
      <c r="BS395" s="206"/>
      <c r="BT395" s="301"/>
      <c r="BU395" s="206"/>
      <c r="BV395" s="206"/>
      <c r="BW395" s="206"/>
      <c r="BX395" s="206"/>
      <c r="BY395" s="263"/>
      <c r="BZ395" s="110"/>
      <c r="CA395" s="226"/>
      <c r="CB395" s="110"/>
      <c r="CC395" s="263"/>
      <c r="CD395" s="110"/>
      <c r="CE395" s="226"/>
      <c r="CF395" s="110"/>
      <c r="CG395" s="263"/>
      <c r="CH395" s="110"/>
      <c r="CI395" s="226"/>
      <c r="CJ395" s="110"/>
      <c r="CK395" s="245" t="s">
        <v>2612</v>
      </c>
      <c r="CL395" s="181"/>
      <c r="CM395" s="369"/>
      <c r="CN395" s="181"/>
      <c r="CO395" s="181"/>
      <c r="CP395" s="121"/>
      <c r="CQ395" s="131"/>
      <c r="CR395" s="131"/>
      <c r="CS395" s="242"/>
      <c r="CT395" s="242"/>
      <c r="CU395" s="242"/>
      <c r="CV395" s="779"/>
      <c r="CW395" s="779"/>
      <c r="CX395" s="779"/>
      <c r="CY395" s="779"/>
      <c r="CZ395" s="779"/>
      <c r="DA395" s="779"/>
      <c r="DB395" s="779"/>
      <c r="DC395" s="779"/>
    </row>
    <row r="396" spans="1:107" ht="30" customHeight="1">
      <c r="A396" s="228"/>
      <c r="B396" s="155"/>
      <c r="C396" s="155"/>
      <c r="D396" s="757"/>
      <c r="E396" s="757"/>
      <c r="F396" s="757"/>
      <c r="G396" s="369" t="s">
        <v>1561</v>
      </c>
      <c r="H396" s="672" t="s">
        <v>2993</v>
      </c>
      <c r="I396" s="207" t="s">
        <v>2994</v>
      </c>
      <c r="J396" s="207" t="str">
        <f t="shared" si="250"/>
        <v>Concetta Donvito</v>
      </c>
      <c r="K396" s="224">
        <v>3281916850</v>
      </c>
      <c r="L396" s="131"/>
      <c r="M396" s="131"/>
      <c r="N396" s="289"/>
      <c r="O396" s="1277"/>
      <c r="P396" s="564" t="s">
        <v>2995</v>
      </c>
      <c r="Q396" s="564" t="s">
        <v>2995</v>
      </c>
      <c r="R396" s="131" t="s">
        <v>2996</v>
      </c>
      <c r="S396" s="131" t="s">
        <v>2997</v>
      </c>
      <c r="T396" s="131"/>
      <c r="U396" s="131"/>
      <c r="V396" s="131"/>
      <c r="W396" s="155"/>
      <c r="X396" s="131" t="s">
        <v>2998</v>
      </c>
      <c r="Y396" s="155"/>
      <c r="Z396" s="155"/>
      <c r="AA396" s="155"/>
      <c r="AB396" s="255" t="s">
        <v>2412</v>
      </c>
      <c r="AC396" s="131" t="s">
        <v>2999</v>
      </c>
      <c r="AD396" s="1363"/>
      <c r="AE396" s="207"/>
      <c r="AF396" s="515"/>
      <c r="AG396" s="406" t="s">
        <v>115</v>
      </c>
      <c r="AH396" s="406" t="s">
        <v>115</v>
      </c>
      <c r="AI396" s="406" t="s">
        <v>115</v>
      </c>
      <c r="AJ396" s="515"/>
      <c r="AK396" s="155"/>
      <c r="AL396" s="155" t="s">
        <v>2992</v>
      </c>
      <c r="AM396" s="155" t="s">
        <v>2992</v>
      </c>
      <c r="AN396" s="515"/>
      <c r="AO396" s="155"/>
      <c r="AP396" s="155" t="s">
        <v>2404</v>
      </c>
      <c r="AQ396" s="155"/>
      <c r="AR396" s="853"/>
      <c r="AS396" s="121"/>
      <c r="AT396" s="121"/>
      <c r="AU396" s="121"/>
      <c r="AV396" s="854"/>
      <c r="AW396" s="121"/>
      <c r="AX396" s="121"/>
      <c r="AY396" s="121"/>
      <c r="AZ396" s="889">
        <f t="shared" si="277"/>
        <v>0</v>
      </c>
      <c r="BA396" s="902">
        <f t="shared" si="281"/>
        <v>0</v>
      </c>
      <c r="BB396" s="902">
        <f t="shared" si="280"/>
        <v>0</v>
      </c>
      <c r="BC396" s="110"/>
      <c r="BD396" s="242"/>
      <c r="BE396" s="1231"/>
      <c r="BF396" s="529" t="s">
        <v>3000</v>
      </c>
      <c r="BG396" s="145">
        <v>0</v>
      </c>
      <c r="BH396" s="110"/>
      <c r="BI396" s="242"/>
      <c r="BJ396" s="1231"/>
      <c r="BK396" s="529"/>
      <c r="BL396" s="529" t="s">
        <v>3001</v>
      </c>
      <c r="BM396" s="145">
        <v>0.05</v>
      </c>
      <c r="BN396" s="110">
        <v>0</v>
      </c>
      <c r="BO396" s="242">
        <f t="shared" si="276"/>
        <v>0</v>
      </c>
      <c r="BP396" s="242"/>
      <c r="BQ396" s="243"/>
      <c r="BR396" s="301"/>
      <c r="BS396" s="206"/>
      <c r="BT396" s="301"/>
      <c r="BU396" s="206"/>
      <c r="BV396" s="206"/>
      <c r="BW396" s="206"/>
      <c r="BX396" s="206"/>
      <c r="BY396" s="263"/>
      <c r="BZ396" s="110"/>
      <c r="CA396" s="226"/>
      <c r="CB396" s="110"/>
      <c r="CC396" s="263"/>
      <c r="CD396" s="110"/>
      <c r="CE396" s="226"/>
      <c r="CF396" s="110"/>
      <c r="CG396" s="263"/>
      <c r="CH396" s="110"/>
      <c r="CI396" s="226"/>
      <c r="CJ396" s="110"/>
      <c r="CK396" s="245" t="s">
        <v>3002</v>
      </c>
      <c r="CL396" s="181"/>
      <c r="CM396" s="369"/>
      <c r="CN396" s="181"/>
      <c r="CO396" s="181"/>
      <c r="CP396" s="121"/>
      <c r="CQ396" s="207"/>
      <c r="CR396" s="131"/>
      <c r="CS396" s="242"/>
      <c r="CT396" s="242"/>
      <c r="CU396" s="242"/>
      <c r="CV396" s="779"/>
      <c r="CW396" s="779"/>
      <c r="CX396" s="779"/>
      <c r="CY396" s="779"/>
      <c r="CZ396" s="779"/>
      <c r="DA396" s="779"/>
      <c r="DB396" s="779"/>
      <c r="DC396" s="779"/>
    </row>
    <row r="397" spans="1:107" ht="120">
      <c r="A397" s="228"/>
      <c r="B397" s="155"/>
      <c r="C397" s="224"/>
      <c r="D397" s="757"/>
      <c r="E397" s="757"/>
      <c r="F397" s="757"/>
      <c r="G397" s="896" t="s">
        <v>3003</v>
      </c>
      <c r="H397" s="903" t="s">
        <v>3004</v>
      </c>
      <c r="I397" s="207"/>
      <c r="J397" s="207" t="str">
        <f t="shared" si="250"/>
        <v>Crispino Fragrante</v>
      </c>
      <c r="K397" s="224"/>
      <c r="L397" s="876" t="s">
        <v>3005</v>
      </c>
      <c r="M397" s="131"/>
      <c r="N397" s="289"/>
      <c r="O397" s="1277"/>
      <c r="P397" s="623"/>
      <c r="Q397" s="623"/>
      <c r="R397" s="624" t="s">
        <v>3006</v>
      </c>
      <c r="S397" s="625"/>
      <c r="T397" s="255"/>
      <c r="U397" s="255"/>
      <c r="V397" s="131"/>
      <c r="W397" s="131"/>
      <c r="X397" s="131"/>
      <c r="Y397" s="131"/>
      <c r="Z397" s="131"/>
      <c r="AA397" s="514"/>
      <c r="AB397" s="255"/>
      <c r="AC397" s="131"/>
      <c r="AD397" s="1430" t="s">
        <v>3007</v>
      </c>
      <c r="AE397" s="514"/>
      <c r="AF397" s="627"/>
      <c r="AG397" s="1393"/>
      <c r="AH397" s="628"/>
      <c r="AI397" s="629"/>
      <c r="AJ397" s="515"/>
      <c r="AK397" s="155"/>
      <c r="AL397" s="155"/>
      <c r="AM397" s="155" t="s">
        <v>2992</v>
      </c>
      <c r="AN397" s="515"/>
      <c r="AO397" s="878" t="s">
        <v>245</v>
      </c>
      <c r="AP397" s="878" t="s">
        <v>245</v>
      </c>
      <c r="AQ397" s="878" t="s">
        <v>245</v>
      </c>
      <c r="AR397" s="853"/>
      <c r="AS397" s="304" t="s">
        <v>245</v>
      </c>
      <c r="AT397" s="304" t="s">
        <v>245</v>
      </c>
      <c r="AU397" s="304" t="s">
        <v>245</v>
      </c>
      <c r="AV397" s="854"/>
      <c r="AW397" s="304"/>
      <c r="AX397" s="304"/>
      <c r="AY397" s="304"/>
      <c r="AZ397" s="889">
        <f t="shared" si="277"/>
        <v>3496.9700000000003</v>
      </c>
      <c r="BA397" s="808">
        <f t="shared" ref="BA397:BA398" si="282">BT397</f>
        <v>163.93</v>
      </c>
      <c r="BB397" s="902">
        <f t="shared" si="280"/>
        <v>3333.0400000000004</v>
      </c>
      <c r="BC397" s="110">
        <v>0</v>
      </c>
      <c r="BD397" s="242">
        <f t="shared" ref="BD397:BD398" si="283">AZ397-BC397</f>
        <v>3496.9700000000003</v>
      </c>
      <c r="BE397" s="242"/>
      <c r="BF397" s="899"/>
      <c r="BG397" s="904"/>
      <c r="BH397" s="110"/>
      <c r="BI397" s="242"/>
      <c r="BJ397" s="242"/>
      <c r="BK397" s="207"/>
      <c r="BL397" s="131"/>
      <c r="BM397" s="207"/>
      <c r="BN397" s="110">
        <v>0</v>
      </c>
      <c r="BO397" s="242">
        <f t="shared" si="276"/>
        <v>0</v>
      </c>
      <c r="BP397" s="242"/>
      <c r="BQ397" s="665"/>
      <c r="BR397" s="110">
        <v>163.93</v>
      </c>
      <c r="BS397" s="110">
        <v>43542</v>
      </c>
      <c r="BT397" s="110">
        <v>163.93</v>
      </c>
      <c r="BU397" s="1433"/>
      <c r="BV397" s="110">
        <v>1409.82</v>
      </c>
      <c r="BW397" s="110">
        <v>44112</v>
      </c>
      <c r="BX397" s="110"/>
      <c r="BY397" s="1433"/>
      <c r="BZ397" s="110">
        <v>1923.22</v>
      </c>
      <c r="CA397" s="226">
        <v>44169</v>
      </c>
      <c r="CB397" s="226"/>
      <c r="CC397" s="226"/>
      <c r="CD397" s="226"/>
      <c r="CE397" s="226"/>
      <c r="CF397" s="226"/>
      <c r="CG397" s="226"/>
      <c r="CH397" s="226"/>
      <c r="CI397" s="226"/>
      <c r="CJ397" s="226"/>
      <c r="CK397" s="557"/>
      <c r="CL397" s="331"/>
      <c r="CM397" s="631"/>
      <c r="CN397" s="331"/>
      <c r="CO397" s="331"/>
      <c r="CP397" s="331"/>
      <c r="CQ397" s="331"/>
      <c r="CR397" s="561"/>
      <c r="CS397" s="242"/>
      <c r="CT397" s="242"/>
      <c r="CU397" s="242"/>
      <c r="CV397" s="265"/>
      <c r="CW397" s="265"/>
      <c r="CX397" s="265"/>
      <c r="CY397" s="265"/>
      <c r="CZ397" s="265"/>
      <c r="DA397" s="265"/>
      <c r="DB397" s="265"/>
      <c r="DC397" s="265"/>
    </row>
    <row r="398" spans="1:107" ht="90">
      <c r="A398" s="228"/>
      <c r="B398" s="155"/>
      <c r="C398" s="224"/>
      <c r="D398" s="757"/>
      <c r="E398" s="757"/>
      <c r="F398" s="757"/>
      <c r="G398" s="896" t="s">
        <v>3008</v>
      </c>
      <c r="H398" s="903" t="s">
        <v>3009</v>
      </c>
      <c r="I398" s="207"/>
      <c r="J398" s="207" t="str">
        <f t="shared" si="250"/>
        <v>Cristiano Storari</v>
      </c>
      <c r="K398" s="671"/>
      <c r="L398" s="876" t="s">
        <v>3010</v>
      </c>
      <c r="M398" s="131"/>
      <c r="N398" s="289"/>
      <c r="O398" s="1277"/>
      <c r="P398" s="623"/>
      <c r="Q398" s="623"/>
      <c r="R398" s="624" t="s">
        <v>3011</v>
      </c>
      <c r="S398" s="625"/>
      <c r="T398" s="255"/>
      <c r="U398" s="255"/>
      <c r="V398" s="131"/>
      <c r="W398" s="131"/>
      <c r="X398" s="131"/>
      <c r="Y398" s="131"/>
      <c r="Z398" s="131"/>
      <c r="AA398" s="514"/>
      <c r="AB398" s="255"/>
      <c r="AC398" s="131"/>
      <c r="AD398" s="1363" t="s">
        <v>3012</v>
      </c>
      <c r="AE398" s="514"/>
      <c r="AF398" s="627"/>
      <c r="AG398" s="1393"/>
      <c r="AH398" s="628"/>
      <c r="AI398" s="629"/>
      <c r="AJ398" s="515"/>
      <c r="AK398" s="258"/>
      <c r="AL398" s="258"/>
      <c r="AM398" s="258"/>
      <c r="AN398" s="627"/>
      <c r="AO398" s="878" t="s">
        <v>245</v>
      </c>
      <c r="AP398" s="878" t="s">
        <v>245</v>
      </c>
      <c r="AQ398" s="878" t="s">
        <v>245</v>
      </c>
      <c r="AR398" s="853"/>
      <c r="AS398" s="304" t="s">
        <v>245</v>
      </c>
      <c r="AT398" s="304" t="s">
        <v>245</v>
      </c>
      <c r="AU398" s="304" t="s">
        <v>245</v>
      </c>
      <c r="AV398" s="854"/>
      <c r="AW398" s="304"/>
      <c r="AX398" s="304"/>
      <c r="AY398" s="304"/>
      <c r="AZ398" s="889">
        <v>2997</v>
      </c>
      <c r="BA398" s="808">
        <f t="shared" si="282"/>
        <v>163.93</v>
      </c>
      <c r="BB398" s="902">
        <f t="shared" si="280"/>
        <v>2833.07</v>
      </c>
      <c r="BC398" s="110">
        <v>0</v>
      </c>
      <c r="BD398" s="242">
        <f t="shared" si="283"/>
        <v>2997</v>
      </c>
      <c r="BE398" s="242"/>
      <c r="BF398" s="899"/>
      <c r="BG398" s="900"/>
      <c r="BH398" s="110"/>
      <c r="BI398" s="242"/>
      <c r="BJ398" s="242"/>
      <c r="BK398" s="207"/>
      <c r="BL398" s="131"/>
      <c r="BM398" s="207"/>
      <c r="BN398" s="110">
        <v>0</v>
      </c>
      <c r="BO398" s="242">
        <f t="shared" si="276"/>
        <v>0</v>
      </c>
      <c r="BP398" s="242"/>
      <c r="BQ398" s="665"/>
      <c r="BR398" s="905">
        <v>163.93</v>
      </c>
      <c r="BS398" s="906">
        <v>43177</v>
      </c>
      <c r="BT398" s="905">
        <v>163.93</v>
      </c>
      <c r="BU398" s="1433"/>
      <c r="BV398" s="905">
        <v>1409.82</v>
      </c>
      <c r="BW398" s="906">
        <v>43381</v>
      </c>
      <c r="BX398" s="905"/>
      <c r="BY398" s="1433"/>
      <c r="BZ398" s="905">
        <v>1923.22</v>
      </c>
      <c r="CA398" s="226">
        <v>43438</v>
      </c>
      <c r="CB398" s="226"/>
      <c r="CC398" s="226"/>
      <c r="CD398" s="226"/>
      <c r="CE398" s="226"/>
      <c r="CF398" s="226"/>
      <c r="CG398" s="226"/>
      <c r="CH398" s="226"/>
      <c r="CI398" s="226"/>
      <c r="CJ398" s="226"/>
      <c r="CK398" s="557"/>
      <c r="CL398" s="331"/>
      <c r="CM398" s="631"/>
      <c r="CN398" s="331"/>
      <c r="CO398" s="331"/>
      <c r="CP398" s="331"/>
      <c r="CQ398" s="331"/>
      <c r="CR398" s="561"/>
      <c r="CS398" s="242"/>
      <c r="CT398" s="242"/>
      <c r="CU398" s="242"/>
      <c r="CV398" s="265"/>
      <c r="CW398" s="265"/>
      <c r="CX398" s="265"/>
      <c r="CY398" s="265"/>
      <c r="CZ398" s="265"/>
      <c r="DA398" s="265"/>
      <c r="DB398" s="265"/>
      <c r="DC398" s="265"/>
    </row>
    <row r="399" spans="1:107" ht="30" customHeight="1">
      <c r="A399" s="228"/>
      <c r="B399" s="155"/>
      <c r="C399" s="155"/>
      <c r="D399" s="757"/>
      <c r="E399" s="757"/>
      <c r="F399" s="757"/>
      <c r="G399" s="369" t="s">
        <v>3014</v>
      </c>
      <c r="H399" s="672" t="s">
        <v>3015</v>
      </c>
      <c r="I399" s="207" t="s">
        <v>3016</v>
      </c>
      <c r="J399" s="207" t="str">
        <f t="shared" si="250"/>
        <v>Cristine Del Bene</v>
      </c>
      <c r="K399" s="907" t="s">
        <v>3017</v>
      </c>
      <c r="L399" s="131"/>
      <c r="M399" s="131"/>
      <c r="N399" s="131"/>
      <c r="O399" s="1259"/>
      <c r="P399" s="908" t="s">
        <v>3018</v>
      </c>
      <c r="Q399" s="908" t="s">
        <v>3019</v>
      </c>
      <c r="R399" s="131" t="s">
        <v>3020</v>
      </c>
      <c r="S399" s="131" t="s">
        <v>3021</v>
      </c>
      <c r="T399" s="131"/>
      <c r="U399" s="131"/>
      <c r="V399" s="131"/>
      <c r="W399" s="258"/>
      <c r="X399" s="131"/>
      <c r="Y399" s="258"/>
      <c r="Z399" s="258"/>
      <c r="AA399" s="258"/>
      <c r="AB399" s="255" t="s">
        <v>3022</v>
      </c>
      <c r="AC399" s="558" t="s">
        <v>3023</v>
      </c>
      <c r="AD399" s="1363"/>
      <c r="AE399" s="207"/>
      <c r="AF399" s="515"/>
      <c r="AG399" s="516" t="s">
        <v>115</v>
      </c>
      <c r="AH399" s="516" t="s">
        <v>115</v>
      </c>
      <c r="AI399" s="516" t="s">
        <v>115</v>
      </c>
      <c r="AJ399" s="515"/>
      <c r="AK399" s="258"/>
      <c r="AL399" s="258"/>
      <c r="AM399" s="258"/>
      <c r="AN399" s="627"/>
      <c r="AO399" s="155"/>
      <c r="AP399" s="155" t="s">
        <v>2404</v>
      </c>
      <c r="AQ399" s="155" t="s">
        <v>2404</v>
      </c>
      <c r="AR399" s="853"/>
      <c r="AS399" s="121"/>
      <c r="AT399" s="121"/>
      <c r="AU399" s="121"/>
      <c r="AV399" s="854"/>
      <c r="AW399" s="121"/>
      <c r="AX399" s="121"/>
      <c r="AY399" s="121"/>
      <c r="AZ399" s="760">
        <f t="shared" ref="AZ399:AZ401" si="284">BR399+BV399+BZ399+CD399+CH399</f>
        <v>0</v>
      </c>
      <c r="BA399" s="902">
        <f t="shared" ref="BA399:BA401" si="285">BT399+BX399+CB399+CF399+CJ399</f>
        <v>0</v>
      </c>
      <c r="BB399" s="902">
        <f t="shared" si="280"/>
        <v>0</v>
      </c>
      <c r="BC399" s="110"/>
      <c r="BD399" s="242"/>
      <c r="BE399" s="1231"/>
      <c r="BF399" s="529" t="s">
        <v>3024</v>
      </c>
      <c r="BG399" s="145">
        <v>0.15</v>
      </c>
      <c r="BH399" s="110"/>
      <c r="BI399" s="242"/>
      <c r="BJ399" s="1231"/>
      <c r="BK399" s="529"/>
      <c r="BL399" s="529" t="s">
        <v>3025</v>
      </c>
      <c r="BM399" s="145">
        <v>0.15</v>
      </c>
      <c r="BN399" s="110">
        <v>0</v>
      </c>
      <c r="BO399" s="242">
        <f t="shared" si="276"/>
        <v>0</v>
      </c>
      <c r="BP399" s="242"/>
      <c r="BQ399" s="243"/>
      <c r="BR399" s="301"/>
      <c r="BS399" s="206"/>
      <c r="BT399" s="301"/>
      <c r="BU399" s="206"/>
      <c r="BV399" s="206"/>
      <c r="BW399" s="206"/>
      <c r="BX399" s="206"/>
      <c r="BY399" s="263"/>
      <c r="BZ399" s="226"/>
      <c r="CA399" s="226"/>
      <c r="CB399" s="110"/>
      <c r="CC399" s="263"/>
      <c r="CD399" s="110"/>
      <c r="CE399" s="226"/>
      <c r="CF399" s="110"/>
      <c r="CG399" s="263"/>
      <c r="CH399" s="110"/>
      <c r="CI399" s="226"/>
      <c r="CJ399" s="110"/>
      <c r="CK399" s="245" t="s">
        <v>3002</v>
      </c>
      <c r="CL399" s="181"/>
      <c r="CM399" s="369"/>
      <c r="CN399" s="181"/>
      <c r="CO399" s="181"/>
      <c r="CP399" s="121"/>
      <c r="CQ399" s="131"/>
      <c r="CR399" s="131"/>
      <c r="CS399" s="242"/>
      <c r="CT399" s="242"/>
      <c r="CU399" s="242"/>
      <c r="CV399" s="779"/>
      <c r="CW399" s="779"/>
      <c r="CX399" s="779"/>
      <c r="CY399" s="779"/>
      <c r="CZ399" s="779"/>
      <c r="DA399" s="779"/>
      <c r="DB399" s="779"/>
      <c r="DC399" s="779"/>
    </row>
    <row r="400" spans="1:107" ht="30" customHeight="1">
      <c r="A400" s="228"/>
      <c r="B400" s="155"/>
      <c r="C400" s="155"/>
      <c r="D400" s="757"/>
      <c r="E400" s="757"/>
      <c r="F400" s="757"/>
      <c r="G400" s="369" t="s">
        <v>2354</v>
      </c>
      <c r="H400" s="672" t="s">
        <v>3027</v>
      </c>
      <c r="I400" s="207" t="s">
        <v>3028</v>
      </c>
      <c r="J400" s="207" t="str">
        <f t="shared" si="250"/>
        <v>Daniela  Lauria</v>
      </c>
      <c r="K400" s="224">
        <v>392451669</v>
      </c>
      <c r="L400" s="131"/>
      <c r="M400" s="131"/>
      <c r="N400" s="289"/>
      <c r="O400" s="1277"/>
      <c r="P400" s="255"/>
      <c r="Q400" s="255"/>
      <c r="R400" s="131" t="s">
        <v>3029</v>
      </c>
      <c r="S400" s="131"/>
      <c r="T400" s="131"/>
      <c r="U400" s="131"/>
      <c r="V400" s="131"/>
      <c r="W400" s="258"/>
      <c r="X400" s="131"/>
      <c r="Y400" s="258"/>
      <c r="Z400" s="258"/>
      <c r="AA400" s="258"/>
      <c r="AB400" s="255"/>
      <c r="AC400" s="131"/>
      <c r="AD400" s="1363"/>
      <c r="AE400" s="207" t="s">
        <v>3177</v>
      </c>
      <c r="AF400" s="515"/>
      <c r="AG400" s="516" t="s">
        <v>115</v>
      </c>
      <c r="AH400" s="516" t="s">
        <v>115</v>
      </c>
      <c r="AI400" s="516" t="s">
        <v>115</v>
      </c>
      <c r="AJ400" s="515"/>
      <c r="AK400" s="155"/>
      <c r="AL400" s="155"/>
      <c r="AM400" s="155"/>
      <c r="AN400" s="515"/>
      <c r="AO400" s="155"/>
      <c r="AP400" s="155" t="s">
        <v>2992</v>
      </c>
      <c r="AQ400" s="155" t="s">
        <v>2992</v>
      </c>
      <c r="AR400" s="853"/>
      <c r="AS400" s="121"/>
      <c r="AT400" s="121"/>
      <c r="AU400" s="121"/>
      <c r="AV400" s="854"/>
      <c r="AW400" s="121"/>
      <c r="AX400" s="121"/>
      <c r="AY400" s="121"/>
      <c r="AZ400" s="889">
        <f t="shared" si="284"/>
        <v>0</v>
      </c>
      <c r="BA400" s="902">
        <f t="shared" si="285"/>
        <v>0</v>
      </c>
      <c r="BB400" s="902">
        <f t="shared" si="280"/>
        <v>0</v>
      </c>
      <c r="BC400" s="110"/>
      <c r="BD400" s="242"/>
      <c r="BE400" s="1231"/>
      <c r="BF400" s="529" t="s">
        <v>2920</v>
      </c>
      <c r="BG400" s="145">
        <v>0.15</v>
      </c>
      <c r="BH400" s="110"/>
      <c r="BI400" s="242"/>
      <c r="BJ400" s="1231"/>
      <c r="BK400" s="678"/>
      <c r="BL400" s="529" t="s">
        <v>2920</v>
      </c>
      <c r="BM400" s="145">
        <v>0.05</v>
      </c>
      <c r="BN400" s="110">
        <v>0</v>
      </c>
      <c r="BO400" s="242">
        <f t="shared" si="276"/>
        <v>0</v>
      </c>
      <c r="BP400" s="242"/>
      <c r="BQ400" s="243"/>
      <c r="BR400" s="301"/>
      <c r="BS400" s="206"/>
      <c r="BT400" s="301"/>
      <c r="BU400" s="206"/>
      <c r="BV400" s="206"/>
      <c r="BW400" s="206"/>
      <c r="BX400" s="206"/>
      <c r="BY400" s="263"/>
      <c r="BZ400" s="110"/>
      <c r="CA400" s="226"/>
      <c r="CB400" s="110"/>
      <c r="CC400" s="263"/>
      <c r="CD400" s="110"/>
      <c r="CE400" s="226"/>
      <c r="CF400" s="110"/>
      <c r="CG400" s="263"/>
      <c r="CH400" s="110"/>
      <c r="CI400" s="226"/>
      <c r="CJ400" s="110"/>
      <c r="CK400" s="245" t="s">
        <v>2612</v>
      </c>
      <c r="CL400" s="181"/>
      <c r="CM400" s="369"/>
      <c r="CN400" s="181"/>
      <c r="CO400" s="181"/>
      <c r="CP400" s="121"/>
      <c r="CQ400" s="131"/>
      <c r="CR400" s="131"/>
      <c r="CS400" s="242"/>
      <c r="CT400" s="242"/>
      <c r="CU400" s="242"/>
      <c r="CV400" s="779"/>
      <c r="CW400" s="779"/>
      <c r="CX400" s="779"/>
      <c r="CY400" s="779"/>
      <c r="CZ400" s="779"/>
      <c r="DA400" s="779"/>
      <c r="DB400" s="779"/>
      <c r="DC400" s="779"/>
    </row>
    <row r="401" spans="1:124" ht="30" customHeight="1">
      <c r="A401" s="228"/>
      <c r="B401" s="155"/>
      <c r="C401" s="155"/>
      <c r="D401" s="757"/>
      <c r="E401" s="757"/>
      <c r="F401" s="757"/>
      <c r="G401" s="369" t="s">
        <v>141</v>
      </c>
      <c r="H401" s="672" t="s">
        <v>3031</v>
      </c>
      <c r="I401" s="207" t="s">
        <v>3032</v>
      </c>
      <c r="J401" s="207" t="str">
        <f t="shared" si="250"/>
        <v>Daniele Angeli</v>
      </c>
      <c r="K401" s="224"/>
      <c r="L401" s="131"/>
      <c r="M401" s="131"/>
      <c r="N401" s="131"/>
      <c r="O401" s="1259"/>
      <c r="P401" s="908" t="s">
        <v>3018</v>
      </c>
      <c r="Q401" s="908" t="s">
        <v>3019</v>
      </c>
      <c r="R401" s="131" t="s">
        <v>3020</v>
      </c>
      <c r="S401" s="131" t="s">
        <v>3021</v>
      </c>
      <c r="T401" s="131"/>
      <c r="U401" s="131"/>
      <c r="V401" s="131"/>
      <c r="W401" s="258"/>
      <c r="X401" s="131"/>
      <c r="Y401" s="258"/>
      <c r="Z401" s="258"/>
      <c r="AA401" s="258"/>
      <c r="AB401" s="255" t="s">
        <v>3022</v>
      </c>
      <c r="AC401" s="558" t="s">
        <v>3023</v>
      </c>
      <c r="AD401" s="1363"/>
      <c r="AE401" s="207"/>
      <c r="AF401" s="515"/>
      <c r="AG401" s="516" t="s">
        <v>115</v>
      </c>
      <c r="AH401" s="516" t="s">
        <v>115</v>
      </c>
      <c r="AI401" s="516" t="s">
        <v>115</v>
      </c>
      <c r="AJ401" s="515"/>
      <c r="AK401" s="155"/>
      <c r="AL401" s="155" t="s">
        <v>2992</v>
      </c>
      <c r="AM401" s="155" t="s">
        <v>2992</v>
      </c>
      <c r="AN401" s="515"/>
      <c r="AO401" s="155"/>
      <c r="AP401" s="155" t="s">
        <v>2404</v>
      </c>
      <c r="AQ401" s="155" t="s">
        <v>2404</v>
      </c>
      <c r="AR401" s="853"/>
      <c r="AS401" s="121"/>
      <c r="AT401" s="121"/>
      <c r="AU401" s="121"/>
      <c r="AV401" s="854"/>
      <c r="AW401" s="121"/>
      <c r="AX401" s="121"/>
      <c r="AY401" s="121"/>
      <c r="AZ401" s="889">
        <f t="shared" si="284"/>
        <v>0</v>
      </c>
      <c r="BA401" s="902">
        <f t="shared" si="285"/>
        <v>0</v>
      </c>
      <c r="BB401" s="902">
        <f t="shared" si="280"/>
        <v>0</v>
      </c>
      <c r="BC401" s="110"/>
      <c r="BD401" s="242"/>
      <c r="BE401" s="1231"/>
      <c r="BF401" s="529" t="s">
        <v>3024</v>
      </c>
      <c r="BG401" s="145">
        <v>0.15</v>
      </c>
      <c r="BH401" s="110"/>
      <c r="BI401" s="242"/>
      <c r="BJ401" s="1231"/>
      <c r="BK401" s="678"/>
      <c r="BL401" s="529" t="s">
        <v>3025</v>
      </c>
      <c r="BM401" s="145">
        <v>0.15</v>
      </c>
      <c r="BN401" s="110">
        <v>0</v>
      </c>
      <c r="BO401" s="242">
        <f t="shared" si="276"/>
        <v>0</v>
      </c>
      <c r="BP401" s="242"/>
      <c r="BQ401" s="243"/>
      <c r="BR401" s="301"/>
      <c r="BS401" s="206"/>
      <c r="BT401" s="301"/>
      <c r="BU401" s="206"/>
      <c r="BV401" s="206"/>
      <c r="BW401" s="206"/>
      <c r="BX401" s="206"/>
      <c r="BY401" s="263"/>
      <c r="BZ401" s="226"/>
      <c r="CA401" s="226"/>
      <c r="CB401" s="110"/>
      <c r="CC401" s="263"/>
      <c r="CD401" s="110"/>
      <c r="CE401" s="226"/>
      <c r="CF401" s="110"/>
      <c r="CG401" s="263"/>
      <c r="CH401" s="110"/>
      <c r="CI401" s="226"/>
      <c r="CJ401" s="110"/>
      <c r="CK401" s="245" t="s">
        <v>3002</v>
      </c>
      <c r="CL401" s="181"/>
      <c r="CM401" s="369"/>
      <c r="CN401" s="181"/>
      <c r="CO401" s="181"/>
      <c r="CP401" s="121"/>
      <c r="CQ401" s="131"/>
      <c r="CR401" s="131"/>
      <c r="CS401" s="242"/>
      <c r="CT401" s="242"/>
      <c r="CU401" s="242"/>
      <c r="CV401" s="779"/>
      <c r="CW401" s="779"/>
      <c r="CX401" s="779"/>
      <c r="CY401" s="779"/>
      <c r="CZ401" s="779"/>
      <c r="DA401" s="779"/>
      <c r="DB401" s="779"/>
      <c r="DC401" s="779"/>
      <c r="DD401" s="265"/>
      <c r="DE401" s="265"/>
      <c r="DF401" s="265"/>
      <c r="DG401" s="265"/>
      <c r="DH401" s="265"/>
      <c r="DI401" s="265"/>
      <c r="DJ401" s="265"/>
      <c r="DK401" s="265"/>
      <c r="DL401" s="265"/>
      <c r="DM401" s="265"/>
      <c r="DN401" s="265"/>
      <c r="DO401" s="265"/>
      <c r="DP401" s="265"/>
      <c r="DQ401" s="265"/>
      <c r="DR401" s="265"/>
      <c r="DS401" s="265"/>
      <c r="DT401" s="265"/>
    </row>
    <row r="402" spans="1:124" ht="75">
      <c r="A402" s="228"/>
      <c r="B402" s="155"/>
      <c r="C402" s="224"/>
      <c r="D402" s="757"/>
      <c r="E402" s="757"/>
      <c r="F402" s="757"/>
      <c r="G402" s="896" t="s">
        <v>141</v>
      </c>
      <c r="H402" s="903" t="s">
        <v>3033</v>
      </c>
      <c r="I402" s="207" t="s">
        <v>3034</v>
      </c>
      <c r="J402" s="207" t="str">
        <f t="shared" si="250"/>
        <v>Daniele Ferraresso</v>
      </c>
      <c r="K402" s="224"/>
      <c r="L402" s="876" t="s">
        <v>3035</v>
      </c>
      <c r="M402" s="561"/>
      <c r="N402" s="561"/>
      <c r="O402" s="1259"/>
      <c r="P402" s="623"/>
      <c r="Q402" s="623"/>
      <c r="R402" s="624"/>
      <c r="S402" s="625"/>
      <c r="T402" s="255"/>
      <c r="U402" s="255"/>
      <c r="V402" s="131"/>
      <c r="W402" s="131"/>
      <c r="X402" s="131"/>
      <c r="Y402" s="131"/>
      <c r="Z402" s="131"/>
      <c r="AA402" s="514"/>
      <c r="AB402" s="255"/>
      <c r="AC402" s="131"/>
      <c r="AD402" s="1395" t="s">
        <v>3036</v>
      </c>
      <c r="AE402" s="514"/>
      <c r="AF402" s="627"/>
      <c r="AG402" s="1393"/>
      <c r="AH402" s="628"/>
      <c r="AI402" s="629"/>
      <c r="AJ402" s="515"/>
      <c r="AK402" s="155"/>
      <c r="AL402" s="155"/>
      <c r="AM402" s="155"/>
      <c r="AN402" s="515"/>
      <c r="AO402" s="207"/>
      <c r="AP402" s="207"/>
      <c r="AQ402" s="207"/>
      <c r="AR402" s="515"/>
      <c r="AS402" s="304" t="s">
        <v>245</v>
      </c>
      <c r="AT402" s="304" t="s">
        <v>245</v>
      </c>
      <c r="AU402" s="304" t="s">
        <v>245</v>
      </c>
      <c r="AV402" s="568"/>
      <c r="AW402" s="304"/>
      <c r="AX402" s="304"/>
      <c r="AY402" s="304"/>
      <c r="AZ402" s="889">
        <v>2997</v>
      </c>
      <c r="BA402" s="808">
        <f>BT402</f>
        <v>163.93</v>
      </c>
      <c r="BB402" s="902">
        <f t="shared" si="280"/>
        <v>2833.07</v>
      </c>
      <c r="BC402" s="110">
        <v>0</v>
      </c>
      <c r="BD402" s="242">
        <f>AZ402-BC402</f>
        <v>2997</v>
      </c>
      <c r="BE402" s="242"/>
      <c r="BF402" s="899"/>
      <c r="BG402" s="904"/>
      <c r="BH402" s="110"/>
      <c r="BI402" s="242"/>
      <c r="BJ402" s="1230"/>
      <c r="BK402" s="247"/>
      <c r="BL402" s="131"/>
      <c r="BM402" s="207"/>
      <c r="BN402" s="110">
        <v>0</v>
      </c>
      <c r="BO402" s="242">
        <f t="shared" si="276"/>
        <v>0</v>
      </c>
      <c r="BP402" s="242"/>
      <c r="BQ402" s="665"/>
      <c r="BR402" s="905">
        <v>163.93</v>
      </c>
      <c r="BS402" s="906">
        <v>43726</v>
      </c>
      <c r="BT402" s="905">
        <v>163.93</v>
      </c>
      <c r="BU402" s="1433"/>
      <c r="BV402" s="905">
        <v>1409.82</v>
      </c>
      <c r="BW402" s="906">
        <v>43746</v>
      </c>
      <c r="BX402" s="911"/>
      <c r="BY402" s="1435"/>
      <c r="BZ402" s="905">
        <v>1923.22</v>
      </c>
      <c r="CA402" s="226">
        <v>43803</v>
      </c>
      <c r="CB402" s="226"/>
      <c r="CC402" s="226"/>
      <c r="CD402" s="226"/>
      <c r="CE402" s="226"/>
      <c r="CF402" s="110"/>
      <c r="CG402" s="263"/>
      <c r="CH402" s="110"/>
      <c r="CI402" s="226"/>
      <c r="CJ402" s="110"/>
      <c r="CK402" s="1436"/>
      <c r="CL402" s="331"/>
      <c r="CM402" s="631"/>
      <c r="CN402" s="331"/>
      <c r="CO402" s="331"/>
      <c r="CP402" s="331"/>
      <c r="CQ402" s="331"/>
      <c r="CR402" s="561"/>
      <c r="CS402" s="242"/>
      <c r="CT402" s="242"/>
      <c r="CU402" s="242"/>
      <c r="CV402" s="265"/>
      <c r="CW402" s="265"/>
      <c r="CX402" s="265"/>
      <c r="CY402" s="265"/>
      <c r="CZ402" s="265"/>
      <c r="DA402" s="265"/>
      <c r="DB402" s="265"/>
      <c r="DC402" s="265"/>
    </row>
    <row r="403" spans="1:124" ht="30" customHeight="1">
      <c r="A403" s="228"/>
      <c r="B403" s="155"/>
      <c r="C403" s="155"/>
      <c r="D403" s="757"/>
      <c r="E403" s="757"/>
      <c r="F403" s="757"/>
      <c r="G403" s="369" t="s">
        <v>141</v>
      </c>
      <c r="H403" s="672" t="s">
        <v>3037</v>
      </c>
      <c r="I403" s="207" t="s">
        <v>3038</v>
      </c>
      <c r="J403" s="207" t="str">
        <f t="shared" si="250"/>
        <v>Daniele Turetti</v>
      </c>
      <c r="K403" s="224">
        <v>3805250485</v>
      </c>
      <c r="L403" s="131"/>
      <c r="M403" s="131"/>
      <c r="N403" s="131"/>
      <c r="O403" s="1259"/>
      <c r="P403" s="255" t="s">
        <v>3039</v>
      </c>
      <c r="Q403" s="255" t="s">
        <v>3039</v>
      </c>
      <c r="R403" s="131" t="s">
        <v>3040</v>
      </c>
      <c r="S403" s="131" t="s">
        <v>3041</v>
      </c>
      <c r="T403" s="131"/>
      <c r="U403" s="131"/>
      <c r="V403" s="131"/>
      <c r="W403" s="514"/>
      <c r="X403" s="131" t="s">
        <v>3042</v>
      </c>
      <c r="Y403" s="514"/>
      <c r="Z403" s="514"/>
      <c r="AA403" s="514"/>
      <c r="AB403" s="255" t="s">
        <v>2968</v>
      </c>
      <c r="AC403" s="131"/>
      <c r="AD403" s="1363"/>
      <c r="AE403" s="207"/>
      <c r="AF403" s="515"/>
      <c r="AG403" s="516"/>
      <c r="AH403" s="516"/>
      <c r="AI403" s="516" t="s">
        <v>115</v>
      </c>
      <c r="AJ403" s="515"/>
      <c r="AK403" s="258"/>
      <c r="AL403" s="258"/>
      <c r="AM403" s="258"/>
      <c r="AN403" s="627"/>
      <c r="AO403" s="155"/>
      <c r="AP403" s="155"/>
      <c r="AQ403" s="155" t="s">
        <v>2992</v>
      </c>
      <c r="AR403" s="515"/>
      <c r="AS403" s="121"/>
      <c r="AT403" s="121"/>
      <c r="AU403" s="121"/>
      <c r="AV403" s="568"/>
      <c r="AW403" s="121"/>
      <c r="AX403" s="121"/>
      <c r="AY403" s="121"/>
      <c r="AZ403" s="889">
        <f>BR403+BV403+BZ403+CD403+CH403</f>
        <v>0</v>
      </c>
      <c r="BA403" s="902">
        <f>BT403+BX403+CB403+CF403+CJ403</f>
        <v>0</v>
      </c>
      <c r="BB403" s="902">
        <f t="shared" si="280"/>
        <v>0</v>
      </c>
      <c r="BC403" s="110"/>
      <c r="BD403" s="242"/>
      <c r="BE403" s="1231"/>
      <c r="BF403" s="529" t="s">
        <v>3043</v>
      </c>
      <c r="BG403" s="145">
        <v>0.15</v>
      </c>
      <c r="BH403" s="110"/>
      <c r="BI403" s="242"/>
      <c r="BJ403" s="1231"/>
      <c r="BK403" s="678"/>
      <c r="BL403" s="529" t="s">
        <v>3043</v>
      </c>
      <c r="BM403" s="145">
        <v>0.05</v>
      </c>
      <c r="BN403" s="110">
        <v>0</v>
      </c>
      <c r="BO403" s="242">
        <f t="shared" si="276"/>
        <v>0</v>
      </c>
      <c r="BP403" s="242"/>
      <c r="BQ403" s="243"/>
      <c r="BR403" s="301"/>
      <c r="BS403" s="206"/>
      <c r="BT403" s="301"/>
      <c r="BU403" s="206"/>
      <c r="BV403" s="206"/>
      <c r="BW403" s="206"/>
      <c r="BX403" s="206"/>
      <c r="BY403" s="263"/>
      <c r="BZ403" s="110"/>
      <c r="CA403" s="226"/>
      <c r="CB403" s="110"/>
      <c r="CC403" s="263"/>
      <c r="CD403" s="110"/>
      <c r="CE403" s="226"/>
      <c r="CF403" s="110"/>
      <c r="CG403" s="263"/>
      <c r="CH403" s="110"/>
      <c r="CI403" s="226"/>
      <c r="CJ403" s="226"/>
      <c r="CK403" s="245"/>
      <c r="CL403" s="181"/>
      <c r="CM403" s="369"/>
      <c r="CN403" s="207"/>
      <c r="CO403" s="207"/>
      <c r="CP403" s="155"/>
      <c r="CQ403" s="131"/>
      <c r="CR403" s="131"/>
      <c r="CS403" s="242"/>
      <c r="CT403" s="242"/>
      <c r="CU403" s="242"/>
      <c r="CV403" s="729"/>
      <c r="CW403" s="729"/>
      <c r="CX403" s="729"/>
      <c r="CY403" s="729"/>
      <c r="CZ403" s="729"/>
      <c r="DA403" s="729"/>
      <c r="DB403" s="729"/>
      <c r="DC403" s="729"/>
    </row>
    <row r="404" spans="1:124" ht="90">
      <c r="A404" s="228"/>
      <c r="B404" s="155"/>
      <c r="C404" s="224"/>
      <c r="D404" s="757"/>
      <c r="E404" s="757"/>
      <c r="F404" s="757"/>
      <c r="G404" s="896" t="s">
        <v>321</v>
      </c>
      <c r="H404" s="903" t="s">
        <v>3044</v>
      </c>
      <c r="I404" s="207"/>
      <c r="J404" s="207" t="str">
        <f t="shared" si="250"/>
        <v>Davide Cafferati</v>
      </c>
      <c r="K404" s="671"/>
      <c r="L404" s="876" t="s">
        <v>3045</v>
      </c>
      <c r="M404" s="131"/>
      <c r="N404" s="131"/>
      <c r="O404" s="1259"/>
      <c r="P404" s="623"/>
      <c r="Q404" s="623"/>
      <c r="R404" s="624"/>
      <c r="S404" s="625"/>
      <c r="T404" s="255"/>
      <c r="U404" s="255"/>
      <c r="V404" s="131"/>
      <c r="W404" s="131"/>
      <c r="X404" s="131"/>
      <c r="Y404" s="131"/>
      <c r="Z404" s="131"/>
      <c r="AA404" s="514"/>
      <c r="AB404" s="255"/>
      <c r="AC404" s="131"/>
      <c r="AD404" s="1395" t="s">
        <v>3036</v>
      </c>
      <c r="AE404" s="514"/>
      <c r="AF404" s="627"/>
      <c r="AG404" s="1393"/>
      <c r="AH404" s="628"/>
      <c r="AI404" s="629"/>
      <c r="AJ404" s="515"/>
      <c r="AK404" s="155"/>
      <c r="AL404" s="155"/>
      <c r="AM404" s="155" t="s">
        <v>2992</v>
      </c>
      <c r="AN404" s="515"/>
      <c r="AO404" s="207"/>
      <c r="AP404" s="207"/>
      <c r="AQ404" s="207"/>
      <c r="AR404" s="515"/>
      <c r="AS404" s="304" t="s">
        <v>245</v>
      </c>
      <c r="AT404" s="304" t="s">
        <v>245</v>
      </c>
      <c r="AU404" s="304" t="s">
        <v>245</v>
      </c>
      <c r="AV404" s="568"/>
      <c r="AW404" s="304"/>
      <c r="AX404" s="304"/>
      <c r="AY404" s="304"/>
      <c r="AZ404" s="889">
        <v>2997</v>
      </c>
      <c r="BA404" s="808">
        <f>BT404</f>
        <v>163.93</v>
      </c>
      <c r="BB404" s="902">
        <f t="shared" si="280"/>
        <v>2833.07</v>
      </c>
      <c r="BC404" s="110">
        <v>0</v>
      </c>
      <c r="BD404" s="242">
        <f>AZ404-BC404</f>
        <v>2997</v>
      </c>
      <c r="BE404" s="242"/>
      <c r="BF404" s="899"/>
      <c r="BG404" s="900"/>
      <c r="BH404" s="110"/>
      <c r="BI404" s="242"/>
      <c r="BJ404" s="242"/>
      <c r="BK404" s="207"/>
      <c r="BL404" s="131"/>
      <c r="BM404" s="207"/>
      <c r="BN404" s="110">
        <v>0</v>
      </c>
      <c r="BO404" s="242">
        <f t="shared" si="276"/>
        <v>0</v>
      </c>
      <c r="BP404" s="242"/>
      <c r="BQ404" s="665"/>
      <c r="BR404" s="905">
        <v>163.93</v>
      </c>
      <c r="BS404" s="906">
        <v>43177</v>
      </c>
      <c r="BT404" s="905">
        <v>163.93</v>
      </c>
      <c r="BU404" s="1433"/>
      <c r="BV404" s="905">
        <v>1409.82</v>
      </c>
      <c r="BW404" s="906">
        <v>43198</v>
      </c>
      <c r="BX404" s="911"/>
      <c r="BY404" s="1435"/>
      <c r="BZ404" s="905">
        <v>1923.22</v>
      </c>
      <c r="CA404" s="226">
        <v>43224</v>
      </c>
      <c r="CB404" s="226"/>
      <c r="CC404" s="226"/>
      <c r="CD404" s="226"/>
      <c r="CE404" s="226"/>
      <c r="CF404" s="110"/>
      <c r="CG404" s="263"/>
      <c r="CH404" s="110"/>
      <c r="CI404" s="226"/>
      <c r="CJ404" s="110"/>
      <c r="CK404" s="1436"/>
      <c r="CL404" s="331"/>
      <c r="CM404" s="631"/>
      <c r="CN404" s="331"/>
      <c r="CO404" s="331"/>
      <c r="CP404" s="331"/>
      <c r="CQ404" s="331"/>
      <c r="CR404" s="561"/>
      <c r="CS404" s="242"/>
      <c r="CT404" s="242"/>
      <c r="CU404" s="242"/>
      <c r="CV404" s="265"/>
      <c r="CW404" s="265"/>
      <c r="CX404" s="265"/>
      <c r="CY404" s="265"/>
      <c r="CZ404" s="265"/>
      <c r="DA404" s="265"/>
      <c r="DB404" s="265"/>
      <c r="DC404" s="265"/>
    </row>
    <row r="405" spans="1:124" ht="30" customHeight="1">
      <c r="A405" s="228"/>
      <c r="B405" s="155"/>
      <c r="C405" s="224"/>
      <c r="D405" s="757"/>
      <c r="E405" s="757"/>
      <c r="F405" s="757"/>
      <c r="G405" s="864" t="s">
        <v>1679</v>
      </c>
      <c r="H405" s="865" t="s">
        <v>2911</v>
      </c>
      <c r="I405" s="207" t="s">
        <v>3046</v>
      </c>
      <c r="J405" s="207" t="str">
        <f t="shared" si="250"/>
        <v>Debora Tagliapietra</v>
      </c>
      <c r="K405" s="848"/>
      <c r="L405" s="849"/>
      <c r="M405" s="828"/>
      <c r="N405" s="828"/>
      <c r="O405" s="1361"/>
      <c r="P405" s="850" t="s">
        <v>2913</v>
      </c>
      <c r="Q405" s="850" t="s">
        <v>2913</v>
      </c>
      <c r="R405" s="828" t="s">
        <v>2914</v>
      </c>
      <c r="S405" s="828" t="s">
        <v>2915</v>
      </c>
      <c r="T405" s="828"/>
      <c r="U405" s="828"/>
      <c r="V405" s="828"/>
      <c r="W405" s="850"/>
      <c r="X405" s="558" t="s">
        <v>2916</v>
      </c>
      <c r="Y405" s="850"/>
      <c r="Z405" s="850"/>
      <c r="AA405" s="850"/>
      <c r="AB405" s="850" t="s">
        <v>2917</v>
      </c>
      <c r="AC405" s="558" t="s">
        <v>2918</v>
      </c>
      <c r="AD405" s="1362"/>
      <c r="AE405" s="869"/>
      <c r="AF405" s="851"/>
      <c r="AG405" s="852" t="s">
        <v>115</v>
      </c>
      <c r="AH405" s="852" t="s">
        <v>115</v>
      </c>
      <c r="AI405" s="852" t="s">
        <v>115</v>
      </c>
      <c r="AJ405" s="515"/>
      <c r="AK405" s="258"/>
      <c r="AL405" s="258"/>
      <c r="AM405" s="258"/>
      <c r="AN405" s="627"/>
      <c r="AO405" s="815"/>
      <c r="AP405" s="815" t="s">
        <v>2404</v>
      </c>
      <c r="AQ405" s="815" t="s">
        <v>2404</v>
      </c>
      <c r="AR405" s="853"/>
      <c r="AS405" s="609"/>
      <c r="AT405" s="609"/>
      <c r="AU405" s="609"/>
      <c r="AV405" s="854"/>
      <c r="AW405" s="609"/>
      <c r="AX405" s="609"/>
      <c r="AY405" s="609"/>
      <c r="AZ405" s="889">
        <f t="shared" ref="AZ405:AZ408" si="286">BR405+BV405+BZ405+CD405+CH405</f>
        <v>0</v>
      </c>
      <c r="BA405" s="902">
        <f t="shared" ref="BA405:BA408" si="287">BT405+BX405+CB405+CF405+CJ405</f>
        <v>0</v>
      </c>
      <c r="BB405" s="902">
        <f t="shared" si="280"/>
        <v>0</v>
      </c>
      <c r="BC405" s="110"/>
      <c r="BD405" s="242"/>
      <c r="BE405" s="1231"/>
      <c r="BF405" s="828" t="s">
        <v>2919</v>
      </c>
      <c r="BG405" s="856">
        <v>0.15</v>
      </c>
      <c r="BH405" s="110"/>
      <c r="BI405" s="242"/>
      <c r="BJ405" s="1231"/>
      <c r="BK405" s="849"/>
      <c r="BL405" s="828" t="s">
        <v>2920</v>
      </c>
      <c r="BM405" s="856">
        <v>0.05</v>
      </c>
      <c r="BN405" s="110">
        <v>0</v>
      </c>
      <c r="BO405" s="242">
        <f t="shared" si="276"/>
        <v>0</v>
      </c>
      <c r="BP405" s="242"/>
      <c r="BQ405" s="665"/>
      <c r="BR405" s="338"/>
      <c r="BS405" s="338"/>
      <c r="BT405" s="338"/>
      <c r="BU405" s="338"/>
      <c r="BV405" s="338"/>
      <c r="BW405" s="338"/>
      <c r="BX405" s="338"/>
      <c r="BY405" s="338"/>
      <c r="BZ405" s="338"/>
      <c r="CA405" s="338"/>
      <c r="CB405" s="338"/>
      <c r="CC405" s="338"/>
      <c r="CD405" s="338"/>
      <c r="CE405" s="338"/>
      <c r="CF405" s="338"/>
      <c r="CG405" s="338"/>
      <c r="CH405" s="338"/>
      <c r="CI405" s="338"/>
      <c r="CJ405" s="338"/>
      <c r="CK405" s="247"/>
      <c r="CL405" s="207"/>
      <c r="CM405" s="354"/>
      <c r="CN405" s="207"/>
      <c r="CO405" s="207"/>
      <c r="CP405" s="155"/>
      <c r="CQ405" s="828"/>
      <c r="CR405" s="828"/>
      <c r="CS405" s="242"/>
      <c r="CT405" s="242"/>
      <c r="CU405" s="242"/>
      <c r="CV405" s="779"/>
      <c r="CW405" s="729"/>
      <c r="CX405" s="729"/>
      <c r="CY405" s="729"/>
      <c r="CZ405" s="729"/>
      <c r="DA405" s="729"/>
      <c r="DB405" s="729"/>
      <c r="DC405" s="729"/>
    </row>
    <row r="406" spans="1:124" ht="30" customHeight="1">
      <c r="A406" s="228"/>
      <c r="B406" s="155"/>
      <c r="C406" s="155"/>
      <c r="D406" s="757"/>
      <c r="E406" s="757"/>
      <c r="F406" s="757"/>
      <c r="G406" s="369" t="s">
        <v>3047</v>
      </c>
      <c r="H406" s="672" t="s">
        <v>3048</v>
      </c>
      <c r="I406" s="207" t="s">
        <v>3049</v>
      </c>
      <c r="J406" s="207" t="str">
        <f t="shared" si="250"/>
        <v>Deborah Bianchi</v>
      </c>
      <c r="K406" s="224">
        <v>3387902054</v>
      </c>
      <c r="L406" s="131"/>
      <c r="M406" s="131"/>
      <c r="N406" s="289"/>
      <c r="O406" s="1277"/>
      <c r="P406" s="564" t="s">
        <v>3050</v>
      </c>
      <c r="Q406" s="564" t="s">
        <v>3050</v>
      </c>
      <c r="R406" s="131" t="s">
        <v>3051</v>
      </c>
      <c r="S406" s="131" t="s">
        <v>3052</v>
      </c>
      <c r="T406" s="131"/>
      <c r="U406" s="131"/>
      <c r="V406" s="131"/>
      <c r="W406" s="258"/>
      <c r="X406" s="131" t="s">
        <v>3049</v>
      </c>
      <c r="Y406" s="258"/>
      <c r="Z406" s="258"/>
      <c r="AA406" s="258"/>
      <c r="AB406" s="255" t="s">
        <v>2917</v>
      </c>
      <c r="AC406" s="131"/>
      <c r="AD406" s="1363"/>
      <c r="AE406" s="207"/>
      <c r="AF406" s="515"/>
      <c r="AG406" s="516" t="s">
        <v>115</v>
      </c>
      <c r="AH406" s="516" t="s">
        <v>115</v>
      </c>
      <c r="AI406" s="516" t="s">
        <v>115</v>
      </c>
      <c r="AJ406" s="515"/>
      <c r="AK406" s="815"/>
      <c r="AL406" s="815"/>
      <c r="AM406" s="815"/>
      <c r="AN406" s="851"/>
      <c r="AO406" s="155"/>
      <c r="AP406" s="155" t="s">
        <v>154</v>
      </c>
      <c r="AQ406" s="155" t="s">
        <v>154</v>
      </c>
      <c r="AR406" s="515"/>
      <c r="AS406" s="121"/>
      <c r="AT406" s="609"/>
      <c r="AU406" s="609"/>
      <c r="AV406" s="568"/>
      <c r="AW406" s="121"/>
      <c r="AX406" s="609"/>
      <c r="AY406" s="609"/>
      <c r="AZ406" s="889">
        <f t="shared" si="286"/>
        <v>0</v>
      </c>
      <c r="BA406" s="902">
        <f t="shared" si="287"/>
        <v>0</v>
      </c>
      <c r="BB406" s="902">
        <f t="shared" si="280"/>
        <v>0</v>
      </c>
      <c r="BC406" s="110"/>
      <c r="BD406" s="242"/>
      <c r="BE406" s="1231"/>
      <c r="BF406" s="529" t="s">
        <v>3053</v>
      </c>
      <c r="BG406" s="145">
        <v>0.15</v>
      </c>
      <c r="BH406" s="110"/>
      <c r="BI406" s="242"/>
      <c r="BJ406" s="1231"/>
      <c r="BK406" s="529"/>
      <c r="BL406" s="529" t="s">
        <v>3001</v>
      </c>
      <c r="BM406" s="145">
        <v>0.05</v>
      </c>
      <c r="BN406" s="110">
        <v>0</v>
      </c>
      <c r="BO406" s="242">
        <f t="shared" si="276"/>
        <v>0</v>
      </c>
      <c r="BP406" s="242"/>
      <c r="BQ406" s="665"/>
      <c r="BR406" s="338"/>
      <c r="BS406" s="338"/>
      <c r="BT406" s="338"/>
      <c r="BU406" s="338"/>
      <c r="BV406" s="338"/>
      <c r="BW406" s="338"/>
      <c r="BX406" s="338"/>
      <c r="BY406" s="338"/>
      <c r="BZ406" s="338"/>
      <c r="CA406" s="338"/>
      <c r="CB406" s="338"/>
      <c r="CC406" s="338"/>
      <c r="CD406" s="338"/>
      <c r="CE406" s="338"/>
      <c r="CF406" s="338"/>
      <c r="CG406" s="338"/>
      <c r="CH406" s="338"/>
      <c r="CI406" s="338"/>
      <c r="CJ406" s="338"/>
      <c r="CK406" s="245" t="s">
        <v>2612</v>
      </c>
      <c r="CL406" s="181"/>
      <c r="CM406" s="369"/>
      <c r="CN406" s="181"/>
      <c r="CO406" s="181"/>
      <c r="CP406" s="121"/>
      <c r="CQ406" s="131"/>
      <c r="CR406" s="131"/>
      <c r="CS406" s="242"/>
      <c r="CT406" s="242"/>
      <c r="CU406" s="242"/>
      <c r="CV406" s="779"/>
      <c r="CW406" s="779"/>
      <c r="CX406" s="779"/>
      <c r="CY406" s="779"/>
      <c r="CZ406" s="779"/>
      <c r="DA406" s="779"/>
      <c r="DB406" s="779"/>
      <c r="DC406" s="779"/>
    </row>
    <row r="407" spans="1:124" ht="30" customHeight="1">
      <c r="A407" s="228"/>
      <c r="B407" s="155"/>
      <c r="C407" s="155"/>
      <c r="D407" s="757"/>
      <c r="E407" s="757"/>
      <c r="F407" s="757"/>
      <c r="G407" s="914" t="s">
        <v>451</v>
      </c>
      <c r="H407" s="915" t="s">
        <v>3054</v>
      </c>
      <c r="I407" s="294" t="s">
        <v>3055</v>
      </c>
      <c r="J407" s="207" t="str">
        <f t="shared" si="250"/>
        <v>Fabio Dal Ben</v>
      </c>
      <c r="K407" s="916"/>
      <c r="L407" s="131"/>
      <c r="M407" s="131"/>
      <c r="N407" s="917"/>
      <c r="O407" s="1426"/>
      <c r="P407" s="124"/>
      <c r="Q407" s="124"/>
      <c r="R407" s="131" t="s">
        <v>3056</v>
      </c>
      <c r="S407" s="124"/>
      <c r="T407" s="124"/>
      <c r="U407" s="124"/>
      <c r="V407" s="124"/>
      <c r="W407" s="124"/>
      <c r="X407" s="131"/>
      <c r="Y407" s="124"/>
      <c r="Z407" s="124"/>
      <c r="AA407" s="124"/>
      <c r="AB407" s="255"/>
      <c r="AC407" s="131"/>
      <c r="AD407" s="1427"/>
      <c r="AE407" s="207" t="s">
        <v>3057</v>
      </c>
      <c r="AF407" s="515"/>
      <c r="AG407" s="580"/>
      <c r="AH407" s="580"/>
      <c r="AI407" s="580"/>
      <c r="AJ407" s="515"/>
      <c r="AK407" s="155"/>
      <c r="AL407" s="155"/>
      <c r="AM407" s="155"/>
      <c r="AN407" s="515"/>
      <c r="AO407" s="124"/>
      <c r="AP407" s="124"/>
      <c r="AQ407" s="124"/>
      <c r="AR407" s="515"/>
      <c r="AS407" s="121"/>
      <c r="AT407" s="121"/>
      <c r="AU407" s="121"/>
      <c r="AV407" s="568"/>
      <c r="AW407" s="121"/>
      <c r="AX407" s="121"/>
      <c r="AY407" s="121"/>
      <c r="AZ407" s="889">
        <f t="shared" si="286"/>
        <v>0</v>
      </c>
      <c r="BA407" s="902">
        <f t="shared" si="287"/>
        <v>0</v>
      </c>
      <c r="BB407" s="902">
        <f t="shared" si="280"/>
        <v>0</v>
      </c>
      <c r="BC407" s="110"/>
      <c r="BD407" s="242"/>
      <c r="BE407" s="1231"/>
      <c r="BF407" s="131" t="s">
        <v>2371</v>
      </c>
      <c r="BG407" s="145">
        <v>0.15</v>
      </c>
      <c r="BH407" s="110"/>
      <c r="BI407" s="242"/>
      <c r="BJ407" s="1231"/>
      <c r="BK407" s="131"/>
      <c r="BL407" s="529" t="s">
        <v>2920</v>
      </c>
      <c r="BM407" s="145">
        <v>0.05</v>
      </c>
      <c r="BN407" s="110">
        <v>0</v>
      </c>
      <c r="BO407" s="242">
        <f t="shared" si="276"/>
        <v>0</v>
      </c>
      <c r="BP407" s="242"/>
      <c r="BQ407" s="665"/>
      <c r="BR407" s="338"/>
      <c r="BS407" s="338"/>
      <c r="BT407" s="338"/>
      <c r="BU407" s="338"/>
      <c r="BV407" s="338"/>
      <c r="BW407" s="338"/>
      <c r="BX407" s="338"/>
      <c r="BY407" s="338"/>
      <c r="BZ407" s="338"/>
      <c r="CA407" s="338"/>
      <c r="CB407" s="338"/>
      <c r="CC407" s="338"/>
      <c r="CD407" s="338"/>
      <c r="CE407" s="338"/>
      <c r="CF407" s="338"/>
      <c r="CG407" s="338"/>
      <c r="CH407" s="338"/>
      <c r="CI407" s="338"/>
      <c r="CJ407" s="338"/>
      <c r="CK407" s="919"/>
      <c r="CL407" s="570"/>
      <c r="CM407" s="920"/>
      <c r="CN407" s="124"/>
      <c r="CO407" s="331"/>
      <c r="CP407" s="596"/>
      <c r="CQ407" s="131"/>
      <c r="CR407" s="131"/>
      <c r="CS407" s="242"/>
      <c r="CT407" s="242"/>
      <c r="CU407" s="242"/>
      <c r="CV407" s="265"/>
      <c r="CW407" s="265"/>
      <c r="CX407" s="265"/>
      <c r="CY407" s="265"/>
      <c r="CZ407" s="265"/>
      <c r="DA407" s="265"/>
      <c r="DB407" s="265"/>
      <c r="DC407" s="265"/>
    </row>
    <row r="408" spans="1:124" ht="30" customHeight="1">
      <c r="A408" s="228"/>
      <c r="B408" s="155"/>
      <c r="C408" s="155"/>
      <c r="D408" s="757"/>
      <c r="E408" s="757"/>
      <c r="F408" s="757"/>
      <c r="G408" s="921" t="s">
        <v>451</v>
      </c>
      <c r="H408" s="922" t="s">
        <v>2304</v>
      </c>
      <c r="I408" s="207" t="s">
        <v>2305</v>
      </c>
      <c r="J408" s="207" t="str">
        <f t="shared" si="250"/>
        <v>Fabio Gregorelli</v>
      </c>
      <c r="K408" s="224"/>
      <c r="L408" s="598"/>
      <c r="M408" s="598"/>
      <c r="N408" s="131" t="s">
        <v>3058</v>
      </c>
      <c r="O408" s="1259"/>
      <c r="P408" s="255"/>
      <c r="Q408" s="255"/>
      <c r="R408" s="598" t="s">
        <v>916</v>
      </c>
      <c r="S408" s="598"/>
      <c r="T408" s="598"/>
      <c r="U408" s="598"/>
      <c r="V408" s="598"/>
      <c r="W408" s="258"/>
      <c r="X408" s="131"/>
      <c r="Y408" s="258"/>
      <c r="Z408" s="258"/>
      <c r="AA408" s="258"/>
      <c r="AB408" s="255"/>
      <c r="AC408" s="131"/>
      <c r="AD408" s="1363"/>
      <c r="AE408" s="207"/>
      <c r="AF408" s="515"/>
      <c r="AG408" s="516"/>
      <c r="AH408" s="516"/>
      <c r="AI408" s="516"/>
      <c r="AJ408" s="515"/>
      <c r="AK408" s="124"/>
      <c r="AL408" s="258" t="s">
        <v>194</v>
      </c>
      <c r="AM408" s="258" t="s">
        <v>194</v>
      </c>
      <c r="AN408" s="515"/>
      <c r="AO408" s="155"/>
      <c r="AP408" s="155"/>
      <c r="AQ408" s="155"/>
      <c r="AR408" s="515"/>
      <c r="AS408" s="124"/>
      <c r="AT408" s="124"/>
      <c r="AU408" s="124"/>
      <c r="AV408" s="568"/>
      <c r="AW408" s="121" t="s">
        <v>2369</v>
      </c>
      <c r="AX408" s="121" t="s">
        <v>2369</v>
      </c>
      <c r="AY408" s="121" t="s">
        <v>2369</v>
      </c>
      <c r="AZ408" s="889">
        <f t="shared" si="286"/>
        <v>0</v>
      </c>
      <c r="BA408" s="902">
        <f t="shared" si="287"/>
        <v>0</v>
      </c>
      <c r="BB408" s="902">
        <f t="shared" si="280"/>
        <v>0</v>
      </c>
      <c r="BC408" s="110"/>
      <c r="BD408" s="242"/>
      <c r="BE408" s="1231"/>
      <c r="BF408" s="529"/>
      <c r="BG408" s="145"/>
      <c r="BH408" s="110"/>
      <c r="BI408" s="242"/>
      <c r="BJ408" s="1231"/>
      <c r="BK408" s="529"/>
      <c r="BL408" s="529"/>
      <c r="BM408" s="145"/>
      <c r="BN408" s="110">
        <v>0</v>
      </c>
      <c r="BO408" s="242">
        <f t="shared" si="276"/>
        <v>0</v>
      </c>
      <c r="BP408" s="242"/>
      <c r="BQ408" s="665"/>
      <c r="BR408" s="338"/>
      <c r="BS408" s="338"/>
      <c r="BT408" s="338"/>
      <c r="BU408" s="338"/>
      <c r="BV408" s="338"/>
      <c r="BW408" s="338"/>
      <c r="BX408" s="338"/>
      <c r="BY408" s="338"/>
      <c r="BZ408" s="338"/>
      <c r="CA408" s="338"/>
      <c r="CB408" s="338"/>
      <c r="CC408" s="338"/>
      <c r="CD408" s="338"/>
      <c r="CE408" s="338"/>
      <c r="CF408" s="338"/>
      <c r="CG408" s="338"/>
      <c r="CH408" s="338"/>
      <c r="CI408" s="338"/>
      <c r="CJ408" s="338"/>
      <c r="CK408" s="245"/>
      <c r="CL408" s="181"/>
      <c r="CM408" s="369"/>
      <c r="CN408" s="207"/>
      <c r="CO408" s="207"/>
      <c r="CP408" s="155"/>
      <c r="CQ408" s="598"/>
      <c r="CR408" s="598"/>
      <c r="CS408" s="242"/>
      <c r="CT408" s="242"/>
      <c r="CU408" s="242"/>
      <c r="CV408" s="729"/>
      <c r="CW408" s="729"/>
      <c r="CX408" s="729"/>
      <c r="CY408" s="729"/>
      <c r="CZ408" s="729"/>
      <c r="DA408" s="729"/>
      <c r="DB408" s="729"/>
      <c r="DC408" s="729"/>
    </row>
    <row r="409" spans="1:124" ht="30" customHeight="1">
      <c r="A409" s="228"/>
      <c r="B409" s="121"/>
      <c r="C409" s="684"/>
      <c r="D409" s="757"/>
      <c r="E409" s="757"/>
      <c r="F409" s="757"/>
      <c r="G409" s="864" t="s">
        <v>1769</v>
      </c>
      <c r="H409" s="865" t="s">
        <v>3059</v>
      </c>
      <c r="I409" s="207" t="s">
        <v>3060</v>
      </c>
      <c r="J409" s="207" t="str">
        <f t="shared" si="250"/>
        <v>Federica Dotto</v>
      </c>
      <c r="K409" s="848">
        <v>3404613478</v>
      </c>
      <c r="L409" s="857"/>
      <c r="M409" s="923"/>
      <c r="N409" s="923"/>
      <c r="O409" s="1437"/>
      <c r="P409" s="850" t="s">
        <v>3061</v>
      </c>
      <c r="Q409" s="850" t="s">
        <v>3061</v>
      </c>
      <c r="R409" s="828" t="s">
        <v>3062</v>
      </c>
      <c r="S409" s="923" t="s">
        <v>3063</v>
      </c>
      <c r="T409" s="923"/>
      <c r="U409" s="923"/>
      <c r="V409" s="923"/>
      <c r="W409" s="925"/>
      <c r="X409" s="131" t="s">
        <v>3060</v>
      </c>
      <c r="Y409" s="925"/>
      <c r="Z409" s="925"/>
      <c r="AA409" s="925"/>
      <c r="AB409" s="925" t="s">
        <v>3064</v>
      </c>
      <c r="AC409" s="131"/>
      <c r="AD409" s="1438"/>
      <c r="AE409" s="869" t="s">
        <v>3065</v>
      </c>
      <c r="AF409" s="851"/>
      <c r="AG409" s="852" t="s">
        <v>115</v>
      </c>
      <c r="AH409" s="852" t="s">
        <v>115</v>
      </c>
      <c r="AI409" s="852" t="s">
        <v>115</v>
      </c>
      <c r="AJ409" s="515"/>
      <c r="AK409" s="155"/>
      <c r="AL409" s="155"/>
      <c r="AM409" s="155"/>
      <c r="AN409" s="515"/>
      <c r="AO409" s="815"/>
      <c r="AP409" s="815" t="s">
        <v>154</v>
      </c>
      <c r="AQ409" s="815" t="s">
        <v>154</v>
      </c>
      <c r="AR409" s="926"/>
      <c r="AS409" s="124"/>
      <c r="AT409" s="124"/>
      <c r="AU409" s="124"/>
      <c r="AV409" s="927"/>
      <c r="AW409" s="609"/>
      <c r="AX409" s="609"/>
      <c r="AY409" s="609"/>
      <c r="AZ409" s="889"/>
      <c r="BA409" s="902"/>
      <c r="BB409" s="902">
        <f t="shared" si="280"/>
        <v>0</v>
      </c>
      <c r="BC409" s="110"/>
      <c r="BD409" s="242"/>
      <c r="BE409" s="1231"/>
      <c r="BF409" s="828" t="s">
        <v>3066</v>
      </c>
      <c r="BG409" s="856">
        <v>0</v>
      </c>
      <c r="BH409" s="110"/>
      <c r="BI409" s="242"/>
      <c r="BJ409" s="1231"/>
      <c r="BK409" s="849"/>
      <c r="BL409" s="828" t="s">
        <v>3067</v>
      </c>
      <c r="BM409" s="856">
        <v>0.05</v>
      </c>
      <c r="BN409" s="110">
        <v>0</v>
      </c>
      <c r="BO409" s="242">
        <f t="shared" si="276"/>
        <v>0</v>
      </c>
      <c r="BP409" s="242"/>
      <c r="BQ409" s="665"/>
      <c r="BR409" s="338"/>
      <c r="BS409" s="338"/>
      <c r="BT409" s="338"/>
      <c r="BU409" s="338"/>
      <c r="BV409" s="338"/>
      <c r="BW409" s="338"/>
      <c r="BX409" s="338"/>
      <c r="BY409" s="338"/>
      <c r="BZ409" s="338"/>
      <c r="CA409" s="338"/>
      <c r="CB409" s="338"/>
      <c r="CC409" s="338"/>
      <c r="CD409" s="338"/>
      <c r="CE409" s="338"/>
      <c r="CF409" s="338"/>
      <c r="CG409" s="338"/>
      <c r="CH409" s="338"/>
      <c r="CI409" s="338"/>
      <c r="CJ409" s="338"/>
      <c r="CK409" s="247"/>
      <c r="CL409" s="181"/>
      <c r="CM409" s="369"/>
      <c r="CN409" s="181"/>
      <c r="CO409" s="181"/>
      <c r="CP409" s="121"/>
      <c r="CQ409" s="923"/>
      <c r="CR409" s="923"/>
      <c r="CS409" s="242"/>
      <c r="CT409" s="242"/>
      <c r="CU409" s="242"/>
      <c r="CV409" s="779"/>
      <c r="CW409" s="779"/>
      <c r="CX409" s="779"/>
      <c r="CY409" s="779"/>
      <c r="CZ409" s="779"/>
      <c r="DA409" s="779"/>
      <c r="DB409" s="779"/>
      <c r="DC409" s="779"/>
    </row>
    <row r="410" spans="1:124" ht="30" customHeight="1">
      <c r="A410" s="228"/>
      <c r="B410" s="155"/>
      <c r="C410" s="155"/>
      <c r="D410" s="757"/>
      <c r="E410" s="757"/>
      <c r="F410" s="757"/>
      <c r="G410" s="914" t="s">
        <v>477</v>
      </c>
      <c r="H410" s="915" t="s">
        <v>4692</v>
      </c>
      <c r="I410" s="207" t="s">
        <v>4693</v>
      </c>
      <c r="J410" s="207" t="str">
        <f t="shared" si="250"/>
        <v>Filippo Strazzacapa</v>
      </c>
      <c r="K410" s="916"/>
      <c r="L410" s="131"/>
      <c r="M410" s="131"/>
      <c r="N410" s="917"/>
      <c r="O410" s="1426"/>
      <c r="P410" s="124"/>
      <c r="Q410" s="124"/>
      <c r="R410" s="131" t="s">
        <v>3056</v>
      </c>
      <c r="S410" s="124"/>
      <c r="T410" s="124"/>
      <c r="U410" s="124"/>
      <c r="V410" s="124"/>
      <c r="W410" s="124"/>
      <c r="X410" s="131"/>
      <c r="Y410" s="124"/>
      <c r="Z410" s="124"/>
      <c r="AA410" s="124"/>
      <c r="AB410" s="255"/>
      <c r="AC410" s="131"/>
      <c r="AD410" s="1427"/>
      <c r="AE410" s="207" t="s">
        <v>3057</v>
      </c>
      <c r="AF410" s="515"/>
      <c r="AG410" s="580"/>
      <c r="AH410" s="580"/>
      <c r="AI410" s="580"/>
      <c r="AJ410" s="515"/>
      <c r="AK410" s="815"/>
      <c r="AL410" s="815"/>
      <c r="AM410" s="815"/>
      <c r="AN410" s="950"/>
      <c r="AO410" s="124"/>
      <c r="AP410" s="124"/>
      <c r="AQ410" s="124"/>
      <c r="AR410" s="515"/>
      <c r="AS410" s="124"/>
      <c r="AT410" s="124"/>
      <c r="AU410" s="124"/>
      <c r="AV410" s="568"/>
      <c r="AW410" s="570"/>
      <c r="AX410" s="570"/>
      <c r="AY410" s="121" t="s">
        <v>27</v>
      </c>
      <c r="AZ410" s="889">
        <f t="shared" ref="AZ410:AZ412" si="288">BR410+BV410+BZ410+CD410+CH410</f>
        <v>0</v>
      </c>
      <c r="BA410" s="902">
        <f t="shared" ref="BA410:BA412" si="289">BT410+BX410+CB410+CF410+CJ410</f>
        <v>0</v>
      </c>
      <c r="BB410" s="902">
        <f t="shared" si="280"/>
        <v>0</v>
      </c>
      <c r="BC410" s="110"/>
      <c r="BD410" s="242"/>
      <c r="BE410" s="1231"/>
      <c r="BF410" s="131" t="s">
        <v>2371</v>
      </c>
      <c r="BG410" s="145">
        <v>0.15</v>
      </c>
      <c r="BH410" s="110"/>
      <c r="BI410" s="242"/>
      <c r="BJ410" s="1231"/>
      <c r="BK410" s="251"/>
      <c r="BL410" s="529" t="s">
        <v>2920</v>
      </c>
      <c r="BM410" s="145">
        <v>0.05</v>
      </c>
      <c r="BN410" s="110">
        <v>0</v>
      </c>
      <c r="BO410" s="242">
        <f t="shared" si="276"/>
        <v>0</v>
      </c>
      <c r="BP410" s="242"/>
      <c r="BQ410" s="665"/>
      <c r="BR410" s="338"/>
      <c r="BS410" s="338"/>
      <c r="BT410" s="338"/>
      <c r="BU410" s="338"/>
      <c r="BV410" s="338"/>
      <c r="BW410" s="338"/>
      <c r="BX410" s="338"/>
      <c r="BY410" s="338"/>
      <c r="BZ410" s="338"/>
      <c r="CA410" s="338"/>
      <c r="CB410" s="338"/>
      <c r="CC410" s="338"/>
      <c r="CD410" s="338"/>
      <c r="CE410" s="338"/>
      <c r="CF410" s="338"/>
      <c r="CG410" s="338"/>
      <c r="CH410" s="338"/>
      <c r="CI410" s="338"/>
      <c r="CJ410" s="338"/>
      <c r="CK410" s="919"/>
      <c r="CL410" s="570"/>
      <c r="CM410" s="920"/>
      <c r="CN410" s="124"/>
      <c r="CO410" s="331"/>
      <c r="CP410" s="596"/>
      <c r="CQ410" s="131"/>
      <c r="CR410" s="131"/>
      <c r="CS410" s="242"/>
      <c r="CT410" s="242"/>
      <c r="CU410" s="242"/>
      <c r="CV410" s="265"/>
      <c r="CW410" s="265"/>
      <c r="CX410" s="265"/>
      <c r="CY410" s="265"/>
      <c r="CZ410" s="265"/>
      <c r="DA410" s="265"/>
      <c r="DB410" s="265"/>
      <c r="DC410" s="265"/>
    </row>
    <row r="411" spans="1:124" ht="30" customHeight="1">
      <c r="A411" s="228"/>
      <c r="B411" s="155"/>
      <c r="C411" s="155"/>
      <c r="D411" s="757"/>
      <c r="E411" s="757"/>
      <c r="F411" s="757"/>
      <c r="G411" s="369" t="s">
        <v>488</v>
      </c>
      <c r="H411" s="672" t="s">
        <v>3068</v>
      </c>
      <c r="I411" s="294" t="s">
        <v>3069</v>
      </c>
      <c r="J411" s="207" t="str">
        <f t="shared" si="250"/>
        <v>Francesca Gondoni</v>
      </c>
      <c r="K411" s="224"/>
      <c r="L411" s="131"/>
      <c r="M411" s="131"/>
      <c r="N411" s="289"/>
      <c r="O411" s="1277"/>
      <c r="P411" s="131"/>
      <c r="Q411" s="131"/>
      <c r="R411" s="131" t="s">
        <v>3070</v>
      </c>
      <c r="S411" s="131"/>
      <c r="T411" s="131"/>
      <c r="U411" s="131"/>
      <c r="V411" s="131"/>
      <c r="W411" s="131"/>
      <c r="X411" s="131"/>
      <c r="Y411" s="131"/>
      <c r="Z411" s="131"/>
      <c r="AA411" s="131"/>
      <c r="AB411" s="255"/>
      <c r="AC411" s="131"/>
      <c r="AD411" s="224"/>
      <c r="AE411" s="207"/>
      <c r="AF411" s="515"/>
      <c r="AG411" s="406"/>
      <c r="AH411" s="406"/>
      <c r="AI411" s="406"/>
      <c r="AJ411" s="515"/>
      <c r="AK411" s="258" t="s">
        <v>115</v>
      </c>
      <c r="AL411" s="258" t="s">
        <v>115</v>
      </c>
      <c r="AM411" s="258"/>
      <c r="AN411" s="515"/>
      <c r="AO411" s="928" t="s">
        <v>151</v>
      </c>
      <c r="AP411" s="928" t="s">
        <v>151</v>
      </c>
      <c r="AQ411" s="928" t="s">
        <v>151</v>
      </c>
      <c r="AR411" s="198"/>
      <c r="AS411" s="124"/>
      <c r="AT411" s="124"/>
      <c r="AU411" s="124"/>
      <c r="AV411" s="235"/>
      <c r="AW411" s="929" t="s">
        <v>151</v>
      </c>
      <c r="AX411" s="929" t="s">
        <v>151</v>
      </c>
      <c r="AY411" s="929" t="s">
        <v>151</v>
      </c>
      <c r="AZ411" s="889">
        <f t="shared" si="288"/>
        <v>0</v>
      </c>
      <c r="BA411" s="902">
        <f t="shared" si="289"/>
        <v>0</v>
      </c>
      <c r="BB411" s="902">
        <f t="shared" si="280"/>
        <v>0</v>
      </c>
      <c r="BC411" s="110"/>
      <c r="BD411" s="242"/>
      <c r="BE411" s="1231"/>
      <c r="BF411" s="131" t="s">
        <v>160</v>
      </c>
      <c r="BG411" s="145">
        <v>0.15</v>
      </c>
      <c r="BH411" s="110"/>
      <c r="BI411" s="242"/>
      <c r="BJ411" s="1231"/>
      <c r="BK411" s="131"/>
      <c r="BL411" s="131" t="s">
        <v>160</v>
      </c>
      <c r="BM411" s="145">
        <v>0.05</v>
      </c>
      <c r="BN411" s="110">
        <v>0</v>
      </c>
      <c r="BO411" s="242">
        <f t="shared" si="276"/>
        <v>0</v>
      </c>
      <c r="BP411" s="242"/>
      <c r="BQ411" s="665"/>
      <c r="BR411" s="338"/>
      <c r="BS411" s="338"/>
      <c r="BT411" s="338"/>
      <c r="BU411" s="338"/>
      <c r="BV411" s="338"/>
      <c r="BW411" s="338"/>
      <c r="BX411" s="338"/>
      <c r="BY411" s="338"/>
      <c r="BZ411" s="338"/>
      <c r="CA411" s="338"/>
      <c r="CB411" s="338"/>
      <c r="CC411" s="338"/>
      <c r="CD411" s="338"/>
      <c r="CE411" s="338"/>
      <c r="CF411" s="338"/>
      <c r="CG411" s="338"/>
      <c r="CH411" s="338"/>
      <c r="CI411" s="338"/>
      <c r="CJ411" s="338"/>
      <c r="CK411" s="245" t="s">
        <v>2612</v>
      </c>
      <c r="CL411" s="181"/>
      <c r="CM411" s="369"/>
      <c r="CN411" s="181"/>
      <c r="CO411" s="181"/>
      <c r="CP411" s="121"/>
      <c r="CQ411" s="131"/>
      <c r="CR411" s="131"/>
      <c r="CS411" s="242"/>
      <c r="CT411" s="242"/>
      <c r="CU411" s="242"/>
      <c r="CV411" s="779"/>
      <c r="CW411" s="779"/>
      <c r="CX411" s="779"/>
      <c r="CY411" s="779"/>
      <c r="CZ411" s="779"/>
      <c r="DA411" s="779"/>
      <c r="DB411" s="779"/>
      <c r="DC411" s="779"/>
    </row>
    <row r="412" spans="1:124" ht="30" customHeight="1">
      <c r="A412" s="228"/>
      <c r="B412" s="155"/>
      <c r="C412" s="155"/>
      <c r="D412" s="757"/>
      <c r="E412" s="757"/>
      <c r="F412" s="757"/>
      <c r="G412" s="369" t="s">
        <v>912</v>
      </c>
      <c r="H412" s="672" t="s">
        <v>3071</v>
      </c>
      <c r="I412" s="207" t="s">
        <v>3072</v>
      </c>
      <c r="J412" s="207" t="str">
        <f t="shared" si="250"/>
        <v>Francesco Panozzo</v>
      </c>
      <c r="K412" s="224"/>
      <c r="L412" s="131"/>
      <c r="M412" s="131"/>
      <c r="N412" s="131"/>
      <c r="O412" s="1259"/>
      <c r="P412" s="908" t="s">
        <v>3073</v>
      </c>
      <c r="Q412" s="908" t="s">
        <v>3073</v>
      </c>
      <c r="R412" s="131" t="s">
        <v>3074</v>
      </c>
      <c r="S412" s="131" t="s">
        <v>3075</v>
      </c>
      <c r="T412" s="131"/>
      <c r="U412" s="131"/>
      <c r="V412" s="131"/>
      <c r="W412" s="258"/>
      <c r="X412" s="131"/>
      <c r="Y412" s="258"/>
      <c r="Z412" s="258"/>
      <c r="AA412" s="258"/>
      <c r="AB412" s="255" t="s">
        <v>2412</v>
      </c>
      <c r="AC412" s="131"/>
      <c r="AD412" s="1363"/>
      <c r="AE412" s="207" t="s">
        <v>3076</v>
      </c>
      <c r="AF412" s="515"/>
      <c r="AG412" s="516" t="s">
        <v>115</v>
      </c>
      <c r="AH412" s="516" t="s">
        <v>115</v>
      </c>
      <c r="AI412" s="516"/>
      <c r="AJ412" s="515"/>
      <c r="AK412" s="155"/>
      <c r="AL412" s="155"/>
      <c r="AM412" s="155"/>
      <c r="AN412" s="198"/>
      <c r="AO412" s="155"/>
      <c r="AP412" s="155" t="s">
        <v>2404</v>
      </c>
      <c r="AQ412" s="155"/>
      <c r="AR412" s="515"/>
      <c r="AS412" s="124"/>
      <c r="AT412" s="124"/>
      <c r="AU412" s="124"/>
      <c r="AV412" s="568"/>
      <c r="AW412" s="121"/>
      <c r="AX412" s="121"/>
      <c r="AY412" s="121"/>
      <c r="AZ412" s="889">
        <f t="shared" si="288"/>
        <v>0</v>
      </c>
      <c r="BA412" s="902">
        <f t="shared" si="289"/>
        <v>0</v>
      </c>
      <c r="BB412" s="902">
        <f t="shared" si="280"/>
        <v>0</v>
      </c>
      <c r="BC412" s="110"/>
      <c r="BD412" s="242"/>
      <c r="BE412" s="1231"/>
      <c r="BF412" s="529" t="s">
        <v>3077</v>
      </c>
      <c r="BG412" s="145">
        <v>0.15</v>
      </c>
      <c r="BH412" s="110"/>
      <c r="BI412" s="242"/>
      <c r="BJ412" s="1231"/>
      <c r="BK412" s="529"/>
      <c r="BL412" s="529" t="s">
        <v>3078</v>
      </c>
      <c r="BM412" s="145">
        <v>0.15</v>
      </c>
      <c r="BN412" s="110">
        <v>0</v>
      </c>
      <c r="BO412" s="242">
        <f t="shared" si="276"/>
        <v>0</v>
      </c>
      <c r="BP412" s="242"/>
      <c r="BQ412" s="665"/>
      <c r="BR412" s="338"/>
      <c r="BS412" s="338"/>
      <c r="BT412" s="338"/>
      <c r="BU412" s="338"/>
      <c r="BV412" s="338"/>
      <c r="BW412" s="338"/>
      <c r="BX412" s="338"/>
      <c r="BY412" s="338"/>
      <c r="BZ412" s="338"/>
      <c r="CA412" s="338"/>
      <c r="CB412" s="338"/>
      <c r="CC412" s="338"/>
      <c r="CD412" s="338"/>
      <c r="CE412" s="338"/>
      <c r="CF412" s="338"/>
      <c r="CG412" s="338"/>
      <c r="CH412" s="338"/>
      <c r="CI412" s="338"/>
      <c r="CJ412" s="338"/>
      <c r="CK412" s="245"/>
      <c r="CL412" s="181"/>
      <c r="CM412" s="369"/>
      <c r="CN412" s="181"/>
      <c r="CO412" s="181"/>
      <c r="CP412" s="121"/>
      <c r="CQ412" s="131"/>
      <c r="CR412" s="131"/>
      <c r="CS412" s="242"/>
      <c r="CT412" s="242"/>
      <c r="CU412" s="242"/>
      <c r="CV412" s="779"/>
      <c r="CW412" s="779"/>
      <c r="CX412" s="779"/>
      <c r="CY412" s="779"/>
      <c r="CZ412" s="779"/>
      <c r="DA412" s="779"/>
      <c r="DB412" s="779"/>
      <c r="DC412" s="779"/>
    </row>
    <row r="413" spans="1:124" ht="30" customHeight="1">
      <c r="A413" s="228"/>
      <c r="B413" s="155"/>
      <c r="C413" s="224"/>
      <c r="D413" s="757"/>
      <c r="E413" s="757"/>
      <c r="F413" s="757"/>
      <c r="G413" s="864" t="s">
        <v>912</v>
      </c>
      <c r="H413" s="865" t="s">
        <v>3079</v>
      </c>
      <c r="I413" s="207" t="s">
        <v>3080</v>
      </c>
      <c r="J413" s="207" t="str">
        <f t="shared" si="250"/>
        <v>Francesco Zanatta</v>
      </c>
      <c r="K413" s="848">
        <v>3499321919</v>
      </c>
      <c r="L413" s="849"/>
      <c r="M413" s="828"/>
      <c r="N413" s="828"/>
      <c r="O413" s="1361"/>
      <c r="P413" s="850" t="s">
        <v>3081</v>
      </c>
      <c r="Q413" s="850" t="s">
        <v>3081</v>
      </c>
      <c r="R413" s="828" t="s">
        <v>3082</v>
      </c>
      <c r="S413" s="828" t="s">
        <v>3083</v>
      </c>
      <c r="T413" s="828"/>
      <c r="U413" s="828"/>
      <c r="V413" s="828"/>
      <c r="W413" s="850"/>
      <c r="X413" s="558" t="s">
        <v>3084</v>
      </c>
      <c r="Y413" s="850"/>
      <c r="Z413" s="850"/>
      <c r="AA413" s="850"/>
      <c r="AB413" s="850" t="s">
        <v>2935</v>
      </c>
      <c r="AC413" s="131"/>
      <c r="AD413" s="1362"/>
      <c r="AE413" s="869" t="s">
        <v>3085</v>
      </c>
      <c r="AF413" s="851"/>
      <c r="AG413" s="852" t="s">
        <v>115</v>
      </c>
      <c r="AH413" s="852" t="s">
        <v>115</v>
      </c>
      <c r="AI413" s="852" t="s">
        <v>115</v>
      </c>
      <c r="AJ413" s="515"/>
      <c r="AK413" s="155"/>
      <c r="AL413" s="155"/>
      <c r="AM413" s="155"/>
      <c r="AN413" s="515"/>
      <c r="AO413" s="815"/>
      <c r="AP413" s="815" t="s">
        <v>2404</v>
      </c>
      <c r="AQ413" s="815" t="s">
        <v>2404</v>
      </c>
      <c r="AR413" s="853"/>
      <c r="AS413" s="124"/>
      <c r="AT413" s="124"/>
      <c r="AU413" s="124"/>
      <c r="AV413" s="854"/>
      <c r="AW413" s="609"/>
      <c r="AX413" s="609"/>
      <c r="AY413" s="609"/>
      <c r="AZ413" s="889"/>
      <c r="BA413" s="902"/>
      <c r="BB413" s="902">
        <f t="shared" si="280"/>
        <v>0</v>
      </c>
      <c r="BC413" s="110"/>
      <c r="BD413" s="242"/>
      <c r="BE413" s="1231"/>
      <c r="BF413" s="828" t="s">
        <v>2936</v>
      </c>
      <c r="BG413" s="856">
        <v>0.15</v>
      </c>
      <c r="BH413" s="110"/>
      <c r="BI413" s="242"/>
      <c r="BJ413" s="1231"/>
      <c r="BK413" s="849"/>
      <c r="BL413" s="828" t="s">
        <v>2936</v>
      </c>
      <c r="BM413" s="856">
        <v>0.05</v>
      </c>
      <c r="BN413" s="110">
        <v>0</v>
      </c>
      <c r="BO413" s="242">
        <f t="shared" si="276"/>
        <v>0</v>
      </c>
      <c r="BP413" s="242"/>
      <c r="BQ413" s="665"/>
      <c r="BR413" s="338"/>
      <c r="BS413" s="338"/>
      <c r="BT413" s="338"/>
      <c r="BU413" s="338"/>
      <c r="BV413" s="338"/>
      <c r="BW413" s="338"/>
      <c r="BX413" s="338"/>
      <c r="BY413" s="338"/>
      <c r="BZ413" s="338"/>
      <c r="CA413" s="338"/>
      <c r="CB413" s="338"/>
      <c r="CC413" s="338"/>
      <c r="CD413" s="338"/>
      <c r="CE413" s="338"/>
      <c r="CF413" s="338"/>
      <c r="CG413" s="338"/>
      <c r="CH413" s="338"/>
      <c r="CI413" s="338"/>
      <c r="CJ413" s="338"/>
      <c r="CK413" s="247"/>
      <c r="CL413" s="207"/>
      <c r="CM413" s="354"/>
      <c r="CN413" s="207"/>
      <c r="CO413" s="207"/>
      <c r="CP413" s="155"/>
      <c r="CQ413" s="828"/>
      <c r="CR413" s="828"/>
      <c r="CS413" s="242"/>
      <c r="CT413" s="242"/>
      <c r="CU413" s="242"/>
      <c r="CV413" s="779"/>
      <c r="CW413" s="729"/>
      <c r="CX413" s="729"/>
      <c r="CY413" s="729"/>
      <c r="CZ413" s="729"/>
      <c r="DA413" s="729"/>
      <c r="DB413" s="729"/>
      <c r="DC413" s="729"/>
    </row>
    <row r="414" spans="1:124" ht="30" customHeight="1">
      <c r="A414" s="228"/>
      <c r="B414" s="155"/>
      <c r="C414" s="155"/>
      <c r="D414" s="757"/>
      <c r="E414" s="757"/>
      <c r="F414" s="757"/>
      <c r="G414" s="369" t="s">
        <v>503</v>
      </c>
      <c r="H414" s="672" t="s">
        <v>3086</v>
      </c>
      <c r="I414" s="207" t="s">
        <v>3087</v>
      </c>
      <c r="J414" s="207" t="str">
        <f t="shared" si="250"/>
        <v>Franco Vrech</v>
      </c>
      <c r="K414" s="224"/>
      <c r="L414" s="131"/>
      <c r="M414" s="131"/>
      <c r="N414" s="289"/>
      <c r="O414" s="1277"/>
      <c r="P414" s="131"/>
      <c r="Q414" s="131"/>
      <c r="R414" s="131" t="s">
        <v>3088</v>
      </c>
      <c r="S414" s="131"/>
      <c r="T414" s="131"/>
      <c r="U414" s="131"/>
      <c r="V414" s="131"/>
      <c r="W414" s="131"/>
      <c r="X414" s="131"/>
      <c r="Y414" s="131"/>
      <c r="Z414" s="131"/>
      <c r="AA414" s="131"/>
      <c r="AB414" s="255"/>
      <c r="AC414" s="131"/>
      <c r="AD414" s="224"/>
      <c r="AE414" s="207" t="s">
        <v>3089</v>
      </c>
      <c r="AF414" s="515"/>
      <c r="AG414" s="406"/>
      <c r="AH414" s="406"/>
      <c r="AI414" s="406"/>
      <c r="AJ414" s="515"/>
      <c r="AK414" s="815"/>
      <c r="AL414" s="815"/>
      <c r="AM414" s="815"/>
      <c r="AN414" s="851"/>
      <c r="AO414" s="155"/>
      <c r="AP414" s="155"/>
      <c r="AQ414" s="124"/>
      <c r="AR414" s="198"/>
      <c r="AS414" s="124"/>
      <c r="AT414" s="124"/>
      <c r="AU414" s="124"/>
      <c r="AV414" s="235"/>
      <c r="AW414" s="154" t="s">
        <v>151</v>
      </c>
      <c r="AX414" s="154" t="s">
        <v>151</v>
      </c>
      <c r="AY414" s="154" t="s">
        <v>151</v>
      </c>
      <c r="AZ414" s="889">
        <f t="shared" ref="AZ414:AZ418" si="290">BR414+BV414+BZ414+CD414+CH414</f>
        <v>0</v>
      </c>
      <c r="BA414" s="932">
        <f t="shared" ref="BA414:BA418" si="291">BT414+BX414+CB414+CF414+CJ414</f>
        <v>0</v>
      </c>
      <c r="BB414" s="902">
        <f t="shared" si="280"/>
        <v>0</v>
      </c>
      <c r="BC414" s="110"/>
      <c r="BD414" s="242"/>
      <c r="BE414" s="242"/>
      <c r="BF414" s="131" t="s">
        <v>117</v>
      </c>
      <c r="BG414" s="145">
        <v>0</v>
      </c>
      <c r="BH414" s="110"/>
      <c r="BI414" s="242"/>
      <c r="BJ414" s="242"/>
      <c r="BK414" s="1267" t="s">
        <v>118</v>
      </c>
      <c r="BL414" s="131" t="s">
        <v>152</v>
      </c>
      <c r="BM414" s="145">
        <v>0.05</v>
      </c>
      <c r="BN414" s="110">
        <v>0</v>
      </c>
      <c r="BO414" s="242">
        <f t="shared" si="276"/>
        <v>0</v>
      </c>
      <c r="BP414" s="242"/>
      <c r="BQ414" s="665"/>
      <c r="BR414" s="338"/>
      <c r="BS414" s="338"/>
      <c r="BT414" s="338"/>
      <c r="BU414" s="338"/>
      <c r="BV414" s="338"/>
      <c r="BW414" s="338"/>
      <c r="BX414" s="338"/>
      <c r="BY414" s="338"/>
      <c r="BZ414" s="338"/>
      <c r="CA414" s="338"/>
      <c r="CB414" s="338"/>
      <c r="CC414" s="338"/>
      <c r="CD414" s="338"/>
      <c r="CE414" s="338"/>
      <c r="CF414" s="338"/>
      <c r="CG414" s="338"/>
      <c r="CH414" s="338"/>
      <c r="CI414" s="338"/>
      <c r="CJ414" s="338"/>
      <c r="CK414" s="245" t="s">
        <v>2612</v>
      </c>
      <c r="CL414" s="181"/>
      <c r="CM414" s="369"/>
      <c r="CN414" s="181"/>
      <c r="CO414" s="181"/>
      <c r="CP414" s="121"/>
      <c r="CQ414" s="131"/>
      <c r="CR414" s="131"/>
      <c r="CS414" s="242"/>
      <c r="CT414" s="242"/>
      <c r="CU414" s="242"/>
      <c r="CV414" s="779"/>
      <c r="CW414" s="779"/>
      <c r="CX414" s="779"/>
      <c r="CY414" s="779"/>
      <c r="CZ414" s="779"/>
      <c r="DA414" s="779"/>
      <c r="DB414" s="779"/>
      <c r="DC414" s="779"/>
    </row>
    <row r="415" spans="1:124" ht="30" customHeight="1">
      <c r="A415" s="228"/>
      <c r="B415" s="155"/>
      <c r="C415" s="224"/>
      <c r="D415" s="757"/>
      <c r="E415" s="757"/>
      <c r="F415" s="757"/>
      <c r="G415" s="864" t="s">
        <v>3090</v>
      </c>
      <c r="H415" s="865" t="s">
        <v>3091</v>
      </c>
      <c r="I415" s="207" t="s">
        <v>3092</v>
      </c>
      <c r="J415" s="207" t="str">
        <f t="shared" si="250"/>
        <v>Gian Marco Fiorini</v>
      </c>
      <c r="K415" s="848"/>
      <c r="L415" s="849"/>
      <c r="M415" s="828"/>
      <c r="N415" s="828"/>
      <c r="O415" s="1361"/>
      <c r="P415" s="850" t="s">
        <v>2913</v>
      </c>
      <c r="Q415" s="850" t="s">
        <v>2913</v>
      </c>
      <c r="R415" s="828" t="s">
        <v>2914</v>
      </c>
      <c r="S415" s="828" t="s">
        <v>2915</v>
      </c>
      <c r="T415" s="828"/>
      <c r="U415" s="828"/>
      <c r="V415" s="828"/>
      <c r="W415" s="850"/>
      <c r="X415" s="558" t="s">
        <v>2916</v>
      </c>
      <c r="Y415" s="850"/>
      <c r="Z415" s="850"/>
      <c r="AA415" s="850"/>
      <c r="AB415" s="850" t="s">
        <v>2917</v>
      </c>
      <c r="AC415" s="558" t="s">
        <v>2918</v>
      </c>
      <c r="AD415" s="1362"/>
      <c r="AE415" s="869"/>
      <c r="AF415" s="851"/>
      <c r="AG415" s="852" t="s">
        <v>115</v>
      </c>
      <c r="AH415" s="852" t="s">
        <v>115</v>
      </c>
      <c r="AI415" s="852" t="s">
        <v>115</v>
      </c>
      <c r="AJ415" s="515"/>
      <c r="AK415" s="155"/>
      <c r="AL415" s="155"/>
      <c r="AM415" s="155"/>
      <c r="AN415" s="198"/>
      <c r="AO415" s="815"/>
      <c r="AP415" s="815" t="s">
        <v>2404</v>
      </c>
      <c r="AQ415" s="815" t="s">
        <v>2404</v>
      </c>
      <c r="AR415" s="853"/>
      <c r="AS415" s="124"/>
      <c r="AT415" s="124"/>
      <c r="AU415" s="124"/>
      <c r="AV415" s="854"/>
      <c r="AW415" s="609"/>
      <c r="AX415" s="609"/>
      <c r="AY415" s="609"/>
      <c r="AZ415" s="889">
        <f t="shared" si="290"/>
        <v>0</v>
      </c>
      <c r="BA415" s="932">
        <f t="shared" si="291"/>
        <v>0</v>
      </c>
      <c r="BB415" s="902">
        <f t="shared" si="280"/>
        <v>0</v>
      </c>
      <c r="BC415" s="110"/>
      <c r="BD415" s="242"/>
      <c r="BE415" s="1231"/>
      <c r="BF415" s="828" t="s">
        <v>2919</v>
      </c>
      <c r="BG415" s="856">
        <v>0.15</v>
      </c>
      <c r="BH415" s="110"/>
      <c r="BI415" s="242"/>
      <c r="BJ415" s="1231"/>
      <c r="BK415" s="849"/>
      <c r="BL415" s="828" t="s">
        <v>2920</v>
      </c>
      <c r="BM415" s="856">
        <v>0.05</v>
      </c>
      <c r="BN415" s="110">
        <v>0</v>
      </c>
      <c r="BO415" s="242">
        <f t="shared" si="276"/>
        <v>0</v>
      </c>
      <c r="BP415" s="242"/>
      <c r="BQ415" s="665"/>
      <c r="BR415" s="338"/>
      <c r="BS415" s="338"/>
      <c r="BT415" s="338"/>
      <c r="BU415" s="338"/>
      <c r="BV415" s="338"/>
      <c r="BW415" s="338"/>
      <c r="BX415" s="338"/>
      <c r="BY415" s="338"/>
      <c r="BZ415" s="338"/>
      <c r="CA415" s="338"/>
      <c r="CB415" s="338"/>
      <c r="CC415" s="338"/>
      <c r="CD415" s="338"/>
      <c r="CE415" s="338"/>
      <c r="CF415" s="338"/>
      <c r="CG415" s="338"/>
      <c r="CH415" s="338"/>
      <c r="CI415" s="338"/>
      <c r="CJ415" s="338"/>
      <c r="CK415" s="1439"/>
      <c r="CL415" s="875"/>
      <c r="CM415" s="354"/>
      <c r="CN415" s="207"/>
      <c r="CO415" s="207"/>
      <c r="CP415" s="155"/>
      <c r="CQ415" s="828"/>
      <c r="CR415" s="828"/>
      <c r="CS415" s="242"/>
      <c r="CT415" s="242"/>
      <c r="CU415" s="242"/>
      <c r="CV415" s="779"/>
      <c r="CW415" s="729"/>
      <c r="CX415" s="729"/>
      <c r="CY415" s="729"/>
      <c r="CZ415" s="729"/>
      <c r="DA415" s="729"/>
      <c r="DB415" s="729"/>
      <c r="DC415" s="729"/>
    </row>
    <row r="416" spans="1:124" ht="30" customHeight="1">
      <c r="A416" s="228"/>
      <c r="B416" s="155"/>
      <c r="C416" s="155"/>
      <c r="D416" s="757"/>
      <c r="E416" s="757"/>
      <c r="F416" s="757"/>
      <c r="G416" s="369" t="s">
        <v>570</v>
      </c>
      <c r="H416" s="672" t="s">
        <v>3093</v>
      </c>
      <c r="I416" s="207" t="s">
        <v>3094</v>
      </c>
      <c r="J416" s="207" t="str">
        <f t="shared" si="250"/>
        <v>Giovanni Passarello</v>
      </c>
      <c r="K416" s="224" t="s">
        <v>3095</v>
      </c>
      <c r="L416" s="131"/>
      <c r="M416" s="131"/>
      <c r="N416" s="131"/>
      <c r="O416" s="1259"/>
      <c r="P416" s="255" t="s">
        <v>3096</v>
      </c>
      <c r="Q416" s="131" t="s">
        <v>3097</v>
      </c>
      <c r="R416" s="131" t="s">
        <v>3098</v>
      </c>
      <c r="S416" s="131" t="s">
        <v>3099</v>
      </c>
      <c r="T416" s="131"/>
      <c r="U416" s="131"/>
      <c r="V416" s="131"/>
      <c r="W416" s="258"/>
      <c r="X416" s="131"/>
      <c r="Y416" s="258"/>
      <c r="Z416" s="258"/>
      <c r="AA416" s="258"/>
      <c r="AB416" s="255"/>
      <c r="AC416" s="131"/>
      <c r="AD416" s="224"/>
      <c r="AE416" s="207" t="s">
        <v>3100</v>
      </c>
      <c r="AF416" s="515"/>
      <c r="AG416" s="516" t="s">
        <v>116</v>
      </c>
      <c r="AH416" s="516" t="s">
        <v>116</v>
      </c>
      <c r="AI416" s="516" t="s">
        <v>115</v>
      </c>
      <c r="AJ416" s="515"/>
      <c r="AK416" s="815"/>
      <c r="AL416" s="815"/>
      <c r="AM416" s="815"/>
      <c r="AN416" s="851"/>
      <c r="AO416" s="155"/>
      <c r="AP416" s="155"/>
      <c r="AQ416" s="155" t="s">
        <v>2404</v>
      </c>
      <c r="AR416" s="515"/>
      <c r="AS416" s="124"/>
      <c r="AT416" s="124"/>
      <c r="AU416" s="124"/>
      <c r="AV416" s="568"/>
      <c r="AW416" s="121"/>
      <c r="AX416" s="121"/>
      <c r="AY416" s="609"/>
      <c r="AZ416" s="889">
        <f t="shared" si="290"/>
        <v>0</v>
      </c>
      <c r="BA416" s="932">
        <f t="shared" si="291"/>
        <v>0</v>
      </c>
      <c r="BB416" s="902">
        <f t="shared" si="280"/>
        <v>0</v>
      </c>
      <c r="BC416" s="110"/>
      <c r="BD416" s="242"/>
      <c r="BE416" s="1231"/>
      <c r="BF416" s="529" t="s">
        <v>3101</v>
      </c>
      <c r="BG416" s="145">
        <v>0</v>
      </c>
      <c r="BH416" s="110"/>
      <c r="BI416" s="242"/>
      <c r="BJ416" s="1231"/>
      <c r="BK416" s="529"/>
      <c r="BL416" s="529" t="s">
        <v>3102</v>
      </c>
      <c r="BM416" s="145">
        <v>0.05</v>
      </c>
      <c r="BN416" s="110">
        <v>0</v>
      </c>
      <c r="BO416" s="242">
        <f t="shared" si="276"/>
        <v>0</v>
      </c>
      <c r="BP416" s="242"/>
      <c r="BQ416" s="665"/>
      <c r="BR416" s="338"/>
      <c r="BS416" s="338"/>
      <c r="BT416" s="338"/>
      <c r="BU416" s="338"/>
      <c r="BV416" s="338"/>
      <c r="BW416" s="338"/>
      <c r="BX416" s="338"/>
      <c r="BY416" s="338"/>
      <c r="BZ416" s="338"/>
      <c r="CA416" s="338"/>
      <c r="CB416" s="338"/>
      <c r="CC416" s="338"/>
      <c r="CD416" s="338"/>
      <c r="CE416" s="338"/>
      <c r="CF416" s="338"/>
      <c r="CG416" s="338"/>
      <c r="CH416" s="338"/>
      <c r="CI416" s="338"/>
      <c r="CJ416" s="338"/>
      <c r="CK416" s="245"/>
      <c r="CL416" s="181"/>
      <c r="CM416" s="369"/>
      <c r="CN416" s="207"/>
      <c r="CO416" s="207"/>
      <c r="CP416" s="155">
        <v>1</v>
      </c>
      <c r="CQ416" s="131"/>
      <c r="CR416" s="131"/>
      <c r="CS416" s="242"/>
      <c r="CT416" s="242"/>
      <c r="CU416" s="242"/>
      <c r="CV416" s="729"/>
      <c r="CW416" s="729"/>
      <c r="CX416" s="729"/>
      <c r="CY416" s="729"/>
      <c r="CZ416" s="729"/>
      <c r="DA416" s="729"/>
      <c r="DB416" s="729"/>
      <c r="DC416" s="729"/>
    </row>
    <row r="417" spans="1:124" ht="30" customHeight="1">
      <c r="A417" s="228"/>
      <c r="B417" s="155"/>
      <c r="C417" s="155"/>
      <c r="D417" s="757"/>
      <c r="E417" s="757"/>
      <c r="F417" s="757"/>
      <c r="G417" s="369" t="s">
        <v>3103</v>
      </c>
      <c r="H417" s="672"/>
      <c r="I417" s="207"/>
      <c r="J417" s="207" t="str">
        <f t="shared" si="250"/>
        <v xml:space="preserve">i-Chen Cugina </v>
      </c>
      <c r="K417" s="224"/>
      <c r="L417" s="131"/>
      <c r="M417" s="131"/>
      <c r="N417" s="131"/>
      <c r="O417" s="1259"/>
      <c r="P417" s="124"/>
      <c r="Q417" s="124"/>
      <c r="R417" s="131"/>
      <c r="S417" s="124"/>
      <c r="T417" s="124"/>
      <c r="U417" s="124"/>
      <c r="V417" s="124"/>
      <c r="W417" s="124"/>
      <c r="X417" s="131"/>
      <c r="Y417" s="124"/>
      <c r="Z417" s="124"/>
      <c r="AA417" s="124"/>
      <c r="AB417" s="124"/>
      <c r="AC417" s="131"/>
      <c r="AD417" s="1427"/>
      <c r="AE417" s="207" t="s">
        <v>3104</v>
      </c>
      <c r="AF417" s="515"/>
      <c r="AG417" s="124"/>
      <c r="AH417" s="124"/>
      <c r="AI417" s="124"/>
      <c r="AJ417" s="515"/>
      <c r="AK417" s="155"/>
      <c r="AL417" s="155"/>
      <c r="AM417" s="155"/>
      <c r="AN417" s="515"/>
      <c r="AO417" s="331"/>
      <c r="AP417" s="24" t="s">
        <v>1266</v>
      </c>
      <c r="AQ417" s="24" t="s">
        <v>1266</v>
      </c>
      <c r="AR417" s="515"/>
      <c r="AS417" s="124"/>
      <c r="AT417" s="124"/>
      <c r="AU417" s="124"/>
      <c r="AV417" s="568"/>
      <c r="AW417" s="177" t="s">
        <v>3105</v>
      </c>
      <c r="AX417" s="880"/>
      <c r="AY417" s="880"/>
      <c r="AZ417" s="889">
        <f t="shared" si="290"/>
        <v>0</v>
      </c>
      <c r="BA417" s="932">
        <f t="shared" si="291"/>
        <v>0</v>
      </c>
      <c r="BB417" s="902">
        <f t="shared" si="280"/>
        <v>0</v>
      </c>
      <c r="BC417" s="110"/>
      <c r="BD417" s="242"/>
      <c r="BE417" s="1231"/>
      <c r="BF417" s="131"/>
      <c r="BG417" s="145"/>
      <c r="BH417" s="110"/>
      <c r="BI417" s="242"/>
      <c r="BJ417" s="1231"/>
      <c r="BK417" s="131"/>
      <c r="BL417" s="131"/>
      <c r="BM417" s="145"/>
      <c r="BN417" s="110">
        <v>0</v>
      </c>
      <c r="BO417" s="242">
        <f t="shared" si="276"/>
        <v>0</v>
      </c>
      <c r="BP417" s="242"/>
      <c r="BQ417" s="665"/>
      <c r="BR417" s="338"/>
      <c r="BS417" s="338"/>
      <c r="BT417" s="338"/>
      <c r="BU417" s="338"/>
      <c r="BV417" s="338"/>
      <c r="BW417" s="338"/>
      <c r="BX417" s="338"/>
      <c r="BY417" s="338"/>
      <c r="BZ417" s="338"/>
      <c r="CA417" s="338"/>
      <c r="CB417" s="338"/>
      <c r="CC417" s="338"/>
      <c r="CD417" s="338"/>
      <c r="CE417" s="338"/>
      <c r="CF417" s="338"/>
      <c r="CG417" s="338"/>
      <c r="CH417" s="338"/>
      <c r="CI417" s="338"/>
      <c r="CJ417" s="338"/>
      <c r="CK417" s="935" t="s">
        <v>2612</v>
      </c>
      <c r="CL417" s="880"/>
      <c r="CM417" s="936"/>
      <c r="CN417" s="869"/>
      <c r="CO417" s="869"/>
      <c r="CP417" s="815"/>
      <c r="CQ417" s="131"/>
      <c r="CR417" s="131"/>
      <c r="CS417" s="242"/>
      <c r="CT417" s="242"/>
      <c r="CU417" s="242"/>
      <c r="CV417" s="937"/>
      <c r="CW417" s="937"/>
      <c r="CX417" s="937"/>
      <c r="CY417" s="729"/>
      <c r="CZ417" s="729"/>
      <c r="DA417" s="729"/>
      <c r="DB417" s="729"/>
      <c r="DC417" s="729"/>
    </row>
    <row r="418" spans="1:124" ht="30" customHeight="1">
      <c r="A418" s="228"/>
      <c r="B418" s="155"/>
      <c r="C418" s="155"/>
      <c r="D418" s="757"/>
      <c r="E418" s="757"/>
      <c r="F418" s="757"/>
      <c r="G418" s="864" t="s">
        <v>3106</v>
      </c>
      <c r="H418" s="865" t="s">
        <v>3107</v>
      </c>
      <c r="I418" s="207" t="s">
        <v>3108</v>
      </c>
      <c r="J418" s="207" t="str">
        <f t="shared" si="250"/>
        <v>John Anthony Faccin</v>
      </c>
      <c r="K418" s="848">
        <v>3483109618</v>
      </c>
      <c r="L418" s="849"/>
      <c r="M418" s="828"/>
      <c r="N418" s="828"/>
      <c r="O418" s="1361"/>
      <c r="P418" s="850" t="s">
        <v>2944</v>
      </c>
      <c r="Q418" s="850" t="s">
        <v>2944</v>
      </c>
      <c r="R418" s="828" t="s">
        <v>2945</v>
      </c>
      <c r="S418" s="828" t="s">
        <v>2946</v>
      </c>
      <c r="T418" s="828"/>
      <c r="U418" s="828"/>
      <c r="V418" s="828"/>
      <c r="W418" s="850"/>
      <c r="X418" s="131"/>
      <c r="Y418" s="850"/>
      <c r="Z418" s="850"/>
      <c r="AA418" s="850"/>
      <c r="AB418" s="850" t="s">
        <v>2947</v>
      </c>
      <c r="AC418" s="131"/>
      <c r="AD418" s="1404"/>
      <c r="AE418" s="869" t="s">
        <v>3085</v>
      </c>
      <c r="AF418" s="851"/>
      <c r="AG418" s="852" t="s">
        <v>115</v>
      </c>
      <c r="AH418" s="852" t="s">
        <v>115</v>
      </c>
      <c r="AI418" s="852" t="s">
        <v>115</v>
      </c>
      <c r="AJ418" s="515"/>
      <c r="AK418" s="124"/>
      <c r="AL418" s="258"/>
      <c r="AM418" s="258"/>
      <c r="AN418" s="515"/>
      <c r="AO418" s="815"/>
      <c r="AP418" s="155" t="s">
        <v>154</v>
      </c>
      <c r="AQ418" s="815" t="s">
        <v>2992</v>
      </c>
      <c r="AR418" s="515"/>
      <c r="AS418" s="124"/>
      <c r="AT418" s="124"/>
      <c r="AU418" s="124"/>
      <c r="AV418" s="568"/>
      <c r="AW418" s="609"/>
      <c r="AX418" s="121"/>
      <c r="AY418" s="121"/>
      <c r="AZ418" s="889">
        <f t="shared" si="290"/>
        <v>0</v>
      </c>
      <c r="BA418" s="932">
        <f t="shared" si="291"/>
        <v>0</v>
      </c>
      <c r="BB418" s="902">
        <f t="shared" si="280"/>
        <v>0</v>
      </c>
      <c r="BC418" s="110"/>
      <c r="BD418" s="242"/>
      <c r="BE418" s="1231"/>
      <c r="BF418" s="828" t="s">
        <v>2936</v>
      </c>
      <c r="BG418" s="856">
        <v>0.15</v>
      </c>
      <c r="BH418" s="110"/>
      <c r="BI418" s="242"/>
      <c r="BJ418" s="1231"/>
      <c r="BK418" s="849"/>
      <c r="BL418" s="828" t="s">
        <v>2936</v>
      </c>
      <c r="BM418" s="856">
        <v>0.05</v>
      </c>
      <c r="BN418" s="110">
        <v>0</v>
      </c>
      <c r="BO418" s="242">
        <f t="shared" si="276"/>
        <v>0</v>
      </c>
      <c r="BP418" s="242"/>
      <c r="BQ418" s="665"/>
      <c r="BR418" s="338"/>
      <c r="BS418" s="338"/>
      <c r="BT418" s="338"/>
      <c r="BU418" s="338"/>
      <c r="BV418" s="338"/>
      <c r="BW418" s="338"/>
      <c r="BX418" s="338"/>
      <c r="BY418" s="338"/>
      <c r="BZ418" s="338"/>
      <c r="CA418" s="338"/>
      <c r="CB418" s="338"/>
      <c r="CC418" s="338"/>
      <c r="CD418" s="338"/>
      <c r="CE418" s="338"/>
      <c r="CF418" s="338"/>
      <c r="CG418" s="338"/>
      <c r="CH418" s="338"/>
      <c r="CI418" s="338"/>
      <c r="CJ418" s="338"/>
      <c r="CK418" s="247"/>
      <c r="CL418" s="207"/>
      <c r="CM418" s="354"/>
      <c r="CN418" s="207"/>
      <c r="CO418" s="207"/>
      <c r="CP418" s="155">
        <v>1</v>
      </c>
      <c r="CQ418" s="828"/>
      <c r="CR418" s="828"/>
      <c r="CS418" s="242"/>
      <c r="CT418" s="242"/>
      <c r="CU418" s="242"/>
      <c r="CV418" s="779"/>
      <c r="CW418" s="729"/>
      <c r="CX418" s="729"/>
      <c r="CY418" s="729"/>
      <c r="CZ418" s="729"/>
      <c r="DA418" s="729"/>
      <c r="DB418" s="729"/>
      <c r="DC418" s="729"/>
    </row>
    <row r="419" spans="1:124" ht="90">
      <c r="A419" s="228"/>
      <c r="B419" s="155"/>
      <c r="C419" s="224"/>
      <c r="D419" s="757"/>
      <c r="E419" s="757"/>
      <c r="F419" s="757"/>
      <c r="G419" s="939" t="s">
        <v>3109</v>
      </c>
      <c r="H419" s="940" t="s">
        <v>3110</v>
      </c>
      <c r="I419" s="207"/>
      <c r="J419" s="207" t="str">
        <f t="shared" si="250"/>
        <v>Laura  SaresinI</v>
      </c>
      <c r="K419" s="671"/>
      <c r="L419" s="876" t="s">
        <v>3111</v>
      </c>
      <c r="M419" s="131"/>
      <c r="N419" s="289"/>
      <c r="O419" s="1277"/>
      <c r="P419" s="623"/>
      <c r="Q419" s="623"/>
      <c r="R419" s="131" t="s">
        <v>3112</v>
      </c>
      <c r="S419" s="625"/>
      <c r="T419" s="255"/>
      <c r="U419" s="255"/>
      <c r="V419" s="131"/>
      <c r="W419" s="131"/>
      <c r="X419" s="131"/>
      <c r="Y419" s="131"/>
      <c r="Z419" s="131"/>
      <c r="AA419" s="514"/>
      <c r="AB419" s="255"/>
      <c r="AC419" s="131"/>
      <c r="AD419" s="1404" t="s">
        <v>3113</v>
      </c>
      <c r="AE419" s="514"/>
      <c r="AF419" s="627"/>
      <c r="AG419" s="1393"/>
      <c r="AH419" s="628"/>
      <c r="AI419" s="629"/>
      <c r="AJ419" s="515"/>
      <c r="AK419" s="815"/>
      <c r="AL419" s="815"/>
      <c r="AM419" s="815"/>
      <c r="AN419" s="851"/>
      <c r="AO419" s="207"/>
      <c r="AP419" s="207"/>
      <c r="AQ419" s="207"/>
      <c r="AR419" s="515"/>
      <c r="AS419" s="124"/>
      <c r="AT419" s="124"/>
      <c r="AU419" s="124"/>
      <c r="AV419" s="568"/>
      <c r="AW419" s="304" t="s">
        <v>245</v>
      </c>
      <c r="AX419" s="304" t="s">
        <v>245</v>
      </c>
      <c r="AY419" s="304" t="s">
        <v>245</v>
      </c>
      <c r="AZ419" s="889">
        <v>2997</v>
      </c>
      <c r="BA419" s="808">
        <f>BT419</f>
        <v>163.93</v>
      </c>
      <c r="BB419" s="902">
        <f t="shared" si="280"/>
        <v>2833.07</v>
      </c>
      <c r="BC419" s="110">
        <v>0</v>
      </c>
      <c r="BD419" s="242">
        <f>AZ419-BC419</f>
        <v>2997</v>
      </c>
      <c r="BE419" s="242"/>
      <c r="BF419" s="899"/>
      <c r="BG419" s="900"/>
      <c r="BH419" s="110"/>
      <c r="BI419" s="242"/>
      <c r="BJ419" s="242"/>
      <c r="BK419" s="207"/>
      <c r="BL419" s="131"/>
      <c r="BM419" s="207"/>
      <c r="BN419" s="110">
        <v>0</v>
      </c>
      <c r="BO419" s="242">
        <f t="shared" si="276"/>
        <v>0</v>
      </c>
      <c r="BP419" s="242"/>
      <c r="BQ419" s="665"/>
      <c r="BR419" s="905">
        <v>163.93</v>
      </c>
      <c r="BS419" s="906">
        <v>43361</v>
      </c>
      <c r="BT419" s="905">
        <v>163.93</v>
      </c>
      <c r="BU419" s="1433"/>
      <c r="BV419" s="905">
        <v>1409.82</v>
      </c>
      <c r="BW419" s="906">
        <v>43381</v>
      </c>
      <c r="BX419" s="911"/>
      <c r="BY419" s="1435"/>
      <c r="BZ419" s="905">
        <v>1923.22</v>
      </c>
      <c r="CA419" s="226">
        <v>43408</v>
      </c>
      <c r="CB419" s="226"/>
      <c r="CC419" s="226"/>
      <c r="CD419" s="226"/>
      <c r="CE419" s="338"/>
      <c r="CF419" s="338"/>
      <c r="CG419" s="338"/>
      <c r="CH419" s="338"/>
      <c r="CI419" s="338"/>
      <c r="CJ419" s="338"/>
      <c r="CK419" s="1436"/>
      <c r="CL419" s="331"/>
      <c r="CM419" s="631"/>
      <c r="CN419" s="331"/>
      <c r="CO419" s="331"/>
      <c r="CP419" s="331"/>
      <c r="CQ419" s="331"/>
      <c r="CR419" s="561"/>
      <c r="CS419" s="242"/>
      <c r="CT419" s="242"/>
      <c r="CU419" s="242"/>
      <c r="CV419" s="265"/>
      <c r="CW419" s="265"/>
      <c r="CX419" s="265"/>
      <c r="CY419" s="265"/>
      <c r="CZ419" s="265"/>
      <c r="DA419" s="265"/>
      <c r="DB419" s="265"/>
      <c r="DC419" s="265"/>
      <c r="DD419" s="265"/>
      <c r="DE419" s="265"/>
      <c r="DF419" s="265"/>
      <c r="DG419" s="265"/>
      <c r="DH419" s="265"/>
      <c r="DI419" s="265"/>
      <c r="DJ419" s="265"/>
      <c r="DK419" s="265"/>
      <c r="DL419" s="265"/>
      <c r="DM419" s="265"/>
      <c r="DN419" s="265"/>
      <c r="DO419" s="265"/>
      <c r="DP419" s="265"/>
      <c r="DQ419" s="265"/>
      <c r="DR419" s="265"/>
      <c r="DS419" s="265"/>
      <c r="DT419" s="265"/>
    </row>
    <row r="420" spans="1:124" ht="30" customHeight="1">
      <c r="A420" s="228"/>
      <c r="B420" s="155"/>
      <c r="C420" s="224"/>
      <c r="D420" s="757"/>
      <c r="E420" s="757"/>
      <c r="F420" s="757"/>
      <c r="G420" s="846" t="s">
        <v>631</v>
      </c>
      <c r="H420" s="847" t="s">
        <v>3114</v>
      </c>
      <c r="I420" s="207" t="s">
        <v>3115</v>
      </c>
      <c r="J420" s="207" t="str">
        <f t="shared" si="250"/>
        <v>Lorenzo Braida</v>
      </c>
      <c r="K420" s="848">
        <v>3338305039</v>
      </c>
      <c r="L420" s="941"/>
      <c r="M420" s="942"/>
      <c r="N420" s="828"/>
      <c r="O420" s="1361"/>
      <c r="P420" s="850" t="s">
        <v>3116</v>
      </c>
      <c r="Q420" s="850" t="s">
        <v>3116</v>
      </c>
      <c r="R420" s="942" t="s">
        <v>3117</v>
      </c>
      <c r="S420" s="828" t="s">
        <v>3118</v>
      </c>
      <c r="T420" s="828"/>
      <c r="U420" s="828"/>
      <c r="V420" s="828"/>
      <c r="W420" s="850"/>
      <c r="X420" s="131"/>
      <c r="Y420" s="850"/>
      <c r="Z420" s="850"/>
      <c r="AA420" s="850"/>
      <c r="AB420" s="850" t="s">
        <v>2917</v>
      </c>
      <c r="AC420" s="131" t="s">
        <v>3119</v>
      </c>
      <c r="AD420" s="1362"/>
      <c r="AE420" s="869" t="s">
        <v>3120</v>
      </c>
      <c r="AF420" s="851"/>
      <c r="AG420" s="852"/>
      <c r="AH420" s="852" t="s">
        <v>115</v>
      </c>
      <c r="AI420" s="852" t="s">
        <v>116</v>
      </c>
      <c r="AJ420" s="515"/>
      <c r="AK420" s="258"/>
      <c r="AL420" s="258"/>
      <c r="AM420" s="258"/>
      <c r="AN420" s="627"/>
      <c r="AO420" s="815"/>
      <c r="AP420" s="815" t="s">
        <v>2404</v>
      </c>
      <c r="AQ420" s="815"/>
      <c r="AR420" s="515"/>
      <c r="AS420" s="124"/>
      <c r="AT420" s="124"/>
      <c r="AU420" s="124"/>
      <c r="AV420" s="568"/>
      <c r="AW420" s="609"/>
      <c r="AX420" s="609"/>
      <c r="AY420" s="609"/>
      <c r="AZ420" s="889"/>
      <c r="BA420" s="902"/>
      <c r="BB420" s="902"/>
      <c r="BC420" s="110"/>
      <c r="BD420" s="242"/>
      <c r="BE420" s="1231"/>
      <c r="BF420" s="828" t="s">
        <v>3121</v>
      </c>
      <c r="BG420" s="856">
        <v>0.15</v>
      </c>
      <c r="BH420" s="110"/>
      <c r="BI420" s="242"/>
      <c r="BJ420" s="1231"/>
      <c r="BK420" s="849"/>
      <c r="BL420" s="828" t="s">
        <v>3122</v>
      </c>
      <c r="BM420" s="856">
        <v>0.05</v>
      </c>
      <c r="BN420" s="110">
        <v>0</v>
      </c>
      <c r="BO420" s="242">
        <f t="shared" si="276"/>
        <v>0</v>
      </c>
      <c r="BP420" s="242"/>
      <c r="BQ420" s="1440"/>
      <c r="BR420" s="338"/>
      <c r="BS420" s="338"/>
      <c r="BT420" s="338"/>
      <c r="BU420" s="338"/>
      <c r="BV420" s="338"/>
      <c r="BW420" s="338"/>
      <c r="BX420" s="338"/>
      <c r="BY420" s="338"/>
      <c r="BZ420" s="338"/>
      <c r="CA420" s="338"/>
      <c r="CB420" s="338"/>
      <c r="CC420" s="338"/>
      <c r="CD420" s="338"/>
      <c r="CE420" s="338"/>
      <c r="CF420" s="338"/>
      <c r="CG420" s="338"/>
      <c r="CH420" s="338"/>
      <c r="CI420" s="338"/>
      <c r="CJ420" s="338"/>
      <c r="CK420" s="247"/>
      <c r="CL420" s="207"/>
      <c r="CM420" s="354"/>
      <c r="CN420" s="207"/>
      <c r="CO420" s="207"/>
      <c r="CP420" s="155"/>
      <c r="CQ420" s="942"/>
      <c r="CR420" s="942"/>
      <c r="CS420" s="242"/>
      <c r="CT420" s="242"/>
      <c r="CU420" s="242"/>
      <c r="CV420" s="779"/>
      <c r="CW420" s="729"/>
      <c r="CX420" s="729"/>
      <c r="CY420" s="729"/>
      <c r="CZ420" s="729"/>
      <c r="DA420" s="729"/>
      <c r="DB420" s="729"/>
      <c r="DC420" s="729"/>
      <c r="DD420" s="265"/>
      <c r="DE420" s="265"/>
      <c r="DF420" s="265"/>
      <c r="DG420" s="265"/>
      <c r="DH420" s="265"/>
      <c r="DI420" s="265"/>
      <c r="DJ420" s="265"/>
      <c r="DK420" s="265"/>
      <c r="DL420" s="265"/>
      <c r="DM420" s="265"/>
      <c r="DN420" s="265"/>
      <c r="DO420" s="265"/>
      <c r="DP420" s="265"/>
      <c r="DQ420" s="265"/>
      <c r="DR420" s="265"/>
      <c r="DS420" s="265"/>
      <c r="DT420" s="265"/>
    </row>
    <row r="421" spans="1:124" ht="30" customHeight="1">
      <c r="A421" s="228"/>
      <c r="B421" s="155"/>
      <c r="C421" s="155"/>
      <c r="D421" s="757"/>
      <c r="E421" s="757"/>
      <c r="F421" s="757"/>
      <c r="G421" s="840" t="s">
        <v>204</v>
      </c>
      <c r="H421" s="621" t="s">
        <v>3123</v>
      </c>
      <c r="I421" s="207" t="s">
        <v>3124</v>
      </c>
      <c r="J421" s="207" t="str">
        <f t="shared" si="250"/>
        <v>Luca Bocchini</v>
      </c>
      <c r="K421" s="224">
        <v>3925763444</v>
      </c>
      <c r="L421" s="131"/>
      <c r="M421" s="289"/>
      <c r="N421" s="289"/>
      <c r="O421" s="1277"/>
      <c r="P421" s="289" t="s">
        <v>3125</v>
      </c>
      <c r="Q421" s="289"/>
      <c r="R421" s="289" t="s">
        <v>3126</v>
      </c>
      <c r="S421" s="289" t="s">
        <v>3127</v>
      </c>
      <c r="T421" s="289"/>
      <c r="U421" s="289"/>
      <c r="V421" s="289"/>
      <c r="W421" s="944"/>
      <c r="X421" s="131" t="s">
        <v>3124</v>
      </c>
      <c r="Y421" s="944"/>
      <c r="Z421" s="944"/>
      <c r="AA421" s="944"/>
      <c r="AB421" s="255"/>
      <c r="AC421" s="131"/>
      <c r="AD421" s="1363"/>
      <c r="AE421" s="207"/>
      <c r="AF421" s="515"/>
      <c r="AG421" s="516" t="s">
        <v>115</v>
      </c>
      <c r="AH421" s="516" t="s">
        <v>115</v>
      </c>
      <c r="AI421" s="516" t="s">
        <v>115</v>
      </c>
      <c r="AJ421" s="515"/>
      <c r="AK421" s="815" t="s">
        <v>154</v>
      </c>
      <c r="AL421" s="815" t="s">
        <v>154</v>
      </c>
      <c r="AM421" s="815" t="s">
        <v>154</v>
      </c>
      <c r="AN421" s="851"/>
      <c r="AO421" s="155"/>
      <c r="AP421" s="155" t="s">
        <v>2404</v>
      </c>
      <c r="AQ421" s="155" t="s">
        <v>2404</v>
      </c>
      <c r="AR421" s="515"/>
      <c r="AS421" s="124"/>
      <c r="AT421" s="124"/>
      <c r="AU421" s="124"/>
      <c r="AV421" s="568"/>
      <c r="AW421" s="121"/>
      <c r="AX421" s="121"/>
      <c r="AY421" s="121"/>
      <c r="AZ421" s="889"/>
      <c r="BA421" s="902"/>
      <c r="BB421" s="902"/>
      <c r="BC421" s="110"/>
      <c r="BD421" s="242"/>
      <c r="BE421" s="1231"/>
      <c r="BF421" s="529" t="s">
        <v>3128</v>
      </c>
      <c r="BG421" s="145">
        <v>0</v>
      </c>
      <c r="BH421" s="110"/>
      <c r="BI421" s="242"/>
      <c r="BJ421" s="1231"/>
      <c r="BK421" s="529"/>
      <c r="BL421" s="529" t="s">
        <v>3067</v>
      </c>
      <c r="BM421" s="145">
        <v>0.05</v>
      </c>
      <c r="BN421" s="110">
        <v>0</v>
      </c>
      <c r="BO421" s="242">
        <f t="shared" si="276"/>
        <v>0</v>
      </c>
      <c r="BP421" s="242"/>
      <c r="BQ421" s="131"/>
      <c r="BR421" s="338"/>
      <c r="BS421" s="338"/>
      <c r="BT421" s="338"/>
      <c r="BU421" s="338"/>
      <c r="BV421" s="338"/>
      <c r="BW421" s="338"/>
      <c r="BX421" s="338"/>
      <c r="BY421" s="338"/>
      <c r="BZ421" s="338"/>
      <c r="CA421" s="338"/>
      <c r="CB421" s="338"/>
      <c r="CC421" s="338"/>
      <c r="CD421" s="338"/>
      <c r="CE421" s="338"/>
      <c r="CF421" s="338"/>
      <c r="CG421" s="338"/>
      <c r="CH421" s="338"/>
      <c r="CI421" s="338"/>
      <c r="CJ421" s="338"/>
      <c r="CK421" s="245" t="s">
        <v>2612</v>
      </c>
      <c r="CL421" s="181"/>
      <c r="CM421" s="369"/>
      <c r="CN421" s="181"/>
      <c r="CO421" s="181"/>
      <c r="CP421" s="121"/>
      <c r="CQ421" s="289"/>
      <c r="CR421" s="289"/>
      <c r="CS421" s="242"/>
      <c r="CT421" s="242"/>
      <c r="CU421" s="242"/>
      <c r="CV421" s="779"/>
      <c r="CW421" s="779"/>
      <c r="CX421" s="779"/>
      <c r="CY421" s="779"/>
      <c r="CZ421" s="779"/>
      <c r="DA421" s="779"/>
      <c r="DB421" s="779"/>
      <c r="DC421" s="779"/>
    </row>
    <row r="422" spans="1:124" ht="30" customHeight="1">
      <c r="A422" s="228"/>
      <c r="B422" s="155"/>
      <c r="C422" s="155"/>
      <c r="D422" s="244"/>
      <c r="E422" s="244"/>
      <c r="F422" s="244"/>
      <c r="G422" s="840" t="s">
        <v>204</v>
      </c>
      <c r="H422" s="621" t="s">
        <v>3129</v>
      </c>
      <c r="I422" s="294" t="s">
        <v>3130</v>
      </c>
      <c r="J422" s="207" t="str">
        <f t="shared" si="250"/>
        <v>Luca Casadio</v>
      </c>
      <c r="K422" s="916"/>
      <c r="L422" s="131"/>
      <c r="M422" s="131"/>
      <c r="N422" s="917"/>
      <c r="O422" s="1426"/>
      <c r="P422" s="124"/>
      <c r="Q422" s="124"/>
      <c r="R422" s="131" t="s">
        <v>3056</v>
      </c>
      <c r="S422" s="124"/>
      <c r="T422" s="124"/>
      <c r="U422" s="124"/>
      <c r="V422" s="124"/>
      <c r="W422" s="124"/>
      <c r="X422" s="131"/>
      <c r="Y422" s="124"/>
      <c r="Z422" s="124"/>
      <c r="AA422" s="124"/>
      <c r="AB422" s="255"/>
      <c r="AC422" s="131"/>
      <c r="AD422" s="1427"/>
      <c r="AE422" s="207"/>
      <c r="AF422" s="515"/>
      <c r="AG422" s="580"/>
      <c r="AH422" s="580"/>
      <c r="AI422" s="580"/>
      <c r="AJ422" s="515"/>
      <c r="AK422" s="155"/>
      <c r="AL422" s="155"/>
      <c r="AM422" s="155"/>
      <c r="AN422" s="515"/>
      <c r="AO422" s="258"/>
      <c r="AP422" s="124"/>
      <c r="AQ422" s="124"/>
      <c r="AR422" s="515"/>
      <c r="AS422" s="124"/>
      <c r="AT422" s="124"/>
      <c r="AU422" s="124"/>
      <c r="AV422" s="568"/>
      <c r="AW422" s="121" t="s">
        <v>27</v>
      </c>
      <c r="AX422" s="570"/>
      <c r="AY422" s="570"/>
      <c r="AZ422" s="889"/>
      <c r="BA422" s="902"/>
      <c r="BB422" s="902"/>
      <c r="BC422" s="110"/>
      <c r="BD422" s="242"/>
      <c r="BE422" s="1231"/>
      <c r="BF422" s="131" t="s">
        <v>2371</v>
      </c>
      <c r="BG422" s="145">
        <v>0.15</v>
      </c>
      <c r="BH422" s="110"/>
      <c r="BI422" s="242"/>
      <c r="BJ422" s="1231"/>
      <c r="BK422" s="131"/>
      <c r="BL422" s="529" t="s">
        <v>2920</v>
      </c>
      <c r="BM422" s="145">
        <v>0.05</v>
      </c>
      <c r="BN422" s="110">
        <v>0</v>
      </c>
      <c r="BO422" s="242">
        <f t="shared" si="276"/>
        <v>0</v>
      </c>
      <c r="BP422" s="242"/>
      <c r="BQ422" s="191"/>
      <c r="BR422" s="338"/>
      <c r="BS422" s="338"/>
      <c r="BT422" s="338"/>
      <c r="BU422" s="338"/>
      <c r="BV422" s="338"/>
      <c r="BW422" s="338"/>
      <c r="BX422" s="338"/>
      <c r="BY422" s="338"/>
      <c r="BZ422" s="338"/>
      <c r="CA422" s="338"/>
      <c r="CB422" s="338"/>
      <c r="CC422" s="338"/>
      <c r="CD422" s="338"/>
      <c r="CE422" s="338"/>
      <c r="CF422" s="338"/>
      <c r="CG422" s="338"/>
      <c r="CH422" s="338"/>
      <c r="CI422" s="338"/>
      <c r="CJ422" s="338"/>
      <c r="CK422" s="245" t="s">
        <v>2612</v>
      </c>
      <c r="CL422" s="570"/>
      <c r="CM422" s="920"/>
      <c r="CN422" s="124"/>
      <c r="CO422" s="331"/>
      <c r="CP422" s="596"/>
      <c r="CQ422" s="131"/>
      <c r="CR422" s="131"/>
      <c r="CS422" s="242"/>
      <c r="CT422" s="242"/>
      <c r="CU422" s="242"/>
      <c r="CV422" s="265"/>
      <c r="CW422" s="265"/>
      <c r="CX422" s="265"/>
      <c r="CY422" s="779"/>
      <c r="CZ422" s="779"/>
      <c r="DA422" s="779"/>
      <c r="DB422" s="779"/>
      <c r="DC422" s="779"/>
    </row>
    <row r="423" spans="1:124" ht="30" customHeight="1">
      <c r="A423" s="228"/>
      <c r="B423" s="155"/>
      <c r="C423" s="224"/>
      <c r="D423" s="757"/>
      <c r="E423" s="757"/>
      <c r="F423" s="757"/>
      <c r="G423" s="846" t="s">
        <v>204</v>
      </c>
      <c r="H423" s="847" t="s">
        <v>3131</v>
      </c>
      <c r="I423" s="207" t="s">
        <v>3132</v>
      </c>
      <c r="J423" s="207" t="str">
        <f t="shared" si="250"/>
        <v>Luca Nuccio</v>
      </c>
      <c r="K423" s="848">
        <v>3279563904</v>
      </c>
      <c r="L423" s="849"/>
      <c r="M423" s="828"/>
      <c r="N423" s="828"/>
      <c r="O423" s="1361"/>
      <c r="P423" s="850" t="s">
        <v>3133</v>
      </c>
      <c r="Q423" s="947" t="s">
        <v>3134</v>
      </c>
      <c r="R423" s="828" t="s">
        <v>3135</v>
      </c>
      <c r="S423" s="828" t="s">
        <v>3136</v>
      </c>
      <c r="T423" s="828"/>
      <c r="U423" s="828"/>
      <c r="V423" s="828"/>
      <c r="W423" s="850"/>
      <c r="X423" s="131"/>
      <c r="Y423" s="850"/>
      <c r="Z423" s="850"/>
      <c r="AA423" s="850"/>
      <c r="AB423" s="850" t="s">
        <v>2412</v>
      </c>
      <c r="AC423" s="131"/>
      <c r="AD423" s="1362"/>
      <c r="AE423" s="869"/>
      <c r="AF423" s="851"/>
      <c r="AG423" s="852"/>
      <c r="AH423" s="852" t="s">
        <v>115</v>
      </c>
      <c r="AI423" s="852" t="s">
        <v>115</v>
      </c>
      <c r="AJ423" s="515"/>
      <c r="AK423" s="516"/>
      <c r="AL423" s="258" t="s">
        <v>115</v>
      </c>
      <c r="AM423" s="258" t="s">
        <v>115</v>
      </c>
      <c r="AN423" s="515"/>
      <c r="AO423" s="815"/>
      <c r="AP423" s="815" t="s">
        <v>154</v>
      </c>
      <c r="AQ423" s="815" t="s">
        <v>2404</v>
      </c>
      <c r="AR423" s="515"/>
      <c r="AS423" s="124"/>
      <c r="AT423" s="124"/>
      <c r="AU423" s="124"/>
      <c r="AV423" s="568"/>
      <c r="AW423" s="609"/>
      <c r="AX423" s="121"/>
      <c r="AY423" s="121"/>
      <c r="AZ423" s="889"/>
      <c r="BA423" s="902"/>
      <c r="BB423" s="902"/>
      <c r="BC423" s="110"/>
      <c r="BD423" s="242"/>
      <c r="BE423" s="1231"/>
      <c r="BF423" s="828" t="s">
        <v>3137</v>
      </c>
      <c r="BG423" s="856">
        <v>0.15</v>
      </c>
      <c r="BH423" s="110"/>
      <c r="BI423" s="242"/>
      <c r="BJ423" s="1231"/>
      <c r="BK423" s="849"/>
      <c r="BL423" s="828" t="s">
        <v>3138</v>
      </c>
      <c r="BM423" s="856">
        <v>0.05</v>
      </c>
      <c r="BN423" s="110">
        <v>0</v>
      </c>
      <c r="BO423" s="242">
        <f t="shared" si="276"/>
        <v>0</v>
      </c>
      <c r="BP423" s="242"/>
      <c r="BQ423" s="1440"/>
      <c r="BR423" s="338"/>
      <c r="BS423" s="338"/>
      <c r="BT423" s="338"/>
      <c r="BU423" s="338"/>
      <c r="BV423" s="338"/>
      <c r="BW423" s="338"/>
      <c r="BX423" s="338"/>
      <c r="BY423" s="338"/>
      <c r="BZ423" s="338"/>
      <c r="CA423" s="338"/>
      <c r="CB423" s="338"/>
      <c r="CC423" s="338"/>
      <c r="CD423" s="338"/>
      <c r="CE423" s="338"/>
      <c r="CF423" s="338"/>
      <c r="CG423" s="338"/>
      <c r="CH423" s="338"/>
      <c r="CI423" s="338"/>
      <c r="CJ423" s="338"/>
      <c r="CK423" s="247"/>
      <c r="CL423" s="207"/>
      <c r="CM423" s="354"/>
      <c r="CN423" s="207"/>
      <c r="CO423" s="207"/>
      <c r="CP423" s="155"/>
      <c r="CQ423" s="828"/>
      <c r="CR423" s="828"/>
      <c r="CS423" s="242"/>
      <c r="CT423" s="242"/>
      <c r="CU423" s="242"/>
      <c r="CV423" s="779"/>
      <c r="CW423" s="729"/>
      <c r="CX423" s="729"/>
      <c r="CY423" s="729"/>
      <c r="CZ423" s="729"/>
      <c r="DA423" s="729"/>
      <c r="DB423" s="729"/>
      <c r="DC423" s="729"/>
    </row>
    <row r="424" spans="1:124" ht="30" customHeight="1">
      <c r="A424" s="228"/>
      <c r="B424" s="155"/>
      <c r="C424" s="155"/>
      <c r="D424" s="757"/>
      <c r="E424" s="757"/>
      <c r="F424" s="757"/>
      <c r="G424" s="948" t="s">
        <v>665</v>
      </c>
      <c r="H424" s="949" t="s">
        <v>3139</v>
      </c>
      <c r="I424" s="207" t="s">
        <v>3140</v>
      </c>
      <c r="J424" s="207" t="str">
        <f t="shared" si="250"/>
        <v>Luigi Manzoni</v>
      </c>
      <c r="K424" s="224"/>
      <c r="L424" s="131"/>
      <c r="M424" s="131"/>
      <c r="N424" s="289"/>
      <c r="O424" s="1277"/>
      <c r="P424" s="131"/>
      <c r="Q424" s="131"/>
      <c r="R424" s="131" t="s">
        <v>3088</v>
      </c>
      <c r="S424" s="131"/>
      <c r="T424" s="131"/>
      <c r="U424" s="131"/>
      <c r="V424" s="131"/>
      <c r="W424" s="131"/>
      <c r="X424" s="131"/>
      <c r="Y424" s="131"/>
      <c r="Z424" s="131"/>
      <c r="AA424" s="131"/>
      <c r="AB424" s="255"/>
      <c r="AC424" s="131"/>
      <c r="AD424" s="224"/>
      <c r="AE424" s="207" t="s">
        <v>3141</v>
      </c>
      <c r="AF424" s="515"/>
      <c r="AG424" s="406"/>
      <c r="AH424" s="406"/>
      <c r="AI424" s="406"/>
      <c r="AJ424" s="515"/>
      <c r="AK424" s="815"/>
      <c r="AL424" s="815"/>
      <c r="AM424" s="815"/>
      <c r="AN424" s="950"/>
      <c r="AO424" s="24" t="s">
        <v>151</v>
      </c>
      <c r="AP424" s="24" t="s">
        <v>151</v>
      </c>
      <c r="AQ424" s="24" t="s">
        <v>151</v>
      </c>
      <c r="AR424" s="515"/>
      <c r="AS424" s="124"/>
      <c r="AT424" s="124"/>
      <c r="AU424" s="124"/>
      <c r="AV424" s="568"/>
      <c r="AW424" s="929" t="s">
        <v>151</v>
      </c>
      <c r="AX424" s="929" t="s">
        <v>151</v>
      </c>
      <c r="AY424" s="929" t="s">
        <v>151</v>
      </c>
      <c r="AZ424" s="889"/>
      <c r="BA424" s="902"/>
      <c r="BB424" s="902"/>
      <c r="BC424" s="110"/>
      <c r="BD424" s="242"/>
      <c r="BE424" s="242"/>
      <c r="BF424" s="131" t="s">
        <v>117</v>
      </c>
      <c r="BG424" s="145">
        <v>0</v>
      </c>
      <c r="BH424" s="110"/>
      <c r="BI424" s="242"/>
      <c r="BJ424" s="242"/>
      <c r="BK424" s="1267" t="s">
        <v>118</v>
      </c>
      <c r="BL424" s="131" t="s">
        <v>152</v>
      </c>
      <c r="BM424" s="145">
        <v>0.05</v>
      </c>
      <c r="BN424" s="110">
        <v>0</v>
      </c>
      <c r="BO424" s="242">
        <f t="shared" si="276"/>
        <v>0</v>
      </c>
      <c r="BP424" s="242"/>
      <c r="BQ424" s="191"/>
      <c r="BR424" s="338"/>
      <c r="BS424" s="338"/>
      <c r="BT424" s="338"/>
      <c r="BU424" s="338"/>
      <c r="BV424" s="338"/>
      <c r="BW424" s="338"/>
      <c r="BX424" s="338"/>
      <c r="BY424" s="338"/>
      <c r="BZ424" s="338"/>
      <c r="CA424" s="338"/>
      <c r="CB424" s="338"/>
      <c r="CC424" s="338"/>
      <c r="CD424" s="338"/>
      <c r="CE424" s="338"/>
      <c r="CF424" s="338"/>
      <c r="CG424" s="338"/>
      <c r="CH424" s="338"/>
      <c r="CI424" s="338"/>
      <c r="CJ424" s="338"/>
      <c r="CK424" s="245" t="s">
        <v>2612</v>
      </c>
      <c r="CL424" s="181"/>
      <c r="CM424" s="369"/>
      <c r="CN424" s="181"/>
      <c r="CO424" s="181"/>
      <c r="CP424" s="121"/>
      <c r="CQ424" s="131"/>
      <c r="CR424" s="131"/>
      <c r="CS424" s="242"/>
      <c r="CT424" s="242"/>
      <c r="CU424" s="242"/>
      <c r="CV424" s="779"/>
      <c r="CW424" s="779"/>
      <c r="CX424" s="779"/>
      <c r="CY424" s="779"/>
      <c r="CZ424" s="779"/>
      <c r="DA424" s="779"/>
      <c r="DB424" s="779"/>
      <c r="DC424" s="779"/>
    </row>
    <row r="425" spans="1:124" ht="30" customHeight="1">
      <c r="A425" s="228"/>
      <c r="B425" s="155"/>
      <c r="C425" s="224"/>
      <c r="D425" s="757"/>
      <c r="E425" s="757"/>
      <c r="F425" s="757"/>
      <c r="G425" s="846" t="s">
        <v>1248</v>
      </c>
      <c r="H425" s="847" t="s">
        <v>3142</v>
      </c>
      <c r="I425" s="207" t="s">
        <v>3143</v>
      </c>
      <c r="J425" s="207" t="str">
        <f t="shared" si="250"/>
        <v>Manuela Solerio</v>
      </c>
      <c r="K425" s="951"/>
      <c r="L425" s="849"/>
      <c r="M425" s="828"/>
      <c r="N425" s="952"/>
      <c r="O425" s="1441"/>
      <c r="P425" s="850"/>
      <c r="Q425" s="850"/>
      <c r="R425" s="828" t="s">
        <v>3144</v>
      </c>
      <c r="S425" s="869"/>
      <c r="T425" s="869"/>
      <c r="U425" s="869"/>
      <c r="V425" s="869"/>
      <c r="W425" s="850"/>
      <c r="X425" s="131"/>
      <c r="Y425" s="850"/>
      <c r="Z425" s="850"/>
      <c r="AA425" s="850"/>
      <c r="AB425" s="850"/>
      <c r="AC425" s="131"/>
      <c r="AD425" s="1362"/>
      <c r="AE425" s="869"/>
      <c r="AF425" s="851"/>
      <c r="AG425" s="852" t="s">
        <v>115</v>
      </c>
      <c r="AH425" s="852" t="s">
        <v>115</v>
      </c>
      <c r="AI425" s="852" t="s">
        <v>115</v>
      </c>
      <c r="AJ425" s="515"/>
      <c r="AK425" s="155"/>
      <c r="AL425" s="155"/>
      <c r="AM425" s="155"/>
      <c r="AN425" s="198"/>
      <c r="AO425" s="815"/>
      <c r="AP425" s="815" t="s">
        <v>2404</v>
      </c>
      <c r="AQ425" s="815" t="s">
        <v>2404</v>
      </c>
      <c r="AR425" s="515"/>
      <c r="AS425" s="124"/>
      <c r="AT425" s="124"/>
      <c r="AU425" s="124"/>
      <c r="AV425" s="568"/>
      <c r="AW425" s="609"/>
      <c r="AX425" s="609"/>
      <c r="AY425" s="609"/>
      <c r="AZ425" s="889"/>
      <c r="BA425" s="902"/>
      <c r="BB425" s="902"/>
      <c r="BC425" s="110"/>
      <c r="BD425" s="242"/>
      <c r="BE425" s="1231"/>
      <c r="BF425" s="828" t="s">
        <v>3145</v>
      </c>
      <c r="BG425" s="856">
        <v>0.15</v>
      </c>
      <c r="BH425" s="110"/>
      <c r="BI425" s="242"/>
      <c r="BJ425" s="1231"/>
      <c r="BK425" s="849"/>
      <c r="BL425" s="828" t="s">
        <v>1077</v>
      </c>
      <c r="BM425" s="856">
        <v>0.05</v>
      </c>
      <c r="BN425" s="110">
        <v>0</v>
      </c>
      <c r="BO425" s="242">
        <f t="shared" si="276"/>
        <v>0</v>
      </c>
      <c r="BP425" s="242"/>
      <c r="BQ425" s="662"/>
      <c r="BR425" s="338"/>
      <c r="BS425" s="338"/>
      <c r="BT425" s="338"/>
      <c r="BU425" s="338"/>
      <c r="BV425" s="338"/>
      <c r="BW425" s="338"/>
      <c r="BX425" s="338"/>
      <c r="BY425" s="338"/>
      <c r="BZ425" s="338"/>
      <c r="CA425" s="338"/>
      <c r="CB425" s="338"/>
      <c r="CC425" s="338"/>
      <c r="CD425" s="338"/>
      <c r="CE425" s="338"/>
      <c r="CF425" s="338"/>
      <c r="CG425" s="338"/>
      <c r="CH425" s="338"/>
      <c r="CI425" s="338"/>
      <c r="CJ425" s="338"/>
      <c r="CK425" s="1439"/>
      <c r="CL425" s="875"/>
      <c r="CM425" s="354"/>
      <c r="CN425" s="207"/>
      <c r="CO425" s="207"/>
      <c r="CP425" s="155"/>
      <c r="CQ425" s="828"/>
      <c r="CR425" s="828"/>
      <c r="CS425" s="242"/>
      <c r="CT425" s="242"/>
      <c r="CU425" s="242"/>
      <c r="CV425" s="779"/>
      <c r="CW425" s="729"/>
      <c r="CX425" s="729"/>
      <c r="CY425" s="729"/>
      <c r="CZ425" s="729"/>
      <c r="DA425" s="729"/>
      <c r="DB425" s="729"/>
      <c r="DC425" s="729"/>
    </row>
    <row r="426" spans="1:124" ht="30" customHeight="1">
      <c r="A426" s="228"/>
      <c r="B426" s="155"/>
      <c r="C426" s="155"/>
      <c r="D426" s="757"/>
      <c r="E426" s="757"/>
      <c r="F426" s="757"/>
      <c r="G426" s="659" t="s">
        <v>246</v>
      </c>
      <c r="H426" s="954" t="s">
        <v>330</v>
      </c>
      <c r="I426" s="207" t="s">
        <v>2303</v>
      </c>
      <c r="J426" s="207" t="str">
        <f t="shared" si="250"/>
        <v>Marco Brunelli</v>
      </c>
      <c r="K426" s="224"/>
      <c r="L426" s="598"/>
      <c r="M426" s="598"/>
      <c r="N426" s="131" t="s">
        <v>3058</v>
      </c>
      <c r="O426" s="1259"/>
      <c r="P426" s="255"/>
      <c r="Q426" s="255"/>
      <c r="R426" s="598" t="s">
        <v>916</v>
      </c>
      <c r="S426" s="598"/>
      <c r="T426" s="598"/>
      <c r="U426" s="598"/>
      <c r="V426" s="598"/>
      <c r="W426" s="258"/>
      <c r="X426" s="131"/>
      <c r="Y426" s="258"/>
      <c r="Z426" s="258"/>
      <c r="AA426" s="258"/>
      <c r="AB426" s="255"/>
      <c r="AC426" s="131"/>
      <c r="AD426" s="1363"/>
      <c r="AE426" s="207"/>
      <c r="AF426" s="515"/>
      <c r="AG426" s="516"/>
      <c r="AH426" s="516"/>
      <c r="AI426" s="516"/>
      <c r="AJ426" s="515"/>
      <c r="AK426" s="815"/>
      <c r="AL426" s="815"/>
      <c r="AM426" s="815"/>
      <c r="AN426" s="851"/>
      <c r="AO426" s="155"/>
      <c r="AP426" s="155"/>
      <c r="AQ426" s="155"/>
      <c r="AR426" s="515"/>
      <c r="AS426" s="124"/>
      <c r="AT426" s="124"/>
      <c r="AU426" s="124"/>
      <c r="AV426" s="568"/>
      <c r="AW426" s="121" t="s">
        <v>2369</v>
      </c>
      <c r="AX426" s="121" t="s">
        <v>2369</v>
      </c>
      <c r="AY426" s="121" t="s">
        <v>2369</v>
      </c>
      <c r="AZ426" s="889"/>
      <c r="BA426" s="902"/>
      <c r="BB426" s="902"/>
      <c r="BC426" s="110"/>
      <c r="BD426" s="242"/>
      <c r="BE426" s="1231"/>
      <c r="BF426" s="529"/>
      <c r="BG426" s="145"/>
      <c r="BH426" s="110"/>
      <c r="BI426" s="242"/>
      <c r="BJ426" s="1231"/>
      <c r="BK426" s="529"/>
      <c r="BL426" s="529"/>
      <c r="BM426" s="145"/>
      <c r="BN426" s="110">
        <v>0</v>
      </c>
      <c r="BO426" s="242">
        <f t="shared" si="276"/>
        <v>0</v>
      </c>
      <c r="BP426" s="242"/>
      <c r="BQ426" s="131"/>
      <c r="BR426" s="338"/>
      <c r="BS426" s="338"/>
      <c r="BT426" s="338"/>
      <c r="BU426" s="338"/>
      <c r="BV426" s="338"/>
      <c r="BW426" s="338"/>
      <c r="BX426" s="338"/>
      <c r="BY426" s="338"/>
      <c r="BZ426" s="338"/>
      <c r="CA426" s="338"/>
      <c r="CB426" s="338"/>
      <c r="CC426" s="338"/>
      <c r="CD426" s="338"/>
      <c r="CE426" s="338"/>
      <c r="CF426" s="338"/>
      <c r="CG426" s="338"/>
      <c r="CH426" s="338"/>
      <c r="CI426" s="338"/>
      <c r="CJ426" s="338"/>
      <c r="CK426" s="155"/>
      <c r="CL426" s="181"/>
      <c r="CM426" s="369"/>
      <c r="CN426" s="207"/>
      <c r="CO426" s="207"/>
      <c r="CP426" s="155"/>
      <c r="CQ426" s="598"/>
      <c r="CR426" s="598"/>
      <c r="CS426" s="242"/>
      <c r="CT426" s="242"/>
      <c r="CU426" s="242"/>
      <c r="CV426" s="729"/>
      <c r="CW426" s="729"/>
      <c r="CX426" s="729"/>
      <c r="CY426" s="729"/>
      <c r="CZ426" s="729"/>
      <c r="DA426" s="729"/>
      <c r="DB426" s="729"/>
      <c r="DC426" s="729"/>
    </row>
    <row r="427" spans="1:124" ht="30" customHeight="1">
      <c r="A427" s="228"/>
      <c r="B427" s="155"/>
      <c r="C427" s="155"/>
      <c r="D427" s="757"/>
      <c r="E427" s="757"/>
      <c r="F427" s="757"/>
      <c r="G427" s="840" t="s">
        <v>246</v>
      </c>
      <c r="H427" s="621" t="s">
        <v>2528</v>
      </c>
      <c r="I427" s="207" t="s">
        <v>2529</v>
      </c>
      <c r="J427" s="207" t="str">
        <f t="shared" si="250"/>
        <v>Marco Gianesini</v>
      </c>
      <c r="K427" s="224">
        <v>3299293872</v>
      </c>
      <c r="L427" s="131"/>
      <c r="M427" s="131"/>
      <c r="N427" s="289"/>
      <c r="O427" s="1277"/>
      <c r="P427" s="255"/>
      <c r="Q427" s="255"/>
      <c r="R427" s="131"/>
      <c r="S427" s="131"/>
      <c r="T427" s="131"/>
      <c r="U427" s="131"/>
      <c r="V427" s="131"/>
      <c r="W427" s="258"/>
      <c r="X427" s="131"/>
      <c r="Y427" s="258"/>
      <c r="Z427" s="258"/>
      <c r="AA427" s="258"/>
      <c r="AB427" s="255"/>
      <c r="AC427" s="131"/>
      <c r="AD427" s="224"/>
      <c r="AE427" s="207"/>
      <c r="AF427" s="515"/>
      <c r="AG427" s="516" t="s">
        <v>115</v>
      </c>
      <c r="AH427" s="516" t="s">
        <v>115</v>
      </c>
      <c r="AI427" s="516" t="s">
        <v>115</v>
      </c>
      <c r="AJ427" s="515"/>
      <c r="AK427" s="155"/>
      <c r="AL427" s="155"/>
      <c r="AM427" s="155"/>
      <c r="AN427" s="515"/>
      <c r="AO427" s="155"/>
      <c r="AP427" s="565" t="s">
        <v>2277</v>
      </c>
      <c r="AQ427" s="155" t="s">
        <v>116</v>
      </c>
      <c r="AR427" s="515"/>
      <c r="AS427" s="121"/>
      <c r="AT427" s="121"/>
      <c r="AU427" s="121"/>
      <c r="AV427" s="568"/>
      <c r="AW427" s="121"/>
      <c r="AX427" s="121"/>
      <c r="AY427" s="121"/>
      <c r="AZ427" s="889"/>
      <c r="BA427" s="902"/>
      <c r="BB427" s="902"/>
      <c r="BC427" s="110"/>
      <c r="BD427" s="242"/>
      <c r="BE427" s="1231"/>
      <c r="BF427" s="529" t="s">
        <v>3146</v>
      </c>
      <c r="BG427" s="145">
        <v>0.1</v>
      </c>
      <c r="BH427" s="110"/>
      <c r="BI427" s="242"/>
      <c r="BJ427" s="1231"/>
      <c r="BK427" s="529"/>
      <c r="BL427" s="529" t="s">
        <v>3078</v>
      </c>
      <c r="BM427" s="145">
        <v>0.05</v>
      </c>
      <c r="BN427" s="110">
        <v>0</v>
      </c>
      <c r="BO427" s="242">
        <f t="shared" si="276"/>
        <v>0</v>
      </c>
      <c r="BP427" s="242"/>
      <c r="BQ427" s="131"/>
      <c r="BR427" s="338"/>
      <c r="BS427" s="338"/>
      <c r="BT427" s="338"/>
      <c r="BU427" s="338"/>
      <c r="BV427" s="338"/>
      <c r="BW427" s="338"/>
      <c r="BX427" s="338"/>
      <c r="BY427" s="338"/>
      <c r="BZ427" s="338"/>
      <c r="CA427" s="338"/>
      <c r="CB427" s="338"/>
      <c r="CC427" s="338"/>
      <c r="CD427" s="338"/>
      <c r="CE427" s="338"/>
      <c r="CF427" s="338"/>
      <c r="CG427" s="338"/>
      <c r="CH427" s="338"/>
      <c r="CI427" s="338"/>
      <c r="CJ427" s="338"/>
      <c r="CK427" s="550"/>
      <c r="CL427" s="112" t="s">
        <v>3147</v>
      </c>
      <c r="CM427" s="369"/>
      <c r="CN427" s="181"/>
      <c r="CO427" s="181"/>
      <c r="CP427" s="121"/>
      <c r="CQ427" s="131"/>
      <c r="CR427" s="131"/>
      <c r="CS427" s="242"/>
      <c r="CT427" s="242"/>
      <c r="CU427" s="242"/>
      <c r="CV427" s="779"/>
      <c r="CW427" s="779"/>
      <c r="CX427" s="779"/>
      <c r="CY427" s="729"/>
      <c r="CZ427" s="729"/>
      <c r="DA427" s="729"/>
      <c r="DB427" s="729"/>
      <c r="DC427" s="729"/>
    </row>
    <row r="428" spans="1:124" ht="30" customHeight="1">
      <c r="A428" s="228"/>
      <c r="B428" s="155"/>
      <c r="C428" s="155"/>
      <c r="D428" s="757"/>
      <c r="E428" s="757"/>
      <c r="F428" s="757"/>
      <c r="G428" s="840" t="s">
        <v>2668</v>
      </c>
      <c r="H428" s="621" t="s">
        <v>3148</v>
      </c>
      <c r="I428" s="207" t="s">
        <v>2998</v>
      </c>
      <c r="J428" s="207" t="str">
        <f t="shared" si="250"/>
        <v>Maria Tagliaferri</v>
      </c>
      <c r="K428" s="224">
        <v>3479459658</v>
      </c>
      <c r="L428" s="131"/>
      <c r="M428" s="131"/>
      <c r="N428" s="289"/>
      <c r="O428" s="1277"/>
      <c r="P428" s="564" t="s">
        <v>2995</v>
      </c>
      <c r="Q428" s="564" t="s">
        <v>2995</v>
      </c>
      <c r="R428" s="131" t="s">
        <v>2996</v>
      </c>
      <c r="S428" s="131" t="s">
        <v>2997</v>
      </c>
      <c r="T428" s="131"/>
      <c r="U428" s="131"/>
      <c r="V428" s="131"/>
      <c r="W428" s="258"/>
      <c r="X428" s="131" t="s">
        <v>2998</v>
      </c>
      <c r="Y428" s="258"/>
      <c r="Z428" s="258"/>
      <c r="AA428" s="258"/>
      <c r="AB428" s="255" t="s">
        <v>2412</v>
      </c>
      <c r="AC428" s="131" t="s">
        <v>2999</v>
      </c>
      <c r="AD428" s="1363"/>
      <c r="AE428" s="207" t="s">
        <v>3149</v>
      </c>
      <c r="AF428" s="515"/>
      <c r="AG428" s="516" t="s">
        <v>115</v>
      </c>
      <c r="AH428" s="516" t="s">
        <v>115</v>
      </c>
      <c r="AI428" s="516" t="s">
        <v>115</v>
      </c>
      <c r="AJ428" s="515"/>
      <c r="AK428" s="155" t="s">
        <v>116</v>
      </c>
      <c r="AL428" s="155"/>
      <c r="AM428" s="155" t="s">
        <v>2992</v>
      </c>
      <c r="AN428" s="198"/>
      <c r="AO428" s="155"/>
      <c r="AP428" s="155" t="s">
        <v>2404</v>
      </c>
      <c r="AQ428" s="155"/>
      <c r="AR428" s="515"/>
      <c r="AS428" s="121"/>
      <c r="AT428" s="121"/>
      <c r="AU428" s="121"/>
      <c r="AV428" s="568"/>
      <c r="AW428" s="121"/>
      <c r="AX428" s="121"/>
      <c r="AY428" s="121"/>
      <c r="AZ428" s="889"/>
      <c r="BA428" s="902"/>
      <c r="BB428" s="902"/>
      <c r="BC428" s="110"/>
      <c r="BD428" s="242"/>
      <c r="BE428" s="1231"/>
      <c r="BF428" s="529" t="s">
        <v>2613</v>
      </c>
      <c r="BG428" s="145">
        <v>0</v>
      </c>
      <c r="BH428" s="110"/>
      <c r="BI428" s="242"/>
      <c r="BJ428" s="1231"/>
      <c r="BK428" s="529"/>
      <c r="BL428" s="529" t="s">
        <v>3150</v>
      </c>
      <c r="BM428" s="145">
        <v>0.05</v>
      </c>
      <c r="BN428" s="110">
        <v>0</v>
      </c>
      <c r="BO428" s="242">
        <f t="shared" si="276"/>
        <v>0</v>
      </c>
      <c r="BP428" s="242"/>
      <c r="BQ428" s="131"/>
      <c r="BR428" s="338"/>
      <c r="BS428" s="338"/>
      <c r="BT428" s="338"/>
      <c r="BU428" s="338"/>
      <c r="BV428" s="338"/>
      <c r="BW428" s="338"/>
      <c r="BX428" s="338"/>
      <c r="BY428" s="338"/>
      <c r="BZ428" s="338"/>
      <c r="CA428" s="338"/>
      <c r="CB428" s="338"/>
      <c r="CC428" s="338"/>
      <c r="CD428" s="338"/>
      <c r="CE428" s="338"/>
      <c r="CF428" s="338"/>
      <c r="CG428" s="338"/>
      <c r="CH428" s="338"/>
      <c r="CI428" s="338"/>
      <c r="CJ428" s="338"/>
      <c r="CK428" s="245" t="s">
        <v>3002</v>
      </c>
      <c r="CL428" s="181"/>
      <c r="CM428" s="369"/>
      <c r="CN428" s="181"/>
      <c r="CO428" s="181"/>
      <c r="CP428" s="121"/>
      <c r="CQ428" s="131"/>
      <c r="CR428" s="131"/>
      <c r="CS428" s="242"/>
      <c r="CT428" s="242"/>
      <c r="CU428" s="242"/>
      <c r="CV428" s="779"/>
      <c r="CW428" s="779"/>
      <c r="CX428" s="779"/>
      <c r="CY428" s="779"/>
      <c r="CZ428" s="779"/>
      <c r="DA428" s="779"/>
      <c r="DB428" s="779"/>
      <c r="DC428" s="779"/>
    </row>
    <row r="429" spans="1:124" ht="30" customHeight="1">
      <c r="A429" s="228"/>
      <c r="B429" s="155"/>
      <c r="C429" s="224"/>
      <c r="D429" s="757"/>
      <c r="E429" s="757"/>
      <c r="F429" s="757"/>
      <c r="G429" s="846" t="s">
        <v>3151</v>
      </c>
      <c r="H429" s="847" t="s">
        <v>3152</v>
      </c>
      <c r="I429" s="207" t="s">
        <v>3153</v>
      </c>
      <c r="J429" s="207" t="str">
        <f t="shared" si="250"/>
        <v>Maria Cristina Abondio</v>
      </c>
      <c r="K429" s="848" t="s">
        <v>3154</v>
      </c>
      <c r="L429" s="849"/>
      <c r="M429" s="828"/>
      <c r="N429" s="828"/>
      <c r="O429" s="1361"/>
      <c r="P429" s="850" t="s">
        <v>3155</v>
      </c>
      <c r="Q429" s="850" t="s">
        <v>3156</v>
      </c>
      <c r="R429" s="828" t="s">
        <v>3157</v>
      </c>
      <c r="S429" s="828" t="s">
        <v>3158</v>
      </c>
      <c r="T429" s="828"/>
      <c r="U429" s="828"/>
      <c r="V429" s="828"/>
      <c r="W429" s="850"/>
      <c r="X429" s="131"/>
      <c r="Y429" s="850"/>
      <c r="Z429" s="850"/>
      <c r="AA429" s="850"/>
      <c r="AB429" s="850" t="s">
        <v>2917</v>
      </c>
      <c r="AC429" s="131"/>
      <c r="AD429" s="1362"/>
      <c r="AE429" s="869"/>
      <c r="AF429" s="851"/>
      <c r="AG429" s="852" t="s">
        <v>115</v>
      </c>
      <c r="AH429" s="852" t="s">
        <v>115</v>
      </c>
      <c r="AI429" s="852" t="s">
        <v>115</v>
      </c>
      <c r="AJ429" s="515"/>
      <c r="AK429" s="155"/>
      <c r="AL429" s="155"/>
      <c r="AM429" s="155" t="s">
        <v>2992</v>
      </c>
      <c r="AN429" s="515"/>
      <c r="AO429" s="815"/>
      <c r="AP429" s="815" t="s">
        <v>154</v>
      </c>
      <c r="AQ429" s="815" t="s">
        <v>2404</v>
      </c>
      <c r="AR429" s="515"/>
      <c r="AS429" s="609"/>
      <c r="AT429" s="609"/>
      <c r="AU429" s="609"/>
      <c r="AV429" s="568"/>
      <c r="AW429" s="609"/>
      <c r="AX429" s="609"/>
      <c r="AY429" s="609"/>
      <c r="AZ429" s="889"/>
      <c r="BA429" s="902"/>
      <c r="BB429" s="902"/>
      <c r="BC429" s="110"/>
      <c r="BD429" s="242"/>
      <c r="BE429" s="1231"/>
      <c r="BF429" s="828" t="s">
        <v>3159</v>
      </c>
      <c r="BG429" s="856">
        <v>0.15</v>
      </c>
      <c r="BH429" s="110"/>
      <c r="BI429" s="242"/>
      <c r="BJ429" s="1231"/>
      <c r="BK429" s="849"/>
      <c r="BL429" s="828" t="s">
        <v>3159</v>
      </c>
      <c r="BM429" s="856">
        <v>0.05</v>
      </c>
      <c r="BN429" s="110">
        <v>0</v>
      </c>
      <c r="BO429" s="242">
        <f t="shared" si="276"/>
        <v>0</v>
      </c>
      <c r="BP429" s="242"/>
      <c r="BQ429" s="1440"/>
      <c r="BR429" s="338"/>
      <c r="BS429" s="338"/>
      <c r="BT429" s="338"/>
      <c r="BU429" s="338"/>
      <c r="BV429" s="338"/>
      <c r="BW429" s="338"/>
      <c r="BX429" s="338"/>
      <c r="BY429" s="338"/>
      <c r="BZ429" s="338"/>
      <c r="CA429" s="338"/>
      <c r="CB429" s="338"/>
      <c r="CC429" s="338"/>
      <c r="CD429" s="338"/>
      <c r="CE429" s="338"/>
      <c r="CF429" s="338"/>
      <c r="CG429" s="338"/>
      <c r="CH429" s="338"/>
      <c r="CI429" s="338"/>
      <c r="CJ429" s="338"/>
      <c r="CK429" s="247"/>
      <c r="CL429" s="207"/>
      <c r="CM429" s="354"/>
      <c r="CN429" s="207"/>
      <c r="CO429" s="207"/>
      <c r="CP429" s="155"/>
      <c r="CQ429" s="828"/>
      <c r="CR429" s="828"/>
      <c r="CS429" s="242"/>
      <c r="CT429" s="242"/>
      <c r="CU429" s="242"/>
      <c r="CV429" s="779"/>
      <c r="CW429" s="729"/>
      <c r="CX429" s="729"/>
      <c r="CY429" s="729"/>
      <c r="CZ429" s="729"/>
      <c r="DA429" s="729"/>
      <c r="DB429" s="729"/>
      <c r="DC429" s="729"/>
    </row>
    <row r="430" spans="1:124" ht="30" customHeight="1">
      <c r="A430" s="228"/>
      <c r="B430" s="155"/>
      <c r="C430" s="224"/>
      <c r="D430" s="757"/>
      <c r="E430" s="757"/>
      <c r="F430" s="757"/>
      <c r="G430" s="846" t="s">
        <v>724</v>
      </c>
      <c r="H430" s="847" t="s">
        <v>3160</v>
      </c>
      <c r="I430" s="207" t="s">
        <v>3161</v>
      </c>
      <c r="J430" s="207" t="str">
        <f t="shared" si="250"/>
        <v>Marta Venaruzzo</v>
      </c>
      <c r="K430" s="848">
        <v>3911799308</v>
      </c>
      <c r="L430" s="849"/>
      <c r="M430" s="828"/>
      <c r="N430" s="828"/>
      <c r="O430" s="1361"/>
      <c r="P430" s="955" t="s">
        <v>3162</v>
      </c>
      <c r="Q430" s="850"/>
      <c r="R430" s="828" t="s">
        <v>3163</v>
      </c>
      <c r="S430" s="828" t="s">
        <v>3164</v>
      </c>
      <c r="T430" s="828"/>
      <c r="U430" s="828"/>
      <c r="V430" s="828"/>
      <c r="W430" s="850"/>
      <c r="X430" s="131" t="s">
        <v>3161</v>
      </c>
      <c r="Y430" s="850"/>
      <c r="Z430" s="850"/>
      <c r="AA430" s="850"/>
      <c r="AB430" s="850"/>
      <c r="AC430" s="131"/>
      <c r="AD430" s="1362"/>
      <c r="AE430" s="869"/>
      <c r="AF430" s="851"/>
      <c r="AG430" s="852" t="s">
        <v>115</v>
      </c>
      <c r="AH430" s="852" t="s">
        <v>115</v>
      </c>
      <c r="AI430" s="852" t="s">
        <v>115</v>
      </c>
      <c r="AJ430" s="515"/>
      <c r="AK430" s="815"/>
      <c r="AL430" s="815"/>
      <c r="AM430" s="815"/>
      <c r="AN430" s="950"/>
      <c r="AO430" s="815"/>
      <c r="AP430" s="815" t="s">
        <v>154</v>
      </c>
      <c r="AQ430" s="815" t="s">
        <v>2404</v>
      </c>
      <c r="AR430" s="515"/>
      <c r="AS430" s="609"/>
      <c r="AT430" s="609"/>
      <c r="AU430" s="609"/>
      <c r="AV430" s="568"/>
      <c r="AW430" s="609"/>
      <c r="AX430" s="609"/>
      <c r="AY430" s="609"/>
      <c r="AZ430" s="889"/>
      <c r="BA430" s="902"/>
      <c r="BB430" s="902"/>
      <c r="BC430" s="110"/>
      <c r="BD430" s="242"/>
      <c r="BE430" s="1231"/>
      <c r="BF430" s="828" t="s">
        <v>2919</v>
      </c>
      <c r="BG430" s="856">
        <v>0.15</v>
      </c>
      <c r="BH430" s="110"/>
      <c r="BI430" s="242"/>
      <c r="BJ430" s="1231"/>
      <c r="BK430" s="849"/>
      <c r="BL430" s="828" t="s">
        <v>3078</v>
      </c>
      <c r="BM430" s="856">
        <v>0.05</v>
      </c>
      <c r="BN430" s="110">
        <v>0</v>
      </c>
      <c r="BO430" s="242">
        <f t="shared" si="276"/>
        <v>0</v>
      </c>
      <c r="BP430" s="242"/>
      <c r="BQ430" s="1440"/>
      <c r="BR430" s="338"/>
      <c r="BS430" s="338"/>
      <c r="BT430" s="338"/>
      <c r="BU430" s="338"/>
      <c r="BV430" s="338"/>
      <c r="BW430" s="338"/>
      <c r="BX430" s="338"/>
      <c r="BY430" s="338"/>
      <c r="BZ430" s="338"/>
      <c r="CA430" s="338"/>
      <c r="CB430" s="338"/>
      <c r="CC430" s="338"/>
      <c r="CD430" s="338"/>
      <c r="CE430" s="338"/>
      <c r="CF430" s="338"/>
      <c r="CG430" s="338"/>
      <c r="CH430" s="338"/>
      <c r="CI430" s="338"/>
      <c r="CJ430" s="338"/>
      <c r="CK430" s="247"/>
      <c r="CL430" s="207"/>
      <c r="CM430" s="354"/>
      <c r="CN430" s="207"/>
      <c r="CO430" s="207"/>
      <c r="CP430" s="155"/>
      <c r="CQ430" s="828"/>
      <c r="CR430" s="828"/>
      <c r="CS430" s="242"/>
      <c r="CT430" s="242"/>
      <c r="CU430" s="242"/>
      <c r="CV430" s="779"/>
      <c r="CW430" s="729"/>
      <c r="CX430" s="729"/>
      <c r="CY430" s="729"/>
      <c r="CZ430" s="729"/>
      <c r="DA430" s="729"/>
      <c r="DB430" s="729"/>
      <c r="DC430" s="729"/>
    </row>
    <row r="431" spans="1:124" ht="30" customHeight="1">
      <c r="A431" s="228"/>
      <c r="B431" s="155"/>
      <c r="C431" s="224"/>
      <c r="D431" s="757"/>
      <c r="E431" s="757"/>
      <c r="F431" s="757"/>
      <c r="G431" s="846" t="s">
        <v>3165</v>
      </c>
      <c r="H431" s="847" t="s">
        <v>3166</v>
      </c>
      <c r="I431" s="207" t="s">
        <v>3167</v>
      </c>
      <c r="J431" s="207" t="str">
        <f t="shared" si="250"/>
        <v>Massimiliano Barone</v>
      </c>
      <c r="K431" s="848">
        <v>3480825810</v>
      </c>
      <c r="L431" s="849"/>
      <c r="M431" s="828"/>
      <c r="N431" s="828"/>
      <c r="O431" s="1361"/>
      <c r="P431" s="850" t="s">
        <v>3168</v>
      </c>
      <c r="Q431" s="850" t="s">
        <v>3168</v>
      </c>
      <c r="R431" s="828" t="s">
        <v>3169</v>
      </c>
      <c r="S431" s="828" t="s">
        <v>3170</v>
      </c>
      <c r="T431" s="828"/>
      <c r="U431" s="828"/>
      <c r="V431" s="828"/>
      <c r="W431" s="850"/>
      <c r="X431" s="131" t="s">
        <v>3167</v>
      </c>
      <c r="Y431" s="850"/>
      <c r="Z431" s="850"/>
      <c r="AA431" s="850"/>
      <c r="AB431" s="850" t="s">
        <v>2917</v>
      </c>
      <c r="AC431" s="131"/>
      <c r="AD431" s="1362"/>
      <c r="AE431" s="869"/>
      <c r="AF431" s="851"/>
      <c r="AG431" s="852" t="s">
        <v>115</v>
      </c>
      <c r="AH431" s="852" t="s">
        <v>115</v>
      </c>
      <c r="AI431" s="852" t="s">
        <v>115</v>
      </c>
      <c r="AJ431" s="515"/>
      <c r="AK431" s="815"/>
      <c r="AL431" s="815"/>
      <c r="AM431" s="815"/>
      <c r="AN431" s="851"/>
      <c r="AO431" s="815"/>
      <c r="AP431" s="815" t="s">
        <v>2404</v>
      </c>
      <c r="AQ431" s="815" t="s">
        <v>2404</v>
      </c>
      <c r="AR431" s="515"/>
      <c r="AS431" s="609"/>
      <c r="AT431" s="609"/>
      <c r="AU431" s="609"/>
      <c r="AV431" s="568"/>
      <c r="AW431" s="609"/>
      <c r="AX431" s="609"/>
      <c r="AY431" s="609"/>
      <c r="AZ431" s="889"/>
      <c r="BA431" s="902"/>
      <c r="BB431" s="902"/>
      <c r="BC431" s="110"/>
      <c r="BD431" s="242"/>
      <c r="BE431" s="1231"/>
      <c r="BF431" s="828" t="s">
        <v>3171</v>
      </c>
      <c r="BG431" s="856">
        <v>0</v>
      </c>
      <c r="BH431" s="110"/>
      <c r="BI431" s="242"/>
      <c r="BJ431" s="1231"/>
      <c r="BK431" s="849"/>
      <c r="BL431" s="828" t="s">
        <v>3078</v>
      </c>
      <c r="BM431" s="856">
        <v>0.05</v>
      </c>
      <c r="BN431" s="110">
        <v>0</v>
      </c>
      <c r="BO431" s="242">
        <f t="shared" si="276"/>
        <v>0</v>
      </c>
      <c r="BP431" s="242"/>
      <c r="BQ431" s="131"/>
      <c r="BR431" s="338"/>
      <c r="BS431" s="338"/>
      <c r="BT431" s="338"/>
      <c r="BU431" s="338"/>
      <c r="BV431" s="338"/>
      <c r="BW431" s="338"/>
      <c r="BX431" s="338"/>
      <c r="BY431" s="338"/>
      <c r="BZ431" s="338"/>
      <c r="CA431" s="338"/>
      <c r="CB431" s="338"/>
      <c r="CC431" s="338"/>
      <c r="CD431" s="338"/>
      <c r="CE431" s="338"/>
      <c r="CF431" s="338"/>
      <c r="CG431" s="338"/>
      <c r="CH431" s="338"/>
      <c r="CI431" s="338"/>
      <c r="CJ431" s="338"/>
      <c r="CK431" s="247"/>
      <c r="CL431" s="207"/>
      <c r="CM431" s="354"/>
      <c r="CN431" s="207"/>
      <c r="CO431" s="207"/>
      <c r="CP431" s="155"/>
      <c r="CQ431" s="828"/>
      <c r="CR431" s="828"/>
      <c r="CS431" s="242"/>
      <c r="CT431" s="242"/>
      <c r="CU431" s="242"/>
      <c r="CV431" s="779"/>
      <c r="CW431" s="729"/>
      <c r="CX431" s="729"/>
      <c r="CY431" s="729"/>
      <c r="CZ431" s="729"/>
      <c r="DA431" s="729"/>
      <c r="DB431" s="729"/>
      <c r="DC431" s="729"/>
    </row>
    <row r="432" spans="1:124" ht="30" customHeight="1">
      <c r="A432" s="228"/>
      <c r="B432" s="155"/>
      <c r="C432" s="155"/>
      <c r="D432" s="757"/>
      <c r="E432" s="757"/>
      <c r="F432" s="757"/>
      <c r="G432" s="660" t="s">
        <v>1134</v>
      </c>
      <c r="H432" s="393" t="s">
        <v>3172</v>
      </c>
      <c r="I432" s="207" t="s">
        <v>3173</v>
      </c>
      <c r="J432" s="354" t="str">
        <f t="shared" si="250"/>
        <v>Massimo Zanardini</v>
      </c>
      <c r="K432" s="848">
        <v>3475097689</v>
      </c>
      <c r="L432" s="598" t="s">
        <v>3174</v>
      </c>
      <c r="M432" s="598"/>
      <c r="N432" s="131" t="s">
        <v>3058</v>
      </c>
      <c r="O432" s="1361"/>
      <c r="P432" s="255"/>
      <c r="Q432" s="255"/>
      <c r="R432" s="598" t="s">
        <v>916</v>
      </c>
      <c r="S432" s="598"/>
      <c r="T432" s="598"/>
      <c r="U432" s="598"/>
      <c r="V432" s="598"/>
      <c r="W432" s="258"/>
      <c r="X432" s="131"/>
      <c r="Y432" s="258"/>
      <c r="Z432" s="258"/>
      <c r="AA432" s="258"/>
      <c r="AB432" s="255"/>
      <c r="AC432" s="131"/>
      <c r="AD432" s="1363"/>
      <c r="AE432" s="207"/>
      <c r="AF432" s="515"/>
      <c r="AG432" s="516"/>
      <c r="AH432" s="516"/>
      <c r="AI432" s="516"/>
      <c r="AJ432" s="515"/>
      <c r="AK432" s="815"/>
      <c r="AL432" s="815"/>
      <c r="AM432" s="815"/>
      <c r="AN432" s="851"/>
      <c r="AO432" s="155"/>
      <c r="AP432" s="155"/>
      <c r="AQ432" s="155"/>
      <c r="AR432" s="515"/>
      <c r="AS432" s="121"/>
      <c r="AT432" s="121"/>
      <c r="AU432" s="121"/>
      <c r="AV432" s="568"/>
      <c r="AW432" s="121" t="s">
        <v>2369</v>
      </c>
      <c r="AX432" s="121" t="s">
        <v>2369</v>
      </c>
      <c r="AY432" s="121" t="s">
        <v>2369</v>
      </c>
      <c r="AZ432" s="889"/>
      <c r="BA432" s="902"/>
      <c r="BB432" s="902"/>
      <c r="BC432" s="110"/>
      <c r="BD432" s="242"/>
      <c r="BE432" s="1231"/>
      <c r="BF432" s="529"/>
      <c r="BG432" s="145"/>
      <c r="BH432" s="110"/>
      <c r="BI432" s="242"/>
      <c r="BJ432" s="1231"/>
      <c r="BK432" s="529"/>
      <c r="BL432" s="529"/>
      <c r="BM432" s="145"/>
      <c r="BN432" s="110">
        <v>0</v>
      </c>
      <c r="BO432" s="242">
        <f t="shared" si="276"/>
        <v>0</v>
      </c>
      <c r="BP432" s="242"/>
      <c r="BQ432" s="131"/>
      <c r="BR432" s="338"/>
      <c r="BS432" s="338"/>
      <c r="BT432" s="338"/>
      <c r="BU432" s="338"/>
      <c r="BV432" s="338"/>
      <c r="BW432" s="338"/>
      <c r="BX432" s="338"/>
      <c r="BY432" s="338"/>
      <c r="BZ432" s="338"/>
      <c r="CA432" s="338"/>
      <c r="CB432" s="338"/>
      <c r="CC432" s="338"/>
      <c r="CD432" s="338"/>
      <c r="CE432" s="338"/>
      <c r="CF432" s="338"/>
      <c r="CG432" s="338"/>
      <c r="CH432" s="338"/>
      <c r="CI432" s="338"/>
      <c r="CJ432" s="338"/>
      <c r="CK432" s="245"/>
      <c r="CL432" s="181"/>
      <c r="CM432" s="369"/>
      <c r="CN432" s="207"/>
      <c r="CO432" s="207"/>
      <c r="CP432" s="155"/>
      <c r="CQ432" s="598"/>
      <c r="CR432" s="598"/>
      <c r="CS432" s="242"/>
      <c r="CT432" s="242"/>
      <c r="CU432" s="242"/>
      <c r="CV432" s="729"/>
      <c r="CW432" s="729"/>
      <c r="CX432" s="729"/>
      <c r="CY432" s="729"/>
      <c r="CZ432" s="729"/>
      <c r="DA432" s="729"/>
      <c r="DB432" s="729"/>
      <c r="DC432" s="729"/>
    </row>
    <row r="433" spans="1:124" ht="30" customHeight="1">
      <c r="A433" s="228"/>
      <c r="B433" s="155"/>
      <c r="C433" s="155"/>
      <c r="D433" s="757"/>
      <c r="E433" s="757"/>
      <c r="F433" s="757"/>
      <c r="G433" s="840" t="s">
        <v>166</v>
      </c>
      <c r="H433" s="621" t="s">
        <v>3175</v>
      </c>
      <c r="I433" s="113" t="s">
        <v>3176</v>
      </c>
      <c r="J433" s="207" t="str">
        <f t="shared" si="250"/>
        <v>Matteo Bellini</v>
      </c>
      <c r="K433" s="224"/>
      <c r="L433" s="131"/>
      <c r="M433" s="131"/>
      <c r="N433" s="289"/>
      <c r="O433" s="1277"/>
      <c r="P433" s="255"/>
      <c r="Q433" s="255"/>
      <c r="R433" s="131" t="s">
        <v>3029</v>
      </c>
      <c r="S433" s="131"/>
      <c r="T433" s="131"/>
      <c r="U433" s="131"/>
      <c r="V433" s="131"/>
      <c r="W433" s="258"/>
      <c r="X433" s="131"/>
      <c r="Y433" s="258"/>
      <c r="Z433" s="258"/>
      <c r="AA433" s="258"/>
      <c r="AB433" s="255"/>
      <c r="AC433" s="131"/>
      <c r="AD433" s="1363"/>
      <c r="AE433" s="207" t="s">
        <v>3177</v>
      </c>
      <c r="AF433" s="515"/>
      <c r="AG433" s="516" t="s">
        <v>115</v>
      </c>
      <c r="AH433" s="516" t="s">
        <v>115</v>
      </c>
      <c r="AI433" s="516" t="s">
        <v>115</v>
      </c>
      <c r="AJ433" s="515"/>
      <c r="AK433" s="155"/>
      <c r="AL433" s="155"/>
      <c r="AM433" s="155"/>
      <c r="AN433" s="515"/>
      <c r="AO433" s="155"/>
      <c r="AP433" s="155" t="s">
        <v>2404</v>
      </c>
      <c r="AQ433" s="155" t="s">
        <v>2404</v>
      </c>
      <c r="AR433" s="515"/>
      <c r="AS433" s="121"/>
      <c r="AT433" s="121"/>
      <c r="AU433" s="121"/>
      <c r="AV433" s="568"/>
      <c r="AW433" s="121"/>
      <c r="AX433" s="121"/>
      <c r="AY433" s="121"/>
      <c r="AZ433" s="889"/>
      <c r="BA433" s="902"/>
      <c r="BB433" s="902"/>
      <c r="BC433" s="110"/>
      <c r="BD433" s="242"/>
      <c r="BE433" s="1231"/>
      <c r="BF433" s="529" t="s">
        <v>2920</v>
      </c>
      <c r="BG433" s="145">
        <v>0.15</v>
      </c>
      <c r="BH433" s="110"/>
      <c r="BI433" s="242"/>
      <c r="BJ433" s="1231"/>
      <c r="BK433" s="529"/>
      <c r="BL433" s="529" t="s">
        <v>2920</v>
      </c>
      <c r="BM433" s="145">
        <v>0.05</v>
      </c>
      <c r="BN433" s="110">
        <v>0</v>
      </c>
      <c r="BO433" s="242">
        <f t="shared" si="276"/>
        <v>0</v>
      </c>
      <c r="BP433" s="242"/>
      <c r="BQ433" s="131"/>
      <c r="BR433" s="338"/>
      <c r="BS433" s="338"/>
      <c r="BT433" s="338"/>
      <c r="BU433" s="338"/>
      <c r="BV433" s="338"/>
      <c r="BW433" s="338"/>
      <c r="BX433" s="338"/>
      <c r="BY433" s="338"/>
      <c r="BZ433" s="338"/>
      <c r="CA433" s="338"/>
      <c r="CB433" s="338"/>
      <c r="CC433" s="338"/>
      <c r="CD433" s="338"/>
      <c r="CE433" s="338"/>
      <c r="CF433" s="338"/>
      <c r="CG433" s="338"/>
      <c r="CH433" s="338"/>
      <c r="CI433" s="338"/>
      <c r="CJ433" s="338"/>
      <c r="CK433" s="245" t="s">
        <v>2612</v>
      </c>
      <c r="CL433" s="181"/>
      <c r="CM433" s="369"/>
      <c r="CN433" s="181"/>
      <c r="CO433" s="181"/>
      <c r="CP433" s="121"/>
      <c r="CQ433" s="131"/>
      <c r="CR433" s="131"/>
      <c r="CS433" s="242"/>
      <c r="CT433" s="242"/>
      <c r="CU433" s="242"/>
      <c r="CV433" s="779"/>
      <c r="CW433" s="779"/>
      <c r="CX433" s="779"/>
      <c r="CY433" s="779"/>
      <c r="CZ433" s="779"/>
      <c r="DA433" s="779"/>
      <c r="DB433" s="779"/>
      <c r="DC433" s="779"/>
    </row>
    <row r="434" spans="1:124" ht="30" customHeight="1">
      <c r="A434" s="228"/>
      <c r="B434" s="155"/>
      <c r="C434" s="155"/>
      <c r="D434" s="757"/>
      <c r="E434" s="757"/>
      <c r="F434" s="757"/>
      <c r="G434" s="222" t="s">
        <v>166</v>
      </c>
      <c r="H434" s="181" t="s">
        <v>3178</v>
      </c>
      <c r="I434" s="207" t="s">
        <v>3179</v>
      </c>
      <c r="J434" s="354" t="str">
        <f t="shared" si="250"/>
        <v>Matteo Gnocco</v>
      </c>
      <c r="K434" s="224"/>
      <c r="L434" s="131"/>
      <c r="M434" s="131"/>
      <c r="N434" s="131"/>
      <c r="O434" s="1259"/>
      <c r="P434" s="255"/>
      <c r="Q434" s="255"/>
      <c r="R434" s="131"/>
      <c r="S434" s="131"/>
      <c r="T434" s="131"/>
      <c r="U434" s="131"/>
      <c r="V434" s="131"/>
      <c r="W434" s="514"/>
      <c r="X434" s="131"/>
      <c r="Y434" s="514"/>
      <c r="Z434" s="514"/>
      <c r="AA434" s="514"/>
      <c r="AB434" s="255"/>
      <c r="AC434" s="131"/>
      <c r="AD434" s="1363"/>
      <c r="AE434" s="207"/>
      <c r="AF434" s="515"/>
      <c r="AG434" s="516"/>
      <c r="AH434" s="516"/>
      <c r="AI434" s="516"/>
      <c r="AJ434" s="515"/>
      <c r="AK434" s="155"/>
      <c r="AL434" s="155"/>
      <c r="AM434" s="155"/>
      <c r="AN434" s="515"/>
      <c r="AO434" s="258"/>
      <c r="AP434" s="258"/>
      <c r="AQ434" s="258"/>
      <c r="AR434" s="515"/>
      <c r="AS434" s="956"/>
      <c r="AT434" s="956"/>
      <c r="AU434" s="956"/>
      <c r="AV434" s="568"/>
      <c r="AW434" s="956" t="s">
        <v>2369</v>
      </c>
      <c r="AX434" s="956" t="s">
        <v>2369</v>
      </c>
      <c r="AY434" s="956" t="s">
        <v>2369</v>
      </c>
      <c r="AZ434" s="889"/>
      <c r="BA434" s="902"/>
      <c r="BB434" s="902"/>
      <c r="BC434" s="110"/>
      <c r="BD434" s="242"/>
      <c r="BE434" s="1231"/>
      <c r="BF434" s="529"/>
      <c r="BG434" s="145"/>
      <c r="BH434" s="110"/>
      <c r="BI434" s="242"/>
      <c r="BJ434" s="1231"/>
      <c r="BK434" s="529"/>
      <c r="BL434" s="529"/>
      <c r="BM434" s="145"/>
      <c r="BN434" s="110">
        <v>0</v>
      </c>
      <c r="BO434" s="242">
        <f t="shared" si="276"/>
        <v>0</v>
      </c>
      <c r="BP434" s="242"/>
      <c r="BQ434" s="131"/>
      <c r="BR434" s="338"/>
      <c r="BS434" s="338"/>
      <c r="BT434" s="338"/>
      <c r="BU434" s="338"/>
      <c r="BV434" s="338"/>
      <c r="BW434" s="338"/>
      <c r="BX434" s="338"/>
      <c r="BY434" s="338"/>
      <c r="BZ434" s="338"/>
      <c r="CA434" s="338"/>
      <c r="CB434" s="338"/>
      <c r="CC434" s="338"/>
      <c r="CD434" s="338"/>
      <c r="CE434" s="338"/>
      <c r="CF434" s="338"/>
      <c r="CG434" s="338"/>
      <c r="CH434" s="338"/>
      <c r="CI434" s="338"/>
      <c r="CJ434" s="338"/>
      <c r="CK434" s="245"/>
      <c r="CL434" s="181"/>
      <c r="CM434" s="369"/>
      <c r="CN434" s="207"/>
      <c r="CO434" s="207"/>
      <c r="CP434" s="155"/>
      <c r="CQ434" s="131"/>
      <c r="CR434" s="131"/>
      <c r="CS434" s="242"/>
      <c r="CT434" s="242"/>
      <c r="CU434" s="242"/>
      <c r="CV434" s="729"/>
      <c r="CW434" s="729"/>
      <c r="CX434" s="729"/>
      <c r="CY434" s="729"/>
      <c r="CZ434" s="729"/>
      <c r="DA434" s="729"/>
      <c r="DB434" s="729"/>
      <c r="DC434" s="729"/>
      <c r="DD434" s="265"/>
      <c r="DE434" s="265"/>
      <c r="DF434" s="265"/>
      <c r="DG434" s="265"/>
      <c r="DH434" s="265"/>
      <c r="DI434" s="265"/>
      <c r="DJ434" s="265"/>
      <c r="DK434" s="265"/>
      <c r="DL434" s="265"/>
      <c r="DM434" s="265"/>
      <c r="DN434" s="265"/>
      <c r="DO434" s="265"/>
      <c r="DP434" s="265"/>
      <c r="DQ434" s="265"/>
      <c r="DR434" s="265"/>
      <c r="DS434" s="265"/>
      <c r="DT434" s="265"/>
    </row>
    <row r="435" spans="1:124" ht="90">
      <c r="A435" s="228"/>
      <c r="B435" s="155"/>
      <c r="C435" s="224"/>
      <c r="D435" s="757"/>
      <c r="E435" s="757"/>
      <c r="F435" s="757"/>
      <c r="G435" s="939" t="s">
        <v>166</v>
      </c>
      <c r="H435" s="940" t="s">
        <v>2987</v>
      </c>
      <c r="I435" s="958" t="s">
        <v>3180</v>
      </c>
      <c r="J435" s="207" t="str">
        <f t="shared" si="250"/>
        <v>Matteo Rossi</v>
      </c>
      <c r="K435" s="224"/>
      <c r="L435" s="876" t="s">
        <v>3181</v>
      </c>
      <c r="M435" s="131"/>
      <c r="N435" s="131"/>
      <c r="O435" s="1259"/>
      <c r="P435" s="623"/>
      <c r="Q435" s="623"/>
      <c r="R435" s="624" t="s">
        <v>3182</v>
      </c>
      <c r="S435" s="625"/>
      <c r="T435" s="255"/>
      <c r="U435" s="255"/>
      <c r="V435" s="131"/>
      <c r="W435" s="131"/>
      <c r="X435" s="131"/>
      <c r="Y435" s="131"/>
      <c r="Z435" s="131"/>
      <c r="AA435" s="514"/>
      <c r="AB435" s="255"/>
      <c r="AC435" s="131"/>
      <c r="AD435" s="1363" t="s">
        <v>3183</v>
      </c>
      <c r="AE435" s="514"/>
      <c r="AF435" s="627"/>
      <c r="AG435" s="1393"/>
      <c r="AH435" s="628"/>
      <c r="AI435" s="629"/>
      <c r="AJ435" s="515"/>
      <c r="AK435" s="258"/>
      <c r="AL435" s="258"/>
      <c r="AM435" s="258"/>
      <c r="AN435" s="515"/>
      <c r="AO435" s="207"/>
      <c r="AP435" s="207"/>
      <c r="AQ435" s="207"/>
      <c r="AR435" s="515"/>
      <c r="AS435" s="304" t="s">
        <v>245</v>
      </c>
      <c r="AT435" s="304" t="s">
        <v>245</v>
      </c>
      <c r="AU435" s="304" t="s">
        <v>245</v>
      </c>
      <c r="AV435" s="568"/>
      <c r="AW435" s="304"/>
      <c r="AX435" s="304"/>
      <c r="AY435" s="304"/>
      <c r="AZ435" s="889">
        <f t="shared" ref="AZ435:AZ436" si="292">BR435+BV435+BZ435+CD435+CH435</f>
        <v>3496.9700000000003</v>
      </c>
      <c r="BA435" s="808">
        <f>BT435</f>
        <v>163.93</v>
      </c>
      <c r="BB435" s="902">
        <f t="shared" ref="BB435:BB436" si="293">AZ435-BA435</f>
        <v>3333.0400000000004</v>
      </c>
      <c r="BC435" s="110">
        <v>0</v>
      </c>
      <c r="BD435" s="242">
        <f>AZ435-BC435</f>
        <v>3496.9700000000003</v>
      </c>
      <c r="BE435" s="242"/>
      <c r="BF435" s="529"/>
      <c r="BG435" s="145"/>
      <c r="BH435" s="110"/>
      <c r="BI435" s="242"/>
      <c r="BJ435" s="242"/>
      <c r="BK435" s="207"/>
      <c r="BL435" s="131"/>
      <c r="BM435" s="207"/>
      <c r="BN435" s="110">
        <v>0</v>
      </c>
      <c r="BO435" s="242">
        <f t="shared" si="276"/>
        <v>0</v>
      </c>
      <c r="BP435" s="242"/>
      <c r="BQ435" s="665"/>
      <c r="BR435" s="905">
        <v>163.93</v>
      </c>
      <c r="BS435" s="906">
        <v>43542</v>
      </c>
      <c r="BT435" s="905">
        <v>163.93</v>
      </c>
      <c r="BU435" s="1433"/>
      <c r="BV435" s="905">
        <v>1409.82</v>
      </c>
      <c r="BW435" s="906">
        <v>43563</v>
      </c>
      <c r="BX435" s="905"/>
      <c r="BY435" s="1433"/>
      <c r="BZ435" s="905">
        <v>1923.22</v>
      </c>
      <c r="CA435" s="226">
        <v>43589</v>
      </c>
      <c r="CB435" s="226"/>
      <c r="CC435" s="226"/>
      <c r="CD435" s="226"/>
      <c r="CE435" s="959"/>
      <c r="CF435" s="959"/>
      <c r="CG435" s="959"/>
      <c r="CH435" s="959"/>
      <c r="CI435" s="959"/>
      <c r="CJ435" s="959"/>
      <c r="CK435" s="1436"/>
      <c r="CL435" s="331"/>
      <c r="CM435" s="631"/>
      <c r="CN435" s="331"/>
      <c r="CO435" s="331"/>
      <c r="CP435" s="331"/>
      <c r="CQ435" s="331"/>
      <c r="CR435" s="561"/>
      <c r="CS435" s="242"/>
      <c r="CT435" s="242"/>
      <c r="CU435" s="242"/>
      <c r="CV435" s="265"/>
      <c r="CW435" s="265"/>
      <c r="CX435" s="265"/>
      <c r="CY435" s="265"/>
      <c r="CZ435" s="265"/>
      <c r="DA435" s="265"/>
      <c r="DB435" s="265"/>
      <c r="DC435" s="265"/>
    </row>
    <row r="436" spans="1:124" ht="30" customHeight="1">
      <c r="A436" s="228"/>
      <c r="B436" s="155"/>
      <c r="C436" s="155"/>
      <c r="D436" s="757"/>
      <c r="E436" s="757"/>
      <c r="F436" s="757"/>
      <c r="G436" s="948" t="s">
        <v>1945</v>
      </c>
      <c r="H436" s="949" t="s">
        <v>3184</v>
      </c>
      <c r="I436" s="207" t="s">
        <v>3185</v>
      </c>
      <c r="J436" s="207" t="str">
        <f t="shared" si="250"/>
        <v>Mattia Rinaldo Facchini</v>
      </c>
      <c r="K436" s="224"/>
      <c r="L436" s="131"/>
      <c r="M436" s="131"/>
      <c r="N436" s="289"/>
      <c r="O436" s="1277"/>
      <c r="P436" s="131"/>
      <c r="Q436" s="131"/>
      <c r="R436" s="131" t="s">
        <v>921</v>
      </c>
      <c r="S436" s="131"/>
      <c r="T436" s="131"/>
      <c r="U436" s="131"/>
      <c r="V436" s="131"/>
      <c r="W436" s="131"/>
      <c r="X436" s="131"/>
      <c r="Y436" s="131"/>
      <c r="Z436" s="131"/>
      <c r="AA436" s="131"/>
      <c r="AB436" s="255"/>
      <c r="AC436" s="131"/>
      <c r="AD436" s="224"/>
      <c r="AE436" s="207" t="s">
        <v>3186</v>
      </c>
      <c r="AF436" s="515"/>
      <c r="AG436" s="406"/>
      <c r="AH436" s="406"/>
      <c r="AI436" s="406"/>
      <c r="AJ436" s="515"/>
      <c r="AK436" s="258"/>
      <c r="AL436" s="258"/>
      <c r="AM436" s="258"/>
      <c r="AN436" s="627"/>
      <c r="AO436" s="155"/>
      <c r="AP436" s="155"/>
      <c r="AQ436" s="155"/>
      <c r="AR436" s="515"/>
      <c r="AS436" s="154"/>
      <c r="AT436" s="154"/>
      <c r="AU436" s="154"/>
      <c r="AV436" s="568"/>
      <c r="AW436" s="121"/>
      <c r="AX436" s="121"/>
      <c r="AY436" s="121"/>
      <c r="AZ436" s="889">
        <f t="shared" si="292"/>
        <v>0</v>
      </c>
      <c r="BA436" s="902">
        <f>BT436+BX436+CB436+CF436+CJ436</f>
        <v>0</v>
      </c>
      <c r="BB436" s="902">
        <f t="shared" si="293"/>
        <v>0</v>
      </c>
      <c r="BC436" s="110"/>
      <c r="BD436" s="242"/>
      <c r="BE436" s="1231"/>
      <c r="BF436" s="529" t="s">
        <v>3187</v>
      </c>
      <c r="BG436" s="145">
        <v>0.05</v>
      </c>
      <c r="BH436" s="110"/>
      <c r="BI436" s="242"/>
      <c r="BJ436" s="1231"/>
      <c r="BK436" s="529" t="s">
        <v>3188</v>
      </c>
      <c r="BL436" s="529" t="s">
        <v>3187</v>
      </c>
      <c r="BM436" s="145">
        <v>0.15</v>
      </c>
      <c r="BN436" s="110">
        <v>0</v>
      </c>
      <c r="BO436" s="242">
        <f t="shared" si="276"/>
        <v>0</v>
      </c>
      <c r="BP436" s="242"/>
      <c r="BQ436" s="665"/>
      <c r="BR436" s="338"/>
      <c r="BS436" s="338"/>
      <c r="BT436" s="338"/>
      <c r="BU436" s="338"/>
      <c r="BV436" s="338"/>
      <c r="BW436" s="338"/>
      <c r="BX436" s="338"/>
      <c r="BY436" s="338"/>
      <c r="BZ436" s="338"/>
      <c r="CA436" s="338"/>
      <c r="CB436" s="338"/>
      <c r="CC436" s="338"/>
      <c r="CD436" s="338"/>
      <c r="CE436" s="338"/>
      <c r="CF436" s="338"/>
      <c r="CG436" s="338"/>
      <c r="CH436" s="338"/>
      <c r="CI436" s="338"/>
      <c r="CJ436" s="338"/>
      <c r="CK436" s="245" t="s">
        <v>2612</v>
      </c>
      <c r="CL436" s="181"/>
      <c r="CM436" s="369"/>
      <c r="CN436" s="181"/>
      <c r="CO436" s="181"/>
      <c r="CP436" s="121"/>
      <c r="CQ436" s="131"/>
      <c r="CR436" s="131"/>
      <c r="CS436" s="242"/>
      <c r="CT436" s="242"/>
      <c r="CU436" s="242"/>
      <c r="CV436" s="779"/>
      <c r="CW436" s="779"/>
      <c r="CX436" s="779"/>
      <c r="CY436" s="779"/>
      <c r="CZ436" s="779"/>
      <c r="DA436" s="779"/>
      <c r="DB436" s="779"/>
      <c r="DC436" s="779"/>
    </row>
    <row r="437" spans="1:124" ht="30" customHeight="1">
      <c r="A437" s="228"/>
      <c r="B437" s="155"/>
      <c r="C437" s="155"/>
      <c r="D437" s="757"/>
      <c r="E437" s="757"/>
      <c r="F437" s="757"/>
      <c r="G437" s="948" t="s">
        <v>2199</v>
      </c>
      <c r="H437" s="949" t="s">
        <v>3189</v>
      </c>
      <c r="I437" s="294" t="s">
        <v>3190</v>
      </c>
      <c r="J437" s="207" t="str">
        <f t="shared" si="250"/>
        <v>Maurizio Colnaghi</v>
      </c>
      <c r="K437" s="224"/>
      <c r="L437" s="131"/>
      <c r="M437" s="131"/>
      <c r="N437" s="289"/>
      <c r="O437" s="1277"/>
      <c r="P437" s="131"/>
      <c r="Q437" s="131"/>
      <c r="R437" s="131" t="s">
        <v>3191</v>
      </c>
      <c r="S437" s="131"/>
      <c r="T437" s="131"/>
      <c r="U437" s="131"/>
      <c r="V437" s="131"/>
      <c r="W437" s="131"/>
      <c r="X437" s="131"/>
      <c r="Y437" s="131"/>
      <c r="Z437" s="131"/>
      <c r="AA437" s="131"/>
      <c r="AB437" s="255"/>
      <c r="AC437" s="131"/>
      <c r="AD437" s="224"/>
      <c r="AE437" s="207"/>
      <c r="AF437" s="515"/>
      <c r="AG437" s="155"/>
      <c r="AH437" s="155"/>
      <c r="AI437" s="155"/>
      <c r="AJ437" s="515"/>
      <c r="AK437" s="155" t="s">
        <v>115</v>
      </c>
      <c r="AL437" s="155" t="s">
        <v>115</v>
      </c>
      <c r="AM437" s="155"/>
      <c r="AN437" s="198"/>
      <c r="AO437" s="565" t="s">
        <v>165</v>
      </c>
      <c r="AP437" s="565" t="s">
        <v>165</v>
      </c>
      <c r="AQ437" s="565" t="s">
        <v>165</v>
      </c>
      <c r="AR437" s="515"/>
      <c r="AS437" s="121"/>
      <c r="AT437" s="121"/>
      <c r="AU437" s="121"/>
      <c r="AV437" s="568"/>
      <c r="AW437" s="121"/>
      <c r="AX437" s="121"/>
      <c r="AY437" s="121"/>
      <c r="AZ437" s="889"/>
      <c r="BA437" s="902"/>
      <c r="BB437" s="902"/>
      <c r="BC437" s="110"/>
      <c r="BD437" s="242"/>
      <c r="BE437" s="242"/>
      <c r="BF437" s="960" t="s">
        <v>117</v>
      </c>
      <c r="BG437" s="795">
        <v>0</v>
      </c>
      <c r="BH437" s="110"/>
      <c r="BI437" s="242"/>
      <c r="BJ437" s="242"/>
      <c r="BK437" s="1267" t="s">
        <v>118</v>
      </c>
      <c r="BL437" s="389" t="s">
        <v>152</v>
      </c>
      <c r="BM437" s="795">
        <v>0.05</v>
      </c>
      <c r="BN437" s="110">
        <v>0</v>
      </c>
      <c r="BO437" s="242">
        <f t="shared" si="276"/>
        <v>0</v>
      </c>
      <c r="BP437" s="242"/>
      <c r="BQ437" s="665"/>
      <c r="BR437" s="301"/>
      <c r="BS437" s="226"/>
      <c r="BT437" s="110"/>
      <c r="BU437" s="263"/>
      <c r="BV437" s="110"/>
      <c r="BW437" s="226"/>
      <c r="BX437" s="110"/>
      <c r="BY437" s="263"/>
      <c r="BZ437" s="110"/>
      <c r="CA437" s="226"/>
      <c r="CB437" s="349"/>
      <c r="CC437" s="263"/>
      <c r="CD437" s="110"/>
      <c r="CE437" s="226"/>
      <c r="CF437" s="110"/>
      <c r="CG437" s="263"/>
      <c r="CH437" s="110"/>
      <c r="CI437" s="226"/>
      <c r="CJ437" s="110"/>
      <c r="CK437" s="245" t="s">
        <v>2612</v>
      </c>
      <c r="CL437" s="181"/>
      <c r="CM437" s="369"/>
      <c r="CN437" s="181"/>
      <c r="CO437" s="181"/>
      <c r="CP437" s="121"/>
      <c r="CQ437" s="131"/>
      <c r="CR437" s="131"/>
      <c r="CS437" s="242"/>
      <c r="CT437" s="242"/>
      <c r="CU437" s="242"/>
      <c r="CV437" s="779"/>
      <c r="CW437" s="779"/>
      <c r="CX437" s="779"/>
      <c r="CY437" s="779"/>
      <c r="CZ437" s="779"/>
      <c r="DA437" s="779"/>
      <c r="DB437" s="779"/>
      <c r="DC437" s="779"/>
    </row>
    <row r="438" spans="1:124" ht="75">
      <c r="A438" s="228"/>
      <c r="B438" s="155"/>
      <c r="C438" s="224"/>
      <c r="D438" s="757"/>
      <c r="E438" s="757"/>
      <c r="F438" s="757"/>
      <c r="G438" s="939" t="s">
        <v>730</v>
      </c>
      <c r="H438" s="940" t="s">
        <v>3192</v>
      </c>
      <c r="I438" s="207"/>
      <c r="J438" s="207" t="str">
        <f t="shared" si="250"/>
        <v>Mauro Belotti</v>
      </c>
      <c r="K438" s="898"/>
      <c r="L438" s="876" t="s">
        <v>2983</v>
      </c>
      <c r="M438" s="183"/>
      <c r="N438" s="289"/>
      <c r="O438" s="1277"/>
      <c r="P438" s="131"/>
      <c r="Q438" s="131"/>
      <c r="R438" s="131" t="s">
        <v>2984</v>
      </c>
      <c r="S438" s="224"/>
      <c r="T438" s="255"/>
      <c r="U438" s="255"/>
      <c r="V438" s="131"/>
      <c r="W438" s="131"/>
      <c r="X438" s="131"/>
      <c r="Y438" s="131"/>
      <c r="Z438" s="131"/>
      <c r="AA438" s="514"/>
      <c r="AB438" s="255"/>
      <c r="AC438" s="131"/>
      <c r="AD438" s="1363" t="s">
        <v>2985</v>
      </c>
      <c r="AE438" s="514"/>
      <c r="AF438" s="627"/>
      <c r="AG438" s="1393"/>
      <c r="AH438" s="628"/>
      <c r="AI438" s="629"/>
      <c r="AJ438" s="515"/>
      <c r="AK438" s="155"/>
      <c r="AL438" s="155"/>
      <c r="AM438" s="155"/>
      <c r="AN438" s="198"/>
      <c r="AO438" s="878" t="s">
        <v>245</v>
      </c>
      <c r="AP438" s="878" t="s">
        <v>245</v>
      </c>
      <c r="AQ438" s="878" t="s">
        <v>245</v>
      </c>
      <c r="AR438" s="515"/>
      <c r="AS438" s="304" t="s">
        <v>245</v>
      </c>
      <c r="AT438" s="304" t="s">
        <v>245</v>
      </c>
      <c r="AU438" s="304" t="s">
        <v>245</v>
      </c>
      <c r="AV438" s="568"/>
      <c r="AW438" s="304"/>
      <c r="AX438" s="304"/>
      <c r="AY438" s="304"/>
      <c r="AZ438" s="889">
        <f>BR438+BV438+BZ438+CD438+CH438</f>
        <v>3496.9700000000003</v>
      </c>
      <c r="BA438" s="808">
        <f>BT438</f>
        <v>163.93</v>
      </c>
      <c r="BB438" s="808">
        <f>AZ438-BA438</f>
        <v>3333.0400000000004</v>
      </c>
      <c r="BC438" s="262">
        <v>0</v>
      </c>
      <c r="BD438" s="242">
        <f>AZ438-BC438</f>
        <v>3496.9700000000003</v>
      </c>
      <c r="BE438" s="242"/>
      <c r="BF438" s="899"/>
      <c r="BG438" s="900"/>
      <c r="BH438" s="110">
        <f>AZ438*BG438</f>
        <v>0</v>
      </c>
      <c r="BI438" s="242"/>
      <c r="BJ438" s="242"/>
      <c r="BK438" s="207"/>
      <c r="BL438" s="131"/>
      <c r="BM438" s="207"/>
      <c r="BN438" s="110">
        <v>0</v>
      </c>
      <c r="BO438" s="242">
        <f t="shared" si="276"/>
        <v>0</v>
      </c>
      <c r="BP438" s="242"/>
      <c r="BQ438" s="665"/>
      <c r="BR438" s="961">
        <v>163.93</v>
      </c>
      <c r="BS438" s="962">
        <v>44092</v>
      </c>
      <c r="BT438" s="961">
        <v>163.93</v>
      </c>
      <c r="BU438" s="1394"/>
      <c r="BV438" s="961">
        <v>1409.82</v>
      </c>
      <c r="BW438" s="962">
        <v>44112</v>
      </c>
      <c r="BX438" s="961"/>
      <c r="BY438" s="1394"/>
      <c r="BZ438" s="961">
        <v>1923.22</v>
      </c>
      <c r="CA438" s="226">
        <v>44169</v>
      </c>
      <c r="CB438" s="226"/>
      <c r="CC438" s="226"/>
      <c r="CD438" s="226"/>
      <c r="CE438" s="871"/>
      <c r="CF438" s="871"/>
      <c r="CG438" s="871"/>
      <c r="CH438" s="871"/>
      <c r="CI438" s="871"/>
      <c r="CJ438" s="871"/>
      <c r="CK438" s="1436"/>
      <c r="CL438" s="331"/>
      <c r="CM438" s="631"/>
      <c r="CN438" s="331"/>
      <c r="CO438" s="331"/>
      <c r="CP438" s="331"/>
      <c r="CQ438" s="331"/>
      <c r="CR438" s="561"/>
      <c r="CS438" s="242"/>
      <c r="CT438" s="242"/>
      <c r="CU438" s="242"/>
      <c r="CV438" s="265"/>
      <c r="CW438" s="265"/>
      <c r="CX438" s="265"/>
      <c r="CY438" s="265"/>
      <c r="CZ438" s="265"/>
      <c r="DA438" s="265"/>
      <c r="DB438" s="265"/>
      <c r="DC438" s="265"/>
    </row>
    <row r="439" spans="1:124" ht="30" customHeight="1">
      <c r="A439" s="228"/>
      <c r="B439" s="155"/>
      <c r="C439" s="224"/>
      <c r="D439" s="757"/>
      <c r="E439" s="757"/>
      <c r="F439" s="757"/>
      <c r="G439" s="846" t="s">
        <v>730</v>
      </c>
      <c r="H439" s="847" t="s">
        <v>3193</v>
      </c>
      <c r="I439" s="207" t="s">
        <v>3194</v>
      </c>
      <c r="J439" s="207" t="str">
        <f t="shared" si="250"/>
        <v>Mauro Munaretti</v>
      </c>
      <c r="K439" s="848"/>
      <c r="L439" s="849"/>
      <c r="M439" s="828"/>
      <c r="N439" s="828"/>
      <c r="O439" s="1361"/>
      <c r="P439" s="850" t="s">
        <v>2913</v>
      </c>
      <c r="Q439" s="850" t="s">
        <v>2913</v>
      </c>
      <c r="R439" s="828" t="s">
        <v>2914</v>
      </c>
      <c r="S439" s="828" t="s">
        <v>2915</v>
      </c>
      <c r="T439" s="828"/>
      <c r="U439" s="828"/>
      <c r="V439" s="828"/>
      <c r="W439" s="850"/>
      <c r="X439" s="558" t="s">
        <v>2916</v>
      </c>
      <c r="Y439" s="850"/>
      <c r="Z439" s="850"/>
      <c r="AA439" s="850"/>
      <c r="AB439" s="850" t="s">
        <v>2917</v>
      </c>
      <c r="AC439" s="558" t="s">
        <v>2918</v>
      </c>
      <c r="AD439" s="1362"/>
      <c r="AE439" s="869"/>
      <c r="AF439" s="851"/>
      <c r="AG439" s="852" t="s">
        <v>115</v>
      </c>
      <c r="AH439" s="852" t="s">
        <v>115</v>
      </c>
      <c r="AI439" s="852" t="s">
        <v>115</v>
      </c>
      <c r="AJ439" s="515"/>
      <c r="AK439" s="258"/>
      <c r="AL439" s="258"/>
      <c r="AM439" s="258"/>
      <c r="AN439" s="627"/>
      <c r="AO439" s="815"/>
      <c r="AP439" s="815" t="s">
        <v>2404</v>
      </c>
      <c r="AQ439" s="815" t="s">
        <v>2404</v>
      </c>
      <c r="AR439" s="515"/>
      <c r="AS439" s="609"/>
      <c r="AT439" s="609"/>
      <c r="AU439" s="609"/>
      <c r="AV439" s="568"/>
      <c r="AW439" s="609"/>
      <c r="AX439" s="609"/>
      <c r="AY439" s="609"/>
      <c r="AZ439" s="889"/>
      <c r="BA439" s="902"/>
      <c r="BB439" s="902"/>
      <c r="BC439" s="110"/>
      <c r="BD439" s="242"/>
      <c r="BE439" s="1231"/>
      <c r="BF439" s="828" t="s">
        <v>2919</v>
      </c>
      <c r="BG439" s="856">
        <v>0.15</v>
      </c>
      <c r="BH439" s="110"/>
      <c r="BI439" s="242"/>
      <c r="BJ439" s="1231"/>
      <c r="BK439" s="207"/>
      <c r="BL439" s="828" t="s">
        <v>2920</v>
      </c>
      <c r="BM439" s="856">
        <v>0.05</v>
      </c>
      <c r="BN439" s="110">
        <v>0</v>
      </c>
      <c r="BO439" s="242">
        <f t="shared" si="276"/>
        <v>0</v>
      </c>
      <c r="BP439" s="1230"/>
      <c r="BQ439" s="1377"/>
      <c r="BR439" s="858"/>
      <c r="BS439" s="859"/>
      <c r="BT439" s="858"/>
      <c r="BU439" s="862"/>
      <c r="BV439" s="858"/>
      <c r="BW439" s="860"/>
      <c r="BX439" s="861"/>
      <c r="BY439" s="862"/>
      <c r="BZ439" s="862"/>
      <c r="CA439" s="862"/>
      <c r="CB439" s="862"/>
      <c r="CC439" s="871"/>
      <c r="CD439" s="871"/>
      <c r="CE439" s="871"/>
      <c r="CF439" s="871"/>
      <c r="CG439" s="871"/>
      <c r="CH439" s="871"/>
      <c r="CI439" s="871"/>
      <c r="CJ439" s="871"/>
      <c r="CK439" s="1442"/>
      <c r="CL439" s="875"/>
      <c r="CM439" s="354"/>
      <c r="CN439" s="207"/>
      <c r="CO439" s="207"/>
      <c r="CP439" s="155"/>
      <c r="CQ439" s="828"/>
      <c r="CR439" s="828"/>
      <c r="CS439" s="242"/>
      <c r="CT439" s="242"/>
      <c r="CU439" s="242"/>
      <c r="CV439" s="779"/>
      <c r="CW439" s="729"/>
      <c r="CX439" s="729"/>
      <c r="CY439" s="729"/>
      <c r="CZ439" s="729"/>
      <c r="DA439" s="729"/>
      <c r="DB439" s="729"/>
      <c r="DC439" s="729"/>
    </row>
    <row r="440" spans="1:124" ht="30" customHeight="1">
      <c r="A440" s="228"/>
      <c r="B440" s="155"/>
      <c r="C440" s="155"/>
      <c r="D440" s="757"/>
      <c r="E440" s="757"/>
      <c r="F440" s="757"/>
      <c r="G440" s="840" t="s">
        <v>741</v>
      </c>
      <c r="H440" s="621" t="s">
        <v>3195</v>
      </c>
      <c r="I440" s="207" t="s">
        <v>3196</v>
      </c>
      <c r="J440" s="207" t="str">
        <f t="shared" si="250"/>
        <v>Michele Virgili</v>
      </c>
      <c r="K440" s="224">
        <v>3314513078</v>
      </c>
      <c r="L440" s="131"/>
      <c r="M440" s="131"/>
      <c r="N440" s="289"/>
      <c r="O440" s="1277"/>
      <c r="P440" s="155" t="s">
        <v>3197</v>
      </c>
      <c r="Q440" s="155" t="s">
        <v>3198</v>
      </c>
      <c r="R440" s="131" t="s">
        <v>3199</v>
      </c>
      <c r="S440" s="131" t="s">
        <v>3200</v>
      </c>
      <c r="T440" s="131"/>
      <c r="U440" s="131"/>
      <c r="V440" s="131"/>
      <c r="W440" s="258"/>
      <c r="X440" s="131" t="s">
        <v>3196</v>
      </c>
      <c r="Y440" s="258"/>
      <c r="Z440" s="258"/>
      <c r="AA440" s="258"/>
      <c r="AB440" s="255" t="s">
        <v>2412</v>
      </c>
      <c r="AC440" s="131"/>
      <c r="AD440" s="1363"/>
      <c r="AE440" s="207"/>
      <c r="AF440" s="515"/>
      <c r="AG440" s="516" t="s">
        <v>115</v>
      </c>
      <c r="AH440" s="516" t="s">
        <v>115</v>
      </c>
      <c r="AI440" s="516" t="s">
        <v>115</v>
      </c>
      <c r="AJ440" s="515"/>
      <c r="AK440" s="815"/>
      <c r="AL440" s="815"/>
      <c r="AM440" s="815"/>
      <c r="AN440" s="851"/>
      <c r="AO440" s="155"/>
      <c r="AP440" s="155"/>
      <c r="AQ440" s="155" t="s">
        <v>2404</v>
      </c>
      <c r="AR440" s="515"/>
      <c r="AS440" s="121"/>
      <c r="AT440" s="121"/>
      <c r="AU440" s="121"/>
      <c r="AV440" s="568"/>
      <c r="AW440" s="121"/>
      <c r="AX440" s="121"/>
      <c r="AY440" s="121"/>
      <c r="AZ440" s="889"/>
      <c r="BA440" s="902"/>
      <c r="BB440" s="902"/>
      <c r="BC440" s="110"/>
      <c r="BD440" s="242"/>
      <c r="BE440" s="1231"/>
      <c r="BF440" s="529" t="s">
        <v>3201</v>
      </c>
      <c r="BG440" s="145">
        <v>0.15</v>
      </c>
      <c r="BH440" s="110"/>
      <c r="BI440" s="242"/>
      <c r="BJ440" s="1231"/>
      <c r="BK440" s="207"/>
      <c r="BL440" s="529" t="s">
        <v>3202</v>
      </c>
      <c r="BM440" s="145">
        <v>0.05</v>
      </c>
      <c r="BN440" s="110">
        <v>0</v>
      </c>
      <c r="BO440" s="242">
        <f t="shared" si="276"/>
        <v>0</v>
      </c>
      <c r="BP440" s="1230"/>
      <c r="BQ440" s="1377"/>
      <c r="BR440" s="301"/>
      <c r="BS440" s="206"/>
      <c r="BT440" s="301"/>
      <c r="BU440" s="263"/>
      <c r="BV440" s="110"/>
      <c r="BW440" s="226"/>
      <c r="BX440" s="110"/>
      <c r="BY440" s="263"/>
      <c r="BZ440" s="110"/>
      <c r="CA440" s="226"/>
      <c r="CB440" s="110"/>
      <c r="CC440" s="263"/>
      <c r="CD440" s="110"/>
      <c r="CE440" s="226"/>
      <c r="CF440" s="110"/>
      <c r="CG440" s="263"/>
      <c r="CH440" s="110"/>
      <c r="CI440" s="226"/>
      <c r="CJ440" s="110"/>
      <c r="CK440" s="353" t="s">
        <v>2612</v>
      </c>
      <c r="CL440" s="181"/>
      <c r="CM440" s="369"/>
      <c r="CN440" s="181"/>
      <c r="CO440" s="181"/>
      <c r="CP440" s="121"/>
      <c r="CQ440" s="131"/>
      <c r="CR440" s="131"/>
      <c r="CS440" s="242"/>
      <c r="CT440" s="242"/>
      <c r="CU440" s="242"/>
      <c r="CV440" s="779"/>
      <c r="CW440" s="779"/>
      <c r="CX440" s="779"/>
      <c r="CY440" s="779"/>
      <c r="CZ440" s="779"/>
      <c r="DA440" s="779"/>
      <c r="DB440" s="779"/>
      <c r="DC440" s="779"/>
    </row>
    <row r="441" spans="1:124" ht="30" customHeight="1">
      <c r="A441" s="228"/>
      <c r="B441" s="155"/>
      <c r="C441" s="155"/>
      <c r="D441" s="757"/>
      <c r="E441" s="757"/>
      <c r="F441" s="757"/>
      <c r="G441" s="369" t="s">
        <v>3203</v>
      </c>
      <c r="H441" s="672" t="s">
        <v>3192</v>
      </c>
      <c r="I441" s="207" t="s">
        <v>3204</v>
      </c>
      <c r="J441" s="207" t="str">
        <f t="shared" si="250"/>
        <v>Michelle Belotti</v>
      </c>
      <c r="K441" s="224">
        <v>3208592025</v>
      </c>
      <c r="L441" s="131"/>
      <c r="M441" s="131"/>
      <c r="N441" s="289"/>
      <c r="O441" s="1337"/>
      <c r="P441" s="255" t="s">
        <v>3205</v>
      </c>
      <c r="Q441" s="564" t="s">
        <v>3205</v>
      </c>
      <c r="R441" s="131" t="s">
        <v>3206</v>
      </c>
      <c r="S441" s="131" t="s">
        <v>3207</v>
      </c>
      <c r="T441" s="131"/>
      <c r="U441" s="131"/>
      <c r="V441" s="131"/>
      <c r="W441" s="258"/>
      <c r="X441" s="131"/>
      <c r="Y441" s="258"/>
      <c r="Z441" s="258"/>
      <c r="AA441" s="258"/>
      <c r="AB441" s="255" t="s">
        <v>2412</v>
      </c>
      <c r="AC441" s="131" t="s">
        <v>3208</v>
      </c>
      <c r="AD441" s="1363"/>
      <c r="AE441" s="207"/>
      <c r="AF441" s="515"/>
      <c r="AG441" s="516" t="s">
        <v>115</v>
      </c>
      <c r="AH441" s="516" t="s">
        <v>115</v>
      </c>
      <c r="AI441" s="516" t="s">
        <v>115</v>
      </c>
      <c r="AJ441" s="515"/>
      <c r="AK441" s="155"/>
      <c r="AL441" s="155" t="s">
        <v>2992</v>
      </c>
      <c r="AM441" s="155"/>
      <c r="AN441" s="515"/>
      <c r="AO441" s="155"/>
      <c r="AP441" s="155" t="s">
        <v>2404</v>
      </c>
      <c r="AQ441" s="155" t="s">
        <v>2404</v>
      </c>
      <c r="AR441" s="515"/>
      <c r="AS441" s="121"/>
      <c r="AT441" s="121"/>
      <c r="AU441" s="121"/>
      <c r="AV441" s="568"/>
      <c r="AW441" s="121"/>
      <c r="AX441" s="121"/>
      <c r="AY441" s="121"/>
      <c r="AZ441" s="889"/>
      <c r="BA441" s="902"/>
      <c r="BB441" s="902"/>
      <c r="BC441" s="110"/>
      <c r="BD441" s="242"/>
      <c r="BE441" s="1231"/>
      <c r="BF441" s="966" t="s">
        <v>3000</v>
      </c>
      <c r="BG441" s="604">
        <v>0</v>
      </c>
      <c r="BH441" s="110"/>
      <c r="BI441" s="242"/>
      <c r="BJ441" s="1231"/>
      <c r="BK441" s="875"/>
      <c r="BL441" s="966" t="s">
        <v>3001</v>
      </c>
      <c r="BM441" s="604">
        <v>0.05</v>
      </c>
      <c r="BN441" s="110">
        <v>0</v>
      </c>
      <c r="BO441" s="242">
        <f t="shared" si="276"/>
        <v>0</v>
      </c>
      <c r="BP441" s="1230"/>
      <c r="BQ441" s="1377"/>
      <c r="BR441" s="301"/>
      <c r="BS441" s="206"/>
      <c r="BT441" s="301"/>
      <c r="BU441" s="263"/>
      <c r="BV441" s="110"/>
      <c r="BW441" s="226"/>
      <c r="BX441" s="110"/>
      <c r="BY441" s="263"/>
      <c r="BZ441" s="110"/>
      <c r="CA441" s="226"/>
      <c r="CB441" s="110"/>
      <c r="CC441" s="263"/>
      <c r="CD441" s="110"/>
      <c r="CE441" s="226"/>
      <c r="CF441" s="110"/>
      <c r="CG441" s="263"/>
      <c r="CH441" s="110"/>
      <c r="CI441" s="226"/>
      <c r="CJ441" s="110"/>
      <c r="CK441" s="228" t="s">
        <v>2612</v>
      </c>
      <c r="CL441" s="967"/>
      <c r="CM441" s="968"/>
      <c r="CN441" s="969"/>
      <c r="CO441" s="181"/>
      <c r="CP441" s="121"/>
      <c r="CQ441" s="131"/>
      <c r="CR441" s="131"/>
      <c r="CS441" s="242"/>
      <c r="CT441" s="242"/>
      <c r="CU441" s="242"/>
      <c r="CV441" s="779"/>
      <c r="CW441" s="779"/>
      <c r="CX441" s="779"/>
      <c r="CY441" s="779"/>
      <c r="CZ441" s="779"/>
      <c r="DA441" s="779"/>
      <c r="DB441" s="779"/>
      <c r="DC441" s="779"/>
    </row>
    <row r="442" spans="1:124" ht="105">
      <c r="A442" s="228"/>
      <c r="B442" s="155"/>
      <c r="C442" s="224"/>
      <c r="D442" s="757"/>
      <c r="E442" s="757"/>
      <c r="F442" s="757"/>
      <c r="G442" s="896" t="s">
        <v>3209</v>
      </c>
      <c r="H442" s="903" t="s">
        <v>3210</v>
      </c>
      <c r="I442" s="207"/>
      <c r="J442" s="207" t="str">
        <f t="shared" si="250"/>
        <v>Niccolò  Piccin</v>
      </c>
      <c r="K442" s="848"/>
      <c r="L442" s="876" t="s">
        <v>3211</v>
      </c>
      <c r="M442" s="131"/>
      <c r="N442" s="289"/>
      <c r="O442" s="1337"/>
      <c r="P442" s="623"/>
      <c r="Q442" s="623"/>
      <c r="R442" s="624" t="s">
        <v>3212</v>
      </c>
      <c r="S442" s="625"/>
      <c r="T442" s="255"/>
      <c r="U442" s="255"/>
      <c r="V442" s="131"/>
      <c r="W442" s="131"/>
      <c r="X442" s="131"/>
      <c r="Y442" s="131"/>
      <c r="Z442" s="131"/>
      <c r="AA442" s="514"/>
      <c r="AB442" s="255"/>
      <c r="AC442" s="131"/>
      <c r="AD442" s="1363" t="s">
        <v>3213</v>
      </c>
      <c r="AE442" s="514"/>
      <c r="AF442" s="627"/>
      <c r="AG442" s="1393"/>
      <c r="AH442" s="628"/>
      <c r="AI442" s="629"/>
      <c r="AJ442" s="515"/>
      <c r="AK442" s="155"/>
      <c r="AL442" s="155"/>
      <c r="AM442" s="155"/>
      <c r="AN442" s="515"/>
      <c r="AO442" s="207"/>
      <c r="AP442" s="207"/>
      <c r="AQ442" s="207"/>
      <c r="AR442" s="515"/>
      <c r="AS442" s="304" t="s">
        <v>245</v>
      </c>
      <c r="AT442" s="304" t="s">
        <v>245</v>
      </c>
      <c r="AU442" s="304" t="s">
        <v>245</v>
      </c>
      <c r="AV442" s="568"/>
      <c r="AW442" s="304"/>
      <c r="AX442" s="304"/>
      <c r="AY442" s="304"/>
      <c r="AZ442" s="889">
        <v>3496.98</v>
      </c>
      <c r="BA442" s="808">
        <f>BT442</f>
        <v>163.93</v>
      </c>
      <c r="BB442" s="902">
        <f>AZ442-BA442</f>
        <v>3333.05</v>
      </c>
      <c r="BC442" s="262">
        <v>0</v>
      </c>
      <c r="BD442" s="242">
        <f>AZ442-BC442</f>
        <v>3496.98</v>
      </c>
      <c r="BE442" s="242"/>
      <c r="BF442" s="899"/>
      <c r="BG442" s="904"/>
      <c r="BH442" s="349">
        <f>AZ442*BG442</f>
        <v>0</v>
      </c>
      <c r="BI442" s="242"/>
      <c r="BJ442" s="242"/>
      <c r="BK442" s="207"/>
      <c r="BL442" s="970"/>
      <c r="BM442" s="875"/>
      <c r="BN442" s="110">
        <v>0</v>
      </c>
      <c r="BO442" s="242">
        <f t="shared" si="276"/>
        <v>0</v>
      </c>
      <c r="BP442" s="242"/>
      <c r="BQ442" s="665"/>
      <c r="BR442" s="961">
        <v>163.93</v>
      </c>
      <c r="BS442" s="962">
        <v>43726</v>
      </c>
      <c r="BT442" s="961">
        <v>163.93</v>
      </c>
      <c r="BU442" s="1394"/>
      <c r="BV442" s="961">
        <v>1409.82</v>
      </c>
      <c r="BW442" s="962">
        <v>43746</v>
      </c>
      <c r="BX442" s="961"/>
      <c r="BY442" s="1394"/>
      <c r="BZ442" s="961">
        <v>1923.22</v>
      </c>
      <c r="CA442" s="226">
        <v>43803</v>
      </c>
      <c r="CB442" s="226"/>
      <c r="CC442" s="226"/>
      <c r="CD442" s="226"/>
      <c r="CE442" s="226"/>
      <c r="CF442" s="110"/>
      <c r="CG442" s="263"/>
      <c r="CH442" s="349"/>
      <c r="CI442" s="226"/>
      <c r="CJ442" s="110"/>
      <c r="CK442" s="331"/>
      <c r="CL442" s="331"/>
      <c r="CM442" s="971"/>
      <c r="CN442" s="972"/>
      <c r="CO442" s="331"/>
      <c r="CP442" s="331"/>
      <c r="CQ442" s="331"/>
      <c r="CR442" s="561"/>
      <c r="CS442" s="242"/>
      <c r="CT442" s="242"/>
      <c r="CU442" s="242"/>
      <c r="CV442" s="265"/>
      <c r="CW442" s="265"/>
      <c r="CX442" s="265"/>
      <c r="CY442" s="265"/>
      <c r="CZ442" s="265"/>
      <c r="DA442" s="265"/>
      <c r="DB442" s="265"/>
      <c r="DC442" s="265"/>
    </row>
    <row r="443" spans="1:124" ht="30" customHeight="1">
      <c r="A443" s="228"/>
      <c r="B443" s="155"/>
      <c r="C443" s="155"/>
      <c r="D443" s="757"/>
      <c r="E443" s="757"/>
      <c r="F443" s="757"/>
      <c r="G443" s="369" t="s">
        <v>127</v>
      </c>
      <c r="H443" s="672" t="s">
        <v>3214</v>
      </c>
      <c r="I443" s="207" t="s">
        <v>3215</v>
      </c>
      <c r="J443" s="207" t="str">
        <f t="shared" si="250"/>
        <v>Nicola Colucci</v>
      </c>
      <c r="K443" s="224"/>
      <c r="L443" s="598"/>
      <c r="M443" s="598"/>
      <c r="N443" s="131"/>
      <c r="O443" s="1259"/>
      <c r="P443" s="255" t="s">
        <v>3216</v>
      </c>
      <c r="Q443" s="255" t="s">
        <v>3216</v>
      </c>
      <c r="R443" s="598" t="s">
        <v>3217</v>
      </c>
      <c r="S443" s="598" t="s">
        <v>3218</v>
      </c>
      <c r="T443" s="598"/>
      <c r="U443" s="598"/>
      <c r="V443" s="598"/>
      <c r="W443" s="258"/>
      <c r="X443" s="131" t="s">
        <v>3219</v>
      </c>
      <c r="Y443" s="258"/>
      <c r="Z443" s="258"/>
      <c r="AA443" s="258"/>
      <c r="AB443" s="255" t="s">
        <v>2300</v>
      </c>
      <c r="AC443" s="131" t="s">
        <v>3220</v>
      </c>
      <c r="AD443" s="1363"/>
      <c r="AE443" s="1251" t="s">
        <v>3221</v>
      </c>
      <c r="AF443" s="515"/>
      <c r="AG443" s="516"/>
      <c r="AH443" s="516"/>
      <c r="AI443" s="516"/>
      <c r="AJ443" s="515"/>
      <c r="AK443" s="258"/>
      <c r="AL443" s="258"/>
      <c r="AM443" s="258"/>
      <c r="AN443" s="627"/>
      <c r="AO443" s="155"/>
      <c r="AP443" s="155"/>
      <c r="AQ443" s="155" t="s">
        <v>27</v>
      </c>
      <c r="AR443" s="515"/>
      <c r="AS443" s="121"/>
      <c r="AT443" s="121"/>
      <c r="AU443" s="121" t="s">
        <v>165</v>
      </c>
      <c r="AV443" s="568"/>
      <c r="AW443" s="121"/>
      <c r="AX443" s="121"/>
      <c r="AY443" s="121"/>
      <c r="AZ443" s="889"/>
      <c r="BA443" s="902"/>
      <c r="BB443" s="902"/>
      <c r="BC443" s="110"/>
      <c r="BD443" s="242"/>
      <c r="BE443" s="1231"/>
      <c r="BF443" s="529" t="s">
        <v>3121</v>
      </c>
      <c r="BG443" s="145">
        <v>0.15</v>
      </c>
      <c r="BH443" s="110"/>
      <c r="BI443" s="242"/>
      <c r="BJ443" s="1231"/>
      <c r="BK443" s="529"/>
      <c r="BL443" s="600" t="s">
        <v>3122</v>
      </c>
      <c r="BM443" s="145">
        <v>0.15</v>
      </c>
      <c r="BN443" s="110">
        <v>0</v>
      </c>
      <c r="BO443" s="242">
        <f t="shared" si="276"/>
        <v>0</v>
      </c>
      <c r="BP443" s="242"/>
      <c r="BQ443" s="665"/>
      <c r="BR443" s="301"/>
      <c r="BS443" s="206"/>
      <c r="BT443" s="301"/>
      <c r="BU443" s="263"/>
      <c r="BV443" s="110"/>
      <c r="BW443" s="226"/>
      <c r="BX443" s="110"/>
      <c r="BY443" s="263"/>
      <c r="BZ443" s="110"/>
      <c r="CA443" s="226"/>
      <c r="CB443" s="110"/>
      <c r="CC443" s="263"/>
      <c r="CD443" s="110"/>
      <c r="CE443" s="226"/>
      <c r="CF443" s="110"/>
      <c r="CG443" s="263"/>
      <c r="CH443" s="349"/>
      <c r="CI443" s="226"/>
      <c r="CJ443" s="110"/>
      <c r="CK443" s="155"/>
      <c r="CL443" s="181"/>
      <c r="CM443" s="369"/>
      <c r="CN443" s="207"/>
      <c r="CO443" s="207"/>
      <c r="CP443" s="155"/>
      <c r="CQ443" s="598"/>
      <c r="CR443" s="598"/>
      <c r="CS443" s="242"/>
      <c r="CT443" s="242"/>
      <c r="CU443" s="242"/>
      <c r="CV443" s="729"/>
      <c r="CW443" s="729"/>
      <c r="CX443" s="729"/>
      <c r="CY443" s="729"/>
      <c r="CZ443" s="729"/>
      <c r="DA443" s="729"/>
      <c r="DB443" s="729"/>
      <c r="DC443" s="729"/>
    </row>
    <row r="444" spans="1:124" ht="30" customHeight="1">
      <c r="A444" s="228"/>
      <c r="B444" s="155"/>
      <c r="C444" s="224"/>
      <c r="D444" s="757"/>
      <c r="E444" s="757"/>
      <c r="F444" s="757"/>
      <c r="G444" s="846" t="s">
        <v>127</v>
      </c>
      <c r="H444" s="974" t="s">
        <v>3222</v>
      </c>
      <c r="I444" s="875" t="s">
        <v>3223</v>
      </c>
      <c r="J444" s="207" t="str">
        <f t="shared" si="250"/>
        <v>Nicola Tommasini</v>
      </c>
      <c r="K444" s="848"/>
      <c r="L444" s="849"/>
      <c r="M444" s="828"/>
      <c r="N444" s="828"/>
      <c r="O444" s="1376"/>
      <c r="P444" s="850" t="s">
        <v>3224</v>
      </c>
      <c r="Q444" s="850" t="s">
        <v>3224</v>
      </c>
      <c r="R444" s="828" t="s">
        <v>3225</v>
      </c>
      <c r="S444" s="828" t="s">
        <v>3226</v>
      </c>
      <c r="T444" s="828"/>
      <c r="U444" s="828"/>
      <c r="V444" s="828"/>
      <c r="W444" s="850"/>
      <c r="X444" s="131"/>
      <c r="Y444" s="850"/>
      <c r="Z444" s="850"/>
      <c r="AA444" s="850"/>
      <c r="AB444" s="850" t="s">
        <v>2300</v>
      </c>
      <c r="AC444" s="558" t="s">
        <v>3227</v>
      </c>
      <c r="AD444" s="1362"/>
      <c r="AE444" s="869" t="s">
        <v>3228</v>
      </c>
      <c r="AF444" s="851"/>
      <c r="AG444" s="852" t="s">
        <v>115</v>
      </c>
      <c r="AH444" s="852" t="s">
        <v>115</v>
      </c>
      <c r="AI444" s="852" t="s">
        <v>115</v>
      </c>
      <c r="AJ444" s="515"/>
      <c r="AK444" s="155"/>
      <c r="AL444" s="155"/>
      <c r="AM444" s="155"/>
      <c r="AN444" s="515"/>
      <c r="AO444" s="815"/>
      <c r="AP444" s="976" t="s">
        <v>2404</v>
      </c>
      <c r="AQ444" s="976" t="s">
        <v>2404</v>
      </c>
      <c r="AR444" s="515"/>
      <c r="AS444" s="609"/>
      <c r="AT444" s="977"/>
      <c r="AU444" s="977"/>
      <c r="AV444" s="568"/>
      <c r="AW444" s="609"/>
      <c r="AX444" s="977"/>
      <c r="AY444" s="977"/>
      <c r="AZ444" s="889"/>
      <c r="BA444" s="902"/>
      <c r="BB444" s="902"/>
      <c r="BC444" s="110"/>
      <c r="BD444" s="242"/>
      <c r="BE444" s="1231"/>
      <c r="BF444" s="827" t="s">
        <v>3159</v>
      </c>
      <c r="BG444" s="979">
        <v>0.15</v>
      </c>
      <c r="BH444" s="110"/>
      <c r="BI444" s="242"/>
      <c r="BJ444" s="1231"/>
      <c r="BK444" s="849"/>
      <c r="BL444" s="363" t="s">
        <v>3159</v>
      </c>
      <c r="BM444" s="856">
        <v>0.15</v>
      </c>
      <c r="BN444" s="110">
        <v>0</v>
      </c>
      <c r="BO444" s="242">
        <f t="shared" si="276"/>
        <v>0</v>
      </c>
      <c r="BP444" s="242"/>
      <c r="BQ444" s="665"/>
      <c r="BR444" s="301"/>
      <c r="BS444" s="206"/>
      <c r="BT444" s="301"/>
      <c r="BU444" s="263"/>
      <c r="BV444" s="110"/>
      <c r="BW444" s="226"/>
      <c r="BX444" s="110"/>
      <c r="BY444" s="263"/>
      <c r="BZ444" s="110"/>
      <c r="CA444" s="226"/>
      <c r="CB444" s="110"/>
      <c r="CC444" s="263"/>
      <c r="CD444" s="110"/>
      <c r="CE444" s="226"/>
      <c r="CF444" s="110"/>
      <c r="CG444" s="263"/>
      <c r="CH444" s="349"/>
      <c r="CI444" s="226"/>
      <c r="CJ444" s="110"/>
      <c r="CK444" s="207"/>
      <c r="CL444" s="207"/>
      <c r="CM444" s="354"/>
      <c r="CN444" s="207"/>
      <c r="CO444" s="207"/>
      <c r="CP444" s="155"/>
      <c r="CQ444" s="828"/>
      <c r="CR444" s="828"/>
      <c r="CS444" s="242"/>
      <c r="CT444" s="242"/>
      <c r="CU444" s="242"/>
      <c r="CV444" s="779"/>
      <c r="CW444" s="779"/>
      <c r="CX444" s="779"/>
      <c r="CY444" s="779"/>
      <c r="CZ444" s="779"/>
      <c r="DA444" s="779"/>
      <c r="DB444" s="779"/>
      <c r="DC444" s="779"/>
      <c r="DD444" s="779"/>
    </row>
    <row r="445" spans="1:124" ht="30" customHeight="1">
      <c r="A445" s="228"/>
      <c r="B445" s="155"/>
      <c r="C445" s="155"/>
      <c r="D445" s="757"/>
      <c r="E445" s="757"/>
      <c r="F445" s="757"/>
      <c r="G445" s="948" t="s">
        <v>950</v>
      </c>
      <c r="H445" s="980" t="s">
        <v>3229</v>
      </c>
      <c r="I445" s="113" t="s">
        <v>3230</v>
      </c>
      <c r="J445" s="207" t="str">
        <f t="shared" si="250"/>
        <v>Paola Porro</v>
      </c>
      <c r="K445" s="224"/>
      <c r="L445" s="131"/>
      <c r="M445" s="131"/>
      <c r="N445" s="289"/>
      <c r="O445" s="1349"/>
      <c r="P445" s="131"/>
      <c r="Q445" s="131"/>
      <c r="R445" s="131" t="s">
        <v>3231</v>
      </c>
      <c r="S445" s="131"/>
      <c r="T445" s="131"/>
      <c r="U445" s="131"/>
      <c r="V445" s="131"/>
      <c r="W445" s="131"/>
      <c r="X445" s="131"/>
      <c r="Y445" s="131"/>
      <c r="Z445" s="131"/>
      <c r="AA445" s="131"/>
      <c r="AB445" s="255"/>
      <c r="AC445" s="131"/>
      <c r="AD445" s="224"/>
      <c r="AE445" s="207" t="s">
        <v>3232</v>
      </c>
      <c r="AF445" s="515"/>
      <c r="AG445" s="406"/>
      <c r="AH445" s="406"/>
      <c r="AI445" s="406"/>
      <c r="AJ445" s="515"/>
      <c r="AK445" s="359" t="s">
        <v>116</v>
      </c>
      <c r="AL445" s="353" t="s">
        <v>2992</v>
      </c>
      <c r="AM445" s="353" t="s">
        <v>2992</v>
      </c>
      <c r="AN445" s="641"/>
      <c r="AO445" s="155"/>
      <c r="AP445" s="155"/>
      <c r="AQ445" s="155"/>
      <c r="AR445" s="515"/>
      <c r="AS445" s="121"/>
      <c r="AT445" s="121"/>
      <c r="AU445" s="121"/>
      <c r="AV445" s="568"/>
      <c r="AW445" s="177" t="s">
        <v>151</v>
      </c>
      <c r="AX445" s="177" t="s">
        <v>151</v>
      </c>
      <c r="AY445" s="177" t="s">
        <v>151</v>
      </c>
      <c r="AZ445" s="889"/>
      <c r="BA445" s="902"/>
      <c r="BB445" s="902"/>
      <c r="BC445" s="110"/>
      <c r="BD445" s="242"/>
      <c r="BE445" s="1231"/>
      <c r="BF445" s="966" t="s">
        <v>3233</v>
      </c>
      <c r="BG445" s="604">
        <v>0.15</v>
      </c>
      <c r="BH445" s="110"/>
      <c r="BI445" s="242"/>
      <c r="BJ445" s="1231"/>
      <c r="BK445" s="529" t="s">
        <v>3188</v>
      </c>
      <c r="BL445" s="600" t="s">
        <v>3233</v>
      </c>
      <c r="BM445" s="145">
        <v>0.05</v>
      </c>
      <c r="BN445" s="110">
        <v>0</v>
      </c>
      <c r="BO445" s="242">
        <f t="shared" si="276"/>
        <v>0</v>
      </c>
      <c r="BP445" s="242"/>
      <c r="BQ445" s="665"/>
      <c r="BR445" s="982"/>
      <c r="BS445" s="983"/>
      <c r="BT445" s="982"/>
      <c r="BU445" s="871"/>
      <c r="BV445" s="262"/>
      <c r="BW445" s="984"/>
      <c r="BX445" s="262"/>
      <c r="BY445" s="871"/>
      <c r="BZ445" s="262"/>
      <c r="CA445" s="984"/>
      <c r="CB445" s="262"/>
      <c r="CC445" s="871"/>
      <c r="CD445" s="262"/>
      <c r="CE445" s="984"/>
      <c r="CF445" s="262"/>
      <c r="CG445" s="871"/>
      <c r="CH445" s="261"/>
      <c r="CI445" s="984"/>
      <c r="CJ445" s="262"/>
      <c r="CK445" s="895" t="s">
        <v>2612</v>
      </c>
      <c r="CL445" s="969"/>
      <c r="CM445" s="968"/>
      <c r="CN445" s="969"/>
      <c r="CO445" s="969"/>
      <c r="CP445" s="259"/>
      <c r="CQ445" s="801"/>
      <c r="CR445" s="801"/>
      <c r="CS445" s="986"/>
      <c r="CT445" s="242"/>
      <c r="CU445" s="242"/>
      <c r="CV445" s="779"/>
      <c r="CW445" s="779"/>
      <c r="CX445" s="779"/>
      <c r="CY445" s="779"/>
      <c r="CZ445" s="779"/>
      <c r="DA445" s="779"/>
      <c r="DB445" s="779"/>
      <c r="DC445" s="779"/>
    </row>
    <row r="446" spans="1:124" ht="30" customHeight="1">
      <c r="A446" s="228"/>
      <c r="B446" s="155"/>
      <c r="C446" s="155"/>
      <c r="D446" s="757"/>
      <c r="E446" s="757"/>
      <c r="F446" s="757"/>
      <c r="G446" s="659" t="s">
        <v>2511</v>
      </c>
      <c r="H446" s="660" t="s">
        <v>2301</v>
      </c>
      <c r="I446" s="207" t="s">
        <v>3234</v>
      </c>
      <c r="J446" s="207" t="str">
        <f t="shared" si="250"/>
        <v>Piergiorgio Giovi</v>
      </c>
      <c r="K446" s="224"/>
      <c r="L446" s="598"/>
      <c r="M446" s="598"/>
      <c r="N446" s="131" t="s">
        <v>3058</v>
      </c>
      <c r="O446" s="1443"/>
      <c r="P446" s="255"/>
      <c r="Q446" s="255"/>
      <c r="R446" s="598" t="s">
        <v>916</v>
      </c>
      <c r="S446" s="598"/>
      <c r="T446" s="598"/>
      <c r="U446" s="598"/>
      <c r="V446" s="598"/>
      <c r="W446" s="258"/>
      <c r="X446" s="131"/>
      <c r="Y446" s="258"/>
      <c r="Z446" s="258"/>
      <c r="AA446" s="258"/>
      <c r="AB446" s="255"/>
      <c r="AC446" s="131"/>
      <c r="AD446" s="1363"/>
      <c r="AE446" s="207"/>
      <c r="AF446" s="515"/>
      <c r="AG446" s="516"/>
      <c r="AH446" s="516"/>
      <c r="AI446" s="516"/>
      <c r="AJ446" s="515"/>
      <c r="AK446" s="155"/>
      <c r="AL446" s="155"/>
      <c r="AM446" s="155"/>
      <c r="AN446" s="198"/>
      <c r="AO446" s="155"/>
      <c r="AP446" s="155"/>
      <c r="AQ446" s="155"/>
      <c r="AR446" s="515"/>
      <c r="AS446" s="121"/>
      <c r="AT446" s="124"/>
      <c r="AU446" s="124"/>
      <c r="AV446" s="568"/>
      <c r="AW446" s="121" t="s">
        <v>2369</v>
      </c>
      <c r="AX446" s="121" t="s">
        <v>2369</v>
      </c>
      <c r="AY446" s="121" t="s">
        <v>2369</v>
      </c>
      <c r="AZ446" s="889"/>
      <c r="BA446" s="902"/>
      <c r="BB446" s="902"/>
      <c r="BC446" s="110"/>
      <c r="BD446" s="242"/>
      <c r="BE446" s="1231"/>
      <c r="BF446" s="966"/>
      <c r="BG446" s="604"/>
      <c r="BH446" s="110"/>
      <c r="BI446" s="242"/>
      <c r="BJ446" s="1231"/>
      <c r="BK446" s="529"/>
      <c r="BL446" s="600"/>
      <c r="BM446" s="145"/>
      <c r="BN446" s="110">
        <v>0</v>
      </c>
      <c r="BO446" s="242">
        <f t="shared" si="276"/>
        <v>0</v>
      </c>
      <c r="BP446" s="1230"/>
      <c r="BQ446" s="1377"/>
      <c r="BR446" s="301"/>
      <c r="BS446" s="206"/>
      <c r="BT446" s="301"/>
      <c r="BU446" s="263"/>
      <c r="BV446" s="110"/>
      <c r="BW446" s="226"/>
      <c r="BX446" s="110"/>
      <c r="BY446" s="263"/>
      <c r="BZ446" s="110"/>
      <c r="CA446" s="226"/>
      <c r="CB446" s="110"/>
      <c r="CC446" s="263"/>
      <c r="CD446" s="110"/>
      <c r="CE446" s="226"/>
      <c r="CF446" s="110"/>
      <c r="CG446" s="263"/>
      <c r="CH446" s="110"/>
      <c r="CI446" s="226"/>
      <c r="CJ446" s="110"/>
      <c r="CK446" s="155"/>
      <c r="CL446" s="181"/>
      <c r="CM446" s="181"/>
      <c r="CN446" s="207"/>
      <c r="CO446" s="207"/>
      <c r="CP446" s="155"/>
      <c r="CQ446" s="598"/>
      <c r="CR446" s="598"/>
      <c r="CS446" s="242"/>
      <c r="CT446" s="242"/>
      <c r="CU446" s="242"/>
      <c r="CV446" s="729"/>
      <c r="CW446" s="729"/>
      <c r="CX446" s="729"/>
      <c r="CY446" s="729"/>
      <c r="CZ446" s="729"/>
      <c r="DA446" s="729"/>
      <c r="DB446" s="729"/>
      <c r="DC446" s="729"/>
    </row>
    <row r="447" spans="1:124" ht="30" customHeight="1">
      <c r="A447" s="228"/>
      <c r="B447" s="155"/>
      <c r="C447" s="224"/>
      <c r="D447" s="757"/>
      <c r="E447" s="757"/>
      <c r="F447" s="757"/>
      <c r="G447" s="846" t="s">
        <v>3235</v>
      </c>
      <c r="H447" s="987" t="s">
        <v>3236</v>
      </c>
      <c r="I447" s="207" t="s">
        <v>3237</v>
      </c>
      <c r="J447" s="207" t="str">
        <f t="shared" si="250"/>
        <v>Pietro Stefano Marilli</v>
      </c>
      <c r="K447" s="848">
        <v>3496795921</v>
      </c>
      <c r="L447" s="849"/>
      <c r="M447" s="828"/>
      <c r="N447" s="828"/>
      <c r="O447" s="1376"/>
      <c r="P447" s="850" t="s">
        <v>3238</v>
      </c>
      <c r="Q447" s="850" t="s">
        <v>3238</v>
      </c>
      <c r="R447" s="828" t="s">
        <v>3239</v>
      </c>
      <c r="S447" s="828" t="s">
        <v>3240</v>
      </c>
      <c r="T447" s="828"/>
      <c r="U447" s="828"/>
      <c r="V447" s="828"/>
      <c r="W447" s="850"/>
      <c r="X447" s="131" t="s">
        <v>3237</v>
      </c>
      <c r="Y447" s="850"/>
      <c r="Z447" s="850"/>
      <c r="AA447" s="850"/>
      <c r="AB447" s="850" t="s">
        <v>2412</v>
      </c>
      <c r="AC447" s="558" t="s">
        <v>3241</v>
      </c>
      <c r="AD447" s="1362"/>
      <c r="AE447" s="869"/>
      <c r="AF447" s="851"/>
      <c r="AG447" s="852" t="s">
        <v>115</v>
      </c>
      <c r="AH447" s="852" t="s">
        <v>115</v>
      </c>
      <c r="AI447" s="852" t="s">
        <v>115</v>
      </c>
      <c r="AJ447" s="515"/>
      <c r="AK447" s="155"/>
      <c r="AL447" s="155"/>
      <c r="AM447" s="155"/>
      <c r="AN447" s="515"/>
      <c r="AO447" s="815"/>
      <c r="AP447" s="815" t="s">
        <v>154</v>
      </c>
      <c r="AQ447" s="815" t="s">
        <v>2404</v>
      </c>
      <c r="AR447" s="515"/>
      <c r="AS447" s="609"/>
      <c r="AT447" s="609"/>
      <c r="AU447" s="609"/>
      <c r="AV447" s="568"/>
      <c r="AW447" s="609"/>
      <c r="AX447" s="609"/>
      <c r="AY447" s="609"/>
      <c r="AZ447" s="889"/>
      <c r="BA447" s="902"/>
      <c r="BB447" s="902"/>
      <c r="BC447" s="110"/>
      <c r="BD447" s="242"/>
      <c r="BE447" s="1231"/>
      <c r="BF447" s="827" t="s">
        <v>3001</v>
      </c>
      <c r="BG447" s="979">
        <v>0.15</v>
      </c>
      <c r="BH447" s="110"/>
      <c r="BI447" s="242"/>
      <c r="BJ447" s="1231"/>
      <c r="BK447" s="849"/>
      <c r="BL447" s="363" t="s">
        <v>3001</v>
      </c>
      <c r="BM447" s="856">
        <v>0.05</v>
      </c>
      <c r="BN447" s="110">
        <v>0</v>
      </c>
      <c r="BO447" s="242">
        <f t="shared" si="276"/>
        <v>0</v>
      </c>
      <c r="BP447" s="1230"/>
      <c r="BQ447" s="1377"/>
      <c r="BR447" s="301"/>
      <c r="BS447" s="206"/>
      <c r="BT447" s="301"/>
      <c r="BU447" s="263"/>
      <c r="BV447" s="110"/>
      <c r="BW447" s="226"/>
      <c r="BX447" s="110"/>
      <c r="BY447" s="263"/>
      <c r="BZ447" s="110"/>
      <c r="CA447" s="226"/>
      <c r="CB447" s="110"/>
      <c r="CC447" s="263"/>
      <c r="CD447" s="110"/>
      <c r="CE447" s="226"/>
      <c r="CF447" s="110"/>
      <c r="CG447" s="263"/>
      <c r="CH447" s="110"/>
      <c r="CI447" s="226"/>
      <c r="CJ447" s="110"/>
      <c r="CK447" s="207"/>
      <c r="CL447" s="207"/>
      <c r="CM447" s="207"/>
      <c r="CN447" s="207"/>
      <c r="CO447" s="207"/>
      <c r="CP447" s="155"/>
      <c r="CQ447" s="828"/>
      <c r="CR447" s="828"/>
      <c r="CS447" s="242"/>
      <c r="CT447" s="242"/>
      <c r="CU447" s="242"/>
      <c r="CV447" s="779"/>
      <c r="CW447" s="729"/>
      <c r="CX447" s="729"/>
      <c r="CY447" s="729"/>
      <c r="CZ447" s="729"/>
      <c r="DA447" s="729"/>
      <c r="DB447" s="729"/>
      <c r="DC447" s="729"/>
    </row>
    <row r="448" spans="1:124" ht="30" customHeight="1">
      <c r="A448" s="228"/>
      <c r="B448" s="155"/>
      <c r="C448" s="224"/>
      <c r="D448" s="757"/>
      <c r="E448" s="757"/>
      <c r="F448" s="757"/>
      <c r="G448" s="846" t="s">
        <v>791</v>
      </c>
      <c r="H448" s="987" t="s">
        <v>3242</v>
      </c>
      <c r="I448" s="207" t="s">
        <v>3243</v>
      </c>
      <c r="J448" s="207" t="str">
        <f t="shared" si="250"/>
        <v>Raffaele Campalani</v>
      </c>
      <c r="K448" s="848">
        <v>3479463909</v>
      </c>
      <c r="L448" s="849"/>
      <c r="M448" s="828"/>
      <c r="N448" s="828"/>
      <c r="O448" s="1376"/>
      <c r="P448" s="850" t="s">
        <v>3244</v>
      </c>
      <c r="Q448" s="850" t="s">
        <v>3245</v>
      </c>
      <c r="R448" s="828" t="s">
        <v>3246</v>
      </c>
      <c r="S448" s="828" t="s">
        <v>3247</v>
      </c>
      <c r="T448" s="828"/>
      <c r="U448" s="828"/>
      <c r="V448" s="828"/>
      <c r="W448" s="850"/>
      <c r="X448" s="131" t="s">
        <v>3243</v>
      </c>
      <c r="Y448" s="850"/>
      <c r="Z448" s="850"/>
      <c r="AA448" s="850"/>
      <c r="AB448" s="850" t="s">
        <v>2917</v>
      </c>
      <c r="AC448" s="558" t="s">
        <v>3248</v>
      </c>
      <c r="AD448" s="1362"/>
      <c r="AE448" s="869"/>
      <c r="AF448" s="851"/>
      <c r="AG448" s="852" t="s">
        <v>115</v>
      </c>
      <c r="AH448" s="852" t="s">
        <v>115</v>
      </c>
      <c r="AI448" s="852" t="s">
        <v>115</v>
      </c>
      <c r="AJ448" s="515"/>
      <c r="AK448" s="815"/>
      <c r="AL448" s="815"/>
      <c r="AM448" s="815"/>
      <c r="AN448" s="851"/>
      <c r="AO448" s="815"/>
      <c r="AP448" s="815" t="s">
        <v>154</v>
      </c>
      <c r="AQ448" s="815" t="s">
        <v>2404</v>
      </c>
      <c r="AR448" s="515"/>
      <c r="AS448" s="609"/>
      <c r="AT448" s="609"/>
      <c r="AU448" s="609"/>
      <c r="AV448" s="568"/>
      <c r="AW448" s="609"/>
      <c r="AX448" s="609"/>
      <c r="AY448" s="609"/>
      <c r="AZ448" s="889"/>
      <c r="BA448" s="902"/>
      <c r="BB448" s="902"/>
      <c r="BC448" s="110"/>
      <c r="BD448" s="242"/>
      <c r="BE448" s="1231"/>
      <c r="BF448" s="989" t="s">
        <v>2919</v>
      </c>
      <c r="BG448" s="979">
        <v>0.15</v>
      </c>
      <c r="BH448" s="110"/>
      <c r="BI448" s="242"/>
      <c r="BJ448" s="1231"/>
      <c r="BK448" s="849"/>
      <c r="BL448" s="363" t="s">
        <v>3202</v>
      </c>
      <c r="BM448" s="856">
        <v>0.05</v>
      </c>
      <c r="BN448" s="110">
        <v>0</v>
      </c>
      <c r="BO448" s="242">
        <f t="shared" si="276"/>
        <v>0</v>
      </c>
      <c r="BP448" s="1230"/>
      <c r="BQ448" s="1377"/>
      <c r="BR448" s="301"/>
      <c r="BS448" s="206"/>
      <c r="BT448" s="301"/>
      <c r="BU448" s="263"/>
      <c r="BV448" s="110"/>
      <c r="BW448" s="226"/>
      <c r="BX448" s="110"/>
      <c r="BY448" s="263"/>
      <c r="BZ448" s="110"/>
      <c r="CA448" s="226"/>
      <c r="CB448" s="110"/>
      <c r="CC448" s="263"/>
      <c r="CD448" s="110"/>
      <c r="CE448" s="226"/>
      <c r="CF448" s="110"/>
      <c r="CG448" s="263"/>
      <c r="CH448" s="110"/>
      <c r="CI448" s="226"/>
      <c r="CJ448" s="110"/>
      <c r="CK448" s="207"/>
      <c r="CL448" s="207"/>
      <c r="CM448" s="207"/>
      <c r="CN448" s="207"/>
      <c r="CO448" s="207"/>
      <c r="CP448" s="155"/>
      <c r="CQ448" s="828"/>
      <c r="CR448" s="828"/>
      <c r="CS448" s="242"/>
      <c r="CT448" s="242"/>
      <c r="CU448" s="242"/>
      <c r="CV448" s="779"/>
      <c r="CW448" s="729"/>
      <c r="CX448" s="729"/>
      <c r="CY448" s="729"/>
      <c r="CZ448" s="729"/>
      <c r="DA448" s="729"/>
      <c r="DB448" s="729"/>
      <c r="DC448" s="729"/>
    </row>
    <row r="449" spans="1:107" ht="30" customHeight="1">
      <c r="A449" s="228"/>
      <c r="B449" s="155"/>
      <c r="C449" s="155"/>
      <c r="D449" s="757"/>
      <c r="E449" s="757"/>
      <c r="F449" s="757"/>
      <c r="G449" s="948" t="s">
        <v>287</v>
      </c>
      <c r="H449" s="980" t="s">
        <v>3249</v>
      </c>
      <c r="I449" s="294" t="s">
        <v>3250</v>
      </c>
      <c r="J449" s="207" t="str">
        <f t="shared" si="250"/>
        <v>Riccardo Belviso</v>
      </c>
      <c r="K449" s="224"/>
      <c r="L449" s="131"/>
      <c r="M449" s="131"/>
      <c r="N449" s="289"/>
      <c r="O449" s="1349"/>
      <c r="P449" s="131"/>
      <c r="Q449" s="131"/>
      <c r="R449" s="131" t="s">
        <v>3251</v>
      </c>
      <c r="S449" s="131"/>
      <c r="T449" s="131"/>
      <c r="U449" s="131"/>
      <c r="V449" s="131"/>
      <c r="W449" s="131"/>
      <c r="X449" s="131"/>
      <c r="Y449" s="131"/>
      <c r="Z449" s="131"/>
      <c r="AA449" s="131"/>
      <c r="AB449" s="255"/>
      <c r="AC449" s="131"/>
      <c r="AD449" s="224"/>
      <c r="AE449" s="207"/>
      <c r="AF449" s="515"/>
      <c r="AG449" s="406"/>
      <c r="AH449" s="406"/>
      <c r="AI449" s="406"/>
      <c r="AJ449" s="515"/>
      <c r="AK449" s="815"/>
      <c r="AL449" s="815"/>
      <c r="AM449" s="815"/>
      <c r="AN449" s="851"/>
      <c r="AO449" s="155" t="s">
        <v>245</v>
      </c>
      <c r="AP449" s="155" t="s">
        <v>245</v>
      </c>
      <c r="AQ449" s="155" t="s">
        <v>245</v>
      </c>
      <c r="AR449" s="515"/>
      <c r="AS449" s="304" t="s">
        <v>245</v>
      </c>
      <c r="AT449" s="304" t="s">
        <v>245</v>
      </c>
      <c r="AU449" s="304" t="s">
        <v>245</v>
      </c>
      <c r="AV449" s="568"/>
      <c r="AW449" s="304"/>
      <c r="AX449" s="304"/>
      <c r="AY449" s="304"/>
      <c r="AZ449" s="889"/>
      <c r="BA449" s="902"/>
      <c r="BB449" s="902"/>
      <c r="BC449" s="110"/>
      <c r="BD449" s="242"/>
      <c r="BE449" s="1231"/>
      <c r="BF449" s="131" t="s">
        <v>262</v>
      </c>
      <c r="BG449" s="604">
        <v>0.15</v>
      </c>
      <c r="BH449" s="110"/>
      <c r="BI449" s="242"/>
      <c r="BJ449" s="1231"/>
      <c r="BK449" s="849"/>
      <c r="BL449" s="161" t="s">
        <v>262</v>
      </c>
      <c r="BM449" s="604">
        <v>0.05</v>
      </c>
      <c r="BN449" s="110">
        <v>0</v>
      </c>
      <c r="BO449" s="242">
        <f t="shared" si="276"/>
        <v>0</v>
      </c>
      <c r="BP449" s="1230"/>
      <c r="BQ449" s="1377"/>
      <c r="BR449" s="301"/>
      <c r="BS449" s="206"/>
      <c r="BT449" s="301"/>
      <c r="BU449" s="263"/>
      <c r="BV449" s="110"/>
      <c r="BW449" s="226"/>
      <c r="BX449" s="110"/>
      <c r="BY449" s="263"/>
      <c r="BZ449" s="110"/>
      <c r="CA449" s="226"/>
      <c r="CB449" s="110"/>
      <c r="CC449" s="263"/>
      <c r="CD449" s="110"/>
      <c r="CE449" s="226"/>
      <c r="CF449" s="110"/>
      <c r="CG449" s="263"/>
      <c r="CH449" s="110"/>
      <c r="CI449" s="226"/>
      <c r="CJ449" s="110"/>
      <c r="CK449" s="155" t="s">
        <v>3002</v>
      </c>
      <c r="CL449" s="181"/>
      <c r="CM449" s="181"/>
      <c r="CN449" s="181"/>
      <c r="CO449" s="181"/>
      <c r="CP449" s="121"/>
      <c r="CQ449" s="131"/>
      <c r="CR449" s="131"/>
      <c r="CS449" s="242"/>
      <c r="CT449" s="242"/>
      <c r="CU449" s="242"/>
      <c r="CV449" s="779"/>
      <c r="CW449" s="779"/>
      <c r="CX449" s="779"/>
      <c r="CY449" s="779"/>
      <c r="CZ449" s="779"/>
      <c r="DA449" s="779"/>
      <c r="DB449" s="779"/>
      <c r="DC449" s="779"/>
    </row>
    <row r="450" spans="1:107" ht="30" customHeight="1">
      <c r="A450" s="228"/>
      <c r="B450" s="155"/>
      <c r="C450" s="224"/>
      <c r="D450" s="757"/>
      <c r="E450" s="757"/>
      <c r="F450" s="757"/>
      <c r="G450" s="846" t="s">
        <v>287</v>
      </c>
      <c r="H450" s="987" t="s">
        <v>3252</v>
      </c>
      <c r="I450" s="207" t="s">
        <v>3253</v>
      </c>
      <c r="J450" s="207" t="str">
        <f t="shared" si="250"/>
        <v>Riccardo Culici</v>
      </c>
      <c r="K450" s="848"/>
      <c r="L450" s="849"/>
      <c r="M450" s="828"/>
      <c r="N450" s="828"/>
      <c r="O450" s="1376"/>
      <c r="P450" s="850" t="s">
        <v>2913</v>
      </c>
      <c r="Q450" s="850" t="s">
        <v>2913</v>
      </c>
      <c r="R450" s="828" t="s">
        <v>2914</v>
      </c>
      <c r="S450" s="828" t="s">
        <v>2915</v>
      </c>
      <c r="T450" s="828"/>
      <c r="U450" s="828"/>
      <c r="V450" s="828"/>
      <c r="W450" s="850"/>
      <c r="X450" s="558" t="s">
        <v>2916</v>
      </c>
      <c r="Y450" s="850"/>
      <c r="Z450" s="850"/>
      <c r="AA450" s="850"/>
      <c r="AB450" s="850" t="s">
        <v>2917</v>
      </c>
      <c r="AC450" s="558" t="s">
        <v>2918</v>
      </c>
      <c r="AD450" s="1362"/>
      <c r="AE450" s="869"/>
      <c r="AF450" s="851"/>
      <c r="AG450" s="852" t="s">
        <v>115</v>
      </c>
      <c r="AH450" s="852" t="s">
        <v>115</v>
      </c>
      <c r="AI450" s="852" t="s">
        <v>115</v>
      </c>
      <c r="AJ450" s="515"/>
      <c r="AK450" s="155"/>
      <c r="AL450" s="155"/>
      <c r="AM450" s="155"/>
      <c r="AN450" s="198"/>
      <c r="AO450" s="815"/>
      <c r="AP450" s="815" t="s">
        <v>2404</v>
      </c>
      <c r="AQ450" s="815" t="s">
        <v>2404</v>
      </c>
      <c r="AR450" s="515"/>
      <c r="AS450" s="609"/>
      <c r="AT450" s="609"/>
      <c r="AU450" s="609"/>
      <c r="AV450" s="568"/>
      <c r="AW450" s="609"/>
      <c r="AX450" s="609"/>
      <c r="AY450" s="609"/>
      <c r="AZ450" s="889"/>
      <c r="BA450" s="902"/>
      <c r="BB450" s="902"/>
      <c r="BC450" s="110"/>
      <c r="BD450" s="242"/>
      <c r="BE450" s="1231"/>
      <c r="BF450" s="990" t="s">
        <v>2919</v>
      </c>
      <c r="BG450" s="991">
        <v>0.15</v>
      </c>
      <c r="BH450" s="110"/>
      <c r="BI450" s="242"/>
      <c r="BJ450" s="1231"/>
      <c r="BK450" s="1444"/>
      <c r="BL450" s="989" t="s">
        <v>2920</v>
      </c>
      <c r="BM450" s="991">
        <v>0.05</v>
      </c>
      <c r="BN450" s="262">
        <v>0</v>
      </c>
      <c r="BO450" s="986">
        <f t="shared" si="276"/>
        <v>0</v>
      </c>
      <c r="BP450" s="824"/>
      <c r="BQ450" s="1445"/>
      <c r="BR450" s="301"/>
      <c r="BS450" s="206"/>
      <c r="BT450" s="301"/>
      <c r="BU450" s="263"/>
      <c r="BV450" s="110"/>
      <c r="BW450" s="226"/>
      <c r="BX450" s="110"/>
      <c r="BY450" s="263"/>
      <c r="BZ450" s="110"/>
      <c r="CA450" s="226"/>
      <c r="CB450" s="110"/>
      <c r="CC450" s="263"/>
      <c r="CD450" s="110"/>
      <c r="CE450" s="226"/>
      <c r="CF450" s="110"/>
      <c r="CG450" s="263"/>
      <c r="CH450" s="110"/>
      <c r="CI450" s="226"/>
      <c r="CJ450" s="110"/>
      <c r="CK450" s="207"/>
      <c r="CL450" s="207"/>
      <c r="CM450" s="207"/>
      <c r="CN450" s="207"/>
      <c r="CO450" s="207"/>
      <c r="CP450" s="155"/>
      <c r="CQ450" s="828"/>
      <c r="CR450" s="828"/>
      <c r="CS450" s="242"/>
      <c r="CT450" s="242"/>
      <c r="CU450" s="242"/>
      <c r="CV450" s="779"/>
      <c r="CW450" s="729"/>
      <c r="CX450" s="729"/>
      <c r="CY450" s="729"/>
      <c r="CZ450" s="729"/>
      <c r="DA450" s="729"/>
      <c r="DB450" s="729"/>
      <c r="DC450" s="729"/>
    </row>
    <row r="451" spans="1:107" ht="90">
      <c r="A451" s="228"/>
      <c r="B451" s="155"/>
      <c r="C451" s="224"/>
      <c r="D451" s="757"/>
      <c r="E451" s="757"/>
      <c r="F451" s="757"/>
      <c r="G451" s="939" t="s">
        <v>287</v>
      </c>
      <c r="H451" s="995" t="s">
        <v>3254</v>
      </c>
      <c r="I451" s="207"/>
      <c r="J451" s="207" t="str">
        <f t="shared" si="250"/>
        <v>Riccardo Masnaga</v>
      </c>
      <c r="K451" s="898"/>
      <c r="L451" s="876" t="s">
        <v>3255</v>
      </c>
      <c r="M451" s="828"/>
      <c r="N451" s="828"/>
      <c r="O451" s="1376"/>
      <c r="P451" s="131"/>
      <c r="Q451" s="131"/>
      <c r="R451" s="131" t="s">
        <v>3256</v>
      </c>
      <c r="S451" s="224"/>
      <c r="T451" s="255"/>
      <c r="U451" s="255"/>
      <c r="V451" s="131"/>
      <c r="W451" s="131"/>
      <c r="X451" s="131"/>
      <c r="Y451" s="131"/>
      <c r="Z451" s="131"/>
      <c r="AA451" s="514"/>
      <c r="AB451" s="255"/>
      <c r="AC451" s="131"/>
      <c r="AD451" s="1363" t="s">
        <v>3257</v>
      </c>
      <c r="AE451" s="514"/>
      <c r="AF451" s="627"/>
      <c r="AG451" s="1393"/>
      <c r="AH451" s="628"/>
      <c r="AI451" s="629"/>
      <c r="AJ451" s="515"/>
      <c r="AK451" s="815"/>
      <c r="AL451" s="815"/>
      <c r="AM451" s="815"/>
      <c r="AN451" s="851"/>
      <c r="AO451" s="207"/>
      <c r="AP451" s="207"/>
      <c r="AQ451" s="207"/>
      <c r="AR451" s="515"/>
      <c r="AS451" s="304" t="s">
        <v>245</v>
      </c>
      <c r="AT451" s="304" t="s">
        <v>245</v>
      </c>
      <c r="AU451" s="304" t="s">
        <v>245</v>
      </c>
      <c r="AV451" s="568"/>
      <c r="AW451" s="304"/>
      <c r="AX451" s="304"/>
      <c r="AY451" s="304"/>
      <c r="AZ451" s="889">
        <v>3497</v>
      </c>
      <c r="BA451" s="808">
        <f>BT451</f>
        <v>163.93</v>
      </c>
      <c r="BB451" s="902">
        <f>AZ451-BA451</f>
        <v>3333.07</v>
      </c>
      <c r="BC451" s="261">
        <v>0</v>
      </c>
      <c r="BD451" s="986">
        <f>AZ451-BC451</f>
        <v>3497</v>
      </c>
      <c r="BE451" s="986"/>
      <c r="BF451" s="996"/>
      <c r="BG451" s="997"/>
      <c r="BH451" s="262">
        <f>AZ451*BG451</f>
        <v>0</v>
      </c>
      <c r="BI451" s="986"/>
      <c r="BJ451" s="986"/>
      <c r="BK451" s="875"/>
      <c r="BL451" s="998"/>
      <c r="BM451" s="891"/>
      <c r="BN451" s="262">
        <v>0</v>
      </c>
      <c r="BO451" s="986">
        <f t="shared" si="276"/>
        <v>0</v>
      </c>
      <c r="BP451" s="986"/>
      <c r="BQ451" s="1446"/>
      <c r="BR451" s="961">
        <v>163.93</v>
      </c>
      <c r="BS451" s="962">
        <v>44092</v>
      </c>
      <c r="BT451" s="961">
        <v>163.93</v>
      </c>
      <c r="BU451" s="1394"/>
      <c r="BV451" s="961">
        <v>1409.82</v>
      </c>
      <c r="BW451" s="962">
        <v>44112</v>
      </c>
      <c r="BX451" s="262"/>
      <c r="BY451" s="263"/>
      <c r="BZ451" s="905">
        <v>1923.22</v>
      </c>
      <c r="CA451" s="226">
        <v>44169</v>
      </c>
      <c r="CB451" s="226"/>
      <c r="CC451" s="226"/>
      <c r="CD451" s="226"/>
      <c r="CE451" s="263"/>
      <c r="CF451" s="110"/>
      <c r="CG451" s="263"/>
      <c r="CH451" s="110"/>
      <c r="CI451" s="110"/>
      <c r="CJ451" s="110"/>
      <c r="CK451" s="331"/>
      <c r="CL451" s="331"/>
      <c r="CM451" s="331"/>
      <c r="CN451" s="331"/>
      <c r="CO451" s="331"/>
      <c r="CP451" s="331"/>
      <c r="CQ451" s="331"/>
      <c r="CR451" s="561"/>
      <c r="CS451" s="242"/>
      <c r="CT451" s="242"/>
      <c r="CU451" s="242"/>
      <c r="CV451" s="265"/>
      <c r="CW451" s="265"/>
      <c r="CX451" s="265"/>
      <c r="CY451" s="265"/>
      <c r="CZ451" s="265"/>
      <c r="DA451" s="265"/>
      <c r="DB451" s="265"/>
      <c r="DC451" s="265"/>
    </row>
    <row r="452" spans="1:107" ht="30" customHeight="1">
      <c r="A452" s="228"/>
      <c r="B452" s="155"/>
      <c r="C452" s="155"/>
      <c r="D452" s="757"/>
      <c r="E452" s="757"/>
      <c r="F452" s="757"/>
      <c r="G452" s="840" t="s">
        <v>287</v>
      </c>
      <c r="H452" s="222" t="s">
        <v>2987</v>
      </c>
      <c r="I452" s="207" t="s">
        <v>3258</v>
      </c>
      <c r="J452" s="207" t="str">
        <f t="shared" si="250"/>
        <v>Riccardo Rossi</v>
      </c>
      <c r="K452" s="224">
        <v>3458397524</v>
      </c>
      <c r="L452" s="131"/>
      <c r="M452" s="131"/>
      <c r="N452" s="289"/>
      <c r="O452" s="1349"/>
      <c r="P452" s="564" t="s">
        <v>2989</v>
      </c>
      <c r="Q452" s="564" t="s">
        <v>2989</v>
      </c>
      <c r="R452" s="131" t="s">
        <v>2990</v>
      </c>
      <c r="S452" s="207" t="s">
        <v>2991</v>
      </c>
      <c r="T452" s="207"/>
      <c r="U452" s="207"/>
      <c r="V452" s="207"/>
      <c r="W452" s="258"/>
      <c r="X452" s="558" t="s">
        <v>2988</v>
      </c>
      <c r="Y452" s="258"/>
      <c r="Z452" s="258"/>
      <c r="AA452" s="258"/>
      <c r="AB452" s="255" t="s">
        <v>2968</v>
      </c>
      <c r="AC452" s="131"/>
      <c r="AD452" s="1363"/>
      <c r="AE452" s="207" t="s">
        <v>3259</v>
      </c>
      <c r="AF452" s="515"/>
      <c r="AG452" s="516" t="s">
        <v>115</v>
      </c>
      <c r="AH452" s="516" t="s">
        <v>115</v>
      </c>
      <c r="AI452" s="516" t="s">
        <v>115</v>
      </c>
      <c r="AJ452" s="515"/>
      <c r="AK452" s="258"/>
      <c r="AL452" s="258"/>
      <c r="AM452" s="258"/>
      <c r="AN452" s="627"/>
      <c r="AO452" s="155"/>
      <c r="AP452" s="155" t="s">
        <v>2404</v>
      </c>
      <c r="AQ452" s="155" t="s">
        <v>2404</v>
      </c>
      <c r="AR452" s="515"/>
      <c r="AS452" s="121"/>
      <c r="AT452" s="121"/>
      <c r="AU452" s="121"/>
      <c r="AV452" s="568"/>
      <c r="AW452" s="121"/>
      <c r="AX452" s="121"/>
      <c r="AY452" s="121"/>
      <c r="AZ452" s="760"/>
      <c r="BA452" s="808"/>
      <c r="BB452" s="808"/>
      <c r="BC452" s="110"/>
      <c r="BD452" s="242"/>
      <c r="BE452" s="1231"/>
      <c r="BF452" s="529" t="s">
        <v>2920</v>
      </c>
      <c r="BG452" s="145">
        <v>0.15</v>
      </c>
      <c r="BH452" s="110"/>
      <c r="BI452" s="242"/>
      <c r="BJ452" s="1231"/>
      <c r="BK452" s="207"/>
      <c r="BL452" s="529" t="s">
        <v>2920</v>
      </c>
      <c r="BM452" s="145">
        <v>0.05</v>
      </c>
      <c r="BN452" s="110">
        <v>0</v>
      </c>
      <c r="BO452" s="242">
        <f t="shared" si="276"/>
        <v>0</v>
      </c>
      <c r="BP452" s="242"/>
      <c r="BQ452" s="665"/>
      <c r="BR452" s="301"/>
      <c r="BS452" s="206"/>
      <c r="BT452" s="301"/>
      <c r="BU452" s="263"/>
      <c r="BV452" s="110"/>
      <c r="BW452" s="226"/>
      <c r="BX452" s="110"/>
      <c r="BY452" s="263"/>
      <c r="BZ452" s="110"/>
      <c r="CA452" s="226"/>
      <c r="CB452" s="110"/>
      <c r="CC452" s="263"/>
      <c r="CD452" s="110"/>
      <c r="CE452" s="226"/>
      <c r="CF452" s="110"/>
      <c r="CG452" s="263"/>
      <c r="CH452" s="110"/>
      <c r="CI452" s="226"/>
      <c r="CJ452" s="110"/>
      <c r="CK452" s="155" t="s">
        <v>2612</v>
      </c>
      <c r="CL452" s="181"/>
      <c r="CM452" s="181"/>
      <c r="CN452" s="181"/>
      <c r="CO452" s="181"/>
      <c r="CP452" s="121"/>
      <c r="CQ452" s="131"/>
      <c r="CR452" s="131"/>
      <c r="CS452" s="242"/>
      <c r="CT452" s="242"/>
      <c r="CU452" s="242"/>
      <c r="CV452" s="779"/>
      <c r="CW452" s="779"/>
      <c r="CX452" s="779"/>
      <c r="CY452" s="779"/>
      <c r="CZ452" s="779"/>
      <c r="DA452" s="779"/>
      <c r="DB452" s="779"/>
      <c r="DC452" s="779"/>
    </row>
    <row r="453" spans="1:107" ht="30" customHeight="1">
      <c r="A453" s="228"/>
      <c r="B453" s="155"/>
      <c r="C453" s="224"/>
      <c r="D453" s="757"/>
      <c r="E453" s="757"/>
      <c r="F453" s="757"/>
      <c r="G453" s="1000" t="s">
        <v>822</v>
      </c>
      <c r="H453" s="1001" t="s">
        <v>3260</v>
      </c>
      <c r="I453" s="207"/>
      <c r="J453" s="207" t="str">
        <f t="shared" si="250"/>
        <v>Roberto Gaddoni</v>
      </c>
      <c r="K453" s="224"/>
      <c r="L453" s="183"/>
      <c r="M453" s="183"/>
      <c r="N453" s="1002"/>
      <c r="O453" s="1349"/>
      <c r="P453" s="207"/>
      <c r="Q453" s="207"/>
      <c r="R453" s="131"/>
      <c r="S453" s="207"/>
      <c r="T453" s="207"/>
      <c r="U453" s="207"/>
      <c r="V453" s="207"/>
      <c r="W453" s="207"/>
      <c r="X453" s="131"/>
      <c r="Y453" s="207"/>
      <c r="Z453" s="207"/>
      <c r="AA453" s="207"/>
      <c r="AB453" s="207"/>
      <c r="AC453" s="131"/>
      <c r="AD453" s="224"/>
      <c r="AE453" s="207"/>
      <c r="AF453" s="627"/>
      <c r="AG453" s="629"/>
      <c r="AH453" s="629"/>
      <c r="AI453" s="629"/>
      <c r="AJ453" s="515"/>
      <c r="AK453" s="155"/>
      <c r="AL453" s="155"/>
      <c r="AM453" s="155"/>
      <c r="AN453" s="515"/>
      <c r="AO453" s="207"/>
      <c r="AP453" s="207"/>
      <c r="AQ453" s="207"/>
      <c r="AR453" s="515"/>
      <c r="AS453" s="181"/>
      <c r="AT453" s="181"/>
      <c r="AU453" s="121"/>
      <c r="AV453" s="568"/>
      <c r="AW453" s="181"/>
      <c r="AX453" s="181"/>
      <c r="AY453" s="121"/>
      <c r="AZ453" s="760"/>
      <c r="BA453" s="808"/>
      <c r="BB453" s="808"/>
      <c r="BC453" s="110"/>
      <c r="BD453" s="242"/>
      <c r="BE453" s="1231"/>
      <c r="BF453" s="131"/>
      <c r="BG453" s="131"/>
      <c r="BH453" s="110"/>
      <c r="BI453" s="242"/>
      <c r="BJ453" s="1231"/>
      <c r="BK453" s="207"/>
      <c r="BL453" s="131"/>
      <c r="BM453" s="207"/>
      <c r="BN453" s="110">
        <v>0</v>
      </c>
      <c r="BO453" s="242">
        <f t="shared" si="276"/>
        <v>0</v>
      </c>
      <c r="BP453" s="242"/>
      <c r="BQ453" s="207"/>
      <c r="BR453" s="301"/>
      <c r="BS453" s="206"/>
      <c r="BT453" s="301"/>
      <c r="BU453" s="263"/>
      <c r="BV453" s="110"/>
      <c r="BW453" s="226"/>
      <c r="BX453" s="110"/>
      <c r="BY453" s="263"/>
      <c r="BZ453" s="110"/>
      <c r="CA453" s="226"/>
      <c r="CB453" s="110"/>
      <c r="CC453" s="263"/>
      <c r="CD453" s="110"/>
      <c r="CE453" s="226"/>
      <c r="CF453" s="110"/>
      <c r="CG453" s="263"/>
      <c r="CH453" s="110"/>
      <c r="CI453" s="226"/>
      <c r="CJ453" s="110"/>
      <c r="CK453" s="331"/>
      <c r="CL453" s="331"/>
      <c r="CM453" s="331"/>
      <c r="CN453" s="331"/>
      <c r="CO453" s="331"/>
      <c r="CP453" s="331"/>
      <c r="CQ453" s="331"/>
      <c r="CR453" s="561"/>
      <c r="CS453" s="242"/>
      <c r="CT453" s="242"/>
      <c r="CU453" s="242"/>
      <c r="CV453" s="265"/>
      <c r="CW453" s="265"/>
      <c r="CX453" s="265"/>
      <c r="CY453" s="265"/>
      <c r="CZ453" s="265"/>
      <c r="DA453" s="265"/>
      <c r="DB453" s="265"/>
      <c r="DC453" s="265"/>
    </row>
    <row r="454" spans="1:107" ht="30" customHeight="1">
      <c r="A454" s="228"/>
      <c r="B454" s="155"/>
      <c r="C454" s="224"/>
      <c r="D454" s="757"/>
      <c r="E454" s="757"/>
      <c r="F454" s="757"/>
      <c r="G454" s="846" t="s">
        <v>822</v>
      </c>
      <c r="H454" s="987" t="s">
        <v>3261</v>
      </c>
      <c r="I454" s="207" t="s">
        <v>3262</v>
      </c>
      <c r="J454" s="207" t="str">
        <f t="shared" si="250"/>
        <v>Roberto Marchini</v>
      </c>
      <c r="K454" s="848">
        <v>3394337434</v>
      </c>
      <c r="L454" s="849"/>
      <c r="M454" s="828"/>
      <c r="N454" s="828"/>
      <c r="O454" s="1376"/>
      <c r="P454" s="850" t="s">
        <v>3263</v>
      </c>
      <c r="Q454" s="850" t="s">
        <v>3263</v>
      </c>
      <c r="R454" s="828" t="s">
        <v>3264</v>
      </c>
      <c r="S454" s="828" t="s">
        <v>3265</v>
      </c>
      <c r="T454" s="828"/>
      <c r="U454" s="828"/>
      <c r="V454" s="828"/>
      <c r="W454" s="850"/>
      <c r="X454" s="131" t="s">
        <v>3262</v>
      </c>
      <c r="Y454" s="850"/>
      <c r="Z454" s="850"/>
      <c r="AA454" s="850"/>
      <c r="AB454" s="850" t="s">
        <v>3266</v>
      </c>
      <c r="AC454" s="131"/>
      <c r="AD454" s="1362"/>
      <c r="AE454" s="869"/>
      <c r="AF454" s="851"/>
      <c r="AG454" s="852" t="s">
        <v>115</v>
      </c>
      <c r="AH454" s="852" t="s">
        <v>115</v>
      </c>
      <c r="AI454" s="852" t="s">
        <v>115</v>
      </c>
      <c r="AJ454" s="515"/>
      <c r="AK454" s="207"/>
      <c r="AL454" s="207"/>
      <c r="AM454" s="207"/>
      <c r="AN454" s="627"/>
      <c r="AO454" s="815"/>
      <c r="AP454" s="815" t="s">
        <v>154</v>
      </c>
      <c r="AQ454" s="815" t="s">
        <v>2404</v>
      </c>
      <c r="AR454" s="515"/>
      <c r="AS454" s="609"/>
      <c r="AT454" s="121"/>
      <c r="AU454" s="121"/>
      <c r="AV454" s="568"/>
      <c r="AW454" s="609"/>
      <c r="AX454" s="121"/>
      <c r="AY454" s="121"/>
      <c r="AZ454" s="760"/>
      <c r="BA454" s="808"/>
      <c r="BB454" s="808"/>
      <c r="BC454" s="110"/>
      <c r="BD454" s="242"/>
      <c r="BE454" s="1231"/>
      <c r="BF454" s="828" t="s">
        <v>3267</v>
      </c>
      <c r="BG454" s="856">
        <v>0</v>
      </c>
      <c r="BH454" s="110"/>
      <c r="BI454" s="242"/>
      <c r="BJ454" s="1231"/>
      <c r="BK454" s="849"/>
      <c r="BL454" s="828" t="s">
        <v>3001</v>
      </c>
      <c r="BM454" s="856">
        <v>0.05</v>
      </c>
      <c r="BN454" s="110">
        <v>0</v>
      </c>
      <c r="BO454" s="242">
        <f t="shared" si="276"/>
        <v>0</v>
      </c>
      <c r="BP454" s="242"/>
      <c r="BQ454" s="1440"/>
      <c r="BR454" s="301"/>
      <c r="BS454" s="206"/>
      <c r="BT454" s="301"/>
      <c r="BU454" s="263"/>
      <c r="BV454" s="110"/>
      <c r="BW454" s="226"/>
      <c r="BX454" s="110"/>
      <c r="BY454" s="263"/>
      <c r="BZ454" s="110"/>
      <c r="CA454" s="226"/>
      <c r="CB454" s="110"/>
      <c r="CC454" s="263"/>
      <c r="CD454" s="110"/>
      <c r="CE454" s="226"/>
      <c r="CF454" s="110"/>
      <c r="CG454" s="263"/>
      <c r="CH454" s="110"/>
      <c r="CI454" s="226"/>
      <c r="CJ454" s="110"/>
      <c r="CK454" s="207"/>
      <c r="CL454" s="207"/>
      <c r="CM454" s="207"/>
      <c r="CN454" s="207"/>
      <c r="CO454" s="207"/>
      <c r="CP454" s="155"/>
      <c r="CQ454" s="828"/>
      <c r="CR454" s="828"/>
      <c r="CS454" s="242"/>
      <c r="CT454" s="242"/>
      <c r="CU454" s="242"/>
      <c r="CV454" s="779"/>
      <c r="CW454" s="729"/>
      <c r="CX454" s="729"/>
      <c r="CY454" s="729"/>
      <c r="CZ454" s="729"/>
      <c r="DA454" s="729"/>
      <c r="DB454" s="729"/>
      <c r="DC454" s="729"/>
    </row>
    <row r="455" spans="1:107" ht="30" customHeight="1">
      <c r="A455" s="228"/>
      <c r="B455" s="155"/>
      <c r="C455" s="224"/>
      <c r="D455" s="757"/>
      <c r="E455" s="757"/>
      <c r="F455" s="757"/>
      <c r="G455" s="864" t="s">
        <v>822</v>
      </c>
      <c r="H455" s="865" t="s">
        <v>3268</v>
      </c>
      <c r="I455" s="207" t="s">
        <v>3269</v>
      </c>
      <c r="J455" s="207" t="str">
        <f t="shared" si="250"/>
        <v>Roberto Montella</v>
      </c>
      <c r="K455" s="848">
        <v>3395853364</v>
      </c>
      <c r="L455" s="849"/>
      <c r="M455" s="828"/>
      <c r="N455" s="828"/>
      <c r="O455" s="1376"/>
      <c r="P455" s="850" t="s">
        <v>3270</v>
      </c>
      <c r="Q455" s="1004" t="s">
        <v>3270</v>
      </c>
      <c r="R455" s="828" t="s">
        <v>3271</v>
      </c>
      <c r="S455" s="828" t="s">
        <v>3272</v>
      </c>
      <c r="T455" s="828"/>
      <c r="U455" s="828"/>
      <c r="V455" s="828"/>
      <c r="W455" s="850"/>
      <c r="X455" s="131" t="s">
        <v>3269</v>
      </c>
      <c r="Y455" s="850"/>
      <c r="Z455" s="850"/>
      <c r="AA455" s="850"/>
      <c r="AB455" s="1005" t="s">
        <v>3273</v>
      </c>
      <c r="AC455" s="131"/>
      <c r="AD455" s="1362"/>
      <c r="AE455" s="869"/>
      <c r="AF455" s="851"/>
      <c r="AG455" s="852" t="s">
        <v>115</v>
      </c>
      <c r="AH455" s="852" t="s">
        <v>115</v>
      </c>
      <c r="AI455" s="852" t="s">
        <v>115</v>
      </c>
      <c r="AJ455" s="515"/>
      <c r="AK455" s="815"/>
      <c r="AL455" s="815"/>
      <c r="AM455" s="815"/>
      <c r="AN455" s="851"/>
      <c r="AO455" s="815"/>
      <c r="AP455" s="976" t="s">
        <v>154</v>
      </c>
      <c r="AQ455" s="976" t="s">
        <v>2404</v>
      </c>
      <c r="AR455" s="515"/>
      <c r="AS455" s="609"/>
      <c r="AT455" s="121"/>
      <c r="AU455" s="121"/>
      <c r="AV455" s="568"/>
      <c r="AW455" s="609"/>
      <c r="AX455" s="121"/>
      <c r="AY455" s="121"/>
      <c r="AZ455" s="760"/>
      <c r="BA455" s="808"/>
      <c r="BB455" s="808"/>
      <c r="BC455" s="110"/>
      <c r="BD455" s="242"/>
      <c r="BE455" s="1231"/>
      <c r="BF455" s="828" t="s">
        <v>2919</v>
      </c>
      <c r="BG455" s="856">
        <v>0.15</v>
      </c>
      <c r="BH455" s="110"/>
      <c r="BI455" s="242"/>
      <c r="BJ455" s="1231"/>
      <c r="BK455" s="849"/>
      <c r="BL455" s="828" t="s">
        <v>2919</v>
      </c>
      <c r="BM455" s="856">
        <v>0.05</v>
      </c>
      <c r="BN455" s="110">
        <v>0</v>
      </c>
      <c r="BO455" s="242">
        <f t="shared" si="276"/>
        <v>0</v>
      </c>
      <c r="BP455" s="242"/>
      <c r="BQ455" s="1440"/>
      <c r="BR455" s="301"/>
      <c r="BS455" s="206"/>
      <c r="BT455" s="301"/>
      <c r="BU455" s="263"/>
      <c r="BV455" s="110"/>
      <c r="BW455" s="226"/>
      <c r="BX455" s="110"/>
      <c r="BY455" s="263"/>
      <c r="BZ455" s="110"/>
      <c r="CA455" s="226"/>
      <c r="CB455" s="110"/>
      <c r="CC455" s="263"/>
      <c r="CD455" s="110"/>
      <c r="CE455" s="226"/>
      <c r="CF455" s="110"/>
      <c r="CG455" s="263"/>
      <c r="CH455" s="110"/>
      <c r="CI455" s="226"/>
      <c r="CJ455" s="110"/>
      <c r="CK455" s="207"/>
      <c r="CL455" s="207"/>
      <c r="CM455" s="207"/>
      <c r="CN455" s="207"/>
      <c r="CO455" s="207"/>
      <c r="CP455" s="155"/>
      <c r="CQ455" s="828"/>
      <c r="CR455" s="828"/>
      <c r="CS455" s="242"/>
      <c r="CT455" s="242"/>
      <c r="CU455" s="242"/>
      <c r="CV455" s="779"/>
      <c r="CW455" s="729"/>
      <c r="CX455" s="729"/>
      <c r="CY455" s="729"/>
      <c r="CZ455" s="729"/>
      <c r="DA455" s="729"/>
      <c r="DB455" s="729"/>
      <c r="DC455" s="729"/>
    </row>
    <row r="456" spans="1:107" ht="30" customHeight="1">
      <c r="A456" s="228"/>
      <c r="B456" s="155"/>
      <c r="C456" s="155"/>
      <c r="D456" s="757"/>
      <c r="E456" s="757"/>
      <c r="F456" s="757"/>
      <c r="G456" s="840" t="s">
        <v>3274</v>
      </c>
      <c r="H456" s="222" t="s">
        <v>3275</v>
      </c>
      <c r="I456" s="207" t="s">
        <v>3276</v>
      </c>
      <c r="J456" s="207" t="str">
        <f t="shared" si="250"/>
        <v>Romina Sabatini</v>
      </c>
      <c r="K456" s="224"/>
      <c r="L456" s="131"/>
      <c r="M456" s="131"/>
      <c r="N456" s="289"/>
      <c r="O456" s="1349"/>
      <c r="P456" s="131"/>
      <c r="Q456" s="131"/>
      <c r="R456" s="131" t="s">
        <v>3277</v>
      </c>
      <c r="S456" s="131"/>
      <c r="T456" s="131"/>
      <c r="U456" s="131"/>
      <c r="V456" s="131"/>
      <c r="W456" s="131"/>
      <c r="X456" s="131"/>
      <c r="Y456" s="131"/>
      <c r="Z456" s="131"/>
      <c r="AA456" s="131"/>
      <c r="AB456" s="255"/>
      <c r="AC456" s="131"/>
      <c r="AD456" s="224"/>
      <c r="AE456" s="207" t="s">
        <v>3278</v>
      </c>
      <c r="AF456" s="515"/>
      <c r="AG456" s="155"/>
      <c r="AH456" s="155"/>
      <c r="AI456" s="155"/>
      <c r="AJ456" s="515"/>
      <c r="AK456" s="815"/>
      <c r="AL456" s="815"/>
      <c r="AM456" s="815"/>
      <c r="AN456" s="851"/>
      <c r="AO456" s="155"/>
      <c r="AP456" s="155"/>
      <c r="AQ456" s="155"/>
      <c r="AR456" s="515"/>
      <c r="AS456" s="121"/>
      <c r="AT456" s="121"/>
      <c r="AU456" s="121"/>
      <c r="AV456" s="568"/>
      <c r="AW456" s="121"/>
      <c r="AX456" s="121"/>
      <c r="AY456" s="121"/>
      <c r="AZ456" s="760"/>
      <c r="BA456" s="808"/>
      <c r="BB456" s="808"/>
      <c r="BC456" s="110"/>
      <c r="BD456" s="242"/>
      <c r="BE456" s="1231"/>
      <c r="BF456" s="529" t="s">
        <v>3279</v>
      </c>
      <c r="BG456" s="145">
        <v>0.05</v>
      </c>
      <c r="BH456" s="110"/>
      <c r="BI456" s="242"/>
      <c r="BJ456" s="1231"/>
      <c r="BK456" s="529"/>
      <c r="BL456" s="529" t="s">
        <v>3279</v>
      </c>
      <c r="BM456" s="145">
        <v>0.05</v>
      </c>
      <c r="BN456" s="110">
        <v>0</v>
      </c>
      <c r="BO456" s="242">
        <f t="shared" si="276"/>
        <v>0</v>
      </c>
      <c r="BP456" s="242"/>
      <c r="BQ456" s="191"/>
      <c r="BR456" s="301"/>
      <c r="BS456" s="206"/>
      <c r="BT456" s="301"/>
      <c r="BU456" s="263"/>
      <c r="BV456" s="110"/>
      <c r="BW456" s="226"/>
      <c r="BX456" s="110"/>
      <c r="BY456" s="263"/>
      <c r="BZ456" s="110"/>
      <c r="CA456" s="226"/>
      <c r="CB456" s="110"/>
      <c r="CC456" s="263"/>
      <c r="CD456" s="110"/>
      <c r="CE456" s="226"/>
      <c r="CF456" s="110"/>
      <c r="CG456" s="263"/>
      <c r="CH456" s="110"/>
      <c r="CI456" s="226"/>
      <c r="CJ456" s="110"/>
      <c r="CK456" s="155" t="s">
        <v>3002</v>
      </c>
      <c r="CL456" s="181"/>
      <c r="CM456" s="181"/>
      <c r="CN456" s="181"/>
      <c r="CO456" s="181"/>
      <c r="CP456" s="121"/>
      <c r="CQ456" s="131"/>
      <c r="CR456" s="131"/>
      <c r="CS456" s="242"/>
      <c r="CT456" s="242"/>
      <c r="CU456" s="242"/>
      <c r="CV456" s="779"/>
      <c r="CW456" s="779"/>
      <c r="CX456" s="779"/>
      <c r="CY456" s="779"/>
      <c r="CZ456" s="779"/>
      <c r="DA456" s="779"/>
      <c r="DB456" s="779"/>
      <c r="DC456" s="779"/>
    </row>
    <row r="457" spans="1:107" ht="30" customHeight="1">
      <c r="A457" s="228"/>
      <c r="B457" s="155"/>
      <c r="C457" s="224"/>
      <c r="D457" s="757"/>
      <c r="E457" s="757"/>
      <c r="F457" s="757"/>
      <c r="G457" s="846" t="s">
        <v>3280</v>
      </c>
      <c r="H457" s="987" t="s">
        <v>3281</v>
      </c>
      <c r="I457" s="207" t="s">
        <v>3282</v>
      </c>
      <c r="J457" s="207" t="str">
        <f t="shared" si="250"/>
        <v>Sarah Veronese</v>
      </c>
      <c r="K457" s="848">
        <v>3498873898</v>
      </c>
      <c r="L457" s="849"/>
      <c r="M457" s="828"/>
      <c r="N457" s="828"/>
      <c r="O457" s="1376"/>
      <c r="P457" s="850"/>
      <c r="Q457" s="850" t="s">
        <v>3283</v>
      </c>
      <c r="R457" s="828" t="s">
        <v>3284</v>
      </c>
      <c r="S457" s="828" t="s">
        <v>3285</v>
      </c>
      <c r="T457" s="828"/>
      <c r="U457" s="828"/>
      <c r="V457" s="828"/>
      <c r="W457" s="850"/>
      <c r="X457" s="131" t="s">
        <v>3282</v>
      </c>
      <c r="Y457" s="850"/>
      <c r="Z457" s="850"/>
      <c r="AA457" s="850"/>
      <c r="AB457" s="850"/>
      <c r="AC457" s="131"/>
      <c r="AD457" s="1362"/>
      <c r="AE457" s="869"/>
      <c r="AF457" s="851"/>
      <c r="AG457" s="852" t="s">
        <v>115</v>
      </c>
      <c r="AH457" s="852" t="s">
        <v>115</v>
      </c>
      <c r="AI457" s="852" t="s">
        <v>115</v>
      </c>
      <c r="AJ457" s="515"/>
      <c r="AK457" s="565" t="s">
        <v>165</v>
      </c>
      <c r="AL457" s="565" t="s">
        <v>165</v>
      </c>
      <c r="AM457" s="565" t="s">
        <v>165</v>
      </c>
      <c r="AN457" s="198"/>
      <c r="AO457" s="815"/>
      <c r="AP457" s="815" t="s">
        <v>154</v>
      </c>
      <c r="AQ457" s="815" t="s">
        <v>2404</v>
      </c>
      <c r="AR457" s="515"/>
      <c r="AS457" s="609"/>
      <c r="AT457" s="121"/>
      <c r="AU457" s="121"/>
      <c r="AV457" s="568"/>
      <c r="AW457" s="609"/>
      <c r="AX457" s="121"/>
      <c r="AY457" s="121"/>
      <c r="AZ457" s="760"/>
      <c r="BA457" s="808"/>
      <c r="BB457" s="808"/>
      <c r="BC457" s="110"/>
      <c r="BD457" s="242"/>
      <c r="BE457" s="1231"/>
      <c r="BF457" s="828" t="s">
        <v>3286</v>
      </c>
      <c r="BG457" s="856">
        <v>0</v>
      </c>
      <c r="BH457" s="110"/>
      <c r="BI457" s="242"/>
      <c r="BJ457" s="1231"/>
      <c r="BK457" s="849"/>
      <c r="BL457" s="828" t="s">
        <v>3001</v>
      </c>
      <c r="BM457" s="856">
        <v>0.05</v>
      </c>
      <c r="BN457" s="110">
        <v>0</v>
      </c>
      <c r="BO457" s="242">
        <f t="shared" si="276"/>
        <v>0</v>
      </c>
      <c r="BP457" s="242"/>
      <c r="BQ457" s="1440"/>
      <c r="BR457" s="301"/>
      <c r="BS457" s="206"/>
      <c r="BT457" s="301"/>
      <c r="BU457" s="263"/>
      <c r="BV457" s="110"/>
      <c r="BW457" s="226"/>
      <c r="BX457" s="110"/>
      <c r="BY457" s="263"/>
      <c r="BZ457" s="110"/>
      <c r="CA457" s="226"/>
      <c r="CB457" s="110"/>
      <c r="CC457" s="263"/>
      <c r="CD457" s="110"/>
      <c r="CE457" s="226"/>
      <c r="CF457" s="110"/>
      <c r="CG457" s="263"/>
      <c r="CH457" s="110"/>
      <c r="CI457" s="226"/>
      <c r="CJ457" s="110"/>
      <c r="CK457" s="207"/>
      <c r="CL457" s="207"/>
      <c r="CM457" s="207"/>
      <c r="CN457" s="207"/>
      <c r="CO457" s="207"/>
      <c r="CP457" s="155"/>
      <c r="CQ457" s="828"/>
      <c r="CR457" s="828"/>
      <c r="CS457" s="242"/>
      <c r="CT457" s="242"/>
      <c r="CU457" s="242"/>
      <c r="CV457" s="779"/>
      <c r="CW457" s="729"/>
      <c r="CX457" s="729"/>
      <c r="CY457" s="729"/>
      <c r="CZ457" s="729"/>
      <c r="DA457" s="729"/>
      <c r="DB457" s="729"/>
      <c r="DC457" s="729"/>
    </row>
    <row r="458" spans="1:107" ht="30" customHeight="1">
      <c r="A458" s="228"/>
      <c r="B458" s="155"/>
      <c r="C458" s="224"/>
      <c r="D458" s="757"/>
      <c r="E458" s="757"/>
      <c r="F458" s="757"/>
      <c r="G458" s="1006" t="s">
        <v>2115</v>
      </c>
      <c r="H458" s="974" t="s">
        <v>3287</v>
      </c>
      <c r="I458" s="207" t="s">
        <v>3288</v>
      </c>
      <c r="J458" s="875" t="str">
        <f t="shared" si="250"/>
        <v>Serena Conte</v>
      </c>
      <c r="K458" s="848">
        <v>3927686326</v>
      </c>
      <c r="L458" s="849"/>
      <c r="M458" s="828"/>
      <c r="N458" s="828"/>
      <c r="O458" s="1376"/>
      <c r="P458" s="850" t="s">
        <v>3289</v>
      </c>
      <c r="Q458" s="850"/>
      <c r="R458" s="828" t="s">
        <v>3290</v>
      </c>
      <c r="S458" s="828" t="s">
        <v>3291</v>
      </c>
      <c r="T458" s="828"/>
      <c r="U458" s="828"/>
      <c r="V458" s="828"/>
      <c r="W458" s="850"/>
      <c r="X458" s="131"/>
      <c r="Y458" s="850"/>
      <c r="Z458" s="850"/>
      <c r="AA458" s="850"/>
      <c r="AB458" s="850"/>
      <c r="AC458" s="131"/>
      <c r="AD458" s="1362"/>
      <c r="AE458" s="869"/>
      <c r="AF458" s="851"/>
      <c r="AG458" s="852" t="s">
        <v>115</v>
      </c>
      <c r="AH458" s="852" t="s">
        <v>115</v>
      </c>
      <c r="AI458" s="852" t="s">
        <v>115</v>
      </c>
      <c r="AJ458" s="515"/>
      <c r="AK458" s="815" t="s">
        <v>154</v>
      </c>
      <c r="AL458" s="815" t="s">
        <v>154</v>
      </c>
      <c r="AM458" s="815" t="s">
        <v>154</v>
      </c>
      <c r="AN458" s="851"/>
      <c r="AO458" s="815"/>
      <c r="AP458" s="815" t="s">
        <v>2404</v>
      </c>
      <c r="AQ458" s="815" t="s">
        <v>2404</v>
      </c>
      <c r="AR458" s="515"/>
      <c r="AS458" s="609"/>
      <c r="AT458" s="121"/>
      <c r="AU458" s="121"/>
      <c r="AV458" s="568"/>
      <c r="AW458" s="609"/>
      <c r="AX458" s="121"/>
      <c r="AY458" s="121"/>
      <c r="AZ458" s="760"/>
      <c r="BA458" s="808"/>
      <c r="BB458" s="808"/>
      <c r="BC458" s="110"/>
      <c r="BD458" s="242"/>
      <c r="BE458" s="1231"/>
      <c r="BF458" s="828" t="s">
        <v>3292</v>
      </c>
      <c r="BG458" s="856">
        <v>0.15</v>
      </c>
      <c r="BH458" s="110"/>
      <c r="BI458" s="242"/>
      <c r="BJ458" s="1231"/>
      <c r="BK458" s="849"/>
      <c r="BL458" s="828" t="s">
        <v>3292</v>
      </c>
      <c r="BM458" s="856">
        <v>0.05</v>
      </c>
      <c r="BN458" s="110">
        <v>0</v>
      </c>
      <c r="BO458" s="242">
        <f t="shared" si="276"/>
        <v>0</v>
      </c>
      <c r="BP458" s="242"/>
      <c r="BQ458" s="1440"/>
      <c r="BR458" s="301"/>
      <c r="BS458" s="206"/>
      <c r="BT458" s="301"/>
      <c r="BU458" s="263"/>
      <c r="BV458" s="110"/>
      <c r="BW458" s="226"/>
      <c r="BX458" s="110"/>
      <c r="BY458" s="263"/>
      <c r="BZ458" s="110"/>
      <c r="CA458" s="226"/>
      <c r="CB458" s="110"/>
      <c r="CC458" s="263"/>
      <c r="CD458" s="110"/>
      <c r="CE458" s="226"/>
      <c r="CF458" s="110"/>
      <c r="CG458" s="263"/>
      <c r="CH458" s="110"/>
      <c r="CI458" s="226"/>
      <c r="CJ458" s="110"/>
      <c r="CK458" s="207"/>
      <c r="CL458" s="207"/>
      <c r="CM458" s="207"/>
      <c r="CN458" s="207"/>
      <c r="CO458" s="207"/>
      <c r="CP458" s="155"/>
      <c r="CQ458" s="828"/>
      <c r="CR458" s="828"/>
      <c r="CS458" s="242"/>
      <c r="CT458" s="242"/>
      <c r="CU458" s="242"/>
      <c r="CV458" s="779"/>
      <c r="CW458" s="729"/>
      <c r="CX458" s="729"/>
      <c r="CY458" s="729"/>
      <c r="CZ458" s="729"/>
      <c r="DA458" s="729"/>
      <c r="DB458" s="729"/>
      <c r="DC458" s="729"/>
    </row>
    <row r="459" spans="1:107" ht="30" customHeight="1">
      <c r="A459" s="228"/>
      <c r="B459" s="155"/>
      <c r="C459" s="155"/>
      <c r="D459" s="757"/>
      <c r="E459" s="757"/>
      <c r="F459" s="757"/>
      <c r="G459" s="181" t="s">
        <v>3293</v>
      </c>
      <c r="H459" s="181" t="s">
        <v>3294</v>
      </c>
      <c r="I459" s="207" t="s">
        <v>3295</v>
      </c>
      <c r="J459" s="207" t="str">
        <f t="shared" si="250"/>
        <v>Serge Rota</v>
      </c>
      <c r="K459" s="224"/>
      <c r="L459" s="131"/>
      <c r="M459" s="131"/>
      <c r="N459" s="131"/>
      <c r="O459" s="1443"/>
      <c r="P459" s="37"/>
      <c r="Q459" s="37"/>
      <c r="R459" s="131" t="s">
        <v>3296</v>
      </c>
      <c r="S459" s="160"/>
      <c r="T459" s="160"/>
      <c r="U459" s="160"/>
      <c r="V459" s="160"/>
      <c r="W459" s="233"/>
      <c r="X459" s="131"/>
      <c r="Y459" s="233"/>
      <c r="Z459" s="233"/>
      <c r="AA459" s="233"/>
      <c r="AB459" s="37"/>
      <c r="AC459" s="131"/>
      <c r="AD459" s="1364"/>
      <c r="AE459" s="207"/>
      <c r="AF459" s="515"/>
      <c r="AG459" s="406"/>
      <c r="AH459" s="406"/>
      <c r="AI459" s="406"/>
      <c r="AJ459" s="515"/>
      <c r="AK459" s="815" t="s">
        <v>154</v>
      </c>
      <c r="AL459" s="815" t="s">
        <v>154</v>
      </c>
      <c r="AM459" s="815" t="s">
        <v>154</v>
      </c>
      <c r="AN459" s="950"/>
      <c r="AO459" s="155"/>
      <c r="AP459" s="155"/>
      <c r="AQ459" s="155"/>
      <c r="AR459" s="515"/>
      <c r="AS459" s="121"/>
      <c r="AT459" s="121"/>
      <c r="AU459" s="121"/>
      <c r="AV459" s="568"/>
      <c r="AW459" s="121" t="s">
        <v>2369</v>
      </c>
      <c r="AX459" s="121" t="s">
        <v>2369</v>
      </c>
      <c r="AY459" s="121" t="s">
        <v>2369</v>
      </c>
      <c r="AZ459" s="760"/>
      <c r="BA459" s="808"/>
      <c r="BB459" s="808"/>
      <c r="BC459" s="110"/>
      <c r="BD459" s="242"/>
      <c r="BE459" s="1231"/>
      <c r="BF459" s="131"/>
      <c r="BG459" s="145"/>
      <c r="BH459" s="110"/>
      <c r="BI459" s="242"/>
      <c r="BJ459" s="1231"/>
      <c r="BK459" s="131"/>
      <c r="BL459" s="529"/>
      <c r="BM459" s="145"/>
      <c r="BN459" s="110">
        <v>0</v>
      </c>
      <c r="BO459" s="242">
        <f t="shared" si="276"/>
        <v>0</v>
      </c>
      <c r="BP459" s="242"/>
      <c r="BQ459" s="131"/>
      <c r="BR459" s="110"/>
      <c r="BS459" s="206"/>
      <c r="BT459" s="301"/>
      <c r="BU459" s="206"/>
      <c r="BV459" s="206"/>
      <c r="BW459" s="206"/>
      <c r="BX459" s="206"/>
      <c r="BY459" s="206"/>
      <c r="BZ459" s="206"/>
      <c r="CA459" s="206"/>
      <c r="CB459" s="206"/>
      <c r="CC459" s="206"/>
      <c r="CD459" s="206"/>
      <c r="CE459" s="206"/>
      <c r="CF459" s="206"/>
      <c r="CG459" s="206"/>
      <c r="CH459" s="206"/>
      <c r="CI459" s="206"/>
      <c r="CJ459" s="206"/>
      <c r="CK459" s="815" t="s">
        <v>2612</v>
      </c>
      <c r="CL459" s="181"/>
      <c r="CM459" s="181"/>
      <c r="CN459" s="207"/>
      <c r="CO459" s="207"/>
      <c r="CP459" s="155"/>
      <c r="CQ459" s="131"/>
      <c r="CR459" s="131"/>
      <c r="CS459" s="242"/>
      <c r="CT459" s="242"/>
      <c r="CU459" s="242"/>
      <c r="CV459" s="729"/>
      <c r="CW459" s="729"/>
      <c r="CX459" s="729"/>
      <c r="CY459" s="729"/>
      <c r="CZ459" s="729"/>
      <c r="DA459" s="729"/>
      <c r="DB459" s="729"/>
      <c r="DC459" s="729"/>
    </row>
    <row r="460" spans="1:107" ht="30" customHeight="1">
      <c r="A460" s="228"/>
      <c r="B460" s="155"/>
      <c r="C460" s="224"/>
      <c r="D460" s="757"/>
      <c r="E460" s="757"/>
      <c r="F460" s="757"/>
      <c r="G460" s="923" t="s">
        <v>407</v>
      </c>
      <c r="H460" s="923" t="s">
        <v>3297</v>
      </c>
      <c r="I460" s="207" t="s">
        <v>3298</v>
      </c>
      <c r="J460" s="207" t="str">
        <f t="shared" si="250"/>
        <v>Stefano Battistello</v>
      </c>
      <c r="K460" s="848"/>
      <c r="L460" s="849"/>
      <c r="M460" s="828"/>
      <c r="N460" s="828"/>
      <c r="O460" s="1447"/>
      <c r="P460" s="850" t="s">
        <v>2913</v>
      </c>
      <c r="Q460" s="850" t="s">
        <v>2913</v>
      </c>
      <c r="R460" s="828" t="s">
        <v>2914</v>
      </c>
      <c r="S460" s="828" t="s">
        <v>2915</v>
      </c>
      <c r="T460" s="828"/>
      <c r="U460" s="828"/>
      <c r="V460" s="828"/>
      <c r="W460" s="850"/>
      <c r="X460" s="558" t="s">
        <v>2916</v>
      </c>
      <c r="Y460" s="850"/>
      <c r="Z460" s="850"/>
      <c r="AA460" s="850"/>
      <c r="AB460" s="850" t="s">
        <v>2917</v>
      </c>
      <c r="AC460" s="558" t="s">
        <v>2918</v>
      </c>
      <c r="AD460" s="1362"/>
      <c r="AE460" s="869"/>
      <c r="AF460" s="851"/>
      <c r="AG460" s="852" t="s">
        <v>115</v>
      </c>
      <c r="AH460" s="852" t="s">
        <v>115</v>
      </c>
      <c r="AI460" s="852" t="s">
        <v>115</v>
      </c>
      <c r="AJ460" s="515"/>
      <c r="AK460" s="155"/>
      <c r="AL460" s="155"/>
      <c r="AM460" s="155"/>
      <c r="AN460" s="515"/>
      <c r="AO460" s="815"/>
      <c r="AP460" s="815" t="s">
        <v>2404</v>
      </c>
      <c r="AQ460" s="815" t="s">
        <v>2404</v>
      </c>
      <c r="AR460" s="515"/>
      <c r="AS460" s="609"/>
      <c r="AT460" s="609"/>
      <c r="AU460" s="609"/>
      <c r="AV460" s="568"/>
      <c r="AW460" s="609"/>
      <c r="AX460" s="609"/>
      <c r="AY460" s="609"/>
      <c r="AZ460" s="760"/>
      <c r="BA460" s="808"/>
      <c r="BB460" s="808"/>
      <c r="BC460" s="110"/>
      <c r="BD460" s="242"/>
      <c r="BE460" s="1231"/>
      <c r="BF460" s="828" t="s">
        <v>2919</v>
      </c>
      <c r="BG460" s="856">
        <v>0.15</v>
      </c>
      <c r="BH460" s="110"/>
      <c r="BI460" s="242"/>
      <c r="BJ460" s="1231"/>
      <c r="BK460" s="131"/>
      <c r="BL460" s="828" t="s">
        <v>2920</v>
      </c>
      <c r="BM460" s="856">
        <v>0.05</v>
      </c>
      <c r="BN460" s="110">
        <v>0</v>
      </c>
      <c r="BO460" s="242">
        <f t="shared" si="276"/>
        <v>0</v>
      </c>
      <c r="BP460" s="242"/>
      <c r="BQ460" s="665"/>
      <c r="BR460" s="110"/>
      <c r="BS460" s="226"/>
      <c r="BT460" s="110"/>
      <c r="BU460" s="263"/>
      <c r="BV460" s="110"/>
      <c r="BW460" s="226"/>
      <c r="BX460" s="110"/>
      <c r="BY460" s="263"/>
      <c r="BZ460" s="110"/>
      <c r="CA460" s="226"/>
      <c r="CB460" s="110"/>
      <c r="CC460" s="206"/>
      <c r="CD460" s="206"/>
      <c r="CE460" s="206"/>
      <c r="CF460" s="206"/>
      <c r="CG460" s="206"/>
      <c r="CH460" s="206"/>
      <c r="CI460" s="206"/>
      <c r="CJ460" s="206"/>
      <c r="CK460" s="207"/>
      <c r="CL460" s="207"/>
      <c r="CM460" s="207"/>
      <c r="CN460" s="207"/>
      <c r="CO460" s="207"/>
      <c r="CP460" s="155"/>
      <c r="CQ460" s="828"/>
      <c r="CR460" s="828"/>
      <c r="CS460" s="242"/>
      <c r="CT460" s="242"/>
      <c r="CU460" s="242"/>
      <c r="CV460" s="779"/>
      <c r="CW460" s="729"/>
      <c r="CX460" s="729"/>
      <c r="CY460" s="729"/>
      <c r="CZ460" s="729"/>
      <c r="DA460" s="729"/>
      <c r="DB460" s="729"/>
      <c r="DC460" s="729"/>
    </row>
    <row r="461" spans="1:107" ht="30" customHeight="1">
      <c r="A461" s="228"/>
      <c r="B461" s="155"/>
      <c r="C461" s="155"/>
      <c r="D461" s="757"/>
      <c r="E461" s="757"/>
      <c r="F461" s="757"/>
      <c r="G461" s="181" t="s">
        <v>407</v>
      </c>
      <c r="H461" s="181" t="s">
        <v>3299</v>
      </c>
      <c r="I461" s="207" t="s">
        <v>3300</v>
      </c>
      <c r="J461" s="207" t="str">
        <f t="shared" si="250"/>
        <v>Stefano Ferrè</v>
      </c>
      <c r="K461" s="224"/>
      <c r="L461" s="131"/>
      <c r="M461" s="131"/>
      <c r="N461" s="289"/>
      <c r="O461" s="1434"/>
      <c r="P461" s="564" t="s">
        <v>3301</v>
      </c>
      <c r="Q461" s="564" t="s">
        <v>3301</v>
      </c>
      <c r="R461" s="131" t="s">
        <v>3302</v>
      </c>
      <c r="S461" s="131" t="s">
        <v>3303</v>
      </c>
      <c r="T461" s="131"/>
      <c r="U461" s="131"/>
      <c r="V461" s="131"/>
      <c r="W461" s="258"/>
      <c r="X461" s="131" t="s">
        <v>3300</v>
      </c>
      <c r="Y461" s="258"/>
      <c r="Z461" s="258"/>
      <c r="AA461" s="258"/>
      <c r="AB461" s="255" t="s">
        <v>3304</v>
      </c>
      <c r="AC461" s="131"/>
      <c r="AD461" s="1363"/>
      <c r="AE461" s="207"/>
      <c r="AF461" s="515"/>
      <c r="AG461" s="516" t="s">
        <v>115</v>
      </c>
      <c r="AH461" s="516" t="s">
        <v>115</v>
      </c>
      <c r="AI461" s="516" t="s">
        <v>115</v>
      </c>
      <c r="AJ461" s="515"/>
      <c r="AK461" s="815"/>
      <c r="AL461" s="815"/>
      <c r="AM461" s="815"/>
      <c r="AN461" s="851"/>
      <c r="AO461" s="155"/>
      <c r="AP461" s="155"/>
      <c r="AQ461" s="155" t="s">
        <v>2404</v>
      </c>
      <c r="AR461" s="515"/>
      <c r="AS461" s="121"/>
      <c r="AT461" s="121"/>
      <c r="AU461" s="121"/>
      <c r="AV461" s="568"/>
      <c r="AW461" s="121"/>
      <c r="AX461" s="121"/>
      <c r="AY461" s="121"/>
      <c r="AZ461" s="760"/>
      <c r="BA461" s="808"/>
      <c r="BB461" s="808"/>
      <c r="BC461" s="110"/>
      <c r="BD461" s="242"/>
      <c r="BE461" s="1231"/>
      <c r="BF461" s="529" t="s">
        <v>3305</v>
      </c>
      <c r="BG461" s="145">
        <v>0.1</v>
      </c>
      <c r="BH461" s="110"/>
      <c r="BI461" s="242"/>
      <c r="BJ461" s="1231"/>
      <c r="BK461" s="131"/>
      <c r="BL461" s="529" t="s">
        <v>3067</v>
      </c>
      <c r="BM461" s="145">
        <v>0.05</v>
      </c>
      <c r="BN461" s="110">
        <v>0</v>
      </c>
      <c r="BO461" s="242">
        <f t="shared" si="276"/>
        <v>0</v>
      </c>
      <c r="BP461" s="242"/>
      <c r="BQ461" s="665"/>
      <c r="BR461" s="110"/>
      <c r="BS461" s="226"/>
      <c r="BT461" s="110"/>
      <c r="BU461" s="263"/>
      <c r="BV461" s="110"/>
      <c r="BW461" s="226"/>
      <c r="BX461" s="110"/>
      <c r="BY461" s="263"/>
      <c r="BZ461" s="110"/>
      <c r="CA461" s="226"/>
      <c r="CB461" s="110"/>
      <c r="CC461" s="206"/>
      <c r="CD461" s="206"/>
      <c r="CE461" s="206"/>
      <c r="CF461" s="206"/>
      <c r="CG461" s="206"/>
      <c r="CH461" s="206"/>
      <c r="CI461" s="206"/>
      <c r="CJ461" s="206"/>
      <c r="CK461" s="155" t="s">
        <v>2612</v>
      </c>
      <c r="CL461" s="181"/>
      <c r="CM461" s="181"/>
      <c r="CN461" s="181"/>
      <c r="CO461" s="181"/>
      <c r="CP461" s="121"/>
      <c r="CQ461" s="131"/>
      <c r="CR461" s="131"/>
      <c r="CS461" s="242"/>
      <c r="CT461" s="242"/>
      <c r="CU461" s="242"/>
      <c r="CV461" s="779"/>
      <c r="CW461" s="779"/>
      <c r="CX461" s="779"/>
      <c r="CY461" s="779"/>
      <c r="CZ461" s="779"/>
      <c r="DA461" s="779"/>
      <c r="DB461" s="779"/>
      <c r="DC461" s="779"/>
    </row>
    <row r="462" spans="1:107" ht="90">
      <c r="A462" s="228"/>
      <c r="B462" s="155"/>
      <c r="C462" s="224"/>
      <c r="D462" s="757"/>
      <c r="E462" s="757"/>
      <c r="F462" s="757"/>
      <c r="G462" s="885" t="s">
        <v>407</v>
      </c>
      <c r="H462" s="885" t="s">
        <v>3306</v>
      </c>
      <c r="I462" s="207"/>
      <c r="J462" s="207" t="str">
        <f t="shared" si="250"/>
        <v>Stefano Giordano</v>
      </c>
      <c r="K462" s="671"/>
      <c r="L462" s="876" t="s">
        <v>3307</v>
      </c>
      <c r="M462" s="131"/>
      <c r="N462" s="289"/>
      <c r="O462" s="1434"/>
      <c r="P462" s="623"/>
      <c r="Q462" s="623"/>
      <c r="R462" s="624"/>
      <c r="S462" s="625"/>
      <c r="T462" s="255"/>
      <c r="U462" s="255"/>
      <c r="V462" s="131"/>
      <c r="W462" s="131"/>
      <c r="X462" s="131"/>
      <c r="Y462" s="131"/>
      <c r="Z462" s="131"/>
      <c r="AA462" s="514"/>
      <c r="AB462" s="255"/>
      <c r="AC462" s="131"/>
      <c r="AD462" s="1363" t="s">
        <v>3308</v>
      </c>
      <c r="AE462" s="514"/>
      <c r="AF462" s="627"/>
      <c r="AG462" s="1393"/>
      <c r="AH462" s="628"/>
      <c r="AI462" s="629"/>
      <c r="AJ462" s="515"/>
      <c r="AK462" s="155" t="s">
        <v>116</v>
      </c>
      <c r="AL462" s="155" t="s">
        <v>2992</v>
      </c>
      <c r="AM462" s="155"/>
      <c r="AN462" s="515"/>
      <c r="AO462" s="878" t="s">
        <v>245</v>
      </c>
      <c r="AP462" s="878" t="s">
        <v>245</v>
      </c>
      <c r="AQ462" s="878" t="s">
        <v>245</v>
      </c>
      <c r="AR462" s="515"/>
      <c r="AS462" s="304" t="s">
        <v>245</v>
      </c>
      <c r="AT462" s="304" t="s">
        <v>245</v>
      </c>
      <c r="AU462" s="304" t="s">
        <v>245</v>
      </c>
      <c r="AV462" s="568"/>
      <c r="AW462" s="304"/>
      <c r="AX462" s="304"/>
      <c r="AY462" s="304"/>
      <c r="AZ462" s="760">
        <v>2997</v>
      </c>
      <c r="BA462" s="808">
        <f>BT462</f>
        <v>163.93</v>
      </c>
      <c r="BB462" s="808">
        <f>AZ462-BA462</f>
        <v>2833.07</v>
      </c>
      <c r="BC462" s="261">
        <v>0</v>
      </c>
      <c r="BD462" s="986">
        <f>AZ462-BC462</f>
        <v>2997</v>
      </c>
      <c r="BE462" s="986"/>
      <c r="BF462" s="899"/>
      <c r="BG462" s="900"/>
      <c r="BH462" s="110">
        <f>AZ462*BG462</f>
        <v>0</v>
      </c>
      <c r="BI462" s="242"/>
      <c r="BJ462" s="242"/>
      <c r="BK462" s="131"/>
      <c r="BL462" s="131"/>
      <c r="BM462" s="207"/>
      <c r="BN462" s="110">
        <f>BF462*BM462</f>
        <v>0</v>
      </c>
      <c r="BO462" s="242"/>
      <c r="BP462" s="242"/>
      <c r="BQ462" s="665"/>
      <c r="BR462" s="961">
        <v>163.93</v>
      </c>
      <c r="BS462" s="962">
        <v>43177</v>
      </c>
      <c r="BT462" s="961">
        <v>163.93</v>
      </c>
      <c r="BU462" s="1394"/>
      <c r="BV462" s="961">
        <v>1409.82</v>
      </c>
      <c r="BW462" s="962">
        <v>43198</v>
      </c>
      <c r="BX462" s="262"/>
      <c r="BY462" s="263"/>
      <c r="BZ462" s="905">
        <v>1923.22</v>
      </c>
      <c r="CA462" s="226">
        <v>43224</v>
      </c>
      <c r="CB462" s="226"/>
      <c r="CC462" s="226"/>
      <c r="CD462" s="226"/>
      <c r="CE462" s="206"/>
      <c r="CF462" s="206"/>
      <c r="CG462" s="206"/>
      <c r="CH462" s="206"/>
      <c r="CI462" s="206"/>
      <c r="CJ462" s="206"/>
      <c r="CK462" s="331"/>
      <c r="CL462" s="331"/>
      <c r="CM462" s="331"/>
      <c r="CN462" s="331"/>
      <c r="CO462" s="331"/>
      <c r="CP462" s="331"/>
      <c r="CQ462" s="331"/>
      <c r="CR462" s="561"/>
      <c r="CS462" s="242"/>
      <c r="CT462" s="242"/>
      <c r="CU462" s="242"/>
      <c r="CV462" s="265"/>
      <c r="CW462" s="265"/>
      <c r="CX462" s="265"/>
      <c r="CY462" s="265"/>
      <c r="CZ462" s="265"/>
      <c r="DA462" s="265"/>
      <c r="DB462" s="265"/>
      <c r="DC462" s="265"/>
    </row>
    <row r="463" spans="1:107" ht="30" customHeight="1">
      <c r="A463" s="228"/>
      <c r="B463" s="155"/>
      <c r="C463" s="155"/>
      <c r="D463" s="757"/>
      <c r="E463" s="757"/>
      <c r="F463" s="757"/>
      <c r="G463" s="369" t="s">
        <v>407</v>
      </c>
      <c r="H463" s="672" t="s">
        <v>3309</v>
      </c>
      <c r="I463" s="207" t="s">
        <v>3310</v>
      </c>
      <c r="J463" s="207" t="str">
        <f t="shared" si="250"/>
        <v>Stefano Iacomi</v>
      </c>
      <c r="K463" s="224">
        <v>3342830695</v>
      </c>
      <c r="L463" s="131"/>
      <c r="M463" s="131"/>
      <c r="N463" s="289"/>
      <c r="O463" s="1434"/>
      <c r="P463" s="255"/>
      <c r="Q463" s="564" t="s">
        <v>3311</v>
      </c>
      <c r="R463" s="131" t="s">
        <v>3312</v>
      </c>
      <c r="S463" s="131" t="s">
        <v>3303</v>
      </c>
      <c r="T463" s="131"/>
      <c r="U463" s="131"/>
      <c r="V463" s="131"/>
      <c r="W463" s="258"/>
      <c r="X463" s="558" t="s">
        <v>3313</v>
      </c>
      <c r="Y463" s="258"/>
      <c r="Z463" s="258"/>
      <c r="AA463" s="258"/>
      <c r="AB463" s="255" t="s">
        <v>2275</v>
      </c>
      <c r="AC463" s="558" t="s">
        <v>3314</v>
      </c>
      <c r="AD463" s="1363"/>
      <c r="AE463" s="207"/>
      <c r="AF463" s="515"/>
      <c r="AG463" s="516" t="s">
        <v>115</v>
      </c>
      <c r="AH463" s="516" t="s">
        <v>115</v>
      </c>
      <c r="AI463" s="516" t="s">
        <v>115</v>
      </c>
      <c r="AJ463" s="515"/>
      <c r="AK463" s="258"/>
      <c r="AL463" s="258"/>
      <c r="AM463" s="258"/>
      <c r="AN463" s="627"/>
      <c r="AO463" s="155"/>
      <c r="AP463" s="155" t="s">
        <v>154</v>
      </c>
      <c r="AQ463" s="155" t="s">
        <v>2404</v>
      </c>
      <c r="AR463" s="515"/>
      <c r="AS463" s="121"/>
      <c r="AT463" s="121"/>
      <c r="AU463" s="121"/>
      <c r="AV463" s="568"/>
      <c r="AW463" s="121"/>
      <c r="AX463" s="121"/>
      <c r="AY463" s="121"/>
      <c r="AZ463" s="760"/>
      <c r="BA463" s="808"/>
      <c r="BB463" s="808"/>
      <c r="BC463" s="110"/>
      <c r="BD463" s="242"/>
      <c r="BE463" s="1231"/>
      <c r="BF463" s="529" t="s">
        <v>3315</v>
      </c>
      <c r="BG463" s="145">
        <v>0</v>
      </c>
      <c r="BH463" s="110"/>
      <c r="BI463" s="242"/>
      <c r="BJ463" s="1231"/>
      <c r="BK463" s="131"/>
      <c r="BL463" s="529" t="s">
        <v>3067</v>
      </c>
      <c r="BM463" s="145">
        <v>0.05</v>
      </c>
      <c r="BN463" s="110">
        <v>0</v>
      </c>
      <c r="BO463" s="242">
        <f>BD463*BM463</f>
        <v>0</v>
      </c>
      <c r="BP463" s="242"/>
      <c r="BQ463" s="665"/>
      <c r="BR463" s="110"/>
      <c r="BS463" s="226"/>
      <c r="BT463" s="110"/>
      <c r="BU463" s="263"/>
      <c r="BV463" s="110"/>
      <c r="BW463" s="226"/>
      <c r="BX463" s="110"/>
      <c r="BY463" s="263"/>
      <c r="BZ463" s="110"/>
      <c r="CA463" s="226"/>
      <c r="CB463" s="110"/>
      <c r="CC463" s="263"/>
      <c r="CD463" s="110"/>
      <c r="CE463" s="226"/>
      <c r="CF463" s="110"/>
      <c r="CG463" s="263"/>
      <c r="CH463" s="110"/>
      <c r="CI463" s="226"/>
      <c r="CJ463" s="110"/>
      <c r="CK463" s="155" t="s">
        <v>2612</v>
      </c>
      <c r="CL463" s="181"/>
      <c r="CM463" s="181"/>
      <c r="CN463" s="181"/>
      <c r="CO463" s="181"/>
      <c r="CP463" s="121"/>
      <c r="CQ463" s="131"/>
      <c r="CR463" s="131"/>
      <c r="CS463" s="242"/>
      <c r="CT463" s="242"/>
      <c r="CU463" s="242"/>
      <c r="CV463" s="779"/>
      <c r="CW463" s="779"/>
      <c r="CX463" s="779"/>
      <c r="CY463" s="779"/>
      <c r="CZ463" s="779"/>
      <c r="DA463" s="779"/>
      <c r="DB463" s="779"/>
      <c r="DC463" s="779"/>
    </row>
    <row r="464" spans="1:107" ht="30" customHeight="1">
      <c r="A464" s="228"/>
      <c r="B464" s="155"/>
      <c r="C464" s="155"/>
      <c r="D464" s="757"/>
      <c r="E464" s="757"/>
      <c r="F464" s="757"/>
      <c r="G464" s="1008" t="s">
        <v>1661</v>
      </c>
      <c r="H464" s="1008" t="s">
        <v>3316</v>
      </c>
      <c r="I464" s="207" t="s">
        <v>3317</v>
      </c>
      <c r="J464" s="207" t="str">
        <f t="shared" si="250"/>
        <v>Veronica Mirandola</v>
      </c>
      <c r="K464" s="224"/>
      <c r="L464" s="131"/>
      <c r="M464" s="131"/>
      <c r="N464" s="289"/>
      <c r="O464" s="1434"/>
      <c r="P464" s="131"/>
      <c r="Q464" s="131"/>
      <c r="R464" s="131" t="s">
        <v>3318</v>
      </c>
      <c r="S464" s="131"/>
      <c r="T464" s="131"/>
      <c r="U464" s="131"/>
      <c r="V464" s="131"/>
      <c r="W464" s="131"/>
      <c r="X464" s="131"/>
      <c r="Y464" s="131"/>
      <c r="Z464" s="131"/>
      <c r="AA464" s="131"/>
      <c r="AB464" s="255"/>
      <c r="AC464" s="131"/>
      <c r="AD464" s="224"/>
      <c r="AE464" s="207" t="s">
        <v>3319</v>
      </c>
      <c r="AF464" s="515"/>
      <c r="AG464" s="155"/>
      <c r="AH464" s="155"/>
      <c r="AI464" s="155"/>
      <c r="AJ464" s="515"/>
      <c r="AK464" s="155"/>
      <c r="AL464" s="155"/>
      <c r="AM464" s="155"/>
      <c r="AN464" s="515"/>
      <c r="AO464" s="155"/>
      <c r="AP464" s="155"/>
      <c r="AQ464" s="155"/>
      <c r="AR464" s="515"/>
      <c r="AS464" s="304" t="s">
        <v>245</v>
      </c>
      <c r="AT464" s="304" t="s">
        <v>245</v>
      </c>
      <c r="AU464" s="304" t="s">
        <v>245</v>
      </c>
      <c r="AV464" s="568"/>
      <c r="AW464" s="304"/>
      <c r="AX464" s="304"/>
      <c r="AY464" s="304"/>
      <c r="AZ464" s="760"/>
      <c r="BA464" s="808"/>
      <c r="BB464" s="808"/>
      <c r="BC464" s="110"/>
      <c r="BD464" s="242"/>
      <c r="BE464" s="1231"/>
      <c r="BF464" s="389" t="s">
        <v>3320</v>
      </c>
      <c r="BG464" s="795">
        <v>0.15</v>
      </c>
      <c r="BH464" s="110"/>
      <c r="BI464" s="242"/>
      <c r="BJ464" s="1231"/>
      <c r="BK464" s="131"/>
      <c r="BL464" s="131" t="s">
        <v>184</v>
      </c>
      <c r="BM464" s="145">
        <v>0.05</v>
      </c>
      <c r="BN464" s="110">
        <f>AZ464*BM464</f>
        <v>0</v>
      </c>
      <c r="BO464" s="242"/>
      <c r="BP464" s="242"/>
      <c r="BQ464" s="665"/>
      <c r="BR464" s="110"/>
      <c r="BS464" s="226"/>
      <c r="BT464" s="110"/>
      <c r="BU464" s="263"/>
      <c r="BV464" s="110"/>
      <c r="BW464" s="226"/>
      <c r="BX464" s="110"/>
      <c r="BY464" s="263"/>
      <c r="BZ464" s="110"/>
      <c r="CA464" s="226"/>
      <c r="CB464" s="110"/>
      <c r="CC464" s="263"/>
      <c r="CD464" s="110"/>
      <c r="CE464" s="226"/>
      <c r="CF464" s="110"/>
      <c r="CG464" s="263"/>
      <c r="CH464" s="110"/>
      <c r="CI464" s="226"/>
      <c r="CJ464" s="110"/>
      <c r="CK464" s="155" t="s">
        <v>2612</v>
      </c>
      <c r="CL464" s="181"/>
      <c r="CM464" s="181"/>
      <c r="CN464" s="181"/>
      <c r="CO464" s="181"/>
      <c r="CP464" s="121"/>
      <c r="CQ464" s="131"/>
      <c r="CR464" s="131"/>
      <c r="CS464" s="242"/>
      <c r="CT464" s="242"/>
      <c r="CU464" s="242"/>
      <c r="CV464" s="779"/>
      <c r="CW464" s="779"/>
      <c r="CX464" s="779"/>
      <c r="CY464" s="779"/>
      <c r="CZ464" s="779"/>
      <c r="DA464" s="779"/>
      <c r="DB464" s="779"/>
      <c r="DC464" s="779"/>
    </row>
    <row r="465" spans="1:124" ht="30" customHeight="1">
      <c r="A465" s="228"/>
      <c r="B465" s="155"/>
      <c r="C465" s="224"/>
      <c r="D465" s="757"/>
      <c r="E465" s="757"/>
      <c r="F465" s="757"/>
      <c r="G465" s="923" t="s">
        <v>2175</v>
      </c>
      <c r="H465" s="923" t="s">
        <v>3321</v>
      </c>
      <c r="I465" s="207" t="s">
        <v>3322</v>
      </c>
      <c r="J465" s="207" t="str">
        <f t="shared" si="250"/>
        <v>Vincenzo D'onofrio</v>
      </c>
      <c r="K465" s="848" t="s">
        <v>3323</v>
      </c>
      <c r="L465" s="849"/>
      <c r="M465" s="828"/>
      <c r="N465" s="828"/>
      <c r="O465" s="1447"/>
      <c r="P465" s="850" t="s">
        <v>3324</v>
      </c>
      <c r="Q465" s="850" t="s">
        <v>3325</v>
      </c>
      <c r="R465" s="828" t="s">
        <v>3326</v>
      </c>
      <c r="S465" s="828" t="s">
        <v>3327</v>
      </c>
      <c r="T465" s="828"/>
      <c r="U465" s="828"/>
      <c r="V465" s="828"/>
      <c r="W465" s="850"/>
      <c r="X465" s="131"/>
      <c r="Y465" s="850"/>
      <c r="Z465" s="850"/>
      <c r="AA465" s="850"/>
      <c r="AB465" s="850"/>
      <c r="AC465" s="131"/>
      <c r="AD465" s="1362"/>
      <c r="AE465" s="869"/>
      <c r="AF465" s="851"/>
      <c r="AG465" s="852" t="s">
        <v>115</v>
      </c>
      <c r="AH465" s="852" t="s">
        <v>115</v>
      </c>
      <c r="AI465" s="852" t="s">
        <v>115</v>
      </c>
      <c r="AJ465" s="515"/>
      <c r="AK465" s="155"/>
      <c r="AL465" s="155"/>
      <c r="AM465" s="155"/>
      <c r="AN465" s="198"/>
      <c r="AO465" s="815"/>
      <c r="AP465" s="815" t="s">
        <v>2404</v>
      </c>
      <c r="AQ465" s="815" t="s">
        <v>2404</v>
      </c>
      <c r="AR465" s="515"/>
      <c r="AS465" s="609"/>
      <c r="AT465" s="609"/>
      <c r="AU465" s="609"/>
      <c r="AV465" s="568"/>
      <c r="AW465" s="609"/>
      <c r="AX465" s="609"/>
      <c r="AY465" s="609"/>
      <c r="AZ465" s="760"/>
      <c r="BA465" s="808"/>
      <c r="BB465" s="808"/>
      <c r="BC465" s="110"/>
      <c r="BD465" s="242"/>
      <c r="BE465" s="1231"/>
      <c r="BF465" s="828" t="s">
        <v>3159</v>
      </c>
      <c r="BG465" s="856">
        <v>0.15</v>
      </c>
      <c r="BH465" s="110"/>
      <c r="BI465" s="242"/>
      <c r="BJ465" s="1231"/>
      <c r="BK465" s="131"/>
      <c r="BL465" s="828" t="s">
        <v>3159</v>
      </c>
      <c r="BM465" s="856">
        <v>0.05</v>
      </c>
      <c r="BN465" s="110">
        <v>0</v>
      </c>
      <c r="BO465" s="242">
        <f t="shared" ref="BO465:BO466" si="294">BD465*BM465</f>
        <v>0</v>
      </c>
      <c r="BP465" s="242"/>
      <c r="BQ465" s="665"/>
      <c r="BR465" s="110"/>
      <c r="BS465" s="226"/>
      <c r="BT465" s="110"/>
      <c r="BU465" s="263"/>
      <c r="BV465" s="110"/>
      <c r="BW465" s="226"/>
      <c r="BX465" s="110"/>
      <c r="BY465" s="263"/>
      <c r="BZ465" s="110"/>
      <c r="CA465" s="226"/>
      <c r="CB465" s="110"/>
      <c r="CC465" s="263"/>
      <c r="CD465" s="110"/>
      <c r="CE465" s="226"/>
      <c r="CF465" s="110"/>
      <c r="CG465" s="263"/>
      <c r="CH465" s="110"/>
      <c r="CI465" s="226"/>
      <c r="CJ465" s="110"/>
      <c r="CK465" s="207"/>
      <c r="CL465" s="207"/>
      <c r="CM465" s="207"/>
      <c r="CN465" s="207"/>
      <c r="CO465" s="207"/>
      <c r="CP465" s="155"/>
      <c r="CQ465" s="828"/>
      <c r="CR465" s="828"/>
      <c r="CS465" s="242"/>
      <c r="CT465" s="242"/>
      <c r="CU465" s="242"/>
      <c r="CV465" s="779"/>
      <c r="CW465" s="729"/>
      <c r="CX465" s="729"/>
      <c r="CY465" s="729"/>
      <c r="CZ465" s="729"/>
      <c r="DA465" s="729"/>
      <c r="DB465" s="729"/>
      <c r="DC465" s="729"/>
    </row>
    <row r="466" spans="1:124" ht="30" customHeight="1">
      <c r="A466" s="228"/>
      <c r="B466" s="155"/>
      <c r="C466" s="224"/>
      <c r="D466" s="781"/>
      <c r="E466" s="781"/>
      <c r="F466" s="781"/>
      <c r="G466" s="830" t="s">
        <v>1307</v>
      </c>
      <c r="H466" s="830" t="s">
        <v>3328</v>
      </c>
      <c r="I466" s="294" t="s">
        <v>3329</v>
      </c>
      <c r="J466" s="207" t="str">
        <f t="shared" si="250"/>
        <v>Alberto Malerba</v>
      </c>
      <c r="K466" s="156">
        <v>3394895912</v>
      </c>
      <c r="L466" s="131"/>
      <c r="M466" s="131" t="s">
        <v>514</v>
      </c>
      <c r="N466" s="823" t="s">
        <v>3330</v>
      </c>
      <c r="O466" s="1297"/>
      <c r="P466" s="251"/>
      <c r="Q466" s="131"/>
      <c r="R466" s="252"/>
      <c r="S466" s="254"/>
      <c r="T466" s="346"/>
      <c r="U466" s="253"/>
      <c r="V466" s="253"/>
      <c r="W466" s="251"/>
      <c r="X466" s="131"/>
      <c r="Y466" s="251"/>
      <c r="Z466" s="251"/>
      <c r="AA466" s="251"/>
      <c r="AB466" s="255"/>
      <c r="AC466" s="256"/>
      <c r="AD466" s="121"/>
      <c r="AE466" s="80">
        <f>L466</f>
        <v>0</v>
      </c>
      <c r="AF466" s="257"/>
      <c r="AG466" s="155"/>
      <c r="AH466" s="155"/>
      <c r="AI466" s="155"/>
      <c r="AJ466" s="257"/>
      <c r="AK466" s="815"/>
      <c r="AL466" s="815"/>
      <c r="AM466" s="815"/>
      <c r="AN466" s="950"/>
      <c r="AO466" s="258"/>
      <c r="AP466" s="258"/>
      <c r="AQ466" s="258"/>
      <c r="AR466" s="211"/>
      <c r="AS466" s="154" t="s">
        <v>165</v>
      </c>
      <c r="AT466" s="154" t="s">
        <v>165</v>
      </c>
      <c r="AU466" s="154" t="s">
        <v>165</v>
      </c>
      <c r="AV466" s="211"/>
      <c r="AW466" s="121"/>
      <c r="AX466" s="121"/>
      <c r="AY466" s="121"/>
      <c r="AZ466" s="760"/>
      <c r="BA466" s="808"/>
      <c r="BB466" s="808"/>
      <c r="BC466" s="110"/>
      <c r="BD466" s="242"/>
      <c r="BE466" s="1231"/>
      <c r="BF466" s="363" t="s">
        <v>451</v>
      </c>
      <c r="BG466" s="145"/>
      <c r="BH466" s="110"/>
      <c r="BI466" s="242"/>
      <c r="BJ466" s="1231"/>
      <c r="BK466" s="772"/>
      <c r="BL466" s="828" t="s">
        <v>184</v>
      </c>
      <c r="BM466" s="145"/>
      <c r="BN466" s="262"/>
      <c r="BO466" s="242">
        <f t="shared" si="294"/>
        <v>0</v>
      </c>
      <c r="BP466" s="242"/>
      <c r="BQ466" s="243"/>
      <c r="BR466" s="110"/>
      <c r="BS466" s="226"/>
      <c r="BT466" s="110"/>
      <c r="BU466" s="263"/>
      <c r="BV466" s="110"/>
      <c r="BW466" s="348"/>
      <c r="BX466" s="110"/>
      <c r="BY466" s="263"/>
      <c r="BZ466" s="110"/>
      <c r="CA466" s="263"/>
      <c r="CB466" s="110"/>
      <c r="CC466" s="263"/>
      <c r="CD466" s="110"/>
      <c r="CE466" s="226"/>
      <c r="CF466" s="110"/>
      <c r="CG466" s="263"/>
      <c r="CH466" s="110"/>
      <c r="CI466" s="226"/>
      <c r="CJ466" s="110"/>
      <c r="CK466" s="155"/>
      <c r="CL466" s="181"/>
      <c r="CM466" s="181"/>
      <c r="CN466" s="207"/>
      <c r="CO466" s="207"/>
      <c r="CP466" s="155"/>
      <c r="CQ466" s="131" t="s">
        <v>3331</v>
      </c>
      <c r="CR466" s="823" t="str">
        <f>N466</f>
        <v>Leyton</v>
      </c>
      <c r="CS466" s="811"/>
      <c r="CT466" s="811" t="b">
        <f>IF(D466=1,IF(BB466=0,BD466*BG466,0))</f>
        <v>0</v>
      </c>
      <c r="CU466" s="811" t="b">
        <f>IF(D466=1,IF(BB466=0,BD466*BM466,0))</f>
        <v>0</v>
      </c>
      <c r="CV466" s="779"/>
      <c r="CW466" s="779"/>
      <c r="CX466" s="779"/>
      <c r="CY466" s="729"/>
      <c r="CZ466" s="729"/>
      <c r="DA466" s="729"/>
      <c r="DB466" s="729"/>
      <c r="DC466" s="729"/>
      <c r="DD466" s="265"/>
      <c r="DE466" s="265"/>
      <c r="DF466" s="265"/>
      <c r="DG466" s="265"/>
      <c r="DH466" s="265"/>
      <c r="DI466" s="265"/>
      <c r="DJ466" s="265"/>
      <c r="DK466" s="265"/>
      <c r="DL466" s="265"/>
      <c r="DM466" s="265"/>
      <c r="DN466" s="265"/>
      <c r="DO466" s="265"/>
      <c r="DP466" s="265"/>
      <c r="DQ466" s="265"/>
      <c r="DR466" s="265"/>
      <c r="DS466" s="265"/>
      <c r="DT466" s="265"/>
    </row>
    <row r="467" spans="1:124" ht="24.75" customHeight="1">
      <c r="A467" s="228"/>
      <c r="B467" s="228"/>
      <c r="C467" s="1010"/>
      <c r="D467" s="228"/>
      <c r="E467" s="228"/>
      <c r="F467" s="228"/>
      <c r="G467" s="729"/>
      <c r="H467" s="729"/>
      <c r="I467" s="729"/>
      <c r="J467" s="729"/>
      <c r="K467" s="1010"/>
      <c r="L467" s="12"/>
      <c r="M467" s="12"/>
      <c r="N467" s="12"/>
      <c r="O467" s="1010"/>
      <c r="P467" s="1011"/>
      <c r="Q467" s="1011"/>
      <c r="R467" s="12"/>
      <c r="S467" s="12"/>
      <c r="T467" s="12"/>
      <c r="U467" s="12"/>
      <c r="V467" s="12"/>
      <c r="W467" s="1012"/>
      <c r="X467" s="1013"/>
      <c r="Y467" s="1012"/>
      <c r="Z467" s="1012"/>
      <c r="AA467" s="1012"/>
      <c r="AB467" s="1011"/>
      <c r="AC467" s="1011"/>
      <c r="AD467" s="1448"/>
      <c r="AE467" s="729"/>
      <c r="AF467" s="729"/>
      <c r="AG467" s="1014"/>
      <c r="AH467" s="1014"/>
      <c r="AI467" s="1014"/>
      <c r="AJ467" s="729"/>
      <c r="AK467" s="155"/>
      <c r="AL467" s="155"/>
      <c r="AM467" s="155"/>
      <c r="AN467" s="257"/>
      <c r="AO467" s="729"/>
      <c r="AP467" s="729"/>
      <c r="AQ467" s="729"/>
      <c r="AR467" s="729"/>
      <c r="AS467" s="729"/>
      <c r="AT467" s="729"/>
      <c r="AU467" s="729"/>
      <c r="AV467" s="729"/>
      <c r="AW467" s="729"/>
      <c r="AX467" s="729"/>
      <c r="AY467" s="729"/>
      <c r="AZ467" s="729"/>
      <c r="BA467" s="729"/>
      <c r="BB467" s="729"/>
      <c r="BC467" s="729"/>
      <c r="BD467" s="729"/>
      <c r="BE467" s="729"/>
      <c r="BF467" s="12"/>
      <c r="BG467" s="729"/>
      <c r="BH467" s="729"/>
      <c r="BI467" s="729"/>
      <c r="BJ467" s="729"/>
      <c r="BK467" s="729"/>
      <c r="BL467" s="12"/>
      <c r="BM467" s="729"/>
      <c r="BN467" s="729"/>
      <c r="BO467" s="729"/>
      <c r="BP467" s="729"/>
      <c r="BQ467" s="729"/>
      <c r="BR467" s="729"/>
      <c r="BS467" s="729"/>
      <c r="BT467" s="729"/>
      <c r="BU467" s="729"/>
      <c r="BV467" s="729"/>
      <c r="BW467" s="228"/>
      <c r="BX467" s="729"/>
      <c r="BY467" s="729"/>
      <c r="BZ467" s="729"/>
      <c r="CA467" s="228"/>
      <c r="CB467" s="729"/>
      <c r="CC467" s="729"/>
      <c r="CD467" s="729"/>
      <c r="CE467" s="729"/>
      <c r="CF467" s="729"/>
      <c r="CG467" s="729"/>
      <c r="CH467" s="729"/>
      <c r="CI467" s="729"/>
      <c r="CJ467" s="729"/>
      <c r="CK467" s="228"/>
      <c r="CL467" s="779"/>
      <c r="CM467" s="779"/>
      <c r="CN467" s="729"/>
      <c r="CO467" s="228"/>
      <c r="CP467" s="228"/>
      <c r="CQ467" s="12"/>
      <c r="CR467" s="12"/>
      <c r="CS467" s="729"/>
      <c r="CT467" s="729"/>
      <c r="CU467" s="729"/>
      <c r="CV467" s="729"/>
      <c r="CW467" s="729"/>
      <c r="CX467" s="729"/>
      <c r="CY467" s="729"/>
      <c r="CZ467" s="729"/>
      <c r="DA467" s="729"/>
      <c r="DB467" s="729"/>
      <c r="DC467" s="729"/>
    </row>
    <row r="468" spans="1:124" ht="36.75" customHeight="1">
      <c r="A468" s="228"/>
      <c r="B468" s="3"/>
      <c r="C468" s="3"/>
      <c r="D468" s="3"/>
      <c r="E468" s="3"/>
      <c r="F468" s="3"/>
      <c r="G468" s="3"/>
      <c r="H468" s="3"/>
      <c r="I468" s="3"/>
      <c r="J468" s="3"/>
      <c r="K468" s="731"/>
      <c r="L468" s="2"/>
      <c r="M468" s="2"/>
      <c r="N468" s="2"/>
      <c r="O468" s="3"/>
      <c r="P468" s="3"/>
      <c r="Q468" s="3"/>
      <c r="R468" s="265"/>
      <c r="S468" s="3"/>
      <c r="T468" s="3"/>
      <c r="U468" s="3"/>
      <c r="V468" s="3"/>
      <c r="W468" s="3"/>
      <c r="X468" s="3"/>
      <c r="Y468" s="3"/>
      <c r="Z468" s="3"/>
      <c r="AA468" s="3"/>
      <c r="AB468" s="3"/>
      <c r="AC468" s="3"/>
      <c r="AD468" s="3"/>
      <c r="AE468" s="3"/>
      <c r="AF468" s="3"/>
      <c r="AG468" s="3"/>
      <c r="AH468" s="3"/>
      <c r="AI468" s="3"/>
      <c r="AJ468" s="3"/>
      <c r="AK468" s="1422" t="s">
        <v>4664</v>
      </c>
      <c r="AL468" s="3"/>
      <c r="AM468" s="3"/>
      <c r="AN468" s="3"/>
      <c r="AO468" s="228"/>
      <c r="AP468" s="228"/>
      <c r="AQ468" s="729"/>
      <c r="AR468" s="743" t="s">
        <v>165</v>
      </c>
      <c r="AS468" s="740">
        <f t="shared" ref="AS468:AU468" si="295">COUNTIF(AS317:AS465,"CF")</f>
        <v>0</v>
      </c>
      <c r="AT468" s="740">
        <f t="shared" si="295"/>
        <v>0</v>
      </c>
      <c r="AU468" s="740">
        <f t="shared" si="295"/>
        <v>0</v>
      </c>
      <c r="AV468" s="743" t="s">
        <v>165</v>
      </c>
      <c r="AW468" s="740">
        <f t="shared" ref="AW468:AY468" si="296">COUNTIF(AW317:AW465,"CF")</f>
        <v>2</v>
      </c>
      <c r="AX468" s="740">
        <f t="shared" si="296"/>
        <v>1</v>
      </c>
      <c r="AY468" s="740">
        <f t="shared" si="296"/>
        <v>4</v>
      </c>
      <c r="AZ468" s="729"/>
      <c r="BA468" s="729"/>
      <c r="BB468" s="729"/>
      <c r="BC468" s="729"/>
      <c r="BD468" s="729"/>
      <c r="BE468" s="729"/>
      <c r="BF468" s="2"/>
      <c r="BG468" s="3"/>
      <c r="BH468" s="729"/>
      <c r="BI468" s="729"/>
      <c r="BJ468" s="729"/>
      <c r="BK468" s="3"/>
      <c r="BL468" s="2"/>
      <c r="BM468" s="3"/>
      <c r="BN468" s="729"/>
      <c r="BO468" s="729"/>
      <c r="BP468" s="729"/>
      <c r="BQ468" s="3"/>
      <c r="BR468" s="3"/>
      <c r="BS468" s="3"/>
      <c r="BT468" s="3"/>
      <c r="BU468" s="3"/>
      <c r="BV468" s="3"/>
      <c r="BW468" s="3"/>
      <c r="BX468" s="3"/>
      <c r="BY468" s="3"/>
      <c r="BZ468" s="3"/>
      <c r="CA468" s="3"/>
      <c r="CB468" s="3"/>
      <c r="CC468" s="3"/>
      <c r="CD468" s="3"/>
      <c r="CE468" s="3"/>
      <c r="CF468" s="3"/>
      <c r="CG468" s="3"/>
      <c r="CH468" s="3"/>
      <c r="CI468" s="3"/>
      <c r="CJ468" s="3"/>
      <c r="CK468" s="228"/>
      <c r="CL468" s="3"/>
      <c r="CM468" s="3"/>
      <c r="CN468" s="3"/>
      <c r="CO468" s="3"/>
      <c r="CP468" s="3"/>
      <c r="CQ468" s="3"/>
      <c r="CR468" s="2"/>
      <c r="CS468" s="729"/>
      <c r="CT468" s="729"/>
      <c r="CU468" s="729"/>
      <c r="CV468" s="729"/>
      <c r="CW468" s="729"/>
      <c r="CX468" s="729"/>
      <c r="CY468" s="729"/>
      <c r="CZ468" s="729"/>
      <c r="DA468" s="729"/>
      <c r="DB468" s="729"/>
      <c r="DC468" s="729"/>
      <c r="DD468" s="265"/>
      <c r="DE468" s="265"/>
      <c r="DF468" s="265"/>
      <c r="DG468" s="265"/>
      <c r="DH468" s="265"/>
      <c r="DI468" s="265"/>
      <c r="DJ468" s="265"/>
      <c r="DK468" s="265"/>
      <c r="DL468" s="265"/>
      <c r="DM468" s="265"/>
      <c r="DN468" s="265"/>
      <c r="DO468" s="265"/>
      <c r="DP468" s="265"/>
      <c r="DQ468" s="265"/>
      <c r="DR468" s="265"/>
      <c r="DS468" s="265"/>
      <c r="DT468" s="265"/>
    </row>
    <row r="469" spans="1:124" ht="12.75" customHeight="1">
      <c r="A469" s="228"/>
      <c r="B469" s="228"/>
      <c r="C469" s="1010"/>
      <c r="D469" s="228"/>
      <c r="E469" s="228"/>
      <c r="F469" s="228"/>
      <c r="G469" s="729"/>
      <c r="H469" s="729"/>
      <c r="I469" s="729"/>
      <c r="J469" s="729"/>
      <c r="K469" s="1010"/>
      <c r="L469" s="12"/>
      <c r="M469" s="12"/>
      <c r="N469" s="12"/>
      <c r="O469" s="1010"/>
      <c r="P469" s="1011"/>
      <c r="Q469" s="1011"/>
      <c r="R469" s="12"/>
      <c r="S469" s="12"/>
      <c r="T469" s="12"/>
      <c r="U469" s="12"/>
      <c r="V469" s="12"/>
      <c r="W469" s="1012"/>
      <c r="X469" s="1013"/>
      <c r="Y469" s="1012"/>
      <c r="Z469" s="1012"/>
      <c r="AA469" s="1012"/>
      <c r="AB469" s="1011"/>
      <c r="AC469" s="1011"/>
      <c r="AD469" s="1448"/>
      <c r="AE469" s="729"/>
      <c r="AF469" s="729"/>
      <c r="AG469" s="1014"/>
      <c r="AH469" s="1014"/>
      <c r="AI469" s="1014"/>
      <c r="AJ469" s="729"/>
      <c r="AK469" s="1422" t="s">
        <v>4665</v>
      </c>
      <c r="AL469" s="3"/>
      <c r="AM469" s="3"/>
      <c r="AN469" s="3"/>
      <c r="AO469" s="729"/>
      <c r="AP469" s="729"/>
      <c r="AQ469" s="729"/>
      <c r="AR469" s="729"/>
      <c r="AS469" s="729"/>
      <c r="AT469" s="729"/>
      <c r="AU469" s="729"/>
      <c r="AV469" s="729"/>
      <c r="AW469" s="729"/>
      <c r="AX469" s="729"/>
      <c r="AY469" s="729"/>
      <c r="AZ469" s="729"/>
      <c r="BA469" s="729"/>
      <c r="BB469" s="729"/>
      <c r="BC469" s="729"/>
      <c r="BD469" s="729"/>
      <c r="BE469" s="729"/>
      <c r="BF469" s="12"/>
      <c r="BG469" s="729"/>
      <c r="BH469" s="729"/>
      <c r="BI469" s="729"/>
      <c r="BJ469" s="729"/>
      <c r="BK469" s="729"/>
      <c r="BL469" s="12"/>
      <c r="BM469" s="729"/>
      <c r="BN469" s="729"/>
      <c r="BO469" s="729"/>
      <c r="BP469" s="729"/>
      <c r="BQ469" s="729"/>
      <c r="BR469" s="729"/>
      <c r="BS469" s="729"/>
      <c r="BT469" s="729"/>
      <c r="BU469" s="729"/>
      <c r="BV469" s="729"/>
      <c r="BW469" s="228"/>
      <c r="BX469" s="729"/>
      <c r="BY469" s="729"/>
      <c r="BZ469" s="729"/>
      <c r="CA469" s="228"/>
      <c r="CB469" s="729"/>
      <c r="CC469" s="729"/>
      <c r="CD469" s="729"/>
      <c r="CE469" s="729"/>
      <c r="CF469" s="729"/>
      <c r="CG469" s="729"/>
      <c r="CH469" s="729"/>
      <c r="CI469" s="729"/>
      <c r="CJ469" s="729"/>
      <c r="CK469" s="228"/>
      <c r="CL469" s="779"/>
      <c r="CM469" s="779"/>
      <c r="CN469" s="729"/>
      <c r="CO469" s="228"/>
      <c r="CP469" s="228"/>
      <c r="CQ469" s="12"/>
      <c r="CR469" s="12"/>
      <c r="CS469" s="729"/>
      <c r="CT469" s="729"/>
      <c r="CU469" s="729"/>
      <c r="CV469" s="729"/>
      <c r="CW469" s="729"/>
      <c r="CX469" s="729"/>
      <c r="CY469" s="729"/>
      <c r="CZ469" s="729"/>
      <c r="DA469" s="729"/>
      <c r="DB469" s="729"/>
      <c r="DC469" s="729"/>
    </row>
    <row r="470" spans="1:124" ht="30" customHeight="1">
      <c r="A470" s="228"/>
      <c r="B470" s="1784" t="s">
        <v>0</v>
      </c>
      <c r="C470" s="1783"/>
      <c r="D470" s="1783"/>
      <c r="E470" s="228"/>
      <c r="F470" s="228"/>
      <c r="G470" s="729"/>
      <c r="H470" s="729"/>
      <c r="I470" s="729"/>
      <c r="J470" s="729"/>
      <c r="K470" s="1010"/>
      <c r="L470" s="12"/>
      <c r="M470" s="12"/>
      <c r="N470" s="12"/>
      <c r="O470" s="1010"/>
      <c r="P470" s="1011"/>
      <c r="Q470" s="1011"/>
      <c r="R470" s="12"/>
      <c r="S470" s="12"/>
      <c r="T470" s="12"/>
      <c r="U470" s="12"/>
      <c r="V470" s="12"/>
      <c r="W470" s="1012"/>
      <c r="X470" s="1013"/>
      <c r="Y470" s="1012"/>
      <c r="Z470" s="1012"/>
      <c r="AA470" s="1012"/>
      <c r="AB470" s="1011"/>
      <c r="AC470" s="1011"/>
      <c r="AD470" s="1449"/>
      <c r="AE470" s="729"/>
      <c r="AF470" s="729"/>
      <c r="AG470" s="1014"/>
      <c r="AH470" s="1014"/>
      <c r="AI470" s="1014"/>
      <c r="AJ470" s="729"/>
      <c r="AK470" s="729"/>
      <c r="AL470" s="729"/>
      <c r="AM470" s="729"/>
      <c r="AN470" s="729"/>
      <c r="AO470" s="729"/>
      <c r="AP470" s="729"/>
      <c r="AQ470" s="729"/>
      <c r="AR470" s="729"/>
      <c r="AS470" s="729"/>
      <c r="AT470" s="729"/>
      <c r="AU470" s="729"/>
      <c r="AV470" s="729"/>
      <c r="AW470" s="729"/>
      <c r="AX470" s="729"/>
      <c r="AY470" s="729"/>
      <c r="AZ470" s="1016"/>
      <c r="BA470" s="1016"/>
      <c r="BB470" s="1022"/>
      <c r="BC470" s="729"/>
      <c r="BD470" s="729"/>
      <c r="BE470" s="729"/>
      <c r="BF470" s="12"/>
      <c r="BG470" s="729"/>
      <c r="BH470" s="729"/>
      <c r="BI470" s="729"/>
      <c r="BJ470" s="729"/>
      <c r="BK470" s="729"/>
      <c r="BL470" s="12"/>
      <c r="BM470" s="729"/>
      <c r="BN470" s="729"/>
      <c r="BO470" s="729"/>
      <c r="BP470" s="729"/>
      <c r="BQ470" s="729"/>
      <c r="BR470" s="729"/>
      <c r="BS470" s="729"/>
      <c r="BT470" s="729"/>
      <c r="BU470" s="729"/>
      <c r="BV470" s="729"/>
      <c r="BW470" s="228"/>
      <c r="BX470" s="729"/>
      <c r="BY470" s="729"/>
      <c r="BZ470" s="729"/>
      <c r="CA470" s="228"/>
      <c r="CB470" s="729"/>
      <c r="CC470" s="729"/>
      <c r="CD470" s="729"/>
      <c r="CE470" s="729"/>
      <c r="CF470" s="729"/>
      <c r="CG470" s="729"/>
      <c r="CH470" s="729"/>
      <c r="CI470" s="729"/>
      <c r="CJ470" s="729"/>
      <c r="CK470" s="228"/>
      <c r="CL470" s="779"/>
      <c r="CM470" s="779"/>
      <c r="CN470" s="729"/>
      <c r="CO470" s="228"/>
      <c r="CP470" s="228"/>
      <c r="CQ470" s="12"/>
      <c r="CR470" s="12"/>
      <c r="CS470" s="729"/>
      <c r="CT470" s="729"/>
      <c r="CU470" s="729"/>
      <c r="CV470" s="729"/>
      <c r="CW470" s="729"/>
      <c r="CX470" s="729"/>
      <c r="CY470" s="729"/>
      <c r="CZ470" s="729"/>
      <c r="DA470" s="729"/>
      <c r="DB470" s="729"/>
      <c r="DC470" s="729"/>
    </row>
    <row r="471" spans="1:124" ht="12.75" customHeight="1">
      <c r="A471" s="228"/>
      <c r="B471" s="1450"/>
      <c r="D471" s="729" t="s">
        <v>4694</v>
      </c>
      <c r="E471" s="228"/>
      <c r="F471" s="228"/>
      <c r="G471" s="729"/>
      <c r="H471" s="729"/>
      <c r="I471" s="729"/>
      <c r="J471" s="729"/>
      <c r="K471" s="1010"/>
      <c r="L471" s="12"/>
      <c r="M471" s="12"/>
      <c r="N471" s="12"/>
      <c r="O471" s="1010"/>
      <c r="P471" s="1011"/>
      <c r="Q471" s="1011"/>
      <c r="R471" s="12"/>
      <c r="S471" s="12"/>
      <c r="T471" s="12"/>
      <c r="U471" s="12"/>
      <c r="V471" s="12"/>
      <c r="W471" s="1012"/>
      <c r="X471" s="1013"/>
      <c r="Y471" s="1012"/>
      <c r="Z471" s="1012"/>
      <c r="AA471" s="1012"/>
      <c r="AB471" s="1011"/>
      <c r="AC471" s="1011"/>
      <c r="AD471" s="1449"/>
      <c r="AE471" s="729"/>
      <c r="AF471" s="729"/>
      <c r="AG471" s="1014"/>
      <c r="AH471" s="1014"/>
      <c r="AI471" s="1014"/>
      <c r="AJ471" s="729"/>
      <c r="AK471" s="729"/>
      <c r="AL471" s="729"/>
      <c r="AM471" s="729"/>
      <c r="AN471" s="729"/>
      <c r="AO471" s="729"/>
      <c r="AP471" s="729"/>
      <c r="AQ471" s="729"/>
      <c r="AR471" s="729"/>
      <c r="AS471" s="729"/>
      <c r="AT471" s="729"/>
      <c r="AU471" s="729"/>
      <c r="AV471" s="729"/>
      <c r="AW471" s="729"/>
      <c r="AX471" s="729"/>
      <c r="AY471" s="729"/>
      <c r="AZ471" s="1016"/>
      <c r="BA471" s="1020"/>
      <c r="BB471" s="1021"/>
      <c r="BC471" s="729"/>
      <c r="BD471" s="729"/>
      <c r="BE471" s="729"/>
      <c r="BF471" s="12"/>
      <c r="BG471" s="729"/>
      <c r="BH471" s="729"/>
      <c r="BI471" s="729"/>
      <c r="BJ471" s="729"/>
      <c r="BK471" s="729"/>
      <c r="BL471" s="12"/>
      <c r="BM471" s="729"/>
      <c r="BN471" s="729"/>
      <c r="BO471" s="729"/>
      <c r="BP471" s="729"/>
      <c r="BQ471" s="729"/>
      <c r="BR471" s="729"/>
      <c r="BS471" s="729"/>
      <c r="BT471" s="729"/>
      <c r="BU471" s="729"/>
      <c r="BV471" s="729"/>
      <c r="BW471" s="228"/>
      <c r="BX471" s="729"/>
      <c r="BY471" s="729"/>
      <c r="BZ471" s="729"/>
      <c r="CA471" s="228"/>
      <c r="CB471" s="729"/>
      <c r="CC471" s="729"/>
      <c r="CD471" s="729"/>
      <c r="CE471" s="729"/>
      <c r="CF471" s="729"/>
      <c r="CG471" s="729"/>
      <c r="CH471" s="729"/>
      <c r="CI471" s="729"/>
      <c r="CJ471" s="729"/>
      <c r="CK471" s="228"/>
      <c r="CL471" s="779"/>
      <c r="CM471" s="779"/>
      <c r="CN471" s="729"/>
      <c r="CO471" s="228"/>
      <c r="CP471" s="228"/>
      <c r="CQ471" s="12"/>
      <c r="CR471" s="12"/>
      <c r="CS471" s="729"/>
      <c r="CT471" s="729"/>
      <c r="CU471" s="729"/>
      <c r="CV471" s="729"/>
      <c r="CW471" s="729"/>
      <c r="CX471" s="729"/>
      <c r="CY471" s="729"/>
      <c r="CZ471" s="729"/>
      <c r="DA471" s="729"/>
      <c r="DB471" s="729"/>
      <c r="DC471" s="729"/>
    </row>
    <row r="472" spans="1:124" ht="12.75" customHeight="1">
      <c r="A472" s="228"/>
      <c r="B472" s="1451"/>
      <c r="D472" s="729" t="s">
        <v>4695</v>
      </c>
      <c r="E472" s="228"/>
      <c r="F472" s="228"/>
      <c r="G472" s="729"/>
      <c r="H472" s="729"/>
      <c r="I472" s="729"/>
      <c r="J472" s="729"/>
      <c r="K472" s="1010"/>
      <c r="L472" s="12"/>
      <c r="M472" s="12"/>
      <c r="N472" s="12"/>
      <c r="O472" s="1010"/>
      <c r="P472" s="1011"/>
      <c r="Q472" s="1011"/>
      <c r="R472" s="12"/>
      <c r="S472" s="12"/>
      <c r="T472" s="12"/>
      <c r="U472" s="12"/>
      <c r="V472" s="12"/>
      <c r="W472" s="1012"/>
      <c r="X472" s="1013"/>
      <c r="Y472" s="1012"/>
      <c r="Z472" s="1012"/>
      <c r="AA472" s="1012"/>
      <c r="AB472" s="1011"/>
      <c r="AC472" s="1011"/>
      <c r="AD472" s="1449"/>
      <c r="AE472" s="729"/>
      <c r="AF472" s="729"/>
      <c r="AG472" s="1014"/>
      <c r="AH472" s="1014"/>
      <c r="AI472" s="1014"/>
      <c r="AJ472" s="729"/>
      <c r="AK472" s="729"/>
      <c r="AL472" s="729"/>
      <c r="AM472" s="729"/>
      <c r="AN472" s="729"/>
      <c r="AO472" s="729"/>
      <c r="AP472" s="729"/>
      <c r="AQ472" s="729"/>
      <c r="AR472" s="729"/>
      <c r="AS472" s="729"/>
      <c r="AT472" s="729"/>
      <c r="AU472" s="729"/>
      <c r="AV472" s="729"/>
      <c r="AW472" s="729"/>
      <c r="AX472" s="729"/>
      <c r="AY472" s="729"/>
      <c r="AZ472" s="1016"/>
      <c r="BA472" s="1020"/>
      <c r="BB472" s="1021"/>
      <c r="BC472" s="729"/>
      <c r="BD472" s="729"/>
      <c r="BE472" s="729"/>
      <c r="BF472" s="12"/>
      <c r="BG472" s="729"/>
      <c r="BH472" s="729"/>
      <c r="BI472" s="729"/>
      <c r="BJ472" s="729"/>
      <c r="BK472" s="729"/>
      <c r="BL472" s="12"/>
      <c r="BM472" s="729"/>
      <c r="BN472" s="729"/>
      <c r="BO472" s="729"/>
      <c r="BP472" s="729"/>
      <c r="BQ472" s="729"/>
      <c r="BR472" s="729"/>
      <c r="BS472" s="729"/>
      <c r="BT472" s="729"/>
      <c r="BU472" s="729"/>
      <c r="BV472" s="729"/>
      <c r="BW472" s="228"/>
      <c r="BX472" s="729"/>
      <c r="BY472" s="729"/>
      <c r="BZ472" s="729"/>
      <c r="CA472" s="228"/>
      <c r="CB472" s="729"/>
      <c r="CC472" s="729"/>
      <c r="CD472" s="729"/>
      <c r="CE472" s="729"/>
      <c r="CF472" s="729"/>
      <c r="CG472" s="729"/>
      <c r="CH472" s="729"/>
      <c r="CI472" s="729"/>
      <c r="CJ472" s="729"/>
      <c r="CK472" s="228"/>
      <c r="CL472" s="779"/>
      <c r="CM472" s="779"/>
      <c r="CN472" s="729"/>
      <c r="CO472" s="228"/>
      <c r="CP472" s="228"/>
      <c r="CQ472" s="12"/>
      <c r="CR472" s="12"/>
      <c r="CS472" s="729"/>
      <c r="CT472" s="729"/>
      <c r="CU472" s="729"/>
      <c r="CV472" s="729"/>
      <c r="CW472" s="729"/>
      <c r="CX472" s="729"/>
      <c r="CY472" s="729"/>
      <c r="CZ472" s="729"/>
      <c r="DA472" s="729"/>
      <c r="DB472" s="729"/>
      <c r="DC472" s="729"/>
    </row>
    <row r="473" spans="1:124" ht="12.75" customHeight="1">
      <c r="A473" s="228"/>
      <c r="B473" s="780"/>
      <c r="D473" s="729" t="s">
        <v>4696</v>
      </c>
      <c r="E473" s="228"/>
      <c r="F473" s="228"/>
      <c r="G473" s="729"/>
      <c r="H473" s="729"/>
      <c r="I473" s="729"/>
      <c r="J473" s="729"/>
      <c r="K473" s="1010"/>
      <c r="L473" s="12"/>
      <c r="M473" s="12"/>
      <c r="N473" s="12"/>
      <c r="O473" s="1010"/>
      <c r="P473" s="1011"/>
      <c r="Q473" s="1011"/>
      <c r="R473" s="12"/>
      <c r="S473" s="12"/>
      <c r="T473" s="12"/>
      <c r="U473" s="12"/>
      <c r="V473" s="12"/>
      <c r="W473" s="1012"/>
      <c r="X473" s="1013"/>
      <c r="Y473" s="1012"/>
      <c r="Z473" s="1012"/>
      <c r="AA473" s="1012"/>
      <c r="AB473" s="1011"/>
      <c r="AC473" s="1011"/>
      <c r="AD473" s="1449"/>
      <c r="AE473" s="729"/>
      <c r="AF473" s="729"/>
      <c r="AG473" s="1014"/>
      <c r="AH473" s="1014"/>
      <c r="AI473" s="1014"/>
      <c r="AJ473" s="729"/>
      <c r="AK473" s="729"/>
      <c r="AL473" s="729"/>
      <c r="AM473" s="729"/>
      <c r="AN473" s="729"/>
      <c r="AO473" s="729"/>
      <c r="AP473" s="729"/>
      <c r="AQ473" s="729"/>
      <c r="AR473" s="729"/>
      <c r="AS473" s="729"/>
      <c r="AT473" s="729"/>
      <c r="AU473" s="729"/>
      <c r="AV473" s="729"/>
      <c r="AW473" s="729"/>
      <c r="AX473" s="729"/>
      <c r="AY473" s="729"/>
      <c r="AZ473" s="1016"/>
      <c r="BA473" s="1017"/>
      <c r="BB473" s="1018"/>
      <c r="BC473" s="729"/>
      <c r="BD473" s="729"/>
      <c r="BE473" s="729"/>
      <c r="BF473" s="12"/>
      <c r="BG473" s="729"/>
      <c r="BH473" s="729"/>
      <c r="BI473" s="729"/>
      <c r="BJ473" s="729"/>
      <c r="BK473" s="729"/>
      <c r="BL473" s="12"/>
      <c r="BM473" s="729"/>
      <c r="BN473" s="729"/>
      <c r="BO473" s="729"/>
      <c r="BP473" s="729"/>
      <c r="BQ473" s="729"/>
      <c r="BR473" s="729"/>
      <c r="BS473" s="729"/>
      <c r="BT473" s="729"/>
      <c r="BU473" s="729"/>
      <c r="BV473" s="729"/>
      <c r="BW473" s="228"/>
      <c r="BX473" s="729"/>
      <c r="BY473" s="729"/>
      <c r="BZ473" s="729"/>
      <c r="CA473" s="228"/>
      <c r="CB473" s="729"/>
      <c r="CC473" s="729"/>
      <c r="CD473" s="729"/>
      <c r="CE473" s="729"/>
      <c r="CF473" s="729"/>
      <c r="CG473" s="729"/>
      <c r="CH473" s="729"/>
      <c r="CI473" s="729"/>
      <c r="CJ473" s="729"/>
      <c r="CK473" s="228"/>
      <c r="CL473" s="779"/>
      <c r="CM473" s="779"/>
      <c r="CN473" s="729"/>
      <c r="CO473" s="228"/>
      <c r="CP473" s="228"/>
      <c r="CQ473" s="12"/>
      <c r="CR473" s="12"/>
      <c r="CS473" s="729"/>
      <c r="CT473" s="729"/>
      <c r="CU473" s="729"/>
      <c r="CV473" s="729"/>
      <c r="CW473" s="729"/>
      <c r="CX473" s="729"/>
      <c r="CY473" s="729"/>
      <c r="CZ473" s="729"/>
      <c r="DA473" s="729"/>
      <c r="DB473" s="729"/>
      <c r="DC473" s="729"/>
    </row>
    <row r="474" spans="1:124" ht="12.75" customHeight="1">
      <c r="A474" s="228"/>
      <c r="B474" s="1452"/>
      <c r="D474" s="729" t="s">
        <v>4697</v>
      </c>
      <c r="E474" s="228"/>
      <c r="F474" s="228"/>
      <c r="G474" s="729"/>
      <c r="H474" s="729"/>
      <c r="I474" s="729"/>
      <c r="J474" s="729"/>
      <c r="K474" s="1010"/>
      <c r="L474" s="12"/>
      <c r="M474" s="12"/>
      <c r="N474" s="12"/>
      <c r="O474" s="1010"/>
      <c r="P474" s="1011"/>
      <c r="Q474" s="1011"/>
      <c r="R474" s="12"/>
      <c r="S474" s="12"/>
      <c r="T474" s="12"/>
      <c r="U474" s="12"/>
      <c r="V474" s="12"/>
      <c r="W474" s="1012"/>
      <c r="X474" s="1013"/>
      <c r="Y474" s="1012"/>
      <c r="Z474" s="1012"/>
      <c r="AA474" s="1012"/>
      <c r="AB474" s="1011"/>
      <c r="AC474" s="1011"/>
      <c r="AD474" s="1449"/>
      <c r="AE474" s="729"/>
      <c r="AF474" s="729"/>
      <c r="AG474" s="1014"/>
      <c r="AH474" s="1014"/>
      <c r="AI474" s="1014"/>
      <c r="AJ474" s="729"/>
      <c r="AK474" s="729"/>
      <c r="AL474" s="729"/>
      <c r="AM474" s="729"/>
      <c r="AN474" s="729"/>
      <c r="AO474" s="729"/>
      <c r="AP474" s="729"/>
      <c r="AQ474" s="729"/>
      <c r="AR474" s="729"/>
      <c r="AS474" s="729"/>
      <c r="AT474" s="729"/>
      <c r="AU474" s="729"/>
      <c r="AV474" s="729"/>
      <c r="AW474" s="729"/>
      <c r="AX474" s="729"/>
      <c r="AY474" s="729"/>
      <c r="AZ474" s="1016"/>
      <c r="BA474" s="1017"/>
      <c r="BB474" s="1018"/>
      <c r="BC474" s="729"/>
      <c r="BD474" s="729"/>
      <c r="BE474" s="729"/>
      <c r="BF474" s="12"/>
      <c r="BG474" s="729"/>
      <c r="BH474" s="729"/>
      <c r="BI474" s="729"/>
      <c r="BJ474" s="729"/>
      <c r="BK474" s="729"/>
      <c r="BL474" s="12"/>
      <c r="BM474" s="729"/>
      <c r="BN474" s="729"/>
      <c r="BO474" s="729"/>
      <c r="BP474" s="729"/>
      <c r="BQ474" s="729"/>
      <c r="BR474" s="729"/>
      <c r="BS474" s="729"/>
      <c r="BT474" s="729"/>
      <c r="BU474" s="729"/>
      <c r="BV474" s="729"/>
      <c r="BW474" s="228"/>
      <c r="BX474" s="729"/>
      <c r="BY474" s="729"/>
      <c r="BZ474" s="729"/>
      <c r="CA474" s="228"/>
      <c r="CB474" s="729"/>
      <c r="CC474" s="729"/>
      <c r="CD474" s="729"/>
      <c r="CE474" s="729"/>
      <c r="CF474" s="729"/>
      <c r="CG474" s="729"/>
      <c r="CH474" s="729"/>
      <c r="CI474" s="729"/>
      <c r="CJ474" s="729"/>
      <c r="CK474" s="228"/>
      <c r="CL474" s="779"/>
      <c r="CM474" s="779"/>
      <c r="CN474" s="729"/>
      <c r="CO474" s="228"/>
      <c r="CP474" s="228"/>
      <c r="CQ474" s="12"/>
      <c r="CR474" s="12"/>
      <c r="CS474" s="729"/>
      <c r="CT474" s="729"/>
      <c r="CU474" s="729"/>
      <c r="CV474" s="729"/>
      <c r="CW474" s="729"/>
      <c r="CX474" s="729"/>
      <c r="CY474" s="729"/>
      <c r="CZ474" s="729"/>
      <c r="DA474" s="729"/>
      <c r="DB474" s="729"/>
      <c r="DC474" s="729"/>
    </row>
    <row r="475" spans="1:124" ht="12.75" customHeight="1">
      <c r="A475" s="228"/>
      <c r="B475" s="1453"/>
      <c r="D475" s="729" t="s">
        <v>4698</v>
      </c>
      <c r="E475" s="228"/>
      <c r="F475" s="228"/>
      <c r="G475" s="729"/>
      <c r="H475" s="729"/>
      <c r="I475" s="729"/>
      <c r="J475" s="729"/>
      <c r="K475" s="1010"/>
      <c r="L475" s="12"/>
      <c r="M475" s="12"/>
      <c r="N475" s="12"/>
      <c r="O475" s="1010"/>
      <c r="P475" s="1011"/>
      <c r="Q475" s="1011"/>
      <c r="R475" s="12"/>
      <c r="S475" s="12"/>
      <c r="T475" s="12"/>
      <c r="U475" s="12"/>
      <c r="V475" s="12"/>
      <c r="W475" s="1012"/>
      <c r="X475" s="1013"/>
      <c r="Y475" s="1012"/>
      <c r="Z475" s="1012"/>
      <c r="AA475" s="1012"/>
      <c r="AB475" s="1011"/>
      <c r="AC475" s="1011"/>
      <c r="AD475" s="1449"/>
      <c r="AE475" s="729"/>
      <c r="AF475" s="729"/>
      <c r="AG475" s="1014"/>
      <c r="AH475" s="1014"/>
      <c r="AI475" s="1014"/>
      <c r="AJ475" s="729"/>
      <c r="AK475" s="729"/>
      <c r="AL475" s="729"/>
      <c r="AM475" s="729"/>
      <c r="AN475" s="729"/>
      <c r="AO475" s="729"/>
      <c r="AP475" s="729"/>
      <c r="AQ475" s="729"/>
      <c r="AR475" s="729"/>
      <c r="AS475" s="729"/>
      <c r="AT475" s="729"/>
      <c r="AU475" s="729"/>
      <c r="AV475" s="729"/>
      <c r="AW475" s="729"/>
      <c r="AX475" s="729"/>
      <c r="AY475" s="729"/>
      <c r="AZ475" s="1016"/>
      <c r="BA475" s="1017"/>
      <c r="BB475" s="1018"/>
      <c r="BC475" s="729"/>
      <c r="BD475" s="729"/>
      <c r="BE475" s="729"/>
      <c r="BF475" s="12"/>
      <c r="BG475" s="729"/>
      <c r="BH475" s="729"/>
      <c r="BI475" s="729"/>
      <c r="BJ475" s="729"/>
      <c r="BK475" s="729"/>
      <c r="BL475" s="12"/>
      <c r="BM475" s="729"/>
      <c r="BN475" s="729"/>
      <c r="BO475" s="729"/>
      <c r="BP475" s="729"/>
      <c r="BQ475" s="729"/>
      <c r="BR475" s="729"/>
      <c r="BS475" s="729"/>
      <c r="BT475" s="729"/>
      <c r="BU475" s="729"/>
      <c r="BV475" s="729"/>
      <c r="BW475" s="228"/>
      <c r="BX475" s="729"/>
      <c r="BY475" s="729"/>
      <c r="BZ475" s="729"/>
      <c r="CA475" s="228"/>
      <c r="CB475" s="729"/>
      <c r="CC475" s="729"/>
      <c r="CD475" s="729"/>
      <c r="CE475" s="729"/>
      <c r="CF475" s="729"/>
      <c r="CG475" s="729"/>
      <c r="CH475" s="729"/>
      <c r="CI475" s="729"/>
      <c r="CJ475" s="729"/>
      <c r="CK475" s="228"/>
      <c r="CL475" s="779"/>
      <c r="CM475" s="779"/>
      <c r="CN475" s="729"/>
      <c r="CO475" s="228"/>
      <c r="CP475" s="228"/>
      <c r="CQ475" s="12"/>
      <c r="CR475" s="12"/>
      <c r="CS475" s="729"/>
      <c r="CT475" s="729"/>
      <c r="CU475" s="729"/>
      <c r="CV475" s="729"/>
      <c r="CW475" s="729"/>
      <c r="CX475" s="729"/>
      <c r="CY475" s="729"/>
      <c r="CZ475" s="729"/>
      <c r="DA475" s="729"/>
      <c r="DB475" s="729"/>
      <c r="DC475" s="729"/>
    </row>
    <row r="476" spans="1:124" ht="12.75" customHeight="1">
      <c r="A476" s="228"/>
      <c r="B476" s="1454"/>
      <c r="D476" s="729" t="s">
        <v>10</v>
      </c>
      <c r="E476" s="228"/>
      <c r="F476" s="228"/>
      <c r="G476" s="729"/>
      <c r="H476" s="729"/>
      <c r="I476" s="729"/>
      <c r="J476" s="729"/>
      <c r="K476" s="1010"/>
      <c r="L476" s="12"/>
      <c r="M476" s="12"/>
      <c r="N476" s="12"/>
      <c r="O476" s="1010"/>
      <c r="P476" s="1011"/>
      <c r="Q476" s="1011"/>
      <c r="R476" s="12"/>
      <c r="S476" s="12"/>
      <c r="T476" s="12"/>
      <c r="U476" s="12"/>
      <c r="V476" s="12"/>
      <c r="W476" s="1012"/>
      <c r="X476" s="1013"/>
      <c r="Y476" s="1012"/>
      <c r="Z476" s="1012"/>
      <c r="AA476" s="1012"/>
      <c r="AB476" s="1011"/>
      <c r="AC476" s="1011"/>
      <c r="AD476" s="1449"/>
      <c r="AE476" s="729"/>
      <c r="AF476" s="729"/>
      <c r="AG476" s="1014"/>
      <c r="AH476" s="1014"/>
      <c r="AI476" s="1014"/>
      <c r="AJ476" s="729"/>
      <c r="AK476" s="729"/>
      <c r="AL476" s="729"/>
      <c r="AM476" s="729"/>
      <c r="AN476" s="729"/>
      <c r="AO476" s="729"/>
      <c r="AP476" s="729"/>
      <c r="AQ476" s="729"/>
      <c r="AR476" s="729"/>
      <c r="AS476" s="729"/>
      <c r="AT476" s="729"/>
      <c r="AU476" s="729"/>
      <c r="AV476" s="729"/>
      <c r="AW476" s="729"/>
      <c r="AX476" s="729"/>
      <c r="AY476" s="729"/>
      <c r="AZ476" s="1016"/>
      <c r="BA476" s="1017"/>
      <c r="BB476" s="1018"/>
      <c r="BC476" s="729"/>
      <c r="BD476" s="729"/>
      <c r="BE476" s="729"/>
      <c r="BF476" s="12"/>
      <c r="BG476" s="729"/>
      <c r="BH476" s="729"/>
      <c r="BI476" s="729"/>
      <c r="BJ476" s="729"/>
      <c r="BK476" s="729"/>
      <c r="BL476" s="12"/>
      <c r="BM476" s="729"/>
      <c r="BN476" s="729"/>
      <c r="BO476" s="729"/>
      <c r="BP476" s="729"/>
      <c r="BQ476" s="729"/>
      <c r="BR476" s="729"/>
      <c r="BS476" s="729"/>
      <c r="BT476" s="729"/>
      <c r="BU476" s="729"/>
      <c r="BV476" s="729"/>
      <c r="BW476" s="228"/>
      <c r="BX476" s="729"/>
      <c r="BY476" s="729"/>
      <c r="BZ476" s="729"/>
      <c r="CA476" s="228"/>
      <c r="CB476" s="729"/>
      <c r="CC476" s="729"/>
      <c r="CD476" s="729"/>
      <c r="CE476" s="729"/>
      <c r="CF476" s="729"/>
      <c r="CG476" s="729"/>
      <c r="CH476" s="729"/>
      <c r="CI476" s="729"/>
      <c r="CJ476" s="729"/>
      <c r="CK476" s="228"/>
      <c r="CL476" s="779"/>
      <c r="CM476" s="779"/>
      <c r="CN476" s="729"/>
      <c r="CO476" s="228"/>
      <c r="CP476" s="228"/>
      <c r="CQ476" s="12"/>
      <c r="CR476" s="12"/>
      <c r="CS476" s="729"/>
      <c r="CT476" s="729"/>
      <c r="CU476" s="729"/>
      <c r="CV476" s="729"/>
      <c r="CW476" s="729"/>
      <c r="CX476" s="729"/>
      <c r="CY476" s="729"/>
      <c r="CZ476" s="729"/>
      <c r="DA476" s="729"/>
      <c r="DB476" s="729"/>
      <c r="DC476" s="729"/>
    </row>
    <row r="477" spans="1:124" ht="12.75" customHeight="1">
      <c r="A477" s="228"/>
      <c r="B477" s="1455"/>
      <c r="D477" s="729" t="s">
        <v>4699</v>
      </c>
      <c r="E477" s="228"/>
      <c r="F477" s="228"/>
      <c r="G477" s="729"/>
      <c r="H477" s="729"/>
      <c r="I477" s="729"/>
      <c r="J477" s="729"/>
      <c r="K477" s="1010"/>
      <c r="L477" s="12"/>
      <c r="M477" s="12"/>
      <c r="N477" s="12"/>
      <c r="O477" s="1010"/>
      <c r="P477" s="1011"/>
      <c r="Q477" s="1011"/>
      <c r="R477" s="12"/>
      <c r="S477" s="12"/>
      <c r="T477" s="12"/>
      <c r="U477" s="12"/>
      <c r="V477" s="12"/>
      <c r="W477" s="1012"/>
      <c r="X477" s="1013"/>
      <c r="Y477" s="1012"/>
      <c r="Z477" s="1012"/>
      <c r="AA477" s="1012"/>
      <c r="AB477" s="1011"/>
      <c r="AC477" s="1011"/>
      <c r="AD477" s="1449"/>
      <c r="AE477" s="729"/>
      <c r="AF477" s="729"/>
      <c r="AG477" s="1014"/>
      <c r="AH477" s="1014"/>
      <c r="AI477" s="1014"/>
      <c r="AJ477" s="729"/>
      <c r="AK477" s="729"/>
      <c r="AL477" s="729"/>
      <c r="AM477" s="729"/>
      <c r="AN477" s="729"/>
      <c r="AO477" s="729"/>
      <c r="AP477" s="729"/>
      <c r="AQ477" s="729"/>
      <c r="AR477" s="729"/>
      <c r="AS477" s="729"/>
      <c r="AT477" s="729"/>
      <c r="AU477" s="729"/>
      <c r="AV477" s="729"/>
      <c r="AW477" s="729"/>
      <c r="AX477" s="729"/>
      <c r="AY477" s="729"/>
      <c r="AZ477" s="1016"/>
      <c r="BA477" s="1020"/>
      <c r="BB477" s="1022"/>
      <c r="BC477" s="729"/>
      <c r="BD477" s="729"/>
      <c r="BE477" s="729"/>
      <c r="BF477" s="12"/>
      <c r="BG477" s="729"/>
      <c r="BH477" s="729"/>
      <c r="BI477" s="729"/>
      <c r="BJ477" s="729"/>
      <c r="BK477" s="729"/>
      <c r="BL477" s="12"/>
      <c r="BM477" s="729"/>
      <c r="BN477" s="729"/>
      <c r="BO477" s="729"/>
      <c r="BP477" s="729"/>
      <c r="BQ477" s="729"/>
      <c r="BR477" s="729"/>
      <c r="BS477" s="729"/>
      <c r="BT477" s="729"/>
      <c r="BU477" s="729"/>
      <c r="BV477" s="729"/>
      <c r="BW477" s="228"/>
      <c r="BX477" s="729"/>
      <c r="BY477" s="729"/>
      <c r="BZ477" s="729"/>
      <c r="CA477" s="228"/>
      <c r="CB477" s="729"/>
      <c r="CC477" s="729"/>
      <c r="CD477" s="729"/>
      <c r="CE477" s="729"/>
      <c r="CF477" s="729"/>
      <c r="CG477" s="729"/>
      <c r="CH477" s="729"/>
      <c r="CI477" s="729"/>
      <c r="CJ477" s="729"/>
      <c r="CK477" s="228"/>
      <c r="CL477" s="779"/>
      <c r="CM477" s="779"/>
      <c r="CN477" s="729"/>
      <c r="CO477" s="228"/>
      <c r="CP477" s="228"/>
      <c r="CQ477" s="12"/>
      <c r="CR477" s="12"/>
      <c r="CS477" s="729"/>
      <c r="CT477" s="729"/>
      <c r="CU477" s="729"/>
      <c r="CV477" s="729"/>
      <c r="CW477" s="729"/>
      <c r="CX477" s="729"/>
      <c r="CY477" s="729"/>
      <c r="CZ477" s="729"/>
      <c r="DA477" s="729"/>
      <c r="DB477" s="729"/>
      <c r="DC477" s="729"/>
    </row>
    <row r="478" spans="1:124" ht="12.75" customHeight="1">
      <c r="A478" s="228"/>
      <c r="B478" s="228"/>
      <c r="C478" s="1010"/>
      <c r="D478" s="228"/>
      <c r="E478" s="228"/>
      <c r="F478" s="228"/>
      <c r="G478" s="729"/>
      <c r="H478" s="729"/>
      <c r="I478" s="729"/>
      <c r="J478" s="729"/>
      <c r="K478" s="1010"/>
      <c r="L478" s="12"/>
      <c r="M478" s="12"/>
      <c r="N478" s="12"/>
      <c r="O478" s="1010"/>
      <c r="P478" s="1011"/>
      <c r="Q478" s="1011"/>
      <c r="R478" s="12"/>
      <c r="S478" s="12"/>
      <c r="T478" s="12"/>
      <c r="U478" s="12"/>
      <c r="V478" s="12"/>
      <c r="W478" s="1012"/>
      <c r="X478" s="1013"/>
      <c r="Y478" s="1012"/>
      <c r="Z478" s="1012"/>
      <c r="AA478" s="1012"/>
      <c r="AB478" s="1011"/>
      <c r="AC478" s="1011"/>
      <c r="AD478" s="1449"/>
      <c r="AE478" s="729"/>
      <c r="AF478" s="729"/>
      <c r="AG478" s="1014"/>
      <c r="AH478" s="1014"/>
      <c r="AI478" s="1014"/>
      <c r="AJ478" s="729"/>
      <c r="AK478" s="729"/>
      <c r="AL478" s="729"/>
      <c r="AM478" s="729"/>
      <c r="AN478" s="729"/>
      <c r="AO478" s="729"/>
      <c r="AP478" s="729"/>
      <c r="AQ478" s="729"/>
      <c r="AR478" s="729"/>
      <c r="AS478" s="729"/>
      <c r="AT478" s="729"/>
      <c r="AU478" s="729"/>
      <c r="AV478" s="729"/>
      <c r="AW478" s="729"/>
      <c r="AX478" s="729"/>
      <c r="AY478" s="729"/>
      <c r="AZ478" s="1016"/>
      <c r="BA478" s="1016"/>
      <c r="BB478" s="1022"/>
      <c r="BC478" s="729"/>
      <c r="BD478" s="729"/>
      <c r="BE478" s="729"/>
      <c r="BF478" s="12"/>
      <c r="BG478" s="729"/>
      <c r="BH478" s="729"/>
      <c r="BI478" s="729"/>
      <c r="BJ478" s="729"/>
      <c r="BK478" s="729"/>
      <c r="BL478" s="12"/>
      <c r="BM478" s="729"/>
      <c r="BN478" s="729"/>
      <c r="BO478" s="729"/>
      <c r="BP478" s="729"/>
      <c r="BQ478" s="729"/>
      <c r="BR478" s="729"/>
      <c r="BS478" s="729"/>
      <c r="BT478" s="729"/>
      <c r="BU478" s="729"/>
      <c r="BV478" s="729"/>
      <c r="BW478" s="228"/>
      <c r="BX478" s="729"/>
      <c r="BY478" s="729"/>
      <c r="BZ478" s="729"/>
      <c r="CA478" s="228"/>
      <c r="CB478" s="729"/>
      <c r="CC478" s="729"/>
      <c r="CD478" s="729"/>
      <c r="CE478" s="729"/>
      <c r="CF478" s="729"/>
      <c r="CG478" s="729"/>
      <c r="CH478" s="729"/>
      <c r="CI478" s="729"/>
      <c r="CJ478" s="729"/>
      <c r="CK478" s="228"/>
      <c r="CL478" s="779"/>
      <c r="CM478" s="779"/>
      <c r="CN478" s="729"/>
      <c r="CO478" s="228"/>
      <c r="CP478" s="228"/>
      <c r="CQ478" s="12"/>
      <c r="CR478" s="12"/>
      <c r="CS478" s="729"/>
      <c r="CT478" s="729"/>
      <c r="CU478" s="729"/>
      <c r="CV478" s="729"/>
      <c r="CW478" s="729"/>
      <c r="CX478" s="729"/>
      <c r="CY478" s="729"/>
      <c r="CZ478" s="729"/>
      <c r="DA478" s="729"/>
      <c r="DB478" s="729"/>
      <c r="DC478" s="729"/>
    </row>
    <row r="479" spans="1:124" ht="12.75" customHeight="1">
      <c r="A479" s="1456" t="s">
        <v>4700</v>
      </c>
      <c r="B479" s="228"/>
      <c r="C479" s="1010"/>
      <c r="D479" s="228"/>
      <c r="E479" s="228"/>
      <c r="F479" s="228"/>
      <c r="G479" s="729"/>
      <c r="H479" s="729"/>
      <c r="I479" s="729"/>
      <c r="J479" s="729"/>
      <c r="K479" s="1010"/>
      <c r="L479" s="12"/>
      <c r="M479" s="12"/>
      <c r="N479" s="12"/>
      <c r="O479" s="1010"/>
      <c r="P479" s="1011"/>
      <c r="Q479" s="1011"/>
      <c r="R479" s="12"/>
      <c r="S479" s="12"/>
      <c r="T479" s="12"/>
      <c r="U479" s="12"/>
      <c r="V479" s="12"/>
      <c r="W479" s="1012"/>
      <c r="X479" s="1013"/>
      <c r="Y479" s="1012"/>
      <c r="Z479" s="1012"/>
      <c r="AA479" s="1012"/>
      <c r="AB479" s="1011"/>
      <c r="AC479" s="1011"/>
      <c r="AD479" s="1449" t="s">
        <v>3332</v>
      </c>
      <c r="AE479" s="729"/>
      <c r="AF479" s="729"/>
      <c r="AG479" s="1014"/>
      <c r="AH479" s="1014"/>
      <c r="AI479" s="1014"/>
      <c r="AJ479" s="729"/>
      <c r="AK479" s="729"/>
      <c r="AL479" s="729"/>
      <c r="AM479" s="729"/>
      <c r="AN479" s="729"/>
      <c r="AO479" s="729"/>
      <c r="AP479" s="729"/>
      <c r="AQ479" s="729"/>
      <c r="AR479" s="729"/>
      <c r="AS479" s="729"/>
      <c r="AT479" s="729"/>
      <c r="AU479" s="729"/>
      <c r="AV479" s="729"/>
      <c r="AW479" s="729"/>
      <c r="AX479" s="729"/>
      <c r="AY479" s="729"/>
      <c r="AZ479" s="1016"/>
      <c r="BA479" s="1016"/>
      <c r="BB479" s="1022"/>
      <c r="BC479" s="729"/>
      <c r="BD479" s="729"/>
      <c r="BE479" s="729"/>
      <c r="BF479" s="12"/>
      <c r="BG479" s="729"/>
      <c r="BH479" s="729"/>
      <c r="BI479" s="729"/>
      <c r="BJ479" s="729"/>
      <c r="BK479" s="729"/>
      <c r="BL479" s="12"/>
      <c r="BM479" s="729"/>
      <c r="BN479" s="729"/>
      <c r="BO479" s="729"/>
      <c r="BP479" s="729"/>
      <c r="BQ479" s="729"/>
      <c r="BR479" s="729"/>
      <c r="BS479" s="729"/>
      <c r="BT479" s="729"/>
      <c r="BU479" s="729"/>
      <c r="BV479" s="729"/>
      <c r="BW479" s="228"/>
      <c r="BX479" s="729"/>
      <c r="BY479" s="729"/>
      <c r="BZ479" s="729"/>
      <c r="CA479" s="228"/>
      <c r="CB479" s="729"/>
      <c r="CC479" s="729"/>
      <c r="CD479" s="729"/>
      <c r="CE479" s="729"/>
      <c r="CF479" s="729"/>
      <c r="CG479" s="729"/>
      <c r="CH479" s="729"/>
      <c r="CI479" s="729"/>
      <c r="CJ479" s="729"/>
      <c r="CK479" s="228"/>
      <c r="CL479" s="779"/>
      <c r="CM479" s="779"/>
      <c r="CN479" s="729"/>
      <c r="CO479" s="228"/>
      <c r="CP479" s="228"/>
      <c r="CQ479" s="12"/>
      <c r="CR479" s="12"/>
      <c r="CS479" s="729"/>
      <c r="CT479" s="729"/>
      <c r="CU479" s="729"/>
      <c r="CV479" s="729"/>
      <c r="CW479" s="729"/>
      <c r="CX479" s="729"/>
      <c r="CY479" s="729"/>
      <c r="CZ479" s="729"/>
      <c r="DA479" s="729"/>
      <c r="DB479" s="729"/>
      <c r="DC479" s="729"/>
    </row>
    <row r="480" spans="1:124" ht="12.75" customHeight="1">
      <c r="A480" s="228"/>
      <c r="B480" s="228"/>
      <c r="C480" s="1010"/>
      <c r="D480" s="228"/>
      <c r="E480" s="228"/>
      <c r="F480" s="228"/>
      <c r="G480" s="729"/>
      <c r="H480" s="729"/>
      <c r="I480" s="729"/>
      <c r="J480" s="729"/>
      <c r="K480" s="1010"/>
      <c r="L480" s="12"/>
      <c r="M480" s="12"/>
      <c r="N480" s="12"/>
      <c r="O480" s="1010"/>
      <c r="P480" s="1011"/>
      <c r="Q480" s="1011"/>
      <c r="R480" s="12"/>
      <c r="S480" s="12"/>
      <c r="T480" s="12"/>
      <c r="U480" s="12"/>
      <c r="V480" s="12"/>
      <c r="W480" s="1012"/>
      <c r="X480" s="1013"/>
      <c r="Y480" s="1012"/>
      <c r="Z480" s="1012"/>
      <c r="AA480" s="1012"/>
      <c r="AB480" s="1011"/>
      <c r="AC480" s="1011"/>
      <c r="AD480" s="1449"/>
      <c r="AE480" s="729"/>
      <c r="AF480" s="729"/>
      <c r="AG480" s="1014"/>
      <c r="AH480" s="1014"/>
      <c r="AI480" s="1014"/>
      <c r="AJ480" s="729"/>
      <c r="AK480" s="729"/>
      <c r="AL480" s="729"/>
      <c r="AM480" s="729"/>
      <c r="AN480" s="729"/>
      <c r="AO480" s="729"/>
      <c r="AP480" s="729"/>
      <c r="AQ480" s="729"/>
      <c r="AR480" s="729"/>
      <c r="AS480" s="729"/>
      <c r="AT480" s="729"/>
      <c r="AU480" s="729"/>
      <c r="AV480" s="729"/>
      <c r="AW480" s="729"/>
      <c r="AX480" s="729"/>
      <c r="AY480" s="729"/>
      <c r="AZ480" s="1016"/>
      <c r="BA480" s="1020"/>
      <c r="BB480" s="1021"/>
      <c r="BC480" s="729"/>
      <c r="BD480" s="729"/>
      <c r="BE480" s="729"/>
      <c r="BF480" s="12"/>
      <c r="BG480" s="729"/>
      <c r="BH480" s="729"/>
      <c r="BI480" s="729"/>
      <c r="BJ480" s="729"/>
      <c r="BK480" s="729"/>
      <c r="BL480" s="12"/>
      <c r="BM480" s="729"/>
      <c r="BN480" s="729"/>
      <c r="BO480" s="729"/>
      <c r="BP480" s="729"/>
      <c r="BQ480" s="729"/>
      <c r="BR480" s="729"/>
      <c r="BS480" s="729"/>
      <c r="BT480" s="729"/>
      <c r="BU480" s="729"/>
      <c r="BV480" s="729"/>
      <c r="BW480" s="228"/>
      <c r="BX480" s="729"/>
      <c r="BY480" s="729"/>
      <c r="BZ480" s="729"/>
      <c r="CA480" s="228"/>
      <c r="CB480" s="729"/>
      <c r="CC480" s="729"/>
      <c r="CD480" s="729"/>
      <c r="CE480" s="729"/>
      <c r="CF480" s="729"/>
      <c r="CG480" s="729"/>
      <c r="CH480" s="729"/>
      <c r="CI480" s="729"/>
      <c r="CJ480" s="729"/>
      <c r="CK480" s="228"/>
      <c r="CL480" s="779"/>
      <c r="CM480" s="779"/>
      <c r="CN480" s="729"/>
      <c r="CO480" s="228"/>
      <c r="CP480" s="228"/>
      <c r="CQ480" s="12"/>
      <c r="CR480" s="12"/>
      <c r="CS480" s="729"/>
      <c r="CT480" s="729"/>
      <c r="CU480" s="729"/>
      <c r="CV480" s="729"/>
      <c r="CW480" s="729"/>
      <c r="CX480" s="729"/>
      <c r="CY480" s="729"/>
      <c r="CZ480" s="729"/>
      <c r="DA480" s="729"/>
      <c r="DB480" s="729"/>
      <c r="DC480" s="729"/>
    </row>
    <row r="481" spans="1:107" ht="12.75" customHeight="1">
      <c r="A481" s="228"/>
      <c r="B481" s="228"/>
      <c r="C481" s="1010"/>
      <c r="D481" s="228"/>
      <c r="E481" s="228"/>
      <c r="F481" s="228"/>
      <c r="G481" s="729"/>
      <c r="H481" s="729"/>
      <c r="I481" s="729"/>
      <c r="J481" s="729"/>
      <c r="K481" s="1010"/>
      <c r="L481" s="12"/>
      <c r="M481" s="12"/>
      <c r="N481" s="12"/>
      <c r="O481" s="1010"/>
      <c r="P481" s="1011"/>
      <c r="Q481" s="1011"/>
      <c r="R481" s="12"/>
      <c r="S481" s="12"/>
      <c r="T481" s="12"/>
      <c r="U481" s="12"/>
      <c r="V481" s="12"/>
      <c r="W481" s="1012"/>
      <c r="X481" s="1013"/>
      <c r="Y481" s="1012"/>
      <c r="Z481" s="1012"/>
      <c r="AA481" s="1012"/>
      <c r="AB481" s="1011"/>
      <c r="AC481" s="1011"/>
      <c r="AD481" s="1449"/>
      <c r="AE481" s="729"/>
      <c r="AF481" s="729"/>
      <c r="AG481" s="1014"/>
      <c r="AH481" s="1014"/>
      <c r="AI481" s="1014"/>
      <c r="AJ481" s="729"/>
      <c r="AK481" s="729"/>
      <c r="AL481" s="729"/>
      <c r="AM481" s="729"/>
      <c r="AN481" s="729"/>
      <c r="AO481" s="729"/>
      <c r="AP481" s="729"/>
      <c r="AQ481" s="729"/>
      <c r="AR481" s="729"/>
      <c r="AS481" s="729"/>
      <c r="AT481" s="729"/>
      <c r="AU481" s="729"/>
      <c r="AV481" s="729"/>
      <c r="AW481" s="729"/>
      <c r="AX481" s="729"/>
      <c r="AY481" s="729"/>
      <c r="AZ481" s="1016"/>
      <c r="BA481" s="1020"/>
      <c r="BB481" s="1021"/>
      <c r="BC481" s="729"/>
      <c r="BD481" s="729"/>
      <c r="BE481" s="729"/>
      <c r="BF481" s="12"/>
      <c r="BG481" s="729"/>
      <c r="BH481" s="729"/>
      <c r="BI481" s="729"/>
      <c r="BJ481" s="729"/>
      <c r="BK481" s="729"/>
      <c r="BL481" s="12"/>
      <c r="BM481" s="729"/>
      <c r="BN481" s="729"/>
      <c r="BO481" s="729"/>
      <c r="BP481" s="729"/>
      <c r="BQ481" s="729"/>
      <c r="BR481" s="729"/>
      <c r="BS481" s="729"/>
      <c r="BT481" s="729"/>
      <c r="BU481" s="729"/>
      <c r="BV481" s="729"/>
      <c r="BW481" s="228"/>
      <c r="BX481" s="729"/>
      <c r="BY481" s="729"/>
      <c r="BZ481" s="729"/>
      <c r="CA481" s="228"/>
      <c r="CB481" s="729"/>
      <c r="CC481" s="729"/>
      <c r="CD481" s="729"/>
      <c r="CE481" s="729"/>
      <c r="CF481" s="729"/>
      <c r="CG481" s="729"/>
      <c r="CH481" s="729"/>
      <c r="CI481" s="729"/>
      <c r="CJ481" s="729"/>
      <c r="CK481" s="228"/>
      <c r="CL481" s="779"/>
      <c r="CM481" s="779"/>
      <c r="CN481" s="729"/>
      <c r="CO481" s="228"/>
      <c r="CP481" s="228"/>
      <c r="CQ481" s="12"/>
      <c r="CR481" s="12"/>
      <c r="CS481" s="729"/>
      <c r="CT481" s="729"/>
      <c r="CU481" s="729"/>
      <c r="CV481" s="729"/>
      <c r="CW481" s="729"/>
      <c r="CX481" s="729"/>
      <c r="CY481" s="729"/>
      <c r="CZ481" s="729"/>
      <c r="DA481" s="729"/>
      <c r="DB481" s="729"/>
      <c r="DC481" s="729"/>
    </row>
    <row r="482" spans="1:107" ht="12.75" customHeight="1">
      <c r="A482" s="228"/>
      <c r="B482" s="228"/>
      <c r="C482" s="1010"/>
      <c r="D482" s="228"/>
      <c r="E482" s="228"/>
      <c r="F482" s="228"/>
      <c r="G482" s="729"/>
      <c r="H482" s="729"/>
      <c r="I482" s="729"/>
      <c r="J482" s="729"/>
      <c r="K482" s="1010"/>
      <c r="L482" s="12"/>
      <c r="M482" s="12"/>
      <c r="N482" s="12"/>
      <c r="O482" s="1010"/>
      <c r="P482" s="1011"/>
      <c r="Q482" s="1011"/>
      <c r="R482" s="12"/>
      <c r="S482" s="12"/>
      <c r="T482" s="12"/>
      <c r="U482" s="12"/>
      <c r="V482" s="12"/>
      <c r="W482" s="1012"/>
      <c r="X482" s="1013"/>
      <c r="Y482" s="1012"/>
      <c r="Z482" s="1012"/>
      <c r="AA482" s="1012"/>
      <c r="AB482" s="1011"/>
      <c r="AC482" s="1011"/>
      <c r="AD482" s="1449"/>
      <c r="AE482" s="729"/>
      <c r="AF482" s="729"/>
      <c r="AG482" s="1014"/>
      <c r="AH482" s="1014"/>
      <c r="AI482" s="1014"/>
      <c r="AJ482" s="729"/>
      <c r="AK482" s="729"/>
      <c r="AL482" s="729"/>
      <c r="AM482" s="729"/>
      <c r="AN482" s="729"/>
      <c r="AO482" s="729"/>
      <c r="AP482" s="729"/>
      <c r="AQ482" s="729"/>
      <c r="AR482" s="729"/>
      <c r="AS482" s="729"/>
      <c r="AT482" s="729"/>
      <c r="AU482" s="729"/>
      <c r="AV482" s="729"/>
      <c r="AW482" s="729"/>
      <c r="AX482" s="729"/>
      <c r="AY482" s="729"/>
      <c r="AZ482" s="1016"/>
      <c r="BA482" s="1020"/>
      <c r="BB482" s="1021"/>
      <c r="BC482" s="729"/>
      <c r="BD482" s="729"/>
      <c r="BE482" s="729"/>
      <c r="BF482" s="12"/>
      <c r="BG482" s="729"/>
      <c r="BH482" s="729"/>
      <c r="BI482" s="729"/>
      <c r="BJ482" s="729"/>
      <c r="BK482" s="729"/>
      <c r="BL482" s="12"/>
      <c r="BM482" s="729"/>
      <c r="BN482" s="729"/>
      <c r="BO482" s="729"/>
      <c r="BP482" s="729"/>
      <c r="BQ482" s="729"/>
      <c r="BR482" s="729"/>
      <c r="BS482" s="729"/>
      <c r="BT482" s="729"/>
      <c r="BU482" s="729"/>
      <c r="BV482" s="729"/>
      <c r="BW482" s="228"/>
      <c r="BX482" s="729"/>
      <c r="BY482" s="729"/>
      <c r="BZ482" s="729"/>
      <c r="CA482" s="228"/>
      <c r="CB482" s="729"/>
      <c r="CC482" s="729"/>
      <c r="CD482" s="729"/>
      <c r="CE482" s="729"/>
      <c r="CF482" s="729"/>
      <c r="CG482" s="729"/>
      <c r="CH482" s="729"/>
      <c r="CI482" s="729"/>
      <c r="CJ482" s="729"/>
      <c r="CK482" s="228"/>
      <c r="CL482" s="779"/>
      <c r="CM482" s="779"/>
      <c r="CN482" s="729"/>
      <c r="CO482" s="228"/>
      <c r="CP482" s="228"/>
      <c r="CQ482" s="12"/>
      <c r="CR482" s="12"/>
      <c r="CS482" s="729"/>
      <c r="CT482" s="729"/>
      <c r="CU482" s="729"/>
      <c r="CV482" s="729"/>
      <c r="CW482" s="729"/>
      <c r="CX482" s="729"/>
      <c r="CY482" s="729"/>
      <c r="CZ482" s="729"/>
      <c r="DA482" s="729"/>
      <c r="DB482" s="729"/>
      <c r="DC482" s="729"/>
    </row>
    <row r="483" spans="1:107" ht="12.75" customHeight="1">
      <c r="A483" s="228"/>
      <c r="B483" s="228"/>
      <c r="C483" s="1010"/>
      <c r="D483" s="228"/>
      <c r="E483" s="228"/>
      <c r="F483" s="228"/>
      <c r="G483" s="729"/>
      <c r="H483" s="729"/>
      <c r="I483" s="729"/>
      <c r="J483" s="729"/>
      <c r="K483" s="1010"/>
      <c r="L483" s="12"/>
      <c r="M483" s="12"/>
      <c r="N483" s="12"/>
      <c r="O483" s="1010"/>
      <c r="P483" s="1011"/>
      <c r="Q483" s="1011"/>
      <c r="R483" s="12"/>
      <c r="S483" s="12"/>
      <c r="T483" s="12"/>
      <c r="U483" s="12"/>
      <c r="V483" s="12"/>
      <c r="W483" s="1012"/>
      <c r="X483" s="1013"/>
      <c r="Y483" s="1012"/>
      <c r="Z483" s="1012"/>
      <c r="AA483" s="1012"/>
      <c r="AB483" s="1011"/>
      <c r="AC483" s="1011"/>
      <c r="AD483" s="1449"/>
      <c r="AE483" s="729"/>
      <c r="AF483" s="729"/>
      <c r="AG483" s="1014"/>
      <c r="AH483" s="1014"/>
      <c r="AI483" s="1014"/>
      <c r="AJ483" s="729"/>
      <c r="AK483" s="729"/>
      <c r="AL483" s="729"/>
      <c r="AM483" s="729"/>
      <c r="AN483" s="729"/>
      <c r="AO483" s="729"/>
      <c r="AP483" s="729"/>
      <c r="AQ483" s="729"/>
      <c r="AR483" s="729"/>
      <c r="AS483" s="729"/>
      <c r="AT483" s="729"/>
      <c r="AU483" s="729"/>
      <c r="AV483" s="729"/>
      <c r="AW483" s="729"/>
      <c r="AX483" s="729"/>
      <c r="AY483" s="729"/>
      <c r="AZ483" s="1016"/>
      <c r="BA483" s="1017"/>
      <c r="BB483" s="1018"/>
      <c r="BC483" s="729"/>
      <c r="BD483" s="729"/>
      <c r="BE483" s="729"/>
      <c r="BF483" s="12"/>
      <c r="BG483" s="729"/>
      <c r="BH483" s="729"/>
      <c r="BI483" s="729"/>
      <c r="BJ483" s="729"/>
      <c r="BK483" s="729"/>
      <c r="BL483" s="12"/>
      <c r="BM483" s="729"/>
      <c r="BN483" s="729"/>
      <c r="BO483" s="729"/>
      <c r="BP483" s="729"/>
      <c r="BQ483" s="729"/>
      <c r="BR483" s="729"/>
      <c r="BS483" s="729"/>
      <c r="BT483" s="729"/>
      <c r="BU483" s="729"/>
      <c r="BV483" s="729"/>
      <c r="BW483" s="228"/>
      <c r="BX483" s="729"/>
      <c r="BY483" s="729"/>
      <c r="BZ483" s="729"/>
      <c r="CA483" s="228"/>
      <c r="CB483" s="729"/>
      <c r="CC483" s="729"/>
      <c r="CD483" s="729"/>
      <c r="CE483" s="729"/>
      <c r="CF483" s="729"/>
      <c r="CG483" s="729"/>
      <c r="CH483" s="729"/>
      <c r="CI483" s="729"/>
      <c r="CJ483" s="729"/>
      <c r="CK483" s="228"/>
      <c r="CL483" s="779"/>
      <c r="CM483" s="779"/>
      <c r="CN483" s="729"/>
      <c r="CO483" s="228"/>
      <c r="CP483" s="228"/>
      <c r="CQ483" s="12"/>
      <c r="CR483" s="12"/>
      <c r="CS483" s="729"/>
      <c r="CT483" s="729"/>
      <c r="CU483" s="729"/>
      <c r="CV483" s="729"/>
      <c r="CW483" s="729"/>
      <c r="CX483" s="729"/>
      <c r="CY483" s="729"/>
      <c r="CZ483" s="729"/>
      <c r="DA483" s="729"/>
      <c r="DB483" s="729"/>
      <c r="DC483" s="729"/>
    </row>
    <row r="484" spans="1:107" ht="12.75" customHeight="1">
      <c r="A484" s="228"/>
      <c r="B484" s="228"/>
      <c r="C484" s="1010"/>
      <c r="D484" s="228"/>
      <c r="E484" s="228"/>
      <c r="F484" s="228"/>
      <c r="G484" s="729"/>
      <c r="H484" s="729"/>
      <c r="I484" s="729"/>
      <c r="J484" s="729"/>
      <c r="K484" s="1010"/>
      <c r="L484" s="12"/>
      <c r="M484" s="12"/>
      <c r="N484" s="12"/>
      <c r="O484" s="1010"/>
      <c r="P484" s="1011"/>
      <c r="Q484" s="1011"/>
      <c r="R484" s="12"/>
      <c r="S484" s="12"/>
      <c r="T484" s="12"/>
      <c r="U484" s="12"/>
      <c r="V484" s="12"/>
      <c r="W484" s="1012"/>
      <c r="X484" s="1013"/>
      <c r="Y484" s="1012"/>
      <c r="Z484" s="1012"/>
      <c r="AA484" s="1012"/>
      <c r="AB484" s="1011"/>
      <c r="AC484" s="1011"/>
      <c r="AD484" s="1449"/>
      <c r="AE484" s="729"/>
      <c r="AF484" s="729"/>
      <c r="AG484" s="1014"/>
      <c r="AH484" s="1014"/>
      <c r="AI484" s="1014"/>
      <c r="AJ484" s="729"/>
      <c r="AK484" s="729"/>
      <c r="AL484" s="729"/>
      <c r="AM484" s="729"/>
      <c r="AN484" s="729"/>
      <c r="AO484" s="729"/>
      <c r="AP484" s="729"/>
      <c r="AQ484" s="729"/>
      <c r="AR484" s="729"/>
      <c r="AS484" s="729"/>
      <c r="AT484" s="729"/>
      <c r="AU484" s="729"/>
      <c r="AV484" s="729"/>
      <c r="AW484" s="729"/>
      <c r="AX484" s="729"/>
      <c r="AY484" s="729"/>
      <c r="AZ484" s="1016"/>
      <c r="BA484" s="1017"/>
      <c r="BB484" s="1018"/>
      <c r="BC484" s="729"/>
      <c r="BD484" s="729"/>
      <c r="BE484" s="729"/>
      <c r="BF484" s="12"/>
      <c r="BG484" s="729"/>
      <c r="BH484" s="729"/>
      <c r="BI484" s="729"/>
      <c r="BJ484" s="729"/>
      <c r="BK484" s="729"/>
      <c r="BL484" s="12"/>
      <c r="BM484" s="729"/>
      <c r="BN484" s="729"/>
      <c r="BO484" s="729"/>
      <c r="BP484" s="729"/>
      <c r="BQ484" s="729"/>
      <c r="BR484" s="729"/>
      <c r="BS484" s="729"/>
      <c r="BT484" s="729"/>
      <c r="BU484" s="729"/>
      <c r="BV484" s="729"/>
      <c r="BW484" s="228"/>
      <c r="BX484" s="729"/>
      <c r="BY484" s="729"/>
      <c r="BZ484" s="729"/>
      <c r="CA484" s="228"/>
      <c r="CB484" s="729"/>
      <c r="CC484" s="729"/>
      <c r="CD484" s="729"/>
      <c r="CE484" s="729"/>
      <c r="CF484" s="729"/>
      <c r="CG484" s="729"/>
      <c r="CH484" s="729"/>
      <c r="CI484" s="729"/>
      <c r="CJ484" s="729"/>
      <c r="CK484" s="228"/>
      <c r="CL484" s="779"/>
      <c r="CM484" s="779"/>
      <c r="CN484" s="729"/>
      <c r="CO484" s="228"/>
      <c r="CP484" s="228"/>
      <c r="CQ484" s="12"/>
      <c r="CR484" s="12"/>
      <c r="CS484" s="729"/>
      <c r="CT484" s="729"/>
      <c r="CU484" s="729"/>
      <c r="CV484" s="729"/>
      <c r="CW484" s="729"/>
      <c r="CX484" s="729"/>
      <c r="CY484" s="729"/>
      <c r="CZ484" s="729"/>
      <c r="DA484" s="729"/>
      <c r="DB484" s="729"/>
      <c r="DC484" s="729"/>
    </row>
    <row r="485" spans="1:107" ht="12.75" customHeight="1">
      <c r="A485" s="228"/>
      <c r="B485" s="228"/>
      <c r="C485" s="1010"/>
      <c r="D485" s="228"/>
      <c r="E485" s="228"/>
      <c r="F485" s="228"/>
      <c r="G485" s="729"/>
      <c r="H485" s="729"/>
      <c r="I485" s="729"/>
      <c r="J485" s="729"/>
      <c r="K485" s="1010"/>
      <c r="L485" s="12"/>
      <c r="M485" s="12"/>
      <c r="N485" s="12"/>
      <c r="O485" s="1010"/>
      <c r="P485" s="1011"/>
      <c r="Q485" s="1011"/>
      <c r="R485" s="12"/>
      <c r="S485" s="12"/>
      <c r="T485" s="12"/>
      <c r="U485" s="12"/>
      <c r="V485" s="12"/>
      <c r="W485" s="1012"/>
      <c r="X485" s="1013"/>
      <c r="Y485" s="1012"/>
      <c r="Z485" s="1012"/>
      <c r="AA485" s="1012"/>
      <c r="AB485" s="1011"/>
      <c r="AC485" s="1011"/>
      <c r="AD485" s="1449"/>
      <c r="AE485" s="729"/>
      <c r="AF485" s="729"/>
      <c r="AG485" s="1014"/>
      <c r="AH485" s="1014"/>
      <c r="AI485" s="1014"/>
      <c r="AJ485" s="729"/>
      <c r="AK485" s="729"/>
      <c r="AL485" s="729"/>
      <c r="AM485" s="729"/>
      <c r="AN485" s="729"/>
      <c r="AO485" s="729"/>
      <c r="AP485" s="729"/>
      <c r="AQ485" s="729"/>
      <c r="AR485" s="729"/>
      <c r="AS485" s="729"/>
      <c r="AT485" s="729"/>
      <c r="AU485" s="729"/>
      <c r="AV485" s="729"/>
      <c r="AW485" s="729"/>
      <c r="AX485" s="729"/>
      <c r="AY485" s="729"/>
      <c r="AZ485" s="1016"/>
      <c r="BA485" s="1017"/>
      <c r="BB485" s="1018"/>
      <c r="BC485" s="729"/>
      <c r="BD485" s="729"/>
      <c r="BE485" s="729"/>
      <c r="BF485" s="12"/>
      <c r="BG485" s="729"/>
      <c r="BH485" s="729"/>
      <c r="BI485" s="729"/>
      <c r="BJ485" s="729"/>
      <c r="BK485" s="729"/>
      <c r="BL485" s="12"/>
      <c r="BM485" s="729"/>
      <c r="BN485" s="729"/>
      <c r="BO485" s="729"/>
      <c r="BP485" s="729"/>
      <c r="BQ485" s="729"/>
      <c r="BR485" s="729"/>
      <c r="BS485" s="729"/>
      <c r="BT485" s="729"/>
      <c r="BU485" s="729"/>
      <c r="BV485" s="729"/>
      <c r="BW485" s="228"/>
      <c r="BX485" s="729"/>
      <c r="BY485" s="729"/>
      <c r="BZ485" s="729"/>
      <c r="CA485" s="228"/>
      <c r="CB485" s="729"/>
      <c r="CC485" s="729"/>
      <c r="CD485" s="729"/>
      <c r="CE485" s="729"/>
      <c r="CF485" s="729"/>
      <c r="CG485" s="729"/>
      <c r="CH485" s="729"/>
      <c r="CI485" s="729"/>
      <c r="CJ485" s="729"/>
      <c r="CK485" s="228"/>
      <c r="CL485" s="779"/>
      <c r="CM485" s="779"/>
      <c r="CN485" s="729"/>
      <c r="CO485" s="228"/>
      <c r="CP485" s="228"/>
      <c r="CQ485" s="12"/>
      <c r="CR485" s="12"/>
      <c r="CS485" s="729"/>
      <c r="CT485" s="729"/>
      <c r="CU485" s="729"/>
      <c r="CV485" s="729"/>
      <c r="CW485" s="729"/>
      <c r="CX485" s="729"/>
      <c r="CY485" s="729"/>
      <c r="CZ485" s="729"/>
      <c r="DA485" s="729"/>
      <c r="DB485" s="729"/>
      <c r="DC485" s="729"/>
    </row>
    <row r="486" spans="1:107" ht="12.75" customHeight="1">
      <c r="A486" s="228"/>
      <c r="B486" s="228"/>
      <c r="C486" s="1010"/>
      <c r="D486" s="228"/>
      <c r="E486" s="228"/>
      <c r="F486" s="228"/>
      <c r="G486" s="729"/>
      <c r="H486" s="729"/>
      <c r="I486" s="729"/>
      <c r="J486" s="729"/>
      <c r="K486" s="1010"/>
      <c r="L486" s="12"/>
      <c r="M486" s="12"/>
      <c r="N486" s="12"/>
      <c r="O486" s="1010"/>
      <c r="P486" s="1011"/>
      <c r="Q486" s="1011"/>
      <c r="R486" s="12"/>
      <c r="S486" s="12"/>
      <c r="T486" s="12"/>
      <c r="U486" s="12"/>
      <c r="V486" s="12"/>
      <c r="W486" s="1012"/>
      <c r="X486" s="1013"/>
      <c r="Y486" s="1012"/>
      <c r="Z486" s="1012"/>
      <c r="AA486" s="1012"/>
      <c r="AB486" s="1011"/>
      <c r="AC486" s="1011"/>
      <c r="AD486" s="1449"/>
      <c r="AE486" s="729"/>
      <c r="AF486" s="729"/>
      <c r="AG486" s="1014"/>
      <c r="AH486" s="1014"/>
      <c r="AI486" s="1014"/>
      <c r="AJ486" s="729"/>
      <c r="AK486" s="729"/>
      <c r="AL486" s="729"/>
      <c r="AM486" s="729"/>
      <c r="AN486" s="729"/>
      <c r="AO486" s="729"/>
      <c r="AP486" s="729"/>
      <c r="AQ486" s="729"/>
      <c r="AR486" s="729"/>
      <c r="AS486" s="729"/>
      <c r="AT486" s="729"/>
      <c r="AU486" s="729"/>
      <c r="AV486" s="729"/>
      <c r="AW486" s="729"/>
      <c r="AX486" s="729"/>
      <c r="AY486" s="729"/>
      <c r="AZ486" s="1016"/>
      <c r="BA486" s="1017"/>
      <c r="BB486" s="1018"/>
      <c r="BC486" s="729"/>
      <c r="BD486" s="729"/>
      <c r="BE486" s="729"/>
      <c r="BF486" s="12"/>
      <c r="BG486" s="729"/>
      <c r="BH486" s="729"/>
      <c r="BI486" s="729"/>
      <c r="BJ486" s="729"/>
      <c r="BK486" s="729"/>
      <c r="BL486" s="12"/>
      <c r="BM486" s="729"/>
      <c r="BN486" s="729"/>
      <c r="BO486" s="729"/>
      <c r="BP486" s="729"/>
      <c r="BQ486" s="729"/>
      <c r="BR486" s="729"/>
      <c r="BS486" s="729"/>
      <c r="BT486" s="729"/>
      <c r="BU486" s="729"/>
      <c r="BV486" s="729"/>
      <c r="BW486" s="228"/>
      <c r="BX486" s="729"/>
      <c r="BY486" s="729"/>
      <c r="BZ486" s="729"/>
      <c r="CA486" s="228"/>
      <c r="CB486" s="729"/>
      <c r="CC486" s="729"/>
      <c r="CD486" s="729"/>
      <c r="CE486" s="729"/>
      <c r="CF486" s="729"/>
      <c r="CG486" s="729"/>
      <c r="CH486" s="729"/>
      <c r="CI486" s="729"/>
      <c r="CJ486" s="729"/>
      <c r="CK486" s="228"/>
      <c r="CL486" s="779"/>
      <c r="CM486" s="779"/>
      <c r="CN486" s="729"/>
      <c r="CO486" s="228"/>
      <c r="CP486" s="228"/>
      <c r="CQ486" s="12"/>
      <c r="CR486" s="12"/>
      <c r="CS486" s="729"/>
      <c r="CT486" s="729"/>
      <c r="CU486" s="729"/>
      <c r="CV486" s="729"/>
      <c r="CW486" s="729"/>
      <c r="CX486" s="729"/>
      <c r="CY486" s="729"/>
      <c r="CZ486" s="729"/>
      <c r="DA486" s="729"/>
      <c r="DB486" s="729"/>
      <c r="DC486" s="729"/>
    </row>
    <row r="487" spans="1:107" ht="12.75" customHeight="1">
      <c r="A487" s="228"/>
      <c r="B487" s="228"/>
      <c r="C487" s="1010"/>
      <c r="D487" s="228"/>
      <c r="E487" s="228"/>
      <c r="F487" s="228"/>
      <c r="G487" s="729"/>
      <c r="H487" s="729"/>
      <c r="I487" s="729"/>
      <c r="J487" s="729"/>
      <c r="K487" s="1010"/>
      <c r="L487" s="12"/>
      <c r="M487" s="12"/>
      <c r="N487" s="12"/>
      <c r="O487" s="1010"/>
      <c r="P487" s="1011"/>
      <c r="Q487" s="1011"/>
      <c r="R487" s="12"/>
      <c r="S487" s="12"/>
      <c r="T487" s="12"/>
      <c r="U487" s="12"/>
      <c r="V487" s="12"/>
      <c r="W487" s="1012"/>
      <c r="X487" s="1013"/>
      <c r="Y487" s="1012"/>
      <c r="Z487" s="1012"/>
      <c r="AA487" s="1012"/>
      <c r="AB487" s="1011"/>
      <c r="AC487" s="1011"/>
      <c r="AD487" s="1449"/>
      <c r="AE487" s="729"/>
      <c r="AF487" s="729"/>
      <c r="AG487" s="1014"/>
      <c r="AH487" s="1014"/>
      <c r="AI487" s="1014"/>
      <c r="AJ487" s="729"/>
      <c r="AK487" s="729"/>
      <c r="AL487" s="729"/>
      <c r="AM487" s="729"/>
      <c r="AN487" s="729"/>
      <c r="AO487" s="729"/>
      <c r="AP487" s="729"/>
      <c r="AQ487" s="729"/>
      <c r="AR487" s="729"/>
      <c r="AS487" s="729"/>
      <c r="AT487" s="729"/>
      <c r="AU487" s="729"/>
      <c r="AV487" s="729"/>
      <c r="AW487" s="729"/>
      <c r="AX487" s="729"/>
      <c r="AY487" s="729"/>
      <c r="AZ487" s="1016"/>
      <c r="BA487" s="1020"/>
      <c r="BB487" s="1021"/>
      <c r="BC487" s="729"/>
      <c r="BD487" s="729"/>
      <c r="BE487" s="729"/>
      <c r="BF487" s="12"/>
      <c r="BG487" s="729"/>
      <c r="BH487" s="729"/>
      <c r="BI487" s="729"/>
      <c r="BJ487" s="729"/>
      <c r="BK487" s="729"/>
      <c r="BL487" s="12"/>
      <c r="BM487" s="729"/>
      <c r="BN487" s="729"/>
      <c r="BO487" s="729"/>
      <c r="BP487" s="729"/>
      <c r="BQ487" s="729"/>
      <c r="BR487" s="729"/>
      <c r="BS487" s="729"/>
      <c r="BT487" s="729"/>
      <c r="BU487" s="729"/>
      <c r="BV487" s="729"/>
      <c r="BW487" s="228"/>
      <c r="BX487" s="729"/>
      <c r="BY487" s="729"/>
      <c r="BZ487" s="729"/>
      <c r="CA487" s="228"/>
      <c r="CB487" s="729"/>
      <c r="CC487" s="729"/>
      <c r="CD487" s="729"/>
      <c r="CE487" s="729"/>
      <c r="CF487" s="729"/>
      <c r="CG487" s="729"/>
      <c r="CH487" s="729"/>
      <c r="CI487" s="729"/>
      <c r="CJ487" s="729"/>
      <c r="CK487" s="228"/>
      <c r="CL487" s="779"/>
      <c r="CM487" s="779"/>
      <c r="CN487" s="729"/>
      <c r="CO487" s="228"/>
      <c r="CP487" s="228"/>
      <c r="CQ487" s="12"/>
      <c r="CR487" s="12"/>
      <c r="CS487" s="729"/>
      <c r="CT487" s="729"/>
      <c r="CU487" s="729"/>
      <c r="CV487" s="729"/>
      <c r="CW487" s="729"/>
      <c r="CX487" s="729"/>
      <c r="CY487" s="729"/>
      <c r="CZ487" s="729"/>
      <c r="DA487" s="729"/>
      <c r="DB487" s="729"/>
      <c r="DC487" s="729"/>
    </row>
    <row r="488" spans="1:107" ht="12.75" customHeight="1">
      <c r="A488" s="228"/>
      <c r="B488" s="228"/>
      <c r="C488" s="1010"/>
      <c r="D488" s="228"/>
      <c r="E488" s="228"/>
      <c r="F488" s="228"/>
      <c r="G488" s="729"/>
      <c r="H488" s="729"/>
      <c r="I488" s="729"/>
      <c r="J488" s="729"/>
      <c r="K488" s="1010"/>
      <c r="L488" s="12"/>
      <c r="M488" s="12"/>
      <c r="N488" s="12"/>
      <c r="O488" s="1010"/>
      <c r="P488" s="1011"/>
      <c r="Q488" s="1011"/>
      <c r="R488" s="12"/>
      <c r="S488" s="12"/>
      <c r="T488" s="12"/>
      <c r="U488" s="12"/>
      <c r="V488" s="12"/>
      <c r="W488" s="1012"/>
      <c r="X488" s="1013"/>
      <c r="Y488" s="1012"/>
      <c r="Z488" s="1012"/>
      <c r="AA488" s="1012"/>
      <c r="AB488" s="1011"/>
      <c r="AC488" s="1011"/>
      <c r="AD488" s="1449"/>
      <c r="AE488" s="729"/>
      <c r="AF488" s="729"/>
      <c r="AG488" s="1014"/>
      <c r="AH488" s="1014"/>
      <c r="AI488" s="1014"/>
      <c r="AJ488" s="729"/>
      <c r="AK488" s="729"/>
      <c r="AL488" s="729"/>
      <c r="AM488" s="729"/>
      <c r="AN488" s="729"/>
      <c r="AO488" s="729"/>
      <c r="AP488" s="729"/>
      <c r="AQ488" s="729"/>
      <c r="AR488" s="729"/>
      <c r="AS488" s="729"/>
      <c r="AT488" s="729"/>
      <c r="AU488" s="729"/>
      <c r="AV488" s="729"/>
      <c r="AW488" s="729"/>
      <c r="AX488" s="729"/>
      <c r="AY488" s="729"/>
      <c r="AZ488" s="1016"/>
      <c r="BA488" s="1016"/>
      <c r="BB488" s="1022"/>
      <c r="BC488" s="729"/>
      <c r="BD488" s="729"/>
      <c r="BE488" s="729"/>
      <c r="BF488" s="12"/>
      <c r="BG488" s="729"/>
      <c r="BH488" s="729"/>
      <c r="BI488" s="729"/>
      <c r="BJ488" s="729"/>
      <c r="BK488" s="729"/>
      <c r="BL488" s="12"/>
      <c r="BM488" s="729"/>
      <c r="BN488" s="729"/>
      <c r="BO488" s="729"/>
      <c r="BP488" s="729"/>
      <c r="BQ488" s="729"/>
      <c r="BR488" s="729"/>
      <c r="BS488" s="729"/>
      <c r="BT488" s="729"/>
      <c r="BU488" s="729"/>
      <c r="BV488" s="729"/>
      <c r="BW488" s="228"/>
      <c r="BX488" s="729"/>
      <c r="BY488" s="729"/>
      <c r="BZ488" s="729"/>
      <c r="CA488" s="228"/>
      <c r="CB488" s="729"/>
      <c r="CC488" s="729"/>
      <c r="CD488" s="729"/>
      <c r="CE488" s="729"/>
      <c r="CF488" s="729"/>
      <c r="CG488" s="729"/>
      <c r="CH488" s="729"/>
      <c r="CI488" s="729"/>
      <c r="CJ488" s="729"/>
      <c r="CK488" s="228"/>
      <c r="CL488" s="779"/>
      <c r="CM488" s="779"/>
      <c r="CN488" s="729"/>
      <c r="CO488" s="228"/>
      <c r="CP488" s="228"/>
      <c r="CQ488" s="12"/>
      <c r="CR488" s="12"/>
      <c r="CS488" s="729"/>
      <c r="CT488" s="729"/>
      <c r="CU488" s="729"/>
      <c r="CV488" s="729"/>
      <c r="CW488" s="729"/>
      <c r="CX488" s="729"/>
      <c r="CY488" s="729"/>
      <c r="CZ488" s="729"/>
      <c r="DA488" s="729"/>
      <c r="DB488" s="729"/>
      <c r="DC488" s="729"/>
    </row>
    <row r="489" spans="1:107" ht="12.75" customHeight="1">
      <c r="A489" s="228"/>
      <c r="B489" s="228"/>
      <c r="C489" s="1010"/>
      <c r="D489" s="228"/>
      <c r="E489" s="228"/>
      <c r="F489" s="228"/>
      <c r="G489" s="729"/>
      <c r="H489" s="729"/>
      <c r="I489" s="729"/>
      <c r="J489" s="729"/>
      <c r="K489" s="1010"/>
      <c r="L489" s="12"/>
      <c r="M489" s="12"/>
      <c r="N489" s="12"/>
      <c r="O489" s="1010"/>
      <c r="P489" s="1011"/>
      <c r="Q489" s="1011"/>
      <c r="R489" s="12"/>
      <c r="S489" s="12"/>
      <c r="T489" s="12"/>
      <c r="U489" s="12"/>
      <c r="V489" s="12"/>
      <c r="W489" s="1012"/>
      <c r="X489" s="1013"/>
      <c r="Y489" s="1012"/>
      <c r="Z489" s="1012"/>
      <c r="AA489" s="1012"/>
      <c r="AB489" s="1011"/>
      <c r="AC489" s="1011"/>
      <c r="AD489" s="1449"/>
      <c r="AE489" s="729"/>
      <c r="AF489" s="729"/>
      <c r="AG489" s="1014"/>
      <c r="AH489" s="1014"/>
      <c r="AI489" s="1014"/>
      <c r="AJ489" s="729"/>
      <c r="AK489" s="729"/>
      <c r="AL489" s="729"/>
      <c r="AM489" s="729"/>
      <c r="AN489" s="729"/>
      <c r="AO489" s="729"/>
      <c r="AP489" s="729"/>
      <c r="AQ489" s="729"/>
      <c r="AR489" s="729"/>
      <c r="AS489" s="729"/>
      <c r="AT489" s="729"/>
      <c r="AU489" s="729"/>
      <c r="AV489" s="729"/>
      <c r="AW489" s="729"/>
      <c r="AX489" s="729"/>
      <c r="AY489" s="729"/>
      <c r="AZ489" s="1016"/>
      <c r="BA489" s="1016"/>
      <c r="BB489" s="1022"/>
      <c r="BC489" s="729"/>
      <c r="BD489" s="729"/>
      <c r="BE489" s="729"/>
      <c r="BF489" s="12"/>
      <c r="BG489" s="729"/>
      <c r="BH489" s="729"/>
      <c r="BI489" s="729"/>
      <c r="BJ489" s="729"/>
      <c r="BK489" s="729"/>
      <c r="BL489" s="12"/>
      <c r="BM489" s="729"/>
      <c r="BN489" s="729"/>
      <c r="BO489" s="729"/>
      <c r="BP489" s="729"/>
      <c r="BQ489" s="729"/>
      <c r="BR489" s="729"/>
      <c r="BS489" s="729"/>
      <c r="BT489" s="729"/>
      <c r="BU489" s="729"/>
      <c r="BV489" s="729"/>
      <c r="BW489" s="228"/>
      <c r="BX489" s="729"/>
      <c r="BY489" s="729"/>
      <c r="BZ489" s="729"/>
      <c r="CA489" s="228"/>
      <c r="CB489" s="729"/>
      <c r="CC489" s="729"/>
      <c r="CD489" s="729"/>
      <c r="CE489" s="729"/>
      <c r="CF489" s="729"/>
      <c r="CG489" s="729"/>
      <c r="CH489" s="729"/>
      <c r="CI489" s="729"/>
      <c r="CJ489" s="729"/>
      <c r="CK489" s="228"/>
      <c r="CL489" s="779"/>
      <c r="CM489" s="779"/>
      <c r="CN489" s="729"/>
      <c r="CO489" s="228"/>
      <c r="CP489" s="228"/>
      <c r="CQ489" s="12"/>
      <c r="CR489" s="12"/>
      <c r="CS489" s="729"/>
      <c r="CT489" s="729"/>
      <c r="CU489" s="729"/>
      <c r="CV489" s="729"/>
      <c r="CW489" s="729"/>
      <c r="CX489" s="729"/>
      <c r="CY489" s="729"/>
      <c r="CZ489" s="729"/>
      <c r="DA489" s="729"/>
      <c r="DB489" s="729"/>
      <c r="DC489" s="729"/>
    </row>
    <row r="490" spans="1:107" ht="12.75" customHeight="1">
      <c r="A490" s="228"/>
      <c r="B490" s="228"/>
      <c r="C490" s="1010"/>
      <c r="D490" s="228"/>
      <c r="E490" s="228"/>
      <c r="F490" s="228"/>
      <c r="G490" s="729"/>
      <c r="H490" s="729"/>
      <c r="I490" s="729"/>
      <c r="J490" s="729"/>
      <c r="K490" s="1010"/>
      <c r="L490" s="12"/>
      <c r="M490" s="12"/>
      <c r="N490" s="12"/>
      <c r="O490" s="1010"/>
      <c r="P490" s="1011"/>
      <c r="Q490" s="1011"/>
      <c r="R490" s="12"/>
      <c r="S490" s="12"/>
      <c r="T490" s="12"/>
      <c r="U490" s="12"/>
      <c r="V490" s="12"/>
      <c r="W490" s="1012"/>
      <c r="X490" s="1013"/>
      <c r="Y490" s="1012"/>
      <c r="Z490" s="1012"/>
      <c r="AA490" s="1012"/>
      <c r="AB490" s="1011"/>
      <c r="AC490" s="1011"/>
      <c r="AD490" s="1449"/>
      <c r="AE490" s="729"/>
      <c r="AF490" s="729"/>
      <c r="AG490" s="1014"/>
      <c r="AH490" s="1014"/>
      <c r="AI490" s="1014"/>
      <c r="AJ490" s="729"/>
      <c r="AK490" s="729"/>
      <c r="AL490" s="729"/>
      <c r="AM490" s="729"/>
      <c r="AN490" s="729"/>
      <c r="AO490" s="729"/>
      <c r="AP490" s="729"/>
      <c r="AQ490" s="729"/>
      <c r="AR490" s="729"/>
      <c r="AS490" s="729"/>
      <c r="AT490" s="729"/>
      <c r="AU490" s="729"/>
      <c r="AV490" s="729"/>
      <c r="AW490" s="729"/>
      <c r="AX490" s="729"/>
      <c r="AY490" s="729"/>
      <c r="AZ490" s="1016"/>
      <c r="BA490" s="1016"/>
      <c r="BB490" s="1022"/>
      <c r="BC490" s="729"/>
      <c r="BD490" s="729"/>
      <c r="BE490" s="729"/>
      <c r="BF490" s="12"/>
      <c r="BG490" s="729"/>
      <c r="BH490" s="729"/>
      <c r="BI490" s="729"/>
      <c r="BJ490" s="729"/>
      <c r="BK490" s="729"/>
      <c r="BL490" s="12"/>
      <c r="BM490" s="729"/>
      <c r="BN490" s="729"/>
      <c r="BO490" s="729"/>
      <c r="BP490" s="729"/>
      <c r="BQ490" s="729"/>
      <c r="BR490" s="729"/>
      <c r="BS490" s="729"/>
      <c r="BT490" s="729"/>
      <c r="BU490" s="729"/>
      <c r="BV490" s="729"/>
      <c r="BW490" s="228"/>
      <c r="BX490" s="729"/>
      <c r="BY490" s="729"/>
      <c r="BZ490" s="729"/>
      <c r="CA490" s="228"/>
      <c r="CB490" s="729"/>
      <c r="CC490" s="729"/>
      <c r="CD490" s="729"/>
      <c r="CE490" s="729"/>
      <c r="CF490" s="729"/>
      <c r="CG490" s="729"/>
      <c r="CH490" s="729"/>
      <c r="CI490" s="729"/>
      <c r="CJ490" s="729"/>
      <c r="CK490" s="228"/>
      <c r="CL490" s="779"/>
      <c r="CM490" s="779"/>
      <c r="CN490" s="729"/>
      <c r="CO490" s="228"/>
      <c r="CP490" s="228"/>
      <c r="CQ490" s="12"/>
      <c r="CR490" s="12"/>
      <c r="CS490" s="729"/>
      <c r="CT490" s="729"/>
      <c r="CU490" s="729"/>
      <c r="CV490" s="729"/>
      <c r="CW490" s="729"/>
      <c r="CX490" s="729"/>
      <c r="CY490" s="729"/>
      <c r="CZ490" s="729"/>
      <c r="DA490" s="729"/>
      <c r="DB490" s="729"/>
      <c r="DC490" s="729"/>
    </row>
    <row r="491" spans="1:107" ht="12.75" customHeight="1">
      <c r="A491" s="228"/>
      <c r="B491" s="228"/>
      <c r="C491" s="1010"/>
      <c r="D491" s="228"/>
      <c r="E491" s="228"/>
      <c r="F491" s="228"/>
      <c r="G491" s="729"/>
      <c r="H491" s="729"/>
      <c r="I491" s="729"/>
      <c r="J491" s="729"/>
      <c r="K491" s="1010"/>
      <c r="L491" s="12"/>
      <c r="M491" s="12"/>
      <c r="N491" s="12"/>
      <c r="O491" s="1010"/>
      <c r="P491" s="1011"/>
      <c r="Q491" s="1011"/>
      <c r="R491" s="12"/>
      <c r="S491" s="12"/>
      <c r="T491" s="12"/>
      <c r="U491" s="12"/>
      <c r="V491" s="12"/>
      <c r="W491" s="1012"/>
      <c r="X491" s="1013"/>
      <c r="Y491" s="1012"/>
      <c r="Z491" s="1012"/>
      <c r="AA491" s="1012"/>
      <c r="AB491" s="1011"/>
      <c r="AC491" s="1011"/>
      <c r="AD491" s="1449"/>
      <c r="AE491" s="729"/>
      <c r="AF491" s="729"/>
      <c r="AG491" s="1014"/>
      <c r="AH491" s="1014"/>
      <c r="AI491" s="1014"/>
      <c r="AJ491" s="729"/>
      <c r="AK491" s="729"/>
      <c r="AL491" s="729"/>
      <c r="AM491" s="729"/>
      <c r="AN491" s="729"/>
      <c r="AO491" s="729"/>
      <c r="AP491" s="729"/>
      <c r="AQ491" s="729"/>
      <c r="AR491" s="729"/>
      <c r="AS491" s="729"/>
      <c r="AT491" s="729"/>
      <c r="AU491" s="729"/>
      <c r="AV491" s="729"/>
      <c r="AW491" s="729"/>
      <c r="AX491" s="729"/>
      <c r="AY491" s="729"/>
      <c r="AZ491" s="1016"/>
      <c r="BA491" s="1016"/>
      <c r="BB491" s="1022"/>
      <c r="BC491" s="729"/>
      <c r="BD491" s="729"/>
      <c r="BE491" s="729"/>
      <c r="BF491" s="12"/>
      <c r="BG491" s="729"/>
      <c r="BH491" s="729"/>
      <c r="BI491" s="729"/>
      <c r="BJ491" s="729"/>
      <c r="BK491" s="729"/>
      <c r="BL491" s="12"/>
      <c r="BM491" s="729"/>
      <c r="BN491" s="729"/>
      <c r="BO491" s="729"/>
      <c r="BP491" s="729"/>
      <c r="BQ491" s="729"/>
      <c r="BR491" s="729"/>
      <c r="BS491" s="729"/>
      <c r="BT491" s="729"/>
      <c r="BU491" s="729"/>
      <c r="BV491" s="729"/>
      <c r="BW491" s="228"/>
      <c r="BX491" s="729"/>
      <c r="BY491" s="729"/>
      <c r="BZ491" s="729"/>
      <c r="CA491" s="228"/>
      <c r="CB491" s="729"/>
      <c r="CC491" s="729"/>
      <c r="CD491" s="729"/>
      <c r="CE491" s="729"/>
      <c r="CF491" s="729"/>
      <c r="CG491" s="729"/>
      <c r="CH491" s="729"/>
      <c r="CI491" s="729"/>
      <c r="CJ491" s="729"/>
      <c r="CK491" s="228"/>
      <c r="CL491" s="779"/>
      <c r="CM491" s="779"/>
      <c r="CN491" s="729"/>
      <c r="CO491" s="228"/>
      <c r="CP491" s="228"/>
      <c r="CQ491" s="12"/>
      <c r="CR491" s="12"/>
      <c r="CS491" s="729"/>
      <c r="CT491" s="729"/>
      <c r="CU491" s="729"/>
      <c r="CV491" s="729"/>
      <c r="CW491" s="729"/>
      <c r="CX491" s="729"/>
      <c r="CY491" s="729"/>
      <c r="CZ491" s="729"/>
      <c r="DA491" s="729"/>
      <c r="DB491" s="729"/>
      <c r="DC491" s="729"/>
    </row>
    <row r="492" spans="1:107" ht="12.75" customHeight="1">
      <c r="A492" s="228"/>
      <c r="B492" s="228"/>
      <c r="C492" s="1010"/>
      <c r="D492" s="228"/>
      <c r="E492" s="228"/>
      <c r="F492" s="228"/>
      <c r="G492" s="729"/>
      <c r="H492" s="729"/>
      <c r="I492" s="729"/>
      <c r="J492" s="729"/>
      <c r="K492" s="1010"/>
      <c r="L492" s="12"/>
      <c r="M492" s="12"/>
      <c r="N492" s="12"/>
      <c r="O492" s="1010"/>
      <c r="P492" s="1011"/>
      <c r="Q492" s="1011"/>
      <c r="R492" s="12"/>
      <c r="S492" s="12"/>
      <c r="T492" s="12"/>
      <c r="U492" s="12"/>
      <c r="V492" s="12"/>
      <c r="W492" s="1012"/>
      <c r="X492" s="1013"/>
      <c r="Y492" s="1012"/>
      <c r="Z492" s="1012"/>
      <c r="AA492" s="1012"/>
      <c r="AB492" s="1011"/>
      <c r="AC492" s="1011"/>
      <c r="AD492" s="1449"/>
      <c r="AE492" s="729"/>
      <c r="AF492" s="729"/>
      <c r="AG492" s="1014"/>
      <c r="AH492" s="1014"/>
      <c r="AI492" s="1014"/>
      <c r="AJ492" s="729"/>
      <c r="AK492" s="729"/>
      <c r="AL492" s="729"/>
      <c r="AM492" s="729"/>
      <c r="AN492" s="729"/>
      <c r="AO492" s="729"/>
      <c r="AP492" s="729"/>
      <c r="AQ492" s="729"/>
      <c r="AR492" s="729"/>
      <c r="AS492" s="729"/>
      <c r="AT492" s="729"/>
      <c r="AU492" s="729"/>
      <c r="AV492" s="729"/>
      <c r="AW492" s="729"/>
      <c r="AX492" s="729"/>
      <c r="AY492" s="729"/>
      <c r="AZ492" s="1016"/>
      <c r="BA492" s="1016"/>
      <c r="BB492" s="1022"/>
      <c r="BC492" s="729"/>
      <c r="BD492" s="729"/>
      <c r="BE492" s="729"/>
      <c r="BF492" s="12"/>
      <c r="BG492" s="729"/>
      <c r="BH492" s="729"/>
      <c r="BI492" s="729"/>
      <c r="BJ492" s="729"/>
      <c r="BK492" s="729"/>
      <c r="BL492" s="12"/>
      <c r="BM492" s="729"/>
      <c r="BN492" s="729"/>
      <c r="BO492" s="729"/>
      <c r="BP492" s="729"/>
      <c r="BQ492" s="729"/>
      <c r="BR492" s="729"/>
      <c r="BS492" s="729"/>
      <c r="BT492" s="729"/>
      <c r="BU492" s="729"/>
      <c r="BV492" s="729"/>
      <c r="BW492" s="228"/>
      <c r="BX492" s="729"/>
      <c r="BY492" s="729"/>
      <c r="BZ492" s="729"/>
      <c r="CA492" s="228"/>
      <c r="CB492" s="729"/>
      <c r="CC492" s="729"/>
      <c r="CD492" s="729"/>
      <c r="CE492" s="729"/>
      <c r="CF492" s="729"/>
      <c r="CG492" s="729"/>
      <c r="CH492" s="729"/>
      <c r="CI492" s="729"/>
      <c r="CJ492" s="729"/>
      <c r="CK492" s="228"/>
      <c r="CL492" s="779"/>
      <c r="CM492" s="779"/>
      <c r="CN492" s="729"/>
      <c r="CO492" s="228"/>
      <c r="CP492" s="228"/>
      <c r="CQ492" s="12"/>
      <c r="CR492" s="12"/>
      <c r="CS492" s="729"/>
      <c r="CT492" s="729"/>
      <c r="CU492" s="729"/>
      <c r="CV492" s="729"/>
      <c r="CW492" s="729"/>
      <c r="CX492" s="729"/>
      <c r="CY492" s="729"/>
      <c r="CZ492" s="729"/>
      <c r="DA492" s="729"/>
      <c r="DB492" s="729"/>
      <c r="DC492" s="729"/>
    </row>
    <row r="493" spans="1:107" ht="12.75" customHeight="1">
      <c r="A493" s="228"/>
      <c r="B493" s="228"/>
      <c r="C493" s="1010"/>
      <c r="D493" s="228"/>
      <c r="E493" s="228"/>
      <c r="F493" s="228"/>
      <c r="G493" s="729"/>
      <c r="H493" s="729"/>
      <c r="I493" s="729"/>
      <c r="J493" s="729"/>
      <c r="K493" s="1010"/>
      <c r="L493" s="12"/>
      <c r="M493" s="12"/>
      <c r="N493" s="12"/>
      <c r="O493" s="1010"/>
      <c r="P493" s="1011"/>
      <c r="Q493" s="1011"/>
      <c r="R493" s="12"/>
      <c r="S493" s="12"/>
      <c r="T493" s="12"/>
      <c r="U493" s="12"/>
      <c r="V493" s="12"/>
      <c r="W493" s="1012"/>
      <c r="X493" s="1013"/>
      <c r="Y493" s="1012"/>
      <c r="Z493" s="1012"/>
      <c r="AA493" s="1012"/>
      <c r="AB493" s="1011"/>
      <c r="AC493" s="1011"/>
      <c r="AD493" s="1449"/>
      <c r="AE493" s="729"/>
      <c r="AF493" s="729"/>
      <c r="AG493" s="1014"/>
      <c r="AH493" s="1014"/>
      <c r="AI493" s="1014"/>
      <c r="AJ493" s="729"/>
      <c r="AK493" s="729"/>
      <c r="AL493" s="729"/>
      <c r="AM493" s="729"/>
      <c r="AN493" s="729"/>
      <c r="AO493" s="729"/>
      <c r="AP493" s="729"/>
      <c r="AQ493" s="729"/>
      <c r="AR493" s="729"/>
      <c r="AS493" s="729"/>
      <c r="AT493" s="729"/>
      <c r="AU493" s="729"/>
      <c r="AV493" s="729"/>
      <c r="AW493" s="729"/>
      <c r="AX493" s="729"/>
      <c r="AY493" s="729"/>
      <c r="AZ493" s="1016"/>
      <c r="BA493" s="1016"/>
      <c r="BB493" s="1022"/>
      <c r="BC493" s="729"/>
      <c r="BD493" s="729"/>
      <c r="BE493" s="729"/>
      <c r="BF493" s="12"/>
      <c r="BG493" s="729"/>
      <c r="BH493" s="729"/>
      <c r="BI493" s="729"/>
      <c r="BJ493" s="729"/>
      <c r="BK493" s="729"/>
      <c r="BL493" s="12"/>
      <c r="BM493" s="729"/>
      <c r="BN493" s="729"/>
      <c r="BO493" s="729"/>
      <c r="BP493" s="729"/>
      <c r="BQ493" s="729"/>
      <c r="BR493" s="729"/>
      <c r="BS493" s="729"/>
      <c r="BT493" s="729"/>
      <c r="BU493" s="729"/>
      <c r="BV493" s="729"/>
      <c r="BW493" s="228"/>
      <c r="BX493" s="729"/>
      <c r="BY493" s="729"/>
      <c r="BZ493" s="729"/>
      <c r="CA493" s="228"/>
      <c r="CB493" s="729"/>
      <c r="CC493" s="729"/>
      <c r="CD493" s="729"/>
      <c r="CE493" s="729"/>
      <c r="CF493" s="729"/>
      <c r="CG493" s="729"/>
      <c r="CH493" s="729"/>
      <c r="CI493" s="729"/>
      <c r="CJ493" s="729"/>
      <c r="CK493" s="228"/>
      <c r="CL493" s="779"/>
      <c r="CM493" s="779"/>
      <c r="CN493" s="729"/>
      <c r="CO493" s="228"/>
      <c r="CP493" s="228"/>
      <c r="CQ493" s="12"/>
      <c r="CR493" s="12"/>
      <c r="CS493" s="729"/>
      <c r="CT493" s="729"/>
      <c r="CU493" s="729"/>
      <c r="CV493" s="729"/>
      <c r="CW493" s="729"/>
      <c r="CX493" s="729"/>
      <c r="CY493" s="729"/>
      <c r="CZ493" s="729"/>
      <c r="DA493" s="729"/>
      <c r="DB493" s="729"/>
      <c r="DC493" s="729"/>
    </row>
    <row r="494" spans="1:107" ht="12.75" customHeight="1">
      <c r="A494" s="228"/>
      <c r="B494" s="228"/>
      <c r="C494" s="1010"/>
      <c r="D494" s="228"/>
      <c r="E494" s="228"/>
      <c r="F494" s="228"/>
      <c r="G494" s="729"/>
      <c r="H494" s="729"/>
      <c r="I494" s="729"/>
      <c r="J494" s="729"/>
      <c r="K494" s="1010"/>
      <c r="L494" s="12"/>
      <c r="M494" s="12"/>
      <c r="N494" s="12"/>
      <c r="O494" s="1010"/>
      <c r="P494" s="1011"/>
      <c r="Q494" s="1011"/>
      <c r="R494" s="12"/>
      <c r="S494" s="12"/>
      <c r="T494" s="12"/>
      <c r="U494" s="12"/>
      <c r="V494" s="12"/>
      <c r="W494" s="1012"/>
      <c r="X494" s="1013"/>
      <c r="Y494" s="1012"/>
      <c r="Z494" s="1012"/>
      <c r="AA494" s="1012"/>
      <c r="AB494" s="1011"/>
      <c r="AC494" s="1011"/>
      <c r="AD494" s="1449"/>
      <c r="AE494" s="729"/>
      <c r="AF494" s="729"/>
      <c r="AG494" s="1014"/>
      <c r="AH494" s="1014"/>
      <c r="AI494" s="1014"/>
      <c r="AJ494" s="729"/>
      <c r="AK494" s="729"/>
      <c r="AL494" s="729"/>
      <c r="AM494" s="729"/>
      <c r="AN494" s="729"/>
      <c r="AO494" s="729"/>
      <c r="AP494" s="729"/>
      <c r="AQ494" s="729"/>
      <c r="AR494" s="729"/>
      <c r="AS494" s="729"/>
      <c r="AT494" s="729"/>
      <c r="AU494" s="729"/>
      <c r="AV494" s="729"/>
      <c r="AW494" s="729"/>
      <c r="AX494" s="729"/>
      <c r="AY494" s="729"/>
      <c r="AZ494" s="1016"/>
      <c r="BA494" s="1016"/>
      <c r="BB494" s="1022"/>
      <c r="BC494" s="729"/>
      <c r="BD494" s="729"/>
      <c r="BE494" s="729"/>
      <c r="BF494" s="12"/>
      <c r="BG494" s="729"/>
      <c r="BH494" s="729"/>
      <c r="BI494" s="729"/>
      <c r="BJ494" s="729"/>
      <c r="BK494" s="729"/>
      <c r="BL494" s="12"/>
      <c r="BM494" s="729"/>
      <c r="BN494" s="729"/>
      <c r="BO494" s="729"/>
      <c r="BP494" s="729"/>
      <c r="BQ494" s="729"/>
      <c r="BR494" s="729"/>
      <c r="BS494" s="729"/>
      <c r="BT494" s="729"/>
      <c r="BU494" s="729"/>
      <c r="BV494" s="729"/>
      <c r="BW494" s="228"/>
      <c r="BX494" s="729"/>
      <c r="BY494" s="729"/>
      <c r="BZ494" s="729"/>
      <c r="CA494" s="228"/>
      <c r="CB494" s="729"/>
      <c r="CC494" s="729"/>
      <c r="CD494" s="729"/>
      <c r="CE494" s="729"/>
      <c r="CF494" s="729"/>
      <c r="CG494" s="729"/>
      <c r="CH494" s="729"/>
      <c r="CI494" s="729"/>
      <c r="CJ494" s="729"/>
      <c r="CK494" s="228"/>
      <c r="CL494" s="779"/>
      <c r="CM494" s="779"/>
      <c r="CN494" s="729"/>
      <c r="CO494" s="228"/>
      <c r="CP494" s="228"/>
      <c r="CQ494" s="12"/>
      <c r="CR494" s="12"/>
      <c r="CS494" s="729"/>
      <c r="CT494" s="729"/>
      <c r="CU494" s="729"/>
      <c r="CV494" s="729"/>
      <c r="CW494" s="729"/>
      <c r="CX494" s="729"/>
      <c r="CY494" s="729"/>
      <c r="CZ494" s="729"/>
      <c r="DA494" s="729"/>
      <c r="DB494" s="729"/>
      <c r="DC494" s="729"/>
    </row>
    <row r="495" spans="1:107" ht="12.75" customHeight="1">
      <c r="A495" s="228"/>
      <c r="B495" s="228"/>
      <c r="C495" s="1010"/>
      <c r="D495" s="228"/>
      <c r="E495" s="228"/>
      <c r="F495" s="228"/>
      <c r="G495" s="729"/>
      <c r="H495" s="729"/>
      <c r="I495" s="729"/>
      <c r="J495" s="729"/>
      <c r="K495" s="1010"/>
      <c r="L495" s="12"/>
      <c r="M495" s="12"/>
      <c r="N495" s="12"/>
      <c r="O495" s="1010"/>
      <c r="P495" s="1011"/>
      <c r="Q495" s="1011"/>
      <c r="R495" s="12"/>
      <c r="S495" s="12"/>
      <c r="T495" s="12"/>
      <c r="U495" s="12"/>
      <c r="V495" s="12"/>
      <c r="W495" s="1012"/>
      <c r="X495" s="1013"/>
      <c r="Y495" s="1012"/>
      <c r="Z495" s="1012"/>
      <c r="AA495" s="1012"/>
      <c r="AB495" s="1011"/>
      <c r="AC495" s="1011"/>
      <c r="AD495" s="1449"/>
      <c r="AE495" s="729"/>
      <c r="AF495" s="729"/>
      <c r="AG495" s="1014"/>
      <c r="AH495" s="1014"/>
      <c r="AI495" s="1014"/>
      <c r="AJ495" s="729"/>
      <c r="AK495" s="729"/>
      <c r="AL495" s="729"/>
      <c r="AM495" s="729"/>
      <c r="AN495" s="729"/>
      <c r="AO495" s="729"/>
      <c r="AP495" s="729"/>
      <c r="AQ495" s="729"/>
      <c r="AR495" s="729"/>
      <c r="AS495" s="729"/>
      <c r="AT495" s="729"/>
      <c r="AU495" s="729"/>
      <c r="AV495" s="729"/>
      <c r="AW495" s="729"/>
      <c r="AX495" s="729"/>
      <c r="AY495" s="729"/>
      <c r="AZ495" s="1016"/>
      <c r="BA495" s="1016"/>
      <c r="BB495" s="1022"/>
      <c r="BC495" s="729"/>
      <c r="BD495" s="729"/>
      <c r="BE495" s="729"/>
      <c r="BF495" s="12"/>
      <c r="BG495" s="729"/>
      <c r="BH495" s="729"/>
      <c r="BI495" s="729"/>
      <c r="BJ495" s="729"/>
      <c r="BK495" s="729"/>
      <c r="BL495" s="12"/>
      <c r="BM495" s="729"/>
      <c r="BN495" s="729"/>
      <c r="BO495" s="729"/>
      <c r="BP495" s="729"/>
      <c r="BQ495" s="729"/>
      <c r="BR495" s="729"/>
      <c r="BS495" s="729"/>
      <c r="BT495" s="729"/>
      <c r="BU495" s="729"/>
      <c r="BV495" s="729"/>
      <c r="BW495" s="228"/>
      <c r="BX495" s="729"/>
      <c r="BY495" s="729"/>
      <c r="BZ495" s="729"/>
      <c r="CA495" s="228"/>
      <c r="CB495" s="729"/>
      <c r="CC495" s="729"/>
      <c r="CD495" s="729"/>
      <c r="CE495" s="729"/>
      <c r="CF495" s="729"/>
      <c r="CG495" s="729"/>
      <c r="CH495" s="729"/>
      <c r="CI495" s="729"/>
      <c r="CJ495" s="729"/>
      <c r="CK495" s="228"/>
      <c r="CL495" s="779"/>
      <c r="CM495" s="779"/>
      <c r="CN495" s="729"/>
      <c r="CO495" s="228"/>
      <c r="CP495" s="228"/>
      <c r="CQ495" s="12"/>
      <c r="CR495" s="12"/>
      <c r="CS495" s="729"/>
      <c r="CT495" s="729"/>
      <c r="CU495" s="729"/>
      <c r="CV495" s="729"/>
      <c r="CW495" s="729"/>
      <c r="CX495" s="729"/>
      <c r="CY495" s="729"/>
      <c r="CZ495" s="729"/>
      <c r="DA495" s="729"/>
      <c r="DB495" s="729"/>
      <c r="DC495" s="729"/>
    </row>
    <row r="496" spans="1:107" ht="12.75" customHeight="1">
      <c r="A496" s="228"/>
      <c r="B496" s="228"/>
      <c r="C496" s="1010"/>
      <c r="D496" s="228"/>
      <c r="E496" s="228"/>
      <c r="F496" s="228"/>
      <c r="G496" s="729"/>
      <c r="H496" s="729"/>
      <c r="I496" s="729"/>
      <c r="J496" s="729"/>
      <c r="K496" s="1010"/>
      <c r="L496" s="12"/>
      <c r="M496" s="12"/>
      <c r="N496" s="12"/>
      <c r="O496" s="1010"/>
      <c r="P496" s="1011"/>
      <c r="Q496" s="1011"/>
      <c r="R496" s="12"/>
      <c r="S496" s="12"/>
      <c r="T496" s="12"/>
      <c r="U496" s="12"/>
      <c r="V496" s="12"/>
      <c r="W496" s="1012"/>
      <c r="X496" s="1013"/>
      <c r="Y496" s="1012"/>
      <c r="Z496" s="1012"/>
      <c r="AA496" s="1012"/>
      <c r="AB496" s="1011"/>
      <c r="AC496" s="1011"/>
      <c r="AD496" s="1449"/>
      <c r="AE496" s="729"/>
      <c r="AF496" s="729"/>
      <c r="AG496" s="1014"/>
      <c r="AH496" s="1014"/>
      <c r="AI496" s="1014"/>
      <c r="AJ496" s="729"/>
      <c r="AK496" s="729"/>
      <c r="AL496" s="729"/>
      <c r="AM496" s="729"/>
      <c r="AN496" s="729"/>
      <c r="AO496" s="729"/>
      <c r="AP496" s="729"/>
      <c r="AQ496" s="729"/>
      <c r="AR496" s="729"/>
      <c r="AS496" s="729"/>
      <c r="AT496" s="729"/>
      <c r="AU496" s="729"/>
      <c r="AV496" s="729"/>
      <c r="AW496" s="729"/>
      <c r="AX496" s="729"/>
      <c r="AY496" s="729"/>
      <c r="AZ496" s="1016"/>
      <c r="BA496" s="1016"/>
      <c r="BB496" s="1022"/>
      <c r="BC496" s="729"/>
      <c r="BD496" s="729"/>
      <c r="BE496" s="729"/>
      <c r="BF496" s="12"/>
      <c r="BG496" s="729"/>
      <c r="BH496" s="729"/>
      <c r="BI496" s="729"/>
      <c r="BJ496" s="729"/>
      <c r="BK496" s="729"/>
      <c r="BL496" s="12"/>
      <c r="BM496" s="729"/>
      <c r="BN496" s="729"/>
      <c r="BO496" s="729"/>
      <c r="BP496" s="729"/>
      <c r="BQ496" s="729"/>
      <c r="BR496" s="729"/>
      <c r="BS496" s="729"/>
      <c r="BT496" s="729"/>
      <c r="BU496" s="729"/>
      <c r="BV496" s="729"/>
      <c r="BW496" s="228"/>
      <c r="BX496" s="729"/>
      <c r="BY496" s="729"/>
      <c r="BZ496" s="729"/>
      <c r="CA496" s="228"/>
      <c r="CB496" s="729"/>
      <c r="CC496" s="729"/>
      <c r="CD496" s="729"/>
      <c r="CE496" s="729"/>
      <c r="CF496" s="729"/>
      <c r="CG496" s="729"/>
      <c r="CH496" s="729"/>
      <c r="CI496" s="729"/>
      <c r="CJ496" s="729"/>
      <c r="CK496" s="228"/>
      <c r="CL496" s="779"/>
      <c r="CM496" s="779"/>
      <c r="CN496" s="729"/>
      <c r="CO496" s="228"/>
      <c r="CP496" s="228"/>
      <c r="CQ496" s="12"/>
      <c r="CR496" s="12"/>
      <c r="CS496" s="729"/>
      <c r="CT496" s="729"/>
      <c r="CU496" s="729"/>
      <c r="CV496" s="729"/>
      <c r="CW496" s="729"/>
      <c r="CX496" s="729"/>
      <c r="CY496" s="729"/>
      <c r="CZ496" s="729"/>
      <c r="DA496" s="729"/>
      <c r="DB496" s="729"/>
      <c r="DC496" s="729"/>
    </row>
    <row r="497" spans="1:107" ht="12.75" customHeight="1">
      <c r="A497" s="228"/>
      <c r="B497" s="228"/>
      <c r="C497" s="1010"/>
      <c r="D497" s="228"/>
      <c r="E497" s="228"/>
      <c r="F497" s="228"/>
      <c r="G497" s="729"/>
      <c r="H497" s="729"/>
      <c r="I497" s="729"/>
      <c r="J497" s="729"/>
      <c r="K497" s="1010"/>
      <c r="L497" s="12"/>
      <c r="M497" s="12"/>
      <c r="N497" s="12"/>
      <c r="O497" s="1010"/>
      <c r="P497" s="1011"/>
      <c r="Q497" s="1011"/>
      <c r="R497" s="12"/>
      <c r="S497" s="12"/>
      <c r="T497" s="12"/>
      <c r="U497" s="12"/>
      <c r="V497" s="12"/>
      <c r="W497" s="1012"/>
      <c r="X497" s="1013"/>
      <c r="Y497" s="1012"/>
      <c r="Z497" s="1012"/>
      <c r="AA497" s="1012"/>
      <c r="AB497" s="1011"/>
      <c r="AC497" s="1011"/>
      <c r="AD497" s="1449"/>
      <c r="AE497" s="729"/>
      <c r="AF497" s="729"/>
      <c r="AG497" s="1014"/>
      <c r="AH497" s="1014"/>
      <c r="AI497" s="1014"/>
      <c r="AJ497" s="729"/>
      <c r="AK497" s="729"/>
      <c r="AL497" s="729"/>
      <c r="AM497" s="729"/>
      <c r="AN497" s="729"/>
      <c r="AO497" s="729"/>
      <c r="AP497" s="729"/>
      <c r="AQ497" s="729"/>
      <c r="AR497" s="729"/>
      <c r="AS497" s="729"/>
      <c r="AT497" s="729"/>
      <c r="AU497" s="729"/>
      <c r="AV497" s="729"/>
      <c r="AW497" s="729"/>
      <c r="AX497" s="729"/>
      <c r="AY497" s="729"/>
      <c r="AZ497" s="1016"/>
      <c r="BA497" s="1016"/>
      <c r="BB497" s="1022"/>
      <c r="BC497" s="729"/>
      <c r="BD497" s="729"/>
      <c r="BE497" s="729"/>
      <c r="BF497" s="12"/>
      <c r="BG497" s="729"/>
      <c r="BH497" s="729"/>
      <c r="BI497" s="729"/>
      <c r="BJ497" s="729"/>
      <c r="BK497" s="729"/>
      <c r="BL497" s="12"/>
      <c r="BM497" s="729"/>
      <c r="BN497" s="729"/>
      <c r="BO497" s="729"/>
      <c r="BP497" s="729"/>
      <c r="BQ497" s="729"/>
      <c r="BR497" s="729"/>
      <c r="BS497" s="729"/>
      <c r="BT497" s="729"/>
      <c r="BU497" s="729"/>
      <c r="BV497" s="729"/>
      <c r="BW497" s="228"/>
      <c r="BX497" s="729"/>
      <c r="BY497" s="729"/>
      <c r="BZ497" s="729"/>
      <c r="CA497" s="228"/>
      <c r="CB497" s="729"/>
      <c r="CC497" s="729"/>
      <c r="CD497" s="729"/>
      <c r="CE497" s="729"/>
      <c r="CF497" s="729"/>
      <c r="CG497" s="729"/>
      <c r="CH497" s="729"/>
      <c r="CI497" s="729"/>
      <c r="CJ497" s="729"/>
      <c r="CK497" s="228"/>
      <c r="CL497" s="779"/>
      <c r="CM497" s="779"/>
      <c r="CN497" s="729"/>
      <c r="CO497" s="228"/>
      <c r="CP497" s="228"/>
      <c r="CQ497" s="12"/>
      <c r="CR497" s="12"/>
      <c r="CS497" s="729"/>
      <c r="CT497" s="729"/>
      <c r="CU497" s="729"/>
      <c r="CV497" s="729"/>
      <c r="CW497" s="729"/>
      <c r="CX497" s="729"/>
      <c r="CY497" s="729"/>
      <c r="CZ497" s="729"/>
      <c r="DA497" s="729"/>
      <c r="DB497" s="729"/>
      <c r="DC497" s="729"/>
    </row>
    <row r="498" spans="1:107" ht="12.75" customHeight="1">
      <c r="A498" s="228"/>
      <c r="B498" s="228"/>
      <c r="C498" s="1010"/>
      <c r="D498" s="228"/>
      <c r="E498" s="228"/>
      <c r="F498" s="228"/>
      <c r="G498" s="729"/>
      <c r="H498" s="729"/>
      <c r="I498" s="729"/>
      <c r="J498" s="729"/>
      <c r="K498" s="1010"/>
      <c r="L498" s="12"/>
      <c r="M498" s="12"/>
      <c r="N498" s="12"/>
      <c r="O498" s="1010"/>
      <c r="P498" s="1011"/>
      <c r="Q498" s="1011"/>
      <c r="R498" s="12"/>
      <c r="S498" s="12"/>
      <c r="T498" s="12"/>
      <c r="U498" s="12"/>
      <c r="V498" s="12"/>
      <c r="W498" s="1012"/>
      <c r="X498" s="1013"/>
      <c r="Y498" s="1012"/>
      <c r="Z498" s="1012"/>
      <c r="AA498" s="1012"/>
      <c r="AB498" s="1011"/>
      <c r="AC498" s="1011"/>
      <c r="AD498" s="1449"/>
      <c r="AE498" s="729"/>
      <c r="AF498" s="729"/>
      <c r="AG498" s="1014"/>
      <c r="AH498" s="1014"/>
      <c r="AI498" s="1014"/>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12"/>
      <c r="BG498" s="729"/>
      <c r="BH498" s="729"/>
      <c r="BI498" s="729"/>
      <c r="BJ498" s="729"/>
      <c r="BK498" s="729"/>
      <c r="BL498" s="12"/>
      <c r="BM498" s="729"/>
      <c r="BN498" s="729"/>
      <c r="BO498" s="729"/>
      <c r="BP498" s="729"/>
      <c r="BQ498" s="729"/>
      <c r="BR498" s="729"/>
      <c r="BS498" s="729"/>
      <c r="BT498" s="729"/>
      <c r="BU498" s="729"/>
      <c r="BV498" s="729"/>
      <c r="BW498" s="228"/>
      <c r="BX498" s="729"/>
      <c r="BY498" s="729"/>
      <c r="BZ498" s="729"/>
      <c r="CA498" s="228"/>
      <c r="CB498" s="729"/>
      <c r="CC498" s="729"/>
      <c r="CD498" s="729"/>
      <c r="CE498" s="729"/>
      <c r="CF498" s="729"/>
      <c r="CG498" s="729"/>
      <c r="CH498" s="729"/>
      <c r="CI498" s="729"/>
      <c r="CJ498" s="729"/>
      <c r="CK498" s="228"/>
      <c r="CL498" s="779"/>
      <c r="CM498" s="779"/>
      <c r="CN498" s="729"/>
      <c r="CO498" s="228"/>
      <c r="CP498" s="228"/>
      <c r="CQ498" s="12"/>
      <c r="CR498" s="12"/>
      <c r="CS498" s="729"/>
      <c r="CT498" s="729"/>
      <c r="CU498" s="729"/>
      <c r="CV498" s="729"/>
      <c r="CW498" s="729"/>
      <c r="CX498" s="729"/>
      <c r="CY498" s="729"/>
      <c r="CZ498" s="729"/>
      <c r="DA498" s="729"/>
      <c r="DB498" s="729"/>
      <c r="DC498" s="729"/>
    </row>
    <row r="499" spans="1:107" ht="12.75" customHeight="1">
      <c r="A499" s="228"/>
      <c r="B499" s="228"/>
      <c r="C499" s="1010"/>
      <c r="D499" s="228"/>
      <c r="E499" s="228"/>
      <c r="F499" s="228"/>
      <c r="G499" s="729"/>
      <c r="H499" s="729"/>
      <c r="I499" s="729"/>
      <c r="J499" s="729"/>
      <c r="K499" s="1010"/>
      <c r="L499" s="12"/>
      <c r="M499" s="12"/>
      <c r="N499" s="12"/>
      <c r="O499" s="1010"/>
      <c r="P499" s="1011"/>
      <c r="Q499" s="1011"/>
      <c r="R499" s="12"/>
      <c r="S499" s="12"/>
      <c r="T499" s="12"/>
      <c r="U499" s="12"/>
      <c r="V499" s="12"/>
      <c r="W499" s="1012"/>
      <c r="X499" s="1013"/>
      <c r="Y499" s="1012"/>
      <c r="Z499" s="1012"/>
      <c r="AA499" s="1012"/>
      <c r="AB499" s="1011"/>
      <c r="AC499" s="1011"/>
      <c r="AD499" s="1449"/>
      <c r="AE499" s="729"/>
      <c r="AF499" s="729"/>
      <c r="AG499" s="1014"/>
      <c r="AH499" s="1014"/>
      <c r="AI499" s="1014"/>
      <c r="AJ499" s="729"/>
      <c r="AK499" s="729"/>
      <c r="AL499" s="729"/>
      <c r="AM499" s="729"/>
      <c r="AN499" s="729"/>
      <c r="AO499" s="729"/>
      <c r="AP499" s="729"/>
      <c r="AQ499" s="729"/>
      <c r="AR499" s="729"/>
      <c r="AS499" s="729"/>
      <c r="AT499" s="729"/>
      <c r="AU499" s="729"/>
      <c r="AV499" s="729"/>
      <c r="AW499" s="729"/>
      <c r="AX499" s="729"/>
      <c r="AY499" s="729"/>
      <c r="AZ499" s="729"/>
      <c r="BA499" s="729"/>
      <c r="BB499" s="729"/>
      <c r="BC499" s="729"/>
      <c r="BD499" s="729"/>
      <c r="BE499" s="729"/>
      <c r="BF499" s="12"/>
      <c r="BG499" s="729"/>
      <c r="BH499" s="729"/>
      <c r="BI499" s="729"/>
      <c r="BJ499" s="729"/>
      <c r="BK499" s="729"/>
      <c r="BL499" s="12"/>
      <c r="BM499" s="729"/>
      <c r="BN499" s="729"/>
      <c r="BO499" s="729"/>
      <c r="BP499" s="729"/>
      <c r="BQ499" s="729"/>
      <c r="BR499" s="729"/>
      <c r="BS499" s="729"/>
      <c r="BT499" s="729"/>
      <c r="BU499" s="729"/>
      <c r="BV499" s="729"/>
      <c r="BW499" s="228"/>
      <c r="BX499" s="729"/>
      <c r="BY499" s="729"/>
      <c r="BZ499" s="729"/>
      <c r="CA499" s="228"/>
      <c r="CB499" s="729"/>
      <c r="CC499" s="729"/>
      <c r="CD499" s="729"/>
      <c r="CE499" s="729"/>
      <c r="CF499" s="729"/>
      <c r="CG499" s="729"/>
      <c r="CH499" s="729"/>
      <c r="CI499" s="729"/>
      <c r="CJ499" s="729"/>
      <c r="CK499" s="228"/>
      <c r="CL499" s="779"/>
      <c r="CM499" s="779"/>
      <c r="CN499" s="729"/>
      <c r="CO499" s="228"/>
      <c r="CP499" s="228"/>
      <c r="CQ499" s="12"/>
      <c r="CR499" s="12"/>
      <c r="CS499" s="729"/>
      <c r="CT499" s="729"/>
      <c r="CU499" s="729"/>
      <c r="CV499" s="729"/>
      <c r="CW499" s="729"/>
      <c r="CX499" s="729"/>
      <c r="CY499" s="729"/>
      <c r="CZ499" s="729"/>
      <c r="DA499" s="729"/>
      <c r="DB499" s="729"/>
      <c r="DC499" s="729"/>
    </row>
    <row r="500" spans="1:107" ht="12.75" customHeight="1">
      <c r="A500" s="228"/>
      <c r="B500" s="228"/>
      <c r="C500" s="1010"/>
      <c r="D500" s="228"/>
      <c r="E500" s="228"/>
      <c r="F500" s="228"/>
      <c r="G500" s="729"/>
      <c r="H500" s="729"/>
      <c r="I500" s="729"/>
      <c r="J500" s="729"/>
      <c r="K500" s="1010"/>
      <c r="L500" s="12"/>
      <c r="M500" s="12"/>
      <c r="N500" s="12"/>
      <c r="O500" s="1010"/>
      <c r="P500" s="1011"/>
      <c r="Q500" s="1011"/>
      <c r="R500" s="12"/>
      <c r="S500" s="12"/>
      <c r="T500" s="12"/>
      <c r="U500" s="12"/>
      <c r="V500" s="12"/>
      <c r="W500" s="1012"/>
      <c r="X500" s="1013"/>
      <c r="Y500" s="1012"/>
      <c r="Z500" s="1012"/>
      <c r="AA500" s="1012"/>
      <c r="AB500" s="1011"/>
      <c r="AC500" s="1011"/>
      <c r="AD500" s="1449"/>
      <c r="AE500" s="729"/>
      <c r="AF500" s="729"/>
      <c r="AG500" s="1014"/>
      <c r="AH500" s="1014"/>
      <c r="AI500" s="1014"/>
      <c r="AJ500" s="729"/>
      <c r="AK500" s="729"/>
      <c r="AL500" s="729"/>
      <c r="AM500" s="729"/>
      <c r="AN500" s="729"/>
      <c r="AO500" s="729"/>
      <c r="AP500" s="729"/>
      <c r="AQ500" s="729"/>
      <c r="AR500" s="729"/>
      <c r="AS500" s="729"/>
      <c r="AT500" s="729"/>
      <c r="AU500" s="729"/>
      <c r="AV500" s="729"/>
      <c r="AW500" s="729"/>
      <c r="AX500" s="729"/>
      <c r="AY500" s="729"/>
      <c r="AZ500" s="729"/>
      <c r="BA500" s="729"/>
      <c r="BB500" s="729"/>
      <c r="BC500" s="729"/>
      <c r="BD500" s="729"/>
      <c r="BE500" s="729"/>
      <c r="BF500" s="12"/>
      <c r="BG500" s="729"/>
      <c r="BH500" s="729"/>
      <c r="BI500" s="729"/>
      <c r="BJ500" s="729"/>
      <c r="BK500" s="729"/>
      <c r="BL500" s="12"/>
      <c r="BM500" s="729"/>
      <c r="BN500" s="729"/>
      <c r="BO500" s="729"/>
      <c r="BP500" s="729"/>
      <c r="BQ500" s="729"/>
      <c r="BR500" s="729"/>
      <c r="BS500" s="729"/>
      <c r="BT500" s="729"/>
      <c r="BU500" s="729"/>
      <c r="BV500" s="729"/>
      <c r="BW500" s="228"/>
      <c r="BX500" s="729"/>
      <c r="BY500" s="729"/>
      <c r="BZ500" s="729"/>
      <c r="CA500" s="228"/>
      <c r="CB500" s="729"/>
      <c r="CC500" s="729"/>
      <c r="CD500" s="729"/>
      <c r="CE500" s="729"/>
      <c r="CF500" s="729"/>
      <c r="CG500" s="729"/>
      <c r="CH500" s="729"/>
      <c r="CI500" s="729"/>
      <c r="CJ500" s="729"/>
      <c r="CK500" s="228"/>
      <c r="CL500" s="779"/>
      <c r="CM500" s="779"/>
      <c r="CN500" s="729"/>
      <c r="CO500" s="228"/>
      <c r="CP500" s="228"/>
      <c r="CQ500" s="12"/>
      <c r="CR500" s="12"/>
      <c r="CS500" s="729"/>
      <c r="CT500" s="729"/>
      <c r="CU500" s="729"/>
      <c r="CV500" s="729"/>
      <c r="CW500" s="729"/>
      <c r="CX500" s="729"/>
      <c r="CY500" s="729"/>
      <c r="CZ500" s="729"/>
      <c r="DA500" s="729"/>
      <c r="DB500" s="729"/>
      <c r="DC500" s="729"/>
    </row>
    <row r="501" spans="1:107" ht="12.75" customHeight="1">
      <c r="A501" s="228"/>
      <c r="B501" s="228"/>
      <c r="C501" s="1010"/>
      <c r="D501" s="228"/>
      <c r="E501" s="228"/>
      <c r="F501" s="228"/>
      <c r="G501" s="729"/>
      <c r="H501" s="729"/>
      <c r="I501" s="729"/>
      <c r="J501" s="729"/>
      <c r="K501" s="1010"/>
      <c r="L501" s="12"/>
      <c r="M501" s="12"/>
      <c r="N501" s="12"/>
      <c r="O501" s="1010"/>
      <c r="P501" s="1011"/>
      <c r="Q501" s="1011"/>
      <c r="R501" s="12"/>
      <c r="S501" s="12"/>
      <c r="T501" s="12"/>
      <c r="U501" s="12"/>
      <c r="V501" s="12"/>
      <c r="W501" s="1012"/>
      <c r="X501" s="1013"/>
      <c r="Y501" s="1012"/>
      <c r="Z501" s="1012"/>
      <c r="AA501" s="1012"/>
      <c r="AB501" s="1011"/>
      <c r="AC501" s="1011"/>
      <c r="AD501" s="1449"/>
      <c r="AE501" s="729"/>
      <c r="AF501" s="729"/>
      <c r="AG501" s="1014"/>
      <c r="AH501" s="1014"/>
      <c r="AI501" s="1014"/>
      <c r="AJ501" s="729"/>
      <c r="AK501" s="729"/>
      <c r="AL501" s="729"/>
      <c r="AM501" s="729"/>
      <c r="AN501" s="729"/>
      <c r="AO501" s="729"/>
      <c r="AP501" s="729"/>
      <c r="AQ501" s="729"/>
      <c r="AR501" s="729"/>
      <c r="AS501" s="729"/>
      <c r="AT501" s="729"/>
      <c r="AU501" s="729"/>
      <c r="AV501" s="729"/>
      <c r="AW501" s="729"/>
      <c r="AX501" s="729"/>
      <c r="AY501" s="729"/>
      <c r="AZ501" s="729"/>
      <c r="BA501" s="729"/>
      <c r="BB501" s="729"/>
      <c r="BC501" s="729"/>
      <c r="BD501" s="729"/>
      <c r="BE501" s="729"/>
      <c r="BF501" s="12"/>
      <c r="BG501" s="729"/>
      <c r="BH501" s="729"/>
      <c r="BI501" s="729"/>
      <c r="BJ501" s="729"/>
      <c r="BK501" s="729"/>
      <c r="BL501" s="12"/>
      <c r="BM501" s="729"/>
      <c r="BN501" s="729"/>
      <c r="BO501" s="729"/>
      <c r="BP501" s="729"/>
      <c r="BQ501" s="729"/>
      <c r="BR501" s="729"/>
      <c r="BS501" s="729"/>
      <c r="BT501" s="729"/>
      <c r="BU501" s="729"/>
      <c r="BV501" s="729"/>
      <c r="BW501" s="228"/>
      <c r="BX501" s="729"/>
      <c r="BY501" s="729"/>
      <c r="BZ501" s="729"/>
      <c r="CA501" s="228"/>
      <c r="CB501" s="729"/>
      <c r="CC501" s="729"/>
      <c r="CD501" s="729"/>
      <c r="CE501" s="729"/>
      <c r="CF501" s="729"/>
      <c r="CG501" s="729"/>
      <c r="CH501" s="729"/>
      <c r="CI501" s="729"/>
      <c r="CJ501" s="729"/>
      <c r="CK501" s="228"/>
      <c r="CL501" s="779"/>
      <c r="CM501" s="779"/>
      <c r="CN501" s="729"/>
      <c r="CO501" s="228"/>
      <c r="CP501" s="228"/>
      <c r="CQ501" s="12"/>
      <c r="CR501" s="12"/>
      <c r="CS501" s="729"/>
      <c r="CT501" s="729"/>
      <c r="CU501" s="729"/>
      <c r="CV501" s="729"/>
      <c r="CW501" s="729"/>
      <c r="CX501" s="729"/>
      <c r="CY501" s="729"/>
      <c r="CZ501" s="729"/>
      <c r="DA501" s="729"/>
      <c r="DB501" s="729"/>
      <c r="DC501" s="729"/>
    </row>
    <row r="502" spans="1:107" ht="12.75" customHeight="1">
      <c r="A502" s="228"/>
      <c r="B502" s="228"/>
      <c r="C502" s="1010"/>
      <c r="D502" s="228"/>
      <c r="E502" s="228"/>
      <c r="F502" s="228"/>
      <c r="G502" s="729"/>
      <c r="H502" s="729"/>
      <c r="I502" s="729"/>
      <c r="J502" s="729"/>
      <c r="K502" s="1010"/>
      <c r="L502" s="12"/>
      <c r="M502" s="12"/>
      <c r="N502" s="12"/>
      <c r="O502" s="1010"/>
      <c r="P502" s="1011"/>
      <c r="Q502" s="1011"/>
      <c r="R502" s="12"/>
      <c r="S502" s="12"/>
      <c r="T502" s="12"/>
      <c r="U502" s="12"/>
      <c r="V502" s="12"/>
      <c r="W502" s="1012"/>
      <c r="X502" s="1013"/>
      <c r="Y502" s="1012"/>
      <c r="Z502" s="1012"/>
      <c r="AA502" s="1012"/>
      <c r="AB502" s="1011"/>
      <c r="AC502" s="1011"/>
      <c r="AD502" s="1449"/>
      <c r="AE502" s="729"/>
      <c r="AF502" s="729"/>
      <c r="AG502" s="1014"/>
      <c r="AH502" s="1014"/>
      <c r="AI502" s="1014"/>
      <c r="AJ502" s="729"/>
      <c r="AK502" s="729"/>
      <c r="AL502" s="729"/>
      <c r="AM502" s="729"/>
      <c r="AN502" s="729"/>
      <c r="AO502" s="729"/>
      <c r="AP502" s="729"/>
      <c r="AQ502" s="729"/>
      <c r="AR502" s="729"/>
      <c r="AS502" s="729"/>
      <c r="AT502" s="729"/>
      <c r="AU502" s="729"/>
      <c r="AV502" s="729"/>
      <c r="AW502" s="729"/>
      <c r="AX502" s="729"/>
      <c r="AY502" s="729"/>
      <c r="AZ502" s="729"/>
      <c r="BA502" s="729"/>
      <c r="BB502" s="729"/>
      <c r="BC502" s="729"/>
      <c r="BD502" s="729"/>
      <c r="BE502" s="729"/>
      <c r="BF502" s="12"/>
      <c r="BG502" s="729"/>
      <c r="BH502" s="729"/>
      <c r="BI502" s="729"/>
      <c r="BJ502" s="729"/>
      <c r="BK502" s="729"/>
      <c r="BL502" s="12"/>
      <c r="BM502" s="729"/>
      <c r="BN502" s="729"/>
      <c r="BO502" s="729"/>
      <c r="BP502" s="729"/>
      <c r="BQ502" s="729"/>
      <c r="BR502" s="729"/>
      <c r="BS502" s="729"/>
      <c r="BT502" s="729"/>
      <c r="BU502" s="729"/>
      <c r="BV502" s="729"/>
      <c r="BW502" s="228"/>
      <c r="BX502" s="729"/>
      <c r="BY502" s="729"/>
      <c r="BZ502" s="729"/>
      <c r="CA502" s="228"/>
      <c r="CB502" s="729"/>
      <c r="CC502" s="729"/>
      <c r="CD502" s="729"/>
      <c r="CE502" s="729"/>
      <c r="CF502" s="729"/>
      <c r="CG502" s="729"/>
      <c r="CH502" s="729"/>
      <c r="CI502" s="729"/>
      <c r="CJ502" s="729"/>
      <c r="CK502" s="228"/>
      <c r="CL502" s="779"/>
      <c r="CM502" s="779"/>
      <c r="CN502" s="729"/>
      <c r="CO502" s="228"/>
      <c r="CP502" s="228"/>
      <c r="CQ502" s="12"/>
      <c r="CR502" s="12"/>
      <c r="CS502" s="729"/>
      <c r="CT502" s="729"/>
      <c r="CU502" s="729"/>
      <c r="CV502" s="729"/>
      <c r="CW502" s="729"/>
      <c r="CX502" s="729"/>
      <c r="CY502" s="729"/>
      <c r="CZ502" s="729"/>
      <c r="DA502" s="729"/>
      <c r="DB502" s="729"/>
      <c r="DC502" s="729"/>
    </row>
    <row r="503" spans="1:107" ht="12.75" customHeight="1">
      <c r="A503" s="228"/>
      <c r="B503" s="228"/>
      <c r="C503" s="1010"/>
      <c r="D503" s="228"/>
      <c r="E503" s="228"/>
      <c r="F503" s="228"/>
      <c r="G503" s="729"/>
      <c r="H503" s="729"/>
      <c r="I503" s="729"/>
      <c r="J503" s="729"/>
      <c r="K503" s="1010"/>
      <c r="L503" s="12"/>
      <c r="M503" s="12"/>
      <c r="N503" s="12"/>
      <c r="O503" s="1010"/>
      <c r="P503" s="1011"/>
      <c r="Q503" s="1011"/>
      <c r="R503" s="12"/>
      <c r="S503" s="12"/>
      <c r="T503" s="12"/>
      <c r="U503" s="12"/>
      <c r="V503" s="12"/>
      <c r="W503" s="1012"/>
      <c r="X503" s="1013"/>
      <c r="Y503" s="1012"/>
      <c r="Z503" s="1012"/>
      <c r="AA503" s="1012"/>
      <c r="AB503" s="1011"/>
      <c r="AC503" s="1011"/>
      <c r="AD503" s="1449"/>
      <c r="AE503" s="729"/>
      <c r="AF503" s="729"/>
      <c r="AG503" s="1014"/>
      <c r="AH503" s="1014"/>
      <c r="AI503" s="1014"/>
      <c r="AJ503" s="729"/>
      <c r="AK503" s="729"/>
      <c r="AL503" s="729"/>
      <c r="AM503" s="729"/>
      <c r="AN503" s="729"/>
      <c r="AO503" s="729"/>
      <c r="AP503" s="729"/>
      <c r="AQ503" s="729"/>
      <c r="AR503" s="729"/>
      <c r="AS503" s="729"/>
      <c r="AT503" s="729"/>
      <c r="AU503" s="729"/>
      <c r="AV503" s="729"/>
      <c r="AW503" s="729"/>
      <c r="AX503" s="729"/>
      <c r="AY503" s="729"/>
      <c r="AZ503" s="729"/>
      <c r="BA503" s="729"/>
      <c r="BB503" s="729"/>
      <c r="BC503" s="729"/>
      <c r="BD503" s="729"/>
      <c r="BE503" s="729"/>
      <c r="BF503" s="12"/>
      <c r="BG503" s="729"/>
      <c r="BH503" s="729"/>
      <c r="BI503" s="729"/>
      <c r="BJ503" s="729"/>
      <c r="BK503" s="729"/>
      <c r="BL503" s="12"/>
      <c r="BM503" s="729"/>
      <c r="BN503" s="729"/>
      <c r="BO503" s="729"/>
      <c r="BP503" s="729"/>
      <c r="BQ503" s="729"/>
      <c r="BR503" s="729"/>
      <c r="BS503" s="729"/>
      <c r="BT503" s="729"/>
      <c r="BU503" s="729"/>
      <c r="BV503" s="729"/>
      <c r="BW503" s="228"/>
      <c r="BX503" s="729"/>
      <c r="BY503" s="729"/>
      <c r="BZ503" s="729"/>
      <c r="CA503" s="228"/>
      <c r="CB503" s="729"/>
      <c r="CC503" s="729"/>
      <c r="CD503" s="729"/>
      <c r="CE503" s="729"/>
      <c r="CF503" s="729"/>
      <c r="CG503" s="729"/>
      <c r="CH503" s="729"/>
      <c r="CI503" s="729"/>
      <c r="CJ503" s="729"/>
      <c r="CK503" s="228"/>
      <c r="CL503" s="779"/>
      <c r="CM503" s="779"/>
      <c r="CN503" s="729"/>
      <c r="CO503" s="228"/>
      <c r="CP503" s="228"/>
      <c r="CQ503" s="12"/>
      <c r="CR503" s="12"/>
      <c r="CS503" s="729"/>
      <c r="CT503" s="729"/>
      <c r="CU503" s="729"/>
      <c r="CV503" s="729"/>
      <c r="CW503" s="729"/>
      <c r="CX503" s="729"/>
      <c r="CY503" s="729"/>
      <c r="CZ503" s="729"/>
      <c r="DA503" s="729"/>
      <c r="DB503" s="729"/>
      <c r="DC503" s="729"/>
    </row>
    <row r="504" spans="1:107" ht="12.75" customHeight="1">
      <c r="A504" s="228"/>
      <c r="B504" s="228"/>
      <c r="C504" s="1010"/>
      <c r="D504" s="228"/>
      <c r="E504" s="228"/>
      <c r="F504" s="228"/>
      <c r="G504" s="729"/>
      <c r="H504" s="729"/>
      <c r="I504" s="729"/>
      <c r="J504" s="729"/>
      <c r="K504" s="1010"/>
      <c r="L504" s="12"/>
      <c r="M504" s="12"/>
      <c r="N504" s="12"/>
      <c r="O504" s="1010"/>
      <c r="P504" s="1011"/>
      <c r="Q504" s="1011"/>
      <c r="R504" s="12"/>
      <c r="S504" s="12"/>
      <c r="T504" s="12"/>
      <c r="U504" s="12"/>
      <c r="V504" s="12"/>
      <c r="W504" s="1012"/>
      <c r="X504" s="1013"/>
      <c r="Y504" s="1012"/>
      <c r="Z504" s="1012"/>
      <c r="AA504" s="1012"/>
      <c r="AB504" s="1011"/>
      <c r="AC504" s="1011"/>
      <c r="AD504" s="1449"/>
      <c r="AE504" s="729"/>
      <c r="AF504" s="729"/>
      <c r="AG504" s="1014"/>
      <c r="AH504" s="1014"/>
      <c r="AI504" s="1014"/>
      <c r="AJ504" s="729"/>
      <c r="AK504" s="729"/>
      <c r="AL504" s="729"/>
      <c r="AM504" s="729"/>
      <c r="AN504" s="729"/>
      <c r="AO504" s="729"/>
      <c r="AP504" s="729"/>
      <c r="AQ504" s="729"/>
      <c r="AR504" s="729"/>
      <c r="AS504" s="729"/>
      <c r="AT504" s="729"/>
      <c r="AU504" s="729"/>
      <c r="AV504" s="729"/>
      <c r="AW504" s="729"/>
      <c r="AX504" s="729"/>
      <c r="AY504" s="729"/>
      <c r="AZ504" s="729"/>
      <c r="BA504" s="729"/>
      <c r="BB504" s="729"/>
      <c r="BC504" s="729"/>
      <c r="BD504" s="729"/>
      <c r="BE504" s="729"/>
      <c r="BF504" s="12"/>
      <c r="BG504" s="729"/>
      <c r="BH504" s="729"/>
      <c r="BI504" s="729"/>
      <c r="BJ504" s="729"/>
      <c r="BK504" s="729"/>
      <c r="BL504" s="12"/>
      <c r="BM504" s="729"/>
      <c r="BN504" s="729"/>
      <c r="BO504" s="729"/>
      <c r="BP504" s="729"/>
      <c r="BQ504" s="729"/>
      <c r="BR504" s="729"/>
      <c r="BS504" s="729"/>
      <c r="BT504" s="729"/>
      <c r="BU504" s="729"/>
      <c r="BV504" s="729"/>
      <c r="BW504" s="228"/>
      <c r="BX504" s="729"/>
      <c r="BY504" s="729"/>
      <c r="BZ504" s="729"/>
      <c r="CA504" s="228"/>
      <c r="CB504" s="729"/>
      <c r="CC504" s="729"/>
      <c r="CD504" s="729"/>
      <c r="CE504" s="729"/>
      <c r="CF504" s="729"/>
      <c r="CG504" s="729"/>
      <c r="CH504" s="729"/>
      <c r="CI504" s="729"/>
      <c r="CJ504" s="729"/>
      <c r="CK504" s="228"/>
      <c r="CL504" s="779"/>
      <c r="CM504" s="779"/>
      <c r="CN504" s="729"/>
      <c r="CO504" s="228"/>
      <c r="CP504" s="228"/>
      <c r="CQ504" s="12"/>
      <c r="CR504" s="12"/>
      <c r="CS504" s="729"/>
      <c r="CT504" s="729"/>
      <c r="CU504" s="729"/>
      <c r="CV504" s="729"/>
      <c r="CW504" s="729"/>
      <c r="CX504" s="729"/>
      <c r="CY504" s="729"/>
      <c r="CZ504" s="729"/>
      <c r="DA504" s="729"/>
      <c r="DB504" s="729"/>
      <c r="DC504" s="729"/>
    </row>
    <row r="505" spans="1:107" ht="12.75" customHeight="1">
      <c r="A505" s="228"/>
      <c r="B505" s="228"/>
      <c r="C505" s="1010"/>
      <c r="D505" s="228"/>
      <c r="E505" s="228"/>
      <c r="F505" s="228"/>
      <c r="G505" s="729"/>
      <c r="H505" s="729"/>
      <c r="I505" s="729"/>
      <c r="J505" s="729"/>
      <c r="K505" s="1010"/>
      <c r="L505" s="12"/>
      <c r="M505" s="12"/>
      <c r="N505" s="12"/>
      <c r="O505" s="1010"/>
      <c r="P505" s="1011"/>
      <c r="Q505" s="1011"/>
      <c r="R505" s="12"/>
      <c r="S505" s="12"/>
      <c r="T505" s="12"/>
      <c r="U505" s="12"/>
      <c r="V505" s="12"/>
      <c r="W505" s="1012"/>
      <c r="X505" s="1013"/>
      <c r="Y505" s="1012"/>
      <c r="Z505" s="1012"/>
      <c r="AA505" s="1012"/>
      <c r="AB505" s="1011"/>
      <c r="AC505" s="1011"/>
      <c r="AD505" s="1449"/>
      <c r="AE505" s="729"/>
      <c r="AF505" s="729"/>
      <c r="AG505" s="1014"/>
      <c r="AH505" s="1014"/>
      <c r="AI505" s="1014"/>
      <c r="AJ505" s="729"/>
      <c r="AK505" s="729"/>
      <c r="AL505" s="729"/>
      <c r="AM505" s="729"/>
      <c r="AN505" s="729"/>
      <c r="AO505" s="729"/>
      <c r="AP505" s="729"/>
      <c r="AQ505" s="729"/>
      <c r="AR505" s="729"/>
      <c r="AS505" s="729"/>
      <c r="AT505" s="729"/>
      <c r="AU505" s="729"/>
      <c r="AV505" s="729"/>
      <c r="AW505" s="729"/>
      <c r="AX505" s="729"/>
      <c r="AY505" s="729"/>
      <c r="AZ505" s="729"/>
      <c r="BA505" s="729"/>
      <c r="BB505" s="729"/>
      <c r="BC505" s="729"/>
      <c r="BD505" s="729"/>
      <c r="BE505" s="729"/>
      <c r="BF505" s="12"/>
      <c r="BG505" s="729"/>
      <c r="BH505" s="729"/>
      <c r="BI505" s="729"/>
      <c r="BJ505" s="729"/>
      <c r="BK505" s="729"/>
      <c r="BL505" s="12"/>
      <c r="BM505" s="729"/>
      <c r="BN505" s="729"/>
      <c r="BO505" s="729"/>
      <c r="BP505" s="729"/>
      <c r="BQ505" s="729"/>
      <c r="BR505" s="729"/>
      <c r="BS505" s="729"/>
      <c r="BT505" s="729"/>
      <c r="BU505" s="729"/>
      <c r="BV505" s="729"/>
      <c r="BW505" s="228"/>
      <c r="BX505" s="729"/>
      <c r="BY505" s="729"/>
      <c r="BZ505" s="729"/>
      <c r="CA505" s="228"/>
      <c r="CB505" s="729"/>
      <c r="CC505" s="729"/>
      <c r="CD505" s="729"/>
      <c r="CE505" s="729"/>
      <c r="CF505" s="729"/>
      <c r="CG505" s="729"/>
      <c r="CH505" s="729"/>
      <c r="CI505" s="729"/>
      <c r="CJ505" s="729"/>
      <c r="CK505" s="228"/>
      <c r="CL505" s="779"/>
      <c r="CM505" s="779"/>
      <c r="CN505" s="729"/>
      <c r="CO505" s="228"/>
      <c r="CP505" s="228"/>
      <c r="CQ505" s="12"/>
      <c r="CR505" s="12"/>
      <c r="CS505" s="729"/>
      <c r="CT505" s="729"/>
      <c r="CU505" s="729"/>
      <c r="CV505" s="729"/>
      <c r="CW505" s="729"/>
      <c r="CX505" s="729"/>
      <c r="CY505" s="729"/>
      <c r="CZ505" s="729"/>
      <c r="DA505" s="729"/>
      <c r="DB505" s="729"/>
      <c r="DC505" s="729"/>
    </row>
    <row r="506" spans="1:107" ht="12.75" customHeight="1">
      <c r="A506" s="228"/>
      <c r="B506" s="228"/>
      <c r="C506" s="1010"/>
      <c r="D506" s="228"/>
      <c r="E506" s="228"/>
      <c r="F506" s="228"/>
      <c r="G506" s="729"/>
      <c r="H506" s="729"/>
      <c r="I506" s="729"/>
      <c r="J506" s="729"/>
      <c r="K506" s="1010"/>
      <c r="L506" s="12"/>
      <c r="M506" s="12"/>
      <c r="N506" s="12"/>
      <c r="O506" s="1010"/>
      <c r="P506" s="1011"/>
      <c r="Q506" s="1011"/>
      <c r="R506" s="12"/>
      <c r="S506" s="12"/>
      <c r="T506" s="12"/>
      <c r="U506" s="12"/>
      <c r="V506" s="12"/>
      <c r="W506" s="1012"/>
      <c r="X506" s="1013"/>
      <c r="Y506" s="1012"/>
      <c r="Z506" s="1012"/>
      <c r="AA506" s="1012"/>
      <c r="AB506" s="1011"/>
      <c r="AC506" s="1011"/>
      <c r="AD506" s="1449"/>
      <c r="AE506" s="729"/>
      <c r="AF506" s="729"/>
      <c r="AG506" s="1014"/>
      <c r="AH506" s="1014"/>
      <c r="AI506" s="1014"/>
      <c r="AJ506" s="729"/>
      <c r="AK506" s="729"/>
      <c r="AL506" s="729"/>
      <c r="AM506" s="729"/>
      <c r="AN506" s="729"/>
      <c r="AO506" s="729"/>
      <c r="AP506" s="729"/>
      <c r="AQ506" s="729"/>
      <c r="AR506" s="729"/>
      <c r="AS506" s="729"/>
      <c r="AT506" s="729"/>
      <c r="AU506" s="729"/>
      <c r="AV506" s="729"/>
      <c r="AW506" s="729"/>
      <c r="AX506" s="729"/>
      <c r="AY506" s="729"/>
      <c r="AZ506" s="729"/>
      <c r="BA506" s="729"/>
      <c r="BB506" s="729"/>
      <c r="BC506" s="729"/>
      <c r="BD506" s="729"/>
      <c r="BE506" s="729"/>
      <c r="BF506" s="12"/>
      <c r="BG506" s="729"/>
      <c r="BH506" s="729"/>
      <c r="BI506" s="729"/>
      <c r="BJ506" s="729"/>
      <c r="BK506" s="729"/>
      <c r="BL506" s="12"/>
      <c r="BM506" s="729"/>
      <c r="BN506" s="729"/>
      <c r="BO506" s="729"/>
      <c r="BP506" s="729"/>
      <c r="BQ506" s="729"/>
      <c r="BR506" s="729"/>
      <c r="BS506" s="729"/>
      <c r="BT506" s="729"/>
      <c r="BU506" s="729"/>
      <c r="BV506" s="729"/>
      <c r="BW506" s="228"/>
      <c r="BX506" s="729"/>
      <c r="BY506" s="729"/>
      <c r="BZ506" s="729"/>
      <c r="CA506" s="228"/>
      <c r="CB506" s="729"/>
      <c r="CC506" s="729"/>
      <c r="CD506" s="729"/>
      <c r="CE506" s="729"/>
      <c r="CF506" s="729"/>
      <c r="CG506" s="729"/>
      <c r="CH506" s="729"/>
      <c r="CI506" s="729"/>
      <c r="CJ506" s="729"/>
      <c r="CK506" s="228"/>
      <c r="CL506" s="779"/>
      <c r="CM506" s="779"/>
      <c r="CN506" s="729"/>
      <c r="CO506" s="228"/>
      <c r="CP506" s="228"/>
      <c r="CQ506" s="12"/>
      <c r="CR506" s="12"/>
      <c r="CS506" s="729"/>
      <c r="CT506" s="729"/>
      <c r="CU506" s="729"/>
      <c r="CV506" s="729"/>
      <c r="CW506" s="729"/>
      <c r="CX506" s="729"/>
      <c r="CY506" s="729"/>
      <c r="CZ506" s="729"/>
      <c r="DA506" s="729"/>
      <c r="DB506" s="729"/>
      <c r="DC506" s="729"/>
    </row>
    <row r="507" spans="1:107" ht="12.75" customHeight="1">
      <c r="A507" s="228"/>
      <c r="B507" s="228"/>
      <c r="C507" s="1010"/>
      <c r="D507" s="228"/>
      <c r="E507" s="228"/>
      <c r="F507" s="228"/>
      <c r="G507" s="729"/>
      <c r="H507" s="729"/>
      <c r="I507" s="729"/>
      <c r="J507" s="729"/>
      <c r="K507" s="1010"/>
      <c r="L507" s="12"/>
      <c r="M507" s="12"/>
      <c r="N507" s="12"/>
      <c r="O507" s="1010"/>
      <c r="P507" s="1011"/>
      <c r="Q507" s="1011"/>
      <c r="R507" s="12"/>
      <c r="S507" s="12"/>
      <c r="T507" s="12"/>
      <c r="U507" s="12"/>
      <c r="V507" s="12"/>
      <c r="W507" s="1012"/>
      <c r="X507" s="1013"/>
      <c r="Y507" s="1012"/>
      <c r="Z507" s="1012"/>
      <c r="AA507" s="1012"/>
      <c r="AB507" s="1011"/>
      <c r="AC507" s="1011"/>
      <c r="AD507" s="1449"/>
      <c r="AE507" s="729"/>
      <c r="AF507" s="729"/>
      <c r="AG507" s="1014"/>
      <c r="AH507" s="1014"/>
      <c r="AI507" s="1014"/>
      <c r="AJ507" s="729"/>
      <c r="AK507" s="729"/>
      <c r="AL507" s="729"/>
      <c r="AM507" s="729"/>
      <c r="AN507" s="729"/>
      <c r="AO507" s="729"/>
      <c r="AP507" s="729"/>
      <c r="AQ507" s="729"/>
      <c r="AR507" s="729"/>
      <c r="AS507" s="729"/>
      <c r="AT507" s="729"/>
      <c r="AU507" s="729"/>
      <c r="AV507" s="729"/>
      <c r="AW507" s="729"/>
      <c r="AX507" s="729"/>
      <c r="AY507" s="729"/>
      <c r="AZ507" s="729"/>
      <c r="BA507" s="729"/>
      <c r="BB507" s="729"/>
      <c r="BC507" s="729"/>
      <c r="BD507" s="729"/>
      <c r="BE507" s="729"/>
      <c r="BF507" s="12"/>
      <c r="BG507" s="729"/>
      <c r="BH507" s="729"/>
      <c r="BI507" s="729"/>
      <c r="BJ507" s="729"/>
      <c r="BK507" s="729"/>
      <c r="BL507" s="12"/>
      <c r="BM507" s="729"/>
      <c r="BN507" s="729"/>
      <c r="BO507" s="729"/>
      <c r="BP507" s="729"/>
      <c r="BQ507" s="729"/>
      <c r="BR507" s="729"/>
      <c r="BS507" s="729"/>
      <c r="BT507" s="729"/>
      <c r="BU507" s="729"/>
      <c r="BV507" s="729"/>
      <c r="BW507" s="228"/>
      <c r="BX507" s="729"/>
      <c r="BY507" s="729"/>
      <c r="BZ507" s="729"/>
      <c r="CA507" s="228"/>
      <c r="CB507" s="729"/>
      <c r="CC507" s="729"/>
      <c r="CD507" s="729"/>
      <c r="CE507" s="729"/>
      <c r="CF507" s="729"/>
      <c r="CG507" s="729"/>
      <c r="CH507" s="729"/>
      <c r="CI507" s="729"/>
      <c r="CJ507" s="729"/>
      <c r="CK507" s="228"/>
      <c r="CL507" s="779"/>
      <c r="CM507" s="779"/>
      <c r="CN507" s="729"/>
      <c r="CO507" s="228"/>
      <c r="CP507" s="228"/>
      <c r="CQ507" s="12"/>
      <c r="CR507" s="12"/>
      <c r="CS507" s="729"/>
      <c r="CT507" s="729"/>
      <c r="CU507" s="729"/>
      <c r="CV507" s="729"/>
      <c r="CW507" s="729"/>
      <c r="CX507" s="729"/>
      <c r="CY507" s="729"/>
      <c r="CZ507" s="729"/>
      <c r="DA507" s="729"/>
      <c r="DB507" s="729"/>
      <c r="DC507" s="729"/>
    </row>
    <row r="508" spans="1:107" ht="12.75" customHeight="1">
      <c r="A508" s="228"/>
      <c r="B508" s="228"/>
      <c r="C508" s="1010"/>
      <c r="D508" s="228"/>
      <c r="E508" s="228"/>
      <c r="F508" s="228"/>
      <c r="G508" s="729"/>
      <c r="H508" s="729"/>
      <c r="I508" s="729"/>
      <c r="J508" s="729"/>
      <c r="K508" s="1010"/>
      <c r="L508" s="12"/>
      <c r="M508" s="12"/>
      <c r="N508" s="12"/>
      <c r="O508" s="1010"/>
      <c r="P508" s="1011"/>
      <c r="Q508" s="1011"/>
      <c r="R508" s="12"/>
      <c r="S508" s="12"/>
      <c r="T508" s="12"/>
      <c r="U508" s="12"/>
      <c r="V508" s="12"/>
      <c r="W508" s="1012"/>
      <c r="X508" s="1013"/>
      <c r="Y508" s="1012"/>
      <c r="Z508" s="1012"/>
      <c r="AA508" s="1012"/>
      <c r="AB508" s="1011"/>
      <c r="AC508" s="1011"/>
      <c r="AD508" s="1449"/>
      <c r="AE508" s="729"/>
      <c r="AF508" s="729"/>
      <c r="AG508" s="1014"/>
      <c r="AH508" s="1014"/>
      <c r="AI508" s="1014"/>
      <c r="AJ508" s="729"/>
      <c r="AK508" s="729"/>
      <c r="AL508" s="729"/>
      <c r="AM508" s="729"/>
      <c r="AN508" s="729"/>
      <c r="AO508" s="729"/>
      <c r="AP508" s="729"/>
      <c r="AQ508" s="729"/>
      <c r="AR508" s="729"/>
      <c r="AS508" s="729"/>
      <c r="AT508" s="729"/>
      <c r="AU508" s="729"/>
      <c r="AV508" s="729"/>
      <c r="AW508" s="729"/>
      <c r="AX508" s="729"/>
      <c r="AY508" s="729"/>
      <c r="AZ508" s="729"/>
      <c r="BA508" s="729"/>
      <c r="BB508" s="729"/>
      <c r="BC508" s="729"/>
      <c r="BD508" s="729"/>
      <c r="BE508" s="729"/>
      <c r="BF508" s="12"/>
      <c r="BG508" s="729"/>
      <c r="BH508" s="729"/>
      <c r="BI508" s="729"/>
      <c r="BJ508" s="729"/>
      <c r="BK508" s="729"/>
      <c r="BL508" s="12"/>
      <c r="BM508" s="729"/>
      <c r="BN508" s="729"/>
      <c r="BO508" s="729"/>
      <c r="BP508" s="729"/>
      <c r="BQ508" s="729"/>
      <c r="BR508" s="729"/>
      <c r="BS508" s="729"/>
      <c r="BT508" s="729"/>
      <c r="BU508" s="729"/>
      <c r="BV508" s="729"/>
      <c r="BW508" s="228"/>
      <c r="BX508" s="729"/>
      <c r="BY508" s="729"/>
      <c r="BZ508" s="729"/>
      <c r="CA508" s="228"/>
      <c r="CB508" s="729"/>
      <c r="CC508" s="729"/>
      <c r="CD508" s="729"/>
      <c r="CE508" s="729"/>
      <c r="CF508" s="729"/>
      <c r="CG508" s="729"/>
      <c r="CH508" s="729"/>
      <c r="CI508" s="729"/>
      <c r="CJ508" s="729"/>
      <c r="CK508" s="228"/>
      <c r="CL508" s="779"/>
      <c r="CM508" s="779"/>
      <c r="CN508" s="729"/>
      <c r="CO508" s="228"/>
      <c r="CP508" s="228"/>
      <c r="CQ508" s="12"/>
      <c r="CR508" s="12"/>
      <c r="CS508" s="729"/>
      <c r="CT508" s="729"/>
      <c r="CU508" s="729"/>
      <c r="CV508" s="729"/>
      <c r="CW508" s="729"/>
      <c r="CX508" s="729"/>
      <c r="CY508" s="729"/>
      <c r="CZ508" s="729"/>
      <c r="DA508" s="729"/>
      <c r="DB508" s="729"/>
      <c r="DC508" s="729"/>
    </row>
    <row r="509" spans="1:107" ht="12.75" customHeight="1">
      <c r="A509" s="228"/>
      <c r="B509" s="228"/>
      <c r="C509" s="1010"/>
      <c r="D509" s="228"/>
      <c r="E509" s="228"/>
      <c r="F509" s="228"/>
      <c r="G509" s="729"/>
      <c r="H509" s="729"/>
      <c r="I509" s="729"/>
      <c r="J509" s="729"/>
      <c r="K509" s="1010"/>
      <c r="L509" s="12"/>
      <c r="M509" s="12"/>
      <c r="N509" s="12"/>
      <c r="O509" s="1010"/>
      <c r="P509" s="1011"/>
      <c r="Q509" s="1011"/>
      <c r="R509" s="12"/>
      <c r="S509" s="12"/>
      <c r="T509" s="12"/>
      <c r="U509" s="12"/>
      <c r="V509" s="12"/>
      <c r="W509" s="1012"/>
      <c r="X509" s="1013"/>
      <c r="Y509" s="1012"/>
      <c r="Z509" s="1012"/>
      <c r="AA509" s="1012"/>
      <c r="AB509" s="1011"/>
      <c r="AC509" s="1011"/>
      <c r="AD509" s="1449"/>
      <c r="AE509" s="729"/>
      <c r="AF509" s="729"/>
      <c r="AG509" s="1014"/>
      <c r="AH509" s="1014"/>
      <c r="AI509" s="1014"/>
      <c r="AJ509" s="729"/>
      <c r="AK509" s="729"/>
      <c r="AL509" s="729"/>
      <c r="AM509" s="729"/>
      <c r="AN509" s="729"/>
      <c r="AO509" s="729"/>
      <c r="AP509" s="729"/>
      <c r="AQ509" s="729"/>
      <c r="AR509" s="729"/>
      <c r="AS509" s="729"/>
      <c r="AT509" s="729"/>
      <c r="AU509" s="729"/>
      <c r="AV509" s="729"/>
      <c r="AW509" s="729"/>
      <c r="AX509" s="729"/>
      <c r="AY509" s="729"/>
      <c r="AZ509" s="729"/>
      <c r="BA509" s="729"/>
      <c r="BB509" s="729"/>
      <c r="BC509" s="729"/>
      <c r="BD509" s="729"/>
      <c r="BE509" s="729"/>
      <c r="BF509" s="12"/>
      <c r="BG509" s="729"/>
      <c r="BH509" s="729"/>
      <c r="BI509" s="729"/>
      <c r="BJ509" s="729"/>
      <c r="BK509" s="729"/>
      <c r="BL509" s="12"/>
      <c r="BM509" s="729"/>
      <c r="BN509" s="729"/>
      <c r="BO509" s="729"/>
      <c r="BP509" s="729"/>
      <c r="BQ509" s="729"/>
      <c r="BR509" s="729"/>
      <c r="BS509" s="729"/>
      <c r="BT509" s="729"/>
      <c r="BU509" s="729"/>
      <c r="BV509" s="729"/>
      <c r="BW509" s="228"/>
      <c r="BX509" s="729"/>
      <c r="BY509" s="729"/>
      <c r="BZ509" s="729"/>
      <c r="CA509" s="228"/>
      <c r="CB509" s="729"/>
      <c r="CC509" s="729"/>
      <c r="CD509" s="729"/>
      <c r="CE509" s="729"/>
      <c r="CF509" s="729"/>
      <c r="CG509" s="729"/>
      <c r="CH509" s="729"/>
      <c r="CI509" s="729"/>
      <c r="CJ509" s="729"/>
      <c r="CK509" s="228"/>
      <c r="CL509" s="779"/>
      <c r="CM509" s="779"/>
      <c r="CN509" s="729"/>
      <c r="CO509" s="228"/>
      <c r="CP509" s="228"/>
      <c r="CQ509" s="12"/>
      <c r="CR509" s="12"/>
      <c r="CS509" s="729"/>
      <c r="CT509" s="729"/>
      <c r="CU509" s="729"/>
      <c r="CV509" s="729"/>
      <c r="CW509" s="729"/>
      <c r="CX509" s="729"/>
      <c r="CY509" s="729"/>
      <c r="CZ509" s="729"/>
      <c r="DA509" s="729"/>
      <c r="DB509" s="729"/>
      <c r="DC509" s="729"/>
    </row>
    <row r="510" spans="1:107" ht="12.75" customHeight="1">
      <c r="A510" s="228"/>
      <c r="B510" s="228"/>
      <c r="C510" s="1010"/>
      <c r="D510" s="228"/>
      <c r="E510" s="228"/>
      <c r="F510" s="228"/>
      <c r="G510" s="729"/>
      <c r="H510" s="729"/>
      <c r="I510" s="729"/>
      <c r="J510" s="729"/>
      <c r="K510" s="1010"/>
      <c r="L510" s="12"/>
      <c r="M510" s="12"/>
      <c r="N510" s="12"/>
      <c r="O510" s="1010"/>
      <c r="P510" s="1011"/>
      <c r="Q510" s="1011"/>
      <c r="R510" s="12"/>
      <c r="S510" s="12"/>
      <c r="T510" s="12"/>
      <c r="U510" s="12"/>
      <c r="V510" s="12"/>
      <c r="W510" s="1012"/>
      <c r="X510" s="1013"/>
      <c r="Y510" s="1012"/>
      <c r="Z510" s="1012"/>
      <c r="AA510" s="1012"/>
      <c r="AB510" s="1011"/>
      <c r="AC510" s="1011"/>
      <c r="AD510" s="1449"/>
      <c r="AE510" s="729"/>
      <c r="AF510" s="729"/>
      <c r="AG510" s="1014"/>
      <c r="AH510" s="1014"/>
      <c r="AI510" s="1014"/>
      <c r="AJ510" s="729"/>
      <c r="AK510" s="729"/>
      <c r="AL510" s="729"/>
      <c r="AM510" s="729"/>
      <c r="AN510" s="729"/>
      <c r="AO510" s="729"/>
      <c r="AP510" s="729"/>
      <c r="AQ510" s="729"/>
      <c r="AR510" s="729"/>
      <c r="AS510" s="729"/>
      <c r="AT510" s="729"/>
      <c r="AU510" s="729"/>
      <c r="AV510" s="729"/>
      <c r="AW510" s="729"/>
      <c r="AX510" s="729"/>
      <c r="AY510" s="729"/>
      <c r="AZ510" s="729"/>
      <c r="BA510" s="729"/>
      <c r="BB510" s="729"/>
      <c r="BC510" s="729"/>
      <c r="BD510" s="729"/>
      <c r="BE510" s="729"/>
      <c r="BF510" s="12"/>
      <c r="BG510" s="729"/>
      <c r="BH510" s="729"/>
      <c r="BI510" s="729"/>
      <c r="BJ510" s="729"/>
      <c r="BK510" s="729"/>
      <c r="BL510" s="12"/>
      <c r="BM510" s="729"/>
      <c r="BN510" s="729"/>
      <c r="BO510" s="729"/>
      <c r="BP510" s="729"/>
      <c r="BQ510" s="729"/>
      <c r="BR510" s="729"/>
      <c r="BS510" s="729"/>
      <c r="BT510" s="729"/>
      <c r="BU510" s="729"/>
      <c r="BV510" s="729"/>
      <c r="BW510" s="228"/>
      <c r="BX510" s="729"/>
      <c r="BY510" s="729"/>
      <c r="BZ510" s="729"/>
      <c r="CA510" s="228"/>
      <c r="CB510" s="729"/>
      <c r="CC510" s="729"/>
      <c r="CD510" s="729"/>
      <c r="CE510" s="729"/>
      <c r="CF510" s="729"/>
      <c r="CG510" s="729"/>
      <c r="CH510" s="729"/>
      <c r="CI510" s="729"/>
      <c r="CJ510" s="729"/>
      <c r="CK510" s="228"/>
      <c r="CL510" s="779"/>
      <c r="CM510" s="779"/>
      <c r="CN510" s="729"/>
      <c r="CO510" s="228"/>
      <c r="CP510" s="228"/>
      <c r="CQ510" s="12"/>
      <c r="CR510" s="12"/>
      <c r="CS510" s="729"/>
      <c r="CT510" s="729"/>
      <c r="CU510" s="729"/>
      <c r="CV510" s="729"/>
      <c r="CW510" s="729"/>
      <c r="CX510" s="729"/>
      <c r="CY510" s="729"/>
      <c r="CZ510" s="729"/>
      <c r="DA510" s="729"/>
      <c r="DB510" s="729"/>
      <c r="DC510" s="729"/>
    </row>
    <row r="511" spans="1:107" ht="12.75" customHeight="1">
      <c r="A511" s="228"/>
      <c r="B511" s="228"/>
      <c r="C511" s="1010"/>
      <c r="D511" s="228"/>
      <c r="E511" s="228"/>
      <c r="F511" s="228"/>
      <c r="G511" s="729"/>
      <c r="H511" s="729"/>
      <c r="I511" s="729"/>
      <c r="J511" s="729"/>
      <c r="K511" s="1010"/>
      <c r="L511" s="12"/>
      <c r="M511" s="12"/>
      <c r="N511" s="12"/>
      <c r="O511" s="1010"/>
      <c r="P511" s="1011"/>
      <c r="Q511" s="1011"/>
      <c r="R511" s="12"/>
      <c r="S511" s="12"/>
      <c r="T511" s="12"/>
      <c r="U511" s="12"/>
      <c r="V511" s="12"/>
      <c r="W511" s="1012"/>
      <c r="X511" s="1013"/>
      <c r="Y511" s="1012"/>
      <c r="Z511" s="1012"/>
      <c r="AA511" s="1012"/>
      <c r="AB511" s="1011"/>
      <c r="AC511" s="1011"/>
      <c r="AD511" s="1449"/>
      <c r="AE511" s="729"/>
      <c r="AF511" s="729"/>
      <c r="AG511" s="1014"/>
      <c r="AH511" s="1014"/>
      <c r="AI511" s="1014"/>
      <c r="AJ511" s="729"/>
      <c r="AK511" s="729"/>
      <c r="AL511" s="729"/>
      <c r="AM511" s="729"/>
      <c r="AN511" s="729"/>
      <c r="AO511" s="729"/>
      <c r="AP511" s="729"/>
      <c r="AQ511" s="729"/>
      <c r="AR511" s="729"/>
      <c r="AS511" s="729"/>
      <c r="AT511" s="729"/>
      <c r="AU511" s="729"/>
      <c r="AV511" s="729"/>
      <c r="AW511" s="729"/>
      <c r="AX511" s="729"/>
      <c r="AY511" s="729"/>
      <c r="AZ511" s="729"/>
      <c r="BA511" s="729"/>
      <c r="BB511" s="729"/>
      <c r="BC511" s="729"/>
      <c r="BD511" s="729"/>
      <c r="BE511" s="729"/>
      <c r="BF511" s="12"/>
      <c r="BG511" s="729"/>
      <c r="BH511" s="729"/>
      <c r="BI511" s="729"/>
      <c r="BJ511" s="729"/>
      <c r="BK511" s="729"/>
      <c r="BL511" s="12"/>
      <c r="BM511" s="729"/>
      <c r="BN511" s="729"/>
      <c r="BO511" s="729"/>
      <c r="BP511" s="729"/>
      <c r="BQ511" s="729"/>
      <c r="BR511" s="729"/>
      <c r="BS511" s="729"/>
      <c r="BT511" s="729"/>
      <c r="BU511" s="729"/>
      <c r="BV511" s="729"/>
      <c r="BW511" s="228"/>
      <c r="BX511" s="729"/>
      <c r="BY511" s="729"/>
      <c r="BZ511" s="729"/>
      <c r="CA511" s="228"/>
      <c r="CB511" s="729"/>
      <c r="CC511" s="729"/>
      <c r="CD511" s="729"/>
      <c r="CE511" s="729"/>
      <c r="CF511" s="729"/>
      <c r="CG511" s="729"/>
      <c r="CH511" s="729"/>
      <c r="CI511" s="729"/>
      <c r="CJ511" s="729"/>
      <c r="CK511" s="228"/>
      <c r="CL511" s="779"/>
      <c r="CM511" s="779"/>
      <c r="CN511" s="729"/>
      <c r="CO511" s="228"/>
      <c r="CP511" s="228"/>
      <c r="CQ511" s="12"/>
      <c r="CR511" s="12"/>
      <c r="CS511" s="729"/>
      <c r="CT511" s="729"/>
      <c r="CU511" s="729"/>
      <c r="CV511" s="729"/>
      <c r="CW511" s="729"/>
      <c r="CX511" s="729"/>
      <c r="CY511" s="729"/>
      <c r="CZ511" s="729"/>
      <c r="DA511" s="729"/>
      <c r="DB511" s="729"/>
      <c r="DC511" s="729"/>
    </row>
    <row r="512" spans="1:107" ht="12.75" customHeight="1">
      <c r="A512" s="228"/>
      <c r="B512" s="228"/>
      <c r="C512" s="1010"/>
      <c r="D512" s="228"/>
      <c r="E512" s="228"/>
      <c r="F512" s="228"/>
      <c r="G512" s="729"/>
      <c r="H512" s="729"/>
      <c r="I512" s="729"/>
      <c r="J512" s="729"/>
      <c r="K512" s="1010"/>
      <c r="L512" s="12"/>
      <c r="M512" s="12"/>
      <c r="N512" s="12"/>
      <c r="O512" s="1010"/>
      <c r="P512" s="1011"/>
      <c r="Q512" s="1011"/>
      <c r="R512" s="12"/>
      <c r="S512" s="12"/>
      <c r="T512" s="12"/>
      <c r="U512" s="12"/>
      <c r="V512" s="12"/>
      <c r="W512" s="1012"/>
      <c r="X512" s="1013"/>
      <c r="Y512" s="1012"/>
      <c r="Z512" s="1012"/>
      <c r="AA512" s="1012"/>
      <c r="AB512" s="1011"/>
      <c r="AC512" s="1011"/>
      <c r="AD512" s="1449"/>
      <c r="AE512" s="729"/>
      <c r="AF512" s="729"/>
      <c r="AG512" s="1014"/>
      <c r="AH512" s="1014"/>
      <c r="AI512" s="1014"/>
      <c r="AJ512" s="729"/>
      <c r="AK512" s="729"/>
      <c r="AL512" s="729"/>
      <c r="AM512" s="729"/>
      <c r="AN512" s="729"/>
      <c r="AO512" s="729"/>
      <c r="AP512" s="729"/>
      <c r="AQ512" s="729"/>
      <c r="AR512" s="729"/>
      <c r="AS512" s="729"/>
      <c r="AT512" s="729"/>
      <c r="AU512" s="729"/>
      <c r="AV512" s="729"/>
      <c r="AW512" s="729"/>
      <c r="AX512" s="729"/>
      <c r="AY512" s="729"/>
      <c r="AZ512" s="729"/>
      <c r="BA512" s="729"/>
      <c r="BB512" s="729"/>
      <c r="BC512" s="729"/>
      <c r="BD512" s="729"/>
      <c r="BE512" s="729"/>
      <c r="BF512" s="12"/>
      <c r="BG512" s="729"/>
      <c r="BH512" s="729"/>
      <c r="BI512" s="729"/>
      <c r="BJ512" s="729"/>
      <c r="BK512" s="729"/>
      <c r="BL512" s="12"/>
      <c r="BM512" s="729"/>
      <c r="BN512" s="729"/>
      <c r="BO512" s="729"/>
      <c r="BP512" s="729"/>
      <c r="BQ512" s="729"/>
      <c r="BR512" s="729"/>
      <c r="BS512" s="729"/>
      <c r="BT512" s="729"/>
      <c r="BU512" s="729"/>
      <c r="BV512" s="729"/>
      <c r="BW512" s="228"/>
      <c r="BX512" s="729"/>
      <c r="BY512" s="729"/>
      <c r="BZ512" s="729"/>
      <c r="CA512" s="228"/>
      <c r="CB512" s="729"/>
      <c r="CC512" s="729"/>
      <c r="CD512" s="729"/>
      <c r="CE512" s="729"/>
      <c r="CF512" s="729"/>
      <c r="CG512" s="729"/>
      <c r="CH512" s="729"/>
      <c r="CI512" s="729"/>
      <c r="CJ512" s="729"/>
      <c r="CK512" s="228"/>
      <c r="CL512" s="779"/>
      <c r="CM512" s="779"/>
      <c r="CN512" s="729"/>
      <c r="CO512" s="228"/>
      <c r="CP512" s="228"/>
      <c r="CQ512" s="12"/>
      <c r="CR512" s="12"/>
      <c r="CS512" s="729"/>
      <c r="CT512" s="729"/>
      <c r="CU512" s="729"/>
      <c r="CV512" s="729"/>
      <c r="CW512" s="729"/>
      <c r="CX512" s="729"/>
      <c r="CY512" s="729"/>
      <c r="CZ512" s="729"/>
      <c r="DA512" s="729"/>
      <c r="DB512" s="729"/>
      <c r="DC512" s="729"/>
    </row>
    <row r="513" spans="1:107" ht="12.75" customHeight="1">
      <c r="A513" s="228"/>
      <c r="B513" s="228"/>
      <c r="C513" s="1010"/>
      <c r="D513" s="228"/>
      <c r="E513" s="228"/>
      <c r="F513" s="228"/>
      <c r="G513" s="729"/>
      <c r="H513" s="729"/>
      <c r="I513" s="729"/>
      <c r="J513" s="729"/>
      <c r="K513" s="1010"/>
      <c r="L513" s="12"/>
      <c r="M513" s="12"/>
      <c r="N513" s="12"/>
      <c r="O513" s="1010"/>
      <c r="P513" s="1011"/>
      <c r="Q513" s="1011"/>
      <c r="R513" s="12"/>
      <c r="S513" s="12"/>
      <c r="T513" s="12"/>
      <c r="U513" s="12"/>
      <c r="V513" s="12"/>
      <c r="W513" s="1012"/>
      <c r="X513" s="1023"/>
      <c r="Y513" s="1012"/>
      <c r="Z513" s="1012"/>
      <c r="AA513" s="1012"/>
      <c r="AB513" s="1011"/>
      <c r="AC513" s="1011"/>
      <c r="AD513" s="1449"/>
      <c r="AE513" s="729"/>
      <c r="AF513" s="729"/>
      <c r="AG513" s="1014"/>
      <c r="AH513" s="1014"/>
      <c r="AI513" s="1014"/>
      <c r="AJ513" s="729"/>
      <c r="AK513" s="729"/>
      <c r="AL513" s="729"/>
      <c r="AM513" s="729"/>
      <c r="AN513" s="729"/>
      <c r="AO513" s="729"/>
      <c r="AP513" s="729"/>
      <c r="AQ513" s="729"/>
      <c r="AR513" s="729"/>
      <c r="AS513" s="729"/>
      <c r="AT513" s="729"/>
      <c r="AU513" s="729"/>
      <c r="AV513" s="729"/>
      <c r="AW513" s="729"/>
      <c r="AX513" s="729"/>
      <c r="AY513" s="729"/>
      <c r="AZ513" s="729"/>
      <c r="BA513" s="729"/>
      <c r="BB513" s="729"/>
      <c r="BC513" s="729"/>
      <c r="BD513" s="729"/>
      <c r="BE513" s="729"/>
      <c r="BF513" s="12"/>
      <c r="BG513" s="729"/>
      <c r="BH513" s="729"/>
      <c r="BI513" s="729"/>
      <c r="BJ513" s="729"/>
      <c r="BK513" s="729"/>
      <c r="BL513" s="12"/>
      <c r="BM513" s="729"/>
      <c r="BN513" s="729"/>
      <c r="BO513" s="729"/>
      <c r="BP513" s="729"/>
      <c r="BQ513" s="729"/>
      <c r="BR513" s="729"/>
      <c r="BS513" s="729"/>
      <c r="BT513" s="729"/>
      <c r="BU513" s="729"/>
      <c r="BV513" s="729"/>
      <c r="BW513" s="228"/>
      <c r="BX513" s="729"/>
      <c r="BY513" s="729"/>
      <c r="BZ513" s="729"/>
      <c r="CA513" s="228"/>
      <c r="CB513" s="729"/>
      <c r="CC513" s="729"/>
      <c r="CD513" s="729"/>
      <c r="CE513" s="729"/>
      <c r="CF513" s="729"/>
      <c r="CG513" s="729"/>
      <c r="CH513" s="729"/>
      <c r="CI513" s="729"/>
      <c r="CJ513" s="729"/>
      <c r="CK513" s="228"/>
      <c r="CL513" s="779"/>
      <c r="CM513" s="779"/>
      <c r="CN513" s="729"/>
      <c r="CO513" s="228"/>
      <c r="CP513" s="228"/>
      <c r="CQ513" s="12"/>
      <c r="CR513" s="12"/>
      <c r="CS513" s="729"/>
      <c r="CT513" s="729"/>
      <c r="CU513" s="729"/>
      <c r="CV513" s="729"/>
      <c r="CW513" s="729"/>
      <c r="CX513" s="729"/>
      <c r="CY513" s="729"/>
      <c r="CZ513" s="729"/>
      <c r="DA513" s="729"/>
      <c r="DB513" s="729"/>
      <c r="DC513" s="729"/>
    </row>
    <row r="514" spans="1:107" ht="12.75" customHeight="1">
      <c r="A514" s="228"/>
      <c r="B514" s="228"/>
      <c r="C514" s="1010"/>
      <c r="D514" s="228"/>
      <c r="E514" s="228"/>
      <c r="F514" s="228"/>
      <c r="G514" s="729"/>
      <c r="H514" s="729"/>
      <c r="I514" s="729"/>
      <c r="J514" s="729"/>
      <c r="K514" s="1010"/>
      <c r="L514" s="12"/>
      <c r="M514" s="12"/>
      <c r="N514" s="12"/>
      <c r="O514" s="1010"/>
      <c r="P514" s="1011"/>
      <c r="Q514" s="1011"/>
      <c r="R514" s="12"/>
      <c r="S514" s="12"/>
      <c r="T514" s="12"/>
      <c r="U514" s="12"/>
      <c r="V514" s="12"/>
      <c r="W514" s="1012"/>
      <c r="X514" s="1023"/>
      <c r="Y514" s="1012"/>
      <c r="Z514" s="1012"/>
      <c r="AA514" s="1012"/>
      <c r="AB514" s="1011"/>
      <c r="AC514" s="1011"/>
      <c r="AD514" s="1449"/>
      <c r="AE514" s="729"/>
      <c r="AF514" s="729"/>
      <c r="AG514" s="1014"/>
      <c r="AH514" s="1014"/>
      <c r="AI514" s="1014"/>
      <c r="AJ514" s="729"/>
      <c r="AK514" s="729"/>
      <c r="AL514" s="729"/>
      <c r="AM514" s="729"/>
      <c r="AN514" s="729"/>
      <c r="AO514" s="729"/>
      <c r="AP514" s="729"/>
      <c r="AQ514" s="729"/>
      <c r="AR514" s="729"/>
      <c r="AS514" s="729"/>
      <c r="AT514" s="729"/>
      <c r="AU514" s="729"/>
      <c r="AV514" s="729"/>
      <c r="AW514" s="729"/>
      <c r="AX514" s="729"/>
      <c r="AY514" s="729"/>
      <c r="AZ514" s="729"/>
      <c r="BA514" s="729"/>
      <c r="BB514" s="729"/>
      <c r="BC514" s="729"/>
      <c r="BD514" s="729"/>
      <c r="BE514" s="729"/>
      <c r="BF514" s="12"/>
      <c r="BG514" s="729"/>
      <c r="BH514" s="729"/>
      <c r="BI514" s="729"/>
      <c r="BJ514" s="729"/>
      <c r="BK514" s="729"/>
      <c r="BL514" s="12"/>
      <c r="BM514" s="729"/>
      <c r="BN514" s="729"/>
      <c r="BO514" s="729"/>
      <c r="BP514" s="729"/>
      <c r="BQ514" s="729"/>
      <c r="BR514" s="729"/>
      <c r="BS514" s="729"/>
      <c r="BT514" s="729"/>
      <c r="BU514" s="729"/>
      <c r="BV514" s="729"/>
      <c r="BW514" s="228"/>
      <c r="BX514" s="729"/>
      <c r="BY514" s="729"/>
      <c r="BZ514" s="729"/>
      <c r="CA514" s="228"/>
      <c r="CB514" s="729"/>
      <c r="CC514" s="729"/>
      <c r="CD514" s="729"/>
      <c r="CE514" s="729"/>
      <c r="CF514" s="729"/>
      <c r="CG514" s="729"/>
      <c r="CH514" s="729"/>
      <c r="CI514" s="729"/>
      <c r="CJ514" s="729"/>
      <c r="CK514" s="228"/>
      <c r="CL514" s="779"/>
      <c r="CM514" s="779"/>
      <c r="CN514" s="729"/>
      <c r="CO514" s="228"/>
      <c r="CP514" s="228"/>
      <c r="CQ514" s="12"/>
      <c r="CR514" s="12"/>
      <c r="CS514" s="729"/>
      <c r="CT514" s="729"/>
      <c r="CU514" s="729"/>
      <c r="CV514" s="729"/>
      <c r="CW514" s="729"/>
      <c r="CX514" s="729"/>
      <c r="CY514" s="729"/>
      <c r="CZ514" s="729"/>
      <c r="DA514" s="729"/>
      <c r="DB514" s="729"/>
      <c r="DC514" s="729"/>
    </row>
    <row r="515" spans="1:107" ht="12.75" customHeight="1">
      <c r="A515" s="228"/>
      <c r="B515" s="228"/>
      <c r="C515" s="1010"/>
      <c r="D515" s="228"/>
      <c r="E515" s="228"/>
      <c r="F515" s="228"/>
      <c r="G515" s="729"/>
      <c r="H515" s="729"/>
      <c r="I515" s="729"/>
      <c r="J515" s="729"/>
      <c r="K515" s="1010"/>
      <c r="L515" s="12"/>
      <c r="M515" s="12"/>
      <c r="N515" s="12"/>
      <c r="O515" s="1010"/>
      <c r="P515" s="1011"/>
      <c r="Q515" s="1011"/>
      <c r="R515" s="12"/>
      <c r="S515" s="12"/>
      <c r="T515" s="12"/>
      <c r="U515" s="12"/>
      <c r="V515" s="12"/>
      <c r="W515" s="1012"/>
      <c r="X515" s="1023"/>
      <c r="Y515" s="1012"/>
      <c r="Z515" s="1012"/>
      <c r="AA515" s="1012"/>
      <c r="AB515" s="1011"/>
      <c r="AC515" s="1011"/>
      <c r="AD515" s="1449"/>
      <c r="AE515" s="729"/>
      <c r="AF515" s="729"/>
      <c r="AG515" s="1014"/>
      <c r="AH515" s="1014"/>
      <c r="AI515" s="1014"/>
      <c r="AJ515" s="729"/>
      <c r="AK515" s="729"/>
      <c r="AL515" s="729"/>
      <c r="AM515" s="729"/>
      <c r="AN515" s="729"/>
      <c r="AO515" s="729"/>
      <c r="AP515" s="729"/>
      <c r="AQ515" s="729"/>
      <c r="AR515" s="729"/>
      <c r="AS515" s="729"/>
      <c r="AT515" s="729"/>
      <c r="AU515" s="729"/>
      <c r="AV515" s="729"/>
      <c r="AW515" s="729"/>
      <c r="AX515" s="729"/>
      <c r="AY515" s="729"/>
      <c r="AZ515" s="729"/>
      <c r="BA515" s="729"/>
      <c r="BB515" s="729"/>
      <c r="BC515" s="729"/>
      <c r="BD515" s="729"/>
      <c r="BE515" s="729"/>
      <c r="BF515" s="12"/>
      <c r="BG515" s="729"/>
      <c r="BH515" s="729"/>
      <c r="BI515" s="729"/>
      <c r="BJ515" s="729"/>
      <c r="BK515" s="729"/>
      <c r="BL515" s="12"/>
      <c r="BM515" s="729"/>
      <c r="BN515" s="729"/>
      <c r="BO515" s="729"/>
      <c r="BP515" s="729"/>
      <c r="BQ515" s="729"/>
      <c r="BR515" s="729"/>
      <c r="BS515" s="729"/>
      <c r="BT515" s="729"/>
      <c r="BU515" s="729"/>
      <c r="BV515" s="729"/>
      <c r="BW515" s="228"/>
      <c r="BX515" s="729"/>
      <c r="BY515" s="729"/>
      <c r="BZ515" s="729"/>
      <c r="CA515" s="228"/>
      <c r="CB515" s="729"/>
      <c r="CC515" s="729"/>
      <c r="CD515" s="729"/>
      <c r="CE515" s="729"/>
      <c r="CF515" s="729"/>
      <c r="CG515" s="729"/>
      <c r="CH515" s="729"/>
      <c r="CI515" s="729"/>
      <c r="CJ515" s="729"/>
      <c r="CK515" s="228"/>
      <c r="CL515" s="779"/>
      <c r="CM515" s="779"/>
      <c r="CN515" s="729"/>
      <c r="CO515" s="228"/>
      <c r="CP515" s="228"/>
      <c r="CQ515" s="12"/>
      <c r="CR515" s="12"/>
      <c r="CS515" s="729"/>
      <c r="CT515" s="729"/>
      <c r="CU515" s="729"/>
      <c r="CV515" s="729"/>
      <c r="CW515" s="729"/>
      <c r="CX515" s="729"/>
      <c r="CY515" s="729"/>
      <c r="CZ515" s="729"/>
      <c r="DA515" s="729"/>
      <c r="DB515" s="729"/>
      <c r="DC515" s="729"/>
    </row>
    <row r="516" spans="1:107" ht="12.75" customHeight="1">
      <c r="A516" s="228"/>
      <c r="B516" s="228"/>
      <c r="C516" s="1010"/>
      <c r="D516" s="228"/>
      <c r="E516" s="228"/>
      <c r="F516" s="228"/>
      <c r="G516" s="729"/>
      <c r="H516" s="729"/>
      <c r="I516" s="729"/>
      <c r="J516" s="729"/>
      <c r="K516" s="1010"/>
      <c r="L516" s="12"/>
      <c r="M516" s="12"/>
      <c r="N516" s="12"/>
      <c r="O516" s="1010"/>
      <c r="P516" s="1011"/>
      <c r="Q516" s="1011"/>
      <c r="R516" s="12"/>
      <c r="S516" s="12"/>
      <c r="T516" s="12"/>
      <c r="U516" s="12"/>
      <c r="V516" s="12"/>
      <c r="W516" s="1012"/>
      <c r="X516" s="1023"/>
      <c r="Y516" s="1012"/>
      <c r="Z516" s="1012"/>
      <c r="AA516" s="1012"/>
      <c r="AB516" s="1011"/>
      <c r="AC516" s="1011"/>
      <c r="AD516" s="1449"/>
      <c r="AE516" s="729"/>
      <c r="AF516" s="729"/>
      <c r="AG516" s="1014"/>
      <c r="AH516" s="1014"/>
      <c r="AI516" s="1014"/>
      <c r="AJ516" s="729"/>
      <c r="AK516" s="729"/>
      <c r="AL516" s="729"/>
      <c r="AM516" s="729"/>
      <c r="AN516" s="729"/>
      <c r="AO516" s="729"/>
      <c r="AP516" s="729"/>
      <c r="AQ516" s="729"/>
      <c r="AR516" s="729"/>
      <c r="AS516" s="729"/>
      <c r="AT516" s="729"/>
      <c r="AU516" s="729"/>
      <c r="AV516" s="729"/>
      <c r="AW516" s="729"/>
      <c r="AX516" s="729"/>
      <c r="AY516" s="729"/>
      <c r="AZ516" s="729"/>
      <c r="BA516" s="729"/>
      <c r="BB516" s="729"/>
      <c r="BC516" s="729"/>
      <c r="BD516" s="729"/>
      <c r="BE516" s="729"/>
      <c r="BF516" s="12"/>
      <c r="BG516" s="729"/>
      <c r="BH516" s="729"/>
      <c r="BI516" s="729"/>
      <c r="BJ516" s="729"/>
      <c r="BK516" s="729"/>
      <c r="BL516" s="12"/>
      <c r="BM516" s="729"/>
      <c r="BN516" s="729"/>
      <c r="BO516" s="729"/>
      <c r="BP516" s="729"/>
      <c r="BQ516" s="729"/>
      <c r="BR516" s="729"/>
      <c r="BS516" s="729"/>
      <c r="BT516" s="729"/>
      <c r="BU516" s="729"/>
      <c r="BV516" s="729"/>
      <c r="BW516" s="228"/>
      <c r="BX516" s="729"/>
      <c r="BY516" s="729"/>
      <c r="BZ516" s="729"/>
      <c r="CA516" s="228"/>
      <c r="CB516" s="729"/>
      <c r="CC516" s="729"/>
      <c r="CD516" s="729"/>
      <c r="CE516" s="729"/>
      <c r="CF516" s="729"/>
      <c r="CG516" s="729"/>
      <c r="CH516" s="729"/>
      <c r="CI516" s="729"/>
      <c r="CJ516" s="729"/>
      <c r="CK516" s="228"/>
      <c r="CL516" s="779"/>
      <c r="CM516" s="779"/>
      <c r="CN516" s="729"/>
      <c r="CO516" s="228"/>
      <c r="CP516" s="228"/>
      <c r="CQ516" s="12"/>
      <c r="CR516" s="12"/>
      <c r="CS516" s="729"/>
      <c r="CT516" s="729"/>
      <c r="CU516" s="729"/>
      <c r="CV516" s="729"/>
      <c r="CW516" s="729"/>
      <c r="CX516" s="729"/>
      <c r="CY516" s="729"/>
      <c r="CZ516" s="729"/>
      <c r="DA516" s="729"/>
      <c r="DB516" s="729"/>
      <c r="DC516" s="729"/>
    </row>
    <row r="517" spans="1:107" ht="12.75" customHeight="1">
      <c r="A517" s="228"/>
      <c r="B517" s="228"/>
      <c r="C517" s="1010"/>
      <c r="D517" s="228"/>
      <c r="E517" s="228"/>
      <c r="F517" s="228"/>
      <c r="G517" s="729"/>
      <c r="H517" s="729"/>
      <c r="I517" s="729"/>
      <c r="J517" s="729"/>
      <c r="K517" s="1010"/>
      <c r="L517" s="12"/>
      <c r="M517" s="12"/>
      <c r="N517" s="12"/>
      <c r="O517" s="1010"/>
      <c r="P517" s="1011"/>
      <c r="Q517" s="1011"/>
      <c r="R517" s="12"/>
      <c r="S517" s="12"/>
      <c r="T517" s="12"/>
      <c r="U517" s="12"/>
      <c r="V517" s="12"/>
      <c r="W517" s="1012"/>
      <c r="X517" s="1023"/>
      <c r="Y517" s="1012"/>
      <c r="Z517" s="1012"/>
      <c r="AA517" s="1012"/>
      <c r="AB517" s="1011"/>
      <c r="AC517" s="1011"/>
      <c r="AD517" s="1449"/>
      <c r="AE517" s="729"/>
      <c r="AF517" s="729"/>
      <c r="AG517" s="1014"/>
      <c r="AH517" s="1014"/>
      <c r="AI517" s="1014"/>
      <c r="AJ517" s="729"/>
      <c r="AK517" s="729"/>
      <c r="AL517" s="729"/>
      <c r="AM517" s="729"/>
      <c r="AN517" s="729"/>
      <c r="AO517" s="729"/>
      <c r="AP517" s="729"/>
      <c r="AQ517" s="729"/>
      <c r="AR517" s="729"/>
      <c r="AS517" s="729"/>
      <c r="AT517" s="729"/>
      <c r="AU517" s="729"/>
      <c r="AV517" s="729"/>
      <c r="AW517" s="729"/>
      <c r="AX517" s="729"/>
      <c r="AY517" s="729"/>
      <c r="AZ517" s="729"/>
      <c r="BA517" s="729"/>
      <c r="BB517" s="729"/>
      <c r="BC517" s="729"/>
      <c r="BD517" s="729"/>
      <c r="BE517" s="729"/>
      <c r="BF517" s="12"/>
      <c r="BG517" s="729"/>
      <c r="BH517" s="729"/>
      <c r="BI517" s="729"/>
      <c r="BJ517" s="729"/>
      <c r="BK517" s="729"/>
      <c r="BL517" s="12"/>
      <c r="BM517" s="729"/>
      <c r="BN517" s="729"/>
      <c r="BO517" s="729"/>
      <c r="BP517" s="729"/>
      <c r="BQ517" s="729"/>
      <c r="BR517" s="729"/>
      <c r="BS517" s="729"/>
      <c r="BT517" s="729"/>
      <c r="BU517" s="729"/>
      <c r="BV517" s="729"/>
      <c r="BW517" s="228"/>
      <c r="BX517" s="729"/>
      <c r="BY517" s="729"/>
      <c r="BZ517" s="729"/>
      <c r="CA517" s="228"/>
      <c r="CB517" s="729"/>
      <c r="CC517" s="729"/>
      <c r="CD517" s="729"/>
      <c r="CE517" s="729"/>
      <c r="CF517" s="729"/>
      <c r="CG517" s="729"/>
      <c r="CH517" s="729"/>
      <c r="CI517" s="729"/>
      <c r="CJ517" s="729"/>
      <c r="CK517" s="228"/>
      <c r="CL517" s="779"/>
      <c r="CM517" s="779"/>
      <c r="CN517" s="729"/>
      <c r="CO517" s="228"/>
      <c r="CP517" s="228"/>
      <c r="CQ517" s="12"/>
      <c r="CR517" s="12"/>
      <c r="CS517" s="729"/>
      <c r="CT517" s="729"/>
      <c r="CU517" s="729"/>
      <c r="CV517" s="729"/>
      <c r="CW517" s="729"/>
      <c r="CX517" s="729"/>
      <c r="CY517" s="729"/>
      <c r="CZ517" s="729"/>
      <c r="DA517" s="729"/>
      <c r="DB517" s="729"/>
      <c r="DC517" s="729"/>
    </row>
    <row r="518" spans="1:107" ht="12.75" customHeight="1">
      <c r="A518" s="228"/>
      <c r="B518" s="228"/>
      <c r="C518" s="1010"/>
      <c r="D518" s="228"/>
      <c r="E518" s="228"/>
      <c r="F518" s="228"/>
      <c r="G518" s="729"/>
      <c r="H518" s="729"/>
      <c r="I518" s="729"/>
      <c r="J518" s="729"/>
      <c r="K518" s="1010"/>
      <c r="L518" s="12"/>
      <c r="M518" s="12"/>
      <c r="N518" s="12"/>
      <c r="O518" s="1010"/>
      <c r="P518" s="1011"/>
      <c r="Q518" s="1011"/>
      <c r="R518" s="12"/>
      <c r="S518" s="12"/>
      <c r="T518" s="12"/>
      <c r="U518" s="12"/>
      <c r="V518" s="12"/>
      <c r="W518" s="1012"/>
      <c r="X518" s="1023"/>
      <c r="Y518" s="1012"/>
      <c r="Z518" s="1012"/>
      <c r="AA518" s="1012"/>
      <c r="AB518" s="1011"/>
      <c r="AC518" s="1011"/>
      <c r="AD518" s="1449"/>
      <c r="AE518" s="729"/>
      <c r="AF518" s="729"/>
      <c r="AG518" s="1014"/>
      <c r="AH518" s="1014"/>
      <c r="AI518" s="1014"/>
      <c r="AJ518" s="729"/>
      <c r="AK518" s="729"/>
      <c r="AL518" s="729"/>
      <c r="AM518" s="729"/>
      <c r="AN518" s="729"/>
      <c r="AO518" s="729"/>
      <c r="AP518" s="729"/>
      <c r="AQ518" s="729"/>
      <c r="AR518" s="729"/>
      <c r="AS518" s="729"/>
      <c r="AT518" s="729"/>
      <c r="AU518" s="729"/>
      <c r="AV518" s="729"/>
      <c r="AW518" s="729"/>
      <c r="AX518" s="729"/>
      <c r="AY518" s="729"/>
      <c r="AZ518" s="729"/>
      <c r="BA518" s="729"/>
      <c r="BB518" s="729"/>
      <c r="BC518" s="729"/>
      <c r="BD518" s="729"/>
      <c r="BE518" s="729"/>
      <c r="BF518" s="12"/>
      <c r="BG518" s="729"/>
      <c r="BH518" s="729"/>
      <c r="BI518" s="729"/>
      <c r="BJ518" s="729"/>
      <c r="BK518" s="729"/>
      <c r="BL518" s="12"/>
      <c r="BM518" s="729"/>
      <c r="BN518" s="729"/>
      <c r="BO518" s="729"/>
      <c r="BP518" s="729"/>
      <c r="BQ518" s="729"/>
      <c r="BR518" s="729"/>
      <c r="BS518" s="729"/>
      <c r="BT518" s="729"/>
      <c r="BU518" s="729"/>
      <c r="BV518" s="729"/>
      <c r="BW518" s="228"/>
      <c r="BX518" s="729"/>
      <c r="BY518" s="729"/>
      <c r="BZ518" s="729"/>
      <c r="CA518" s="228"/>
      <c r="CB518" s="729"/>
      <c r="CC518" s="729"/>
      <c r="CD518" s="729"/>
      <c r="CE518" s="729"/>
      <c r="CF518" s="729"/>
      <c r="CG518" s="729"/>
      <c r="CH518" s="729"/>
      <c r="CI518" s="729"/>
      <c r="CJ518" s="729"/>
      <c r="CK518" s="228"/>
      <c r="CL518" s="779"/>
      <c r="CM518" s="779"/>
      <c r="CN518" s="729"/>
      <c r="CO518" s="228"/>
      <c r="CP518" s="228"/>
      <c r="CQ518" s="12"/>
      <c r="CR518" s="12"/>
      <c r="CS518" s="729"/>
      <c r="CT518" s="729"/>
      <c r="CU518" s="729"/>
      <c r="CV518" s="729"/>
      <c r="CW518" s="729"/>
      <c r="CX518" s="729"/>
      <c r="CY518" s="729"/>
      <c r="CZ518" s="729"/>
      <c r="DA518" s="729"/>
      <c r="DB518" s="729"/>
      <c r="DC518" s="729"/>
    </row>
    <row r="519" spans="1:107" ht="12.75" customHeight="1">
      <c r="A519" s="228"/>
      <c r="B519" s="228"/>
      <c r="C519" s="1010"/>
      <c r="D519" s="228"/>
      <c r="E519" s="228"/>
      <c r="F519" s="228"/>
      <c r="G519" s="729"/>
      <c r="H519" s="729"/>
      <c r="I519" s="729"/>
      <c r="J519" s="729"/>
      <c r="K519" s="1010"/>
      <c r="L519" s="12"/>
      <c r="M519" s="12"/>
      <c r="N519" s="12"/>
      <c r="O519" s="1010"/>
      <c r="P519" s="1011"/>
      <c r="Q519" s="1011"/>
      <c r="R519" s="12"/>
      <c r="S519" s="12"/>
      <c r="T519" s="12"/>
      <c r="U519" s="12"/>
      <c r="V519" s="12"/>
      <c r="W519" s="1012"/>
      <c r="X519" s="1023"/>
      <c r="Y519" s="1012"/>
      <c r="Z519" s="1012"/>
      <c r="AA519" s="1012"/>
      <c r="AB519" s="1011"/>
      <c r="AC519" s="1011"/>
      <c r="AD519" s="1449"/>
      <c r="AE519" s="729"/>
      <c r="AF519" s="729"/>
      <c r="AG519" s="1014"/>
      <c r="AH519" s="1014"/>
      <c r="AI519" s="1014"/>
      <c r="AJ519" s="729"/>
      <c r="AK519" s="729"/>
      <c r="AL519" s="729"/>
      <c r="AM519" s="729"/>
      <c r="AN519" s="729"/>
      <c r="AO519" s="729"/>
      <c r="AP519" s="729"/>
      <c r="AQ519" s="729"/>
      <c r="AR519" s="729"/>
      <c r="AS519" s="729"/>
      <c r="AT519" s="729"/>
      <c r="AU519" s="729"/>
      <c r="AV519" s="729"/>
      <c r="AW519" s="729"/>
      <c r="AX519" s="729"/>
      <c r="AY519" s="729"/>
      <c r="AZ519" s="729"/>
      <c r="BA519" s="729"/>
      <c r="BB519" s="729"/>
      <c r="BC519" s="729"/>
      <c r="BD519" s="729"/>
      <c r="BE519" s="729"/>
      <c r="BF519" s="12"/>
      <c r="BG519" s="729"/>
      <c r="BH519" s="729"/>
      <c r="BI519" s="729"/>
      <c r="BJ519" s="729"/>
      <c r="BK519" s="729"/>
      <c r="BL519" s="12"/>
      <c r="BM519" s="729"/>
      <c r="BN519" s="729"/>
      <c r="BO519" s="729"/>
      <c r="BP519" s="729"/>
      <c r="BQ519" s="729"/>
      <c r="BR519" s="729"/>
      <c r="BS519" s="729"/>
      <c r="BT519" s="729"/>
      <c r="BU519" s="729"/>
      <c r="BV519" s="729"/>
      <c r="BW519" s="228"/>
      <c r="BX519" s="729"/>
      <c r="BY519" s="729"/>
      <c r="BZ519" s="729"/>
      <c r="CA519" s="228"/>
      <c r="CB519" s="729"/>
      <c r="CC519" s="729"/>
      <c r="CD519" s="729"/>
      <c r="CE519" s="729"/>
      <c r="CF519" s="729"/>
      <c r="CG519" s="729"/>
      <c r="CH519" s="729"/>
      <c r="CI519" s="729"/>
      <c r="CJ519" s="729"/>
      <c r="CK519" s="228"/>
      <c r="CL519" s="779"/>
      <c r="CM519" s="779"/>
      <c r="CN519" s="729"/>
      <c r="CO519" s="228"/>
      <c r="CP519" s="228"/>
      <c r="CQ519" s="12"/>
      <c r="CR519" s="12"/>
      <c r="CS519" s="729"/>
      <c r="CT519" s="729"/>
      <c r="CU519" s="729"/>
      <c r="CV519" s="729"/>
      <c r="CW519" s="729"/>
      <c r="CX519" s="729"/>
      <c r="CY519" s="729"/>
      <c r="CZ519" s="729"/>
      <c r="DA519" s="729"/>
      <c r="DB519" s="729"/>
      <c r="DC519" s="729"/>
    </row>
    <row r="520" spans="1:107" ht="12.75" customHeight="1">
      <c r="A520" s="228"/>
      <c r="B520" s="228"/>
      <c r="C520" s="1010"/>
      <c r="D520" s="228"/>
      <c r="E520" s="228"/>
      <c r="F520" s="228"/>
      <c r="G520" s="729"/>
      <c r="H520" s="729"/>
      <c r="I520" s="729"/>
      <c r="J520" s="729"/>
      <c r="K520" s="1010"/>
      <c r="L520" s="12"/>
      <c r="M520" s="12"/>
      <c r="N520" s="12"/>
      <c r="O520" s="1010"/>
      <c r="P520" s="1011"/>
      <c r="Q520" s="1011"/>
      <c r="R520" s="12"/>
      <c r="S520" s="12"/>
      <c r="T520" s="12"/>
      <c r="U520" s="12"/>
      <c r="V520" s="12"/>
      <c r="W520" s="1012"/>
      <c r="X520" s="1023"/>
      <c r="Y520" s="1012"/>
      <c r="Z520" s="1012"/>
      <c r="AA520" s="1012"/>
      <c r="AB520" s="1011"/>
      <c r="AC520" s="1011"/>
      <c r="AD520" s="1449"/>
      <c r="AE520" s="729"/>
      <c r="AF520" s="729"/>
      <c r="AG520" s="1014"/>
      <c r="AH520" s="1014"/>
      <c r="AI520" s="1014"/>
      <c r="AJ520" s="729"/>
      <c r="AK520" s="729"/>
      <c r="AL520" s="729"/>
      <c r="AM520" s="729"/>
      <c r="AN520" s="729"/>
      <c r="AO520" s="729"/>
      <c r="AP520" s="729"/>
      <c r="AQ520" s="729"/>
      <c r="AR520" s="729"/>
      <c r="AS520" s="729"/>
      <c r="AT520" s="729"/>
      <c r="AU520" s="729"/>
      <c r="AV520" s="729"/>
      <c r="AW520" s="729"/>
      <c r="AX520" s="729"/>
      <c r="AY520" s="729"/>
      <c r="AZ520" s="729"/>
      <c r="BA520" s="729"/>
      <c r="BB520" s="729"/>
      <c r="BC520" s="729"/>
      <c r="BD520" s="729"/>
      <c r="BE520" s="729"/>
      <c r="BF520" s="12"/>
      <c r="BG520" s="729"/>
      <c r="BH520" s="729"/>
      <c r="BI520" s="729"/>
      <c r="BJ520" s="729"/>
      <c r="BK520" s="729"/>
      <c r="BL520" s="12"/>
      <c r="BM520" s="729"/>
      <c r="BN520" s="729"/>
      <c r="BO520" s="729"/>
      <c r="BP520" s="729"/>
      <c r="BQ520" s="729"/>
      <c r="BR520" s="729"/>
      <c r="BS520" s="729"/>
      <c r="BT520" s="729"/>
      <c r="BU520" s="729"/>
      <c r="BV520" s="729"/>
      <c r="BW520" s="228"/>
      <c r="BX520" s="729"/>
      <c r="BY520" s="729"/>
      <c r="BZ520" s="729"/>
      <c r="CA520" s="228"/>
      <c r="CB520" s="729"/>
      <c r="CC520" s="729"/>
      <c r="CD520" s="729"/>
      <c r="CE520" s="729"/>
      <c r="CF520" s="729"/>
      <c r="CG520" s="729"/>
      <c r="CH520" s="729"/>
      <c r="CI520" s="729"/>
      <c r="CJ520" s="729"/>
      <c r="CK520" s="228"/>
      <c r="CL520" s="779"/>
      <c r="CM520" s="779"/>
      <c r="CN520" s="729"/>
      <c r="CO520" s="228"/>
      <c r="CP520" s="228"/>
      <c r="CQ520" s="12"/>
      <c r="CR520" s="12"/>
      <c r="CS520" s="729"/>
      <c r="CT520" s="729"/>
      <c r="CU520" s="729"/>
      <c r="CV520" s="729"/>
      <c r="CW520" s="729"/>
      <c r="CX520" s="729"/>
      <c r="CY520" s="729"/>
      <c r="CZ520" s="729"/>
      <c r="DA520" s="729"/>
      <c r="DB520" s="729"/>
      <c r="DC520" s="729"/>
    </row>
    <row r="521" spans="1:107" ht="12.75" customHeight="1">
      <c r="A521" s="228"/>
      <c r="B521" s="228"/>
      <c r="C521" s="1010"/>
      <c r="D521" s="228"/>
      <c r="E521" s="228"/>
      <c r="F521" s="228"/>
      <c r="G521" s="729"/>
      <c r="H521" s="729"/>
      <c r="I521" s="729"/>
      <c r="J521" s="729"/>
      <c r="K521" s="1010"/>
      <c r="L521" s="12"/>
      <c r="M521" s="12"/>
      <c r="N521" s="12"/>
      <c r="O521" s="1010"/>
      <c r="P521" s="1011"/>
      <c r="Q521" s="1011"/>
      <c r="R521" s="12"/>
      <c r="S521" s="12"/>
      <c r="T521" s="12"/>
      <c r="U521" s="12"/>
      <c r="V521" s="12"/>
      <c r="W521" s="1012"/>
      <c r="X521" s="1023"/>
      <c r="Y521" s="1012"/>
      <c r="Z521" s="1012"/>
      <c r="AA521" s="1012"/>
      <c r="AB521" s="1011"/>
      <c r="AC521" s="1011"/>
      <c r="AD521" s="1449"/>
      <c r="AE521" s="729"/>
      <c r="AF521" s="729"/>
      <c r="AG521" s="1014"/>
      <c r="AH521" s="1014"/>
      <c r="AI521" s="1014"/>
      <c r="AJ521" s="729"/>
      <c r="AK521" s="729"/>
      <c r="AL521" s="729"/>
      <c r="AM521" s="729"/>
      <c r="AN521" s="729"/>
      <c r="AO521" s="729"/>
      <c r="AP521" s="729"/>
      <c r="AQ521" s="729"/>
      <c r="AR521" s="729"/>
      <c r="AS521" s="729"/>
      <c r="AT521" s="729"/>
      <c r="AU521" s="729"/>
      <c r="AV521" s="729"/>
      <c r="AW521" s="729"/>
      <c r="AX521" s="729"/>
      <c r="AY521" s="729"/>
      <c r="AZ521" s="729"/>
      <c r="BA521" s="729"/>
      <c r="BB521" s="729"/>
      <c r="BC521" s="729"/>
      <c r="BD521" s="729"/>
      <c r="BE521" s="729"/>
      <c r="BF521" s="12"/>
      <c r="BG521" s="729"/>
      <c r="BH521" s="729"/>
      <c r="BI521" s="729"/>
      <c r="BJ521" s="729"/>
      <c r="BK521" s="729"/>
      <c r="BL521" s="12"/>
      <c r="BM521" s="729"/>
      <c r="BN521" s="729"/>
      <c r="BO521" s="729"/>
      <c r="BP521" s="729"/>
      <c r="BQ521" s="729"/>
      <c r="BR521" s="729"/>
      <c r="BS521" s="729"/>
      <c r="BT521" s="729"/>
      <c r="BU521" s="729"/>
      <c r="BV521" s="729"/>
      <c r="BW521" s="228"/>
      <c r="BX521" s="729"/>
      <c r="BY521" s="729"/>
      <c r="BZ521" s="729"/>
      <c r="CA521" s="228"/>
      <c r="CB521" s="729"/>
      <c r="CC521" s="729"/>
      <c r="CD521" s="729"/>
      <c r="CE521" s="729"/>
      <c r="CF521" s="729"/>
      <c r="CG521" s="729"/>
      <c r="CH521" s="729"/>
      <c r="CI521" s="729"/>
      <c r="CJ521" s="729"/>
      <c r="CK521" s="228"/>
      <c r="CL521" s="779"/>
      <c r="CM521" s="779"/>
      <c r="CN521" s="729"/>
      <c r="CO521" s="228"/>
      <c r="CP521" s="228"/>
      <c r="CQ521" s="12"/>
      <c r="CR521" s="12"/>
      <c r="CS521" s="729"/>
      <c r="CT521" s="729"/>
      <c r="CU521" s="729"/>
      <c r="CV521" s="729"/>
      <c r="CW521" s="729"/>
      <c r="CX521" s="729"/>
      <c r="CY521" s="729"/>
      <c r="CZ521" s="729"/>
      <c r="DA521" s="729"/>
      <c r="DB521" s="729"/>
      <c r="DC521" s="729"/>
    </row>
    <row r="522" spans="1:107" ht="12.75" customHeight="1">
      <c r="A522" s="228"/>
      <c r="B522" s="228"/>
      <c r="C522" s="1010"/>
      <c r="D522" s="228"/>
      <c r="E522" s="228"/>
      <c r="F522" s="228"/>
      <c r="G522" s="729"/>
      <c r="H522" s="729"/>
      <c r="I522" s="729"/>
      <c r="J522" s="729"/>
      <c r="K522" s="1010"/>
      <c r="L522" s="12"/>
      <c r="M522" s="12"/>
      <c r="N522" s="12"/>
      <c r="O522" s="1010"/>
      <c r="P522" s="1011"/>
      <c r="Q522" s="1011"/>
      <c r="R522" s="12"/>
      <c r="S522" s="12"/>
      <c r="T522" s="12"/>
      <c r="U522" s="12"/>
      <c r="V522" s="12"/>
      <c r="W522" s="1012"/>
      <c r="X522" s="1023"/>
      <c r="Y522" s="1012"/>
      <c r="Z522" s="1012"/>
      <c r="AA522" s="1012"/>
      <c r="AB522" s="1011"/>
      <c r="AC522" s="1011"/>
      <c r="AD522" s="1449"/>
      <c r="AE522" s="729"/>
      <c r="AF522" s="729"/>
      <c r="AG522" s="1014"/>
      <c r="AH522" s="1014"/>
      <c r="AI522" s="1014"/>
      <c r="AJ522" s="729"/>
      <c r="AK522" s="729"/>
      <c r="AL522" s="729"/>
      <c r="AM522" s="729"/>
      <c r="AN522" s="729"/>
      <c r="AO522" s="729"/>
      <c r="AP522" s="729"/>
      <c r="AQ522" s="729"/>
      <c r="AR522" s="729"/>
      <c r="AS522" s="729"/>
      <c r="AT522" s="729"/>
      <c r="AU522" s="729"/>
      <c r="AV522" s="729"/>
      <c r="AW522" s="729"/>
      <c r="AX522" s="729"/>
      <c r="AY522" s="729"/>
      <c r="AZ522" s="729"/>
      <c r="BA522" s="729"/>
      <c r="BB522" s="729"/>
      <c r="BC522" s="729"/>
      <c r="BD522" s="729"/>
      <c r="BE522" s="729"/>
      <c r="BF522" s="12"/>
      <c r="BG522" s="729"/>
      <c r="BH522" s="729"/>
      <c r="BI522" s="729"/>
      <c r="BJ522" s="729"/>
      <c r="BK522" s="729"/>
      <c r="BL522" s="12"/>
      <c r="BM522" s="729"/>
      <c r="BN522" s="729"/>
      <c r="BO522" s="729"/>
      <c r="BP522" s="729"/>
      <c r="BQ522" s="729"/>
      <c r="BR522" s="729"/>
      <c r="BS522" s="729"/>
      <c r="BT522" s="729"/>
      <c r="BU522" s="729"/>
      <c r="BV522" s="729"/>
      <c r="BW522" s="228"/>
      <c r="BX522" s="729"/>
      <c r="BY522" s="729"/>
      <c r="BZ522" s="729"/>
      <c r="CA522" s="228"/>
      <c r="CB522" s="729"/>
      <c r="CC522" s="729"/>
      <c r="CD522" s="729"/>
      <c r="CE522" s="729"/>
      <c r="CF522" s="729"/>
      <c r="CG522" s="729"/>
      <c r="CH522" s="729"/>
      <c r="CI522" s="729"/>
      <c r="CJ522" s="729"/>
      <c r="CK522" s="228"/>
      <c r="CL522" s="779"/>
      <c r="CM522" s="779"/>
      <c r="CN522" s="729"/>
      <c r="CO522" s="228"/>
      <c r="CP522" s="228"/>
      <c r="CQ522" s="12"/>
      <c r="CR522" s="12"/>
      <c r="CS522" s="729"/>
      <c r="CT522" s="729"/>
      <c r="CU522" s="729"/>
      <c r="CV522" s="729"/>
      <c r="CW522" s="729"/>
      <c r="CX522" s="729"/>
      <c r="CY522" s="729"/>
      <c r="CZ522" s="729"/>
      <c r="DA522" s="729"/>
      <c r="DB522" s="729"/>
      <c r="DC522" s="729"/>
    </row>
    <row r="523" spans="1:107" ht="12.75" customHeight="1">
      <c r="A523" s="228"/>
      <c r="B523" s="228"/>
      <c r="C523" s="1010"/>
      <c r="D523" s="228"/>
      <c r="E523" s="228"/>
      <c r="F523" s="228"/>
      <c r="G523" s="729"/>
      <c r="H523" s="729"/>
      <c r="I523" s="729"/>
      <c r="J523" s="729"/>
      <c r="K523" s="1010"/>
      <c r="L523" s="12"/>
      <c r="M523" s="12"/>
      <c r="N523" s="12"/>
      <c r="O523" s="1010"/>
      <c r="P523" s="1011"/>
      <c r="Q523" s="1011"/>
      <c r="R523" s="12"/>
      <c r="S523" s="12"/>
      <c r="T523" s="12"/>
      <c r="U523" s="12"/>
      <c r="V523" s="12"/>
      <c r="W523" s="1012"/>
      <c r="X523" s="1023"/>
      <c r="Y523" s="1012"/>
      <c r="Z523" s="1012"/>
      <c r="AA523" s="1012"/>
      <c r="AB523" s="1011"/>
      <c r="AC523" s="1011"/>
      <c r="AD523" s="1449"/>
      <c r="AE523" s="729"/>
      <c r="AF523" s="729"/>
      <c r="AG523" s="1014"/>
      <c r="AH523" s="1014"/>
      <c r="AI523" s="1014"/>
      <c r="AJ523" s="729"/>
      <c r="AK523" s="729"/>
      <c r="AL523" s="729"/>
      <c r="AM523" s="729"/>
      <c r="AN523" s="729"/>
      <c r="AO523" s="729"/>
      <c r="AP523" s="729"/>
      <c r="AQ523" s="729"/>
      <c r="AR523" s="729"/>
      <c r="AS523" s="729"/>
      <c r="AT523" s="729"/>
      <c r="AU523" s="729"/>
      <c r="AV523" s="729"/>
      <c r="AW523" s="729"/>
      <c r="AX523" s="729"/>
      <c r="AY523" s="729"/>
      <c r="AZ523" s="729"/>
      <c r="BA523" s="729"/>
      <c r="BB523" s="729"/>
      <c r="BC523" s="729"/>
      <c r="BD523" s="729"/>
      <c r="BE523" s="729"/>
      <c r="BF523" s="12"/>
      <c r="BG523" s="729"/>
      <c r="BH523" s="729"/>
      <c r="BI523" s="729"/>
      <c r="BJ523" s="729"/>
      <c r="BK523" s="729"/>
      <c r="BL523" s="12"/>
      <c r="BM523" s="729"/>
      <c r="BN523" s="729"/>
      <c r="BO523" s="729"/>
      <c r="BP523" s="729"/>
      <c r="BQ523" s="729"/>
      <c r="BR523" s="729"/>
      <c r="BS523" s="729"/>
      <c r="BT523" s="729"/>
      <c r="BU523" s="729"/>
      <c r="BV523" s="729"/>
      <c r="BW523" s="228"/>
      <c r="BX523" s="729"/>
      <c r="BY523" s="729"/>
      <c r="BZ523" s="729"/>
      <c r="CA523" s="228"/>
      <c r="CB523" s="729"/>
      <c r="CC523" s="729"/>
      <c r="CD523" s="729"/>
      <c r="CE523" s="729"/>
      <c r="CF523" s="729"/>
      <c r="CG523" s="729"/>
      <c r="CH523" s="729"/>
      <c r="CI523" s="729"/>
      <c r="CJ523" s="729"/>
      <c r="CK523" s="228"/>
      <c r="CL523" s="779"/>
      <c r="CM523" s="779"/>
      <c r="CN523" s="729"/>
      <c r="CO523" s="228"/>
      <c r="CP523" s="228"/>
      <c r="CQ523" s="12"/>
      <c r="CR523" s="12"/>
      <c r="CS523" s="729"/>
      <c r="CT523" s="729"/>
      <c r="CU523" s="729"/>
      <c r="CV523" s="729"/>
      <c r="CW523" s="729"/>
      <c r="CX523" s="729"/>
      <c r="CY523" s="729"/>
      <c r="CZ523" s="729"/>
      <c r="DA523" s="729"/>
      <c r="DB523" s="729"/>
      <c r="DC523" s="729"/>
    </row>
    <row r="524" spans="1:107" ht="12.75" customHeight="1">
      <c r="A524" s="228"/>
      <c r="B524" s="228"/>
      <c r="C524" s="1010"/>
      <c r="D524" s="228"/>
      <c r="E524" s="228"/>
      <c r="F524" s="228"/>
      <c r="G524" s="729"/>
      <c r="H524" s="729"/>
      <c r="I524" s="729"/>
      <c r="J524" s="729"/>
      <c r="K524" s="1010"/>
      <c r="L524" s="12"/>
      <c r="M524" s="12"/>
      <c r="N524" s="12"/>
      <c r="O524" s="1010"/>
      <c r="P524" s="1011"/>
      <c r="Q524" s="1011"/>
      <c r="R524" s="12"/>
      <c r="S524" s="12"/>
      <c r="T524" s="12"/>
      <c r="U524" s="12"/>
      <c r="V524" s="12"/>
      <c r="W524" s="1012"/>
      <c r="X524" s="1023"/>
      <c r="Y524" s="1012"/>
      <c r="Z524" s="1012"/>
      <c r="AA524" s="1012"/>
      <c r="AB524" s="1011"/>
      <c r="AC524" s="1011"/>
      <c r="AD524" s="1449"/>
      <c r="AE524" s="729"/>
      <c r="AF524" s="729"/>
      <c r="AG524" s="1014"/>
      <c r="AH524" s="1014"/>
      <c r="AI524" s="1014"/>
      <c r="AJ524" s="729"/>
      <c r="AK524" s="729"/>
      <c r="AL524" s="729"/>
      <c r="AM524" s="729"/>
      <c r="AN524" s="729"/>
      <c r="AO524" s="729"/>
      <c r="AP524" s="729"/>
      <c r="AQ524" s="729"/>
      <c r="AR524" s="729"/>
      <c r="AS524" s="729"/>
      <c r="AT524" s="729"/>
      <c r="AU524" s="729"/>
      <c r="AV524" s="729"/>
      <c r="AW524" s="729"/>
      <c r="AX524" s="729"/>
      <c r="AY524" s="729"/>
      <c r="AZ524" s="729"/>
      <c r="BA524" s="729"/>
      <c r="BB524" s="729"/>
      <c r="BC524" s="729"/>
      <c r="BD524" s="729"/>
      <c r="BE524" s="729"/>
      <c r="BF524" s="12"/>
      <c r="BG524" s="729"/>
      <c r="BH524" s="729"/>
      <c r="BI524" s="729"/>
      <c r="BJ524" s="729"/>
      <c r="BK524" s="729"/>
      <c r="BL524" s="12"/>
      <c r="BM524" s="729"/>
      <c r="BN524" s="729"/>
      <c r="BO524" s="729"/>
      <c r="BP524" s="729"/>
      <c r="BQ524" s="729"/>
      <c r="BR524" s="729"/>
      <c r="BS524" s="729"/>
      <c r="BT524" s="729"/>
      <c r="BU524" s="729"/>
      <c r="BV524" s="729"/>
      <c r="BW524" s="228"/>
      <c r="BX524" s="729"/>
      <c r="BY524" s="729"/>
      <c r="BZ524" s="729"/>
      <c r="CA524" s="228"/>
      <c r="CB524" s="729"/>
      <c r="CC524" s="729"/>
      <c r="CD524" s="729"/>
      <c r="CE524" s="729"/>
      <c r="CF524" s="729"/>
      <c r="CG524" s="729"/>
      <c r="CH524" s="729"/>
      <c r="CI524" s="729"/>
      <c r="CJ524" s="729"/>
      <c r="CK524" s="228"/>
      <c r="CL524" s="779"/>
      <c r="CM524" s="779"/>
      <c r="CN524" s="729"/>
      <c r="CO524" s="228"/>
      <c r="CP524" s="228"/>
      <c r="CQ524" s="12"/>
      <c r="CR524" s="12"/>
      <c r="CS524" s="729"/>
      <c r="CT524" s="729"/>
      <c r="CU524" s="729"/>
      <c r="CV524" s="729"/>
      <c r="CW524" s="729"/>
      <c r="CX524" s="729"/>
      <c r="CY524" s="729"/>
      <c r="CZ524" s="729"/>
      <c r="DA524" s="729"/>
      <c r="DB524" s="729"/>
      <c r="DC524" s="729"/>
    </row>
    <row r="525" spans="1:107" ht="12.75" customHeight="1">
      <c r="A525" s="228"/>
      <c r="B525" s="228"/>
      <c r="C525" s="1010"/>
      <c r="D525" s="228"/>
      <c r="E525" s="228"/>
      <c r="F525" s="228"/>
      <c r="G525" s="729"/>
      <c r="H525" s="729"/>
      <c r="I525" s="729"/>
      <c r="J525" s="729"/>
      <c r="K525" s="1010"/>
      <c r="L525" s="12"/>
      <c r="M525" s="12"/>
      <c r="N525" s="12"/>
      <c r="O525" s="1010"/>
      <c r="P525" s="1011"/>
      <c r="Q525" s="1011"/>
      <c r="R525" s="12"/>
      <c r="S525" s="12"/>
      <c r="T525" s="12"/>
      <c r="U525" s="12"/>
      <c r="V525" s="12"/>
      <c r="W525" s="1012"/>
      <c r="X525" s="1023"/>
      <c r="Y525" s="1012"/>
      <c r="Z525" s="1012"/>
      <c r="AA525" s="1012"/>
      <c r="AB525" s="1011"/>
      <c r="AC525" s="1011"/>
      <c r="AD525" s="1449"/>
      <c r="AE525" s="729"/>
      <c r="AF525" s="729"/>
      <c r="AG525" s="1014"/>
      <c r="AH525" s="1014"/>
      <c r="AI525" s="1014"/>
      <c r="AJ525" s="729"/>
      <c r="AK525" s="729"/>
      <c r="AL525" s="729"/>
      <c r="AM525" s="729"/>
      <c r="AN525" s="729"/>
      <c r="AO525" s="729"/>
      <c r="AP525" s="729"/>
      <c r="AQ525" s="729"/>
      <c r="AR525" s="729"/>
      <c r="AS525" s="729"/>
      <c r="AT525" s="729"/>
      <c r="AU525" s="729"/>
      <c r="AV525" s="729"/>
      <c r="AW525" s="729"/>
      <c r="AX525" s="729"/>
      <c r="AY525" s="729"/>
      <c r="AZ525" s="729"/>
      <c r="BA525" s="729"/>
      <c r="BB525" s="729"/>
      <c r="BC525" s="729"/>
      <c r="BD525" s="729"/>
      <c r="BE525" s="729"/>
      <c r="BF525" s="12"/>
      <c r="BG525" s="729"/>
      <c r="BH525" s="729"/>
      <c r="BI525" s="729"/>
      <c r="BJ525" s="729"/>
      <c r="BK525" s="729"/>
      <c r="BL525" s="12"/>
      <c r="BM525" s="729"/>
      <c r="BN525" s="729"/>
      <c r="BO525" s="729"/>
      <c r="BP525" s="729"/>
      <c r="BQ525" s="729"/>
      <c r="BR525" s="729"/>
      <c r="BS525" s="729"/>
      <c r="BT525" s="729"/>
      <c r="BU525" s="729"/>
      <c r="BV525" s="729"/>
      <c r="BW525" s="228"/>
      <c r="BX525" s="729"/>
      <c r="BY525" s="729"/>
      <c r="BZ525" s="729"/>
      <c r="CA525" s="228"/>
      <c r="CB525" s="729"/>
      <c r="CC525" s="729"/>
      <c r="CD525" s="729"/>
      <c r="CE525" s="729"/>
      <c r="CF525" s="729"/>
      <c r="CG525" s="729"/>
      <c r="CH525" s="729"/>
      <c r="CI525" s="729"/>
      <c r="CJ525" s="729"/>
      <c r="CK525" s="228"/>
      <c r="CL525" s="779"/>
      <c r="CM525" s="779"/>
      <c r="CN525" s="729"/>
      <c r="CO525" s="228"/>
      <c r="CP525" s="228"/>
      <c r="CQ525" s="12"/>
      <c r="CR525" s="12"/>
      <c r="CS525" s="729"/>
      <c r="CT525" s="729"/>
      <c r="CU525" s="729"/>
      <c r="CV525" s="729"/>
      <c r="CW525" s="729"/>
      <c r="CX525" s="729"/>
      <c r="CY525" s="729"/>
      <c r="CZ525" s="729"/>
      <c r="DA525" s="729"/>
      <c r="DB525" s="729"/>
      <c r="DC525" s="729"/>
    </row>
    <row r="526" spans="1:107" ht="12.75" customHeight="1">
      <c r="A526" s="228"/>
      <c r="B526" s="228"/>
      <c r="C526" s="1010"/>
      <c r="D526" s="228"/>
      <c r="E526" s="228"/>
      <c r="F526" s="228"/>
      <c r="G526" s="729"/>
      <c r="H526" s="729"/>
      <c r="I526" s="729"/>
      <c r="J526" s="729"/>
      <c r="K526" s="1010"/>
      <c r="L526" s="12"/>
      <c r="M526" s="12"/>
      <c r="N526" s="12"/>
      <c r="O526" s="1010"/>
      <c r="P526" s="1011"/>
      <c r="Q526" s="1011"/>
      <c r="R526" s="12"/>
      <c r="S526" s="12"/>
      <c r="T526" s="12"/>
      <c r="U526" s="12"/>
      <c r="V526" s="12"/>
      <c r="W526" s="1012"/>
      <c r="X526" s="1023"/>
      <c r="Y526" s="1012"/>
      <c r="Z526" s="1012"/>
      <c r="AA526" s="1012"/>
      <c r="AB526" s="1011"/>
      <c r="AC526" s="1011"/>
      <c r="AD526" s="1449"/>
      <c r="AE526" s="729"/>
      <c r="AF526" s="729"/>
      <c r="AG526" s="1014"/>
      <c r="AH526" s="1014"/>
      <c r="AI526" s="1014"/>
      <c r="AJ526" s="729"/>
      <c r="AK526" s="729"/>
      <c r="AL526" s="729"/>
      <c r="AM526" s="729"/>
      <c r="AN526" s="729"/>
      <c r="AO526" s="729"/>
      <c r="AP526" s="729"/>
      <c r="AQ526" s="729"/>
      <c r="AR526" s="729"/>
      <c r="AS526" s="729"/>
      <c r="AT526" s="729"/>
      <c r="AU526" s="729"/>
      <c r="AV526" s="729"/>
      <c r="AW526" s="729"/>
      <c r="AX526" s="729"/>
      <c r="AY526" s="729"/>
      <c r="AZ526" s="729"/>
      <c r="BA526" s="729"/>
      <c r="BB526" s="729"/>
      <c r="BC526" s="729"/>
      <c r="BD526" s="729"/>
      <c r="BE526" s="729"/>
      <c r="BF526" s="12"/>
      <c r="BG526" s="729"/>
      <c r="BH526" s="729"/>
      <c r="BI526" s="729"/>
      <c r="BJ526" s="729"/>
      <c r="BK526" s="729"/>
      <c r="BL526" s="12"/>
      <c r="BM526" s="729"/>
      <c r="BN526" s="729"/>
      <c r="BO526" s="729"/>
      <c r="BP526" s="729"/>
      <c r="BQ526" s="729"/>
      <c r="BR526" s="729"/>
      <c r="BS526" s="729"/>
      <c r="BT526" s="729"/>
      <c r="BU526" s="729"/>
      <c r="BV526" s="729"/>
      <c r="BW526" s="228"/>
      <c r="BX526" s="729"/>
      <c r="BY526" s="729"/>
      <c r="BZ526" s="729"/>
      <c r="CA526" s="228"/>
      <c r="CB526" s="729"/>
      <c r="CC526" s="729"/>
      <c r="CD526" s="729"/>
      <c r="CE526" s="729"/>
      <c r="CF526" s="729"/>
      <c r="CG526" s="729"/>
      <c r="CH526" s="729"/>
      <c r="CI526" s="729"/>
      <c r="CJ526" s="729"/>
      <c r="CK526" s="228"/>
      <c r="CL526" s="779"/>
      <c r="CM526" s="779"/>
      <c r="CN526" s="729"/>
      <c r="CO526" s="228"/>
      <c r="CP526" s="228"/>
      <c r="CQ526" s="12"/>
      <c r="CR526" s="12"/>
      <c r="CS526" s="729"/>
      <c r="CT526" s="729"/>
      <c r="CU526" s="729"/>
      <c r="CV526" s="729"/>
      <c r="CW526" s="729"/>
      <c r="CX526" s="729"/>
      <c r="CY526" s="729"/>
      <c r="CZ526" s="729"/>
      <c r="DA526" s="729"/>
      <c r="DB526" s="729"/>
      <c r="DC526" s="729"/>
    </row>
    <row r="527" spans="1:107" ht="12.75" customHeight="1">
      <c r="A527" s="228"/>
      <c r="B527" s="228"/>
      <c r="C527" s="1010"/>
      <c r="D527" s="228"/>
      <c r="E527" s="228"/>
      <c r="F527" s="228"/>
      <c r="G527" s="729"/>
      <c r="H527" s="729"/>
      <c r="I527" s="729"/>
      <c r="J527" s="729"/>
      <c r="K527" s="1010"/>
      <c r="L527" s="12"/>
      <c r="M527" s="12"/>
      <c r="N527" s="12"/>
      <c r="O527" s="1010"/>
      <c r="P527" s="1011"/>
      <c r="Q527" s="1011"/>
      <c r="R527" s="12"/>
      <c r="S527" s="12"/>
      <c r="T527" s="12"/>
      <c r="U527" s="12"/>
      <c r="V527" s="12"/>
      <c r="W527" s="1012"/>
      <c r="X527" s="1023"/>
      <c r="Y527" s="1012"/>
      <c r="Z527" s="1012"/>
      <c r="AA527" s="1012"/>
      <c r="AB527" s="1011"/>
      <c r="AC527" s="1011"/>
      <c r="AD527" s="1449"/>
      <c r="AE527" s="729"/>
      <c r="AF527" s="729"/>
      <c r="AG527" s="1014"/>
      <c r="AH527" s="1014"/>
      <c r="AI527" s="1014"/>
      <c r="AJ527" s="729"/>
      <c r="AK527" s="729"/>
      <c r="AL527" s="729"/>
      <c r="AM527" s="729"/>
      <c r="AN527" s="729"/>
      <c r="AO527" s="729"/>
      <c r="AP527" s="729"/>
      <c r="AQ527" s="729"/>
      <c r="AR527" s="729"/>
      <c r="AS527" s="729"/>
      <c r="AT527" s="729"/>
      <c r="AU527" s="729"/>
      <c r="AV527" s="729"/>
      <c r="AW527" s="729"/>
      <c r="AX527" s="729"/>
      <c r="AY527" s="729"/>
      <c r="AZ527" s="729"/>
      <c r="BA527" s="729"/>
      <c r="BB527" s="729"/>
      <c r="BC527" s="729"/>
      <c r="BD527" s="729"/>
      <c r="BE527" s="729"/>
      <c r="BF527" s="12"/>
      <c r="BG527" s="729"/>
      <c r="BH527" s="729"/>
      <c r="BI527" s="729"/>
      <c r="BJ527" s="729"/>
      <c r="BK527" s="729"/>
      <c r="BL527" s="12"/>
      <c r="BM527" s="729"/>
      <c r="BN527" s="729"/>
      <c r="BO527" s="729"/>
      <c r="BP527" s="729"/>
      <c r="BQ527" s="729"/>
      <c r="BR527" s="729"/>
      <c r="BS527" s="729"/>
      <c r="BT527" s="729"/>
      <c r="BU527" s="729"/>
      <c r="BV527" s="729"/>
      <c r="BW527" s="228"/>
      <c r="BX527" s="729"/>
      <c r="BY527" s="729"/>
      <c r="BZ527" s="729"/>
      <c r="CA527" s="228"/>
      <c r="CB527" s="729"/>
      <c r="CC527" s="729"/>
      <c r="CD527" s="729"/>
      <c r="CE527" s="729"/>
      <c r="CF527" s="729"/>
      <c r="CG527" s="729"/>
      <c r="CH527" s="729"/>
      <c r="CI527" s="729"/>
      <c r="CJ527" s="729"/>
      <c r="CK527" s="228"/>
      <c r="CL527" s="779"/>
      <c r="CM527" s="779"/>
      <c r="CN527" s="729"/>
      <c r="CO527" s="228"/>
      <c r="CP527" s="228"/>
      <c r="CQ527" s="12"/>
      <c r="CR527" s="12"/>
      <c r="CS527" s="729"/>
      <c r="CT527" s="729"/>
      <c r="CU527" s="729"/>
      <c r="CV527" s="729"/>
      <c r="CW527" s="729"/>
      <c r="CX527" s="729"/>
      <c r="CY527" s="729"/>
      <c r="CZ527" s="729"/>
      <c r="DA527" s="729"/>
      <c r="DB527" s="729"/>
      <c r="DC527" s="729"/>
    </row>
    <row r="528" spans="1:107" ht="12.75" customHeight="1">
      <c r="A528" s="228"/>
      <c r="B528" s="228"/>
      <c r="C528" s="1010"/>
      <c r="D528" s="228"/>
      <c r="E528" s="228"/>
      <c r="F528" s="228"/>
      <c r="G528" s="729"/>
      <c r="H528" s="729"/>
      <c r="I528" s="729"/>
      <c r="J528" s="729"/>
      <c r="K528" s="1010"/>
      <c r="L528" s="12"/>
      <c r="M528" s="12"/>
      <c r="N528" s="12"/>
      <c r="O528" s="1010"/>
      <c r="P528" s="1011"/>
      <c r="Q528" s="1011"/>
      <c r="R528" s="12"/>
      <c r="S528" s="12"/>
      <c r="T528" s="12"/>
      <c r="U528" s="12"/>
      <c r="V528" s="12"/>
      <c r="W528" s="1012"/>
      <c r="X528" s="1023"/>
      <c r="Y528" s="1012"/>
      <c r="Z528" s="1012"/>
      <c r="AA528" s="1012"/>
      <c r="AB528" s="1011"/>
      <c r="AC528" s="1011"/>
      <c r="AD528" s="1449"/>
      <c r="AE528" s="729"/>
      <c r="AF528" s="729"/>
      <c r="AG528" s="1014"/>
      <c r="AH528" s="1014"/>
      <c r="AI528" s="1014"/>
      <c r="AJ528" s="729"/>
      <c r="AK528" s="729"/>
      <c r="AL528" s="729"/>
      <c r="AM528" s="729"/>
      <c r="AN528" s="729"/>
      <c r="AO528" s="729"/>
      <c r="AP528" s="729"/>
      <c r="AQ528" s="729"/>
      <c r="AR528" s="729"/>
      <c r="AS528" s="729"/>
      <c r="AT528" s="729"/>
      <c r="AU528" s="729"/>
      <c r="AV528" s="729"/>
      <c r="AW528" s="729"/>
      <c r="AX528" s="729"/>
      <c r="AY528" s="729"/>
      <c r="AZ528" s="729"/>
      <c r="BA528" s="729"/>
      <c r="BB528" s="729"/>
      <c r="BC528" s="729"/>
      <c r="BD528" s="729"/>
      <c r="BE528" s="729"/>
      <c r="BF528" s="12"/>
      <c r="BG528" s="729"/>
      <c r="BH528" s="729"/>
      <c r="BI528" s="729"/>
      <c r="BJ528" s="729"/>
      <c r="BK528" s="729"/>
      <c r="BL528" s="12"/>
      <c r="BM528" s="729"/>
      <c r="BN528" s="729"/>
      <c r="BO528" s="729"/>
      <c r="BP528" s="729"/>
      <c r="BQ528" s="729"/>
      <c r="BR528" s="729"/>
      <c r="BS528" s="729"/>
      <c r="BT528" s="729"/>
      <c r="BU528" s="729"/>
      <c r="BV528" s="729"/>
      <c r="BW528" s="228"/>
      <c r="BX528" s="729"/>
      <c r="BY528" s="729"/>
      <c r="BZ528" s="729"/>
      <c r="CA528" s="228"/>
      <c r="CB528" s="729"/>
      <c r="CC528" s="729"/>
      <c r="CD528" s="729"/>
      <c r="CE528" s="729"/>
      <c r="CF528" s="729"/>
      <c r="CG528" s="729"/>
      <c r="CH528" s="729"/>
      <c r="CI528" s="729"/>
      <c r="CJ528" s="729"/>
      <c r="CK528" s="228"/>
      <c r="CL528" s="779"/>
      <c r="CM528" s="779"/>
      <c r="CN528" s="729"/>
      <c r="CO528" s="228"/>
      <c r="CP528" s="228"/>
      <c r="CQ528" s="12"/>
      <c r="CR528" s="12"/>
      <c r="CS528" s="729"/>
      <c r="CT528" s="729"/>
      <c r="CU528" s="729"/>
      <c r="CV528" s="729"/>
      <c r="CW528" s="729"/>
      <c r="CX528" s="729"/>
      <c r="CY528" s="729"/>
      <c r="CZ528" s="729"/>
      <c r="DA528" s="729"/>
      <c r="DB528" s="729"/>
      <c r="DC528" s="729"/>
    </row>
    <row r="529" spans="1:107" ht="12.75" customHeight="1">
      <c r="A529" s="228"/>
      <c r="B529" s="228"/>
      <c r="C529" s="1010"/>
      <c r="D529" s="228"/>
      <c r="E529" s="228"/>
      <c r="F529" s="228"/>
      <c r="G529" s="729"/>
      <c r="H529" s="729"/>
      <c r="I529" s="729"/>
      <c r="J529" s="729"/>
      <c r="K529" s="1010"/>
      <c r="L529" s="12"/>
      <c r="M529" s="12"/>
      <c r="N529" s="12"/>
      <c r="O529" s="1010"/>
      <c r="P529" s="1011"/>
      <c r="Q529" s="1011"/>
      <c r="R529" s="12"/>
      <c r="S529" s="12"/>
      <c r="T529" s="12"/>
      <c r="U529" s="12"/>
      <c r="V529" s="12"/>
      <c r="W529" s="1012"/>
      <c r="X529" s="1023"/>
      <c r="Y529" s="1012"/>
      <c r="Z529" s="1012"/>
      <c r="AA529" s="1012"/>
      <c r="AB529" s="1011"/>
      <c r="AC529" s="1011"/>
      <c r="AD529" s="1449"/>
      <c r="AE529" s="729"/>
      <c r="AF529" s="729"/>
      <c r="AG529" s="1014"/>
      <c r="AH529" s="1014"/>
      <c r="AI529" s="1014"/>
      <c r="AJ529" s="729"/>
      <c r="AK529" s="729"/>
      <c r="AL529" s="729"/>
      <c r="AM529" s="729"/>
      <c r="AN529" s="729"/>
      <c r="AO529" s="729"/>
      <c r="AP529" s="729"/>
      <c r="AQ529" s="729"/>
      <c r="AR529" s="729"/>
      <c r="AS529" s="729"/>
      <c r="AT529" s="729"/>
      <c r="AU529" s="729"/>
      <c r="AV529" s="729"/>
      <c r="AW529" s="729"/>
      <c r="AX529" s="729"/>
      <c r="AY529" s="729"/>
      <c r="AZ529" s="729"/>
      <c r="BA529" s="729"/>
      <c r="BB529" s="729"/>
      <c r="BC529" s="729"/>
      <c r="BD529" s="729"/>
      <c r="BE529" s="729"/>
      <c r="BF529" s="12"/>
      <c r="BG529" s="729"/>
      <c r="BH529" s="729"/>
      <c r="BI529" s="729"/>
      <c r="BJ529" s="729"/>
      <c r="BK529" s="729"/>
      <c r="BL529" s="12"/>
      <c r="BM529" s="729"/>
      <c r="BN529" s="729"/>
      <c r="BO529" s="729"/>
      <c r="BP529" s="729"/>
      <c r="BQ529" s="729"/>
      <c r="BR529" s="729"/>
      <c r="BS529" s="729"/>
      <c r="BT529" s="729"/>
      <c r="BU529" s="729"/>
      <c r="BV529" s="729"/>
      <c r="BW529" s="228"/>
      <c r="BX529" s="729"/>
      <c r="BY529" s="729"/>
      <c r="BZ529" s="729"/>
      <c r="CA529" s="228"/>
      <c r="CB529" s="729"/>
      <c r="CC529" s="729"/>
      <c r="CD529" s="729"/>
      <c r="CE529" s="729"/>
      <c r="CF529" s="729"/>
      <c r="CG529" s="729"/>
      <c r="CH529" s="729"/>
      <c r="CI529" s="729"/>
      <c r="CJ529" s="729"/>
      <c r="CK529" s="228"/>
      <c r="CL529" s="779"/>
      <c r="CM529" s="779"/>
      <c r="CN529" s="729"/>
      <c r="CO529" s="228"/>
      <c r="CP529" s="228"/>
      <c r="CQ529" s="12"/>
      <c r="CR529" s="12"/>
      <c r="CS529" s="729"/>
      <c r="CT529" s="729"/>
      <c r="CU529" s="729"/>
      <c r="CV529" s="729"/>
      <c r="CW529" s="729"/>
      <c r="CX529" s="729"/>
      <c r="CY529" s="729"/>
      <c r="CZ529" s="729"/>
      <c r="DA529" s="729"/>
      <c r="DB529" s="729"/>
      <c r="DC529" s="729"/>
    </row>
    <row r="530" spans="1:107" ht="12.75" customHeight="1">
      <c r="A530" s="228"/>
      <c r="B530" s="228"/>
      <c r="C530" s="1010"/>
      <c r="D530" s="228"/>
      <c r="E530" s="228"/>
      <c r="F530" s="228"/>
      <c r="G530" s="729"/>
      <c r="H530" s="729"/>
      <c r="I530" s="729"/>
      <c r="J530" s="729"/>
      <c r="K530" s="1010"/>
      <c r="L530" s="12"/>
      <c r="M530" s="12"/>
      <c r="N530" s="12"/>
      <c r="O530" s="1010"/>
      <c r="P530" s="1011"/>
      <c r="Q530" s="1011"/>
      <c r="R530" s="12"/>
      <c r="S530" s="12"/>
      <c r="T530" s="12"/>
      <c r="U530" s="12"/>
      <c r="V530" s="12"/>
      <c r="W530" s="1012"/>
      <c r="X530" s="1023"/>
      <c r="Y530" s="1012"/>
      <c r="Z530" s="1012"/>
      <c r="AA530" s="1012"/>
      <c r="AB530" s="1011"/>
      <c r="AC530" s="1011"/>
      <c r="AD530" s="1449"/>
      <c r="AE530" s="729"/>
      <c r="AF530" s="729"/>
      <c r="AG530" s="1014"/>
      <c r="AH530" s="1014"/>
      <c r="AI530" s="1014"/>
      <c r="AJ530" s="729"/>
      <c r="AK530" s="729"/>
      <c r="AL530" s="729"/>
      <c r="AM530" s="729"/>
      <c r="AN530" s="729"/>
      <c r="AO530" s="729"/>
      <c r="AP530" s="729"/>
      <c r="AQ530" s="729"/>
      <c r="AR530" s="729"/>
      <c r="AS530" s="729"/>
      <c r="AT530" s="729"/>
      <c r="AU530" s="729"/>
      <c r="AV530" s="729"/>
      <c r="AW530" s="729"/>
      <c r="AX530" s="729"/>
      <c r="AY530" s="729"/>
      <c r="AZ530" s="729"/>
      <c r="BA530" s="729"/>
      <c r="BB530" s="729"/>
      <c r="BC530" s="729"/>
      <c r="BD530" s="729"/>
      <c r="BE530" s="729"/>
      <c r="BF530" s="12"/>
      <c r="BG530" s="729"/>
      <c r="BH530" s="729"/>
      <c r="BI530" s="729"/>
      <c r="BJ530" s="729"/>
      <c r="BK530" s="729"/>
      <c r="BL530" s="12"/>
      <c r="BM530" s="729"/>
      <c r="BN530" s="729"/>
      <c r="BO530" s="729"/>
      <c r="BP530" s="729"/>
      <c r="BQ530" s="729"/>
      <c r="BR530" s="729"/>
      <c r="BS530" s="729"/>
      <c r="BT530" s="729"/>
      <c r="BU530" s="729"/>
      <c r="BV530" s="729"/>
      <c r="BW530" s="228"/>
      <c r="BX530" s="729"/>
      <c r="BY530" s="729"/>
      <c r="BZ530" s="729"/>
      <c r="CA530" s="228"/>
      <c r="CB530" s="729"/>
      <c r="CC530" s="729"/>
      <c r="CD530" s="729"/>
      <c r="CE530" s="729"/>
      <c r="CF530" s="729"/>
      <c r="CG530" s="729"/>
      <c r="CH530" s="729"/>
      <c r="CI530" s="729"/>
      <c r="CJ530" s="729"/>
      <c r="CK530" s="228"/>
      <c r="CL530" s="779"/>
      <c r="CM530" s="779"/>
      <c r="CN530" s="729"/>
      <c r="CO530" s="228"/>
      <c r="CP530" s="228"/>
      <c r="CQ530" s="12"/>
      <c r="CR530" s="12"/>
      <c r="CS530" s="729"/>
      <c r="CT530" s="729"/>
      <c r="CU530" s="729"/>
      <c r="CV530" s="729"/>
      <c r="CW530" s="729"/>
      <c r="CX530" s="729"/>
      <c r="CY530" s="729"/>
      <c r="CZ530" s="729"/>
      <c r="DA530" s="729"/>
      <c r="DB530" s="729"/>
      <c r="DC530" s="729"/>
    </row>
    <row r="531" spans="1:107" ht="12.75" customHeight="1">
      <c r="A531" s="228"/>
      <c r="B531" s="228"/>
      <c r="C531" s="1010"/>
      <c r="D531" s="228"/>
      <c r="E531" s="228"/>
      <c r="F531" s="228"/>
      <c r="G531" s="729"/>
      <c r="H531" s="729"/>
      <c r="I531" s="729"/>
      <c r="J531" s="729"/>
      <c r="K531" s="1010"/>
      <c r="L531" s="12"/>
      <c r="M531" s="12"/>
      <c r="N531" s="12"/>
      <c r="O531" s="1010"/>
      <c r="P531" s="1011"/>
      <c r="Q531" s="1011"/>
      <c r="R531" s="12"/>
      <c r="S531" s="12"/>
      <c r="T531" s="12"/>
      <c r="U531" s="12"/>
      <c r="V531" s="12"/>
      <c r="W531" s="1012"/>
      <c r="X531" s="1023"/>
      <c r="Y531" s="1012"/>
      <c r="Z531" s="1012"/>
      <c r="AA531" s="1012"/>
      <c r="AB531" s="1011"/>
      <c r="AC531" s="1011"/>
      <c r="AD531" s="1449"/>
      <c r="AE531" s="729"/>
      <c r="AF531" s="729"/>
      <c r="AG531" s="1014"/>
      <c r="AH531" s="1014"/>
      <c r="AI531" s="1014"/>
      <c r="AJ531" s="729"/>
      <c r="AK531" s="729"/>
      <c r="AL531" s="729"/>
      <c r="AM531" s="729"/>
      <c r="AN531" s="729"/>
      <c r="AO531" s="729"/>
      <c r="AP531" s="729"/>
      <c r="AQ531" s="729"/>
      <c r="AR531" s="729"/>
      <c r="AS531" s="729"/>
      <c r="AT531" s="729"/>
      <c r="AU531" s="729"/>
      <c r="AV531" s="729"/>
      <c r="AW531" s="729"/>
      <c r="AX531" s="729"/>
      <c r="AY531" s="729"/>
      <c r="AZ531" s="729"/>
      <c r="BA531" s="729"/>
      <c r="BB531" s="729"/>
      <c r="BC531" s="729"/>
      <c r="BD531" s="729"/>
      <c r="BE531" s="729"/>
      <c r="BF531" s="12"/>
      <c r="BG531" s="729"/>
      <c r="BH531" s="729"/>
      <c r="BI531" s="729"/>
      <c r="BJ531" s="729"/>
      <c r="BK531" s="729"/>
      <c r="BL531" s="12"/>
      <c r="BM531" s="729"/>
      <c r="BN531" s="729"/>
      <c r="BO531" s="729"/>
      <c r="BP531" s="729"/>
      <c r="BQ531" s="729"/>
      <c r="BR531" s="729"/>
      <c r="BS531" s="729"/>
      <c r="BT531" s="729"/>
      <c r="BU531" s="729"/>
      <c r="BV531" s="729"/>
      <c r="BW531" s="228"/>
      <c r="BX531" s="729"/>
      <c r="BY531" s="729"/>
      <c r="BZ531" s="729"/>
      <c r="CA531" s="228"/>
      <c r="CB531" s="729"/>
      <c r="CC531" s="729"/>
      <c r="CD531" s="729"/>
      <c r="CE531" s="729"/>
      <c r="CF531" s="729"/>
      <c r="CG531" s="729"/>
      <c r="CH531" s="729"/>
      <c r="CI531" s="729"/>
      <c r="CJ531" s="729"/>
      <c r="CK531" s="228"/>
      <c r="CL531" s="779"/>
      <c r="CM531" s="779"/>
      <c r="CN531" s="729"/>
      <c r="CO531" s="228"/>
      <c r="CP531" s="228"/>
      <c r="CQ531" s="12"/>
      <c r="CR531" s="12"/>
      <c r="CS531" s="729"/>
      <c r="CT531" s="729"/>
      <c r="CU531" s="729"/>
      <c r="CV531" s="729"/>
      <c r="CW531" s="729"/>
      <c r="CX531" s="729"/>
      <c r="CY531" s="729"/>
      <c r="CZ531" s="729"/>
      <c r="DA531" s="729"/>
      <c r="DB531" s="729"/>
      <c r="DC531" s="729"/>
    </row>
    <row r="532" spans="1:107" ht="12.75" customHeight="1">
      <c r="A532" s="228"/>
      <c r="B532" s="228"/>
      <c r="C532" s="1010"/>
      <c r="D532" s="228"/>
      <c r="E532" s="228"/>
      <c r="F532" s="228"/>
      <c r="G532" s="729"/>
      <c r="H532" s="729"/>
      <c r="I532" s="729"/>
      <c r="J532" s="729"/>
      <c r="K532" s="1010"/>
      <c r="L532" s="12"/>
      <c r="M532" s="12"/>
      <c r="N532" s="12"/>
      <c r="O532" s="1010"/>
      <c r="P532" s="1011"/>
      <c r="Q532" s="1011"/>
      <c r="R532" s="12"/>
      <c r="S532" s="12"/>
      <c r="T532" s="12"/>
      <c r="U532" s="12"/>
      <c r="V532" s="12"/>
      <c r="W532" s="1012"/>
      <c r="X532" s="1023"/>
      <c r="Y532" s="1012"/>
      <c r="Z532" s="1012"/>
      <c r="AA532" s="1012"/>
      <c r="AB532" s="1011"/>
      <c r="AC532" s="1011"/>
      <c r="AD532" s="1449"/>
      <c r="AE532" s="729"/>
      <c r="AF532" s="729"/>
      <c r="AG532" s="1014"/>
      <c r="AH532" s="1014"/>
      <c r="AI532" s="1014"/>
      <c r="AJ532" s="729"/>
      <c r="AK532" s="729"/>
      <c r="AL532" s="729"/>
      <c r="AM532" s="729"/>
      <c r="AN532" s="729"/>
      <c r="AO532" s="729"/>
      <c r="AP532" s="729"/>
      <c r="AQ532" s="729"/>
      <c r="AR532" s="729"/>
      <c r="AS532" s="729"/>
      <c r="AT532" s="729"/>
      <c r="AU532" s="729"/>
      <c r="AV532" s="729"/>
      <c r="AW532" s="729"/>
      <c r="AX532" s="729"/>
      <c r="AY532" s="729"/>
      <c r="AZ532" s="729"/>
      <c r="BA532" s="729"/>
      <c r="BB532" s="729"/>
      <c r="BC532" s="729"/>
      <c r="BD532" s="729"/>
      <c r="BE532" s="729"/>
      <c r="BF532" s="12"/>
      <c r="BG532" s="729"/>
      <c r="BH532" s="729"/>
      <c r="BI532" s="729"/>
      <c r="BJ532" s="729"/>
      <c r="BK532" s="729"/>
      <c r="BL532" s="12"/>
      <c r="BM532" s="729"/>
      <c r="BN532" s="729"/>
      <c r="BO532" s="729"/>
      <c r="BP532" s="729"/>
      <c r="BQ532" s="729"/>
      <c r="BR532" s="729"/>
      <c r="BS532" s="729"/>
      <c r="BT532" s="729"/>
      <c r="BU532" s="729"/>
      <c r="BV532" s="729"/>
      <c r="BW532" s="228"/>
      <c r="BX532" s="729"/>
      <c r="BY532" s="729"/>
      <c r="BZ532" s="729"/>
      <c r="CA532" s="228"/>
      <c r="CB532" s="729"/>
      <c r="CC532" s="729"/>
      <c r="CD532" s="729"/>
      <c r="CE532" s="729"/>
      <c r="CF532" s="729"/>
      <c r="CG532" s="729"/>
      <c r="CH532" s="729"/>
      <c r="CI532" s="729"/>
      <c r="CJ532" s="729"/>
      <c r="CK532" s="228"/>
      <c r="CL532" s="779"/>
      <c r="CM532" s="779"/>
      <c r="CN532" s="729"/>
      <c r="CO532" s="228"/>
      <c r="CP532" s="228"/>
      <c r="CQ532" s="12"/>
      <c r="CR532" s="12"/>
      <c r="CS532" s="729"/>
      <c r="CT532" s="729"/>
      <c r="CU532" s="729"/>
      <c r="CV532" s="729"/>
      <c r="CW532" s="729"/>
      <c r="CX532" s="729"/>
      <c r="CY532" s="729"/>
      <c r="CZ532" s="729"/>
      <c r="DA532" s="729"/>
      <c r="DB532" s="729"/>
      <c r="DC532" s="729"/>
    </row>
    <row r="533" spans="1:107" ht="12.75" customHeight="1">
      <c r="A533" s="228"/>
      <c r="B533" s="228"/>
      <c r="C533" s="1010"/>
      <c r="D533" s="228"/>
      <c r="E533" s="228"/>
      <c r="F533" s="228"/>
      <c r="G533" s="729"/>
      <c r="H533" s="729"/>
      <c r="I533" s="729"/>
      <c r="J533" s="729"/>
      <c r="K533" s="1010"/>
      <c r="L533" s="12"/>
      <c r="M533" s="12"/>
      <c r="N533" s="12"/>
      <c r="O533" s="1010"/>
      <c r="P533" s="1011"/>
      <c r="Q533" s="1011"/>
      <c r="R533" s="12"/>
      <c r="S533" s="12"/>
      <c r="T533" s="12"/>
      <c r="U533" s="12"/>
      <c r="V533" s="12"/>
      <c r="W533" s="1012"/>
      <c r="X533" s="1023"/>
      <c r="Y533" s="1012"/>
      <c r="Z533" s="1012"/>
      <c r="AA533" s="1012"/>
      <c r="AB533" s="1011"/>
      <c r="AC533" s="1011"/>
      <c r="AD533" s="1449"/>
      <c r="AE533" s="729"/>
      <c r="AF533" s="729"/>
      <c r="AG533" s="1014"/>
      <c r="AH533" s="1014"/>
      <c r="AI533" s="1014"/>
      <c r="AJ533" s="729"/>
      <c r="AK533" s="729"/>
      <c r="AL533" s="729"/>
      <c r="AM533" s="729"/>
      <c r="AN533" s="729"/>
      <c r="AO533" s="729"/>
      <c r="AP533" s="729"/>
      <c r="AQ533" s="729"/>
      <c r="AR533" s="729"/>
      <c r="AS533" s="729"/>
      <c r="AT533" s="729"/>
      <c r="AU533" s="729"/>
      <c r="AV533" s="729"/>
      <c r="AW533" s="729"/>
      <c r="AX533" s="729"/>
      <c r="AY533" s="729"/>
      <c r="AZ533" s="729"/>
      <c r="BA533" s="729"/>
      <c r="BB533" s="729"/>
      <c r="BC533" s="729"/>
      <c r="BD533" s="729"/>
      <c r="BE533" s="729"/>
      <c r="BF533" s="12"/>
      <c r="BG533" s="729"/>
      <c r="BH533" s="729"/>
      <c r="BI533" s="729"/>
      <c r="BJ533" s="729"/>
      <c r="BK533" s="729"/>
      <c r="BL533" s="12"/>
      <c r="BM533" s="729"/>
      <c r="BN533" s="729"/>
      <c r="BO533" s="729"/>
      <c r="BP533" s="729"/>
      <c r="BQ533" s="729"/>
      <c r="BR533" s="729"/>
      <c r="BS533" s="729"/>
      <c r="BT533" s="729"/>
      <c r="BU533" s="729"/>
      <c r="BV533" s="729"/>
      <c r="BW533" s="228"/>
      <c r="BX533" s="729"/>
      <c r="BY533" s="729"/>
      <c r="BZ533" s="729"/>
      <c r="CA533" s="228"/>
      <c r="CB533" s="729"/>
      <c r="CC533" s="729"/>
      <c r="CD533" s="729"/>
      <c r="CE533" s="729"/>
      <c r="CF533" s="729"/>
      <c r="CG533" s="729"/>
      <c r="CH533" s="729"/>
      <c r="CI533" s="729"/>
      <c r="CJ533" s="729"/>
      <c r="CK533" s="228"/>
      <c r="CL533" s="779"/>
      <c r="CM533" s="779"/>
      <c r="CN533" s="729"/>
      <c r="CO533" s="228"/>
      <c r="CP533" s="228"/>
      <c r="CQ533" s="12"/>
      <c r="CR533" s="12"/>
      <c r="CS533" s="729"/>
      <c r="CT533" s="729"/>
      <c r="CU533" s="729"/>
      <c r="CV533" s="729"/>
      <c r="CW533" s="729"/>
      <c r="CX533" s="729"/>
      <c r="CY533" s="729"/>
      <c r="CZ533" s="729"/>
      <c r="DA533" s="729"/>
      <c r="DB533" s="729"/>
      <c r="DC533" s="729"/>
    </row>
    <row r="534" spans="1:107" ht="12.75" customHeight="1">
      <c r="A534" s="228"/>
      <c r="B534" s="228"/>
      <c r="C534" s="1010"/>
      <c r="D534" s="228"/>
      <c r="E534" s="228"/>
      <c r="F534" s="228"/>
      <c r="G534" s="729"/>
      <c r="H534" s="729"/>
      <c r="I534" s="729"/>
      <c r="J534" s="729"/>
      <c r="K534" s="1010"/>
      <c r="L534" s="12"/>
      <c r="M534" s="12"/>
      <c r="N534" s="12"/>
      <c r="O534" s="1010"/>
      <c r="P534" s="1011"/>
      <c r="Q534" s="1011"/>
      <c r="R534" s="12"/>
      <c r="S534" s="12"/>
      <c r="T534" s="12"/>
      <c r="U534" s="12"/>
      <c r="V534" s="12"/>
      <c r="W534" s="1012"/>
      <c r="X534" s="1023"/>
      <c r="Y534" s="1012"/>
      <c r="Z534" s="1012"/>
      <c r="AA534" s="1012"/>
      <c r="AB534" s="1011"/>
      <c r="AC534" s="1011"/>
      <c r="AD534" s="1449"/>
      <c r="AE534" s="729"/>
      <c r="AF534" s="729"/>
      <c r="AG534" s="1014"/>
      <c r="AH534" s="1014"/>
      <c r="AI534" s="1014"/>
      <c r="AJ534" s="729"/>
      <c r="AK534" s="729"/>
      <c r="AL534" s="729"/>
      <c r="AM534" s="729"/>
      <c r="AN534" s="729"/>
      <c r="AO534" s="729"/>
      <c r="AP534" s="729"/>
      <c r="AQ534" s="729"/>
      <c r="AR534" s="729"/>
      <c r="AS534" s="729"/>
      <c r="AT534" s="729"/>
      <c r="AU534" s="729"/>
      <c r="AV534" s="729"/>
      <c r="AW534" s="729"/>
      <c r="AX534" s="729"/>
      <c r="AY534" s="729"/>
      <c r="AZ534" s="729"/>
      <c r="BA534" s="729"/>
      <c r="BB534" s="729"/>
      <c r="BC534" s="729"/>
      <c r="BD534" s="729"/>
      <c r="BE534" s="729"/>
      <c r="BF534" s="12"/>
      <c r="BG534" s="729"/>
      <c r="BH534" s="729"/>
      <c r="BI534" s="729"/>
      <c r="BJ534" s="729"/>
      <c r="BK534" s="729"/>
      <c r="BL534" s="12"/>
      <c r="BM534" s="729"/>
      <c r="BN534" s="729"/>
      <c r="BO534" s="729"/>
      <c r="BP534" s="729"/>
      <c r="BQ534" s="729"/>
      <c r="BR534" s="729"/>
      <c r="BS534" s="729"/>
      <c r="BT534" s="729"/>
      <c r="BU534" s="729"/>
      <c r="BV534" s="729"/>
      <c r="BW534" s="228"/>
      <c r="BX534" s="729"/>
      <c r="BY534" s="729"/>
      <c r="BZ534" s="729"/>
      <c r="CA534" s="228"/>
      <c r="CB534" s="729"/>
      <c r="CC534" s="729"/>
      <c r="CD534" s="729"/>
      <c r="CE534" s="729"/>
      <c r="CF534" s="729"/>
      <c r="CG534" s="729"/>
      <c r="CH534" s="729"/>
      <c r="CI534" s="729"/>
      <c r="CJ534" s="729"/>
      <c r="CK534" s="228"/>
      <c r="CL534" s="779"/>
      <c r="CM534" s="779"/>
      <c r="CN534" s="729"/>
      <c r="CO534" s="228"/>
      <c r="CP534" s="228"/>
      <c r="CQ534" s="12"/>
      <c r="CR534" s="12"/>
      <c r="CS534" s="729"/>
      <c r="CT534" s="729"/>
      <c r="CU534" s="729"/>
      <c r="CV534" s="729"/>
      <c r="CW534" s="729"/>
      <c r="CX534" s="729"/>
      <c r="CY534" s="729"/>
      <c r="CZ534" s="729"/>
      <c r="DA534" s="729"/>
      <c r="DB534" s="729"/>
      <c r="DC534" s="729"/>
    </row>
    <row r="535" spans="1:107" ht="12.75" customHeight="1">
      <c r="A535" s="228"/>
      <c r="B535" s="228"/>
      <c r="C535" s="1010"/>
      <c r="D535" s="228"/>
      <c r="E535" s="228"/>
      <c r="F535" s="228"/>
      <c r="G535" s="729"/>
      <c r="H535" s="729"/>
      <c r="I535" s="729"/>
      <c r="J535" s="729"/>
      <c r="K535" s="1010"/>
      <c r="L535" s="12"/>
      <c r="M535" s="12"/>
      <c r="N535" s="12"/>
      <c r="O535" s="1010"/>
      <c r="P535" s="1011"/>
      <c r="Q535" s="1011"/>
      <c r="R535" s="12"/>
      <c r="S535" s="12"/>
      <c r="T535" s="12"/>
      <c r="U535" s="12"/>
      <c r="V535" s="12"/>
      <c r="W535" s="1012"/>
      <c r="X535" s="1023"/>
      <c r="Y535" s="1012"/>
      <c r="Z535" s="1012"/>
      <c r="AA535" s="1012"/>
      <c r="AB535" s="1011"/>
      <c r="AC535" s="1011"/>
      <c r="AD535" s="1449"/>
      <c r="AE535" s="729"/>
      <c r="AF535" s="729"/>
      <c r="AG535" s="1014"/>
      <c r="AH535" s="1014"/>
      <c r="AI535" s="1014"/>
      <c r="AJ535" s="729"/>
      <c r="AK535" s="729"/>
      <c r="AL535" s="729"/>
      <c r="AM535" s="729"/>
      <c r="AN535" s="729"/>
      <c r="AO535" s="729"/>
      <c r="AP535" s="729"/>
      <c r="AQ535" s="729"/>
      <c r="AR535" s="729"/>
      <c r="AS535" s="729"/>
      <c r="AT535" s="729"/>
      <c r="AU535" s="729"/>
      <c r="AV535" s="729"/>
      <c r="AW535" s="729"/>
      <c r="AX535" s="729"/>
      <c r="AY535" s="729"/>
      <c r="AZ535" s="729"/>
      <c r="BA535" s="729"/>
      <c r="BB535" s="729"/>
      <c r="BC535" s="729"/>
      <c r="BD535" s="729"/>
      <c r="BE535" s="729"/>
      <c r="BF535" s="12"/>
      <c r="BG535" s="729"/>
      <c r="BH535" s="729"/>
      <c r="BI535" s="729"/>
      <c r="BJ535" s="729"/>
      <c r="BK535" s="729"/>
      <c r="BL535" s="12"/>
      <c r="BM535" s="729"/>
      <c r="BN535" s="729"/>
      <c r="BO535" s="729"/>
      <c r="BP535" s="729"/>
      <c r="BQ535" s="729"/>
      <c r="BR535" s="729"/>
      <c r="BS535" s="729"/>
      <c r="BT535" s="729"/>
      <c r="BU535" s="729"/>
      <c r="BV535" s="729"/>
      <c r="BW535" s="228"/>
      <c r="BX535" s="729"/>
      <c r="BY535" s="729"/>
      <c r="BZ535" s="729"/>
      <c r="CA535" s="228"/>
      <c r="CB535" s="729"/>
      <c r="CC535" s="729"/>
      <c r="CD535" s="729"/>
      <c r="CE535" s="729"/>
      <c r="CF535" s="729"/>
      <c r="CG535" s="729"/>
      <c r="CH535" s="729"/>
      <c r="CI535" s="729"/>
      <c r="CJ535" s="729"/>
      <c r="CK535" s="228"/>
      <c r="CL535" s="779"/>
      <c r="CM535" s="779"/>
      <c r="CN535" s="729"/>
      <c r="CO535" s="228"/>
      <c r="CP535" s="228"/>
      <c r="CQ535" s="12"/>
      <c r="CR535" s="12"/>
      <c r="CS535" s="729"/>
      <c r="CT535" s="729"/>
      <c r="CU535" s="729"/>
      <c r="CV535" s="729"/>
      <c r="CW535" s="729"/>
      <c r="CX535" s="729"/>
      <c r="CY535" s="729"/>
      <c r="CZ535" s="729"/>
      <c r="DA535" s="729"/>
      <c r="DB535" s="729"/>
      <c r="DC535" s="729"/>
    </row>
    <row r="536" spans="1:107" ht="12.75" customHeight="1">
      <c r="A536" s="228"/>
      <c r="B536" s="228"/>
      <c r="C536" s="1010"/>
      <c r="D536" s="228"/>
      <c r="E536" s="228"/>
      <c r="F536" s="228"/>
      <c r="G536" s="729"/>
      <c r="H536" s="729"/>
      <c r="I536" s="729"/>
      <c r="J536" s="729"/>
      <c r="K536" s="1010"/>
      <c r="L536" s="12"/>
      <c r="M536" s="12"/>
      <c r="N536" s="12"/>
      <c r="O536" s="1010"/>
      <c r="P536" s="1011"/>
      <c r="Q536" s="1011"/>
      <c r="R536" s="12"/>
      <c r="S536" s="12"/>
      <c r="T536" s="12"/>
      <c r="U536" s="12"/>
      <c r="V536" s="12"/>
      <c r="W536" s="1012"/>
      <c r="X536" s="1023"/>
      <c r="Y536" s="1012"/>
      <c r="Z536" s="1012"/>
      <c r="AA536" s="1012"/>
      <c r="AB536" s="1011"/>
      <c r="AC536" s="1011"/>
      <c r="AD536" s="1449"/>
      <c r="AE536" s="729"/>
      <c r="AF536" s="729"/>
      <c r="AG536" s="1014"/>
      <c r="AH536" s="1014"/>
      <c r="AI536" s="1014"/>
      <c r="AJ536" s="729"/>
      <c r="AK536" s="729"/>
      <c r="AL536" s="729"/>
      <c r="AM536" s="729"/>
      <c r="AN536" s="729"/>
      <c r="AO536" s="729"/>
      <c r="AP536" s="729"/>
      <c r="AQ536" s="729"/>
      <c r="AR536" s="729"/>
      <c r="AS536" s="729"/>
      <c r="AT536" s="729"/>
      <c r="AU536" s="729"/>
      <c r="AV536" s="729"/>
      <c r="AW536" s="729"/>
      <c r="AX536" s="729"/>
      <c r="AY536" s="729"/>
      <c r="AZ536" s="729"/>
      <c r="BA536" s="729"/>
      <c r="BB536" s="729"/>
      <c r="BC536" s="729"/>
      <c r="BD536" s="729"/>
      <c r="BE536" s="729"/>
      <c r="BF536" s="12"/>
      <c r="BG536" s="729"/>
      <c r="BH536" s="729"/>
      <c r="BI536" s="729"/>
      <c r="BJ536" s="729"/>
      <c r="BK536" s="729"/>
      <c r="BL536" s="12"/>
      <c r="BM536" s="729"/>
      <c r="BN536" s="729"/>
      <c r="BO536" s="729"/>
      <c r="BP536" s="729"/>
      <c r="BQ536" s="729"/>
      <c r="BR536" s="729"/>
      <c r="BS536" s="729"/>
      <c r="BT536" s="729"/>
      <c r="BU536" s="729"/>
      <c r="BV536" s="729"/>
      <c r="BW536" s="228"/>
      <c r="BX536" s="729"/>
      <c r="BY536" s="729"/>
      <c r="BZ536" s="729"/>
      <c r="CA536" s="228"/>
      <c r="CB536" s="729"/>
      <c r="CC536" s="729"/>
      <c r="CD536" s="729"/>
      <c r="CE536" s="729"/>
      <c r="CF536" s="729"/>
      <c r="CG536" s="729"/>
      <c r="CH536" s="729"/>
      <c r="CI536" s="729"/>
      <c r="CJ536" s="729"/>
      <c r="CK536" s="228"/>
      <c r="CL536" s="779"/>
      <c r="CM536" s="779"/>
      <c r="CN536" s="729"/>
      <c r="CO536" s="228"/>
      <c r="CP536" s="228"/>
      <c r="CQ536" s="12"/>
      <c r="CR536" s="12"/>
      <c r="CS536" s="729"/>
      <c r="CT536" s="729"/>
      <c r="CU536" s="729"/>
      <c r="CV536" s="729"/>
      <c r="CW536" s="729"/>
      <c r="CX536" s="729"/>
      <c r="CY536" s="729"/>
      <c r="CZ536" s="729"/>
      <c r="DA536" s="729"/>
      <c r="DB536" s="729"/>
      <c r="DC536" s="729"/>
    </row>
    <row r="537" spans="1:107" ht="12.75" customHeight="1">
      <c r="A537" s="228"/>
      <c r="B537" s="228"/>
      <c r="C537" s="1010"/>
      <c r="D537" s="228"/>
      <c r="E537" s="228"/>
      <c r="F537" s="228"/>
      <c r="G537" s="729"/>
      <c r="H537" s="729"/>
      <c r="I537" s="729"/>
      <c r="J537" s="729"/>
      <c r="K537" s="1010"/>
      <c r="L537" s="12"/>
      <c r="M537" s="12"/>
      <c r="N537" s="12"/>
      <c r="O537" s="1010"/>
      <c r="P537" s="1011"/>
      <c r="Q537" s="1011"/>
      <c r="R537" s="12"/>
      <c r="S537" s="12"/>
      <c r="T537" s="12"/>
      <c r="U537" s="12"/>
      <c r="V537" s="12"/>
      <c r="W537" s="1012"/>
      <c r="X537" s="1023"/>
      <c r="Y537" s="1012"/>
      <c r="Z537" s="1012"/>
      <c r="AA537" s="1012"/>
      <c r="AB537" s="1011"/>
      <c r="AC537" s="1011"/>
      <c r="AD537" s="1449"/>
      <c r="AE537" s="729"/>
      <c r="AF537" s="729"/>
      <c r="AG537" s="1014"/>
      <c r="AH537" s="1014"/>
      <c r="AI537" s="1014"/>
      <c r="AJ537" s="729"/>
      <c r="AK537" s="729"/>
      <c r="AL537" s="729"/>
      <c r="AM537" s="729"/>
      <c r="AN537" s="729"/>
      <c r="AO537" s="729"/>
      <c r="AP537" s="729"/>
      <c r="AQ537" s="729"/>
      <c r="AR537" s="729"/>
      <c r="AS537" s="729"/>
      <c r="AT537" s="729"/>
      <c r="AU537" s="729"/>
      <c r="AV537" s="729"/>
      <c r="AW537" s="729"/>
      <c r="AX537" s="729"/>
      <c r="AY537" s="729"/>
      <c r="AZ537" s="729"/>
      <c r="BA537" s="729"/>
      <c r="BB537" s="729"/>
      <c r="BC537" s="729"/>
      <c r="BD537" s="729"/>
      <c r="BE537" s="729"/>
      <c r="BF537" s="12"/>
      <c r="BG537" s="729"/>
      <c r="BH537" s="729"/>
      <c r="BI537" s="729"/>
      <c r="BJ537" s="729"/>
      <c r="BK537" s="729"/>
      <c r="BL537" s="12"/>
      <c r="BM537" s="729"/>
      <c r="BN537" s="729"/>
      <c r="BO537" s="729"/>
      <c r="BP537" s="729"/>
      <c r="BQ537" s="729"/>
      <c r="BR537" s="729"/>
      <c r="BS537" s="729"/>
      <c r="BT537" s="729"/>
      <c r="BU537" s="729"/>
      <c r="BV537" s="729"/>
      <c r="BW537" s="228"/>
      <c r="BX537" s="729"/>
      <c r="BY537" s="729"/>
      <c r="BZ537" s="729"/>
      <c r="CA537" s="228"/>
      <c r="CB537" s="729"/>
      <c r="CC537" s="729"/>
      <c r="CD537" s="729"/>
      <c r="CE537" s="729"/>
      <c r="CF537" s="729"/>
      <c r="CG537" s="729"/>
      <c r="CH537" s="729"/>
      <c r="CI537" s="729"/>
      <c r="CJ537" s="729"/>
      <c r="CK537" s="228"/>
      <c r="CL537" s="779"/>
      <c r="CM537" s="779"/>
      <c r="CN537" s="729"/>
      <c r="CO537" s="228"/>
      <c r="CP537" s="228"/>
      <c r="CQ537" s="12"/>
      <c r="CR537" s="12"/>
      <c r="CS537" s="729"/>
      <c r="CT537" s="729"/>
      <c r="CU537" s="729"/>
      <c r="CV537" s="729"/>
      <c r="CW537" s="729"/>
      <c r="CX537" s="729"/>
      <c r="CY537" s="729"/>
      <c r="CZ537" s="729"/>
      <c r="DA537" s="729"/>
      <c r="DB537" s="729"/>
      <c r="DC537" s="729"/>
    </row>
    <row r="538" spans="1:107" ht="12.75" customHeight="1">
      <c r="A538" s="228"/>
      <c r="B538" s="228"/>
      <c r="C538" s="1010"/>
      <c r="D538" s="228"/>
      <c r="E538" s="228"/>
      <c r="F538" s="228"/>
      <c r="G538" s="729"/>
      <c r="H538" s="729"/>
      <c r="I538" s="729"/>
      <c r="J538" s="729"/>
      <c r="K538" s="1010"/>
      <c r="L538" s="12"/>
      <c r="M538" s="12"/>
      <c r="N538" s="12"/>
      <c r="O538" s="1010"/>
      <c r="P538" s="1011"/>
      <c r="Q538" s="1011"/>
      <c r="R538" s="12"/>
      <c r="S538" s="12"/>
      <c r="T538" s="12"/>
      <c r="U538" s="12"/>
      <c r="V538" s="12"/>
      <c r="W538" s="1012"/>
      <c r="X538" s="1023"/>
      <c r="Y538" s="1012"/>
      <c r="Z538" s="1012"/>
      <c r="AA538" s="1012"/>
      <c r="AB538" s="1011"/>
      <c r="AC538" s="1011"/>
      <c r="AD538" s="1449"/>
      <c r="AE538" s="729"/>
      <c r="AF538" s="729"/>
      <c r="AG538" s="1014"/>
      <c r="AH538" s="1014"/>
      <c r="AI538" s="1014"/>
      <c r="AJ538" s="729"/>
      <c r="AK538" s="729"/>
      <c r="AL538" s="729"/>
      <c r="AM538" s="729"/>
      <c r="AN538" s="729"/>
      <c r="AO538" s="729"/>
      <c r="AP538" s="729"/>
      <c r="AQ538" s="729"/>
      <c r="AR538" s="729"/>
      <c r="AS538" s="729"/>
      <c r="AT538" s="729"/>
      <c r="AU538" s="729"/>
      <c r="AV538" s="729"/>
      <c r="AW538" s="729"/>
      <c r="AX538" s="729"/>
      <c r="AY538" s="729"/>
      <c r="AZ538" s="729"/>
      <c r="BA538" s="729"/>
      <c r="BB538" s="729"/>
      <c r="BC538" s="729"/>
      <c r="BD538" s="729"/>
      <c r="BE538" s="729"/>
      <c r="BF538" s="12"/>
      <c r="BG538" s="729"/>
      <c r="BH538" s="729"/>
      <c r="BI538" s="729"/>
      <c r="BJ538" s="729"/>
      <c r="BK538" s="729"/>
      <c r="BL538" s="12"/>
      <c r="BM538" s="729"/>
      <c r="BN538" s="729"/>
      <c r="BO538" s="729"/>
      <c r="BP538" s="729"/>
      <c r="BQ538" s="729"/>
      <c r="BR538" s="729"/>
      <c r="BS538" s="729"/>
      <c r="BT538" s="729"/>
      <c r="BU538" s="729"/>
      <c r="BV538" s="729"/>
      <c r="BW538" s="228"/>
      <c r="BX538" s="729"/>
      <c r="BY538" s="729"/>
      <c r="BZ538" s="729"/>
      <c r="CA538" s="228"/>
      <c r="CB538" s="729"/>
      <c r="CC538" s="729"/>
      <c r="CD538" s="729"/>
      <c r="CE538" s="729"/>
      <c r="CF538" s="729"/>
      <c r="CG538" s="729"/>
      <c r="CH538" s="729"/>
      <c r="CI538" s="729"/>
      <c r="CJ538" s="729"/>
      <c r="CK538" s="228"/>
      <c r="CL538" s="779"/>
      <c r="CM538" s="779"/>
      <c r="CN538" s="729"/>
      <c r="CO538" s="228"/>
      <c r="CP538" s="228"/>
      <c r="CQ538" s="12"/>
      <c r="CR538" s="12"/>
      <c r="CS538" s="729"/>
      <c r="CT538" s="729"/>
      <c r="CU538" s="729"/>
      <c r="CV538" s="729"/>
      <c r="CW538" s="729"/>
      <c r="CX538" s="729"/>
      <c r="CY538" s="729"/>
      <c r="CZ538" s="729"/>
      <c r="DA538" s="729"/>
      <c r="DB538" s="729"/>
      <c r="DC538" s="729"/>
    </row>
    <row r="539" spans="1:107" ht="12.75" customHeight="1">
      <c r="A539" s="228"/>
      <c r="B539" s="228"/>
      <c r="C539" s="1010"/>
      <c r="D539" s="228"/>
      <c r="E539" s="228"/>
      <c r="F539" s="228"/>
      <c r="G539" s="729"/>
      <c r="H539" s="729"/>
      <c r="I539" s="729"/>
      <c r="J539" s="729"/>
      <c r="K539" s="1010"/>
      <c r="L539" s="12"/>
      <c r="M539" s="12"/>
      <c r="N539" s="12"/>
      <c r="O539" s="1010"/>
      <c r="P539" s="1011"/>
      <c r="Q539" s="1011"/>
      <c r="R539" s="12"/>
      <c r="S539" s="12"/>
      <c r="T539" s="12"/>
      <c r="U539" s="12"/>
      <c r="V539" s="12"/>
      <c r="W539" s="1012"/>
      <c r="X539" s="1023"/>
      <c r="Y539" s="1012"/>
      <c r="Z539" s="1012"/>
      <c r="AA539" s="1012"/>
      <c r="AB539" s="1011"/>
      <c r="AC539" s="1011"/>
      <c r="AD539" s="1449"/>
      <c r="AE539" s="729"/>
      <c r="AF539" s="729"/>
      <c r="AG539" s="1014"/>
      <c r="AH539" s="1014"/>
      <c r="AI539" s="1014"/>
      <c r="AJ539" s="729"/>
      <c r="AK539" s="729"/>
      <c r="AL539" s="729"/>
      <c r="AM539" s="729"/>
      <c r="AN539" s="729"/>
      <c r="AO539" s="729"/>
      <c r="AP539" s="729"/>
      <c r="AQ539" s="729"/>
      <c r="AR539" s="729"/>
      <c r="AS539" s="729"/>
      <c r="AT539" s="729"/>
      <c r="AU539" s="729"/>
      <c r="AV539" s="729"/>
      <c r="AW539" s="729"/>
      <c r="AX539" s="729"/>
      <c r="AY539" s="729"/>
      <c r="AZ539" s="729"/>
      <c r="BA539" s="729"/>
      <c r="BB539" s="729"/>
      <c r="BC539" s="729"/>
      <c r="BD539" s="729"/>
      <c r="BE539" s="729"/>
      <c r="BF539" s="12"/>
      <c r="BG539" s="729"/>
      <c r="BH539" s="729"/>
      <c r="BI539" s="729"/>
      <c r="BJ539" s="729"/>
      <c r="BK539" s="729"/>
      <c r="BL539" s="12"/>
      <c r="BM539" s="729"/>
      <c r="BN539" s="729"/>
      <c r="BO539" s="729"/>
      <c r="BP539" s="729"/>
      <c r="BQ539" s="729"/>
      <c r="BR539" s="729"/>
      <c r="BS539" s="729"/>
      <c r="BT539" s="729"/>
      <c r="BU539" s="729"/>
      <c r="BV539" s="729"/>
      <c r="BW539" s="228"/>
      <c r="BX539" s="729"/>
      <c r="BY539" s="729"/>
      <c r="BZ539" s="729"/>
      <c r="CA539" s="228"/>
      <c r="CB539" s="729"/>
      <c r="CC539" s="729"/>
      <c r="CD539" s="729"/>
      <c r="CE539" s="729"/>
      <c r="CF539" s="729"/>
      <c r="CG539" s="729"/>
      <c r="CH539" s="729"/>
      <c r="CI539" s="729"/>
      <c r="CJ539" s="729"/>
      <c r="CK539" s="228"/>
      <c r="CL539" s="779"/>
      <c r="CM539" s="779"/>
      <c r="CN539" s="729"/>
      <c r="CO539" s="228"/>
      <c r="CP539" s="228"/>
      <c r="CQ539" s="12"/>
      <c r="CR539" s="12"/>
      <c r="CS539" s="729"/>
      <c r="CT539" s="729"/>
      <c r="CU539" s="729"/>
      <c r="CV539" s="729"/>
      <c r="CW539" s="729"/>
      <c r="CX539" s="729"/>
      <c r="CY539" s="729"/>
      <c r="CZ539" s="729"/>
      <c r="DA539" s="729"/>
      <c r="DB539" s="729"/>
      <c r="DC539" s="729"/>
    </row>
    <row r="540" spans="1:107" ht="12.75" customHeight="1">
      <c r="A540" s="228"/>
      <c r="B540" s="228"/>
      <c r="C540" s="1010"/>
      <c r="D540" s="228"/>
      <c r="E540" s="228"/>
      <c r="F540" s="228"/>
      <c r="G540" s="729"/>
      <c r="H540" s="729"/>
      <c r="I540" s="729"/>
      <c r="J540" s="729"/>
      <c r="K540" s="1010"/>
      <c r="L540" s="12"/>
      <c r="M540" s="12"/>
      <c r="N540" s="12"/>
      <c r="O540" s="1010"/>
      <c r="P540" s="1011"/>
      <c r="Q540" s="1011"/>
      <c r="R540" s="12"/>
      <c r="S540" s="12"/>
      <c r="T540" s="12"/>
      <c r="U540" s="12"/>
      <c r="V540" s="12"/>
      <c r="W540" s="1012"/>
      <c r="X540" s="1023"/>
      <c r="Y540" s="1012"/>
      <c r="Z540" s="1012"/>
      <c r="AA540" s="1012"/>
      <c r="AB540" s="1011"/>
      <c r="AC540" s="1011"/>
      <c r="AD540" s="1449"/>
      <c r="AE540" s="729"/>
      <c r="AF540" s="729"/>
      <c r="AG540" s="1014"/>
      <c r="AH540" s="1014"/>
      <c r="AI540" s="1014"/>
      <c r="AJ540" s="729"/>
      <c r="AK540" s="729"/>
      <c r="AL540" s="729"/>
      <c r="AM540" s="729"/>
      <c r="AN540" s="729"/>
      <c r="AO540" s="729"/>
      <c r="AP540" s="729"/>
      <c r="AQ540" s="729"/>
      <c r="AR540" s="729"/>
      <c r="AS540" s="729"/>
      <c r="AT540" s="729"/>
      <c r="AU540" s="729"/>
      <c r="AV540" s="729"/>
      <c r="AW540" s="729"/>
      <c r="AX540" s="729"/>
      <c r="AY540" s="729"/>
      <c r="AZ540" s="729"/>
      <c r="BA540" s="729"/>
      <c r="BB540" s="729"/>
      <c r="BC540" s="729"/>
      <c r="BD540" s="729"/>
      <c r="BE540" s="729"/>
      <c r="BF540" s="12"/>
      <c r="BG540" s="729"/>
      <c r="BH540" s="729"/>
      <c r="BI540" s="729"/>
      <c r="BJ540" s="729"/>
      <c r="BK540" s="729"/>
      <c r="BL540" s="12"/>
      <c r="BM540" s="729"/>
      <c r="BN540" s="729"/>
      <c r="BO540" s="729"/>
      <c r="BP540" s="729"/>
      <c r="BQ540" s="729"/>
      <c r="BR540" s="729"/>
      <c r="BS540" s="729"/>
      <c r="BT540" s="729"/>
      <c r="BU540" s="729"/>
      <c r="BV540" s="729"/>
      <c r="BW540" s="228"/>
      <c r="BX540" s="729"/>
      <c r="BY540" s="729"/>
      <c r="BZ540" s="729"/>
      <c r="CA540" s="228"/>
      <c r="CB540" s="729"/>
      <c r="CC540" s="729"/>
      <c r="CD540" s="729"/>
      <c r="CE540" s="729"/>
      <c r="CF540" s="729"/>
      <c r="CG540" s="729"/>
      <c r="CH540" s="729"/>
      <c r="CI540" s="729"/>
      <c r="CJ540" s="729"/>
      <c r="CK540" s="228"/>
      <c r="CL540" s="779"/>
      <c r="CM540" s="779"/>
      <c r="CN540" s="729"/>
      <c r="CO540" s="228"/>
      <c r="CP540" s="228"/>
      <c r="CQ540" s="12"/>
      <c r="CR540" s="12"/>
      <c r="CS540" s="729"/>
      <c r="CT540" s="729"/>
      <c r="CU540" s="729"/>
      <c r="CV540" s="729"/>
      <c r="CW540" s="729"/>
      <c r="CX540" s="729"/>
      <c r="CY540" s="729"/>
      <c r="CZ540" s="729"/>
      <c r="DA540" s="729"/>
      <c r="DB540" s="729"/>
      <c r="DC540" s="729"/>
    </row>
    <row r="541" spans="1:107" ht="12.75" customHeight="1">
      <c r="A541" s="228"/>
      <c r="B541" s="228"/>
      <c r="C541" s="1010"/>
      <c r="D541" s="228"/>
      <c r="E541" s="228"/>
      <c r="F541" s="228"/>
      <c r="G541" s="729"/>
      <c r="H541" s="729"/>
      <c r="I541" s="729"/>
      <c r="J541" s="729"/>
      <c r="K541" s="1010"/>
      <c r="L541" s="12"/>
      <c r="M541" s="12"/>
      <c r="N541" s="12"/>
      <c r="O541" s="1010"/>
      <c r="P541" s="1011"/>
      <c r="Q541" s="1011"/>
      <c r="R541" s="12"/>
      <c r="S541" s="12"/>
      <c r="T541" s="12"/>
      <c r="U541" s="12"/>
      <c r="V541" s="12"/>
      <c r="W541" s="1012"/>
      <c r="X541" s="1023"/>
      <c r="Y541" s="1012"/>
      <c r="Z541" s="1012"/>
      <c r="AA541" s="1012"/>
      <c r="AB541" s="1011"/>
      <c r="AC541" s="1011"/>
      <c r="AD541" s="1449"/>
      <c r="AE541" s="729"/>
      <c r="AF541" s="729"/>
      <c r="AG541" s="1014"/>
      <c r="AH541" s="1014"/>
      <c r="AI541" s="1014"/>
      <c r="AJ541" s="729"/>
      <c r="AK541" s="729"/>
      <c r="AL541" s="729"/>
      <c r="AM541" s="729"/>
      <c r="AN541" s="729"/>
      <c r="AO541" s="729"/>
      <c r="AP541" s="729"/>
      <c r="AQ541" s="729"/>
      <c r="AR541" s="729"/>
      <c r="AS541" s="729"/>
      <c r="AT541" s="729"/>
      <c r="AU541" s="729"/>
      <c r="AV541" s="729"/>
      <c r="AW541" s="729"/>
      <c r="AX541" s="729"/>
      <c r="AY541" s="729"/>
      <c r="AZ541" s="729"/>
      <c r="BA541" s="729"/>
      <c r="BB541" s="729"/>
      <c r="BC541" s="729"/>
      <c r="BD541" s="729"/>
      <c r="BE541" s="729"/>
      <c r="BF541" s="12"/>
      <c r="BG541" s="729"/>
      <c r="BH541" s="729"/>
      <c r="BI541" s="729"/>
      <c r="BJ541" s="729"/>
      <c r="BK541" s="729"/>
      <c r="BL541" s="12"/>
      <c r="BM541" s="729"/>
      <c r="BN541" s="729"/>
      <c r="BO541" s="729"/>
      <c r="BP541" s="729"/>
      <c r="BQ541" s="729"/>
      <c r="BR541" s="729"/>
      <c r="BS541" s="729"/>
      <c r="BT541" s="729"/>
      <c r="BU541" s="729"/>
      <c r="BV541" s="729"/>
      <c r="BW541" s="228"/>
      <c r="BX541" s="729"/>
      <c r="BY541" s="729"/>
      <c r="BZ541" s="729"/>
      <c r="CA541" s="228"/>
      <c r="CB541" s="729"/>
      <c r="CC541" s="729"/>
      <c r="CD541" s="729"/>
      <c r="CE541" s="729"/>
      <c r="CF541" s="729"/>
      <c r="CG541" s="729"/>
      <c r="CH541" s="729"/>
      <c r="CI541" s="729"/>
      <c r="CJ541" s="729"/>
      <c r="CK541" s="228"/>
      <c r="CL541" s="779"/>
      <c r="CM541" s="779"/>
      <c r="CN541" s="729"/>
      <c r="CO541" s="228"/>
      <c r="CP541" s="228"/>
      <c r="CQ541" s="12"/>
      <c r="CR541" s="12"/>
      <c r="CS541" s="729"/>
      <c r="CT541" s="729"/>
      <c r="CU541" s="729"/>
      <c r="CV541" s="729"/>
      <c r="CW541" s="729"/>
      <c r="CX541" s="729"/>
      <c r="CY541" s="729"/>
      <c r="CZ541" s="729"/>
      <c r="DA541" s="729"/>
      <c r="DB541" s="729"/>
      <c r="DC541" s="729"/>
    </row>
    <row r="542" spans="1:107" ht="12.75" customHeight="1">
      <c r="A542" s="228"/>
      <c r="B542" s="228"/>
      <c r="C542" s="1010"/>
      <c r="D542" s="228"/>
      <c r="E542" s="228"/>
      <c r="F542" s="228"/>
      <c r="G542" s="729"/>
      <c r="H542" s="729"/>
      <c r="I542" s="729"/>
      <c r="J542" s="729"/>
      <c r="K542" s="1010"/>
      <c r="L542" s="12"/>
      <c r="M542" s="12"/>
      <c r="N542" s="12"/>
      <c r="O542" s="1010"/>
      <c r="P542" s="1011"/>
      <c r="Q542" s="1011"/>
      <c r="R542" s="12"/>
      <c r="S542" s="12"/>
      <c r="T542" s="12"/>
      <c r="U542" s="12"/>
      <c r="V542" s="12"/>
      <c r="W542" s="1012"/>
      <c r="X542" s="1023"/>
      <c r="Y542" s="1012"/>
      <c r="Z542" s="1012"/>
      <c r="AA542" s="1012"/>
      <c r="AB542" s="1011"/>
      <c r="AC542" s="1011"/>
      <c r="AD542" s="1449"/>
      <c r="AE542" s="729"/>
      <c r="AF542" s="729"/>
      <c r="AG542" s="1014"/>
      <c r="AH542" s="1014"/>
      <c r="AI542" s="1014"/>
      <c r="AJ542" s="729"/>
      <c r="AK542" s="729"/>
      <c r="AL542" s="729"/>
      <c r="AM542" s="729"/>
      <c r="AN542" s="729"/>
      <c r="AO542" s="729"/>
      <c r="AP542" s="729"/>
      <c r="AQ542" s="729"/>
      <c r="AR542" s="729"/>
      <c r="AS542" s="729"/>
      <c r="AT542" s="729"/>
      <c r="AU542" s="729"/>
      <c r="AV542" s="729"/>
      <c r="AW542" s="729"/>
      <c r="AX542" s="729"/>
      <c r="AY542" s="729"/>
      <c r="AZ542" s="729"/>
      <c r="BA542" s="729"/>
      <c r="BB542" s="729"/>
      <c r="BC542" s="729"/>
      <c r="BD542" s="729"/>
      <c r="BE542" s="729"/>
      <c r="BF542" s="12"/>
      <c r="BG542" s="729"/>
      <c r="BH542" s="729"/>
      <c r="BI542" s="729"/>
      <c r="BJ542" s="729"/>
      <c r="BK542" s="729"/>
      <c r="BL542" s="12"/>
      <c r="BM542" s="729"/>
      <c r="BN542" s="729"/>
      <c r="BO542" s="729"/>
      <c r="BP542" s="729"/>
      <c r="BQ542" s="729"/>
      <c r="BR542" s="729"/>
      <c r="BS542" s="729"/>
      <c r="BT542" s="729"/>
      <c r="BU542" s="729"/>
      <c r="BV542" s="729"/>
      <c r="BW542" s="228"/>
      <c r="BX542" s="729"/>
      <c r="BY542" s="729"/>
      <c r="BZ542" s="729"/>
      <c r="CA542" s="228"/>
      <c r="CB542" s="729"/>
      <c r="CC542" s="729"/>
      <c r="CD542" s="729"/>
      <c r="CE542" s="729"/>
      <c r="CF542" s="729"/>
      <c r="CG542" s="729"/>
      <c r="CH542" s="729"/>
      <c r="CI542" s="729"/>
      <c r="CJ542" s="729"/>
      <c r="CK542" s="228"/>
      <c r="CL542" s="779"/>
      <c r="CM542" s="779"/>
      <c r="CN542" s="729"/>
      <c r="CO542" s="228"/>
      <c r="CP542" s="228"/>
      <c r="CQ542" s="12"/>
      <c r="CR542" s="12"/>
      <c r="CS542" s="729"/>
      <c r="CT542" s="729"/>
      <c r="CU542" s="729"/>
      <c r="CV542" s="729"/>
      <c r="CW542" s="729"/>
      <c r="CX542" s="729"/>
      <c r="CY542" s="729"/>
      <c r="CZ542" s="729"/>
      <c r="DA542" s="729"/>
      <c r="DB542" s="729"/>
      <c r="DC542" s="729"/>
    </row>
    <row r="543" spans="1:107" ht="12.75" customHeight="1">
      <c r="A543" s="228"/>
      <c r="B543" s="228"/>
      <c r="C543" s="1010"/>
      <c r="D543" s="228"/>
      <c r="E543" s="228"/>
      <c r="F543" s="228"/>
      <c r="G543" s="729"/>
      <c r="H543" s="729"/>
      <c r="I543" s="729"/>
      <c r="J543" s="729"/>
      <c r="K543" s="1010"/>
      <c r="L543" s="12"/>
      <c r="M543" s="12"/>
      <c r="N543" s="12"/>
      <c r="O543" s="1010"/>
      <c r="P543" s="1011"/>
      <c r="Q543" s="1011"/>
      <c r="R543" s="12"/>
      <c r="S543" s="12"/>
      <c r="T543" s="12"/>
      <c r="U543" s="12"/>
      <c r="V543" s="12"/>
      <c r="W543" s="1012"/>
      <c r="X543" s="1023"/>
      <c r="Y543" s="1012"/>
      <c r="Z543" s="1012"/>
      <c r="AA543" s="1012"/>
      <c r="AB543" s="1011"/>
      <c r="AC543" s="1011"/>
      <c r="AD543" s="1449"/>
      <c r="AE543" s="729"/>
      <c r="AF543" s="729"/>
      <c r="AG543" s="1014"/>
      <c r="AH543" s="1014"/>
      <c r="AI543" s="1014"/>
      <c r="AJ543" s="729"/>
      <c r="AK543" s="729"/>
      <c r="AL543" s="729"/>
      <c r="AM543" s="729"/>
      <c r="AN543" s="729"/>
      <c r="AO543" s="729"/>
      <c r="AP543" s="729"/>
      <c r="AQ543" s="729"/>
      <c r="AR543" s="729"/>
      <c r="AS543" s="729"/>
      <c r="AT543" s="729"/>
      <c r="AU543" s="729"/>
      <c r="AV543" s="729"/>
      <c r="AW543" s="729"/>
      <c r="AX543" s="729"/>
      <c r="AY543" s="729"/>
      <c r="AZ543" s="729"/>
      <c r="BA543" s="729"/>
      <c r="BB543" s="729"/>
      <c r="BC543" s="729"/>
      <c r="BD543" s="729"/>
      <c r="BE543" s="729"/>
      <c r="BF543" s="12"/>
      <c r="BG543" s="729"/>
      <c r="BH543" s="729"/>
      <c r="BI543" s="729"/>
      <c r="BJ543" s="729"/>
      <c r="BK543" s="729"/>
      <c r="BL543" s="12"/>
      <c r="BM543" s="729"/>
      <c r="BN543" s="729"/>
      <c r="BO543" s="729"/>
      <c r="BP543" s="729"/>
      <c r="BQ543" s="729"/>
      <c r="BR543" s="729"/>
      <c r="BS543" s="729"/>
      <c r="BT543" s="729"/>
      <c r="BU543" s="729"/>
      <c r="BV543" s="729"/>
      <c r="BW543" s="228"/>
      <c r="BX543" s="729"/>
      <c r="BY543" s="729"/>
      <c r="BZ543" s="729"/>
      <c r="CA543" s="228"/>
      <c r="CB543" s="729"/>
      <c r="CC543" s="729"/>
      <c r="CD543" s="729"/>
      <c r="CE543" s="729"/>
      <c r="CF543" s="729"/>
      <c r="CG543" s="729"/>
      <c r="CH543" s="729"/>
      <c r="CI543" s="729"/>
      <c r="CJ543" s="729"/>
      <c r="CK543" s="228"/>
      <c r="CL543" s="779"/>
      <c r="CM543" s="779"/>
      <c r="CN543" s="729"/>
      <c r="CO543" s="228"/>
      <c r="CP543" s="228"/>
      <c r="CQ543" s="12"/>
      <c r="CR543" s="12"/>
      <c r="CS543" s="729"/>
      <c r="CT543" s="729"/>
      <c r="CU543" s="729"/>
      <c r="CV543" s="729"/>
      <c r="CW543" s="729"/>
      <c r="CX543" s="729"/>
      <c r="CY543" s="729"/>
      <c r="CZ543" s="729"/>
      <c r="DA543" s="729"/>
      <c r="DB543" s="729"/>
      <c r="DC543" s="729"/>
    </row>
    <row r="544" spans="1:107" ht="12.75" customHeight="1">
      <c r="A544" s="228"/>
      <c r="B544" s="228"/>
      <c r="C544" s="1010"/>
      <c r="D544" s="228"/>
      <c r="E544" s="228"/>
      <c r="F544" s="228"/>
      <c r="G544" s="729"/>
      <c r="H544" s="729"/>
      <c r="I544" s="729"/>
      <c r="J544" s="729"/>
      <c r="K544" s="1010"/>
      <c r="L544" s="12"/>
      <c r="M544" s="12"/>
      <c r="N544" s="12"/>
      <c r="O544" s="1010"/>
      <c r="P544" s="1011"/>
      <c r="Q544" s="1011"/>
      <c r="R544" s="12"/>
      <c r="S544" s="12"/>
      <c r="T544" s="12"/>
      <c r="U544" s="12"/>
      <c r="V544" s="12"/>
      <c r="W544" s="1012"/>
      <c r="X544" s="1023"/>
      <c r="Y544" s="1012"/>
      <c r="Z544" s="1012"/>
      <c r="AA544" s="1012"/>
      <c r="AB544" s="1011"/>
      <c r="AC544" s="1011"/>
      <c r="AD544" s="1449"/>
      <c r="AE544" s="729"/>
      <c r="AF544" s="729"/>
      <c r="AG544" s="1014"/>
      <c r="AH544" s="1014"/>
      <c r="AI544" s="1014"/>
      <c r="AJ544" s="729"/>
      <c r="AK544" s="729"/>
      <c r="AL544" s="729"/>
      <c r="AM544" s="729"/>
      <c r="AN544" s="729"/>
      <c r="AO544" s="729"/>
      <c r="AP544" s="729"/>
      <c r="AQ544" s="729"/>
      <c r="AR544" s="729"/>
      <c r="AS544" s="729"/>
      <c r="AT544" s="729"/>
      <c r="AU544" s="729"/>
      <c r="AV544" s="729"/>
      <c r="AW544" s="729"/>
      <c r="AX544" s="729"/>
      <c r="AY544" s="729"/>
      <c r="AZ544" s="729"/>
      <c r="BA544" s="729"/>
      <c r="BB544" s="729"/>
      <c r="BC544" s="729"/>
      <c r="BD544" s="729"/>
      <c r="BE544" s="729"/>
      <c r="BF544" s="12"/>
      <c r="BG544" s="729"/>
      <c r="BH544" s="729"/>
      <c r="BI544" s="729"/>
      <c r="BJ544" s="729"/>
      <c r="BK544" s="729"/>
      <c r="BL544" s="12"/>
      <c r="BM544" s="729"/>
      <c r="BN544" s="729"/>
      <c r="BO544" s="729"/>
      <c r="BP544" s="729"/>
      <c r="BQ544" s="729"/>
      <c r="BR544" s="729"/>
      <c r="BS544" s="729"/>
      <c r="BT544" s="729"/>
      <c r="BU544" s="729"/>
      <c r="BV544" s="729"/>
      <c r="BW544" s="228"/>
      <c r="BX544" s="729"/>
      <c r="BY544" s="729"/>
      <c r="BZ544" s="729"/>
      <c r="CA544" s="228"/>
      <c r="CB544" s="729"/>
      <c r="CC544" s="729"/>
      <c r="CD544" s="729"/>
      <c r="CE544" s="729"/>
      <c r="CF544" s="729"/>
      <c r="CG544" s="729"/>
      <c r="CH544" s="729"/>
      <c r="CI544" s="729"/>
      <c r="CJ544" s="729"/>
      <c r="CK544" s="228"/>
      <c r="CL544" s="779"/>
      <c r="CM544" s="779"/>
      <c r="CN544" s="729"/>
      <c r="CO544" s="228"/>
      <c r="CP544" s="228"/>
      <c r="CQ544" s="12"/>
      <c r="CR544" s="12"/>
      <c r="CS544" s="729"/>
      <c r="CT544" s="729"/>
      <c r="CU544" s="729"/>
      <c r="CV544" s="729"/>
      <c r="CW544" s="729"/>
      <c r="CX544" s="729"/>
      <c r="CY544" s="729"/>
      <c r="CZ544" s="729"/>
      <c r="DA544" s="729"/>
      <c r="DB544" s="729"/>
      <c r="DC544" s="729"/>
    </row>
    <row r="545" spans="1:107" ht="12.75" customHeight="1">
      <c r="A545" s="228"/>
      <c r="B545" s="228"/>
      <c r="C545" s="1010"/>
      <c r="D545" s="228"/>
      <c r="E545" s="228"/>
      <c r="F545" s="228"/>
      <c r="G545" s="729"/>
      <c r="H545" s="729"/>
      <c r="I545" s="729"/>
      <c r="J545" s="729"/>
      <c r="K545" s="1010"/>
      <c r="L545" s="12"/>
      <c r="M545" s="12"/>
      <c r="N545" s="12"/>
      <c r="O545" s="1010"/>
      <c r="P545" s="1011"/>
      <c r="Q545" s="1011"/>
      <c r="R545" s="12"/>
      <c r="S545" s="12"/>
      <c r="T545" s="12"/>
      <c r="U545" s="12"/>
      <c r="V545" s="12"/>
      <c r="W545" s="1012"/>
      <c r="X545" s="1023"/>
      <c r="Y545" s="1012"/>
      <c r="Z545" s="1012"/>
      <c r="AA545" s="1012"/>
      <c r="AB545" s="1011"/>
      <c r="AC545" s="1011"/>
      <c r="AD545" s="1449"/>
      <c r="AE545" s="729"/>
      <c r="AF545" s="729"/>
      <c r="AG545" s="1014"/>
      <c r="AH545" s="1014"/>
      <c r="AI545" s="1014"/>
      <c r="AJ545" s="729"/>
      <c r="AK545" s="729"/>
      <c r="AL545" s="729"/>
      <c r="AM545" s="729"/>
      <c r="AN545" s="729"/>
      <c r="AO545" s="729"/>
      <c r="AP545" s="729"/>
      <c r="AQ545" s="729"/>
      <c r="AR545" s="729"/>
      <c r="AS545" s="729"/>
      <c r="AT545" s="729"/>
      <c r="AU545" s="729"/>
      <c r="AV545" s="729"/>
      <c r="AW545" s="729"/>
      <c r="AX545" s="729"/>
      <c r="AY545" s="729"/>
      <c r="AZ545" s="729"/>
      <c r="BA545" s="729"/>
      <c r="BB545" s="729"/>
      <c r="BC545" s="729"/>
      <c r="BD545" s="729"/>
      <c r="BE545" s="729"/>
      <c r="BF545" s="12"/>
      <c r="BG545" s="729"/>
      <c r="BH545" s="729"/>
      <c r="BI545" s="729"/>
      <c r="BJ545" s="729"/>
      <c r="BK545" s="729"/>
      <c r="BL545" s="12"/>
      <c r="BM545" s="729"/>
      <c r="BN545" s="729"/>
      <c r="BO545" s="729"/>
      <c r="BP545" s="729"/>
      <c r="BQ545" s="729"/>
      <c r="BR545" s="729"/>
      <c r="BS545" s="729"/>
      <c r="BT545" s="729"/>
      <c r="BU545" s="729"/>
      <c r="BV545" s="729"/>
      <c r="BW545" s="228"/>
      <c r="BX545" s="729"/>
      <c r="BY545" s="729"/>
      <c r="BZ545" s="729"/>
      <c r="CA545" s="228"/>
      <c r="CB545" s="729"/>
      <c r="CC545" s="729"/>
      <c r="CD545" s="729"/>
      <c r="CE545" s="729"/>
      <c r="CF545" s="729"/>
      <c r="CG545" s="729"/>
      <c r="CH545" s="729"/>
      <c r="CI545" s="729"/>
      <c r="CJ545" s="729"/>
      <c r="CK545" s="228"/>
      <c r="CL545" s="779"/>
      <c r="CM545" s="779"/>
      <c r="CN545" s="729"/>
      <c r="CO545" s="228"/>
      <c r="CP545" s="228"/>
      <c r="CQ545" s="12"/>
      <c r="CR545" s="12"/>
      <c r="CS545" s="729"/>
      <c r="CT545" s="729"/>
      <c r="CU545" s="729"/>
      <c r="CV545" s="729"/>
      <c r="CW545" s="729"/>
      <c r="CX545" s="729"/>
      <c r="CY545" s="729"/>
      <c r="CZ545" s="729"/>
      <c r="DA545" s="729"/>
      <c r="DB545" s="729"/>
      <c r="DC545" s="729"/>
    </row>
    <row r="546" spans="1:107" ht="12.75" customHeight="1">
      <c r="A546" s="228"/>
      <c r="B546" s="228"/>
      <c r="C546" s="1010"/>
      <c r="D546" s="228"/>
      <c r="E546" s="228"/>
      <c r="F546" s="228"/>
      <c r="G546" s="729"/>
      <c r="H546" s="729"/>
      <c r="I546" s="729"/>
      <c r="J546" s="729"/>
      <c r="K546" s="1010"/>
      <c r="L546" s="12"/>
      <c r="M546" s="12"/>
      <c r="N546" s="12"/>
      <c r="O546" s="1010"/>
      <c r="P546" s="1011"/>
      <c r="Q546" s="1011"/>
      <c r="R546" s="12"/>
      <c r="S546" s="12"/>
      <c r="T546" s="12"/>
      <c r="U546" s="12"/>
      <c r="V546" s="12"/>
      <c r="W546" s="1012"/>
      <c r="X546" s="1023"/>
      <c r="Y546" s="1012"/>
      <c r="Z546" s="1012"/>
      <c r="AA546" s="1012"/>
      <c r="AB546" s="1011"/>
      <c r="AC546" s="1011"/>
      <c r="AD546" s="1449"/>
      <c r="AE546" s="729"/>
      <c r="AF546" s="729"/>
      <c r="AG546" s="1014"/>
      <c r="AH546" s="1014"/>
      <c r="AI546" s="1014"/>
      <c r="AJ546" s="729"/>
      <c r="AK546" s="729"/>
      <c r="AL546" s="729"/>
      <c r="AM546" s="729"/>
      <c r="AN546" s="729"/>
      <c r="AO546" s="729"/>
      <c r="AP546" s="729"/>
      <c r="AQ546" s="729"/>
      <c r="AR546" s="729"/>
      <c r="AS546" s="729"/>
      <c r="AT546" s="729"/>
      <c r="AU546" s="729"/>
      <c r="AV546" s="729"/>
      <c r="AW546" s="729"/>
      <c r="AX546" s="729"/>
      <c r="AY546" s="729"/>
      <c r="AZ546" s="729"/>
      <c r="BA546" s="729"/>
      <c r="BB546" s="729"/>
      <c r="BC546" s="729"/>
      <c r="BD546" s="729"/>
      <c r="BE546" s="729"/>
      <c r="BF546" s="12"/>
      <c r="BG546" s="729"/>
      <c r="BH546" s="729"/>
      <c r="BI546" s="729"/>
      <c r="BJ546" s="729"/>
      <c r="BK546" s="729"/>
      <c r="BL546" s="12"/>
      <c r="BM546" s="729"/>
      <c r="BN546" s="729"/>
      <c r="BO546" s="729"/>
      <c r="BP546" s="729"/>
      <c r="BQ546" s="729"/>
      <c r="BR546" s="729"/>
      <c r="BS546" s="729"/>
      <c r="BT546" s="729"/>
      <c r="BU546" s="729"/>
      <c r="BV546" s="729"/>
      <c r="BW546" s="228"/>
      <c r="BX546" s="729"/>
      <c r="BY546" s="729"/>
      <c r="BZ546" s="729"/>
      <c r="CA546" s="228"/>
      <c r="CB546" s="729"/>
      <c r="CC546" s="729"/>
      <c r="CD546" s="729"/>
      <c r="CE546" s="729"/>
      <c r="CF546" s="729"/>
      <c r="CG546" s="729"/>
      <c r="CH546" s="729"/>
      <c r="CI546" s="729"/>
      <c r="CJ546" s="729"/>
      <c r="CK546" s="228"/>
      <c r="CL546" s="779"/>
      <c r="CM546" s="779"/>
      <c r="CN546" s="729"/>
      <c r="CO546" s="228"/>
      <c r="CP546" s="228"/>
      <c r="CQ546" s="12"/>
      <c r="CR546" s="12"/>
      <c r="CS546" s="729"/>
      <c r="CT546" s="729"/>
      <c r="CU546" s="729"/>
      <c r="CV546" s="729"/>
      <c r="CW546" s="729"/>
      <c r="CX546" s="729"/>
      <c r="CY546" s="729"/>
      <c r="CZ546" s="729"/>
      <c r="DA546" s="729"/>
      <c r="DB546" s="729"/>
      <c r="DC546" s="729"/>
    </row>
    <row r="547" spans="1:107" ht="12.75" customHeight="1">
      <c r="A547" s="228"/>
      <c r="B547" s="228"/>
      <c r="C547" s="1010"/>
      <c r="D547" s="228"/>
      <c r="E547" s="228"/>
      <c r="F547" s="228"/>
      <c r="G547" s="729"/>
      <c r="H547" s="729"/>
      <c r="I547" s="729"/>
      <c r="J547" s="729"/>
      <c r="K547" s="1010"/>
      <c r="L547" s="12"/>
      <c r="M547" s="12"/>
      <c r="N547" s="12"/>
      <c r="O547" s="1010"/>
      <c r="P547" s="1011"/>
      <c r="Q547" s="1011"/>
      <c r="R547" s="12"/>
      <c r="S547" s="12"/>
      <c r="T547" s="12"/>
      <c r="U547" s="12"/>
      <c r="V547" s="12"/>
      <c r="W547" s="1012"/>
      <c r="X547" s="1023"/>
      <c r="Y547" s="1012"/>
      <c r="Z547" s="1012"/>
      <c r="AA547" s="1012"/>
      <c r="AB547" s="1011"/>
      <c r="AC547" s="1011"/>
      <c r="AD547" s="1449"/>
      <c r="AE547" s="729"/>
      <c r="AF547" s="729"/>
      <c r="AG547" s="1014"/>
      <c r="AH547" s="1014"/>
      <c r="AI547" s="1014"/>
      <c r="AJ547" s="729"/>
      <c r="AK547" s="729"/>
      <c r="AL547" s="729"/>
      <c r="AM547" s="729"/>
      <c r="AN547" s="729"/>
      <c r="AO547" s="729"/>
      <c r="AP547" s="729"/>
      <c r="AQ547" s="729"/>
      <c r="AR547" s="729"/>
      <c r="AS547" s="729"/>
      <c r="AT547" s="729"/>
      <c r="AU547" s="729"/>
      <c r="AV547" s="729"/>
      <c r="AW547" s="729"/>
      <c r="AX547" s="729"/>
      <c r="AY547" s="729"/>
      <c r="AZ547" s="729"/>
      <c r="BA547" s="729"/>
      <c r="BB547" s="729"/>
      <c r="BC547" s="729"/>
      <c r="BD547" s="729"/>
      <c r="BE547" s="729"/>
      <c r="BF547" s="12"/>
      <c r="BG547" s="729"/>
      <c r="BH547" s="729"/>
      <c r="BI547" s="729"/>
      <c r="BJ547" s="729"/>
      <c r="BK547" s="729"/>
      <c r="BL547" s="12"/>
      <c r="BM547" s="729"/>
      <c r="BN547" s="729"/>
      <c r="BO547" s="729"/>
      <c r="BP547" s="729"/>
      <c r="BQ547" s="729"/>
      <c r="BR547" s="729"/>
      <c r="BS547" s="729"/>
      <c r="BT547" s="729"/>
      <c r="BU547" s="729"/>
      <c r="BV547" s="729"/>
      <c r="BW547" s="228"/>
      <c r="BX547" s="729"/>
      <c r="BY547" s="729"/>
      <c r="BZ547" s="729"/>
      <c r="CA547" s="228"/>
      <c r="CB547" s="729"/>
      <c r="CC547" s="729"/>
      <c r="CD547" s="729"/>
      <c r="CE547" s="729"/>
      <c r="CF547" s="729"/>
      <c r="CG547" s="729"/>
      <c r="CH547" s="729"/>
      <c r="CI547" s="729"/>
      <c r="CJ547" s="729"/>
      <c r="CK547" s="228"/>
      <c r="CL547" s="779"/>
      <c r="CM547" s="779"/>
      <c r="CN547" s="729"/>
      <c r="CO547" s="228"/>
      <c r="CP547" s="228"/>
      <c r="CQ547" s="12"/>
      <c r="CR547" s="12"/>
      <c r="CS547" s="729"/>
      <c r="CT547" s="729"/>
      <c r="CU547" s="729"/>
      <c r="CV547" s="729"/>
      <c r="CW547" s="729"/>
      <c r="CX547" s="729"/>
      <c r="CY547" s="729"/>
      <c r="CZ547" s="729"/>
      <c r="DA547" s="729"/>
      <c r="DB547" s="729"/>
      <c r="DC547" s="729"/>
    </row>
    <row r="548" spans="1:107" ht="12.75" customHeight="1">
      <c r="A548" s="228"/>
      <c r="B548" s="228"/>
      <c r="C548" s="1010"/>
      <c r="D548" s="228"/>
      <c r="E548" s="228"/>
      <c r="F548" s="228"/>
      <c r="G548" s="729"/>
      <c r="H548" s="729"/>
      <c r="I548" s="729"/>
      <c r="J548" s="729"/>
      <c r="K548" s="1010"/>
      <c r="L548" s="12"/>
      <c r="M548" s="12"/>
      <c r="N548" s="12"/>
      <c r="O548" s="1010"/>
      <c r="P548" s="1011"/>
      <c r="Q548" s="1011"/>
      <c r="R548" s="12"/>
      <c r="S548" s="12"/>
      <c r="T548" s="12"/>
      <c r="U548" s="12"/>
      <c r="V548" s="12"/>
      <c r="W548" s="1012"/>
      <c r="X548" s="1023"/>
      <c r="Y548" s="1012"/>
      <c r="Z548" s="1012"/>
      <c r="AA548" s="1012"/>
      <c r="AB548" s="1011"/>
      <c r="AC548" s="1011"/>
      <c r="AD548" s="1449"/>
      <c r="AE548" s="729"/>
      <c r="AF548" s="729"/>
      <c r="AG548" s="1014"/>
      <c r="AH548" s="1014"/>
      <c r="AI548" s="1014"/>
      <c r="AJ548" s="729"/>
      <c r="AK548" s="729"/>
      <c r="AL548" s="729"/>
      <c r="AM548" s="729"/>
      <c r="AN548" s="729"/>
      <c r="AO548" s="729"/>
      <c r="AP548" s="729"/>
      <c r="AQ548" s="729"/>
      <c r="AR548" s="729"/>
      <c r="AS548" s="729"/>
      <c r="AT548" s="729"/>
      <c r="AU548" s="729"/>
      <c r="AV548" s="729"/>
      <c r="AW548" s="729"/>
      <c r="AX548" s="729"/>
      <c r="AY548" s="729"/>
      <c r="AZ548" s="729"/>
      <c r="BA548" s="729"/>
      <c r="BB548" s="729"/>
      <c r="BC548" s="729"/>
      <c r="BD548" s="729"/>
      <c r="BE548" s="729"/>
      <c r="BF548" s="12"/>
      <c r="BG548" s="729"/>
      <c r="BH548" s="729"/>
      <c r="BI548" s="729"/>
      <c r="BJ548" s="729"/>
      <c r="BK548" s="729"/>
      <c r="BL548" s="12"/>
      <c r="BM548" s="729"/>
      <c r="BN548" s="729"/>
      <c r="BO548" s="729"/>
      <c r="BP548" s="729"/>
      <c r="BQ548" s="729"/>
      <c r="BR548" s="729"/>
      <c r="BS548" s="729"/>
      <c r="BT548" s="729"/>
      <c r="BU548" s="729"/>
      <c r="BV548" s="729"/>
      <c r="BW548" s="228"/>
      <c r="BX548" s="729"/>
      <c r="BY548" s="729"/>
      <c r="BZ548" s="729"/>
      <c r="CA548" s="228"/>
      <c r="CB548" s="729"/>
      <c r="CC548" s="729"/>
      <c r="CD548" s="729"/>
      <c r="CE548" s="729"/>
      <c r="CF548" s="729"/>
      <c r="CG548" s="729"/>
      <c r="CH548" s="729"/>
      <c r="CI548" s="729"/>
      <c r="CJ548" s="729"/>
      <c r="CK548" s="228"/>
      <c r="CL548" s="779"/>
      <c r="CM548" s="779"/>
      <c r="CN548" s="729"/>
      <c r="CO548" s="228"/>
      <c r="CP548" s="228"/>
      <c r="CQ548" s="12"/>
      <c r="CR548" s="12"/>
      <c r="CS548" s="729"/>
      <c r="CT548" s="729"/>
      <c r="CU548" s="729"/>
      <c r="CV548" s="729"/>
      <c r="CW548" s="729"/>
      <c r="CX548" s="729"/>
      <c r="CY548" s="729"/>
      <c r="CZ548" s="729"/>
      <c r="DA548" s="729"/>
      <c r="DB548" s="729"/>
      <c r="DC548" s="729"/>
    </row>
    <row r="549" spans="1:107" ht="12.75" customHeight="1">
      <c r="A549" s="228"/>
      <c r="B549" s="228"/>
      <c r="C549" s="1010"/>
      <c r="D549" s="228"/>
      <c r="E549" s="228"/>
      <c r="F549" s="228"/>
      <c r="G549" s="729"/>
      <c r="H549" s="729"/>
      <c r="I549" s="729"/>
      <c r="J549" s="729"/>
      <c r="K549" s="1010"/>
      <c r="L549" s="12"/>
      <c r="M549" s="12"/>
      <c r="N549" s="12"/>
      <c r="O549" s="1010"/>
      <c r="P549" s="1011"/>
      <c r="Q549" s="1011"/>
      <c r="R549" s="12"/>
      <c r="S549" s="12"/>
      <c r="T549" s="12"/>
      <c r="U549" s="12"/>
      <c r="V549" s="12"/>
      <c r="W549" s="1012"/>
      <c r="X549" s="1023"/>
      <c r="Y549" s="1012"/>
      <c r="Z549" s="1012"/>
      <c r="AA549" s="1012"/>
      <c r="AB549" s="1011"/>
      <c r="AC549" s="1011"/>
      <c r="AD549" s="1449"/>
      <c r="AE549" s="729"/>
      <c r="AF549" s="729"/>
      <c r="AG549" s="1014"/>
      <c r="AH549" s="1014"/>
      <c r="AI549" s="1014"/>
      <c r="AJ549" s="729"/>
      <c r="AK549" s="729"/>
      <c r="AL549" s="729"/>
      <c r="AM549" s="729"/>
      <c r="AN549" s="729"/>
      <c r="AO549" s="729"/>
      <c r="AP549" s="729"/>
      <c r="AQ549" s="729"/>
      <c r="AR549" s="729"/>
      <c r="AS549" s="729"/>
      <c r="AT549" s="729"/>
      <c r="AU549" s="729"/>
      <c r="AV549" s="729"/>
      <c r="AW549" s="729"/>
      <c r="AX549" s="729"/>
      <c r="AY549" s="729"/>
      <c r="AZ549" s="729"/>
      <c r="BA549" s="729"/>
      <c r="BB549" s="729"/>
      <c r="BC549" s="729"/>
      <c r="BD549" s="729"/>
      <c r="BE549" s="729"/>
      <c r="BF549" s="12"/>
      <c r="BG549" s="729"/>
      <c r="BH549" s="729"/>
      <c r="BI549" s="729"/>
      <c r="BJ549" s="729"/>
      <c r="BK549" s="729"/>
      <c r="BL549" s="12"/>
      <c r="BM549" s="729"/>
      <c r="BN549" s="729"/>
      <c r="BO549" s="729"/>
      <c r="BP549" s="729"/>
      <c r="BQ549" s="729"/>
      <c r="BR549" s="729"/>
      <c r="BS549" s="729"/>
      <c r="BT549" s="729"/>
      <c r="BU549" s="729"/>
      <c r="BV549" s="729"/>
      <c r="BW549" s="228"/>
      <c r="BX549" s="729"/>
      <c r="BY549" s="729"/>
      <c r="BZ549" s="729"/>
      <c r="CA549" s="228"/>
      <c r="CB549" s="729"/>
      <c r="CC549" s="729"/>
      <c r="CD549" s="729"/>
      <c r="CE549" s="729"/>
      <c r="CF549" s="729"/>
      <c r="CG549" s="729"/>
      <c r="CH549" s="729"/>
      <c r="CI549" s="729"/>
      <c r="CJ549" s="729"/>
      <c r="CK549" s="228"/>
      <c r="CL549" s="779"/>
      <c r="CM549" s="779"/>
      <c r="CN549" s="729"/>
      <c r="CO549" s="228"/>
      <c r="CP549" s="228"/>
      <c r="CQ549" s="12"/>
      <c r="CR549" s="12"/>
      <c r="CS549" s="729"/>
      <c r="CT549" s="729"/>
      <c r="CU549" s="729"/>
      <c r="CV549" s="729"/>
      <c r="CW549" s="729"/>
      <c r="CX549" s="729"/>
      <c r="CY549" s="729"/>
      <c r="CZ549" s="729"/>
      <c r="DA549" s="729"/>
      <c r="DB549" s="729"/>
      <c r="DC549" s="729"/>
    </row>
    <row r="550" spans="1:107" ht="12.75" customHeight="1">
      <c r="A550" s="228"/>
      <c r="B550" s="228"/>
      <c r="C550" s="1010"/>
      <c r="D550" s="228"/>
      <c r="E550" s="228"/>
      <c r="F550" s="228"/>
      <c r="G550" s="729"/>
      <c r="H550" s="729"/>
      <c r="I550" s="729"/>
      <c r="J550" s="729"/>
      <c r="K550" s="1010"/>
      <c r="L550" s="12"/>
      <c r="M550" s="12"/>
      <c r="N550" s="12"/>
      <c r="O550" s="1010"/>
      <c r="P550" s="1011"/>
      <c r="Q550" s="1011"/>
      <c r="R550" s="12"/>
      <c r="S550" s="12"/>
      <c r="T550" s="12"/>
      <c r="U550" s="12"/>
      <c r="V550" s="12"/>
      <c r="W550" s="1012"/>
      <c r="X550" s="1023"/>
      <c r="Y550" s="1012"/>
      <c r="Z550" s="1012"/>
      <c r="AA550" s="1012"/>
      <c r="AB550" s="1011"/>
      <c r="AC550" s="1011"/>
      <c r="AD550" s="1449"/>
      <c r="AE550" s="729"/>
      <c r="AF550" s="729"/>
      <c r="AG550" s="1014"/>
      <c r="AH550" s="1014"/>
      <c r="AI550" s="1014"/>
      <c r="AJ550" s="729"/>
      <c r="AK550" s="729"/>
      <c r="AL550" s="729"/>
      <c r="AM550" s="729"/>
      <c r="AN550" s="729"/>
      <c r="AO550" s="729"/>
      <c r="AP550" s="729"/>
      <c r="AQ550" s="729"/>
      <c r="AR550" s="729"/>
      <c r="AS550" s="729"/>
      <c r="AT550" s="729"/>
      <c r="AU550" s="729"/>
      <c r="AV550" s="729"/>
      <c r="AW550" s="729"/>
      <c r="AX550" s="729"/>
      <c r="AY550" s="729"/>
      <c r="AZ550" s="729"/>
      <c r="BA550" s="729"/>
      <c r="BB550" s="729"/>
      <c r="BC550" s="729"/>
      <c r="BD550" s="729"/>
      <c r="BE550" s="729"/>
      <c r="BF550" s="12"/>
      <c r="BG550" s="729"/>
      <c r="BH550" s="729"/>
      <c r="BI550" s="729"/>
      <c r="BJ550" s="729"/>
      <c r="BK550" s="729"/>
      <c r="BL550" s="12"/>
      <c r="BM550" s="729"/>
      <c r="BN550" s="729"/>
      <c r="BO550" s="729"/>
      <c r="BP550" s="729"/>
      <c r="BQ550" s="729"/>
      <c r="BR550" s="729"/>
      <c r="BS550" s="729"/>
      <c r="BT550" s="729"/>
      <c r="BU550" s="729"/>
      <c r="BV550" s="729"/>
      <c r="BW550" s="228"/>
      <c r="BX550" s="729"/>
      <c r="BY550" s="729"/>
      <c r="BZ550" s="729"/>
      <c r="CA550" s="228"/>
      <c r="CB550" s="729"/>
      <c r="CC550" s="729"/>
      <c r="CD550" s="729"/>
      <c r="CE550" s="729"/>
      <c r="CF550" s="729"/>
      <c r="CG550" s="729"/>
      <c r="CH550" s="729"/>
      <c r="CI550" s="729"/>
      <c r="CJ550" s="729"/>
      <c r="CK550" s="228"/>
      <c r="CL550" s="779"/>
      <c r="CM550" s="779"/>
      <c r="CN550" s="729"/>
      <c r="CO550" s="228"/>
      <c r="CP550" s="228"/>
      <c r="CQ550" s="12"/>
      <c r="CR550" s="12"/>
      <c r="CS550" s="729"/>
      <c r="CT550" s="729"/>
      <c r="CU550" s="729"/>
      <c r="CV550" s="729"/>
      <c r="CW550" s="729"/>
      <c r="CX550" s="729"/>
      <c r="CY550" s="729"/>
      <c r="CZ550" s="729"/>
      <c r="DA550" s="729"/>
      <c r="DB550" s="729"/>
      <c r="DC550" s="729"/>
    </row>
    <row r="551" spans="1:107" ht="12.75" customHeight="1">
      <c r="A551" s="228"/>
      <c r="B551" s="228"/>
      <c r="C551" s="1010"/>
      <c r="D551" s="228"/>
      <c r="E551" s="228"/>
      <c r="F551" s="228"/>
      <c r="G551" s="729"/>
      <c r="H551" s="729"/>
      <c r="I551" s="729"/>
      <c r="J551" s="729"/>
      <c r="K551" s="1010"/>
      <c r="L551" s="12"/>
      <c r="M551" s="12"/>
      <c r="N551" s="12"/>
      <c r="O551" s="1010"/>
      <c r="P551" s="1011"/>
      <c r="Q551" s="1011"/>
      <c r="R551" s="12"/>
      <c r="S551" s="12"/>
      <c r="T551" s="12"/>
      <c r="U551" s="12"/>
      <c r="V551" s="12"/>
      <c r="W551" s="1012"/>
      <c r="X551" s="1023"/>
      <c r="Y551" s="1012"/>
      <c r="Z551" s="1012"/>
      <c r="AA551" s="1012"/>
      <c r="AB551" s="1011"/>
      <c r="AC551" s="1011"/>
      <c r="AD551" s="1449"/>
      <c r="AE551" s="729"/>
      <c r="AF551" s="729"/>
      <c r="AG551" s="1014"/>
      <c r="AH551" s="1014"/>
      <c r="AI551" s="1014"/>
      <c r="AJ551" s="729"/>
      <c r="AK551" s="729"/>
      <c r="AL551" s="729"/>
      <c r="AM551" s="729"/>
      <c r="AN551" s="729"/>
      <c r="AO551" s="729"/>
      <c r="AP551" s="729"/>
      <c r="AQ551" s="729"/>
      <c r="AR551" s="729"/>
      <c r="AS551" s="729"/>
      <c r="AT551" s="729"/>
      <c r="AU551" s="729"/>
      <c r="AV551" s="729"/>
      <c r="AW551" s="729"/>
      <c r="AX551" s="729"/>
      <c r="AY551" s="729"/>
      <c r="AZ551" s="729"/>
      <c r="BA551" s="729"/>
      <c r="BB551" s="729"/>
      <c r="BC551" s="729"/>
      <c r="BD551" s="729"/>
      <c r="BE551" s="729"/>
      <c r="BF551" s="12"/>
      <c r="BG551" s="729"/>
      <c r="BH551" s="729"/>
      <c r="BI551" s="729"/>
      <c r="BJ551" s="729"/>
      <c r="BK551" s="729"/>
      <c r="BL551" s="12"/>
      <c r="BM551" s="729"/>
      <c r="BN551" s="729"/>
      <c r="BO551" s="729"/>
      <c r="BP551" s="729"/>
      <c r="BQ551" s="729"/>
      <c r="BR551" s="729"/>
      <c r="BS551" s="729"/>
      <c r="BT551" s="729"/>
      <c r="BU551" s="729"/>
      <c r="BV551" s="729"/>
      <c r="BW551" s="228"/>
      <c r="BX551" s="729"/>
      <c r="BY551" s="729"/>
      <c r="BZ551" s="729"/>
      <c r="CA551" s="228"/>
      <c r="CB551" s="729"/>
      <c r="CC551" s="729"/>
      <c r="CD551" s="729"/>
      <c r="CE551" s="729"/>
      <c r="CF551" s="729"/>
      <c r="CG551" s="729"/>
      <c r="CH551" s="729"/>
      <c r="CI551" s="729"/>
      <c r="CJ551" s="729"/>
      <c r="CK551" s="228"/>
      <c r="CL551" s="779"/>
      <c r="CM551" s="779"/>
      <c r="CN551" s="729"/>
      <c r="CO551" s="228"/>
      <c r="CP551" s="228"/>
      <c r="CQ551" s="12"/>
      <c r="CR551" s="12"/>
      <c r="CS551" s="729"/>
      <c r="CT551" s="729"/>
      <c r="CU551" s="729"/>
      <c r="CV551" s="729"/>
      <c r="CW551" s="729"/>
      <c r="CX551" s="729"/>
      <c r="CY551" s="729"/>
      <c r="CZ551" s="729"/>
      <c r="DA551" s="729"/>
      <c r="DB551" s="729"/>
      <c r="DC551" s="729"/>
    </row>
    <row r="552" spans="1:107" ht="12.75" customHeight="1">
      <c r="A552" s="228"/>
      <c r="B552" s="228"/>
      <c r="C552" s="1010"/>
      <c r="D552" s="228"/>
      <c r="E552" s="228"/>
      <c r="F552" s="228"/>
      <c r="G552" s="729"/>
      <c r="H552" s="729"/>
      <c r="I552" s="729"/>
      <c r="J552" s="729"/>
      <c r="K552" s="1010"/>
      <c r="L552" s="12"/>
      <c r="M552" s="12"/>
      <c r="N552" s="12"/>
      <c r="O552" s="1010"/>
      <c r="P552" s="1011"/>
      <c r="Q552" s="1011"/>
      <c r="R552" s="12"/>
      <c r="S552" s="12"/>
      <c r="T552" s="12"/>
      <c r="U552" s="12"/>
      <c r="V552" s="12"/>
      <c r="W552" s="1012"/>
      <c r="X552" s="1023"/>
      <c r="Y552" s="1012"/>
      <c r="Z552" s="1012"/>
      <c r="AA552" s="1012"/>
      <c r="AB552" s="1011"/>
      <c r="AC552" s="1011"/>
      <c r="AD552" s="1449"/>
      <c r="AE552" s="729"/>
      <c r="AF552" s="729"/>
      <c r="AG552" s="1014"/>
      <c r="AH552" s="1014"/>
      <c r="AI552" s="1014"/>
      <c r="AJ552" s="729"/>
      <c r="AK552" s="729"/>
      <c r="AL552" s="729"/>
      <c r="AM552" s="729"/>
      <c r="AN552" s="729"/>
      <c r="AO552" s="729"/>
      <c r="AP552" s="729"/>
      <c r="AQ552" s="729"/>
      <c r="AR552" s="729"/>
      <c r="AS552" s="729"/>
      <c r="AT552" s="729"/>
      <c r="AU552" s="729"/>
      <c r="AV552" s="729"/>
      <c r="AW552" s="729"/>
      <c r="AX552" s="729"/>
      <c r="AY552" s="729"/>
      <c r="AZ552" s="729"/>
      <c r="BA552" s="729"/>
      <c r="BB552" s="729"/>
      <c r="BC552" s="729"/>
      <c r="BD552" s="729"/>
      <c r="BE552" s="729"/>
      <c r="BF552" s="12"/>
      <c r="BG552" s="729"/>
      <c r="BH552" s="729"/>
      <c r="BI552" s="729"/>
      <c r="BJ552" s="729"/>
      <c r="BK552" s="729"/>
      <c r="BL552" s="12"/>
      <c r="BM552" s="729"/>
      <c r="BN552" s="729"/>
      <c r="BO552" s="729"/>
      <c r="BP552" s="729"/>
      <c r="BQ552" s="729"/>
      <c r="BR552" s="729"/>
      <c r="BS552" s="729"/>
      <c r="BT552" s="729"/>
      <c r="BU552" s="729"/>
      <c r="BV552" s="729"/>
      <c r="BW552" s="228"/>
      <c r="BX552" s="729"/>
      <c r="BY552" s="729"/>
      <c r="BZ552" s="729"/>
      <c r="CA552" s="228"/>
      <c r="CB552" s="729"/>
      <c r="CC552" s="729"/>
      <c r="CD552" s="729"/>
      <c r="CE552" s="729"/>
      <c r="CF552" s="729"/>
      <c r="CG552" s="729"/>
      <c r="CH552" s="729"/>
      <c r="CI552" s="729"/>
      <c r="CJ552" s="729"/>
      <c r="CK552" s="228"/>
      <c r="CL552" s="779"/>
      <c r="CM552" s="779"/>
      <c r="CN552" s="729"/>
      <c r="CO552" s="228"/>
      <c r="CP552" s="228"/>
      <c r="CQ552" s="12"/>
      <c r="CR552" s="12"/>
      <c r="CS552" s="729"/>
      <c r="CT552" s="729"/>
      <c r="CU552" s="729"/>
      <c r="CV552" s="729"/>
      <c r="CW552" s="729"/>
      <c r="CX552" s="729"/>
      <c r="CY552" s="729"/>
      <c r="CZ552" s="729"/>
      <c r="DA552" s="729"/>
      <c r="DB552" s="729"/>
      <c r="DC552" s="729"/>
    </row>
    <row r="553" spans="1:107" ht="12.75" customHeight="1">
      <c r="A553" s="228"/>
      <c r="B553" s="228"/>
      <c r="C553" s="1010"/>
      <c r="D553" s="228"/>
      <c r="E553" s="228"/>
      <c r="F553" s="228"/>
      <c r="G553" s="729"/>
      <c r="H553" s="729"/>
      <c r="I553" s="729"/>
      <c r="J553" s="729"/>
      <c r="K553" s="1010"/>
      <c r="L553" s="12"/>
      <c r="M553" s="12"/>
      <c r="N553" s="12"/>
      <c r="O553" s="1010"/>
      <c r="P553" s="1011"/>
      <c r="Q553" s="1011"/>
      <c r="R553" s="12"/>
      <c r="S553" s="12"/>
      <c r="T553" s="12"/>
      <c r="U553" s="12"/>
      <c r="V553" s="12"/>
      <c r="W553" s="1012"/>
      <c r="X553" s="1023"/>
      <c r="Y553" s="1012"/>
      <c r="Z553" s="1012"/>
      <c r="AA553" s="1012"/>
      <c r="AB553" s="1011"/>
      <c r="AC553" s="1011"/>
      <c r="AD553" s="1449"/>
      <c r="AE553" s="729"/>
      <c r="AF553" s="729"/>
      <c r="AG553" s="1014"/>
      <c r="AH553" s="1014"/>
      <c r="AI553" s="1014"/>
      <c r="AJ553" s="729"/>
      <c r="AK553" s="729"/>
      <c r="AL553" s="729"/>
      <c r="AM553" s="729"/>
      <c r="AN553" s="729"/>
      <c r="AO553" s="729"/>
      <c r="AP553" s="729"/>
      <c r="AQ553" s="729"/>
      <c r="AR553" s="729"/>
      <c r="AS553" s="729"/>
      <c r="AT553" s="729"/>
      <c r="AU553" s="729"/>
      <c r="AV553" s="729"/>
      <c r="AW553" s="729"/>
      <c r="AX553" s="729"/>
      <c r="AY553" s="729"/>
      <c r="AZ553" s="729"/>
      <c r="BA553" s="729"/>
      <c r="BB553" s="729"/>
      <c r="BC553" s="729"/>
      <c r="BD553" s="729"/>
      <c r="BE553" s="729"/>
      <c r="BF553" s="12"/>
      <c r="BG553" s="729"/>
      <c r="BH553" s="729"/>
      <c r="BI553" s="729"/>
      <c r="BJ553" s="729"/>
      <c r="BK553" s="729"/>
      <c r="BL553" s="12"/>
      <c r="BM553" s="729"/>
      <c r="BN553" s="729"/>
      <c r="BO553" s="729"/>
      <c r="BP553" s="729"/>
      <c r="BQ553" s="729"/>
      <c r="BR553" s="729"/>
      <c r="BS553" s="729"/>
      <c r="BT553" s="729"/>
      <c r="BU553" s="729"/>
      <c r="BV553" s="729"/>
      <c r="BW553" s="228"/>
      <c r="BX553" s="729"/>
      <c r="BY553" s="729"/>
      <c r="BZ553" s="729"/>
      <c r="CA553" s="228"/>
      <c r="CB553" s="729"/>
      <c r="CC553" s="729"/>
      <c r="CD553" s="729"/>
      <c r="CE553" s="729"/>
      <c r="CF553" s="729"/>
      <c r="CG553" s="729"/>
      <c r="CH553" s="729"/>
      <c r="CI553" s="729"/>
      <c r="CJ553" s="729"/>
      <c r="CK553" s="228"/>
      <c r="CL553" s="779"/>
      <c r="CM553" s="779"/>
      <c r="CN553" s="729"/>
      <c r="CO553" s="228"/>
      <c r="CP553" s="228"/>
      <c r="CQ553" s="12"/>
      <c r="CR553" s="12"/>
      <c r="CS553" s="729"/>
      <c r="CT553" s="729"/>
      <c r="CU553" s="729"/>
      <c r="CV553" s="729"/>
      <c r="CW553" s="729"/>
      <c r="CX553" s="729"/>
      <c r="CY553" s="729"/>
      <c r="CZ553" s="729"/>
      <c r="DA553" s="729"/>
      <c r="DB553" s="729"/>
      <c r="DC553" s="729"/>
    </row>
    <row r="554" spans="1:107" ht="12.75" customHeight="1">
      <c r="A554" s="228"/>
      <c r="B554" s="228"/>
      <c r="C554" s="1010"/>
      <c r="D554" s="228"/>
      <c r="E554" s="228"/>
      <c r="F554" s="228"/>
      <c r="G554" s="729"/>
      <c r="H554" s="729"/>
      <c r="I554" s="729"/>
      <c r="J554" s="729"/>
      <c r="K554" s="1010"/>
      <c r="L554" s="12"/>
      <c r="M554" s="12"/>
      <c r="N554" s="12"/>
      <c r="O554" s="1010"/>
      <c r="P554" s="1011"/>
      <c r="Q554" s="1011"/>
      <c r="R554" s="12"/>
      <c r="S554" s="12"/>
      <c r="T554" s="12"/>
      <c r="U554" s="12"/>
      <c r="V554" s="12"/>
      <c r="W554" s="1012"/>
      <c r="X554" s="1023"/>
      <c r="Y554" s="1012"/>
      <c r="Z554" s="1012"/>
      <c r="AA554" s="1012"/>
      <c r="AB554" s="1011"/>
      <c r="AC554" s="1011"/>
      <c r="AD554" s="1449"/>
      <c r="AE554" s="729"/>
      <c r="AF554" s="729"/>
      <c r="AG554" s="1014"/>
      <c r="AH554" s="1014"/>
      <c r="AI554" s="1014"/>
      <c r="AJ554" s="729"/>
      <c r="AK554" s="729"/>
      <c r="AL554" s="729"/>
      <c r="AM554" s="729"/>
      <c r="AN554" s="729"/>
      <c r="AO554" s="729"/>
      <c r="AP554" s="729"/>
      <c r="AQ554" s="729"/>
      <c r="AR554" s="729"/>
      <c r="AS554" s="729"/>
      <c r="AT554" s="729"/>
      <c r="AU554" s="729"/>
      <c r="AV554" s="729"/>
      <c r="AW554" s="729"/>
      <c r="AX554" s="729"/>
      <c r="AY554" s="729"/>
      <c r="AZ554" s="729"/>
      <c r="BA554" s="729"/>
      <c r="BB554" s="729"/>
      <c r="BC554" s="729"/>
      <c r="BD554" s="729"/>
      <c r="BE554" s="729"/>
      <c r="BF554" s="12"/>
      <c r="BG554" s="729"/>
      <c r="BH554" s="729"/>
      <c r="BI554" s="729"/>
      <c r="BJ554" s="729"/>
      <c r="BK554" s="729"/>
      <c r="BL554" s="12"/>
      <c r="BM554" s="729"/>
      <c r="BN554" s="729"/>
      <c r="BO554" s="729"/>
      <c r="BP554" s="729"/>
      <c r="BQ554" s="729"/>
      <c r="BR554" s="729"/>
      <c r="BS554" s="729"/>
      <c r="BT554" s="729"/>
      <c r="BU554" s="729"/>
      <c r="BV554" s="729"/>
      <c r="BW554" s="228"/>
      <c r="BX554" s="729"/>
      <c r="BY554" s="729"/>
      <c r="BZ554" s="729"/>
      <c r="CA554" s="228"/>
      <c r="CB554" s="729"/>
      <c r="CC554" s="729"/>
      <c r="CD554" s="729"/>
      <c r="CE554" s="729"/>
      <c r="CF554" s="729"/>
      <c r="CG554" s="729"/>
      <c r="CH554" s="729"/>
      <c r="CI554" s="729"/>
      <c r="CJ554" s="729"/>
      <c r="CK554" s="228"/>
      <c r="CL554" s="779"/>
      <c r="CM554" s="779"/>
      <c r="CN554" s="729"/>
      <c r="CO554" s="228"/>
      <c r="CP554" s="228"/>
      <c r="CQ554" s="12"/>
      <c r="CR554" s="12"/>
      <c r="CS554" s="729"/>
      <c r="CT554" s="729"/>
      <c r="CU554" s="729"/>
      <c r="CV554" s="729"/>
      <c r="CW554" s="729"/>
      <c r="CX554" s="729"/>
      <c r="CY554" s="729"/>
      <c r="CZ554" s="729"/>
      <c r="DA554" s="729"/>
      <c r="DB554" s="729"/>
      <c r="DC554" s="729"/>
    </row>
    <row r="555" spans="1:107" ht="12.75" customHeight="1">
      <c r="A555" s="228"/>
      <c r="B555" s="228"/>
      <c r="C555" s="1010"/>
      <c r="D555" s="228"/>
      <c r="E555" s="228"/>
      <c r="F555" s="228"/>
      <c r="G555" s="729"/>
      <c r="H555" s="729"/>
      <c r="I555" s="729"/>
      <c r="J555" s="729"/>
      <c r="K555" s="1010"/>
      <c r="L555" s="12"/>
      <c r="M555" s="12"/>
      <c r="N555" s="12"/>
      <c r="O555" s="1010"/>
      <c r="P555" s="1011"/>
      <c r="Q555" s="1011"/>
      <c r="R555" s="12"/>
      <c r="S555" s="12"/>
      <c r="T555" s="12"/>
      <c r="U555" s="12"/>
      <c r="V555" s="12"/>
      <c r="W555" s="1012"/>
      <c r="X555" s="1023"/>
      <c r="Y555" s="1012"/>
      <c r="Z555" s="1012"/>
      <c r="AA555" s="1012"/>
      <c r="AB555" s="1011"/>
      <c r="AC555" s="1011"/>
      <c r="AD555" s="1449"/>
      <c r="AE555" s="729"/>
      <c r="AF555" s="729"/>
      <c r="AG555" s="1014"/>
      <c r="AH555" s="1014"/>
      <c r="AI555" s="1014"/>
      <c r="AJ555" s="729"/>
      <c r="AK555" s="729"/>
      <c r="AL555" s="729"/>
      <c r="AM555" s="729"/>
      <c r="AN555" s="729"/>
      <c r="AO555" s="729"/>
      <c r="AP555" s="729"/>
      <c r="AQ555" s="729"/>
      <c r="AR555" s="729"/>
      <c r="AS555" s="729"/>
      <c r="AT555" s="729"/>
      <c r="AU555" s="729"/>
      <c r="AV555" s="729"/>
      <c r="AW555" s="729"/>
      <c r="AX555" s="729"/>
      <c r="AY555" s="729"/>
      <c r="AZ555" s="729"/>
      <c r="BA555" s="729"/>
      <c r="BB555" s="729"/>
      <c r="BC555" s="729"/>
      <c r="BD555" s="729"/>
      <c r="BE555" s="729"/>
      <c r="BF555" s="12"/>
      <c r="BG555" s="729"/>
      <c r="BH555" s="729"/>
      <c r="BI555" s="729"/>
      <c r="BJ555" s="729"/>
      <c r="BK555" s="729"/>
      <c r="BL555" s="12"/>
      <c r="BM555" s="729"/>
      <c r="BN555" s="729"/>
      <c r="BO555" s="729"/>
      <c r="BP555" s="729"/>
      <c r="BQ555" s="729"/>
      <c r="BR555" s="729"/>
      <c r="BS555" s="729"/>
      <c r="BT555" s="729"/>
      <c r="BU555" s="729"/>
      <c r="BV555" s="729"/>
      <c r="BW555" s="228"/>
      <c r="BX555" s="729"/>
      <c r="BY555" s="729"/>
      <c r="BZ555" s="729"/>
      <c r="CA555" s="228"/>
      <c r="CB555" s="729"/>
      <c r="CC555" s="729"/>
      <c r="CD555" s="729"/>
      <c r="CE555" s="729"/>
      <c r="CF555" s="729"/>
      <c r="CG555" s="729"/>
      <c r="CH555" s="729"/>
      <c r="CI555" s="729"/>
      <c r="CJ555" s="729"/>
      <c r="CK555" s="228"/>
      <c r="CL555" s="779"/>
      <c r="CM555" s="779"/>
      <c r="CN555" s="729"/>
      <c r="CO555" s="228"/>
      <c r="CP555" s="228"/>
      <c r="CQ555" s="12"/>
      <c r="CR555" s="12"/>
      <c r="CS555" s="729"/>
      <c r="CT555" s="729"/>
      <c r="CU555" s="729"/>
      <c r="CV555" s="729"/>
      <c r="CW555" s="729"/>
      <c r="CX555" s="729"/>
      <c r="CY555" s="729"/>
      <c r="CZ555" s="729"/>
      <c r="DA555" s="729"/>
      <c r="DB555" s="729"/>
      <c r="DC555" s="729"/>
    </row>
    <row r="556" spans="1:107" ht="12.75" customHeight="1">
      <c r="A556" s="228"/>
      <c r="B556" s="228"/>
      <c r="C556" s="1010"/>
      <c r="D556" s="228"/>
      <c r="E556" s="228"/>
      <c r="F556" s="228"/>
      <c r="G556" s="729"/>
      <c r="H556" s="729"/>
      <c r="I556" s="729"/>
      <c r="J556" s="729"/>
      <c r="K556" s="1010"/>
      <c r="L556" s="12"/>
      <c r="M556" s="12"/>
      <c r="N556" s="12"/>
      <c r="O556" s="1010"/>
      <c r="P556" s="1011"/>
      <c r="Q556" s="1011"/>
      <c r="R556" s="12"/>
      <c r="S556" s="12"/>
      <c r="T556" s="12"/>
      <c r="U556" s="12"/>
      <c r="V556" s="12"/>
      <c r="W556" s="1012"/>
      <c r="X556" s="1023"/>
      <c r="Y556" s="1012"/>
      <c r="Z556" s="1012"/>
      <c r="AA556" s="1012"/>
      <c r="AB556" s="1011"/>
      <c r="AC556" s="1011"/>
      <c r="AD556" s="1449"/>
      <c r="AE556" s="729"/>
      <c r="AF556" s="729"/>
      <c r="AG556" s="1014"/>
      <c r="AH556" s="1014"/>
      <c r="AI556" s="1014"/>
      <c r="AJ556" s="729"/>
      <c r="AK556" s="729"/>
      <c r="AL556" s="729"/>
      <c r="AM556" s="729"/>
      <c r="AN556" s="729"/>
      <c r="AO556" s="729"/>
      <c r="AP556" s="729"/>
      <c r="AQ556" s="729"/>
      <c r="AR556" s="729"/>
      <c r="AS556" s="729"/>
      <c r="AT556" s="729"/>
      <c r="AU556" s="729"/>
      <c r="AV556" s="729"/>
      <c r="AW556" s="729"/>
      <c r="AX556" s="729"/>
      <c r="AY556" s="729"/>
      <c r="AZ556" s="729"/>
      <c r="BA556" s="729"/>
      <c r="BB556" s="729"/>
      <c r="BC556" s="729"/>
      <c r="BD556" s="729"/>
      <c r="BE556" s="729"/>
      <c r="BF556" s="12"/>
      <c r="BG556" s="729"/>
      <c r="BH556" s="729"/>
      <c r="BI556" s="729"/>
      <c r="BJ556" s="729"/>
      <c r="BK556" s="729"/>
      <c r="BL556" s="12"/>
      <c r="BM556" s="729"/>
      <c r="BN556" s="729"/>
      <c r="BO556" s="729"/>
      <c r="BP556" s="729"/>
      <c r="BQ556" s="729"/>
      <c r="BR556" s="729"/>
      <c r="BS556" s="729"/>
      <c r="BT556" s="729"/>
      <c r="BU556" s="729"/>
      <c r="BV556" s="729"/>
      <c r="BW556" s="228"/>
      <c r="BX556" s="729"/>
      <c r="BY556" s="729"/>
      <c r="BZ556" s="729"/>
      <c r="CA556" s="228"/>
      <c r="CB556" s="729"/>
      <c r="CC556" s="729"/>
      <c r="CD556" s="729"/>
      <c r="CE556" s="729"/>
      <c r="CF556" s="729"/>
      <c r="CG556" s="729"/>
      <c r="CH556" s="729"/>
      <c r="CI556" s="729"/>
      <c r="CJ556" s="729"/>
      <c r="CK556" s="228"/>
      <c r="CL556" s="779"/>
      <c r="CM556" s="779"/>
      <c r="CN556" s="729"/>
      <c r="CO556" s="228"/>
      <c r="CP556" s="228"/>
      <c r="CQ556" s="12"/>
      <c r="CR556" s="12"/>
      <c r="CS556" s="729"/>
      <c r="CT556" s="729"/>
      <c r="CU556" s="729"/>
      <c r="CV556" s="729"/>
      <c r="CW556" s="729"/>
      <c r="CX556" s="729"/>
      <c r="CY556" s="729"/>
      <c r="CZ556" s="729"/>
      <c r="DA556" s="729"/>
      <c r="DB556" s="729"/>
      <c r="DC556" s="729"/>
    </row>
    <row r="557" spans="1:107" ht="12.75" customHeight="1">
      <c r="A557" s="228"/>
      <c r="B557" s="228"/>
      <c r="C557" s="1010"/>
      <c r="D557" s="228"/>
      <c r="E557" s="228"/>
      <c r="F557" s="228"/>
      <c r="G557" s="729"/>
      <c r="H557" s="729"/>
      <c r="I557" s="729"/>
      <c r="J557" s="729"/>
      <c r="K557" s="1010"/>
      <c r="L557" s="12"/>
      <c r="M557" s="12"/>
      <c r="N557" s="12"/>
      <c r="O557" s="1010"/>
      <c r="P557" s="1011"/>
      <c r="Q557" s="1011"/>
      <c r="R557" s="12"/>
      <c r="S557" s="12"/>
      <c r="T557" s="12"/>
      <c r="U557" s="12"/>
      <c r="V557" s="12"/>
      <c r="W557" s="1012"/>
      <c r="X557" s="1023"/>
      <c r="Y557" s="1012"/>
      <c r="Z557" s="1012"/>
      <c r="AA557" s="1012"/>
      <c r="AB557" s="1011"/>
      <c r="AC557" s="1011"/>
      <c r="AD557" s="1449"/>
      <c r="AE557" s="729"/>
      <c r="AF557" s="729"/>
      <c r="AG557" s="1014"/>
      <c r="AH557" s="1014"/>
      <c r="AI557" s="1014"/>
      <c r="AJ557" s="729"/>
      <c r="AK557" s="729"/>
      <c r="AL557" s="729"/>
      <c r="AM557" s="729"/>
      <c r="AN557" s="729"/>
      <c r="AO557" s="729"/>
      <c r="AP557" s="729"/>
      <c r="AQ557" s="729"/>
      <c r="AR557" s="729"/>
      <c r="AS557" s="729"/>
      <c r="AT557" s="729"/>
      <c r="AU557" s="729"/>
      <c r="AV557" s="729"/>
      <c r="AW557" s="729"/>
      <c r="AX557" s="729"/>
      <c r="AY557" s="729"/>
      <c r="AZ557" s="729"/>
      <c r="BA557" s="729"/>
      <c r="BB557" s="729"/>
      <c r="BC557" s="729"/>
      <c r="BD557" s="729"/>
      <c r="BE557" s="729"/>
      <c r="BF557" s="12"/>
      <c r="BG557" s="729"/>
      <c r="BH557" s="729"/>
      <c r="BI557" s="729"/>
      <c r="BJ557" s="729"/>
      <c r="BK557" s="729"/>
      <c r="BL557" s="12"/>
      <c r="BM557" s="729"/>
      <c r="BN557" s="729"/>
      <c r="BO557" s="729"/>
      <c r="BP557" s="729"/>
      <c r="BQ557" s="729"/>
      <c r="BR557" s="729"/>
      <c r="BS557" s="729"/>
      <c r="BT557" s="729"/>
      <c r="BU557" s="729"/>
      <c r="BV557" s="729"/>
      <c r="BW557" s="228"/>
      <c r="BX557" s="729"/>
      <c r="BY557" s="729"/>
      <c r="BZ557" s="729"/>
      <c r="CA557" s="228"/>
      <c r="CB557" s="729"/>
      <c r="CC557" s="729"/>
      <c r="CD557" s="729"/>
      <c r="CE557" s="729"/>
      <c r="CF557" s="729"/>
      <c r="CG557" s="729"/>
      <c r="CH557" s="729"/>
      <c r="CI557" s="729"/>
      <c r="CJ557" s="729"/>
      <c r="CK557" s="228"/>
      <c r="CL557" s="779"/>
      <c r="CM557" s="779"/>
      <c r="CN557" s="729"/>
      <c r="CO557" s="228"/>
      <c r="CP557" s="228"/>
      <c r="CQ557" s="12"/>
      <c r="CR557" s="12"/>
      <c r="CS557" s="729"/>
      <c r="CT557" s="729"/>
      <c r="CU557" s="729"/>
      <c r="CV557" s="729"/>
      <c r="CW557" s="729"/>
      <c r="CX557" s="729"/>
      <c r="CY557" s="729"/>
      <c r="CZ557" s="729"/>
      <c r="DA557" s="729"/>
      <c r="DB557" s="729"/>
      <c r="DC557" s="729"/>
    </row>
    <row r="558" spans="1:107" ht="12.75" customHeight="1">
      <c r="A558" s="228"/>
      <c r="B558" s="228"/>
      <c r="C558" s="1010"/>
      <c r="D558" s="228"/>
      <c r="E558" s="228"/>
      <c r="F558" s="228"/>
      <c r="G558" s="729"/>
      <c r="H558" s="729"/>
      <c r="I558" s="729"/>
      <c r="J558" s="729"/>
      <c r="K558" s="1010"/>
      <c r="L558" s="12"/>
      <c r="M558" s="12"/>
      <c r="N558" s="12"/>
      <c r="O558" s="1010"/>
      <c r="P558" s="1011"/>
      <c r="Q558" s="1011"/>
      <c r="R558" s="12"/>
      <c r="S558" s="12"/>
      <c r="T558" s="12"/>
      <c r="U558" s="12"/>
      <c r="V558" s="12"/>
      <c r="W558" s="1012"/>
      <c r="X558" s="1023"/>
      <c r="Y558" s="1012"/>
      <c r="Z558" s="1012"/>
      <c r="AA558" s="1012"/>
      <c r="AB558" s="1011"/>
      <c r="AC558" s="1011"/>
      <c r="AD558" s="1449"/>
      <c r="AE558" s="729"/>
      <c r="AF558" s="729"/>
      <c r="AG558" s="1014"/>
      <c r="AH558" s="1014"/>
      <c r="AI558" s="1014"/>
      <c r="AJ558" s="729"/>
      <c r="AK558" s="729"/>
      <c r="AL558" s="729"/>
      <c r="AM558" s="729"/>
      <c r="AN558" s="729"/>
      <c r="AO558" s="729"/>
      <c r="AP558" s="729"/>
      <c r="AQ558" s="729"/>
      <c r="AR558" s="729"/>
      <c r="AS558" s="729"/>
      <c r="AT558" s="729"/>
      <c r="AU558" s="729"/>
      <c r="AV558" s="729"/>
      <c r="AW558" s="729"/>
      <c r="AX558" s="729"/>
      <c r="AY558" s="729"/>
      <c r="AZ558" s="729"/>
      <c r="BA558" s="729"/>
      <c r="BB558" s="729"/>
      <c r="BC558" s="729"/>
      <c r="BD558" s="729"/>
      <c r="BE558" s="729"/>
      <c r="BF558" s="12"/>
      <c r="BG558" s="729"/>
      <c r="BH558" s="729"/>
      <c r="BI558" s="729"/>
      <c r="BJ558" s="729"/>
      <c r="BK558" s="729"/>
      <c r="BL558" s="12"/>
      <c r="BM558" s="729"/>
      <c r="BN558" s="729"/>
      <c r="BO558" s="729"/>
      <c r="BP558" s="729"/>
      <c r="BQ558" s="729"/>
      <c r="BR558" s="729"/>
      <c r="BS558" s="729"/>
      <c r="BT558" s="729"/>
      <c r="BU558" s="729"/>
      <c r="BV558" s="729"/>
      <c r="BW558" s="228"/>
      <c r="BX558" s="729"/>
      <c r="BY558" s="729"/>
      <c r="BZ558" s="729"/>
      <c r="CA558" s="228"/>
      <c r="CB558" s="729"/>
      <c r="CC558" s="729"/>
      <c r="CD558" s="729"/>
      <c r="CE558" s="729"/>
      <c r="CF558" s="729"/>
      <c r="CG558" s="729"/>
      <c r="CH558" s="729"/>
      <c r="CI558" s="729"/>
      <c r="CJ558" s="729"/>
      <c r="CK558" s="228"/>
      <c r="CL558" s="779"/>
      <c r="CM558" s="779"/>
      <c r="CN558" s="729"/>
      <c r="CO558" s="228"/>
      <c r="CP558" s="228"/>
      <c r="CQ558" s="12"/>
      <c r="CR558" s="12"/>
      <c r="CS558" s="729"/>
      <c r="CT558" s="729"/>
      <c r="CU558" s="729"/>
      <c r="CV558" s="729"/>
      <c r="CW558" s="729"/>
      <c r="CX558" s="729"/>
      <c r="CY558" s="729"/>
      <c r="CZ558" s="729"/>
      <c r="DA558" s="729"/>
      <c r="DB558" s="729"/>
      <c r="DC558" s="729"/>
    </row>
    <row r="559" spans="1:107" ht="12.75" customHeight="1">
      <c r="A559" s="228"/>
      <c r="B559" s="228"/>
      <c r="C559" s="1010"/>
      <c r="D559" s="228"/>
      <c r="E559" s="228"/>
      <c r="F559" s="228"/>
      <c r="G559" s="729"/>
      <c r="H559" s="729"/>
      <c r="I559" s="729"/>
      <c r="J559" s="729"/>
      <c r="K559" s="1010"/>
      <c r="L559" s="12"/>
      <c r="M559" s="12"/>
      <c r="N559" s="12"/>
      <c r="O559" s="1010"/>
      <c r="P559" s="1011"/>
      <c r="Q559" s="1011"/>
      <c r="R559" s="12"/>
      <c r="S559" s="12"/>
      <c r="T559" s="12"/>
      <c r="U559" s="12"/>
      <c r="V559" s="12"/>
      <c r="W559" s="1012"/>
      <c r="X559" s="1023"/>
      <c r="Y559" s="1012"/>
      <c r="Z559" s="1012"/>
      <c r="AA559" s="1012"/>
      <c r="AB559" s="1011"/>
      <c r="AC559" s="1011"/>
      <c r="AD559" s="1449"/>
      <c r="AE559" s="729"/>
      <c r="AF559" s="729"/>
      <c r="AG559" s="1014"/>
      <c r="AH559" s="1014"/>
      <c r="AI559" s="1014"/>
      <c r="AJ559" s="729"/>
      <c r="AK559" s="729"/>
      <c r="AL559" s="729"/>
      <c r="AM559" s="729"/>
      <c r="AN559" s="729"/>
      <c r="AO559" s="729"/>
      <c r="AP559" s="729"/>
      <c r="AQ559" s="729"/>
      <c r="AR559" s="729"/>
      <c r="AS559" s="729"/>
      <c r="AT559" s="729"/>
      <c r="AU559" s="729"/>
      <c r="AV559" s="729"/>
      <c r="AW559" s="729"/>
      <c r="AX559" s="729"/>
      <c r="AY559" s="729"/>
      <c r="AZ559" s="729"/>
      <c r="BA559" s="729"/>
      <c r="BB559" s="729"/>
      <c r="BC559" s="729"/>
      <c r="BD559" s="729"/>
      <c r="BE559" s="729"/>
      <c r="BF559" s="12"/>
      <c r="BG559" s="729"/>
      <c r="BH559" s="729"/>
      <c r="BI559" s="729"/>
      <c r="BJ559" s="729"/>
      <c r="BK559" s="729"/>
      <c r="BL559" s="12"/>
      <c r="BM559" s="729"/>
      <c r="BN559" s="729"/>
      <c r="BO559" s="729"/>
      <c r="BP559" s="729"/>
      <c r="BQ559" s="729"/>
      <c r="BR559" s="729"/>
      <c r="BS559" s="729"/>
      <c r="BT559" s="729"/>
      <c r="BU559" s="729"/>
      <c r="BV559" s="729"/>
      <c r="BW559" s="228"/>
      <c r="BX559" s="729"/>
      <c r="BY559" s="729"/>
      <c r="BZ559" s="729"/>
      <c r="CA559" s="228"/>
      <c r="CB559" s="729"/>
      <c r="CC559" s="729"/>
      <c r="CD559" s="729"/>
      <c r="CE559" s="729"/>
      <c r="CF559" s="729"/>
      <c r="CG559" s="729"/>
      <c r="CH559" s="729"/>
      <c r="CI559" s="729"/>
      <c r="CJ559" s="729"/>
      <c r="CK559" s="228"/>
      <c r="CL559" s="779"/>
      <c r="CM559" s="779"/>
      <c r="CN559" s="729"/>
      <c r="CO559" s="228"/>
      <c r="CP559" s="228"/>
      <c r="CQ559" s="12"/>
      <c r="CR559" s="12"/>
      <c r="CS559" s="729"/>
      <c r="CT559" s="729"/>
      <c r="CU559" s="729"/>
      <c r="CV559" s="729"/>
      <c r="CW559" s="729"/>
      <c r="CX559" s="729"/>
      <c r="CY559" s="729"/>
      <c r="CZ559" s="729"/>
      <c r="DA559" s="729"/>
      <c r="DB559" s="729"/>
      <c r="DC559" s="729"/>
    </row>
    <row r="560" spans="1:107" ht="12.75" customHeight="1">
      <c r="A560" s="228"/>
      <c r="B560" s="228"/>
      <c r="C560" s="1010"/>
      <c r="D560" s="228"/>
      <c r="E560" s="228"/>
      <c r="F560" s="228"/>
      <c r="G560" s="729"/>
      <c r="H560" s="729"/>
      <c r="I560" s="729"/>
      <c r="J560" s="729"/>
      <c r="K560" s="1010"/>
      <c r="L560" s="12"/>
      <c r="M560" s="12"/>
      <c r="N560" s="12"/>
      <c r="O560" s="1010"/>
      <c r="P560" s="1011"/>
      <c r="Q560" s="1011"/>
      <c r="R560" s="12"/>
      <c r="S560" s="12"/>
      <c r="T560" s="12"/>
      <c r="U560" s="12"/>
      <c r="V560" s="12"/>
      <c r="W560" s="1012"/>
      <c r="X560" s="1023"/>
      <c r="Y560" s="1012"/>
      <c r="Z560" s="1012"/>
      <c r="AA560" s="1012"/>
      <c r="AB560" s="1011"/>
      <c r="AC560" s="1011"/>
      <c r="AD560" s="1449"/>
      <c r="AE560" s="729"/>
      <c r="AF560" s="729"/>
      <c r="AG560" s="1014"/>
      <c r="AH560" s="1014"/>
      <c r="AI560" s="1014"/>
      <c r="AJ560" s="729"/>
      <c r="AK560" s="729"/>
      <c r="AL560" s="729"/>
      <c r="AM560" s="729"/>
      <c r="AN560" s="729"/>
      <c r="AO560" s="729"/>
      <c r="AP560" s="729"/>
      <c r="AQ560" s="729"/>
      <c r="AR560" s="729"/>
      <c r="AS560" s="729"/>
      <c r="AT560" s="729"/>
      <c r="AU560" s="729"/>
      <c r="AV560" s="729"/>
      <c r="AW560" s="729"/>
      <c r="AX560" s="729"/>
      <c r="AY560" s="729"/>
      <c r="AZ560" s="729"/>
      <c r="BA560" s="729"/>
      <c r="BB560" s="729"/>
      <c r="BC560" s="729"/>
      <c r="BD560" s="729"/>
      <c r="BE560" s="729"/>
      <c r="BF560" s="12"/>
      <c r="BG560" s="729"/>
      <c r="BH560" s="729"/>
      <c r="BI560" s="729"/>
      <c r="BJ560" s="729"/>
      <c r="BK560" s="729"/>
      <c r="BL560" s="12"/>
      <c r="BM560" s="729"/>
      <c r="BN560" s="729"/>
      <c r="BO560" s="729"/>
      <c r="BP560" s="729"/>
      <c r="BQ560" s="729"/>
      <c r="BR560" s="729"/>
      <c r="BS560" s="729"/>
      <c r="BT560" s="729"/>
      <c r="BU560" s="729"/>
      <c r="BV560" s="729"/>
      <c r="BW560" s="228"/>
      <c r="BX560" s="729"/>
      <c r="BY560" s="729"/>
      <c r="BZ560" s="729"/>
      <c r="CA560" s="228"/>
      <c r="CB560" s="729"/>
      <c r="CC560" s="729"/>
      <c r="CD560" s="729"/>
      <c r="CE560" s="729"/>
      <c r="CF560" s="729"/>
      <c r="CG560" s="729"/>
      <c r="CH560" s="729"/>
      <c r="CI560" s="729"/>
      <c r="CJ560" s="729"/>
      <c r="CK560" s="228"/>
      <c r="CL560" s="779"/>
      <c r="CM560" s="779"/>
      <c r="CN560" s="729"/>
      <c r="CO560" s="228"/>
      <c r="CP560" s="228"/>
      <c r="CQ560" s="12"/>
      <c r="CR560" s="12"/>
      <c r="CS560" s="729"/>
      <c r="CT560" s="729"/>
      <c r="CU560" s="729"/>
      <c r="CV560" s="729"/>
      <c r="CW560" s="729"/>
      <c r="CX560" s="729"/>
      <c r="CY560" s="729"/>
      <c r="CZ560" s="729"/>
      <c r="DA560" s="729"/>
      <c r="DB560" s="729"/>
      <c r="DC560" s="729"/>
    </row>
    <row r="561" spans="1:107" ht="12.75" customHeight="1">
      <c r="A561" s="228"/>
      <c r="B561" s="228"/>
      <c r="C561" s="1010"/>
      <c r="D561" s="228"/>
      <c r="E561" s="228"/>
      <c r="F561" s="228"/>
      <c r="G561" s="729"/>
      <c r="H561" s="729"/>
      <c r="I561" s="729"/>
      <c r="J561" s="729"/>
      <c r="K561" s="1010"/>
      <c r="L561" s="12"/>
      <c r="M561" s="12"/>
      <c r="N561" s="12"/>
      <c r="O561" s="1010"/>
      <c r="P561" s="1011"/>
      <c r="Q561" s="1011"/>
      <c r="R561" s="12"/>
      <c r="S561" s="12"/>
      <c r="T561" s="12"/>
      <c r="U561" s="12"/>
      <c r="V561" s="12"/>
      <c r="W561" s="1012"/>
      <c r="X561" s="1023"/>
      <c r="Y561" s="1012"/>
      <c r="Z561" s="1012"/>
      <c r="AA561" s="1012"/>
      <c r="AB561" s="1011"/>
      <c r="AC561" s="1011"/>
      <c r="AD561" s="1449"/>
      <c r="AE561" s="729"/>
      <c r="AF561" s="729"/>
      <c r="AG561" s="1014"/>
      <c r="AH561" s="1014"/>
      <c r="AI561" s="1014"/>
      <c r="AJ561" s="729"/>
      <c r="AK561" s="729"/>
      <c r="AL561" s="729"/>
      <c r="AM561" s="729"/>
      <c r="AN561" s="729"/>
      <c r="AO561" s="729"/>
      <c r="AP561" s="729"/>
      <c r="AQ561" s="729"/>
      <c r="AR561" s="729"/>
      <c r="AS561" s="729"/>
      <c r="AT561" s="729"/>
      <c r="AU561" s="729"/>
      <c r="AV561" s="729"/>
      <c r="AW561" s="729"/>
      <c r="AX561" s="729"/>
      <c r="AY561" s="729"/>
      <c r="AZ561" s="729"/>
      <c r="BA561" s="729"/>
      <c r="BB561" s="729"/>
      <c r="BC561" s="729"/>
      <c r="BD561" s="729"/>
      <c r="BE561" s="729"/>
      <c r="BF561" s="12"/>
      <c r="BG561" s="729"/>
      <c r="BH561" s="729"/>
      <c r="BI561" s="729"/>
      <c r="BJ561" s="729"/>
      <c r="BK561" s="729"/>
      <c r="BL561" s="12"/>
      <c r="BM561" s="729"/>
      <c r="BN561" s="729"/>
      <c r="BO561" s="729"/>
      <c r="BP561" s="729"/>
      <c r="BQ561" s="729"/>
      <c r="BR561" s="729"/>
      <c r="BS561" s="729"/>
      <c r="BT561" s="729"/>
      <c r="BU561" s="729"/>
      <c r="BV561" s="729"/>
      <c r="BW561" s="228"/>
      <c r="BX561" s="729"/>
      <c r="BY561" s="729"/>
      <c r="BZ561" s="729"/>
      <c r="CA561" s="228"/>
      <c r="CB561" s="729"/>
      <c r="CC561" s="729"/>
      <c r="CD561" s="729"/>
      <c r="CE561" s="729"/>
      <c r="CF561" s="729"/>
      <c r="CG561" s="729"/>
      <c r="CH561" s="729"/>
      <c r="CI561" s="729"/>
      <c r="CJ561" s="729"/>
      <c r="CK561" s="228"/>
      <c r="CL561" s="779"/>
      <c r="CM561" s="779"/>
      <c r="CN561" s="729"/>
      <c r="CO561" s="228"/>
      <c r="CP561" s="228"/>
      <c r="CQ561" s="12"/>
      <c r="CR561" s="12"/>
      <c r="CS561" s="729"/>
      <c r="CT561" s="729"/>
      <c r="CU561" s="729"/>
      <c r="CV561" s="729"/>
      <c r="CW561" s="729"/>
      <c r="CX561" s="729"/>
      <c r="CY561" s="729"/>
      <c r="CZ561" s="729"/>
      <c r="DA561" s="729"/>
      <c r="DB561" s="729"/>
      <c r="DC561" s="729"/>
    </row>
    <row r="562" spans="1:107" ht="12.75" customHeight="1">
      <c r="A562" s="228"/>
      <c r="B562" s="228"/>
      <c r="C562" s="1010"/>
      <c r="D562" s="228"/>
      <c r="E562" s="228"/>
      <c r="F562" s="228"/>
      <c r="G562" s="729"/>
      <c r="H562" s="729"/>
      <c r="I562" s="729"/>
      <c r="J562" s="729"/>
      <c r="K562" s="1010"/>
      <c r="L562" s="12"/>
      <c r="M562" s="12"/>
      <c r="N562" s="12"/>
      <c r="O562" s="1010"/>
      <c r="P562" s="1011"/>
      <c r="Q562" s="1011"/>
      <c r="R562" s="12"/>
      <c r="S562" s="12"/>
      <c r="T562" s="12"/>
      <c r="U562" s="12"/>
      <c r="V562" s="12"/>
      <c r="W562" s="1012"/>
      <c r="X562" s="1023"/>
      <c r="Y562" s="1012"/>
      <c r="Z562" s="1012"/>
      <c r="AA562" s="1012"/>
      <c r="AB562" s="1011"/>
      <c r="AC562" s="1011"/>
      <c r="AD562" s="1449"/>
      <c r="AE562" s="729"/>
      <c r="AF562" s="729"/>
      <c r="AG562" s="1014"/>
      <c r="AH562" s="1014"/>
      <c r="AI562" s="1014"/>
      <c r="AJ562" s="729"/>
      <c r="AK562" s="729"/>
      <c r="AL562" s="729"/>
      <c r="AM562" s="729"/>
      <c r="AN562" s="729"/>
      <c r="AO562" s="729"/>
      <c r="AP562" s="729"/>
      <c r="AQ562" s="729"/>
      <c r="AR562" s="729"/>
      <c r="AS562" s="729"/>
      <c r="AT562" s="729"/>
      <c r="AU562" s="729"/>
      <c r="AV562" s="729"/>
      <c r="AW562" s="729"/>
      <c r="AX562" s="729"/>
      <c r="AY562" s="729"/>
      <c r="AZ562" s="729"/>
      <c r="BA562" s="729"/>
      <c r="BB562" s="729"/>
      <c r="BC562" s="729"/>
      <c r="BD562" s="729"/>
      <c r="BE562" s="729"/>
      <c r="BF562" s="12"/>
      <c r="BG562" s="729"/>
      <c r="BH562" s="729"/>
      <c r="BI562" s="729"/>
      <c r="BJ562" s="729"/>
      <c r="BK562" s="729"/>
      <c r="BL562" s="12"/>
      <c r="BM562" s="729"/>
      <c r="BN562" s="729"/>
      <c r="BO562" s="729"/>
      <c r="BP562" s="729"/>
      <c r="BQ562" s="729"/>
      <c r="BR562" s="729"/>
      <c r="BS562" s="729"/>
      <c r="BT562" s="729"/>
      <c r="BU562" s="729"/>
      <c r="BV562" s="729"/>
      <c r="BW562" s="228"/>
      <c r="BX562" s="729"/>
      <c r="BY562" s="729"/>
      <c r="BZ562" s="729"/>
      <c r="CA562" s="228"/>
      <c r="CB562" s="729"/>
      <c r="CC562" s="729"/>
      <c r="CD562" s="729"/>
      <c r="CE562" s="729"/>
      <c r="CF562" s="729"/>
      <c r="CG562" s="729"/>
      <c r="CH562" s="729"/>
      <c r="CI562" s="729"/>
      <c r="CJ562" s="729"/>
      <c r="CK562" s="228"/>
      <c r="CL562" s="779"/>
      <c r="CM562" s="779"/>
      <c r="CN562" s="729"/>
      <c r="CO562" s="228"/>
      <c r="CP562" s="228"/>
      <c r="CQ562" s="12"/>
      <c r="CR562" s="12"/>
      <c r="CS562" s="729"/>
      <c r="CT562" s="729"/>
      <c r="CU562" s="729"/>
      <c r="CV562" s="729"/>
      <c r="CW562" s="729"/>
      <c r="CX562" s="729"/>
      <c r="CY562" s="729"/>
      <c r="CZ562" s="729"/>
      <c r="DA562" s="729"/>
      <c r="DB562" s="729"/>
      <c r="DC562" s="729"/>
    </row>
    <row r="563" spans="1:107" ht="12.75" customHeight="1">
      <c r="A563" s="228"/>
      <c r="B563" s="228"/>
      <c r="C563" s="1010"/>
      <c r="D563" s="228"/>
      <c r="E563" s="228"/>
      <c r="F563" s="228"/>
      <c r="G563" s="729"/>
      <c r="H563" s="729"/>
      <c r="I563" s="729"/>
      <c r="J563" s="729"/>
      <c r="K563" s="1010"/>
      <c r="L563" s="12"/>
      <c r="M563" s="12"/>
      <c r="N563" s="12"/>
      <c r="O563" s="1010"/>
      <c r="P563" s="1011"/>
      <c r="Q563" s="1011"/>
      <c r="R563" s="12"/>
      <c r="S563" s="12"/>
      <c r="T563" s="12"/>
      <c r="U563" s="12"/>
      <c r="V563" s="12"/>
      <c r="W563" s="1012"/>
      <c r="X563" s="1023"/>
      <c r="Y563" s="1012"/>
      <c r="Z563" s="1012"/>
      <c r="AA563" s="1012"/>
      <c r="AB563" s="1011"/>
      <c r="AC563" s="1011"/>
      <c r="AD563" s="1449"/>
      <c r="AE563" s="729"/>
      <c r="AF563" s="729"/>
      <c r="AG563" s="1014"/>
      <c r="AH563" s="1014"/>
      <c r="AI563" s="1014"/>
      <c r="AJ563" s="729"/>
      <c r="AK563" s="729"/>
      <c r="AL563" s="729"/>
      <c r="AM563" s="729"/>
      <c r="AN563" s="729"/>
      <c r="AO563" s="729"/>
      <c r="AP563" s="729"/>
      <c r="AQ563" s="729"/>
      <c r="AR563" s="729"/>
      <c r="AS563" s="729"/>
      <c r="AT563" s="729"/>
      <c r="AU563" s="729"/>
      <c r="AV563" s="729"/>
      <c r="AW563" s="729"/>
      <c r="AX563" s="729"/>
      <c r="AY563" s="729"/>
      <c r="AZ563" s="729"/>
      <c r="BA563" s="729"/>
      <c r="BB563" s="729"/>
      <c r="BC563" s="729"/>
      <c r="BD563" s="729"/>
      <c r="BE563" s="729"/>
      <c r="BF563" s="12"/>
      <c r="BG563" s="729"/>
      <c r="BH563" s="729"/>
      <c r="BI563" s="729"/>
      <c r="BJ563" s="729"/>
      <c r="BK563" s="729"/>
      <c r="BL563" s="12"/>
      <c r="BM563" s="729"/>
      <c r="BN563" s="729"/>
      <c r="BO563" s="729"/>
      <c r="BP563" s="729"/>
      <c r="BQ563" s="729"/>
      <c r="BR563" s="729"/>
      <c r="BS563" s="729"/>
      <c r="BT563" s="729"/>
      <c r="BU563" s="729"/>
      <c r="BV563" s="729"/>
      <c r="BW563" s="228"/>
      <c r="BX563" s="729"/>
      <c r="BY563" s="729"/>
      <c r="BZ563" s="729"/>
      <c r="CA563" s="228"/>
      <c r="CB563" s="729"/>
      <c r="CC563" s="729"/>
      <c r="CD563" s="729"/>
      <c r="CE563" s="729"/>
      <c r="CF563" s="729"/>
      <c r="CG563" s="729"/>
      <c r="CH563" s="729"/>
      <c r="CI563" s="729"/>
      <c r="CJ563" s="729"/>
      <c r="CK563" s="228"/>
      <c r="CL563" s="779"/>
      <c r="CM563" s="779"/>
      <c r="CN563" s="729"/>
      <c r="CO563" s="228"/>
      <c r="CP563" s="228"/>
      <c r="CQ563" s="12"/>
      <c r="CR563" s="12"/>
      <c r="CS563" s="729"/>
      <c r="CT563" s="729"/>
      <c r="CU563" s="729"/>
      <c r="CV563" s="729"/>
      <c r="CW563" s="729"/>
      <c r="CX563" s="729"/>
      <c r="CY563" s="729"/>
      <c r="CZ563" s="729"/>
      <c r="DA563" s="729"/>
      <c r="DB563" s="729"/>
      <c r="DC563" s="729"/>
    </row>
    <row r="564" spans="1:107" ht="12.75" customHeight="1">
      <c r="A564" s="228"/>
      <c r="B564" s="228"/>
      <c r="C564" s="1010"/>
      <c r="D564" s="228"/>
      <c r="E564" s="228"/>
      <c r="F564" s="228"/>
      <c r="G564" s="729"/>
      <c r="H564" s="729"/>
      <c r="I564" s="729"/>
      <c r="J564" s="729"/>
      <c r="K564" s="1010"/>
      <c r="L564" s="12"/>
      <c r="M564" s="12"/>
      <c r="N564" s="12"/>
      <c r="O564" s="1010"/>
      <c r="P564" s="1011"/>
      <c r="Q564" s="1011"/>
      <c r="R564" s="12"/>
      <c r="S564" s="12"/>
      <c r="T564" s="12"/>
      <c r="U564" s="12"/>
      <c r="V564" s="12"/>
      <c r="W564" s="1012"/>
      <c r="X564" s="1023"/>
      <c r="Y564" s="1012"/>
      <c r="Z564" s="1012"/>
      <c r="AA564" s="1012"/>
      <c r="AB564" s="1011"/>
      <c r="AC564" s="1011"/>
      <c r="AD564" s="1449"/>
      <c r="AE564" s="729"/>
      <c r="AF564" s="729"/>
      <c r="AG564" s="1014"/>
      <c r="AH564" s="1014"/>
      <c r="AI564" s="1014"/>
      <c r="AJ564" s="729"/>
      <c r="AK564" s="729"/>
      <c r="AL564" s="729"/>
      <c r="AM564" s="729"/>
      <c r="AN564" s="729"/>
      <c r="AO564" s="729"/>
      <c r="AP564" s="729"/>
      <c r="AQ564" s="729"/>
      <c r="AR564" s="729"/>
      <c r="AS564" s="729"/>
      <c r="AT564" s="729"/>
      <c r="AU564" s="729"/>
      <c r="AV564" s="729"/>
      <c r="AW564" s="729"/>
      <c r="AX564" s="729"/>
      <c r="AY564" s="729"/>
      <c r="AZ564" s="729"/>
      <c r="BA564" s="729"/>
      <c r="BB564" s="729"/>
      <c r="BC564" s="729"/>
      <c r="BD564" s="729"/>
      <c r="BE564" s="729"/>
      <c r="BF564" s="12"/>
      <c r="BG564" s="729"/>
      <c r="BH564" s="729"/>
      <c r="BI564" s="729"/>
      <c r="BJ564" s="729"/>
      <c r="BK564" s="729"/>
      <c r="BL564" s="12"/>
      <c r="BM564" s="729"/>
      <c r="BN564" s="729"/>
      <c r="BO564" s="729"/>
      <c r="BP564" s="729"/>
      <c r="BQ564" s="729"/>
      <c r="BR564" s="729"/>
      <c r="BS564" s="729"/>
      <c r="BT564" s="729"/>
      <c r="BU564" s="729"/>
      <c r="BV564" s="729"/>
      <c r="BW564" s="228"/>
      <c r="BX564" s="729"/>
      <c r="BY564" s="729"/>
      <c r="BZ564" s="729"/>
      <c r="CA564" s="228"/>
      <c r="CB564" s="729"/>
      <c r="CC564" s="729"/>
      <c r="CD564" s="729"/>
      <c r="CE564" s="729"/>
      <c r="CF564" s="729"/>
      <c r="CG564" s="729"/>
      <c r="CH564" s="729"/>
      <c r="CI564" s="729"/>
      <c r="CJ564" s="729"/>
      <c r="CK564" s="228"/>
      <c r="CL564" s="779"/>
      <c r="CM564" s="779"/>
      <c r="CN564" s="729"/>
      <c r="CO564" s="228"/>
      <c r="CP564" s="228"/>
      <c r="CQ564" s="12"/>
      <c r="CR564" s="12"/>
      <c r="CS564" s="729"/>
      <c r="CT564" s="729"/>
      <c r="CU564" s="729"/>
      <c r="CV564" s="729"/>
      <c r="CW564" s="729"/>
      <c r="CX564" s="729"/>
      <c r="CY564" s="729"/>
      <c r="CZ564" s="729"/>
      <c r="DA564" s="729"/>
      <c r="DB564" s="729"/>
      <c r="DC564" s="729"/>
    </row>
    <row r="565" spans="1:107" ht="12.75" customHeight="1">
      <c r="A565" s="228"/>
      <c r="B565" s="228"/>
      <c r="C565" s="1010"/>
      <c r="D565" s="228"/>
      <c r="E565" s="228"/>
      <c r="F565" s="228"/>
      <c r="G565" s="729"/>
      <c r="H565" s="729"/>
      <c r="I565" s="729"/>
      <c r="J565" s="729"/>
      <c r="K565" s="1010"/>
      <c r="L565" s="12"/>
      <c r="M565" s="12"/>
      <c r="N565" s="12"/>
      <c r="O565" s="1010"/>
      <c r="P565" s="1011"/>
      <c r="Q565" s="1011"/>
      <c r="R565" s="12"/>
      <c r="S565" s="12"/>
      <c r="T565" s="12"/>
      <c r="U565" s="12"/>
      <c r="V565" s="12"/>
      <c r="W565" s="1012"/>
      <c r="X565" s="1023"/>
      <c r="Y565" s="1012"/>
      <c r="Z565" s="1012"/>
      <c r="AA565" s="1012"/>
      <c r="AB565" s="1011"/>
      <c r="AC565" s="1011"/>
      <c r="AD565" s="1449"/>
      <c r="AE565" s="729"/>
      <c r="AF565" s="729"/>
      <c r="AG565" s="1014"/>
      <c r="AH565" s="1014"/>
      <c r="AI565" s="1014"/>
      <c r="AJ565" s="729"/>
      <c r="AK565" s="729"/>
      <c r="AL565" s="729"/>
      <c r="AM565" s="729"/>
      <c r="AN565" s="729"/>
      <c r="AO565" s="729"/>
      <c r="AP565" s="729"/>
      <c r="AQ565" s="729"/>
      <c r="AR565" s="729"/>
      <c r="AS565" s="729"/>
      <c r="AT565" s="729"/>
      <c r="AU565" s="729"/>
      <c r="AV565" s="729"/>
      <c r="AW565" s="729"/>
      <c r="AX565" s="729"/>
      <c r="AY565" s="729"/>
      <c r="AZ565" s="729"/>
      <c r="BA565" s="729"/>
      <c r="BB565" s="729"/>
      <c r="BC565" s="729"/>
      <c r="BD565" s="729"/>
      <c r="BE565" s="729"/>
      <c r="BF565" s="12"/>
      <c r="BG565" s="729"/>
      <c r="BH565" s="729"/>
      <c r="BI565" s="729"/>
      <c r="BJ565" s="729"/>
      <c r="BK565" s="729"/>
      <c r="BL565" s="12"/>
      <c r="BM565" s="729"/>
      <c r="BN565" s="729"/>
      <c r="BO565" s="729"/>
      <c r="BP565" s="729"/>
      <c r="BQ565" s="729"/>
      <c r="BR565" s="729"/>
      <c r="BS565" s="729"/>
      <c r="BT565" s="729"/>
      <c r="BU565" s="729"/>
      <c r="BV565" s="729"/>
      <c r="BW565" s="228"/>
      <c r="BX565" s="729"/>
      <c r="BY565" s="729"/>
      <c r="BZ565" s="729"/>
      <c r="CA565" s="228"/>
      <c r="CB565" s="729"/>
      <c r="CC565" s="729"/>
      <c r="CD565" s="729"/>
      <c r="CE565" s="729"/>
      <c r="CF565" s="729"/>
      <c r="CG565" s="729"/>
      <c r="CH565" s="729"/>
      <c r="CI565" s="729"/>
      <c r="CJ565" s="729"/>
      <c r="CK565" s="228"/>
      <c r="CL565" s="779"/>
      <c r="CM565" s="779"/>
      <c r="CN565" s="729"/>
      <c r="CO565" s="228"/>
      <c r="CP565" s="228"/>
      <c r="CQ565" s="12"/>
      <c r="CR565" s="12"/>
      <c r="CS565" s="729"/>
      <c r="CT565" s="729"/>
      <c r="CU565" s="729"/>
      <c r="CV565" s="729"/>
      <c r="CW565" s="729"/>
      <c r="CX565" s="729"/>
      <c r="CY565" s="729"/>
      <c r="CZ565" s="729"/>
      <c r="DA565" s="729"/>
      <c r="DB565" s="729"/>
      <c r="DC565" s="729"/>
    </row>
    <row r="566" spans="1:107" ht="12.75" customHeight="1">
      <c r="A566" s="228"/>
      <c r="B566" s="228"/>
      <c r="C566" s="1010"/>
      <c r="D566" s="228"/>
      <c r="E566" s="228"/>
      <c r="F566" s="228"/>
      <c r="G566" s="729"/>
      <c r="H566" s="729"/>
      <c r="I566" s="729"/>
      <c r="J566" s="729"/>
      <c r="K566" s="1010"/>
      <c r="L566" s="12"/>
      <c r="M566" s="12"/>
      <c r="N566" s="12"/>
      <c r="O566" s="1010"/>
      <c r="P566" s="1011"/>
      <c r="Q566" s="1011"/>
      <c r="R566" s="12"/>
      <c r="S566" s="12"/>
      <c r="T566" s="12"/>
      <c r="U566" s="12"/>
      <c r="V566" s="12"/>
      <c r="W566" s="1012"/>
      <c r="X566" s="1023"/>
      <c r="Y566" s="1012"/>
      <c r="Z566" s="1012"/>
      <c r="AA566" s="1012"/>
      <c r="AB566" s="1011"/>
      <c r="AC566" s="1011"/>
      <c r="AD566" s="1449"/>
      <c r="AE566" s="729"/>
      <c r="AF566" s="729"/>
      <c r="AG566" s="1014"/>
      <c r="AH566" s="1014"/>
      <c r="AI566" s="1014"/>
      <c r="AJ566" s="729"/>
      <c r="AK566" s="729"/>
      <c r="AL566" s="729"/>
      <c r="AM566" s="729"/>
      <c r="AN566" s="729"/>
      <c r="AO566" s="729"/>
      <c r="AP566" s="729"/>
      <c r="AQ566" s="729"/>
      <c r="AR566" s="729"/>
      <c r="AS566" s="729"/>
      <c r="AT566" s="729"/>
      <c r="AU566" s="729"/>
      <c r="AV566" s="729"/>
      <c r="AW566" s="729"/>
      <c r="AX566" s="729"/>
      <c r="AY566" s="729"/>
      <c r="AZ566" s="729"/>
      <c r="BA566" s="729"/>
      <c r="BB566" s="729"/>
      <c r="BC566" s="729"/>
      <c r="BD566" s="729"/>
      <c r="BE566" s="729"/>
      <c r="BF566" s="12"/>
      <c r="BG566" s="729"/>
      <c r="BH566" s="729"/>
      <c r="BI566" s="729"/>
      <c r="BJ566" s="729"/>
      <c r="BK566" s="729"/>
      <c r="BL566" s="12"/>
      <c r="BM566" s="729"/>
      <c r="BN566" s="729"/>
      <c r="BO566" s="729"/>
      <c r="BP566" s="729"/>
      <c r="BQ566" s="729"/>
      <c r="BR566" s="729"/>
      <c r="BS566" s="729"/>
      <c r="BT566" s="729"/>
      <c r="BU566" s="729"/>
      <c r="BV566" s="729"/>
      <c r="BW566" s="228"/>
      <c r="BX566" s="729"/>
      <c r="BY566" s="729"/>
      <c r="BZ566" s="729"/>
      <c r="CA566" s="228"/>
      <c r="CB566" s="729"/>
      <c r="CC566" s="729"/>
      <c r="CD566" s="729"/>
      <c r="CE566" s="729"/>
      <c r="CF566" s="729"/>
      <c r="CG566" s="729"/>
      <c r="CH566" s="729"/>
      <c r="CI566" s="729"/>
      <c r="CJ566" s="729"/>
      <c r="CK566" s="228"/>
      <c r="CL566" s="779"/>
      <c r="CM566" s="779"/>
      <c r="CN566" s="729"/>
      <c r="CO566" s="228"/>
      <c r="CP566" s="228"/>
      <c r="CQ566" s="12"/>
      <c r="CR566" s="12"/>
      <c r="CS566" s="729"/>
      <c r="CT566" s="729"/>
      <c r="CU566" s="729"/>
      <c r="CV566" s="729"/>
      <c r="CW566" s="729"/>
      <c r="CX566" s="729"/>
      <c r="CY566" s="729"/>
      <c r="CZ566" s="729"/>
      <c r="DA566" s="729"/>
      <c r="DB566" s="729"/>
      <c r="DC566" s="729"/>
    </row>
    <row r="567" spans="1:107" ht="12.75" customHeight="1">
      <c r="A567" s="228"/>
      <c r="B567" s="228"/>
      <c r="C567" s="1010"/>
      <c r="D567" s="228"/>
      <c r="E567" s="228"/>
      <c r="F567" s="228"/>
      <c r="G567" s="729"/>
      <c r="H567" s="729"/>
      <c r="I567" s="729"/>
      <c r="J567" s="729"/>
      <c r="K567" s="1010"/>
      <c r="L567" s="12"/>
      <c r="M567" s="12"/>
      <c r="N567" s="12"/>
      <c r="O567" s="1010"/>
      <c r="P567" s="1011"/>
      <c r="Q567" s="1011"/>
      <c r="R567" s="12"/>
      <c r="S567" s="12"/>
      <c r="T567" s="12"/>
      <c r="U567" s="12"/>
      <c r="V567" s="12"/>
      <c r="W567" s="1012"/>
      <c r="X567" s="1023"/>
      <c r="Y567" s="1012"/>
      <c r="Z567" s="1012"/>
      <c r="AA567" s="1012"/>
      <c r="AB567" s="1011"/>
      <c r="AC567" s="1011"/>
      <c r="AD567" s="1449"/>
      <c r="AE567" s="729"/>
      <c r="AF567" s="729"/>
      <c r="AG567" s="1014"/>
      <c r="AH567" s="1014"/>
      <c r="AI567" s="1014"/>
      <c r="AJ567" s="729"/>
      <c r="AK567" s="729"/>
      <c r="AL567" s="729"/>
      <c r="AM567" s="729"/>
      <c r="AN567" s="729"/>
      <c r="AO567" s="729"/>
      <c r="AP567" s="729"/>
      <c r="AQ567" s="729"/>
      <c r="AR567" s="729"/>
      <c r="AS567" s="729"/>
      <c r="AT567" s="729"/>
      <c r="AU567" s="729"/>
      <c r="AV567" s="729"/>
      <c r="AW567" s="729"/>
      <c r="AX567" s="729"/>
      <c r="AY567" s="729"/>
      <c r="AZ567" s="729"/>
      <c r="BA567" s="729"/>
      <c r="BB567" s="729"/>
      <c r="BC567" s="729"/>
      <c r="BD567" s="729"/>
      <c r="BE567" s="729"/>
      <c r="BF567" s="12"/>
      <c r="BG567" s="729"/>
      <c r="BH567" s="729"/>
      <c r="BI567" s="729"/>
      <c r="BJ567" s="729"/>
      <c r="BK567" s="729"/>
      <c r="BL567" s="12"/>
      <c r="BM567" s="729"/>
      <c r="BN567" s="729"/>
      <c r="BO567" s="729"/>
      <c r="BP567" s="729"/>
      <c r="BQ567" s="729"/>
      <c r="BR567" s="729"/>
      <c r="BS567" s="729"/>
      <c r="BT567" s="729"/>
      <c r="BU567" s="729"/>
      <c r="BV567" s="729"/>
      <c r="BW567" s="228"/>
      <c r="BX567" s="729"/>
      <c r="BY567" s="729"/>
      <c r="BZ567" s="729"/>
      <c r="CA567" s="228"/>
      <c r="CB567" s="729"/>
      <c r="CC567" s="729"/>
      <c r="CD567" s="729"/>
      <c r="CE567" s="729"/>
      <c r="CF567" s="729"/>
      <c r="CG567" s="729"/>
      <c r="CH567" s="729"/>
      <c r="CI567" s="729"/>
      <c r="CJ567" s="729"/>
      <c r="CK567" s="228"/>
      <c r="CL567" s="779"/>
      <c r="CM567" s="779"/>
      <c r="CN567" s="729"/>
      <c r="CO567" s="228"/>
      <c r="CP567" s="228"/>
      <c r="CQ567" s="12"/>
      <c r="CR567" s="12"/>
      <c r="CS567" s="729"/>
      <c r="CT567" s="729"/>
      <c r="CU567" s="729"/>
      <c r="CV567" s="729"/>
      <c r="CW567" s="729"/>
      <c r="CX567" s="729"/>
      <c r="CY567" s="729"/>
      <c r="CZ567" s="729"/>
      <c r="DA567" s="729"/>
      <c r="DB567" s="729"/>
      <c r="DC567" s="729"/>
    </row>
    <row r="568" spans="1:107" ht="12.75" customHeight="1">
      <c r="A568" s="228"/>
      <c r="B568" s="228"/>
      <c r="C568" s="1010"/>
      <c r="D568" s="228"/>
      <c r="E568" s="228"/>
      <c r="F568" s="228"/>
      <c r="G568" s="729"/>
      <c r="H568" s="729"/>
      <c r="I568" s="729"/>
      <c r="J568" s="729"/>
      <c r="K568" s="1010"/>
      <c r="L568" s="12"/>
      <c r="M568" s="12"/>
      <c r="N568" s="12"/>
      <c r="O568" s="1010"/>
      <c r="P568" s="1011"/>
      <c r="Q568" s="1011"/>
      <c r="R568" s="12"/>
      <c r="S568" s="12"/>
      <c r="T568" s="12"/>
      <c r="U568" s="12"/>
      <c r="V568" s="12"/>
      <c r="W568" s="1012"/>
      <c r="X568" s="1023"/>
      <c r="Y568" s="1012"/>
      <c r="Z568" s="1012"/>
      <c r="AA568" s="1012"/>
      <c r="AB568" s="1011"/>
      <c r="AC568" s="1011"/>
      <c r="AD568" s="1449"/>
      <c r="AE568" s="729"/>
      <c r="AF568" s="729"/>
      <c r="AG568" s="1014"/>
      <c r="AH568" s="1014"/>
      <c r="AI568" s="1014"/>
      <c r="AJ568" s="729"/>
      <c r="AK568" s="729"/>
      <c r="AL568" s="729"/>
      <c r="AM568" s="729"/>
      <c r="AN568" s="729"/>
      <c r="AO568" s="729"/>
      <c r="AP568" s="729"/>
      <c r="AQ568" s="729"/>
      <c r="AR568" s="729"/>
      <c r="AS568" s="729"/>
      <c r="AT568" s="729"/>
      <c r="AU568" s="729"/>
      <c r="AV568" s="729"/>
      <c r="AW568" s="729"/>
      <c r="AX568" s="729"/>
      <c r="AY568" s="729"/>
      <c r="AZ568" s="729"/>
      <c r="BA568" s="729"/>
      <c r="BB568" s="729"/>
      <c r="BC568" s="729"/>
      <c r="BD568" s="729"/>
      <c r="BE568" s="729"/>
      <c r="BF568" s="12"/>
      <c r="BG568" s="729"/>
      <c r="BH568" s="729"/>
      <c r="BI568" s="729"/>
      <c r="BJ568" s="729"/>
      <c r="BK568" s="729"/>
      <c r="BL568" s="12"/>
      <c r="BM568" s="729"/>
      <c r="BN568" s="729"/>
      <c r="BO568" s="729"/>
      <c r="BP568" s="729"/>
      <c r="BQ568" s="729"/>
      <c r="BR568" s="729"/>
      <c r="BS568" s="729"/>
      <c r="BT568" s="729"/>
      <c r="BU568" s="729"/>
      <c r="BV568" s="729"/>
      <c r="BW568" s="228"/>
      <c r="BX568" s="729"/>
      <c r="BY568" s="729"/>
      <c r="BZ568" s="729"/>
      <c r="CA568" s="228"/>
      <c r="CB568" s="729"/>
      <c r="CC568" s="729"/>
      <c r="CD568" s="729"/>
      <c r="CE568" s="729"/>
      <c r="CF568" s="729"/>
      <c r="CG568" s="729"/>
      <c r="CH568" s="729"/>
      <c r="CI568" s="729"/>
      <c r="CJ568" s="729"/>
      <c r="CK568" s="228"/>
      <c r="CL568" s="779"/>
      <c r="CM568" s="779"/>
      <c r="CN568" s="729"/>
      <c r="CO568" s="228"/>
      <c r="CP568" s="228"/>
      <c r="CQ568" s="12"/>
      <c r="CR568" s="12"/>
      <c r="CS568" s="729"/>
      <c r="CT568" s="729"/>
      <c r="CU568" s="729"/>
      <c r="CV568" s="729"/>
      <c r="CW568" s="729"/>
      <c r="CX568" s="729"/>
      <c r="CY568" s="729"/>
      <c r="CZ568" s="729"/>
      <c r="DA568" s="729"/>
      <c r="DB568" s="729"/>
      <c r="DC568" s="729"/>
    </row>
    <row r="569" spans="1:107" ht="12.75" customHeight="1">
      <c r="A569" s="228"/>
      <c r="B569" s="228"/>
      <c r="C569" s="1010"/>
      <c r="D569" s="228"/>
      <c r="E569" s="228"/>
      <c r="F569" s="228"/>
      <c r="G569" s="729"/>
      <c r="H569" s="729"/>
      <c r="I569" s="729"/>
      <c r="J569" s="729"/>
      <c r="K569" s="1010"/>
      <c r="L569" s="12"/>
      <c r="M569" s="12"/>
      <c r="N569" s="12"/>
      <c r="O569" s="1010"/>
      <c r="P569" s="1011"/>
      <c r="Q569" s="1011"/>
      <c r="R569" s="12"/>
      <c r="S569" s="12"/>
      <c r="T569" s="12"/>
      <c r="U569" s="12"/>
      <c r="V569" s="12"/>
      <c r="W569" s="1012"/>
      <c r="X569" s="1023"/>
      <c r="Y569" s="1012"/>
      <c r="Z569" s="1012"/>
      <c r="AA569" s="1012"/>
      <c r="AB569" s="1011"/>
      <c r="AC569" s="1011"/>
      <c r="AD569" s="1449"/>
      <c r="AE569" s="729"/>
      <c r="AF569" s="729"/>
      <c r="AG569" s="1014"/>
      <c r="AH569" s="1014"/>
      <c r="AI569" s="1014"/>
      <c r="AJ569" s="729"/>
      <c r="AK569" s="729"/>
      <c r="AL569" s="729"/>
      <c r="AM569" s="729"/>
      <c r="AN569" s="729"/>
      <c r="AO569" s="729"/>
      <c r="AP569" s="729"/>
      <c r="AQ569" s="729"/>
      <c r="AR569" s="729"/>
      <c r="AS569" s="729"/>
      <c r="AT569" s="729"/>
      <c r="AU569" s="729"/>
      <c r="AV569" s="729"/>
      <c r="AW569" s="729"/>
      <c r="AX569" s="729"/>
      <c r="AY569" s="729"/>
      <c r="AZ569" s="729"/>
      <c r="BA569" s="729"/>
      <c r="BB569" s="729"/>
      <c r="BC569" s="729"/>
      <c r="BD569" s="729"/>
      <c r="BE569" s="729"/>
      <c r="BF569" s="12"/>
      <c r="BG569" s="729"/>
      <c r="BH569" s="729"/>
      <c r="BI569" s="729"/>
      <c r="BJ569" s="729"/>
      <c r="BK569" s="729"/>
      <c r="BL569" s="12"/>
      <c r="BM569" s="729"/>
      <c r="BN569" s="729"/>
      <c r="BO569" s="729"/>
      <c r="BP569" s="729"/>
      <c r="BQ569" s="729"/>
      <c r="BR569" s="729"/>
      <c r="BS569" s="729"/>
      <c r="BT569" s="729"/>
      <c r="BU569" s="729"/>
      <c r="BV569" s="729"/>
      <c r="BW569" s="228"/>
      <c r="BX569" s="729"/>
      <c r="BY569" s="729"/>
      <c r="BZ569" s="729"/>
      <c r="CA569" s="228"/>
      <c r="CB569" s="729"/>
      <c r="CC569" s="729"/>
      <c r="CD569" s="729"/>
      <c r="CE569" s="729"/>
      <c r="CF569" s="729"/>
      <c r="CG569" s="729"/>
      <c r="CH569" s="729"/>
      <c r="CI569" s="729"/>
      <c r="CJ569" s="729"/>
      <c r="CK569" s="228"/>
      <c r="CL569" s="779"/>
      <c r="CM569" s="779"/>
      <c r="CN569" s="729"/>
      <c r="CO569" s="228"/>
      <c r="CP569" s="228"/>
      <c r="CQ569" s="12"/>
      <c r="CR569" s="12"/>
      <c r="CS569" s="729"/>
      <c r="CT569" s="729"/>
      <c r="CU569" s="729"/>
      <c r="CV569" s="729"/>
      <c r="CW569" s="729"/>
      <c r="CX569" s="729"/>
      <c r="CY569" s="729"/>
      <c r="CZ569" s="729"/>
      <c r="DA569" s="729"/>
      <c r="DB569" s="729"/>
      <c r="DC569" s="729"/>
    </row>
    <row r="570" spans="1:107" ht="12.75" customHeight="1">
      <c r="A570" s="228"/>
      <c r="B570" s="228"/>
      <c r="C570" s="1010"/>
      <c r="D570" s="228"/>
      <c r="E570" s="228"/>
      <c r="F570" s="228"/>
      <c r="G570" s="729"/>
      <c r="H570" s="729"/>
      <c r="I570" s="729"/>
      <c r="J570" s="729"/>
      <c r="K570" s="1010"/>
      <c r="L570" s="12"/>
      <c r="M570" s="12"/>
      <c r="N570" s="12"/>
      <c r="O570" s="1010"/>
      <c r="P570" s="1011"/>
      <c r="Q570" s="1011"/>
      <c r="R570" s="12"/>
      <c r="S570" s="12"/>
      <c r="T570" s="12"/>
      <c r="U570" s="12"/>
      <c r="V570" s="12"/>
      <c r="W570" s="1012"/>
      <c r="X570" s="1023"/>
      <c r="Y570" s="1012"/>
      <c r="Z570" s="1012"/>
      <c r="AA570" s="1012"/>
      <c r="AB570" s="1011"/>
      <c r="AC570" s="1011"/>
      <c r="AD570" s="1449"/>
      <c r="AE570" s="729"/>
      <c r="AF570" s="729"/>
      <c r="AG570" s="1014"/>
      <c r="AH570" s="1014"/>
      <c r="AI570" s="1014"/>
      <c r="AJ570" s="729"/>
      <c r="AK570" s="729"/>
      <c r="AL570" s="729"/>
      <c r="AM570" s="729"/>
      <c r="AN570" s="729"/>
      <c r="AO570" s="729"/>
      <c r="AP570" s="729"/>
      <c r="AQ570" s="729"/>
      <c r="AR570" s="729"/>
      <c r="AS570" s="729"/>
      <c r="AT570" s="729"/>
      <c r="AU570" s="729"/>
      <c r="AV570" s="729"/>
      <c r="AW570" s="729"/>
      <c r="AX570" s="729"/>
      <c r="AY570" s="729"/>
      <c r="AZ570" s="729"/>
      <c r="BA570" s="729"/>
      <c r="BB570" s="729"/>
      <c r="BC570" s="729"/>
      <c r="BD570" s="729"/>
      <c r="BE570" s="729"/>
      <c r="BF570" s="12"/>
      <c r="BG570" s="729"/>
      <c r="BH570" s="729"/>
      <c r="BI570" s="729"/>
      <c r="BJ570" s="729"/>
      <c r="BK570" s="729"/>
      <c r="BL570" s="12"/>
      <c r="BM570" s="729"/>
      <c r="BN570" s="729"/>
      <c r="BO570" s="729"/>
      <c r="BP570" s="729"/>
      <c r="BQ570" s="729"/>
      <c r="BR570" s="729"/>
      <c r="BS570" s="729"/>
      <c r="BT570" s="729"/>
      <c r="BU570" s="729"/>
      <c r="BV570" s="729"/>
      <c r="BW570" s="228"/>
      <c r="BX570" s="729"/>
      <c r="BY570" s="729"/>
      <c r="BZ570" s="729"/>
      <c r="CA570" s="228"/>
      <c r="CB570" s="729"/>
      <c r="CC570" s="729"/>
      <c r="CD570" s="729"/>
      <c r="CE570" s="729"/>
      <c r="CF570" s="729"/>
      <c r="CG570" s="729"/>
      <c r="CH570" s="729"/>
      <c r="CI570" s="729"/>
      <c r="CJ570" s="729"/>
      <c r="CK570" s="228"/>
      <c r="CL570" s="779"/>
      <c r="CM570" s="779"/>
      <c r="CN570" s="729"/>
      <c r="CO570" s="228"/>
      <c r="CP570" s="228"/>
      <c r="CQ570" s="12"/>
      <c r="CR570" s="12"/>
      <c r="CS570" s="729"/>
      <c r="CT570" s="729"/>
      <c r="CU570" s="729"/>
      <c r="CV570" s="729"/>
      <c r="CW570" s="729"/>
      <c r="CX570" s="729"/>
      <c r="CY570" s="729"/>
      <c r="CZ570" s="729"/>
      <c r="DA570" s="729"/>
      <c r="DB570" s="729"/>
      <c r="DC570" s="729"/>
    </row>
    <row r="571" spans="1:107" ht="12.75" customHeight="1">
      <c r="A571" s="228"/>
      <c r="B571" s="228"/>
      <c r="C571" s="1010"/>
      <c r="D571" s="228"/>
      <c r="E571" s="228"/>
      <c r="F571" s="228"/>
      <c r="G571" s="729"/>
      <c r="H571" s="729"/>
      <c r="I571" s="729"/>
      <c r="J571" s="729"/>
      <c r="K571" s="1010"/>
      <c r="L571" s="12"/>
      <c r="M571" s="12"/>
      <c r="N571" s="12"/>
      <c r="O571" s="1010"/>
      <c r="P571" s="1011"/>
      <c r="Q571" s="1011"/>
      <c r="R571" s="12"/>
      <c r="S571" s="12"/>
      <c r="T571" s="12"/>
      <c r="U571" s="12"/>
      <c r="V571" s="12"/>
      <c r="W571" s="1012"/>
      <c r="X571" s="1023"/>
      <c r="Y571" s="1012"/>
      <c r="Z571" s="1012"/>
      <c r="AA571" s="1012"/>
      <c r="AB571" s="1011"/>
      <c r="AC571" s="1011"/>
      <c r="AD571" s="1449"/>
      <c r="AE571" s="729"/>
      <c r="AF571" s="729"/>
      <c r="AG571" s="1014"/>
      <c r="AH571" s="1014"/>
      <c r="AI571" s="1014"/>
      <c r="AJ571" s="729"/>
      <c r="AK571" s="729"/>
      <c r="AL571" s="729"/>
      <c r="AM571" s="729"/>
      <c r="AN571" s="729"/>
      <c r="AO571" s="729"/>
      <c r="AP571" s="729"/>
      <c r="AQ571" s="729"/>
      <c r="AR571" s="729"/>
      <c r="AS571" s="729"/>
      <c r="AT571" s="729"/>
      <c r="AU571" s="729"/>
      <c r="AV571" s="729"/>
      <c r="AW571" s="729"/>
      <c r="AX571" s="729"/>
      <c r="AY571" s="729"/>
      <c r="AZ571" s="729"/>
      <c r="BA571" s="729"/>
      <c r="BB571" s="729"/>
      <c r="BC571" s="729"/>
      <c r="BD571" s="729"/>
      <c r="BE571" s="729"/>
      <c r="BF571" s="12"/>
      <c r="BG571" s="729"/>
      <c r="BH571" s="729"/>
      <c r="BI571" s="729"/>
      <c r="BJ571" s="729"/>
      <c r="BK571" s="729"/>
      <c r="BL571" s="12"/>
      <c r="BM571" s="729"/>
      <c r="BN571" s="729"/>
      <c r="BO571" s="729"/>
      <c r="BP571" s="729"/>
      <c r="BQ571" s="729"/>
      <c r="BR571" s="729"/>
      <c r="BS571" s="729"/>
      <c r="BT571" s="729"/>
      <c r="BU571" s="729"/>
      <c r="BV571" s="729"/>
      <c r="BW571" s="228"/>
      <c r="BX571" s="729"/>
      <c r="BY571" s="729"/>
      <c r="BZ571" s="729"/>
      <c r="CA571" s="228"/>
      <c r="CB571" s="729"/>
      <c r="CC571" s="729"/>
      <c r="CD571" s="729"/>
      <c r="CE571" s="729"/>
      <c r="CF571" s="729"/>
      <c r="CG571" s="729"/>
      <c r="CH571" s="729"/>
      <c r="CI571" s="729"/>
      <c r="CJ571" s="729"/>
      <c r="CK571" s="228"/>
      <c r="CL571" s="779"/>
      <c r="CM571" s="779"/>
      <c r="CN571" s="729"/>
      <c r="CO571" s="228"/>
      <c r="CP571" s="228"/>
      <c r="CQ571" s="12"/>
      <c r="CR571" s="12"/>
      <c r="CS571" s="729"/>
      <c r="CT571" s="729"/>
      <c r="CU571" s="729"/>
      <c r="CV571" s="729"/>
      <c r="CW571" s="729"/>
      <c r="CX571" s="729"/>
      <c r="CY571" s="729"/>
      <c r="CZ571" s="729"/>
      <c r="DA571" s="729"/>
      <c r="DB571" s="729"/>
      <c r="DC571" s="729"/>
    </row>
    <row r="572" spans="1:107" ht="12.75" customHeight="1">
      <c r="A572" s="228"/>
      <c r="B572" s="228"/>
      <c r="C572" s="1010"/>
      <c r="D572" s="228"/>
      <c r="E572" s="228"/>
      <c r="F572" s="228"/>
      <c r="G572" s="729"/>
      <c r="H572" s="729"/>
      <c r="I572" s="729"/>
      <c r="J572" s="729"/>
      <c r="K572" s="1010"/>
      <c r="L572" s="12"/>
      <c r="M572" s="12"/>
      <c r="N572" s="12"/>
      <c r="O572" s="1010"/>
      <c r="P572" s="1011"/>
      <c r="Q572" s="1011"/>
      <c r="R572" s="12"/>
      <c r="S572" s="12"/>
      <c r="T572" s="12"/>
      <c r="U572" s="12"/>
      <c r="V572" s="12"/>
      <c r="W572" s="1012"/>
      <c r="X572" s="1023"/>
      <c r="Y572" s="1012"/>
      <c r="Z572" s="1012"/>
      <c r="AA572" s="1012"/>
      <c r="AB572" s="1011"/>
      <c r="AC572" s="1011"/>
      <c r="AD572" s="1449"/>
      <c r="AE572" s="729"/>
      <c r="AF572" s="729"/>
      <c r="AG572" s="1014"/>
      <c r="AH572" s="1014"/>
      <c r="AI572" s="1014"/>
      <c r="AJ572" s="729"/>
      <c r="AK572" s="729"/>
      <c r="AL572" s="729"/>
      <c r="AM572" s="729"/>
      <c r="AN572" s="729"/>
      <c r="AO572" s="729"/>
      <c r="AP572" s="729"/>
      <c r="AQ572" s="729"/>
      <c r="AR572" s="729"/>
      <c r="AS572" s="729"/>
      <c r="AT572" s="729"/>
      <c r="AU572" s="729"/>
      <c r="AV572" s="729"/>
      <c r="AW572" s="729"/>
      <c r="AX572" s="729"/>
      <c r="AY572" s="729"/>
      <c r="AZ572" s="729"/>
      <c r="BA572" s="729"/>
      <c r="BB572" s="729"/>
      <c r="BC572" s="729"/>
      <c r="BD572" s="729"/>
      <c r="BE572" s="729"/>
      <c r="BF572" s="12"/>
      <c r="BG572" s="729"/>
      <c r="BH572" s="729"/>
      <c r="BI572" s="729"/>
      <c r="BJ572" s="729"/>
      <c r="BK572" s="729"/>
      <c r="BL572" s="12"/>
      <c r="BM572" s="729"/>
      <c r="BN572" s="729"/>
      <c r="BO572" s="729"/>
      <c r="BP572" s="729"/>
      <c r="BQ572" s="729"/>
      <c r="BR572" s="729"/>
      <c r="BS572" s="729"/>
      <c r="BT572" s="729"/>
      <c r="BU572" s="729"/>
      <c r="BV572" s="729"/>
      <c r="BW572" s="228"/>
      <c r="BX572" s="729"/>
      <c r="BY572" s="729"/>
      <c r="BZ572" s="729"/>
      <c r="CA572" s="228"/>
      <c r="CB572" s="729"/>
      <c r="CC572" s="729"/>
      <c r="CD572" s="729"/>
      <c r="CE572" s="729"/>
      <c r="CF572" s="729"/>
      <c r="CG572" s="729"/>
      <c r="CH572" s="729"/>
      <c r="CI572" s="729"/>
      <c r="CJ572" s="729"/>
      <c r="CK572" s="228"/>
      <c r="CL572" s="779"/>
      <c r="CM572" s="779"/>
      <c r="CN572" s="729"/>
      <c r="CO572" s="228"/>
      <c r="CP572" s="228"/>
      <c r="CQ572" s="12"/>
      <c r="CR572" s="12"/>
      <c r="CS572" s="729"/>
      <c r="CT572" s="729"/>
      <c r="CU572" s="729"/>
      <c r="CV572" s="729"/>
      <c r="CW572" s="729"/>
      <c r="CX572" s="729"/>
      <c r="CY572" s="729"/>
      <c r="CZ572" s="729"/>
      <c r="DA572" s="729"/>
      <c r="DB572" s="729"/>
      <c r="DC572" s="729"/>
    </row>
    <row r="573" spans="1:107" ht="12.75" customHeight="1">
      <c r="A573" s="228"/>
      <c r="B573" s="228"/>
      <c r="C573" s="1010"/>
      <c r="D573" s="228"/>
      <c r="E573" s="228"/>
      <c r="F573" s="228"/>
      <c r="G573" s="729"/>
      <c r="H573" s="729"/>
      <c r="I573" s="729"/>
      <c r="J573" s="729"/>
      <c r="K573" s="1010"/>
      <c r="L573" s="12"/>
      <c r="M573" s="12"/>
      <c r="N573" s="12"/>
      <c r="O573" s="1010"/>
      <c r="P573" s="1011"/>
      <c r="Q573" s="1011"/>
      <c r="R573" s="12"/>
      <c r="S573" s="12"/>
      <c r="T573" s="12"/>
      <c r="U573" s="12"/>
      <c r="V573" s="12"/>
      <c r="W573" s="1012"/>
      <c r="X573" s="1023"/>
      <c r="Y573" s="1012"/>
      <c r="Z573" s="1012"/>
      <c r="AA573" s="1012"/>
      <c r="AB573" s="1011"/>
      <c r="AC573" s="1011"/>
      <c r="AD573" s="1449"/>
      <c r="AE573" s="729"/>
      <c r="AF573" s="729"/>
      <c r="AG573" s="1014"/>
      <c r="AH573" s="1014"/>
      <c r="AI573" s="1014"/>
      <c r="AJ573" s="729"/>
      <c r="AK573" s="729"/>
      <c r="AL573" s="729"/>
      <c r="AM573" s="729"/>
      <c r="AN573" s="729"/>
      <c r="AO573" s="729"/>
      <c r="AP573" s="729"/>
      <c r="AQ573" s="729"/>
      <c r="AR573" s="729"/>
      <c r="AS573" s="729"/>
      <c r="AT573" s="729"/>
      <c r="AU573" s="729"/>
      <c r="AV573" s="729"/>
      <c r="AW573" s="729"/>
      <c r="AX573" s="729"/>
      <c r="AY573" s="729"/>
      <c r="AZ573" s="729"/>
      <c r="BA573" s="729"/>
      <c r="BB573" s="729"/>
      <c r="BC573" s="729"/>
      <c r="BD573" s="729"/>
      <c r="BE573" s="729"/>
      <c r="BF573" s="12"/>
      <c r="BG573" s="729"/>
      <c r="BH573" s="729"/>
      <c r="BI573" s="729"/>
      <c r="BJ573" s="729"/>
      <c r="BK573" s="729"/>
      <c r="BL573" s="12"/>
      <c r="BM573" s="729"/>
      <c r="BN573" s="729"/>
      <c r="BO573" s="729"/>
      <c r="BP573" s="729"/>
      <c r="BQ573" s="729"/>
      <c r="BR573" s="729"/>
      <c r="BS573" s="729"/>
      <c r="BT573" s="729"/>
      <c r="BU573" s="729"/>
      <c r="BV573" s="729"/>
      <c r="BW573" s="228"/>
      <c r="BX573" s="729"/>
      <c r="BY573" s="729"/>
      <c r="BZ573" s="729"/>
      <c r="CA573" s="228"/>
      <c r="CB573" s="729"/>
      <c r="CC573" s="729"/>
      <c r="CD573" s="729"/>
      <c r="CE573" s="729"/>
      <c r="CF573" s="729"/>
      <c r="CG573" s="729"/>
      <c r="CH573" s="729"/>
      <c r="CI573" s="729"/>
      <c r="CJ573" s="729"/>
      <c r="CK573" s="228"/>
      <c r="CL573" s="779"/>
      <c r="CM573" s="779"/>
      <c r="CN573" s="729"/>
      <c r="CO573" s="228"/>
      <c r="CP573" s="228"/>
      <c r="CQ573" s="12"/>
      <c r="CR573" s="12"/>
      <c r="CS573" s="729"/>
      <c r="CT573" s="729"/>
      <c r="CU573" s="729"/>
      <c r="CV573" s="729"/>
      <c r="CW573" s="729"/>
      <c r="CX573" s="729"/>
      <c r="CY573" s="729"/>
      <c r="CZ573" s="729"/>
      <c r="DA573" s="729"/>
      <c r="DB573" s="729"/>
      <c r="DC573" s="729"/>
    </row>
    <row r="574" spans="1:107" ht="12.75" customHeight="1">
      <c r="A574" s="228"/>
      <c r="B574" s="228"/>
      <c r="C574" s="1010"/>
      <c r="D574" s="228"/>
      <c r="E574" s="228"/>
      <c r="F574" s="228"/>
      <c r="G574" s="729"/>
      <c r="H574" s="729"/>
      <c r="I574" s="729"/>
      <c r="J574" s="729"/>
      <c r="K574" s="1010"/>
      <c r="L574" s="12"/>
      <c r="M574" s="12"/>
      <c r="N574" s="12"/>
      <c r="O574" s="1010"/>
      <c r="P574" s="1011"/>
      <c r="Q574" s="1011"/>
      <c r="R574" s="12"/>
      <c r="S574" s="12"/>
      <c r="T574" s="12"/>
      <c r="U574" s="12"/>
      <c r="V574" s="12"/>
      <c r="W574" s="1012"/>
      <c r="X574" s="1023"/>
      <c r="Y574" s="1012"/>
      <c r="Z574" s="1012"/>
      <c r="AA574" s="1012"/>
      <c r="AB574" s="1011"/>
      <c r="AC574" s="1011"/>
      <c r="AD574" s="1449"/>
      <c r="AE574" s="729"/>
      <c r="AF574" s="729"/>
      <c r="AG574" s="1014"/>
      <c r="AH574" s="1014"/>
      <c r="AI574" s="1014"/>
      <c r="AJ574" s="729"/>
      <c r="AK574" s="729"/>
      <c r="AL574" s="729"/>
      <c r="AM574" s="729"/>
      <c r="AN574" s="729"/>
      <c r="AO574" s="729"/>
      <c r="AP574" s="729"/>
      <c r="AQ574" s="729"/>
      <c r="AR574" s="729"/>
      <c r="AS574" s="729"/>
      <c r="AT574" s="729"/>
      <c r="AU574" s="729"/>
      <c r="AV574" s="729"/>
      <c r="AW574" s="729"/>
      <c r="AX574" s="729"/>
      <c r="AY574" s="729"/>
      <c r="AZ574" s="729"/>
      <c r="BA574" s="729"/>
      <c r="BB574" s="729"/>
      <c r="BC574" s="729"/>
      <c r="BD574" s="729"/>
      <c r="BE574" s="729"/>
      <c r="BF574" s="12"/>
      <c r="BG574" s="729"/>
      <c r="BH574" s="729"/>
      <c r="BI574" s="729"/>
      <c r="BJ574" s="729"/>
      <c r="BK574" s="729"/>
      <c r="BL574" s="12"/>
      <c r="BM574" s="729"/>
      <c r="BN574" s="729"/>
      <c r="BO574" s="729"/>
      <c r="BP574" s="729"/>
      <c r="BQ574" s="729"/>
      <c r="BR574" s="729"/>
      <c r="BS574" s="729"/>
      <c r="BT574" s="729"/>
      <c r="BU574" s="729"/>
      <c r="BV574" s="729"/>
      <c r="BW574" s="228"/>
      <c r="BX574" s="729"/>
      <c r="BY574" s="729"/>
      <c r="BZ574" s="729"/>
      <c r="CA574" s="228"/>
      <c r="CB574" s="729"/>
      <c r="CC574" s="729"/>
      <c r="CD574" s="729"/>
      <c r="CE574" s="729"/>
      <c r="CF574" s="729"/>
      <c r="CG574" s="729"/>
      <c r="CH574" s="729"/>
      <c r="CI574" s="729"/>
      <c r="CJ574" s="729"/>
      <c r="CK574" s="228"/>
      <c r="CL574" s="779"/>
      <c r="CM574" s="779"/>
      <c r="CN574" s="729"/>
      <c r="CO574" s="228"/>
      <c r="CP574" s="228"/>
      <c r="CQ574" s="12"/>
      <c r="CR574" s="12"/>
      <c r="CS574" s="729"/>
      <c r="CT574" s="729"/>
      <c r="CU574" s="729"/>
      <c r="CV574" s="729"/>
      <c r="CW574" s="729"/>
      <c r="CX574" s="729"/>
      <c r="CY574" s="729"/>
      <c r="CZ574" s="729"/>
      <c r="DA574" s="729"/>
      <c r="DB574" s="729"/>
      <c r="DC574" s="729"/>
    </row>
    <row r="575" spans="1:107" ht="12.75" customHeight="1">
      <c r="A575" s="228"/>
      <c r="B575" s="228"/>
      <c r="C575" s="1010"/>
      <c r="D575" s="228"/>
      <c r="E575" s="228"/>
      <c r="F575" s="228"/>
      <c r="G575" s="729"/>
      <c r="H575" s="729"/>
      <c r="I575" s="729"/>
      <c r="J575" s="729"/>
      <c r="K575" s="1010"/>
      <c r="L575" s="12"/>
      <c r="M575" s="12"/>
      <c r="N575" s="12"/>
      <c r="O575" s="1010"/>
      <c r="P575" s="1011"/>
      <c r="Q575" s="1011"/>
      <c r="R575" s="12"/>
      <c r="S575" s="12"/>
      <c r="T575" s="12"/>
      <c r="U575" s="12"/>
      <c r="V575" s="12"/>
      <c r="W575" s="1012"/>
      <c r="X575" s="1023"/>
      <c r="Y575" s="1012"/>
      <c r="Z575" s="1012"/>
      <c r="AA575" s="1012"/>
      <c r="AB575" s="1011"/>
      <c r="AC575" s="1011"/>
      <c r="AD575" s="1449"/>
      <c r="AE575" s="729"/>
      <c r="AF575" s="729"/>
      <c r="AG575" s="1014"/>
      <c r="AH575" s="1014"/>
      <c r="AI575" s="1014"/>
      <c r="AJ575" s="729"/>
      <c r="AK575" s="729"/>
      <c r="AL575" s="729"/>
      <c r="AM575" s="729"/>
      <c r="AN575" s="729"/>
      <c r="AO575" s="729"/>
      <c r="AP575" s="729"/>
      <c r="AQ575" s="729"/>
      <c r="AR575" s="729"/>
      <c r="AS575" s="729"/>
      <c r="AT575" s="729"/>
      <c r="AU575" s="729"/>
      <c r="AV575" s="729"/>
      <c r="AW575" s="729"/>
      <c r="AX575" s="729"/>
      <c r="AY575" s="729"/>
      <c r="AZ575" s="729"/>
      <c r="BA575" s="729"/>
      <c r="BB575" s="729"/>
      <c r="BC575" s="729"/>
      <c r="BD575" s="729"/>
      <c r="BE575" s="729"/>
      <c r="BF575" s="12"/>
      <c r="BG575" s="729"/>
      <c r="BH575" s="729"/>
      <c r="BI575" s="729"/>
      <c r="BJ575" s="729"/>
      <c r="BK575" s="729"/>
      <c r="BL575" s="12"/>
      <c r="BM575" s="729"/>
      <c r="BN575" s="729"/>
      <c r="BO575" s="729"/>
      <c r="BP575" s="729"/>
      <c r="BQ575" s="729"/>
      <c r="BR575" s="729"/>
      <c r="BS575" s="729"/>
      <c r="BT575" s="729"/>
      <c r="BU575" s="729"/>
      <c r="BV575" s="729"/>
      <c r="BW575" s="228"/>
      <c r="BX575" s="729"/>
      <c r="BY575" s="729"/>
      <c r="BZ575" s="729"/>
      <c r="CA575" s="228"/>
      <c r="CB575" s="729"/>
      <c r="CC575" s="729"/>
      <c r="CD575" s="729"/>
      <c r="CE575" s="729"/>
      <c r="CF575" s="729"/>
      <c r="CG575" s="729"/>
      <c r="CH575" s="729"/>
      <c r="CI575" s="729"/>
      <c r="CJ575" s="729"/>
      <c r="CK575" s="228"/>
      <c r="CL575" s="779"/>
      <c r="CM575" s="779"/>
      <c r="CN575" s="729"/>
      <c r="CO575" s="228"/>
      <c r="CP575" s="228"/>
      <c r="CQ575" s="12"/>
      <c r="CR575" s="12"/>
      <c r="CS575" s="729"/>
      <c r="CT575" s="729"/>
      <c r="CU575" s="729"/>
      <c r="CV575" s="729"/>
      <c r="CW575" s="729"/>
      <c r="CX575" s="729"/>
      <c r="CY575" s="729"/>
      <c r="CZ575" s="729"/>
      <c r="DA575" s="729"/>
      <c r="DB575" s="729"/>
      <c r="DC575" s="729"/>
    </row>
    <row r="576" spans="1:107" ht="15" customHeight="1">
      <c r="J576" s="265"/>
      <c r="K576" s="1024"/>
      <c r="L576" s="1025"/>
      <c r="M576" s="1026"/>
      <c r="N576" s="1026"/>
      <c r="O576" s="265"/>
      <c r="P576" s="265"/>
      <c r="T576" s="265"/>
      <c r="U576" s="265"/>
      <c r="V576" s="265"/>
      <c r="X576" s="1026"/>
      <c r="Y576" s="265"/>
      <c r="Z576" s="265"/>
      <c r="AA576" s="265"/>
      <c r="AD576" s="1457"/>
      <c r="AE576" s="265"/>
      <c r="AF576" s="265"/>
      <c r="AK576" s="729"/>
      <c r="AL576" s="729"/>
      <c r="AM576" s="729"/>
      <c r="AN576" s="729"/>
      <c r="AV576" s="265"/>
      <c r="AW576" s="265"/>
      <c r="AX576" s="265"/>
      <c r="AY576" s="265"/>
      <c r="BE576" s="265"/>
      <c r="BF576" s="1028"/>
      <c r="BJ576" s="265"/>
      <c r="BK576" s="1458"/>
      <c r="BL576" s="1028"/>
      <c r="BP576" s="265"/>
      <c r="BQ576" s="1458"/>
      <c r="BW576" s="11"/>
      <c r="CA576" s="11"/>
      <c r="CK576" s="265"/>
      <c r="CL576" s="265"/>
      <c r="CM576" s="265"/>
      <c r="CO576" s="11"/>
      <c r="CR576" s="1026"/>
      <c r="CS576" s="265"/>
      <c r="CT576" s="265"/>
      <c r="CU576" s="265"/>
    </row>
    <row r="577" spans="10:99" ht="15" customHeight="1">
      <c r="J577" s="265"/>
      <c r="K577" s="1024"/>
      <c r="L577" s="1025"/>
      <c r="M577" s="1026"/>
      <c r="N577" s="1026"/>
      <c r="O577" s="265"/>
      <c r="P577" s="265"/>
      <c r="T577" s="265"/>
      <c r="U577" s="265"/>
      <c r="V577" s="265"/>
      <c r="X577" s="1026"/>
      <c r="Y577" s="265"/>
      <c r="Z577" s="265"/>
      <c r="AA577" s="265"/>
      <c r="AE577" s="265"/>
      <c r="AF577" s="265"/>
      <c r="AV577" s="265"/>
      <c r="AW577" s="265"/>
      <c r="AX577" s="265"/>
      <c r="AY577" s="265"/>
      <c r="BE577" s="265"/>
      <c r="BF577" s="1028"/>
      <c r="BJ577" s="265"/>
      <c r="BK577" s="1458"/>
      <c r="BL577" s="1028"/>
      <c r="BP577" s="265"/>
      <c r="BQ577" s="1458"/>
      <c r="BW577" s="11"/>
      <c r="CA577" s="11"/>
      <c r="CK577" s="265"/>
      <c r="CL577" s="265"/>
      <c r="CM577" s="265"/>
      <c r="CO577" s="11"/>
      <c r="CR577" s="1026"/>
      <c r="CS577" s="265"/>
      <c r="CT577" s="265"/>
      <c r="CU577" s="265"/>
    </row>
    <row r="578" spans="10:99" ht="15" customHeight="1">
      <c r="J578" s="265"/>
      <c r="K578" s="1024"/>
      <c r="L578" s="1025"/>
      <c r="M578" s="1026"/>
      <c r="N578" s="1026"/>
      <c r="O578" s="265"/>
      <c r="P578" s="265"/>
      <c r="T578" s="265"/>
      <c r="U578" s="265"/>
      <c r="V578" s="265"/>
      <c r="X578" s="1026"/>
      <c r="Y578" s="265"/>
      <c r="Z578" s="265"/>
      <c r="AA578" s="265"/>
      <c r="AE578" s="265"/>
      <c r="AF578" s="265"/>
      <c r="AV578" s="265"/>
      <c r="AW578" s="265"/>
      <c r="AX578" s="265"/>
      <c r="AY578" s="265"/>
      <c r="BE578" s="265"/>
      <c r="BF578" s="1028"/>
      <c r="BJ578" s="265"/>
      <c r="BK578" s="1458"/>
      <c r="BL578" s="1028"/>
      <c r="BP578" s="265"/>
      <c r="BQ578" s="1458"/>
      <c r="BW578" s="11"/>
      <c r="CA578" s="11"/>
      <c r="CK578" s="265"/>
      <c r="CL578" s="265"/>
      <c r="CM578" s="265"/>
      <c r="CO578" s="11"/>
      <c r="CR578" s="1026"/>
      <c r="CS578" s="265"/>
      <c r="CT578" s="265"/>
      <c r="CU578" s="265"/>
    </row>
    <row r="579" spans="10:99" ht="15" customHeight="1">
      <c r="J579" s="265"/>
      <c r="K579" s="1024"/>
      <c r="L579" s="1025"/>
      <c r="M579" s="1026"/>
      <c r="N579" s="1026"/>
      <c r="O579" s="265"/>
      <c r="P579" s="265"/>
      <c r="T579" s="265"/>
      <c r="U579" s="265"/>
      <c r="V579" s="265"/>
      <c r="X579" s="1026"/>
      <c r="Y579" s="265"/>
      <c r="Z579" s="265"/>
      <c r="AA579" s="265"/>
      <c r="AE579" s="265"/>
      <c r="AF579" s="265"/>
      <c r="AV579" s="265"/>
      <c r="AW579" s="265"/>
      <c r="AX579" s="265"/>
      <c r="AY579" s="265"/>
      <c r="BE579" s="265"/>
      <c r="BF579" s="1028"/>
      <c r="BJ579" s="265"/>
      <c r="BK579" s="1458"/>
      <c r="BL579" s="1028"/>
      <c r="BP579" s="265"/>
      <c r="BQ579" s="1458"/>
      <c r="BW579" s="11"/>
      <c r="CA579" s="11"/>
      <c r="CK579" s="265"/>
      <c r="CL579" s="265"/>
      <c r="CM579" s="265"/>
      <c r="CO579" s="11"/>
      <c r="CR579" s="1026"/>
      <c r="CS579" s="265"/>
      <c r="CT579" s="265"/>
      <c r="CU579" s="265"/>
    </row>
    <row r="580" spans="10:99" ht="15" customHeight="1">
      <c r="J580" s="265"/>
      <c r="K580" s="1024"/>
      <c r="L580" s="1025"/>
      <c r="M580" s="1026"/>
      <c r="N580" s="1026"/>
      <c r="O580" s="265"/>
      <c r="P580" s="265"/>
      <c r="T580" s="265"/>
      <c r="U580" s="265"/>
      <c r="V580" s="265"/>
      <c r="X580" s="1026"/>
      <c r="Y580" s="265"/>
      <c r="Z580" s="265"/>
      <c r="AA580" s="265"/>
      <c r="AE580" s="265"/>
      <c r="AF580" s="265"/>
      <c r="AV580" s="265"/>
      <c r="AW580" s="265"/>
      <c r="AX580" s="265"/>
      <c r="AY580" s="265"/>
      <c r="BE580" s="265"/>
      <c r="BF580" s="1028"/>
      <c r="BJ580" s="265"/>
      <c r="BK580" s="1458"/>
      <c r="BL580" s="1028"/>
      <c r="BP580" s="265"/>
      <c r="BQ580" s="1458"/>
      <c r="BW580" s="11"/>
      <c r="CA580" s="11"/>
      <c r="CK580" s="265"/>
      <c r="CL580" s="265"/>
      <c r="CM580" s="265"/>
      <c r="CO580" s="11"/>
      <c r="CR580" s="1026"/>
      <c r="CS580" s="265"/>
      <c r="CT580" s="265"/>
      <c r="CU580" s="265"/>
    </row>
    <row r="581" spans="10:99" ht="15" customHeight="1">
      <c r="J581" s="265"/>
      <c r="K581" s="1024"/>
      <c r="L581" s="1025"/>
      <c r="M581" s="1026"/>
      <c r="N581" s="1026"/>
      <c r="O581" s="265"/>
      <c r="P581" s="265"/>
      <c r="T581" s="265"/>
      <c r="U581" s="265"/>
      <c r="V581" s="265"/>
      <c r="X581" s="1026"/>
      <c r="Y581" s="265"/>
      <c r="Z581" s="265"/>
      <c r="AA581" s="265"/>
      <c r="AE581" s="265"/>
      <c r="AF581" s="265"/>
      <c r="AV581" s="265"/>
      <c r="AW581" s="265"/>
      <c r="AX581" s="265"/>
      <c r="AY581" s="265"/>
      <c r="BE581" s="265"/>
      <c r="BF581" s="1028"/>
      <c r="BJ581" s="265"/>
      <c r="BK581" s="1458"/>
      <c r="BL581" s="1028"/>
      <c r="BP581" s="265"/>
      <c r="BQ581" s="1458"/>
      <c r="BW581" s="11"/>
      <c r="CA581" s="11"/>
      <c r="CK581" s="265"/>
      <c r="CL581" s="265"/>
      <c r="CM581" s="265"/>
      <c r="CO581" s="11"/>
      <c r="CR581" s="1026"/>
      <c r="CS581" s="265"/>
      <c r="CT581" s="265"/>
      <c r="CU581" s="265"/>
    </row>
    <row r="582" spans="10:99" ht="15" customHeight="1">
      <c r="J582" s="265"/>
      <c r="K582" s="1024"/>
      <c r="L582" s="1025"/>
      <c r="M582" s="1026"/>
      <c r="N582" s="1026"/>
      <c r="O582" s="265"/>
      <c r="P582" s="265"/>
      <c r="T582" s="265"/>
      <c r="U582" s="265"/>
      <c r="V582" s="265"/>
      <c r="X582" s="1026"/>
      <c r="Y582" s="265"/>
      <c r="Z582" s="265"/>
      <c r="AA582" s="265"/>
      <c r="AE582" s="265"/>
      <c r="AF582" s="265"/>
      <c r="AV582" s="265"/>
      <c r="AW582" s="265"/>
      <c r="AX582" s="265"/>
      <c r="AY582" s="265"/>
      <c r="BE582" s="265"/>
      <c r="BF582" s="1028"/>
      <c r="BJ582" s="265"/>
      <c r="BK582" s="1458"/>
      <c r="BL582" s="1028"/>
      <c r="BP582" s="265"/>
      <c r="BQ582" s="1458"/>
      <c r="BW582" s="11"/>
      <c r="CA582" s="11"/>
      <c r="CK582" s="265"/>
      <c r="CL582" s="265"/>
      <c r="CM582" s="265"/>
      <c r="CO582" s="11"/>
      <c r="CR582" s="1026"/>
      <c r="CS582" s="265"/>
      <c r="CT582" s="265"/>
      <c r="CU582" s="265"/>
    </row>
    <row r="583" spans="10:99" ht="15" customHeight="1">
      <c r="J583" s="265"/>
      <c r="K583" s="1024"/>
      <c r="L583" s="1025"/>
      <c r="M583" s="1026"/>
      <c r="N583" s="1026"/>
      <c r="O583" s="265"/>
      <c r="P583" s="265"/>
      <c r="T583" s="265"/>
      <c r="U583" s="265"/>
      <c r="V583" s="265"/>
      <c r="X583" s="1026"/>
      <c r="Y583" s="265"/>
      <c r="Z583" s="265"/>
      <c r="AA583" s="265"/>
      <c r="AE583" s="265"/>
      <c r="AF583" s="265"/>
      <c r="AV583" s="265"/>
      <c r="AW583" s="265"/>
      <c r="AX583" s="265"/>
      <c r="AY583" s="265"/>
      <c r="BE583" s="265"/>
      <c r="BF583" s="1028"/>
      <c r="BJ583" s="265"/>
      <c r="BK583" s="1458"/>
      <c r="BL583" s="1028"/>
      <c r="BP583" s="265"/>
      <c r="BQ583" s="1458"/>
      <c r="BW583" s="11"/>
      <c r="CA583" s="11"/>
      <c r="CK583" s="265"/>
      <c r="CL583" s="265"/>
      <c r="CM583" s="265"/>
      <c r="CO583" s="11"/>
      <c r="CR583" s="1026"/>
      <c r="CS583" s="265"/>
      <c r="CT583" s="265"/>
      <c r="CU583" s="265"/>
    </row>
    <row r="584" spans="10:99" ht="15" customHeight="1">
      <c r="J584" s="265"/>
      <c r="K584" s="1024"/>
      <c r="L584" s="1025"/>
      <c r="M584" s="1026"/>
      <c r="N584" s="1026"/>
      <c r="O584" s="265"/>
      <c r="P584" s="265"/>
      <c r="T584" s="265"/>
      <c r="U584" s="265"/>
      <c r="V584" s="265"/>
      <c r="X584" s="1026"/>
      <c r="Y584" s="265"/>
      <c r="Z584" s="265"/>
      <c r="AA584" s="265"/>
      <c r="AE584" s="265"/>
      <c r="AF584" s="265"/>
      <c r="AV584" s="265"/>
      <c r="AW584" s="265"/>
      <c r="AX584" s="265"/>
      <c r="AY584" s="265"/>
      <c r="BE584" s="265"/>
      <c r="BF584" s="1028"/>
      <c r="BJ584" s="265"/>
      <c r="BK584" s="1458"/>
      <c r="BL584" s="1028"/>
      <c r="BP584" s="265"/>
      <c r="BQ584" s="1458"/>
      <c r="BW584" s="11"/>
      <c r="CA584" s="11"/>
      <c r="CK584" s="265"/>
      <c r="CL584" s="265"/>
      <c r="CM584" s="265"/>
      <c r="CO584" s="11"/>
      <c r="CR584" s="1026"/>
      <c r="CS584" s="265"/>
      <c r="CT584" s="265"/>
      <c r="CU584" s="265"/>
    </row>
    <row r="585" spans="10:99" ht="15" customHeight="1">
      <c r="J585" s="265"/>
      <c r="K585" s="1024"/>
      <c r="L585" s="1025"/>
      <c r="M585" s="1026"/>
      <c r="N585" s="1026"/>
      <c r="O585" s="265"/>
      <c r="P585" s="265"/>
      <c r="T585" s="265"/>
      <c r="U585" s="265"/>
      <c r="V585" s="265"/>
      <c r="X585" s="1026"/>
      <c r="Y585" s="265"/>
      <c r="Z585" s="265"/>
      <c r="AA585" s="265"/>
      <c r="AE585" s="265"/>
      <c r="AF585" s="265"/>
      <c r="AV585" s="265"/>
      <c r="AW585" s="265"/>
      <c r="AX585" s="265"/>
      <c r="AY585" s="265"/>
      <c r="BE585" s="265"/>
      <c r="BF585" s="1028"/>
      <c r="BJ585" s="265"/>
      <c r="BK585" s="1458"/>
      <c r="BL585" s="1028"/>
      <c r="BP585" s="265"/>
      <c r="BQ585" s="1458"/>
      <c r="BW585" s="11"/>
      <c r="CA585" s="11"/>
      <c r="CK585" s="265"/>
      <c r="CL585" s="265"/>
      <c r="CM585" s="265"/>
      <c r="CO585" s="11"/>
      <c r="CR585" s="1026"/>
      <c r="CS585" s="265"/>
      <c r="CT585" s="265"/>
      <c r="CU585" s="265"/>
    </row>
    <row r="586" spans="10:99" ht="15" customHeight="1">
      <c r="J586" s="265"/>
      <c r="K586" s="1024"/>
      <c r="L586" s="1025"/>
      <c r="M586" s="1026"/>
      <c r="N586" s="1026"/>
      <c r="O586" s="265"/>
      <c r="P586" s="265"/>
      <c r="T586" s="265"/>
      <c r="U586" s="265"/>
      <c r="V586" s="265"/>
      <c r="X586" s="1026"/>
      <c r="Y586" s="265"/>
      <c r="Z586" s="265"/>
      <c r="AA586" s="265"/>
      <c r="AE586" s="265"/>
      <c r="AF586" s="265"/>
      <c r="AV586" s="265"/>
      <c r="AW586" s="265"/>
      <c r="AX586" s="265"/>
      <c r="AY586" s="265"/>
      <c r="BE586" s="265"/>
      <c r="BF586" s="1028"/>
      <c r="BJ586" s="265"/>
      <c r="BK586" s="1458"/>
      <c r="BL586" s="1028"/>
      <c r="BP586" s="265"/>
      <c r="BQ586" s="1458"/>
      <c r="BW586" s="11"/>
      <c r="CA586" s="11"/>
      <c r="CK586" s="265"/>
      <c r="CL586" s="265"/>
      <c r="CM586" s="265"/>
      <c r="CO586" s="11"/>
      <c r="CR586" s="1026"/>
      <c r="CS586" s="265"/>
      <c r="CT586" s="265"/>
      <c r="CU586" s="265"/>
    </row>
    <row r="587" spans="10:99" ht="15" customHeight="1">
      <c r="J587" s="265"/>
      <c r="K587" s="1024"/>
      <c r="L587" s="1025"/>
      <c r="M587" s="1026"/>
      <c r="N587" s="1026"/>
      <c r="O587" s="265"/>
      <c r="P587" s="265"/>
      <c r="T587" s="265"/>
      <c r="U587" s="265"/>
      <c r="V587" s="265"/>
      <c r="X587" s="1026"/>
      <c r="Y587" s="265"/>
      <c r="Z587" s="265"/>
      <c r="AA587" s="265"/>
      <c r="AE587" s="265"/>
      <c r="AF587" s="265"/>
      <c r="AV587" s="265"/>
      <c r="AW587" s="265"/>
      <c r="AX587" s="265"/>
      <c r="AY587" s="265"/>
      <c r="BE587" s="265"/>
      <c r="BF587" s="1028"/>
      <c r="BJ587" s="265"/>
      <c r="BK587" s="1458"/>
      <c r="BL587" s="1028"/>
      <c r="BP587" s="265"/>
      <c r="BQ587" s="1458"/>
      <c r="BW587" s="11"/>
      <c r="CA587" s="11"/>
      <c r="CK587" s="265"/>
      <c r="CL587" s="265"/>
      <c r="CM587" s="265"/>
      <c r="CO587" s="11"/>
      <c r="CR587" s="1026"/>
      <c r="CS587" s="265"/>
      <c r="CT587" s="265"/>
      <c r="CU587" s="265"/>
    </row>
    <row r="588" spans="10:99" ht="15" customHeight="1">
      <c r="J588" s="265"/>
      <c r="K588" s="1024"/>
      <c r="L588" s="1025"/>
      <c r="M588" s="1026"/>
      <c r="N588" s="1026"/>
      <c r="O588" s="265"/>
      <c r="P588" s="265"/>
      <c r="T588" s="265"/>
      <c r="U588" s="265"/>
      <c r="V588" s="265"/>
      <c r="X588" s="1026"/>
      <c r="Y588" s="265"/>
      <c r="Z588" s="265"/>
      <c r="AA588" s="265"/>
      <c r="AE588" s="265"/>
      <c r="AF588" s="265"/>
      <c r="AV588" s="265"/>
      <c r="AW588" s="265"/>
      <c r="AX588" s="265"/>
      <c r="AY588" s="265"/>
      <c r="BE588" s="265"/>
      <c r="BF588" s="1028"/>
      <c r="BJ588" s="265"/>
      <c r="BK588" s="1458"/>
      <c r="BL588" s="1028"/>
      <c r="BP588" s="265"/>
      <c r="BQ588" s="1458"/>
      <c r="BW588" s="11"/>
      <c r="CA588" s="11"/>
      <c r="CK588" s="265"/>
      <c r="CL588" s="265"/>
      <c r="CM588" s="265"/>
      <c r="CO588" s="11"/>
      <c r="CR588" s="1026"/>
      <c r="CS588" s="265"/>
      <c r="CT588" s="265"/>
      <c r="CU588" s="265"/>
    </row>
    <row r="589" spans="10:99" ht="15" customHeight="1">
      <c r="J589" s="265"/>
      <c r="K589" s="1024"/>
      <c r="L589" s="1025"/>
      <c r="M589" s="1026"/>
      <c r="N589" s="1026"/>
      <c r="O589" s="265"/>
      <c r="P589" s="265"/>
      <c r="T589" s="265"/>
      <c r="U589" s="265"/>
      <c r="V589" s="265"/>
      <c r="X589" s="1026"/>
      <c r="Y589" s="265"/>
      <c r="Z589" s="265"/>
      <c r="AA589" s="265"/>
      <c r="AE589" s="265"/>
      <c r="AF589" s="265"/>
      <c r="AV589" s="265"/>
      <c r="AW589" s="265"/>
      <c r="AX589" s="265"/>
      <c r="AY589" s="265"/>
      <c r="BE589" s="265"/>
      <c r="BF589" s="1028"/>
      <c r="BJ589" s="265"/>
      <c r="BK589" s="1458"/>
      <c r="BL589" s="1028"/>
      <c r="BP589" s="265"/>
      <c r="BQ589" s="1458"/>
      <c r="BW589" s="11"/>
      <c r="CA589" s="11"/>
      <c r="CK589" s="265"/>
      <c r="CL589" s="265"/>
      <c r="CM589" s="265"/>
      <c r="CO589" s="11"/>
      <c r="CR589" s="1026"/>
      <c r="CS589" s="265"/>
      <c r="CT589" s="265"/>
      <c r="CU589" s="265"/>
    </row>
    <row r="590" spans="10:99" ht="15" customHeight="1">
      <c r="J590" s="265"/>
      <c r="K590" s="1024"/>
      <c r="L590" s="1025"/>
      <c r="M590" s="1026"/>
      <c r="N590" s="1026"/>
      <c r="O590" s="265"/>
      <c r="P590" s="265"/>
      <c r="T590" s="265"/>
      <c r="U590" s="265"/>
      <c r="V590" s="265"/>
      <c r="X590" s="1026"/>
      <c r="Y590" s="265"/>
      <c r="Z590" s="265"/>
      <c r="AA590" s="265"/>
      <c r="AE590" s="265"/>
      <c r="AF590" s="265"/>
      <c r="AV590" s="265"/>
      <c r="AW590" s="265"/>
      <c r="AX590" s="265"/>
      <c r="AY590" s="265"/>
      <c r="BE590" s="265"/>
      <c r="BF590" s="1028"/>
      <c r="BJ590" s="265"/>
      <c r="BK590" s="1458"/>
      <c r="BL590" s="1028"/>
      <c r="BP590" s="265"/>
      <c r="BQ590" s="1458"/>
      <c r="BW590" s="11"/>
      <c r="CA590" s="11"/>
      <c r="CK590" s="265"/>
      <c r="CL590" s="265"/>
      <c r="CM590" s="265"/>
      <c r="CO590" s="11"/>
      <c r="CR590" s="1026"/>
      <c r="CS590" s="265"/>
      <c r="CT590" s="265"/>
      <c r="CU590" s="265"/>
    </row>
    <row r="591" spans="10:99" ht="15" customHeight="1">
      <c r="J591" s="265"/>
      <c r="K591" s="1024"/>
      <c r="L591" s="1025"/>
      <c r="M591" s="1026"/>
      <c r="N591" s="1026"/>
      <c r="O591" s="265"/>
      <c r="P591" s="265"/>
      <c r="T591" s="265"/>
      <c r="U591" s="265"/>
      <c r="V591" s="265"/>
      <c r="X591" s="1026"/>
      <c r="Y591" s="265"/>
      <c r="Z591" s="265"/>
      <c r="AA591" s="265"/>
      <c r="AE591" s="265"/>
      <c r="AF591" s="265"/>
      <c r="AV591" s="265"/>
      <c r="AW591" s="265"/>
      <c r="AX591" s="265"/>
      <c r="AY591" s="265"/>
      <c r="BE591" s="265"/>
      <c r="BF591" s="1028"/>
      <c r="BJ591" s="265"/>
      <c r="BK591" s="1458"/>
      <c r="BL591" s="1028"/>
      <c r="BP591" s="265"/>
      <c r="BQ591" s="1458"/>
      <c r="BW591" s="11"/>
      <c r="CA591" s="11"/>
      <c r="CK591" s="265"/>
      <c r="CL591" s="265"/>
      <c r="CM591" s="265"/>
      <c r="CO591" s="11"/>
      <c r="CR591" s="1026"/>
      <c r="CS591" s="265"/>
      <c r="CT591" s="265"/>
      <c r="CU591" s="265"/>
    </row>
    <row r="592" spans="10:99" ht="15" customHeight="1">
      <c r="J592" s="265"/>
      <c r="K592" s="1024"/>
      <c r="L592" s="1025"/>
      <c r="M592" s="1026"/>
      <c r="N592" s="1026"/>
      <c r="O592" s="265"/>
      <c r="P592" s="265"/>
      <c r="T592" s="265"/>
      <c r="U592" s="265"/>
      <c r="V592" s="265"/>
      <c r="X592" s="1026"/>
      <c r="Y592" s="265"/>
      <c r="Z592" s="265"/>
      <c r="AA592" s="265"/>
      <c r="AE592" s="265"/>
      <c r="AF592" s="265"/>
      <c r="AV592" s="265"/>
      <c r="AW592" s="265"/>
      <c r="AX592" s="265"/>
      <c r="AY592" s="265"/>
      <c r="BE592" s="265"/>
      <c r="BF592" s="1028"/>
      <c r="BJ592" s="265"/>
      <c r="BK592" s="1458"/>
      <c r="BL592" s="1028"/>
      <c r="BP592" s="265"/>
      <c r="BQ592" s="1458"/>
      <c r="BW592" s="11"/>
      <c r="CA592" s="11"/>
      <c r="CK592" s="265"/>
      <c r="CL592" s="265"/>
      <c r="CM592" s="265"/>
      <c r="CO592" s="11"/>
      <c r="CR592" s="1026"/>
      <c r="CS592" s="265"/>
      <c r="CT592" s="265"/>
      <c r="CU592" s="265"/>
    </row>
    <row r="593" spans="10:99" ht="15" customHeight="1">
      <c r="J593" s="265"/>
      <c r="K593" s="1024"/>
      <c r="L593" s="1025"/>
      <c r="M593" s="1026"/>
      <c r="N593" s="1026"/>
      <c r="O593" s="265"/>
      <c r="P593" s="265"/>
      <c r="T593" s="265"/>
      <c r="U593" s="265"/>
      <c r="V593" s="265"/>
      <c r="X593" s="1026"/>
      <c r="Y593" s="265"/>
      <c r="Z593" s="265"/>
      <c r="AA593" s="265"/>
      <c r="AE593" s="265"/>
      <c r="AF593" s="265"/>
      <c r="AV593" s="265"/>
      <c r="AW593" s="265"/>
      <c r="AX593" s="265"/>
      <c r="AY593" s="265"/>
      <c r="BE593" s="265"/>
      <c r="BF593" s="1028"/>
      <c r="BJ593" s="265"/>
      <c r="BK593" s="1458"/>
      <c r="BL593" s="1028"/>
      <c r="BP593" s="265"/>
      <c r="BQ593" s="1458"/>
      <c r="BW593" s="11"/>
      <c r="CA593" s="11"/>
      <c r="CK593" s="265"/>
      <c r="CL593" s="265"/>
      <c r="CM593" s="265"/>
      <c r="CO593" s="11"/>
      <c r="CR593" s="1026"/>
      <c r="CS593" s="265"/>
      <c r="CT593" s="265"/>
      <c r="CU593" s="265"/>
    </row>
    <row r="594" spans="10:99" ht="15" customHeight="1">
      <c r="J594" s="265"/>
      <c r="K594" s="1024"/>
      <c r="L594" s="1025"/>
      <c r="M594" s="1026"/>
      <c r="N594" s="1026"/>
      <c r="O594" s="265"/>
      <c r="P594" s="265"/>
      <c r="T594" s="265"/>
      <c r="U594" s="265"/>
      <c r="V594" s="265"/>
      <c r="X594" s="1026"/>
      <c r="Y594" s="265"/>
      <c r="Z594" s="265"/>
      <c r="AA594" s="265"/>
      <c r="AE594" s="265"/>
      <c r="AF594" s="265"/>
      <c r="AV594" s="265"/>
      <c r="AW594" s="265"/>
      <c r="AX594" s="265"/>
      <c r="AY594" s="265"/>
      <c r="BE594" s="265"/>
      <c r="BF594" s="1028"/>
      <c r="BJ594" s="265"/>
      <c r="BK594" s="1458"/>
      <c r="BL594" s="1028"/>
      <c r="BP594" s="265"/>
      <c r="BQ594" s="1458"/>
      <c r="BW594" s="11"/>
      <c r="CA594" s="11"/>
      <c r="CK594" s="265"/>
      <c r="CL594" s="265"/>
      <c r="CM594" s="265"/>
      <c r="CO594" s="11"/>
      <c r="CR594" s="1026"/>
      <c r="CS594" s="265"/>
      <c r="CT594" s="265"/>
      <c r="CU594" s="265"/>
    </row>
    <row r="595" spans="10:99" ht="15" customHeight="1">
      <c r="J595" s="265"/>
      <c r="K595" s="1024"/>
      <c r="L595" s="1025"/>
      <c r="M595" s="1026"/>
      <c r="N595" s="1026"/>
      <c r="O595" s="265"/>
      <c r="P595" s="265"/>
      <c r="T595" s="265"/>
      <c r="U595" s="265"/>
      <c r="V595" s="265"/>
      <c r="X595" s="1026"/>
      <c r="Y595" s="265"/>
      <c r="Z595" s="265"/>
      <c r="AA595" s="265"/>
      <c r="AE595" s="265"/>
      <c r="AF595" s="265"/>
      <c r="AV595" s="265"/>
      <c r="AW595" s="265"/>
      <c r="AX595" s="265"/>
      <c r="AY595" s="265"/>
      <c r="BE595" s="265"/>
      <c r="BF595" s="1028"/>
      <c r="BJ595" s="265"/>
      <c r="BK595" s="1458"/>
      <c r="BL595" s="1028"/>
      <c r="BP595" s="265"/>
      <c r="BQ595" s="1458"/>
      <c r="BW595" s="11"/>
      <c r="CA595" s="11"/>
      <c r="CK595" s="265"/>
      <c r="CL595" s="265"/>
      <c r="CM595" s="265"/>
      <c r="CO595" s="11"/>
      <c r="CR595" s="1026"/>
      <c r="CS595" s="265"/>
      <c r="CT595" s="265"/>
      <c r="CU595" s="265"/>
    </row>
    <row r="596" spans="10:99" ht="15" customHeight="1">
      <c r="J596" s="265"/>
      <c r="K596" s="1024"/>
      <c r="L596" s="1025"/>
      <c r="M596" s="1026"/>
      <c r="N596" s="1026"/>
      <c r="O596" s="265"/>
      <c r="P596" s="265"/>
      <c r="T596" s="265"/>
      <c r="U596" s="265"/>
      <c r="V596" s="265"/>
      <c r="X596" s="1026"/>
      <c r="Y596" s="265"/>
      <c r="Z596" s="265"/>
      <c r="AA596" s="265"/>
      <c r="AE596" s="265"/>
      <c r="AF596" s="265"/>
      <c r="AV596" s="265"/>
      <c r="AW596" s="265"/>
      <c r="AX596" s="265"/>
      <c r="AY596" s="265"/>
      <c r="BE596" s="265"/>
      <c r="BF596" s="1028"/>
      <c r="BJ596" s="265"/>
      <c r="BK596" s="1458"/>
      <c r="BL596" s="1028"/>
      <c r="BP596" s="265"/>
      <c r="BQ596" s="1458"/>
      <c r="BW596" s="11"/>
      <c r="CA596" s="11"/>
      <c r="CK596" s="265"/>
      <c r="CL596" s="265"/>
      <c r="CM596" s="265"/>
      <c r="CO596" s="11"/>
      <c r="CR596" s="1026"/>
      <c r="CS596" s="265"/>
      <c r="CT596" s="265"/>
      <c r="CU596" s="265"/>
    </row>
    <row r="597" spans="10:99" ht="15" customHeight="1">
      <c r="J597" s="265"/>
      <c r="K597" s="1024"/>
      <c r="L597" s="1025"/>
      <c r="M597" s="1026"/>
      <c r="N597" s="1026"/>
      <c r="O597" s="265"/>
      <c r="P597" s="265"/>
      <c r="T597" s="265"/>
      <c r="U597" s="265"/>
      <c r="V597" s="265"/>
      <c r="X597" s="1026"/>
      <c r="Y597" s="265"/>
      <c r="Z597" s="265"/>
      <c r="AA597" s="265"/>
      <c r="AE597" s="265"/>
      <c r="AF597" s="265"/>
      <c r="AV597" s="265"/>
      <c r="AW597" s="265"/>
      <c r="AX597" s="265"/>
      <c r="AY597" s="265"/>
      <c r="BE597" s="265"/>
      <c r="BF597" s="1028"/>
      <c r="BJ597" s="265"/>
      <c r="BK597" s="1458"/>
      <c r="BL597" s="1028"/>
      <c r="BP597" s="265"/>
      <c r="BQ597" s="1458"/>
      <c r="BW597" s="11"/>
      <c r="CA597" s="11"/>
      <c r="CK597" s="265"/>
      <c r="CL597" s="265"/>
      <c r="CM597" s="265"/>
      <c r="CO597" s="11"/>
      <c r="CR597" s="1026"/>
      <c r="CS597" s="265"/>
      <c r="CT597" s="265"/>
      <c r="CU597" s="265"/>
    </row>
    <row r="598" spans="10:99" ht="15" customHeight="1">
      <c r="J598" s="265"/>
      <c r="K598" s="1024"/>
      <c r="L598" s="1025"/>
      <c r="M598" s="1026"/>
      <c r="N598" s="1026"/>
      <c r="O598" s="265"/>
      <c r="P598" s="265"/>
      <c r="T598" s="265"/>
      <c r="U598" s="265"/>
      <c r="V598" s="265"/>
      <c r="X598" s="1026"/>
      <c r="Y598" s="265"/>
      <c r="Z598" s="265"/>
      <c r="AA598" s="265"/>
      <c r="AE598" s="265"/>
      <c r="AF598" s="265"/>
      <c r="AV598" s="265"/>
      <c r="AW598" s="265"/>
      <c r="AX598" s="265"/>
      <c r="AY598" s="265"/>
      <c r="BE598" s="265"/>
      <c r="BF598" s="1028"/>
      <c r="BJ598" s="265"/>
      <c r="BK598" s="1458"/>
      <c r="BL598" s="1028"/>
      <c r="BP598" s="265"/>
      <c r="BQ598" s="1458"/>
      <c r="BW598" s="11"/>
      <c r="CA598" s="11"/>
      <c r="CK598" s="265"/>
      <c r="CL598" s="265"/>
      <c r="CM598" s="265"/>
      <c r="CO598" s="11"/>
      <c r="CR598" s="1026"/>
      <c r="CS598" s="265"/>
      <c r="CT598" s="265"/>
      <c r="CU598" s="265"/>
    </row>
    <row r="599" spans="10:99" ht="15" customHeight="1">
      <c r="J599" s="265"/>
      <c r="K599" s="1024"/>
      <c r="L599" s="1025"/>
      <c r="M599" s="1026"/>
      <c r="N599" s="1026"/>
      <c r="O599" s="265"/>
      <c r="P599" s="265"/>
      <c r="T599" s="265"/>
      <c r="U599" s="265"/>
      <c r="V599" s="265"/>
      <c r="X599" s="1026"/>
      <c r="Y599" s="265"/>
      <c r="Z599" s="265"/>
      <c r="AA599" s="265"/>
      <c r="AE599" s="265"/>
      <c r="AF599" s="265"/>
      <c r="AV599" s="265"/>
      <c r="AW599" s="265"/>
      <c r="AX599" s="265"/>
      <c r="AY599" s="265"/>
      <c r="BE599" s="265"/>
      <c r="BF599" s="1028"/>
      <c r="BJ599" s="265"/>
      <c r="BK599" s="1458"/>
      <c r="BL599" s="1028"/>
      <c r="BP599" s="265"/>
      <c r="BQ599" s="1458"/>
      <c r="BW599" s="11"/>
      <c r="CA599" s="11"/>
      <c r="CK599" s="265"/>
      <c r="CL599" s="265"/>
      <c r="CM599" s="265"/>
      <c r="CO599" s="11"/>
      <c r="CR599" s="1026"/>
      <c r="CS599" s="265"/>
      <c r="CT599" s="265"/>
      <c r="CU599" s="265"/>
    </row>
    <row r="600" spans="10:99" ht="15" customHeight="1">
      <c r="J600" s="265"/>
      <c r="K600" s="1024"/>
      <c r="L600" s="1025"/>
      <c r="M600" s="1026"/>
      <c r="N600" s="1026"/>
      <c r="O600" s="265"/>
      <c r="P600" s="265"/>
      <c r="T600" s="265"/>
      <c r="U600" s="265"/>
      <c r="V600" s="265"/>
      <c r="X600" s="1026"/>
      <c r="Y600" s="265"/>
      <c r="Z600" s="265"/>
      <c r="AA600" s="265"/>
      <c r="AE600" s="265"/>
      <c r="AF600" s="265"/>
      <c r="AV600" s="265"/>
      <c r="AW600" s="265"/>
      <c r="AX600" s="265"/>
      <c r="AY600" s="265"/>
      <c r="BE600" s="265"/>
      <c r="BF600" s="1028"/>
      <c r="BJ600" s="265"/>
      <c r="BK600" s="1458"/>
      <c r="BL600" s="1028"/>
      <c r="BP600" s="265"/>
      <c r="BQ600" s="1458"/>
      <c r="BW600" s="11"/>
      <c r="CA600" s="11"/>
      <c r="CK600" s="265"/>
      <c r="CL600" s="265"/>
      <c r="CM600" s="265"/>
      <c r="CO600" s="11"/>
      <c r="CR600" s="1026"/>
      <c r="CS600" s="265"/>
      <c r="CT600" s="265"/>
      <c r="CU600" s="265"/>
    </row>
    <row r="601" spans="10:99" ht="15" customHeight="1">
      <c r="J601" s="265"/>
      <c r="K601" s="1024"/>
      <c r="L601" s="1025"/>
      <c r="M601" s="1026"/>
      <c r="N601" s="1026"/>
      <c r="O601" s="265"/>
      <c r="P601" s="265"/>
      <c r="T601" s="265"/>
      <c r="U601" s="265"/>
      <c r="V601" s="265"/>
      <c r="X601" s="1026"/>
      <c r="Y601" s="265"/>
      <c r="Z601" s="265"/>
      <c r="AA601" s="265"/>
      <c r="AE601" s="265"/>
      <c r="AF601" s="265"/>
      <c r="AV601" s="265"/>
      <c r="AW601" s="265"/>
      <c r="AX601" s="265"/>
      <c r="AY601" s="265"/>
      <c r="BE601" s="265"/>
      <c r="BF601" s="1028"/>
      <c r="BJ601" s="265"/>
      <c r="BK601" s="1458"/>
      <c r="BL601" s="1028"/>
      <c r="BP601" s="265"/>
      <c r="BQ601" s="1458"/>
      <c r="BW601" s="11"/>
      <c r="CA601" s="11"/>
      <c r="CK601" s="265"/>
      <c r="CL601" s="265"/>
      <c r="CM601" s="265"/>
      <c r="CO601" s="11"/>
      <c r="CR601" s="1026"/>
      <c r="CS601" s="265"/>
      <c r="CT601" s="265"/>
      <c r="CU601" s="265"/>
    </row>
    <row r="602" spans="10:99" ht="15" customHeight="1">
      <c r="J602" s="265"/>
      <c r="K602" s="1024"/>
      <c r="L602" s="1025"/>
      <c r="M602" s="1026"/>
      <c r="N602" s="1026"/>
      <c r="O602" s="265"/>
      <c r="P602" s="265"/>
      <c r="T602" s="265"/>
      <c r="U602" s="265"/>
      <c r="V602" s="265"/>
      <c r="X602" s="1026"/>
      <c r="Y602" s="265"/>
      <c r="Z602" s="265"/>
      <c r="AA602" s="265"/>
      <c r="AE602" s="265"/>
      <c r="AF602" s="265"/>
      <c r="AV602" s="265"/>
      <c r="AW602" s="265"/>
      <c r="AX602" s="265"/>
      <c r="AY602" s="265"/>
      <c r="BE602" s="265"/>
      <c r="BF602" s="1028"/>
      <c r="BJ602" s="265"/>
      <c r="BK602" s="1458"/>
      <c r="BL602" s="1028"/>
      <c r="BP602" s="265"/>
      <c r="BQ602" s="1458"/>
      <c r="BW602" s="11"/>
      <c r="CA602" s="11"/>
      <c r="CK602" s="265"/>
      <c r="CL602" s="265"/>
      <c r="CM602" s="265"/>
      <c r="CO602" s="11"/>
      <c r="CR602" s="1026"/>
      <c r="CS602" s="265"/>
      <c r="CT602" s="265"/>
      <c r="CU602" s="265"/>
    </row>
    <row r="603" spans="10:99" ht="15" customHeight="1">
      <c r="J603" s="265"/>
      <c r="K603" s="1024"/>
      <c r="L603" s="1025"/>
      <c r="M603" s="1026"/>
      <c r="N603" s="1026"/>
      <c r="O603" s="265"/>
      <c r="P603" s="265"/>
      <c r="T603" s="265"/>
      <c r="U603" s="265"/>
      <c r="V603" s="265"/>
      <c r="X603" s="1026"/>
      <c r="Y603" s="265"/>
      <c r="Z603" s="265"/>
      <c r="AA603" s="265"/>
      <c r="AE603" s="265"/>
      <c r="AF603" s="265"/>
      <c r="AV603" s="265"/>
      <c r="AW603" s="265"/>
      <c r="AX603" s="265"/>
      <c r="AY603" s="265"/>
      <c r="BE603" s="265"/>
      <c r="BF603" s="1028"/>
      <c r="BJ603" s="265"/>
      <c r="BK603" s="1458"/>
      <c r="BL603" s="1028"/>
      <c r="BP603" s="265"/>
      <c r="BQ603" s="1458"/>
      <c r="BW603" s="11"/>
      <c r="CA603" s="11"/>
      <c r="CK603" s="265"/>
      <c r="CL603" s="265"/>
      <c r="CM603" s="265"/>
      <c r="CO603" s="11"/>
      <c r="CR603" s="1026"/>
      <c r="CS603" s="265"/>
      <c r="CT603" s="265"/>
      <c r="CU603" s="265"/>
    </row>
    <row r="604" spans="10:99" ht="15" customHeight="1">
      <c r="J604" s="265"/>
      <c r="K604" s="1024"/>
      <c r="L604" s="1025"/>
      <c r="M604" s="1026"/>
      <c r="N604" s="1026"/>
      <c r="O604" s="265"/>
      <c r="P604" s="265"/>
      <c r="T604" s="265"/>
      <c r="U604" s="265"/>
      <c r="V604" s="265"/>
      <c r="X604" s="1026"/>
      <c r="Y604" s="265"/>
      <c r="Z604" s="265"/>
      <c r="AA604" s="265"/>
      <c r="AE604" s="265"/>
      <c r="AF604" s="265"/>
      <c r="AV604" s="265"/>
      <c r="AW604" s="265"/>
      <c r="AX604" s="265"/>
      <c r="AY604" s="265"/>
      <c r="BE604" s="265"/>
      <c r="BF604" s="1028"/>
      <c r="BJ604" s="265"/>
      <c r="BK604" s="1458"/>
      <c r="BL604" s="1028"/>
      <c r="BP604" s="265"/>
      <c r="BQ604" s="1458"/>
      <c r="BW604" s="11"/>
      <c r="CA604" s="11"/>
      <c r="CK604" s="265"/>
      <c r="CL604" s="265"/>
      <c r="CM604" s="265"/>
      <c r="CO604" s="11"/>
      <c r="CR604" s="1026"/>
      <c r="CS604" s="265"/>
      <c r="CT604" s="265"/>
      <c r="CU604" s="265"/>
    </row>
    <row r="605" spans="10:99" ht="15" customHeight="1">
      <c r="J605" s="265"/>
      <c r="K605" s="1024"/>
      <c r="L605" s="1025"/>
      <c r="M605" s="1026"/>
      <c r="N605" s="1026"/>
      <c r="O605" s="265"/>
      <c r="P605" s="265"/>
      <c r="T605" s="265"/>
      <c r="U605" s="265"/>
      <c r="V605" s="265"/>
      <c r="X605" s="1026"/>
      <c r="Y605" s="265"/>
      <c r="Z605" s="265"/>
      <c r="AA605" s="265"/>
      <c r="AE605" s="265"/>
      <c r="AF605" s="265"/>
      <c r="AV605" s="265"/>
      <c r="AW605" s="265"/>
      <c r="AX605" s="265"/>
      <c r="AY605" s="265"/>
      <c r="BE605" s="265"/>
      <c r="BF605" s="1028"/>
      <c r="BJ605" s="265"/>
      <c r="BK605" s="1458"/>
      <c r="BL605" s="1028"/>
      <c r="BP605" s="265"/>
      <c r="BQ605" s="1458"/>
      <c r="BW605" s="11"/>
      <c r="CA605" s="11"/>
      <c r="CK605" s="265"/>
      <c r="CL605" s="265"/>
      <c r="CM605" s="265"/>
      <c r="CO605" s="11"/>
      <c r="CR605" s="1026"/>
      <c r="CS605" s="265"/>
      <c r="CT605" s="265"/>
      <c r="CU605" s="265"/>
    </row>
    <row r="606" spans="10:99" ht="15" customHeight="1">
      <c r="J606" s="265"/>
      <c r="K606" s="1024"/>
      <c r="L606" s="1025"/>
      <c r="M606" s="1026"/>
      <c r="N606" s="1026"/>
      <c r="O606" s="265"/>
      <c r="P606" s="265"/>
      <c r="T606" s="265"/>
      <c r="U606" s="265"/>
      <c r="V606" s="265"/>
      <c r="X606" s="1026"/>
      <c r="Y606" s="265"/>
      <c r="Z606" s="265"/>
      <c r="AA606" s="265"/>
      <c r="AE606" s="265"/>
      <c r="AF606" s="265"/>
      <c r="AV606" s="265"/>
      <c r="AW606" s="265"/>
      <c r="AX606" s="265"/>
      <c r="AY606" s="265"/>
      <c r="BE606" s="265"/>
      <c r="BF606" s="1028"/>
      <c r="BJ606" s="265"/>
      <c r="BK606" s="1458"/>
      <c r="BL606" s="1028"/>
      <c r="BP606" s="265"/>
      <c r="BQ606" s="1458"/>
      <c r="BW606" s="11"/>
      <c r="CA606" s="11"/>
      <c r="CK606" s="265"/>
      <c r="CL606" s="265"/>
      <c r="CM606" s="265"/>
      <c r="CO606" s="11"/>
      <c r="CR606" s="1026"/>
      <c r="CS606" s="265"/>
      <c r="CT606" s="265"/>
      <c r="CU606" s="265"/>
    </row>
    <row r="607" spans="10:99" ht="15" customHeight="1">
      <c r="J607" s="265"/>
      <c r="K607" s="1024"/>
      <c r="L607" s="1025"/>
      <c r="M607" s="1026"/>
      <c r="N607" s="1026"/>
      <c r="O607" s="265"/>
      <c r="P607" s="265"/>
      <c r="T607" s="265"/>
      <c r="U607" s="265"/>
      <c r="V607" s="265"/>
      <c r="X607" s="1026"/>
      <c r="Y607" s="265"/>
      <c r="Z607" s="265"/>
      <c r="AA607" s="265"/>
      <c r="AE607" s="265"/>
      <c r="AF607" s="265"/>
      <c r="AV607" s="265"/>
      <c r="AW607" s="265"/>
      <c r="AX607" s="265"/>
      <c r="AY607" s="265"/>
      <c r="BE607" s="265"/>
      <c r="BF607" s="1028"/>
      <c r="BJ607" s="265"/>
      <c r="BK607" s="1458"/>
      <c r="BL607" s="1028"/>
      <c r="BP607" s="265"/>
      <c r="BQ607" s="1458"/>
      <c r="BW607" s="11"/>
      <c r="CA607" s="11"/>
      <c r="CK607" s="265"/>
      <c r="CL607" s="265"/>
      <c r="CM607" s="265"/>
      <c r="CO607" s="11"/>
      <c r="CR607" s="1026"/>
      <c r="CS607" s="265"/>
      <c r="CT607" s="265"/>
      <c r="CU607" s="265"/>
    </row>
    <row r="608" spans="10:99" ht="15" customHeight="1">
      <c r="J608" s="265"/>
      <c r="K608" s="1024"/>
      <c r="L608" s="1025"/>
      <c r="M608" s="1026"/>
      <c r="N608" s="1026"/>
      <c r="O608" s="265"/>
      <c r="P608" s="265"/>
      <c r="T608" s="265"/>
      <c r="U608" s="265"/>
      <c r="V608" s="265"/>
      <c r="X608" s="1026"/>
      <c r="Y608" s="265"/>
      <c r="Z608" s="265"/>
      <c r="AA608" s="265"/>
      <c r="AE608" s="265"/>
      <c r="AF608" s="265"/>
      <c r="AV608" s="265"/>
      <c r="AW608" s="265"/>
      <c r="AX608" s="265"/>
      <c r="AY608" s="265"/>
      <c r="BE608" s="265"/>
      <c r="BF608" s="1028"/>
      <c r="BJ608" s="265"/>
      <c r="BK608" s="1458"/>
      <c r="BL608" s="1028"/>
      <c r="BP608" s="265"/>
      <c r="BQ608" s="1458"/>
      <c r="BW608" s="11"/>
      <c r="CA608" s="11"/>
      <c r="CK608" s="265"/>
      <c r="CL608" s="265"/>
      <c r="CM608" s="265"/>
      <c r="CO608" s="11"/>
      <c r="CR608" s="1026"/>
      <c r="CS608" s="265"/>
      <c r="CT608" s="265"/>
      <c r="CU608" s="265"/>
    </row>
    <row r="609" spans="10:99" ht="15" customHeight="1">
      <c r="J609" s="265"/>
      <c r="K609" s="1024"/>
      <c r="L609" s="1025"/>
      <c r="M609" s="1026"/>
      <c r="N609" s="1026"/>
      <c r="O609" s="265"/>
      <c r="P609" s="265"/>
      <c r="T609" s="265"/>
      <c r="U609" s="265"/>
      <c r="V609" s="265"/>
      <c r="X609" s="1026"/>
      <c r="Y609" s="265"/>
      <c r="Z609" s="265"/>
      <c r="AA609" s="265"/>
      <c r="AE609" s="265"/>
      <c r="AF609" s="265"/>
      <c r="AV609" s="265"/>
      <c r="AW609" s="265"/>
      <c r="AX609" s="265"/>
      <c r="AY609" s="265"/>
      <c r="BE609" s="265"/>
      <c r="BF609" s="1028"/>
      <c r="BJ609" s="265"/>
      <c r="BK609" s="1458"/>
      <c r="BL609" s="1028"/>
      <c r="BP609" s="265"/>
      <c r="BQ609" s="1458"/>
      <c r="BW609" s="11"/>
      <c r="CA609" s="11"/>
      <c r="CK609" s="265"/>
      <c r="CL609" s="265"/>
      <c r="CM609" s="265"/>
      <c r="CO609" s="11"/>
      <c r="CR609" s="1026"/>
      <c r="CS609" s="265"/>
      <c r="CT609" s="265"/>
      <c r="CU609" s="265"/>
    </row>
    <row r="610" spans="10:99" ht="15" customHeight="1">
      <c r="J610" s="265"/>
      <c r="K610" s="1024"/>
      <c r="L610" s="1025"/>
      <c r="M610" s="1026"/>
      <c r="N610" s="1026"/>
      <c r="O610" s="265"/>
      <c r="P610" s="265"/>
      <c r="T610" s="265"/>
      <c r="U610" s="265"/>
      <c r="V610" s="265"/>
      <c r="X610" s="1026"/>
      <c r="Y610" s="265"/>
      <c r="Z610" s="265"/>
      <c r="AA610" s="265"/>
      <c r="AE610" s="265"/>
      <c r="AF610" s="265"/>
      <c r="AV610" s="265"/>
      <c r="AW610" s="265"/>
      <c r="AX610" s="265"/>
      <c r="AY610" s="265"/>
      <c r="BE610" s="265"/>
      <c r="BF610" s="1028"/>
      <c r="BJ610" s="265"/>
      <c r="BK610" s="1458"/>
      <c r="BL610" s="1028"/>
      <c r="BP610" s="265"/>
      <c r="BQ610" s="1458"/>
      <c r="BW610" s="11"/>
      <c r="CA610" s="11"/>
      <c r="CK610" s="265"/>
      <c r="CL610" s="265"/>
      <c r="CM610" s="265"/>
      <c r="CO610" s="11"/>
      <c r="CR610" s="1026"/>
      <c r="CS610" s="265"/>
      <c r="CT610" s="265"/>
      <c r="CU610" s="265"/>
    </row>
    <row r="611" spans="10:99" ht="15" customHeight="1">
      <c r="J611" s="265"/>
      <c r="K611" s="1024"/>
      <c r="L611" s="1025"/>
      <c r="M611" s="1026"/>
      <c r="N611" s="1026"/>
      <c r="O611" s="265"/>
      <c r="P611" s="265"/>
      <c r="T611" s="265"/>
      <c r="U611" s="265"/>
      <c r="V611" s="265"/>
      <c r="X611" s="1026"/>
      <c r="Y611" s="265"/>
      <c r="Z611" s="265"/>
      <c r="AA611" s="265"/>
      <c r="AE611" s="265"/>
      <c r="AF611" s="265"/>
      <c r="AV611" s="265"/>
      <c r="AW611" s="265"/>
      <c r="AX611" s="265"/>
      <c r="AY611" s="265"/>
      <c r="BE611" s="265"/>
      <c r="BF611" s="1028"/>
      <c r="BJ611" s="265"/>
      <c r="BK611" s="1458"/>
      <c r="BL611" s="1028"/>
      <c r="BP611" s="265"/>
      <c r="BQ611" s="1458"/>
      <c r="BW611" s="11"/>
      <c r="CA611" s="11"/>
      <c r="CK611" s="265"/>
      <c r="CL611" s="265"/>
      <c r="CM611" s="265"/>
      <c r="CO611" s="11"/>
      <c r="CR611" s="1026"/>
      <c r="CS611" s="265"/>
      <c r="CT611" s="265"/>
      <c r="CU611" s="265"/>
    </row>
    <row r="612" spans="10:99" ht="15" customHeight="1">
      <c r="J612" s="265"/>
      <c r="K612" s="1024"/>
      <c r="L612" s="1025"/>
      <c r="M612" s="1026"/>
      <c r="N612" s="1026"/>
      <c r="O612" s="265"/>
      <c r="P612" s="265"/>
      <c r="T612" s="265"/>
      <c r="U612" s="265"/>
      <c r="V612" s="265"/>
      <c r="X612" s="1026"/>
      <c r="Y612" s="265"/>
      <c r="Z612" s="265"/>
      <c r="AA612" s="265"/>
      <c r="AE612" s="265"/>
      <c r="AF612" s="265"/>
      <c r="AV612" s="265"/>
      <c r="AW612" s="265"/>
      <c r="AX612" s="265"/>
      <c r="AY612" s="265"/>
      <c r="BE612" s="265"/>
      <c r="BF612" s="1028"/>
      <c r="BJ612" s="265"/>
      <c r="BK612" s="1458"/>
      <c r="BL612" s="1028"/>
      <c r="BP612" s="265"/>
      <c r="BQ612" s="1458"/>
      <c r="BW612" s="11"/>
      <c r="CA612" s="11"/>
      <c r="CK612" s="265"/>
      <c r="CL612" s="265"/>
      <c r="CM612" s="265"/>
      <c r="CO612" s="11"/>
      <c r="CR612" s="1026"/>
      <c r="CS612" s="265"/>
      <c r="CT612" s="265"/>
      <c r="CU612" s="265"/>
    </row>
    <row r="613" spans="10:99" ht="15" customHeight="1">
      <c r="J613" s="265"/>
      <c r="K613" s="1024"/>
      <c r="L613" s="1025"/>
      <c r="M613" s="1026"/>
      <c r="N613" s="1026"/>
      <c r="O613" s="265"/>
      <c r="P613" s="265"/>
      <c r="T613" s="265"/>
      <c r="U613" s="265"/>
      <c r="V613" s="265"/>
      <c r="X613" s="1026"/>
      <c r="Y613" s="265"/>
      <c r="Z613" s="265"/>
      <c r="AA613" s="265"/>
      <c r="AE613" s="265"/>
      <c r="AF613" s="265"/>
      <c r="AV613" s="265"/>
      <c r="AW613" s="265"/>
      <c r="AX613" s="265"/>
      <c r="AY613" s="265"/>
      <c r="BE613" s="265"/>
      <c r="BF613" s="1028"/>
      <c r="BJ613" s="265"/>
      <c r="BK613" s="1458"/>
      <c r="BL613" s="1028"/>
      <c r="BP613" s="265"/>
      <c r="BQ613" s="1458"/>
      <c r="BW613" s="11"/>
      <c r="CA613" s="11"/>
      <c r="CK613" s="265"/>
      <c r="CL613" s="265"/>
      <c r="CM613" s="265"/>
      <c r="CO613" s="11"/>
      <c r="CR613" s="1026"/>
      <c r="CS613" s="265"/>
      <c r="CT613" s="265"/>
      <c r="CU613" s="265"/>
    </row>
    <row r="614" spans="10:99" ht="15" customHeight="1">
      <c r="J614" s="265"/>
      <c r="K614" s="1024"/>
      <c r="L614" s="1025"/>
      <c r="M614" s="1026"/>
      <c r="N614" s="1026"/>
      <c r="O614" s="265"/>
      <c r="P614" s="265"/>
      <c r="T614" s="265"/>
      <c r="U614" s="265"/>
      <c r="V614" s="265"/>
      <c r="X614" s="1026"/>
      <c r="Y614" s="265"/>
      <c r="Z614" s="265"/>
      <c r="AA614" s="265"/>
      <c r="AE614" s="265"/>
      <c r="AF614" s="265"/>
      <c r="AV614" s="265"/>
      <c r="AW614" s="265"/>
      <c r="AX614" s="265"/>
      <c r="AY614" s="265"/>
      <c r="BE614" s="265"/>
      <c r="BF614" s="1028"/>
      <c r="BJ614" s="265"/>
      <c r="BK614" s="1458"/>
      <c r="BL614" s="1028"/>
      <c r="BP614" s="265"/>
      <c r="BQ614" s="1458"/>
      <c r="BW614" s="11"/>
      <c r="CA614" s="11"/>
      <c r="CK614" s="265"/>
      <c r="CL614" s="265"/>
      <c r="CM614" s="265"/>
      <c r="CO614" s="11"/>
      <c r="CR614" s="1026"/>
      <c r="CS614" s="265"/>
      <c r="CT614" s="265"/>
      <c r="CU614" s="265"/>
    </row>
    <row r="615" spans="10:99" ht="15" customHeight="1">
      <c r="J615" s="265"/>
      <c r="K615" s="1024"/>
      <c r="L615" s="1025"/>
      <c r="M615" s="1026"/>
      <c r="N615" s="1026"/>
      <c r="O615" s="265"/>
      <c r="P615" s="265"/>
      <c r="T615" s="265"/>
      <c r="U615" s="265"/>
      <c r="V615" s="265"/>
      <c r="X615" s="1026"/>
      <c r="Y615" s="265"/>
      <c r="Z615" s="265"/>
      <c r="AA615" s="265"/>
      <c r="AE615" s="265"/>
      <c r="AF615" s="265"/>
      <c r="AV615" s="265"/>
      <c r="AW615" s="265"/>
      <c r="AX615" s="265"/>
      <c r="AY615" s="265"/>
      <c r="BE615" s="265"/>
      <c r="BF615" s="1028"/>
      <c r="BJ615" s="265"/>
      <c r="BK615" s="1458"/>
      <c r="BL615" s="1028"/>
      <c r="BP615" s="265"/>
      <c r="BQ615" s="1458"/>
      <c r="BW615" s="11"/>
      <c r="CA615" s="11"/>
      <c r="CK615" s="265"/>
      <c r="CL615" s="265"/>
      <c r="CM615" s="265"/>
      <c r="CO615" s="11"/>
      <c r="CR615" s="1026"/>
      <c r="CS615" s="265"/>
      <c r="CT615" s="265"/>
      <c r="CU615" s="265"/>
    </row>
    <row r="616" spans="10:99" ht="15" customHeight="1">
      <c r="J616" s="265"/>
      <c r="K616" s="1024"/>
      <c r="L616" s="1025"/>
      <c r="M616" s="1026"/>
      <c r="N616" s="1026"/>
      <c r="O616" s="265"/>
      <c r="P616" s="265"/>
      <c r="T616" s="265"/>
      <c r="U616" s="265"/>
      <c r="V616" s="265"/>
      <c r="X616" s="1026"/>
      <c r="Y616" s="265"/>
      <c r="Z616" s="265"/>
      <c r="AA616" s="265"/>
      <c r="AE616" s="265"/>
      <c r="AF616" s="265"/>
      <c r="AV616" s="265"/>
      <c r="AW616" s="265"/>
      <c r="AX616" s="265"/>
      <c r="AY616" s="265"/>
      <c r="BE616" s="265"/>
      <c r="BF616" s="1028"/>
      <c r="BJ616" s="265"/>
      <c r="BK616" s="1458"/>
      <c r="BL616" s="1028"/>
      <c r="BP616" s="265"/>
      <c r="BQ616" s="1458"/>
      <c r="BW616" s="11"/>
      <c r="CA616" s="11"/>
      <c r="CK616" s="265"/>
      <c r="CL616" s="265"/>
      <c r="CM616" s="265"/>
      <c r="CO616" s="11"/>
      <c r="CR616" s="1026"/>
      <c r="CS616" s="265"/>
      <c r="CT616" s="265"/>
      <c r="CU616" s="265"/>
    </row>
    <row r="617" spans="10:99" ht="15" customHeight="1">
      <c r="J617" s="265"/>
      <c r="K617" s="1024"/>
      <c r="L617" s="1025"/>
      <c r="M617" s="1026"/>
      <c r="N617" s="1026"/>
      <c r="O617" s="265"/>
      <c r="P617" s="265"/>
      <c r="T617" s="265"/>
      <c r="U617" s="265"/>
      <c r="V617" s="265"/>
      <c r="X617" s="1026"/>
      <c r="Y617" s="265"/>
      <c r="Z617" s="265"/>
      <c r="AA617" s="265"/>
      <c r="AE617" s="265"/>
      <c r="AF617" s="265"/>
      <c r="AV617" s="265"/>
      <c r="AW617" s="265"/>
      <c r="AX617" s="265"/>
      <c r="AY617" s="265"/>
      <c r="BE617" s="265"/>
      <c r="BF617" s="1028"/>
      <c r="BJ617" s="265"/>
      <c r="BK617" s="1458"/>
      <c r="BL617" s="1028"/>
      <c r="BP617" s="265"/>
      <c r="BQ617" s="1458"/>
      <c r="BW617" s="11"/>
      <c r="CA617" s="11"/>
      <c r="CK617" s="265"/>
      <c r="CL617" s="265"/>
      <c r="CM617" s="265"/>
      <c r="CO617" s="11"/>
      <c r="CR617" s="1026"/>
      <c r="CS617" s="265"/>
      <c r="CT617" s="265"/>
      <c r="CU617" s="265"/>
    </row>
    <row r="618" spans="10:99" ht="15" customHeight="1">
      <c r="J618" s="265"/>
      <c r="K618" s="1024"/>
      <c r="L618" s="1025"/>
      <c r="M618" s="1026"/>
      <c r="N618" s="1026"/>
      <c r="O618" s="265"/>
      <c r="P618" s="265"/>
      <c r="T618" s="265"/>
      <c r="U618" s="265"/>
      <c r="V618" s="265"/>
      <c r="X618" s="1026"/>
      <c r="Y618" s="265"/>
      <c r="Z618" s="265"/>
      <c r="AA618" s="265"/>
      <c r="AE618" s="265"/>
      <c r="AF618" s="265"/>
      <c r="AV618" s="265"/>
      <c r="AW618" s="265"/>
      <c r="AX618" s="265"/>
      <c r="AY618" s="265"/>
      <c r="BE618" s="265"/>
      <c r="BF618" s="1028"/>
      <c r="BJ618" s="265"/>
      <c r="BK618" s="1458"/>
      <c r="BL618" s="1028"/>
      <c r="BP618" s="265"/>
      <c r="BQ618" s="1458"/>
      <c r="BW618" s="11"/>
      <c r="CA618" s="11"/>
      <c r="CK618" s="265"/>
      <c r="CL618" s="265"/>
      <c r="CM618" s="265"/>
      <c r="CO618" s="11"/>
      <c r="CR618" s="1026"/>
      <c r="CS618" s="265"/>
      <c r="CT618" s="265"/>
      <c r="CU618" s="265"/>
    </row>
    <row r="619" spans="10:99" ht="15" customHeight="1">
      <c r="J619" s="265"/>
      <c r="K619" s="1024"/>
      <c r="L619" s="1025"/>
      <c r="M619" s="1026"/>
      <c r="N619" s="1026"/>
      <c r="O619" s="265"/>
      <c r="P619" s="265"/>
      <c r="T619" s="265"/>
      <c r="U619" s="265"/>
      <c r="V619" s="265"/>
      <c r="X619" s="1026"/>
      <c r="Y619" s="265"/>
      <c r="Z619" s="265"/>
      <c r="AA619" s="265"/>
      <c r="AE619" s="265"/>
      <c r="AF619" s="265"/>
      <c r="AV619" s="265"/>
      <c r="AW619" s="265"/>
      <c r="AX619" s="265"/>
      <c r="AY619" s="265"/>
      <c r="BE619" s="265"/>
      <c r="BF619" s="1028"/>
      <c r="BJ619" s="265"/>
      <c r="BK619" s="1458"/>
      <c r="BL619" s="1028"/>
      <c r="BP619" s="265"/>
      <c r="BQ619" s="1458"/>
      <c r="BW619" s="11"/>
      <c r="CA619" s="11"/>
      <c r="CK619" s="265"/>
      <c r="CL619" s="265"/>
      <c r="CM619" s="265"/>
      <c r="CO619" s="11"/>
      <c r="CR619" s="1026"/>
      <c r="CS619" s="265"/>
      <c r="CT619" s="265"/>
      <c r="CU619" s="265"/>
    </row>
    <row r="620" spans="10:99" ht="15" customHeight="1">
      <c r="J620" s="265"/>
      <c r="K620" s="1024"/>
      <c r="L620" s="1025"/>
      <c r="M620" s="1026"/>
      <c r="N620" s="1026"/>
      <c r="O620" s="265"/>
      <c r="P620" s="265"/>
      <c r="T620" s="265"/>
      <c r="U620" s="265"/>
      <c r="V620" s="265"/>
      <c r="X620" s="1026"/>
      <c r="Y620" s="265"/>
      <c r="Z620" s="265"/>
      <c r="AA620" s="265"/>
      <c r="AE620" s="265"/>
      <c r="AF620" s="265"/>
      <c r="AV620" s="265"/>
      <c r="AW620" s="265"/>
      <c r="AX620" s="265"/>
      <c r="AY620" s="265"/>
      <c r="BE620" s="265"/>
      <c r="BF620" s="1028"/>
      <c r="BJ620" s="265"/>
      <c r="BK620" s="1458"/>
      <c r="BL620" s="1028"/>
      <c r="BP620" s="265"/>
      <c r="BQ620" s="1458"/>
      <c r="BW620" s="11"/>
      <c r="CA620" s="11"/>
      <c r="CK620" s="265"/>
      <c r="CL620" s="265"/>
      <c r="CM620" s="265"/>
      <c r="CO620" s="11"/>
      <c r="CR620" s="1026"/>
      <c r="CS620" s="265"/>
      <c r="CT620" s="265"/>
      <c r="CU620" s="265"/>
    </row>
    <row r="621" spans="10:99" ht="15" customHeight="1">
      <c r="J621" s="265"/>
      <c r="K621" s="1024"/>
      <c r="L621" s="1025"/>
      <c r="M621" s="1026"/>
      <c r="N621" s="1026"/>
      <c r="O621" s="265"/>
      <c r="P621" s="265"/>
      <c r="T621" s="265"/>
      <c r="U621" s="265"/>
      <c r="V621" s="265"/>
      <c r="X621" s="1026"/>
      <c r="Y621" s="265"/>
      <c r="Z621" s="265"/>
      <c r="AA621" s="265"/>
      <c r="AE621" s="265"/>
      <c r="AF621" s="265"/>
      <c r="AV621" s="265"/>
      <c r="AW621" s="265"/>
      <c r="AX621" s="265"/>
      <c r="AY621" s="265"/>
      <c r="BE621" s="265"/>
      <c r="BF621" s="1028"/>
      <c r="BJ621" s="265"/>
      <c r="BK621" s="1458"/>
      <c r="BL621" s="1028"/>
      <c r="BP621" s="265"/>
      <c r="BQ621" s="1458"/>
      <c r="BW621" s="11"/>
      <c r="CA621" s="11"/>
      <c r="CK621" s="265"/>
      <c r="CL621" s="265"/>
      <c r="CM621" s="265"/>
      <c r="CO621" s="11"/>
      <c r="CR621" s="1026"/>
      <c r="CS621" s="265"/>
      <c r="CT621" s="265"/>
      <c r="CU621" s="265"/>
    </row>
    <row r="622" spans="10:99" ht="15" customHeight="1">
      <c r="J622" s="265"/>
      <c r="K622" s="1024"/>
      <c r="L622" s="1025"/>
      <c r="M622" s="1026"/>
      <c r="N622" s="1026"/>
      <c r="O622" s="265"/>
      <c r="P622" s="265"/>
      <c r="T622" s="265"/>
      <c r="U622" s="265"/>
      <c r="V622" s="265"/>
      <c r="X622" s="1026"/>
      <c r="Y622" s="265"/>
      <c r="Z622" s="265"/>
      <c r="AA622" s="265"/>
      <c r="AE622" s="265"/>
      <c r="AF622" s="265"/>
      <c r="AV622" s="265"/>
      <c r="AW622" s="265"/>
      <c r="AX622" s="265"/>
      <c r="AY622" s="265"/>
      <c r="BE622" s="265"/>
      <c r="BF622" s="1028"/>
      <c r="BJ622" s="265"/>
      <c r="BK622" s="1458"/>
      <c r="BL622" s="1028"/>
      <c r="BP622" s="265"/>
      <c r="BQ622" s="1458"/>
      <c r="BW622" s="11"/>
      <c r="CA622" s="11"/>
      <c r="CK622" s="265"/>
      <c r="CL622" s="265"/>
      <c r="CM622" s="265"/>
      <c r="CO622" s="11"/>
      <c r="CR622" s="1026"/>
      <c r="CS622" s="265"/>
      <c r="CT622" s="265"/>
      <c r="CU622" s="265"/>
    </row>
    <row r="623" spans="10:99" ht="15" customHeight="1">
      <c r="J623" s="265"/>
      <c r="K623" s="1024"/>
      <c r="L623" s="1025"/>
      <c r="M623" s="1026"/>
      <c r="N623" s="1026"/>
      <c r="O623" s="265"/>
      <c r="P623" s="265"/>
      <c r="T623" s="265"/>
      <c r="U623" s="265"/>
      <c r="V623" s="265"/>
      <c r="X623" s="1026"/>
      <c r="Y623" s="265"/>
      <c r="Z623" s="265"/>
      <c r="AA623" s="265"/>
      <c r="AE623" s="265"/>
      <c r="AF623" s="265"/>
      <c r="AV623" s="265"/>
      <c r="AW623" s="265"/>
      <c r="AX623" s="265"/>
      <c r="AY623" s="265"/>
      <c r="BE623" s="265"/>
      <c r="BF623" s="1028"/>
      <c r="BJ623" s="265"/>
      <c r="BK623" s="1458"/>
      <c r="BL623" s="1028"/>
      <c r="BP623" s="265"/>
      <c r="BQ623" s="1458"/>
      <c r="BW623" s="11"/>
      <c r="CA623" s="11"/>
      <c r="CK623" s="265"/>
      <c r="CL623" s="265"/>
      <c r="CM623" s="265"/>
      <c r="CO623" s="11"/>
      <c r="CR623" s="1026"/>
      <c r="CS623" s="265"/>
      <c r="CT623" s="265"/>
      <c r="CU623" s="265"/>
    </row>
    <row r="624" spans="10:99" ht="15" customHeight="1">
      <c r="J624" s="265"/>
      <c r="K624" s="1024"/>
      <c r="L624" s="1025"/>
      <c r="M624" s="1026"/>
      <c r="N624" s="1026"/>
      <c r="O624" s="265"/>
      <c r="P624" s="265"/>
      <c r="T624" s="265"/>
      <c r="U624" s="265"/>
      <c r="V624" s="265"/>
      <c r="X624" s="1026"/>
      <c r="Y624" s="265"/>
      <c r="Z624" s="265"/>
      <c r="AA624" s="265"/>
      <c r="AE624" s="265"/>
      <c r="AF624" s="265"/>
      <c r="AV624" s="265"/>
      <c r="AW624" s="265"/>
      <c r="AX624" s="265"/>
      <c r="AY624" s="265"/>
      <c r="BE624" s="265"/>
      <c r="BF624" s="1028"/>
      <c r="BJ624" s="265"/>
      <c r="BK624" s="1458"/>
      <c r="BL624" s="1028"/>
      <c r="BP624" s="265"/>
      <c r="BQ624" s="1458"/>
      <c r="BW624" s="11"/>
      <c r="CA624" s="11"/>
      <c r="CK624" s="265"/>
      <c r="CL624" s="265"/>
      <c r="CM624" s="265"/>
      <c r="CO624" s="11"/>
      <c r="CR624" s="1026"/>
      <c r="CS624" s="265"/>
      <c r="CT624" s="265"/>
      <c r="CU624" s="265"/>
    </row>
    <row r="625" spans="10:99" ht="15" customHeight="1">
      <c r="J625" s="265"/>
      <c r="K625" s="1024"/>
      <c r="L625" s="1025"/>
      <c r="M625" s="1026"/>
      <c r="N625" s="1026"/>
      <c r="O625" s="265"/>
      <c r="P625" s="265"/>
      <c r="T625" s="265"/>
      <c r="U625" s="265"/>
      <c r="V625" s="265"/>
      <c r="X625" s="1026"/>
      <c r="Y625" s="265"/>
      <c r="Z625" s="265"/>
      <c r="AA625" s="265"/>
      <c r="AE625" s="265"/>
      <c r="AF625" s="265"/>
      <c r="AV625" s="265"/>
      <c r="AW625" s="265"/>
      <c r="AX625" s="265"/>
      <c r="AY625" s="265"/>
      <c r="BE625" s="265"/>
      <c r="BF625" s="1028"/>
      <c r="BJ625" s="265"/>
      <c r="BK625" s="1458"/>
      <c r="BL625" s="1028"/>
      <c r="BP625" s="265"/>
      <c r="BQ625" s="1458"/>
      <c r="BW625" s="11"/>
      <c r="CA625" s="11"/>
      <c r="CK625" s="265"/>
      <c r="CL625" s="265"/>
      <c r="CM625" s="265"/>
      <c r="CO625" s="11"/>
      <c r="CR625" s="1026"/>
      <c r="CS625" s="265"/>
      <c r="CT625" s="265"/>
      <c r="CU625" s="265"/>
    </row>
    <row r="626" spans="10:99" ht="15" customHeight="1">
      <c r="J626" s="265"/>
      <c r="K626" s="1024"/>
      <c r="L626" s="1025"/>
      <c r="M626" s="1026"/>
      <c r="N626" s="1026"/>
      <c r="O626" s="265"/>
      <c r="P626" s="265"/>
      <c r="T626" s="265"/>
      <c r="U626" s="265"/>
      <c r="V626" s="265"/>
      <c r="X626" s="1026"/>
      <c r="Y626" s="265"/>
      <c r="Z626" s="265"/>
      <c r="AA626" s="265"/>
      <c r="AE626" s="265"/>
      <c r="AF626" s="265"/>
      <c r="AV626" s="265"/>
      <c r="AW626" s="265"/>
      <c r="AX626" s="265"/>
      <c r="AY626" s="265"/>
      <c r="BE626" s="265"/>
      <c r="BF626" s="1028"/>
      <c r="BJ626" s="265"/>
      <c r="BK626" s="1458"/>
      <c r="BL626" s="1028"/>
      <c r="BP626" s="265"/>
      <c r="BQ626" s="1458"/>
      <c r="BW626" s="11"/>
      <c r="CA626" s="11"/>
      <c r="CK626" s="265"/>
      <c r="CL626" s="265"/>
      <c r="CM626" s="265"/>
      <c r="CO626" s="11"/>
      <c r="CR626" s="1026"/>
      <c r="CS626" s="265"/>
      <c r="CT626" s="265"/>
      <c r="CU626" s="265"/>
    </row>
    <row r="627" spans="10:99" ht="15" customHeight="1">
      <c r="J627" s="265"/>
      <c r="K627" s="1024"/>
      <c r="L627" s="1025"/>
      <c r="M627" s="1026"/>
      <c r="N627" s="1026"/>
      <c r="O627" s="265"/>
      <c r="P627" s="265"/>
      <c r="T627" s="265"/>
      <c r="U627" s="265"/>
      <c r="V627" s="265"/>
      <c r="X627" s="1026"/>
      <c r="Y627" s="265"/>
      <c r="Z627" s="265"/>
      <c r="AA627" s="265"/>
      <c r="AE627" s="265"/>
      <c r="AF627" s="265"/>
      <c r="AV627" s="265"/>
      <c r="AW627" s="265"/>
      <c r="AX627" s="265"/>
      <c r="AY627" s="265"/>
      <c r="BE627" s="265"/>
      <c r="BF627" s="1028"/>
      <c r="BJ627" s="265"/>
      <c r="BK627" s="1458"/>
      <c r="BL627" s="1028"/>
      <c r="BP627" s="265"/>
      <c r="BQ627" s="1458"/>
      <c r="BW627" s="11"/>
      <c r="CA627" s="11"/>
      <c r="CK627" s="265"/>
      <c r="CL627" s="265"/>
      <c r="CM627" s="265"/>
      <c r="CO627" s="11"/>
      <c r="CR627" s="1026"/>
      <c r="CS627" s="265"/>
      <c r="CT627" s="265"/>
      <c r="CU627" s="265"/>
    </row>
    <row r="628" spans="10:99" ht="15" customHeight="1">
      <c r="J628" s="265"/>
      <c r="K628" s="1024"/>
      <c r="L628" s="1025"/>
      <c r="M628" s="1026"/>
      <c r="N628" s="1026"/>
      <c r="O628" s="265"/>
      <c r="P628" s="265"/>
      <c r="T628" s="265"/>
      <c r="U628" s="265"/>
      <c r="V628" s="265"/>
      <c r="X628" s="1026"/>
      <c r="Y628" s="265"/>
      <c r="Z628" s="265"/>
      <c r="AA628" s="265"/>
      <c r="AE628" s="265"/>
      <c r="AF628" s="265"/>
      <c r="AV628" s="265"/>
      <c r="AW628" s="265"/>
      <c r="AX628" s="265"/>
      <c r="AY628" s="265"/>
      <c r="BE628" s="265"/>
      <c r="BF628" s="1028"/>
      <c r="BJ628" s="265"/>
      <c r="BK628" s="1458"/>
      <c r="BL628" s="1028"/>
      <c r="BP628" s="265"/>
      <c r="BQ628" s="1458"/>
      <c r="BW628" s="11"/>
      <c r="CA628" s="11"/>
      <c r="CK628" s="265"/>
      <c r="CL628" s="265"/>
      <c r="CM628" s="265"/>
      <c r="CO628" s="11"/>
      <c r="CR628" s="1026"/>
      <c r="CS628" s="265"/>
      <c r="CT628" s="265"/>
      <c r="CU628" s="265"/>
    </row>
    <row r="629" spans="10:99" ht="15" customHeight="1">
      <c r="J629" s="265"/>
      <c r="K629" s="1024"/>
      <c r="L629" s="1025"/>
      <c r="M629" s="1026"/>
      <c r="N629" s="1026"/>
      <c r="O629" s="265"/>
      <c r="P629" s="265"/>
      <c r="T629" s="265"/>
      <c r="U629" s="265"/>
      <c r="V629" s="265"/>
      <c r="X629" s="1026"/>
      <c r="Y629" s="265"/>
      <c r="Z629" s="265"/>
      <c r="AA629" s="265"/>
      <c r="AE629" s="265"/>
      <c r="AF629" s="265"/>
      <c r="AV629" s="265"/>
      <c r="AW629" s="265"/>
      <c r="AX629" s="265"/>
      <c r="AY629" s="265"/>
      <c r="BE629" s="265"/>
      <c r="BF629" s="1028"/>
      <c r="BJ629" s="265"/>
      <c r="BK629" s="1458"/>
      <c r="BL629" s="1028"/>
      <c r="BP629" s="265"/>
      <c r="BQ629" s="1458"/>
      <c r="BW629" s="11"/>
      <c r="CA629" s="11"/>
      <c r="CK629" s="265"/>
      <c r="CL629" s="265"/>
      <c r="CM629" s="265"/>
      <c r="CO629" s="11"/>
      <c r="CR629" s="1026"/>
      <c r="CS629" s="265"/>
      <c r="CT629" s="265"/>
      <c r="CU629" s="265"/>
    </row>
    <row r="630" spans="10:99" ht="15" customHeight="1">
      <c r="J630" s="265"/>
      <c r="K630" s="1024"/>
      <c r="L630" s="1025"/>
      <c r="M630" s="1026"/>
      <c r="N630" s="1026"/>
      <c r="O630" s="265"/>
      <c r="P630" s="265"/>
      <c r="T630" s="265"/>
      <c r="U630" s="265"/>
      <c r="V630" s="265"/>
      <c r="X630" s="1026"/>
      <c r="Y630" s="265"/>
      <c r="Z630" s="265"/>
      <c r="AA630" s="265"/>
      <c r="AE630" s="265"/>
      <c r="AF630" s="265"/>
      <c r="AV630" s="265"/>
      <c r="AW630" s="265"/>
      <c r="AX630" s="265"/>
      <c r="AY630" s="265"/>
      <c r="BE630" s="265"/>
      <c r="BF630" s="1028"/>
      <c r="BJ630" s="265"/>
      <c r="BK630" s="1458"/>
      <c r="BL630" s="1028"/>
      <c r="BP630" s="265"/>
      <c r="BQ630" s="1458"/>
      <c r="BW630" s="11"/>
      <c r="CA630" s="11"/>
      <c r="CK630" s="265"/>
      <c r="CL630" s="265"/>
      <c r="CM630" s="265"/>
      <c r="CO630" s="11"/>
      <c r="CR630" s="1026"/>
      <c r="CS630" s="265"/>
      <c r="CT630" s="265"/>
      <c r="CU630" s="265"/>
    </row>
    <row r="631" spans="10:99" ht="15" customHeight="1">
      <c r="J631" s="265"/>
      <c r="K631" s="1024"/>
      <c r="L631" s="1025"/>
      <c r="M631" s="1026"/>
      <c r="N631" s="1026"/>
      <c r="O631" s="265"/>
      <c r="P631" s="265"/>
      <c r="T631" s="265"/>
      <c r="U631" s="265"/>
      <c r="V631" s="265"/>
      <c r="X631" s="1026"/>
      <c r="Y631" s="265"/>
      <c r="Z631" s="265"/>
      <c r="AA631" s="265"/>
      <c r="AE631" s="265"/>
      <c r="AF631" s="265"/>
      <c r="AV631" s="265"/>
      <c r="AW631" s="265"/>
      <c r="AX631" s="265"/>
      <c r="AY631" s="265"/>
      <c r="BE631" s="265"/>
      <c r="BF631" s="1028"/>
      <c r="BJ631" s="265"/>
      <c r="BK631" s="1458"/>
      <c r="BL631" s="1028"/>
      <c r="BP631" s="265"/>
      <c r="BQ631" s="1458"/>
      <c r="BW631" s="11"/>
      <c r="CA631" s="11"/>
      <c r="CK631" s="265"/>
      <c r="CL631" s="265"/>
      <c r="CM631" s="265"/>
      <c r="CO631" s="11"/>
      <c r="CR631" s="1026"/>
      <c r="CS631" s="265"/>
      <c r="CT631" s="265"/>
      <c r="CU631" s="265"/>
    </row>
    <row r="632" spans="10:99" ht="15" customHeight="1">
      <c r="J632" s="265"/>
      <c r="K632" s="1024"/>
      <c r="L632" s="1025"/>
      <c r="M632" s="1026"/>
      <c r="N632" s="1026"/>
      <c r="O632" s="265"/>
      <c r="P632" s="265"/>
      <c r="T632" s="265"/>
      <c r="U632" s="265"/>
      <c r="V632" s="265"/>
      <c r="X632" s="1026"/>
      <c r="Y632" s="265"/>
      <c r="Z632" s="265"/>
      <c r="AA632" s="265"/>
      <c r="AE632" s="265"/>
      <c r="AF632" s="265"/>
      <c r="AV632" s="265"/>
      <c r="AW632" s="265"/>
      <c r="AX632" s="265"/>
      <c r="AY632" s="265"/>
      <c r="BE632" s="265"/>
      <c r="BF632" s="1028"/>
      <c r="BJ632" s="265"/>
      <c r="BK632" s="1458"/>
      <c r="BL632" s="1028"/>
      <c r="BP632" s="265"/>
      <c r="BQ632" s="1458"/>
      <c r="BW632" s="11"/>
      <c r="CA632" s="11"/>
      <c r="CK632" s="265"/>
      <c r="CL632" s="265"/>
      <c r="CM632" s="265"/>
      <c r="CO632" s="11"/>
      <c r="CR632" s="1026"/>
      <c r="CS632" s="265"/>
      <c r="CT632" s="265"/>
      <c r="CU632" s="265"/>
    </row>
    <row r="633" spans="10:99" ht="15" customHeight="1">
      <c r="J633" s="265"/>
      <c r="K633" s="1024"/>
      <c r="L633" s="1025"/>
      <c r="M633" s="1026"/>
      <c r="N633" s="1026"/>
      <c r="O633" s="265"/>
      <c r="P633" s="265"/>
      <c r="T633" s="265"/>
      <c r="U633" s="265"/>
      <c r="V633" s="265"/>
      <c r="X633" s="1026"/>
      <c r="Y633" s="265"/>
      <c r="Z633" s="265"/>
      <c r="AA633" s="265"/>
      <c r="AE633" s="265"/>
      <c r="AF633" s="265"/>
      <c r="AV633" s="265"/>
      <c r="AW633" s="265"/>
      <c r="AX633" s="265"/>
      <c r="AY633" s="265"/>
      <c r="BE633" s="265"/>
      <c r="BF633" s="1028"/>
      <c r="BJ633" s="265"/>
      <c r="BK633" s="1458"/>
      <c r="BL633" s="1028"/>
      <c r="BP633" s="265"/>
      <c r="BQ633" s="1458"/>
      <c r="BW633" s="11"/>
      <c r="CA633" s="11"/>
      <c r="CK633" s="265"/>
      <c r="CL633" s="265"/>
      <c r="CM633" s="265"/>
      <c r="CO633" s="11"/>
      <c r="CR633" s="1026"/>
      <c r="CS633" s="265"/>
      <c r="CT633" s="265"/>
      <c r="CU633" s="265"/>
    </row>
    <row r="634" spans="10:99" ht="15" customHeight="1">
      <c r="J634" s="265"/>
      <c r="K634" s="1024"/>
      <c r="L634" s="1025"/>
      <c r="M634" s="1026"/>
      <c r="N634" s="1026"/>
      <c r="O634" s="265"/>
      <c r="P634" s="265"/>
      <c r="T634" s="265"/>
      <c r="U634" s="265"/>
      <c r="V634" s="265"/>
      <c r="X634" s="1026"/>
      <c r="Y634" s="265"/>
      <c r="Z634" s="265"/>
      <c r="AA634" s="265"/>
      <c r="AE634" s="265"/>
      <c r="AF634" s="265"/>
      <c r="AV634" s="265"/>
      <c r="AW634" s="265"/>
      <c r="AX634" s="265"/>
      <c r="AY634" s="265"/>
      <c r="BE634" s="265"/>
      <c r="BF634" s="1028"/>
      <c r="BJ634" s="265"/>
      <c r="BK634" s="1458"/>
      <c r="BL634" s="1028"/>
      <c r="BP634" s="265"/>
      <c r="BQ634" s="1458"/>
      <c r="BW634" s="11"/>
      <c r="CA634" s="11"/>
      <c r="CK634" s="265"/>
      <c r="CL634" s="265"/>
      <c r="CM634" s="265"/>
      <c r="CO634" s="11"/>
      <c r="CR634" s="1026"/>
      <c r="CS634" s="265"/>
      <c r="CT634" s="265"/>
      <c r="CU634" s="265"/>
    </row>
    <row r="635" spans="10:99" ht="15" customHeight="1">
      <c r="J635" s="265"/>
      <c r="K635" s="1024"/>
      <c r="L635" s="1025"/>
      <c r="M635" s="1026"/>
      <c r="N635" s="1026"/>
      <c r="O635" s="265"/>
      <c r="P635" s="265"/>
      <c r="T635" s="265"/>
      <c r="U635" s="265"/>
      <c r="V635" s="265"/>
      <c r="X635" s="1026"/>
      <c r="Y635" s="265"/>
      <c r="Z635" s="265"/>
      <c r="AA635" s="265"/>
      <c r="AE635" s="265"/>
      <c r="AF635" s="265"/>
      <c r="AV635" s="265"/>
      <c r="AW635" s="265"/>
      <c r="AX635" s="265"/>
      <c r="AY635" s="265"/>
      <c r="BE635" s="265"/>
      <c r="BF635" s="1028"/>
      <c r="BJ635" s="265"/>
      <c r="BK635" s="1458"/>
      <c r="BL635" s="1028"/>
      <c r="BP635" s="265"/>
      <c r="BQ635" s="1458"/>
      <c r="BW635" s="11"/>
      <c r="CA635" s="11"/>
      <c r="CK635" s="265"/>
      <c r="CL635" s="265"/>
      <c r="CM635" s="265"/>
      <c r="CO635" s="11"/>
      <c r="CR635" s="1026"/>
      <c r="CS635" s="265"/>
      <c r="CT635" s="265"/>
      <c r="CU635" s="265"/>
    </row>
    <row r="636" spans="10:99" ht="15" customHeight="1">
      <c r="J636" s="265"/>
      <c r="K636" s="1024"/>
      <c r="L636" s="1025"/>
      <c r="M636" s="1026"/>
      <c r="N636" s="1026"/>
      <c r="O636" s="265"/>
      <c r="P636" s="265"/>
      <c r="T636" s="265"/>
      <c r="U636" s="265"/>
      <c r="V636" s="265"/>
      <c r="X636" s="1026"/>
      <c r="Y636" s="265"/>
      <c r="Z636" s="265"/>
      <c r="AA636" s="265"/>
      <c r="AE636" s="265"/>
      <c r="AF636" s="265"/>
      <c r="AV636" s="265"/>
      <c r="AW636" s="265"/>
      <c r="AX636" s="265"/>
      <c r="AY636" s="265"/>
      <c r="BE636" s="265"/>
      <c r="BF636" s="1028"/>
      <c r="BJ636" s="265"/>
      <c r="BK636" s="1458"/>
      <c r="BL636" s="1028"/>
      <c r="BP636" s="265"/>
      <c r="BQ636" s="1458"/>
      <c r="BW636" s="11"/>
      <c r="CA636" s="11"/>
      <c r="CK636" s="265"/>
      <c r="CL636" s="265"/>
      <c r="CM636" s="265"/>
      <c r="CO636" s="11"/>
      <c r="CR636" s="1026"/>
      <c r="CS636" s="265"/>
      <c r="CT636" s="265"/>
      <c r="CU636" s="265"/>
    </row>
    <row r="637" spans="10:99" ht="15" customHeight="1">
      <c r="J637" s="265"/>
      <c r="K637" s="1024"/>
      <c r="L637" s="1025"/>
      <c r="M637" s="1026"/>
      <c r="N637" s="1026"/>
      <c r="O637" s="265"/>
      <c r="P637" s="265"/>
      <c r="T637" s="265"/>
      <c r="U637" s="265"/>
      <c r="V637" s="265"/>
      <c r="X637" s="1026"/>
      <c r="Y637" s="265"/>
      <c r="Z637" s="265"/>
      <c r="AA637" s="265"/>
      <c r="AE637" s="265"/>
      <c r="AF637" s="265"/>
      <c r="AV637" s="265"/>
      <c r="AW637" s="265"/>
      <c r="AX637" s="265"/>
      <c r="AY637" s="265"/>
      <c r="BE637" s="265"/>
      <c r="BF637" s="1028"/>
      <c r="BJ637" s="265"/>
      <c r="BK637" s="1458"/>
      <c r="BL637" s="1028"/>
      <c r="BP637" s="265"/>
      <c r="BQ637" s="1458"/>
      <c r="BW637" s="11"/>
      <c r="CA637" s="11"/>
      <c r="CK637" s="265"/>
      <c r="CL637" s="265"/>
      <c r="CM637" s="265"/>
      <c r="CO637" s="11"/>
      <c r="CR637" s="1026"/>
      <c r="CS637" s="265"/>
      <c r="CT637" s="265"/>
      <c r="CU637" s="265"/>
    </row>
    <row r="638" spans="10:99" ht="15" customHeight="1">
      <c r="J638" s="265"/>
      <c r="K638" s="1024"/>
      <c r="L638" s="1025"/>
      <c r="M638" s="1026"/>
      <c r="N638" s="1026"/>
      <c r="O638" s="265"/>
      <c r="P638" s="265"/>
      <c r="T638" s="265"/>
      <c r="U638" s="265"/>
      <c r="V638" s="265"/>
      <c r="X638" s="1026"/>
      <c r="Y638" s="265"/>
      <c r="Z638" s="265"/>
      <c r="AA638" s="265"/>
      <c r="AE638" s="265"/>
      <c r="AF638" s="265"/>
      <c r="AV638" s="265"/>
      <c r="AW638" s="265"/>
      <c r="AX638" s="265"/>
      <c r="AY638" s="265"/>
      <c r="BE638" s="265"/>
      <c r="BF638" s="1028"/>
      <c r="BJ638" s="265"/>
      <c r="BK638" s="1458"/>
      <c r="BL638" s="1028"/>
      <c r="BP638" s="265"/>
      <c r="BQ638" s="1458"/>
      <c r="BW638" s="11"/>
      <c r="CA638" s="11"/>
      <c r="CK638" s="265"/>
      <c r="CL638" s="265"/>
      <c r="CM638" s="265"/>
      <c r="CO638" s="11"/>
      <c r="CR638" s="1026"/>
      <c r="CS638" s="265"/>
      <c r="CT638" s="265"/>
      <c r="CU638" s="265"/>
    </row>
    <row r="639" spans="10:99" ht="15" customHeight="1">
      <c r="J639" s="265"/>
      <c r="K639" s="1024"/>
      <c r="L639" s="1025"/>
      <c r="M639" s="1026"/>
      <c r="N639" s="1026"/>
      <c r="O639" s="265"/>
      <c r="P639" s="265"/>
      <c r="T639" s="265"/>
      <c r="U639" s="265"/>
      <c r="V639" s="265"/>
      <c r="X639" s="1026"/>
      <c r="Y639" s="265"/>
      <c r="Z639" s="265"/>
      <c r="AA639" s="265"/>
      <c r="AE639" s="265"/>
      <c r="AF639" s="265"/>
      <c r="AV639" s="265"/>
      <c r="AW639" s="265"/>
      <c r="AX639" s="265"/>
      <c r="AY639" s="265"/>
      <c r="BE639" s="265"/>
      <c r="BF639" s="1028"/>
      <c r="BJ639" s="265"/>
      <c r="BK639" s="1458"/>
      <c r="BL639" s="1028"/>
      <c r="BP639" s="265"/>
      <c r="BQ639" s="1458"/>
      <c r="BW639" s="11"/>
      <c r="CA639" s="11"/>
      <c r="CK639" s="265"/>
      <c r="CL639" s="265"/>
      <c r="CM639" s="265"/>
      <c r="CO639" s="11"/>
      <c r="CR639" s="1026"/>
      <c r="CS639" s="265"/>
      <c r="CT639" s="265"/>
      <c r="CU639" s="265"/>
    </row>
    <row r="640" spans="10:99" ht="15" customHeight="1">
      <c r="J640" s="265"/>
      <c r="K640" s="1024"/>
      <c r="L640" s="1025"/>
      <c r="M640" s="1026"/>
      <c r="N640" s="1026"/>
      <c r="O640" s="265"/>
      <c r="P640" s="265"/>
      <c r="T640" s="265"/>
      <c r="U640" s="265"/>
      <c r="V640" s="265"/>
      <c r="X640" s="1026"/>
      <c r="Y640" s="265"/>
      <c r="Z640" s="265"/>
      <c r="AA640" s="265"/>
      <c r="AE640" s="265"/>
      <c r="AF640" s="265"/>
      <c r="AV640" s="265"/>
      <c r="AW640" s="265"/>
      <c r="AX640" s="265"/>
      <c r="AY640" s="265"/>
      <c r="BE640" s="265"/>
      <c r="BF640" s="1028"/>
      <c r="BJ640" s="265"/>
      <c r="BK640" s="1458"/>
      <c r="BL640" s="1028"/>
      <c r="BP640" s="265"/>
      <c r="BQ640" s="1458"/>
      <c r="BW640" s="11"/>
      <c r="CA640" s="11"/>
      <c r="CK640" s="265"/>
      <c r="CL640" s="265"/>
      <c r="CM640" s="265"/>
      <c r="CO640" s="11"/>
      <c r="CR640" s="1026"/>
      <c r="CS640" s="265"/>
      <c r="CT640" s="265"/>
      <c r="CU640" s="265"/>
    </row>
    <row r="641" spans="10:99" ht="15" customHeight="1">
      <c r="J641" s="265"/>
      <c r="K641" s="1024"/>
      <c r="L641" s="1025"/>
      <c r="M641" s="1026"/>
      <c r="N641" s="1026"/>
      <c r="O641" s="265"/>
      <c r="P641" s="265"/>
      <c r="T641" s="265"/>
      <c r="U641" s="265"/>
      <c r="V641" s="265"/>
      <c r="X641" s="1026"/>
      <c r="Y641" s="265"/>
      <c r="Z641" s="265"/>
      <c r="AA641" s="265"/>
      <c r="AE641" s="265"/>
      <c r="AF641" s="265"/>
      <c r="AV641" s="265"/>
      <c r="AW641" s="265"/>
      <c r="AX641" s="265"/>
      <c r="AY641" s="265"/>
      <c r="BE641" s="265"/>
      <c r="BF641" s="1028"/>
      <c r="BJ641" s="265"/>
      <c r="BK641" s="1458"/>
      <c r="BL641" s="1028"/>
      <c r="BP641" s="265"/>
      <c r="BQ641" s="1458"/>
      <c r="BW641" s="11"/>
      <c r="CA641" s="11"/>
      <c r="CK641" s="265"/>
      <c r="CL641" s="265"/>
      <c r="CM641" s="265"/>
      <c r="CO641" s="11"/>
      <c r="CR641" s="1026"/>
      <c r="CS641" s="265"/>
      <c r="CT641" s="265"/>
      <c r="CU641" s="265"/>
    </row>
    <row r="642" spans="10:99" ht="15" customHeight="1">
      <c r="J642" s="265"/>
      <c r="K642" s="1024"/>
      <c r="L642" s="1025"/>
      <c r="M642" s="1026"/>
      <c r="N642" s="1026"/>
      <c r="O642" s="265"/>
      <c r="P642" s="265"/>
      <c r="T642" s="265"/>
      <c r="U642" s="265"/>
      <c r="V642" s="265"/>
      <c r="X642" s="1026"/>
      <c r="Y642" s="265"/>
      <c r="Z642" s="265"/>
      <c r="AA642" s="265"/>
      <c r="AE642" s="265"/>
      <c r="AF642" s="265"/>
      <c r="AV642" s="265"/>
      <c r="AW642" s="265"/>
      <c r="AX642" s="265"/>
      <c r="AY642" s="265"/>
      <c r="BE642" s="265"/>
      <c r="BF642" s="1028"/>
      <c r="BJ642" s="265"/>
      <c r="BK642" s="1458"/>
      <c r="BL642" s="1028"/>
      <c r="BP642" s="265"/>
      <c r="BQ642" s="1458"/>
      <c r="BW642" s="11"/>
      <c r="CA642" s="11"/>
      <c r="CK642" s="265"/>
      <c r="CL642" s="265"/>
      <c r="CM642" s="265"/>
      <c r="CO642" s="11"/>
      <c r="CR642" s="1026"/>
      <c r="CS642" s="265"/>
      <c r="CT642" s="265"/>
      <c r="CU642" s="265"/>
    </row>
    <row r="643" spans="10:99" ht="15" customHeight="1">
      <c r="J643" s="265"/>
      <c r="K643" s="1024"/>
      <c r="L643" s="1025"/>
      <c r="M643" s="1026"/>
      <c r="N643" s="1026"/>
      <c r="O643" s="265"/>
      <c r="P643" s="265"/>
      <c r="T643" s="265"/>
      <c r="U643" s="265"/>
      <c r="V643" s="265"/>
      <c r="X643" s="1026"/>
      <c r="Y643" s="265"/>
      <c r="Z643" s="265"/>
      <c r="AA643" s="265"/>
      <c r="AE643" s="265"/>
      <c r="AF643" s="265"/>
      <c r="AV643" s="265"/>
      <c r="AW643" s="265"/>
      <c r="AX643" s="265"/>
      <c r="AY643" s="265"/>
      <c r="BE643" s="265"/>
      <c r="BF643" s="1028"/>
      <c r="BJ643" s="265"/>
      <c r="BK643" s="1458"/>
      <c r="BL643" s="1028"/>
      <c r="BP643" s="265"/>
      <c r="BQ643" s="1458"/>
      <c r="BW643" s="11"/>
      <c r="CA643" s="11"/>
      <c r="CK643" s="265"/>
      <c r="CL643" s="265"/>
      <c r="CM643" s="265"/>
      <c r="CO643" s="11"/>
      <c r="CR643" s="1026"/>
      <c r="CS643" s="265"/>
      <c r="CT643" s="265"/>
      <c r="CU643" s="265"/>
    </row>
    <row r="644" spans="10:99" ht="15" customHeight="1">
      <c r="J644" s="265"/>
      <c r="K644" s="1024"/>
      <c r="L644" s="1025"/>
      <c r="M644" s="1026"/>
      <c r="N644" s="1026"/>
      <c r="O644" s="265"/>
      <c r="P644" s="265"/>
      <c r="T644" s="265"/>
      <c r="U644" s="265"/>
      <c r="V644" s="265"/>
      <c r="X644" s="1026"/>
      <c r="Y644" s="265"/>
      <c r="Z644" s="265"/>
      <c r="AA644" s="265"/>
      <c r="AE644" s="265"/>
      <c r="AF644" s="265"/>
      <c r="AV644" s="265"/>
      <c r="AW644" s="265"/>
      <c r="AX644" s="265"/>
      <c r="AY644" s="265"/>
      <c r="BE644" s="265"/>
      <c r="BF644" s="1028"/>
      <c r="BJ644" s="265"/>
      <c r="BK644" s="1458"/>
      <c r="BL644" s="1028"/>
      <c r="BP644" s="265"/>
      <c r="BQ644" s="1458"/>
      <c r="BW644" s="11"/>
      <c r="CA644" s="11"/>
      <c r="CK644" s="265"/>
      <c r="CL644" s="265"/>
      <c r="CM644" s="265"/>
      <c r="CO644" s="11"/>
      <c r="CR644" s="1026"/>
      <c r="CS644" s="265"/>
      <c r="CT644" s="265"/>
      <c r="CU644" s="265"/>
    </row>
    <row r="645" spans="10:99" ht="15" customHeight="1">
      <c r="J645" s="265"/>
      <c r="K645" s="1024"/>
      <c r="L645" s="1025"/>
      <c r="M645" s="1026"/>
      <c r="N645" s="1026"/>
      <c r="O645" s="265"/>
      <c r="P645" s="265"/>
      <c r="T645" s="265"/>
      <c r="U645" s="265"/>
      <c r="V645" s="265"/>
      <c r="X645" s="1026"/>
      <c r="Y645" s="265"/>
      <c r="Z645" s="265"/>
      <c r="AA645" s="265"/>
      <c r="AE645" s="265"/>
      <c r="AF645" s="265"/>
      <c r="AV645" s="265"/>
      <c r="AW645" s="265"/>
      <c r="AX645" s="265"/>
      <c r="AY645" s="265"/>
      <c r="BE645" s="265"/>
      <c r="BF645" s="1028"/>
      <c r="BJ645" s="265"/>
      <c r="BK645" s="1458"/>
      <c r="BL645" s="1028"/>
      <c r="BP645" s="265"/>
      <c r="BQ645" s="1458"/>
      <c r="BW645" s="11"/>
      <c r="CA645" s="11"/>
      <c r="CK645" s="265"/>
      <c r="CL645" s="265"/>
      <c r="CM645" s="265"/>
      <c r="CO645" s="11"/>
      <c r="CR645" s="1026"/>
      <c r="CS645" s="265"/>
      <c r="CT645" s="265"/>
      <c r="CU645" s="265"/>
    </row>
    <row r="646" spans="10:99" ht="15" customHeight="1">
      <c r="J646" s="265"/>
      <c r="K646" s="1024"/>
      <c r="L646" s="1025"/>
      <c r="M646" s="1026"/>
      <c r="N646" s="1026"/>
      <c r="O646" s="265"/>
      <c r="P646" s="265"/>
      <c r="T646" s="265"/>
      <c r="U646" s="265"/>
      <c r="V646" s="265"/>
      <c r="X646" s="1026"/>
      <c r="Y646" s="265"/>
      <c r="Z646" s="265"/>
      <c r="AA646" s="265"/>
      <c r="AE646" s="265"/>
      <c r="AF646" s="265"/>
      <c r="AV646" s="265"/>
      <c r="AW646" s="265"/>
      <c r="AX646" s="265"/>
      <c r="AY646" s="265"/>
      <c r="BE646" s="265"/>
      <c r="BF646" s="1028"/>
      <c r="BJ646" s="265"/>
      <c r="BK646" s="1458"/>
      <c r="BL646" s="1028"/>
      <c r="BP646" s="265"/>
      <c r="BQ646" s="1458"/>
      <c r="BW646" s="11"/>
      <c r="CA646" s="11"/>
      <c r="CK646" s="265"/>
      <c r="CL646" s="265"/>
      <c r="CM646" s="265"/>
      <c r="CO646" s="11"/>
      <c r="CR646" s="1026"/>
      <c r="CS646" s="265"/>
      <c r="CT646" s="265"/>
      <c r="CU646" s="265"/>
    </row>
    <row r="647" spans="10:99" ht="15" customHeight="1">
      <c r="J647" s="265"/>
      <c r="K647" s="1024"/>
      <c r="L647" s="1025"/>
      <c r="M647" s="1026"/>
      <c r="N647" s="1026"/>
      <c r="O647" s="265"/>
      <c r="P647" s="265"/>
      <c r="T647" s="265"/>
      <c r="U647" s="265"/>
      <c r="V647" s="265"/>
      <c r="X647" s="1026"/>
      <c r="Y647" s="265"/>
      <c r="Z647" s="265"/>
      <c r="AA647" s="265"/>
      <c r="AE647" s="265"/>
      <c r="AF647" s="265"/>
      <c r="AV647" s="265"/>
      <c r="AW647" s="265"/>
      <c r="AX647" s="265"/>
      <c r="AY647" s="265"/>
      <c r="BE647" s="265"/>
      <c r="BF647" s="1028"/>
      <c r="BJ647" s="265"/>
      <c r="BK647" s="1458"/>
      <c r="BL647" s="1028"/>
      <c r="BP647" s="265"/>
      <c r="BQ647" s="1458"/>
      <c r="BW647" s="11"/>
      <c r="CA647" s="11"/>
      <c r="CK647" s="265"/>
      <c r="CL647" s="265"/>
      <c r="CM647" s="265"/>
      <c r="CO647" s="11"/>
      <c r="CR647" s="1026"/>
      <c r="CS647" s="265"/>
      <c r="CT647" s="265"/>
      <c r="CU647" s="265"/>
    </row>
    <row r="648" spans="10:99" ht="15" customHeight="1">
      <c r="J648" s="265"/>
      <c r="K648" s="1024"/>
      <c r="L648" s="1025"/>
      <c r="M648" s="1026"/>
      <c r="N648" s="1026"/>
      <c r="O648" s="265"/>
      <c r="P648" s="265"/>
      <c r="T648" s="265"/>
      <c r="U648" s="265"/>
      <c r="V648" s="265"/>
      <c r="X648" s="1026"/>
      <c r="Y648" s="265"/>
      <c r="Z648" s="265"/>
      <c r="AA648" s="265"/>
      <c r="AE648" s="265"/>
      <c r="AF648" s="265"/>
      <c r="AV648" s="265"/>
      <c r="AW648" s="265"/>
      <c r="AX648" s="265"/>
      <c r="AY648" s="265"/>
      <c r="BE648" s="265"/>
      <c r="BF648" s="1028"/>
      <c r="BJ648" s="265"/>
      <c r="BK648" s="1458"/>
      <c r="BL648" s="1028"/>
      <c r="BP648" s="265"/>
      <c r="BQ648" s="1458"/>
      <c r="BW648" s="11"/>
      <c r="CA648" s="11"/>
      <c r="CK648" s="265"/>
      <c r="CL648" s="265"/>
      <c r="CM648" s="265"/>
      <c r="CO648" s="11"/>
      <c r="CR648" s="1026"/>
      <c r="CS648" s="265"/>
      <c r="CT648" s="265"/>
      <c r="CU648" s="265"/>
    </row>
    <row r="649" spans="10:99" ht="15" customHeight="1">
      <c r="J649" s="265"/>
      <c r="K649" s="1024"/>
      <c r="L649" s="1025"/>
      <c r="M649" s="1026"/>
      <c r="N649" s="1026"/>
      <c r="O649" s="265"/>
      <c r="P649" s="265"/>
      <c r="T649" s="265"/>
      <c r="U649" s="265"/>
      <c r="V649" s="265"/>
      <c r="X649" s="1026"/>
      <c r="Y649" s="265"/>
      <c r="Z649" s="265"/>
      <c r="AA649" s="265"/>
      <c r="AE649" s="265"/>
      <c r="AF649" s="265"/>
      <c r="AV649" s="265"/>
      <c r="AW649" s="265"/>
      <c r="AX649" s="265"/>
      <c r="AY649" s="265"/>
      <c r="BE649" s="265"/>
      <c r="BF649" s="1028"/>
      <c r="BJ649" s="265"/>
      <c r="BK649" s="1458"/>
      <c r="BL649" s="1028"/>
      <c r="BP649" s="265"/>
      <c r="BQ649" s="1458"/>
      <c r="BW649" s="11"/>
      <c r="CA649" s="11"/>
      <c r="CK649" s="265"/>
      <c r="CL649" s="265"/>
      <c r="CM649" s="265"/>
      <c r="CO649" s="11"/>
      <c r="CR649" s="1026"/>
      <c r="CS649" s="265"/>
      <c r="CT649" s="265"/>
      <c r="CU649" s="265"/>
    </row>
    <row r="650" spans="10:99" ht="15" customHeight="1">
      <c r="J650" s="265"/>
      <c r="K650" s="1024"/>
      <c r="L650" s="1025"/>
      <c r="M650" s="1026"/>
      <c r="N650" s="1026"/>
      <c r="O650" s="265"/>
      <c r="P650" s="265"/>
      <c r="T650" s="265"/>
      <c r="U650" s="265"/>
      <c r="V650" s="265"/>
      <c r="X650" s="1026"/>
      <c r="Y650" s="265"/>
      <c r="Z650" s="265"/>
      <c r="AA650" s="265"/>
      <c r="AE650" s="265"/>
      <c r="AF650" s="265"/>
      <c r="AV650" s="265"/>
      <c r="AW650" s="265"/>
      <c r="AX650" s="265"/>
      <c r="AY650" s="265"/>
      <c r="BE650" s="265"/>
      <c r="BF650" s="1028"/>
      <c r="BJ650" s="265"/>
      <c r="BK650" s="1458"/>
      <c r="BL650" s="1028"/>
      <c r="BP650" s="265"/>
      <c r="BQ650" s="1458"/>
      <c r="BW650" s="11"/>
      <c r="CA650" s="11"/>
      <c r="CK650" s="265"/>
      <c r="CL650" s="265"/>
      <c r="CM650" s="265"/>
      <c r="CO650" s="11"/>
      <c r="CR650" s="1026"/>
      <c r="CS650" s="265"/>
      <c r="CT650" s="265"/>
      <c r="CU650" s="265"/>
    </row>
    <row r="651" spans="10:99" ht="15" customHeight="1">
      <c r="J651" s="265"/>
      <c r="K651" s="1024"/>
      <c r="L651" s="1025"/>
      <c r="M651" s="1026"/>
      <c r="N651" s="1026"/>
      <c r="O651" s="265"/>
      <c r="P651" s="265"/>
      <c r="T651" s="265"/>
      <c r="U651" s="265"/>
      <c r="V651" s="265"/>
      <c r="X651" s="1026"/>
      <c r="Y651" s="265"/>
      <c r="Z651" s="265"/>
      <c r="AA651" s="265"/>
      <c r="AE651" s="265"/>
      <c r="AF651" s="265"/>
      <c r="AV651" s="265"/>
      <c r="AW651" s="265"/>
      <c r="AX651" s="265"/>
      <c r="AY651" s="265"/>
      <c r="BE651" s="265"/>
      <c r="BF651" s="1028"/>
      <c r="BJ651" s="265"/>
      <c r="BK651" s="1458"/>
      <c r="BL651" s="1028"/>
      <c r="BP651" s="265"/>
      <c r="BQ651" s="1458"/>
      <c r="BW651" s="11"/>
      <c r="CA651" s="11"/>
      <c r="CK651" s="265"/>
      <c r="CL651" s="265"/>
      <c r="CM651" s="265"/>
      <c r="CO651" s="11"/>
      <c r="CR651" s="1026"/>
      <c r="CS651" s="265"/>
      <c r="CT651" s="265"/>
      <c r="CU651" s="265"/>
    </row>
    <row r="652" spans="10:99" ht="15" customHeight="1">
      <c r="J652" s="265"/>
      <c r="K652" s="1024"/>
      <c r="L652" s="1025"/>
      <c r="M652" s="1026"/>
      <c r="N652" s="1026"/>
      <c r="O652" s="265"/>
      <c r="P652" s="265"/>
      <c r="T652" s="265"/>
      <c r="U652" s="265"/>
      <c r="V652" s="265"/>
      <c r="X652" s="1026"/>
      <c r="Y652" s="265"/>
      <c r="Z652" s="265"/>
      <c r="AA652" s="265"/>
      <c r="AE652" s="265"/>
      <c r="AF652" s="265"/>
      <c r="AV652" s="265"/>
      <c r="AW652" s="265"/>
      <c r="AX652" s="265"/>
      <c r="AY652" s="265"/>
      <c r="BE652" s="265"/>
      <c r="BF652" s="1028"/>
      <c r="BJ652" s="265"/>
      <c r="BK652" s="1458"/>
      <c r="BL652" s="1028"/>
      <c r="BP652" s="265"/>
      <c r="BQ652" s="1458"/>
      <c r="BW652" s="11"/>
      <c r="CA652" s="11"/>
      <c r="CK652" s="265"/>
      <c r="CL652" s="265"/>
      <c r="CM652" s="265"/>
      <c r="CO652" s="11"/>
      <c r="CR652" s="1026"/>
      <c r="CS652" s="265"/>
      <c r="CT652" s="265"/>
      <c r="CU652" s="265"/>
    </row>
    <row r="653" spans="10:99" ht="15" customHeight="1">
      <c r="J653" s="265"/>
      <c r="K653" s="1024"/>
      <c r="L653" s="1025"/>
      <c r="M653" s="1026"/>
      <c r="N653" s="1026"/>
      <c r="O653" s="265"/>
      <c r="P653" s="265"/>
      <c r="T653" s="265"/>
      <c r="U653" s="265"/>
      <c r="V653" s="265"/>
      <c r="X653" s="1026"/>
      <c r="Y653" s="265"/>
      <c r="Z653" s="265"/>
      <c r="AA653" s="265"/>
      <c r="AE653" s="265"/>
      <c r="AF653" s="265"/>
      <c r="AV653" s="265"/>
      <c r="AW653" s="265"/>
      <c r="AX653" s="265"/>
      <c r="AY653" s="265"/>
      <c r="BE653" s="265"/>
      <c r="BF653" s="1028"/>
      <c r="BJ653" s="265"/>
      <c r="BK653" s="1458"/>
      <c r="BL653" s="1028"/>
      <c r="BP653" s="265"/>
      <c r="BQ653" s="1458"/>
      <c r="BW653" s="11"/>
      <c r="CA653" s="11"/>
      <c r="CK653" s="265"/>
      <c r="CL653" s="265"/>
      <c r="CM653" s="265"/>
      <c r="CO653" s="11"/>
      <c r="CR653" s="1026"/>
      <c r="CS653" s="265"/>
      <c r="CT653" s="265"/>
      <c r="CU653" s="265"/>
    </row>
    <row r="654" spans="10:99" ht="15" customHeight="1">
      <c r="J654" s="265"/>
      <c r="K654" s="1024"/>
      <c r="L654" s="1025"/>
      <c r="M654" s="1026"/>
      <c r="N654" s="1026"/>
      <c r="O654" s="265"/>
      <c r="P654" s="265"/>
      <c r="T654" s="265"/>
      <c r="U654" s="265"/>
      <c r="V654" s="265"/>
      <c r="X654" s="1026"/>
      <c r="Y654" s="265"/>
      <c r="Z654" s="265"/>
      <c r="AA654" s="265"/>
      <c r="AE654" s="265"/>
      <c r="AF654" s="265"/>
      <c r="AV654" s="265"/>
      <c r="AW654" s="265"/>
      <c r="AX654" s="265"/>
      <c r="AY654" s="265"/>
      <c r="BE654" s="265"/>
      <c r="BF654" s="1028"/>
      <c r="BJ654" s="265"/>
      <c r="BK654" s="1458"/>
      <c r="BL654" s="1028"/>
      <c r="BP654" s="265"/>
      <c r="BQ654" s="1458"/>
      <c r="BW654" s="11"/>
      <c r="CA654" s="11"/>
      <c r="CK654" s="265"/>
      <c r="CL654" s="265"/>
      <c r="CM654" s="265"/>
      <c r="CO654" s="11"/>
      <c r="CR654" s="1026"/>
      <c r="CS654" s="265"/>
      <c r="CT654" s="265"/>
      <c r="CU654" s="265"/>
    </row>
    <row r="655" spans="10:99" ht="15" customHeight="1">
      <c r="J655" s="265"/>
      <c r="K655" s="1024"/>
      <c r="L655" s="1025"/>
      <c r="M655" s="1026"/>
      <c r="N655" s="1026"/>
      <c r="O655" s="265"/>
      <c r="P655" s="265"/>
      <c r="T655" s="265"/>
      <c r="U655" s="265"/>
      <c r="V655" s="265"/>
      <c r="X655" s="1026"/>
      <c r="Y655" s="265"/>
      <c r="Z655" s="265"/>
      <c r="AA655" s="265"/>
      <c r="AE655" s="265"/>
      <c r="AF655" s="265"/>
      <c r="AV655" s="265"/>
      <c r="AW655" s="265"/>
      <c r="AX655" s="265"/>
      <c r="AY655" s="265"/>
      <c r="BE655" s="265"/>
      <c r="BF655" s="1028"/>
      <c r="BJ655" s="265"/>
      <c r="BK655" s="1458"/>
      <c r="BL655" s="1028"/>
      <c r="BP655" s="265"/>
      <c r="BQ655" s="1458"/>
      <c r="BW655" s="11"/>
      <c r="CA655" s="11"/>
      <c r="CK655" s="265"/>
      <c r="CL655" s="265"/>
      <c r="CM655" s="265"/>
      <c r="CO655" s="11"/>
      <c r="CR655" s="1026"/>
      <c r="CS655" s="265"/>
      <c r="CT655" s="265"/>
      <c r="CU655" s="265"/>
    </row>
    <row r="656" spans="10:99" ht="15" customHeight="1">
      <c r="J656" s="265"/>
      <c r="K656" s="1024"/>
      <c r="L656" s="1025"/>
      <c r="M656" s="1026"/>
      <c r="N656" s="1026"/>
      <c r="O656" s="265"/>
      <c r="P656" s="265"/>
      <c r="T656" s="265"/>
      <c r="U656" s="265"/>
      <c r="V656" s="265"/>
      <c r="X656" s="1026"/>
      <c r="Y656" s="265"/>
      <c r="Z656" s="265"/>
      <c r="AA656" s="265"/>
      <c r="AE656" s="265"/>
      <c r="AF656" s="265"/>
      <c r="AV656" s="265"/>
      <c r="AW656" s="265"/>
      <c r="AX656" s="265"/>
      <c r="AY656" s="265"/>
      <c r="BE656" s="265"/>
      <c r="BF656" s="1028"/>
      <c r="BJ656" s="265"/>
      <c r="BK656" s="1458"/>
      <c r="BL656" s="1028"/>
      <c r="BP656" s="265"/>
      <c r="BQ656" s="1458"/>
      <c r="BW656" s="11"/>
      <c r="CA656" s="11"/>
      <c r="CK656" s="265"/>
      <c r="CL656" s="265"/>
      <c r="CM656" s="265"/>
      <c r="CO656" s="11"/>
      <c r="CR656" s="1026"/>
      <c r="CS656" s="265"/>
      <c r="CT656" s="265"/>
      <c r="CU656" s="265"/>
    </row>
    <row r="657" spans="10:99" ht="15" customHeight="1">
      <c r="J657" s="265"/>
      <c r="K657" s="1024"/>
      <c r="L657" s="1025"/>
      <c r="M657" s="1026"/>
      <c r="N657" s="1026"/>
      <c r="O657" s="265"/>
      <c r="P657" s="265"/>
      <c r="T657" s="265"/>
      <c r="U657" s="265"/>
      <c r="V657" s="265"/>
      <c r="X657" s="1026"/>
      <c r="Y657" s="265"/>
      <c r="Z657" s="265"/>
      <c r="AA657" s="265"/>
      <c r="AE657" s="265"/>
      <c r="AF657" s="265"/>
      <c r="AV657" s="265"/>
      <c r="AW657" s="265"/>
      <c r="AX657" s="265"/>
      <c r="AY657" s="265"/>
      <c r="BE657" s="265"/>
      <c r="BF657" s="1028"/>
      <c r="BJ657" s="265"/>
      <c r="BK657" s="1458"/>
      <c r="BL657" s="1028"/>
      <c r="BP657" s="265"/>
      <c r="BQ657" s="1458"/>
      <c r="BW657" s="11"/>
      <c r="CA657" s="11"/>
      <c r="CK657" s="265"/>
      <c r="CL657" s="265"/>
      <c r="CM657" s="265"/>
      <c r="CO657" s="11"/>
      <c r="CR657" s="1026"/>
      <c r="CS657" s="265"/>
      <c r="CT657" s="265"/>
      <c r="CU657" s="265"/>
    </row>
    <row r="658" spans="10:99" ht="15" customHeight="1">
      <c r="J658" s="265"/>
      <c r="K658" s="1024"/>
      <c r="L658" s="1025"/>
      <c r="M658" s="1026"/>
      <c r="N658" s="1026"/>
      <c r="O658" s="265"/>
      <c r="P658" s="265"/>
      <c r="T658" s="265"/>
      <c r="U658" s="265"/>
      <c r="V658" s="265"/>
      <c r="X658" s="1026"/>
      <c r="Y658" s="265"/>
      <c r="Z658" s="265"/>
      <c r="AA658" s="265"/>
      <c r="AE658" s="265"/>
      <c r="AF658" s="265"/>
      <c r="AV658" s="265"/>
      <c r="AW658" s="265"/>
      <c r="AX658" s="265"/>
      <c r="AY658" s="265"/>
      <c r="BE658" s="265"/>
      <c r="BF658" s="1028"/>
      <c r="BJ658" s="265"/>
      <c r="BK658" s="1458"/>
      <c r="BL658" s="1028"/>
      <c r="BP658" s="265"/>
      <c r="BQ658" s="1458"/>
      <c r="BW658" s="11"/>
      <c r="CA658" s="11"/>
      <c r="CK658" s="265"/>
      <c r="CL658" s="265"/>
      <c r="CM658" s="265"/>
      <c r="CO658" s="11"/>
      <c r="CR658" s="1026"/>
      <c r="CS658" s="265"/>
      <c r="CT658" s="265"/>
      <c r="CU658" s="265"/>
    </row>
    <row r="659" spans="10:99" ht="15" customHeight="1">
      <c r="J659" s="265"/>
      <c r="K659" s="1024"/>
      <c r="L659" s="1025"/>
      <c r="M659" s="1026"/>
      <c r="N659" s="1026"/>
      <c r="O659" s="265"/>
      <c r="P659" s="265"/>
      <c r="T659" s="265"/>
      <c r="U659" s="265"/>
      <c r="V659" s="265"/>
      <c r="X659" s="1026"/>
      <c r="Y659" s="265"/>
      <c r="Z659" s="265"/>
      <c r="AA659" s="265"/>
      <c r="AE659" s="265"/>
      <c r="AF659" s="265"/>
      <c r="AV659" s="265"/>
      <c r="AW659" s="265"/>
      <c r="AX659" s="265"/>
      <c r="AY659" s="265"/>
      <c r="BE659" s="265"/>
      <c r="BF659" s="1028"/>
      <c r="BJ659" s="265"/>
      <c r="BK659" s="1458"/>
      <c r="BL659" s="1028"/>
      <c r="BP659" s="265"/>
      <c r="BQ659" s="1458"/>
      <c r="BW659" s="11"/>
      <c r="CA659" s="11"/>
      <c r="CK659" s="265"/>
      <c r="CL659" s="265"/>
      <c r="CM659" s="265"/>
      <c r="CO659" s="11"/>
      <c r="CR659" s="1026"/>
      <c r="CS659" s="265"/>
      <c r="CT659" s="265"/>
      <c r="CU659" s="265"/>
    </row>
    <row r="660" spans="10:99" ht="15" customHeight="1">
      <c r="J660" s="265"/>
      <c r="K660" s="1024"/>
      <c r="L660" s="1025"/>
      <c r="M660" s="1026"/>
      <c r="N660" s="1026"/>
      <c r="O660" s="265"/>
      <c r="P660" s="265"/>
      <c r="T660" s="265"/>
      <c r="U660" s="265"/>
      <c r="V660" s="265"/>
      <c r="X660" s="1026"/>
      <c r="Y660" s="265"/>
      <c r="Z660" s="265"/>
      <c r="AA660" s="265"/>
      <c r="AE660" s="265"/>
      <c r="AF660" s="265"/>
      <c r="AV660" s="265"/>
      <c r="AW660" s="265"/>
      <c r="AX660" s="265"/>
      <c r="AY660" s="265"/>
      <c r="BE660" s="265"/>
      <c r="BF660" s="1028"/>
      <c r="BJ660" s="265"/>
      <c r="BK660" s="1458"/>
      <c r="BL660" s="1028"/>
      <c r="BP660" s="265"/>
      <c r="BQ660" s="1458"/>
      <c r="BW660" s="11"/>
      <c r="CA660" s="11"/>
      <c r="CK660" s="265"/>
      <c r="CL660" s="265"/>
      <c r="CM660" s="265"/>
      <c r="CO660" s="11"/>
      <c r="CR660" s="1026"/>
      <c r="CS660" s="265"/>
      <c r="CT660" s="265"/>
      <c r="CU660" s="265"/>
    </row>
    <row r="661" spans="10:99" ht="15" customHeight="1">
      <c r="J661" s="265"/>
      <c r="K661" s="1024"/>
      <c r="L661" s="1025"/>
      <c r="M661" s="1026"/>
      <c r="N661" s="1026"/>
      <c r="O661" s="265"/>
      <c r="P661" s="265"/>
      <c r="T661" s="265"/>
      <c r="U661" s="265"/>
      <c r="V661" s="265"/>
      <c r="X661" s="1026"/>
      <c r="Y661" s="265"/>
      <c r="Z661" s="265"/>
      <c r="AA661" s="265"/>
      <c r="AE661" s="265"/>
      <c r="AF661" s="265"/>
      <c r="AV661" s="265"/>
      <c r="AW661" s="265"/>
      <c r="AX661" s="265"/>
      <c r="AY661" s="265"/>
      <c r="BE661" s="265"/>
      <c r="BF661" s="1028"/>
      <c r="BJ661" s="265"/>
      <c r="BK661" s="1458"/>
      <c r="BL661" s="1028"/>
      <c r="BP661" s="265"/>
      <c r="BQ661" s="1458"/>
      <c r="BW661" s="11"/>
      <c r="CA661" s="11"/>
      <c r="CK661" s="265"/>
      <c r="CL661" s="265"/>
      <c r="CM661" s="265"/>
      <c r="CO661" s="11"/>
      <c r="CR661" s="1026"/>
      <c r="CS661" s="265"/>
      <c r="CT661" s="265"/>
      <c r="CU661" s="265"/>
    </row>
    <row r="662" spans="10:99" ht="15" customHeight="1">
      <c r="J662" s="265"/>
      <c r="K662" s="1024"/>
      <c r="L662" s="1025"/>
      <c r="M662" s="1026"/>
      <c r="N662" s="1026"/>
      <c r="O662" s="265"/>
      <c r="P662" s="265"/>
      <c r="T662" s="265"/>
      <c r="U662" s="265"/>
      <c r="V662" s="265"/>
      <c r="X662" s="1026"/>
      <c r="Y662" s="265"/>
      <c r="Z662" s="265"/>
      <c r="AA662" s="265"/>
      <c r="AE662" s="265"/>
      <c r="AF662" s="265"/>
      <c r="AV662" s="265"/>
      <c r="AW662" s="265"/>
      <c r="AX662" s="265"/>
      <c r="AY662" s="265"/>
      <c r="BE662" s="265"/>
      <c r="BF662" s="1028"/>
      <c r="BJ662" s="265"/>
      <c r="BK662" s="1458"/>
      <c r="BL662" s="1028"/>
      <c r="BP662" s="265"/>
      <c r="BQ662" s="1458"/>
      <c r="BW662" s="11"/>
      <c r="CA662" s="11"/>
      <c r="CK662" s="265"/>
      <c r="CL662" s="265"/>
      <c r="CM662" s="265"/>
      <c r="CO662" s="11"/>
      <c r="CR662" s="1026"/>
      <c r="CS662" s="265"/>
      <c r="CT662" s="265"/>
      <c r="CU662" s="265"/>
    </row>
    <row r="663" spans="10:99" ht="15" customHeight="1">
      <c r="J663" s="265"/>
      <c r="K663" s="1024"/>
      <c r="L663" s="1025"/>
      <c r="M663" s="1026"/>
      <c r="N663" s="1026"/>
      <c r="O663" s="265"/>
      <c r="P663" s="265"/>
      <c r="T663" s="265"/>
      <c r="U663" s="265"/>
      <c r="V663" s="265"/>
      <c r="X663" s="1026"/>
      <c r="Y663" s="265"/>
      <c r="Z663" s="265"/>
      <c r="AA663" s="265"/>
      <c r="AE663" s="265"/>
      <c r="AF663" s="265"/>
      <c r="AV663" s="265"/>
      <c r="AW663" s="265"/>
      <c r="AX663" s="265"/>
      <c r="AY663" s="265"/>
      <c r="BE663" s="265"/>
      <c r="BF663" s="1028"/>
      <c r="BJ663" s="265"/>
      <c r="BK663" s="1458"/>
      <c r="BL663" s="1028"/>
      <c r="BP663" s="265"/>
      <c r="BQ663" s="1458"/>
      <c r="BW663" s="11"/>
      <c r="CA663" s="11"/>
      <c r="CK663" s="265"/>
      <c r="CL663" s="265"/>
      <c r="CM663" s="265"/>
      <c r="CO663" s="11"/>
      <c r="CR663" s="1026"/>
      <c r="CS663" s="265"/>
      <c r="CT663" s="265"/>
      <c r="CU663" s="265"/>
    </row>
    <row r="664" spans="10:99" ht="15" customHeight="1">
      <c r="J664" s="265"/>
      <c r="K664" s="1024"/>
      <c r="L664" s="1025"/>
      <c r="M664" s="1026"/>
      <c r="N664" s="1026"/>
      <c r="O664" s="265"/>
      <c r="P664" s="265"/>
      <c r="T664" s="265"/>
      <c r="U664" s="265"/>
      <c r="V664" s="265"/>
      <c r="X664" s="1026"/>
      <c r="Y664" s="265"/>
      <c r="Z664" s="265"/>
      <c r="AA664" s="265"/>
      <c r="AE664" s="265"/>
      <c r="AF664" s="265"/>
      <c r="AV664" s="265"/>
      <c r="AW664" s="265"/>
      <c r="AX664" s="265"/>
      <c r="AY664" s="265"/>
      <c r="BE664" s="265"/>
      <c r="BF664" s="1028"/>
      <c r="BJ664" s="265"/>
      <c r="BK664" s="1458"/>
      <c r="BL664" s="1028"/>
      <c r="BP664" s="265"/>
      <c r="BQ664" s="1458"/>
      <c r="BW664" s="11"/>
      <c r="CA664" s="11"/>
      <c r="CK664" s="265"/>
      <c r="CL664" s="265"/>
      <c r="CM664" s="265"/>
      <c r="CO664" s="11"/>
      <c r="CR664" s="1026"/>
      <c r="CS664" s="265"/>
      <c r="CT664" s="265"/>
      <c r="CU664" s="265"/>
    </row>
    <row r="665" spans="10:99" ht="15" customHeight="1">
      <c r="J665" s="265"/>
      <c r="K665" s="1024"/>
      <c r="L665" s="1025"/>
      <c r="M665" s="1026"/>
      <c r="N665" s="1026"/>
      <c r="O665" s="265"/>
      <c r="P665" s="265"/>
      <c r="T665" s="265"/>
      <c r="U665" s="265"/>
      <c r="V665" s="265"/>
      <c r="X665" s="1026"/>
      <c r="Y665" s="265"/>
      <c r="Z665" s="265"/>
      <c r="AA665" s="265"/>
      <c r="AE665" s="265"/>
      <c r="AF665" s="265"/>
      <c r="AV665" s="265"/>
      <c r="AW665" s="265"/>
      <c r="AX665" s="265"/>
      <c r="AY665" s="265"/>
      <c r="BE665" s="265"/>
      <c r="BF665" s="1028"/>
      <c r="BJ665" s="265"/>
      <c r="BK665" s="1458"/>
      <c r="BL665" s="1028"/>
      <c r="BP665" s="265"/>
      <c r="BQ665" s="1458"/>
      <c r="BW665" s="11"/>
      <c r="CA665" s="11"/>
      <c r="CK665" s="265"/>
      <c r="CL665" s="265"/>
      <c r="CM665" s="265"/>
      <c r="CO665" s="11"/>
      <c r="CR665" s="1026"/>
      <c r="CS665" s="265"/>
      <c r="CT665" s="265"/>
      <c r="CU665" s="265"/>
    </row>
    <row r="666" spans="10:99" ht="15" customHeight="1">
      <c r="J666" s="265"/>
      <c r="K666" s="1024"/>
      <c r="L666" s="1025"/>
      <c r="M666" s="1026"/>
      <c r="N666" s="1026"/>
      <c r="O666" s="265"/>
      <c r="P666" s="265"/>
      <c r="T666" s="265"/>
      <c r="U666" s="265"/>
      <c r="V666" s="265"/>
      <c r="X666" s="1026"/>
      <c r="Y666" s="265"/>
      <c r="Z666" s="265"/>
      <c r="AA666" s="265"/>
      <c r="AE666" s="265"/>
      <c r="AF666" s="265"/>
      <c r="AV666" s="265"/>
      <c r="AW666" s="265"/>
      <c r="AX666" s="265"/>
      <c r="AY666" s="265"/>
      <c r="BE666" s="265"/>
      <c r="BF666" s="1028"/>
      <c r="BJ666" s="265"/>
      <c r="BK666" s="1458"/>
      <c r="BL666" s="1028"/>
      <c r="BP666" s="265"/>
      <c r="BQ666" s="1458"/>
      <c r="BW666" s="11"/>
      <c r="CA666" s="11"/>
      <c r="CK666" s="265"/>
      <c r="CL666" s="265"/>
      <c r="CM666" s="265"/>
      <c r="CO666" s="11"/>
      <c r="CR666" s="1026"/>
      <c r="CS666" s="265"/>
      <c r="CT666" s="265"/>
      <c r="CU666" s="265"/>
    </row>
    <row r="667" spans="10:99" ht="15" customHeight="1">
      <c r="J667" s="265"/>
      <c r="K667" s="1024"/>
      <c r="L667" s="1025"/>
      <c r="M667" s="1026"/>
      <c r="N667" s="1026"/>
      <c r="O667" s="265"/>
      <c r="P667" s="265"/>
      <c r="T667" s="265"/>
      <c r="U667" s="265"/>
      <c r="V667" s="265"/>
      <c r="X667" s="1026"/>
      <c r="Y667" s="265"/>
      <c r="Z667" s="265"/>
      <c r="AA667" s="265"/>
      <c r="AE667" s="265"/>
      <c r="AF667" s="265"/>
      <c r="AV667" s="265"/>
      <c r="AW667" s="265"/>
      <c r="AX667" s="265"/>
      <c r="AY667" s="265"/>
      <c r="BE667" s="265"/>
      <c r="BF667" s="1028"/>
      <c r="BJ667" s="265"/>
      <c r="BK667" s="1458"/>
      <c r="BL667" s="1028"/>
      <c r="BP667" s="265"/>
      <c r="BQ667" s="1458"/>
      <c r="BW667" s="11"/>
      <c r="CA667" s="11"/>
      <c r="CK667" s="265"/>
      <c r="CL667" s="265"/>
      <c r="CM667" s="265"/>
      <c r="CO667" s="11"/>
      <c r="CR667" s="1026"/>
      <c r="CS667" s="265"/>
      <c r="CT667" s="265"/>
      <c r="CU667" s="265"/>
    </row>
    <row r="668" spans="10:99" ht="15" customHeight="1">
      <c r="J668" s="265"/>
      <c r="K668" s="1024"/>
      <c r="L668" s="1025"/>
      <c r="M668" s="1026"/>
      <c r="N668" s="1026"/>
      <c r="O668" s="265"/>
      <c r="P668" s="265"/>
      <c r="T668" s="265"/>
      <c r="U668" s="265"/>
      <c r="V668" s="265"/>
      <c r="X668" s="1026"/>
      <c r="Y668" s="265"/>
      <c r="Z668" s="265"/>
      <c r="AA668" s="265"/>
      <c r="AE668" s="265"/>
      <c r="AF668" s="265"/>
      <c r="AV668" s="265"/>
      <c r="AW668" s="265"/>
      <c r="AX668" s="265"/>
      <c r="AY668" s="265"/>
      <c r="BE668" s="265"/>
      <c r="BF668" s="1028"/>
      <c r="BJ668" s="265"/>
      <c r="BK668" s="1458"/>
      <c r="BL668" s="1028"/>
      <c r="BP668" s="265"/>
      <c r="BQ668" s="1458"/>
      <c r="BW668" s="11"/>
      <c r="CA668" s="11"/>
      <c r="CK668" s="265"/>
      <c r="CL668" s="265"/>
      <c r="CM668" s="265"/>
      <c r="CO668" s="11"/>
      <c r="CR668" s="1026"/>
      <c r="CS668" s="265"/>
      <c r="CT668" s="265"/>
      <c r="CU668" s="265"/>
    </row>
    <row r="669" spans="10:99" ht="15" customHeight="1">
      <c r="J669" s="265"/>
      <c r="K669" s="1024"/>
      <c r="L669" s="1025"/>
      <c r="M669" s="1026"/>
      <c r="N669" s="1026"/>
      <c r="O669" s="265"/>
      <c r="P669" s="265"/>
      <c r="T669" s="265"/>
      <c r="U669" s="265"/>
      <c r="V669" s="265"/>
      <c r="X669" s="1026"/>
      <c r="Y669" s="265"/>
      <c r="Z669" s="265"/>
      <c r="AA669" s="265"/>
      <c r="AE669" s="265"/>
      <c r="AF669" s="265"/>
      <c r="AV669" s="265"/>
      <c r="AW669" s="265"/>
      <c r="AX669" s="265"/>
      <c r="AY669" s="265"/>
      <c r="BE669" s="265"/>
      <c r="BF669" s="1028"/>
      <c r="BJ669" s="265"/>
      <c r="BK669" s="1458"/>
      <c r="BL669" s="1028"/>
      <c r="BP669" s="265"/>
      <c r="BQ669" s="1458"/>
      <c r="BW669" s="11"/>
      <c r="CA669" s="11"/>
      <c r="CK669" s="265"/>
      <c r="CL669" s="265"/>
      <c r="CM669" s="265"/>
      <c r="CO669" s="11"/>
      <c r="CR669" s="1026"/>
      <c r="CS669" s="265"/>
      <c r="CT669" s="265"/>
      <c r="CU669" s="265"/>
    </row>
    <row r="670" spans="10:99" ht="15" customHeight="1">
      <c r="J670" s="265"/>
      <c r="K670" s="1024"/>
      <c r="L670" s="1025"/>
      <c r="M670" s="1026"/>
      <c r="N670" s="1026"/>
      <c r="O670" s="265"/>
      <c r="P670" s="265"/>
      <c r="T670" s="265"/>
      <c r="U670" s="265"/>
      <c r="V670" s="265"/>
      <c r="X670" s="1026"/>
      <c r="Y670" s="265"/>
      <c r="Z670" s="265"/>
      <c r="AA670" s="265"/>
      <c r="AE670" s="265"/>
      <c r="AF670" s="265"/>
      <c r="AV670" s="265"/>
      <c r="AW670" s="265"/>
      <c r="AX670" s="265"/>
      <c r="AY670" s="265"/>
      <c r="BE670" s="265"/>
      <c r="BF670" s="1028"/>
      <c r="BJ670" s="265"/>
      <c r="BK670" s="1458"/>
      <c r="BL670" s="1028"/>
      <c r="BP670" s="265"/>
      <c r="BQ670" s="1458"/>
      <c r="BW670" s="11"/>
      <c r="CA670" s="11"/>
      <c r="CK670" s="265"/>
      <c r="CL670" s="265"/>
      <c r="CM670" s="265"/>
      <c r="CO670" s="11"/>
      <c r="CR670" s="1026"/>
      <c r="CS670" s="265"/>
      <c r="CT670" s="265"/>
      <c r="CU670" s="265"/>
    </row>
    <row r="671" spans="10:99" ht="15" customHeight="1">
      <c r="J671" s="265"/>
      <c r="K671" s="1024"/>
      <c r="L671" s="1025"/>
      <c r="M671" s="1026"/>
      <c r="N671" s="1026"/>
      <c r="O671" s="265"/>
      <c r="P671" s="265"/>
      <c r="T671" s="265"/>
      <c r="U671" s="265"/>
      <c r="V671" s="265"/>
      <c r="X671" s="1026"/>
      <c r="Y671" s="265"/>
      <c r="Z671" s="265"/>
      <c r="AA671" s="265"/>
      <c r="AE671" s="265"/>
      <c r="AF671" s="265"/>
      <c r="AV671" s="265"/>
      <c r="AW671" s="265"/>
      <c r="AX671" s="265"/>
      <c r="AY671" s="265"/>
      <c r="BE671" s="265"/>
      <c r="BF671" s="1028"/>
      <c r="BJ671" s="265"/>
      <c r="BK671" s="1458"/>
      <c r="BL671" s="1028"/>
      <c r="BP671" s="265"/>
      <c r="BQ671" s="1458"/>
      <c r="BW671" s="11"/>
      <c r="CA671" s="11"/>
      <c r="CK671" s="265"/>
      <c r="CL671" s="265"/>
      <c r="CM671" s="265"/>
      <c r="CO671" s="11"/>
      <c r="CR671" s="1026"/>
      <c r="CS671" s="265"/>
      <c r="CT671" s="265"/>
      <c r="CU671" s="265"/>
    </row>
    <row r="672" spans="10:99" ht="15" customHeight="1">
      <c r="J672" s="265"/>
      <c r="K672" s="1024"/>
      <c r="L672" s="1025"/>
      <c r="M672" s="1026"/>
      <c r="N672" s="1026"/>
      <c r="O672" s="265"/>
      <c r="P672" s="265"/>
      <c r="T672" s="265"/>
      <c r="U672" s="265"/>
      <c r="V672" s="265"/>
      <c r="X672" s="1026"/>
      <c r="Y672" s="265"/>
      <c r="Z672" s="265"/>
      <c r="AA672" s="265"/>
      <c r="AE672" s="265"/>
      <c r="AF672" s="265"/>
      <c r="AV672" s="265"/>
      <c r="AW672" s="265"/>
      <c r="AX672" s="265"/>
      <c r="AY672" s="265"/>
      <c r="BE672" s="265"/>
      <c r="BF672" s="1028"/>
      <c r="BJ672" s="265"/>
      <c r="BK672" s="1458"/>
      <c r="BL672" s="1028"/>
      <c r="BP672" s="265"/>
      <c r="BQ672" s="1458"/>
      <c r="BW672" s="11"/>
      <c r="CA672" s="11"/>
      <c r="CK672" s="265"/>
      <c r="CL672" s="265"/>
      <c r="CM672" s="265"/>
      <c r="CO672" s="11"/>
      <c r="CR672" s="1026"/>
      <c r="CS672" s="265"/>
      <c r="CT672" s="265"/>
      <c r="CU672" s="265"/>
    </row>
    <row r="673" spans="10:99" ht="15" customHeight="1">
      <c r="J673" s="265"/>
      <c r="K673" s="1024"/>
      <c r="L673" s="1025"/>
      <c r="M673" s="1026"/>
      <c r="N673" s="1026"/>
      <c r="O673" s="265"/>
      <c r="P673" s="265"/>
      <c r="T673" s="265"/>
      <c r="U673" s="265"/>
      <c r="V673" s="265"/>
      <c r="X673" s="1026"/>
      <c r="Y673" s="265"/>
      <c r="Z673" s="265"/>
      <c r="AA673" s="265"/>
      <c r="AE673" s="265"/>
      <c r="AF673" s="265"/>
      <c r="AV673" s="265"/>
      <c r="AW673" s="265"/>
      <c r="AX673" s="265"/>
      <c r="AY673" s="265"/>
      <c r="BE673" s="265"/>
      <c r="BF673" s="1028"/>
      <c r="BJ673" s="265"/>
      <c r="BK673" s="1458"/>
      <c r="BL673" s="1028"/>
      <c r="BP673" s="265"/>
      <c r="BQ673" s="1458"/>
      <c r="BW673" s="11"/>
      <c r="CA673" s="11"/>
      <c r="CK673" s="265"/>
      <c r="CL673" s="265"/>
      <c r="CM673" s="265"/>
      <c r="CO673" s="11"/>
      <c r="CR673" s="1026"/>
      <c r="CS673" s="265"/>
      <c r="CT673" s="265"/>
      <c r="CU673" s="265"/>
    </row>
    <row r="674" spans="10:99" ht="15" customHeight="1">
      <c r="J674" s="265"/>
      <c r="K674" s="1024"/>
      <c r="L674" s="1025"/>
      <c r="M674" s="1026"/>
      <c r="N674" s="1026"/>
      <c r="O674" s="265"/>
      <c r="P674" s="265"/>
      <c r="T674" s="265"/>
      <c r="U674" s="265"/>
      <c r="V674" s="265"/>
      <c r="X674" s="1026"/>
      <c r="Y674" s="265"/>
      <c r="Z674" s="265"/>
      <c r="AA674" s="265"/>
      <c r="AE674" s="265"/>
      <c r="AF674" s="265"/>
      <c r="AV674" s="265"/>
      <c r="AW674" s="265"/>
      <c r="AX674" s="265"/>
      <c r="AY674" s="265"/>
      <c r="BE674" s="265"/>
      <c r="BF674" s="1028"/>
      <c r="BJ674" s="265"/>
      <c r="BK674" s="1458"/>
      <c r="BL674" s="1028"/>
      <c r="BP674" s="265"/>
      <c r="BQ674" s="1458"/>
      <c r="BW674" s="11"/>
      <c r="CA674" s="11"/>
      <c r="CK674" s="265"/>
      <c r="CL674" s="265"/>
      <c r="CM674" s="265"/>
      <c r="CO674" s="11"/>
      <c r="CR674" s="1026"/>
      <c r="CS674" s="265"/>
      <c r="CT674" s="265"/>
      <c r="CU674" s="265"/>
    </row>
    <row r="675" spans="10:99" ht="15" customHeight="1">
      <c r="J675" s="265"/>
      <c r="K675" s="1024"/>
      <c r="L675" s="1025"/>
      <c r="M675" s="1026"/>
      <c r="N675" s="1026"/>
      <c r="O675" s="265"/>
      <c r="P675" s="265"/>
      <c r="T675" s="265"/>
      <c r="U675" s="265"/>
      <c r="V675" s="265"/>
      <c r="X675" s="1026"/>
      <c r="Y675" s="265"/>
      <c r="Z675" s="265"/>
      <c r="AA675" s="265"/>
      <c r="AE675" s="265"/>
      <c r="AF675" s="265"/>
      <c r="AV675" s="265"/>
      <c r="AW675" s="265"/>
      <c r="AX675" s="265"/>
      <c r="AY675" s="265"/>
      <c r="BE675" s="265"/>
      <c r="BF675" s="1028"/>
      <c r="BJ675" s="265"/>
      <c r="BK675" s="1458"/>
      <c r="BL675" s="1028"/>
      <c r="BP675" s="265"/>
      <c r="BQ675" s="1458"/>
      <c r="BW675" s="11"/>
      <c r="CA675" s="11"/>
      <c r="CK675" s="265"/>
      <c r="CL675" s="265"/>
      <c r="CM675" s="265"/>
      <c r="CO675" s="11"/>
      <c r="CR675" s="1026"/>
      <c r="CS675" s="265"/>
      <c r="CT675" s="265"/>
      <c r="CU675" s="265"/>
    </row>
    <row r="676" spans="10:99" ht="15" customHeight="1">
      <c r="J676" s="265"/>
      <c r="K676" s="1024"/>
      <c r="L676" s="1025"/>
      <c r="M676" s="1026"/>
      <c r="N676" s="1026"/>
      <c r="O676" s="265"/>
      <c r="P676" s="265"/>
      <c r="T676" s="265"/>
      <c r="U676" s="265"/>
      <c r="V676" s="265"/>
      <c r="X676" s="1026"/>
      <c r="Y676" s="265"/>
      <c r="Z676" s="265"/>
      <c r="AA676" s="265"/>
      <c r="AE676" s="265"/>
      <c r="AF676" s="265"/>
      <c r="AV676" s="265"/>
      <c r="AW676" s="265"/>
      <c r="AX676" s="265"/>
      <c r="AY676" s="265"/>
      <c r="BE676" s="265"/>
      <c r="BF676" s="1028"/>
      <c r="BJ676" s="265"/>
      <c r="BK676" s="1458"/>
      <c r="BL676" s="1028"/>
      <c r="BP676" s="265"/>
      <c r="BQ676" s="1458"/>
      <c r="BW676" s="11"/>
      <c r="CA676" s="11"/>
      <c r="CK676" s="265"/>
      <c r="CL676" s="265"/>
      <c r="CM676" s="265"/>
      <c r="CO676" s="11"/>
      <c r="CR676" s="1026"/>
      <c r="CS676" s="265"/>
      <c r="CT676" s="265"/>
      <c r="CU676" s="265"/>
    </row>
    <row r="677" spans="10:99" ht="15" customHeight="1">
      <c r="J677" s="265"/>
      <c r="K677" s="1024"/>
      <c r="L677" s="1025"/>
      <c r="M677" s="1026"/>
      <c r="N677" s="1026"/>
      <c r="O677" s="265"/>
      <c r="P677" s="265"/>
      <c r="T677" s="265"/>
      <c r="U677" s="265"/>
      <c r="V677" s="265"/>
      <c r="X677" s="1026"/>
      <c r="Y677" s="265"/>
      <c r="Z677" s="265"/>
      <c r="AA677" s="265"/>
      <c r="AE677" s="265"/>
      <c r="AF677" s="265"/>
      <c r="AV677" s="265"/>
      <c r="AW677" s="265"/>
      <c r="AX677" s="265"/>
      <c r="AY677" s="265"/>
      <c r="BE677" s="265"/>
      <c r="BF677" s="1028"/>
      <c r="BJ677" s="265"/>
      <c r="BK677" s="1458"/>
      <c r="BL677" s="1028"/>
      <c r="BP677" s="265"/>
      <c r="BQ677" s="1458"/>
      <c r="BW677" s="11"/>
      <c r="CA677" s="11"/>
      <c r="CK677" s="265"/>
      <c r="CL677" s="265"/>
      <c r="CM677" s="265"/>
      <c r="CO677" s="11"/>
      <c r="CR677" s="1026"/>
      <c r="CS677" s="265"/>
      <c r="CT677" s="265"/>
      <c r="CU677" s="265"/>
    </row>
    <row r="678" spans="10:99" ht="15" customHeight="1">
      <c r="J678" s="265"/>
      <c r="K678" s="1024"/>
      <c r="L678" s="1025"/>
      <c r="M678" s="1026"/>
      <c r="N678" s="1026"/>
      <c r="O678" s="265"/>
      <c r="P678" s="265"/>
      <c r="T678" s="265"/>
      <c r="U678" s="265"/>
      <c r="V678" s="265"/>
      <c r="X678" s="1026"/>
      <c r="Y678" s="265"/>
      <c r="Z678" s="265"/>
      <c r="AA678" s="265"/>
      <c r="AE678" s="265"/>
      <c r="AF678" s="265"/>
      <c r="AV678" s="265"/>
      <c r="AW678" s="265"/>
      <c r="AX678" s="265"/>
      <c r="AY678" s="265"/>
      <c r="BE678" s="265"/>
      <c r="BF678" s="1028"/>
      <c r="BJ678" s="265"/>
      <c r="BK678" s="1458"/>
      <c r="BL678" s="1028"/>
      <c r="BP678" s="265"/>
      <c r="BQ678" s="1458"/>
      <c r="BW678" s="11"/>
      <c r="CA678" s="11"/>
      <c r="CK678" s="265"/>
      <c r="CL678" s="265"/>
      <c r="CM678" s="265"/>
      <c r="CO678" s="11"/>
      <c r="CR678" s="1026"/>
      <c r="CS678" s="265"/>
      <c r="CT678" s="265"/>
      <c r="CU678" s="265"/>
    </row>
    <row r="679" spans="10:99" ht="15" customHeight="1">
      <c r="J679" s="265"/>
      <c r="K679" s="1024"/>
      <c r="L679" s="1025"/>
      <c r="M679" s="1026"/>
      <c r="N679" s="1026"/>
      <c r="O679" s="265"/>
      <c r="P679" s="265"/>
      <c r="T679" s="265"/>
      <c r="U679" s="265"/>
      <c r="V679" s="265"/>
      <c r="X679" s="1026"/>
      <c r="Y679" s="265"/>
      <c r="Z679" s="265"/>
      <c r="AA679" s="265"/>
      <c r="AE679" s="265"/>
      <c r="AF679" s="265"/>
      <c r="AV679" s="265"/>
      <c r="AW679" s="265"/>
      <c r="AX679" s="265"/>
      <c r="AY679" s="265"/>
      <c r="BE679" s="265"/>
      <c r="BF679" s="1028"/>
      <c r="BJ679" s="265"/>
      <c r="BK679" s="1458"/>
      <c r="BL679" s="1028"/>
      <c r="BP679" s="265"/>
      <c r="BQ679" s="1458"/>
      <c r="BW679" s="11"/>
      <c r="CA679" s="11"/>
      <c r="CK679" s="265"/>
      <c r="CL679" s="265"/>
      <c r="CM679" s="265"/>
      <c r="CO679" s="11"/>
      <c r="CR679" s="1026"/>
      <c r="CS679" s="265"/>
      <c r="CT679" s="265"/>
      <c r="CU679" s="265"/>
    </row>
    <row r="680" spans="10:99" ht="15" customHeight="1">
      <c r="J680" s="265"/>
      <c r="K680" s="1024"/>
      <c r="L680" s="1025"/>
      <c r="M680" s="1026"/>
      <c r="N680" s="1026"/>
      <c r="O680" s="265"/>
      <c r="P680" s="265"/>
      <c r="T680" s="265"/>
      <c r="U680" s="265"/>
      <c r="V680" s="265"/>
      <c r="X680" s="1026"/>
      <c r="Y680" s="265"/>
      <c r="Z680" s="265"/>
      <c r="AA680" s="265"/>
      <c r="AE680" s="265"/>
      <c r="AF680" s="265"/>
      <c r="AV680" s="265"/>
      <c r="AW680" s="265"/>
      <c r="AX680" s="265"/>
      <c r="AY680" s="265"/>
      <c r="BE680" s="265"/>
      <c r="BF680" s="1028"/>
      <c r="BJ680" s="265"/>
      <c r="BK680" s="1458"/>
      <c r="BL680" s="1028"/>
      <c r="BP680" s="265"/>
      <c r="BQ680" s="1458"/>
      <c r="BW680" s="11"/>
      <c r="CA680" s="11"/>
      <c r="CK680" s="265"/>
      <c r="CL680" s="265"/>
      <c r="CM680" s="265"/>
      <c r="CO680" s="11"/>
      <c r="CR680" s="1026"/>
      <c r="CS680" s="265"/>
      <c r="CT680" s="265"/>
      <c r="CU680" s="265"/>
    </row>
    <row r="681" spans="10:99" ht="15" customHeight="1">
      <c r="J681" s="265"/>
      <c r="K681" s="1024"/>
      <c r="L681" s="1025"/>
      <c r="M681" s="1026"/>
      <c r="N681" s="1026"/>
      <c r="O681" s="265"/>
      <c r="P681" s="265"/>
      <c r="T681" s="265"/>
      <c r="U681" s="265"/>
      <c r="V681" s="265"/>
      <c r="X681" s="1026"/>
      <c r="Y681" s="265"/>
      <c r="Z681" s="265"/>
      <c r="AA681" s="265"/>
      <c r="AE681" s="265"/>
      <c r="AF681" s="265"/>
      <c r="AV681" s="265"/>
      <c r="AW681" s="265"/>
      <c r="AX681" s="265"/>
      <c r="AY681" s="265"/>
      <c r="BE681" s="265"/>
      <c r="BF681" s="1028"/>
      <c r="BJ681" s="265"/>
      <c r="BK681" s="1458"/>
      <c r="BL681" s="1028"/>
      <c r="BP681" s="265"/>
      <c r="BQ681" s="1458"/>
      <c r="BW681" s="11"/>
      <c r="CA681" s="11"/>
      <c r="CK681" s="265"/>
      <c r="CL681" s="265"/>
      <c r="CM681" s="265"/>
      <c r="CO681" s="11"/>
      <c r="CR681" s="1026"/>
      <c r="CS681" s="265"/>
      <c r="CT681" s="265"/>
      <c r="CU681" s="265"/>
    </row>
    <row r="682" spans="10:99" ht="15" customHeight="1">
      <c r="J682" s="265"/>
      <c r="K682" s="1024"/>
      <c r="L682" s="1025"/>
      <c r="M682" s="1026"/>
      <c r="N682" s="1026"/>
      <c r="O682" s="265"/>
      <c r="P682" s="265"/>
      <c r="T682" s="265"/>
      <c r="U682" s="265"/>
      <c r="V682" s="265"/>
      <c r="X682" s="1026"/>
      <c r="Y682" s="265"/>
      <c r="Z682" s="265"/>
      <c r="AA682" s="265"/>
      <c r="AE682" s="265"/>
      <c r="AF682" s="265"/>
      <c r="AV682" s="265"/>
      <c r="AW682" s="265"/>
      <c r="AX682" s="265"/>
      <c r="AY682" s="265"/>
      <c r="BE682" s="265"/>
      <c r="BF682" s="1028"/>
      <c r="BJ682" s="265"/>
      <c r="BK682" s="1458"/>
      <c r="BL682" s="1028"/>
      <c r="BP682" s="265"/>
      <c r="BQ682" s="1458"/>
      <c r="BW682" s="11"/>
      <c r="CA682" s="11"/>
      <c r="CK682" s="265"/>
      <c r="CL682" s="265"/>
      <c r="CM682" s="265"/>
      <c r="CO682" s="11"/>
      <c r="CR682" s="1026"/>
      <c r="CS682" s="265"/>
      <c r="CT682" s="265"/>
      <c r="CU682" s="265"/>
    </row>
    <row r="683" spans="10:99" ht="15" customHeight="1">
      <c r="J683" s="265"/>
      <c r="K683" s="1024"/>
      <c r="L683" s="1025"/>
      <c r="M683" s="1026"/>
      <c r="N683" s="1026"/>
      <c r="O683" s="265"/>
      <c r="P683" s="265"/>
      <c r="T683" s="265"/>
      <c r="U683" s="265"/>
      <c r="V683" s="265"/>
      <c r="X683" s="1026"/>
      <c r="Y683" s="265"/>
      <c r="Z683" s="265"/>
      <c r="AA683" s="265"/>
      <c r="AE683" s="265"/>
      <c r="AF683" s="265"/>
      <c r="AV683" s="265"/>
      <c r="AW683" s="265"/>
      <c r="AX683" s="265"/>
      <c r="AY683" s="265"/>
      <c r="BE683" s="265"/>
      <c r="BF683" s="1028"/>
      <c r="BJ683" s="265"/>
      <c r="BK683" s="1458"/>
      <c r="BL683" s="1028"/>
      <c r="BP683" s="265"/>
      <c r="BQ683" s="1458"/>
      <c r="BW683" s="11"/>
      <c r="CA683" s="11"/>
      <c r="CK683" s="265"/>
      <c r="CL683" s="265"/>
      <c r="CM683" s="265"/>
      <c r="CO683" s="11"/>
      <c r="CR683" s="1026"/>
      <c r="CS683" s="265"/>
      <c r="CT683" s="265"/>
      <c r="CU683" s="265"/>
    </row>
    <row r="684" spans="10:99" ht="15" customHeight="1">
      <c r="J684" s="265"/>
      <c r="K684" s="1024"/>
      <c r="L684" s="1025"/>
      <c r="M684" s="1026"/>
      <c r="N684" s="1026"/>
      <c r="O684" s="265"/>
      <c r="P684" s="265"/>
      <c r="T684" s="265"/>
      <c r="U684" s="265"/>
      <c r="V684" s="265"/>
      <c r="X684" s="1026"/>
      <c r="Y684" s="265"/>
      <c r="Z684" s="265"/>
      <c r="AA684" s="265"/>
      <c r="AE684" s="265"/>
      <c r="AF684" s="265"/>
      <c r="AV684" s="265"/>
      <c r="AW684" s="265"/>
      <c r="AX684" s="265"/>
      <c r="AY684" s="265"/>
      <c r="BE684" s="265"/>
      <c r="BF684" s="1028"/>
      <c r="BJ684" s="265"/>
      <c r="BK684" s="1458"/>
      <c r="BL684" s="1028"/>
      <c r="BP684" s="265"/>
      <c r="BQ684" s="1458"/>
      <c r="BW684" s="11"/>
      <c r="CA684" s="11"/>
      <c r="CK684" s="265"/>
      <c r="CL684" s="265"/>
      <c r="CM684" s="265"/>
      <c r="CO684" s="11"/>
      <c r="CR684" s="1026"/>
      <c r="CS684" s="265"/>
      <c r="CT684" s="265"/>
      <c r="CU684" s="265"/>
    </row>
    <row r="685" spans="10:99" ht="15" customHeight="1">
      <c r="J685" s="265"/>
      <c r="K685" s="1024"/>
      <c r="L685" s="1025"/>
      <c r="M685" s="1026"/>
      <c r="N685" s="1026"/>
      <c r="O685" s="265"/>
      <c r="P685" s="265"/>
      <c r="T685" s="265"/>
      <c r="U685" s="265"/>
      <c r="V685" s="265"/>
      <c r="X685" s="1026"/>
      <c r="Y685" s="265"/>
      <c r="Z685" s="265"/>
      <c r="AA685" s="265"/>
      <c r="AE685" s="265"/>
      <c r="AF685" s="265"/>
      <c r="AV685" s="265"/>
      <c r="AW685" s="265"/>
      <c r="AX685" s="265"/>
      <c r="AY685" s="265"/>
      <c r="BE685" s="265"/>
      <c r="BF685" s="1028"/>
      <c r="BJ685" s="265"/>
      <c r="BK685" s="1458"/>
      <c r="BL685" s="1028"/>
      <c r="BP685" s="265"/>
      <c r="BQ685" s="1458"/>
      <c r="BW685" s="11"/>
      <c r="CA685" s="11"/>
      <c r="CK685" s="265"/>
      <c r="CL685" s="265"/>
      <c r="CM685" s="265"/>
      <c r="CO685" s="11"/>
      <c r="CR685" s="1026"/>
      <c r="CS685" s="265"/>
      <c r="CT685" s="265"/>
      <c r="CU685" s="265"/>
    </row>
    <row r="686" spans="10:99" ht="15" customHeight="1">
      <c r="J686" s="265"/>
      <c r="K686" s="1024"/>
      <c r="L686" s="1025"/>
      <c r="M686" s="1026"/>
      <c r="N686" s="1026"/>
      <c r="O686" s="265"/>
      <c r="P686" s="265"/>
      <c r="T686" s="265"/>
      <c r="U686" s="265"/>
      <c r="V686" s="265"/>
      <c r="X686" s="1026"/>
      <c r="Y686" s="265"/>
      <c r="Z686" s="265"/>
      <c r="AA686" s="265"/>
      <c r="AE686" s="265"/>
      <c r="AF686" s="265"/>
      <c r="AV686" s="265"/>
      <c r="AW686" s="265"/>
      <c r="AX686" s="265"/>
      <c r="AY686" s="265"/>
      <c r="BE686" s="265"/>
      <c r="BF686" s="1028"/>
      <c r="BJ686" s="265"/>
      <c r="BK686" s="1458"/>
      <c r="BL686" s="1028"/>
      <c r="BP686" s="265"/>
      <c r="BQ686" s="1458"/>
      <c r="BW686" s="11"/>
      <c r="CA686" s="11"/>
      <c r="CK686" s="265"/>
      <c r="CL686" s="265"/>
      <c r="CM686" s="265"/>
      <c r="CO686" s="11"/>
      <c r="CR686" s="1026"/>
      <c r="CS686" s="265"/>
      <c r="CT686" s="265"/>
      <c r="CU686" s="265"/>
    </row>
    <row r="687" spans="10:99" ht="15" customHeight="1">
      <c r="J687" s="265"/>
      <c r="K687" s="1024"/>
      <c r="L687" s="1025"/>
      <c r="M687" s="1026"/>
      <c r="N687" s="1026"/>
      <c r="O687" s="265"/>
      <c r="P687" s="265"/>
      <c r="T687" s="265"/>
      <c r="U687" s="265"/>
      <c r="V687" s="265"/>
      <c r="X687" s="1026"/>
      <c r="Y687" s="265"/>
      <c r="Z687" s="265"/>
      <c r="AA687" s="265"/>
      <c r="AE687" s="265"/>
      <c r="AF687" s="265"/>
      <c r="AV687" s="265"/>
      <c r="AW687" s="265"/>
      <c r="AX687" s="265"/>
      <c r="AY687" s="265"/>
      <c r="BE687" s="265"/>
      <c r="BF687" s="1028"/>
      <c r="BJ687" s="265"/>
      <c r="BK687" s="1458"/>
      <c r="BL687" s="1028"/>
      <c r="BP687" s="265"/>
      <c r="BQ687" s="1458"/>
      <c r="BW687" s="11"/>
      <c r="CA687" s="11"/>
      <c r="CK687" s="265"/>
      <c r="CL687" s="265"/>
      <c r="CM687" s="265"/>
      <c r="CO687" s="11"/>
      <c r="CR687" s="1026"/>
      <c r="CS687" s="265"/>
      <c r="CT687" s="265"/>
      <c r="CU687" s="265"/>
    </row>
    <row r="688" spans="10:99" ht="15" customHeight="1">
      <c r="J688" s="265"/>
      <c r="K688" s="1024"/>
      <c r="L688" s="1025"/>
      <c r="M688" s="1026"/>
      <c r="N688" s="1026"/>
      <c r="O688" s="265"/>
      <c r="P688" s="265"/>
      <c r="T688" s="265"/>
      <c r="U688" s="265"/>
      <c r="V688" s="265"/>
      <c r="X688" s="1026"/>
      <c r="Y688" s="265"/>
      <c r="Z688" s="265"/>
      <c r="AA688" s="265"/>
      <c r="AE688" s="265"/>
      <c r="AF688" s="265"/>
      <c r="AV688" s="265"/>
      <c r="AW688" s="265"/>
      <c r="AX688" s="265"/>
      <c r="AY688" s="265"/>
      <c r="BE688" s="265"/>
      <c r="BF688" s="1028"/>
      <c r="BJ688" s="265"/>
      <c r="BK688" s="1458"/>
      <c r="BL688" s="1028"/>
      <c r="BP688" s="265"/>
      <c r="BQ688" s="1458"/>
      <c r="BW688" s="11"/>
      <c r="CA688" s="11"/>
      <c r="CK688" s="265"/>
      <c r="CL688" s="265"/>
      <c r="CM688" s="265"/>
      <c r="CO688" s="11"/>
      <c r="CR688" s="1026"/>
      <c r="CS688" s="265"/>
      <c r="CT688" s="265"/>
      <c r="CU688" s="265"/>
    </row>
    <row r="689" spans="10:99" ht="15" customHeight="1">
      <c r="J689" s="265"/>
      <c r="K689" s="1024"/>
      <c r="L689" s="1025"/>
      <c r="M689" s="1026"/>
      <c r="N689" s="1026"/>
      <c r="O689" s="265"/>
      <c r="P689" s="265"/>
      <c r="T689" s="265"/>
      <c r="U689" s="265"/>
      <c r="V689" s="265"/>
      <c r="X689" s="1026"/>
      <c r="Y689" s="265"/>
      <c r="Z689" s="265"/>
      <c r="AA689" s="265"/>
      <c r="AE689" s="265"/>
      <c r="AF689" s="265"/>
      <c r="AV689" s="265"/>
      <c r="AW689" s="265"/>
      <c r="AX689" s="265"/>
      <c r="AY689" s="265"/>
      <c r="BE689" s="265"/>
      <c r="BF689" s="1028"/>
      <c r="BJ689" s="265"/>
      <c r="BK689" s="1458"/>
      <c r="BL689" s="1028"/>
      <c r="BP689" s="265"/>
      <c r="BQ689" s="1458"/>
      <c r="BW689" s="11"/>
      <c r="CA689" s="11"/>
      <c r="CK689" s="265"/>
      <c r="CL689" s="265"/>
      <c r="CM689" s="265"/>
      <c r="CO689" s="11"/>
      <c r="CR689" s="1026"/>
      <c r="CS689" s="265"/>
      <c r="CT689" s="265"/>
      <c r="CU689" s="265"/>
    </row>
    <row r="690" spans="10:99" ht="15" customHeight="1">
      <c r="J690" s="265"/>
      <c r="K690" s="1024"/>
      <c r="L690" s="1025"/>
      <c r="M690" s="1026"/>
      <c r="N690" s="1026"/>
      <c r="O690" s="265"/>
      <c r="P690" s="265"/>
      <c r="T690" s="265"/>
      <c r="U690" s="265"/>
      <c r="V690" s="265"/>
      <c r="X690" s="1026"/>
      <c r="Y690" s="265"/>
      <c r="Z690" s="265"/>
      <c r="AA690" s="265"/>
      <c r="AE690" s="265"/>
      <c r="AF690" s="265"/>
      <c r="AV690" s="265"/>
      <c r="AW690" s="265"/>
      <c r="AX690" s="265"/>
      <c r="AY690" s="265"/>
      <c r="BE690" s="265"/>
      <c r="BF690" s="1028"/>
      <c r="BJ690" s="265"/>
      <c r="BK690" s="1458"/>
      <c r="BL690" s="1028"/>
      <c r="BP690" s="265"/>
      <c r="BQ690" s="1458"/>
      <c r="BW690" s="11"/>
      <c r="CA690" s="11"/>
      <c r="CK690" s="265"/>
      <c r="CL690" s="265"/>
      <c r="CM690" s="265"/>
      <c r="CO690" s="11"/>
      <c r="CR690" s="1026"/>
      <c r="CS690" s="265"/>
      <c r="CT690" s="265"/>
      <c r="CU690" s="265"/>
    </row>
    <row r="691" spans="10:99" ht="15" customHeight="1">
      <c r="J691" s="265"/>
      <c r="K691" s="1024"/>
      <c r="L691" s="1025"/>
      <c r="M691" s="1026"/>
      <c r="N691" s="1026"/>
      <c r="O691" s="265"/>
      <c r="P691" s="265"/>
      <c r="T691" s="265"/>
      <c r="U691" s="265"/>
      <c r="V691" s="265"/>
      <c r="X691" s="1026"/>
      <c r="Y691" s="265"/>
      <c r="Z691" s="265"/>
      <c r="AA691" s="265"/>
      <c r="AE691" s="265"/>
      <c r="AF691" s="265"/>
      <c r="AV691" s="265"/>
      <c r="AW691" s="265"/>
      <c r="AX691" s="265"/>
      <c r="AY691" s="265"/>
      <c r="BE691" s="265"/>
      <c r="BF691" s="1028"/>
      <c r="BJ691" s="265"/>
      <c r="BK691" s="1458"/>
      <c r="BL691" s="1028"/>
      <c r="BP691" s="265"/>
      <c r="BQ691" s="1458"/>
      <c r="BW691" s="11"/>
      <c r="CA691" s="11"/>
      <c r="CK691" s="265"/>
      <c r="CL691" s="265"/>
      <c r="CM691" s="265"/>
      <c r="CO691" s="11"/>
      <c r="CR691" s="1026"/>
      <c r="CS691" s="265"/>
      <c r="CT691" s="265"/>
      <c r="CU691" s="265"/>
    </row>
    <row r="692" spans="10:99" ht="15" customHeight="1">
      <c r="J692" s="265"/>
      <c r="K692" s="1024"/>
      <c r="L692" s="1025"/>
      <c r="M692" s="1026"/>
      <c r="N692" s="1026"/>
      <c r="O692" s="265"/>
      <c r="P692" s="265"/>
      <c r="T692" s="265"/>
      <c r="U692" s="265"/>
      <c r="V692" s="265"/>
      <c r="X692" s="1026"/>
      <c r="Y692" s="265"/>
      <c r="Z692" s="265"/>
      <c r="AA692" s="265"/>
      <c r="AE692" s="265"/>
      <c r="AF692" s="265"/>
      <c r="AV692" s="265"/>
      <c r="AW692" s="265"/>
      <c r="AX692" s="265"/>
      <c r="AY692" s="265"/>
      <c r="BE692" s="265"/>
      <c r="BF692" s="1028"/>
      <c r="BJ692" s="265"/>
      <c r="BK692" s="1458"/>
      <c r="BL692" s="1028"/>
      <c r="BP692" s="265"/>
      <c r="BQ692" s="1458"/>
      <c r="BW692" s="11"/>
      <c r="CA692" s="11"/>
      <c r="CK692" s="265"/>
      <c r="CL692" s="265"/>
      <c r="CM692" s="265"/>
      <c r="CO692" s="11"/>
      <c r="CR692" s="1026"/>
      <c r="CS692" s="265"/>
      <c r="CT692" s="265"/>
      <c r="CU692" s="265"/>
    </row>
    <row r="693" spans="10:99" ht="15" customHeight="1">
      <c r="J693" s="265"/>
      <c r="K693" s="1024"/>
      <c r="L693" s="1025"/>
      <c r="M693" s="1026"/>
      <c r="N693" s="1026"/>
      <c r="O693" s="265"/>
      <c r="P693" s="265"/>
      <c r="T693" s="265"/>
      <c r="U693" s="265"/>
      <c r="V693" s="265"/>
      <c r="X693" s="1026"/>
      <c r="Y693" s="265"/>
      <c r="Z693" s="265"/>
      <c r="AA693" s="265"/>
      <c r="AE693" s="265"/>
      <c r="AF693" s="265"/>
      <c r="AV693" s="265"/>
      <c r="AW693" s="265"/>
      <c r="AX693" s="265"/>
      <c r="AY693" s="265"/>
      <c r="BE693" s="265"/>
      <c r="BF693" s="1028"/>
      <c r="BJ693" s="265"/>
      <c r="BK693" s="1458"/>
      <c r="BL693" s="1028"/>
      <c r="BP693" s="265"/>
      <c r="BQ693" s="1458"/>
      <c r="BW693" s="11"/>
      <c r="CA693" s="11"/>
      <c r="CK693" s="265"/>
      <c r="CL693" s="265"/>
      <c r="CM693" s="265"/>
      <c r="CO693" s="11"/>
      <c r="CR693" s="1026"/>
      <c r="CS693" s="265"/>
      <c r="CT693" s="265"/>
      <c r="CU693" s="265"/>
    </row>
    <row r="694" spans="10:99" ht="15" customHeight="1">
      <c r="J694" s="265"/>
      <c r="K694" s="1024"/>
      <c r="L694" s="1025"/>
      <c r="M694" s="1026"/>
      <c r="N694" s="1026"/>
      <c r="O694" s="265"/>
      <c r="P694" s="265"/>
      <c r="T694" s="265"/>
      <c r="U694" s="265"/>
      <c r="V694" s="265"/>
      <c r="X694" s="1026"/>
      <c r="Y694" s="265"/>
      <c r="Z694" s="265"/>
      <c r="AA694" s="265"/>
      <c r="AE694" s="265"/>
      <c r="AF694" s="265"/>
      <c r="AV694" s="265"/>
      <c r="AW694" s="265"/>
      <c r="AX694" s="265"/>
      <c r="AY694" s="265"/>
      <c r="BE694" s="265"/>
      <c r="BF694" s="1028"/>
      <c r="BJ694" s="265"/>
      <c r="BK694" s="1458"/>
      <c r="BL694" s="1028"/>
      <c r="BP694" s="265"/>
      <c r="BQ694" s="1458"/>
      <c r="BW694" s="11"/>
      <c r="CA694" s="11"/>
      <c r="CK694" s="265"/>
      <c r="CL694" s="265"/>
      <c r="CM694" s="265"/>
      <c r="CO694" s="11"/>
      <c r="CR694" s="1026"/>
      <c r="CS694" s="265"/>
      <c r="CT694" s="265"/>
      <c r="CU694" s="265"/>
    </row>
    <row r="695" spans="10:99" ht="15" customHeight="1">
      <c r="J695" s="265"/>
      <c r="K695" s="1024"/>
      <c r="L695" s="1025"/>
      <c r="M695" s="1026"/>
      <c r="N695" s="1026"/>
      <c r="O695" s="265"/>
      <c r="P695" s="265"/>
      <c r="T695" s="265"/>
      <c r="U695" s="265"/>
      <c r="V695" s="265"/>
      <c r="X695" s="1026"/>
      <c r="Y695" s="265"/>
      <c r="Z695" s="265"/>
      <c r="AA695" s="265"/>
      <c r="AE695" s="265"/>
      <c r="AF695" s="265"/>
      <c r="AV695" s="265"/>
      <c r="AW695" s="265"/>
      <c r="AX695" s="265"/>
      <c r="AY695" s="265"/>
      <c r="BE695" s="265"/>
      <c r="BF695" s="1028"/>
      <c r="BJ695" s="265"/>
      <c r="BK695" s="1458"/>
      <c r="BL695" s="1028"/>
      <c r="BP695" s="265"/>
      <c r="BQ695" s="1458"/>
      <c r="BW695" s="11"/>
      <c r="CA695" s="11"/>
      <c r="CK695" s="265"/>
      <c r="CL695" s="265"/>
      <c r="CM695" s="265"/>
      <c r="CO695" s="11"/>
      <c r="CR695" s="1026"/>
      <c r="CS695" s="265"/>
      <c r="CT695" s="265"/>
      <c r="CU695" s="265"/>
    </row>
    <row r="696" spans="10:99" ht="15" customHeight="1">
      <c r="J696" s="265"/>
      <c r="K696" s="1024"/>
      <c r="L696" s="1025"/>
      <c r="M696" s="1026"/>
      <c r="N696" s="1026"/>
      <c r="O696" s="265"/>
      <c r="P696" s="265"/>
      <c r="T696" s="265"/>
      <c r="U696" s="265"/>
      <c r="V696" s="265"/>
      <c r="X696" s="1026"/>
      <c r="Y696" s="265"/>
      <c r="Z696" s="265"/>
      <c r="AA696" s="265"/>
      <c r="AE696" s="265"/>
      <c r="AF696" s="265"/>
      <c r="AV696" s="265"/>
      <c r="AW696" s="265"/>
      <c r="AX696" s="265"/>
      <c r="AY696" s="265"/>
      <c r="BE696" s="265"/>
      <c r="BF696" s="1028"/>
      <c r="BJ696" s="265"/>
      <c r="BK696" s="1458"/>
      <c r="BL696" s="1028"/>
      <c r="BP696" s="265"/>
      <c r="BQ696" s="1458"/>
      <c r="BW696" s="11"/>
      <c r="CA696" s="11"/>
      <c r="CK696" s="265"/>
      <c r="CL696" s="265"/>
      <c r="CM696" s="265"/>
      <c r="CO696" s="11"/>
      <c r="CR696" s="1026"/>
      <c r="CS696" s="265"/>
      <c r="CT696" s="265"/>
      <c r="CU696" s="265"/>
    </row>
    <row r="697" spans="10:99" ht="15" customHeight="1">
      <c r="J697" s="265"/>
      <c r="K697" s="1024"/>
      <c r="L697" s="1025"/>
      <c r="M697" s="1026"/>
      <c r="N697" s="1026"/>
      <c r="O697" s="265"/>
      <c r="P697" s="265"/>
      <c r="T697" s="265"/>
      <c r="U697" s="265"/>
      <c r="V697" s="265"/>
      <c r="X697" s="1026"/>
      <c r="Y697" s="265"/>
      <c r="Z697" s="265"/>
      <c r="AA697" s="265"/>
      <c r="AE697" s="265"/>
      <c r="AF697" s="265"/>
      <c r="AV697" s="265"/>
      <c r="AW697" s="265"/>
      <c r="AX697" s="265"/>
      <c r="AY697" s="265"/>
      <c r="BE697" s="265"/>
      <c r="BF697" s="1028"/>
      <c r="BJ697" s="265"/>
      <c r="BK697" s="1458"/>
      <c r="BL697" s="1028"/>
      <c r="BP697" s="265"/>
      <c r="BQ697" s="1458"/>
      <c r="BW697" s="11"/>
      <c r="CA697" s="11"/>
      <c r="CK697" s="265"/>
      <c r="CL697" s="265"/>
      <c r="CM697" s="265"/>
      <c r="CO697" s="11"/>
      <c r="CR697" s="1026"/>
      <c r="CS697" s="265"/>
      <c r="CT697" s="265"/>
      <c r="CU697" s="265"/>
    </row>
    <row r="698" spans="10:99" ht="15" customHeight="1">
      <c r="J698" s="265"/>
      <c r="K698" s="1024"/>
      <c r="L698" s="1025"/>
      <c r="M698" s="1026"/>
      <c r="N698" s="1026"/>
      <c r="O698" s="265"/>
      <c r="P698" s="265"/>
      <c r="T698" s="265"/>
      <c r="U698" s="265"/>
      <c r="V698" s="265"/>
      <c r="X698" s="1026"/>
      <c r="Y698" s="265"/>
      <c r="Z698" s="265"/>
      <c r="AA698" s="265"/>
      <c r="AE698" s="265"/>
      <c r="AF698" s="265"/>
      <c r="AV698" s="265"/>
      <c r="AW698" s="265"/>
      <c r="AX698" s="265"/>
      <c r="AY698" s="265"/>
      <c r="BE698" s="265"/>
      <c r="BF698" s="1028"/>
      <c r="BJ698" s="265"/>
      <c r="BK698" s="1458"/>
      <c r="BL698" s="1028"/>
      <c r="BP698" s="265"/>
      <c r="BQ698" s="1458"/>
      <c r="BW698" s="11"/>
      <c r="CA698" s="11"/>
      <c r="CK698" s="265"/>
      <c r="CL698" s="265"/>
      <c r="CM698" s="265"/>
      <c r="CO698" s="11"/>
      <c r="CR698" s="1026"/>
      <c r="CS698" s="265"/>
      <c r="CT698" s="265"/>
      <c r="CU698" s="265"/>
    </row>
    <row r="699" spans="10:99" ht="15" customHeight="1">
      <c r="J699" s="265"/>
      <c r="K699" s="1024"/>
      <c r="L699" s="1025"/>
      <c r="M699" s="1026"/>
      <c r="N699" s="1026"/>
      <c r="O699" s="265"/>
      <c r="P699" s="265"/>
      <c r="T699" s="265"/>
      <c r="U699" s="265"/>
      <c r="V699" s="265"/>
      <c r="X699" s="1026"/>
      <c r="Y699" s="265"/>
      <c r="Z699" s="265"/>
      <c r="AA699" s="265"/>
      <c r="AE699" s="265"/>
      <c r="AF699" s="265"/>
      <c r="AV699" s="265"/>
      <c r="AW699" s="265"/>
      <c r="AX699" s="265"/>
      <c r="AY699" s="265"/>
      <c r="BE699" s="265"/>
      <c r="BF699" s="1028"/>
      <c r="BJ699" s="265"/>
      <c r="BK699" s="1458"/>
      <c r="BL699" s="1028"/>
      <c r="BP699" s="265"/>
      <c r="BQ699" s="1458"/>
      <c r="BW699" s="11"/>
      <c r="CA699" s="11"/>
      <c r="CK699" s="265"/>
      <c r="CL699" s="265"/>
      <c r="CM699" s="265"/>
      <c r="CO699" s="11"/>
      <c r="CR699" s="1026"/>
      <c r="CS699" s="265"/>
      <c r="CT699" s="265"/>
      <c r="CU699" s="265"/>
    </row>
    <row r="700" spans="10:99" ht="15" customHeight="1">
      <c r="J700" s="265"/>
      <c r="K700" s="1024"/>
      <c r="L700" s="1025"/>
      <c r="M700" s="1026"/>
      <c r="N700" s="1026"/>
      <c r="O700" s="265"/>
      <c r="P700" s="265"/>
      <c r="T700" s="265"/>
      <c r="U700" s="265"/>
      <c r="V700" s="265"/>
      <c r="X700" s="1026"/>
      <c r="Y700" s="265"/>
      <c r="Z700" s="265"/>
      <c r="AA700" s="265"/>
      <c r="AE700" s="265"/>
      <c r="AF700" s="265"/>
      <c r="AV700" s="265"/>
      <c r="AW700" s="265"/>
      <c r="AX700" s="265"/>
      <c r="AY700" s="265"/>
      <c r="BE700" s="265"/>
      <c r="BF700" s="1028"/>
      <c r="BJ700" s="265"/>
      <c r="BK700" s="1458"/>
      <c r="BL700" s="1028"/>
      <c r="BP700" s="265"/>
      <c r="BQ700" s="1458"/>
      <c r="BW700" s="11"/>
      <c r="CA700" s="11"/>
      <c r="CK700" s="265"/>
      <c r="CL700" s="265"/>
      <c r="CM700" s="265"/>
      <c r="CO700" s="11"/>
      <c r="CR700" s="1026"/>
      <c r="CS700" s="265"/>
      <c r="CT700" s="265"/>
      <c r="CU700" s="265"/>
    </row>
    <row r="701" spans="10:99" ht="15" customHeight="1">
      <c r="J701" s="265"/>
      <c r="K701" s="1024"/>
      <c r="L701" s="1025"/>
      <c r="M701" s="1026"/>
      <c r="N701" s="1026"/>
      <c r="O701" s="265"/>
      <c r="P701" s="265"/>
      <c r="T701" s="265"/>
      <c r="U701" s="265"/>
      <c r="V701" s="265"/>
      <c r="X701" s="1026"/>
      <c r="Y701" s="265"/>
      <c r="Z701" s="265"/>
      <c r="AA701" s="265"/>
      <c r="AE701" s="265"/>
      <c r="AF701" s="265"/>
      <c r="AV701" s="265"/>
      <c r="AW701" s="265"/>
      <c r="AX701" s="265"/>
      <c r="AY701" s="265"/>
      <c r="BE701" s="265"/>
      <c r="BF701" s="1028"/>
      <c r="BJ701" s="265"/>
      <c r="BK701" s="1458"/>
      <c r="BL701" s="1028"/>
      <c r="BP701" s="265"/>
      <c r="BQ701" s="1458"/>
      <c r="BW701" s="11"/>
      <c r="CA701" s="11"/>
      <c r="CK701" s="265"/>
      <c r="CL701" s="265"/>
      <c r="CM701" s="265"/>
      <c r="CO701" s="11"/>
      <c r="CR701" s="1026"/>
      <c r="CS701" s="265"/>
      <c r="CT701" s="265"/>
      <c r="CU701" s="265"/>
    </row>
    <row r="702" spans="10:99" ht="15" customHeight="1">
      <c r="J702" s="265"/>
      <c r="K702" s="1024"/>
      <c r="L702" s="1025"/>
      <c r="M702" s="1026"/>
      <c r="N702" s="1026"/>
      <c r="O702" s="265"/>
      <c r="P702" s="265"/>
      <c r="T702" s="265"/>
      <c r="U702" s="265"/>
      <c r="V702" s="265"/>
      <c r="X702" s="1026"/>
      <c r="Y702" s="265"/>
      <c r="Z702" s="265"/>
      <c r="AA702" s="265"/>
      <c r="AE702" s="265"/>
      <c r="AF702" s="265"/>
      <c r="AV702" s="265"/>
      <c r="AW702" s="265"/>
      <c r="AX702" s="265"/>
      <c r="AY702" s="265"/>
      <c r="BE702" s="265"/>
      <c r="BF702" s="1028"/>
      <c r="BJ702" s="265"/>
      <c r="BK702" s="1458"/>
      <c r="BL702" s="1028"/>
      <c r="BP702" s="265"/>
      <c r="BQ702" s="1458"/>
      <c r="BW702" s="11"/>
      <c r="CA702" s="11"/>
      <c r="CK702" s="265"/>
      <c r="CL702" s="265"/>
      <c r="CM702" s="265"/>
      <c r="CO702" s="11"/>
      <c r="CR702" s="1026"/>
      <c r="CS702" s="265"/>
      <c r="CT702" s="265"/>
      <c r="CU702" s="265"/>
    </row>
    <row r="703" spans="10:99" ht="15" customHeight="1">
      <c r="J703" s="265"/>
      <c r="K703" s="1024"/>
      <c r="L703" s="1025"/>
      <c r="M703" s="1026"/>
      <c r="N703" s="1026"/>
      <c r="O703" s="265"/>
      <c r="P703" s="265"/>
      <c r="T703" s="265"/>
      <c r="U703" s="265"/>
      <c r="V703" s="265"/>
      <c r="X703" s="1026"/>
      <c r="Y703" s="265"/>
      <c r="Z703" s="265"/>
      <c r="AA703" s="265"/>
      <c r="AE703" s="265"/>
      <c r="AF703" s="265"/>
      <c r="AV703" s="265"/>
      <c r="AW703" s="265"/>
      <c r="AX703" s="265"/>
      <c r="AY703" s="265"/>
      <c r="BE703" s="265"/>
      <c r="BF703" s="1028"/>
      <c r="BJ703" s="265"/>
      <c r="BK703" s="1458"/>
      <c r="BL703" s="1028"/>
      <c r="BP703" s="265"/>
      <c r="BQ703" s="1458"/>
      <c r="BW703" s="11"/>
      <c r="CA703" s="11"/>
      <c r="CK703" s="265"/>
      <c r="CL703" s="265"/>
      <c r="CM703" s="265"/>
      <c r="CO703" s="11"/>
      <c r="CR703" s="1026"/>
      <c r="CS703" s="265"/>
      <c r="CT703" s="265"/>
      <c r="CU703" s="265"/>
    </row>
    <row r="704" spans="10:99" ht="15" customHeight="1">
      <c r="J704" s="265"/>
      <c r="K704" s="1024"/>
      <c r="L704" s="1025"/>
      <c r="M704" s="1026"/>
      <c r="N704" s="1026"/>
      <c r="O704" s="265"/>
      <c r="P704" s="265"/>
      <c r="T704" s="265"/>
      <c r="U704" s="265"/>
      <c r="V704" s="265"/>
      <c r="X704" s="1026"/>
      <c r="Y704" s="265"/>
      <c r="Z704" s="265"/>
      <c r="AA704" s="265"/>
      <c r="AE704" s="265"/>
      <c r="AF704" s="265"/>
      <c r="AV704" s="265"/>
      <c r="AW704" s="265"/>
      <c r="AX704" s="265"/>
      <c r="AY704" s="265"/>
      <c r="BE704" s="265"/>
      <c r="BF704" s="1028"/>
      <c r="BJ704" s="265"/>
      <c r="BK704" s="1458"/>
      <c r="BL704" s="1028"/>
      <c r="BP704" s="265"/>
      <c r="BQ704" s="1458"/>
      <c r="BW704" s="11"/>
      <c r="CA704" s="11"/>
      <c r="CK704" s="265"/>
      <c r="CL704" s="265"/>
      <c r="CM704" s="265"/>
      <c r="CO704" s="11"/>
      <c r="CR704" s="1026"/>
      <c r="CS704" s="265"/>
      <c r="CT704" s="265"/>
      <c r="CU704" s="265"/>
    </row>
    <row r="705" spans="10:99" ht="15" customHeight="1">
      <c r="J705" s="265"/>
      <c r="K705" s="1024"/>
      <c r="L705" s="1025"/>
      <c r="M705" s="1026"/>
      <c r="N705" s="1026"/>
      <c r="O705" s="265"/>
      <c r="P705" s="265"/>
      <c r="T705" s="265"/>
      <c r="U705" s="265"/>
      <c r="V705" s="265"/>
      <c r="X705" s="1026"/>
      <c r="Y705" s="265"/>
      <c r="Z705" s="265"/>
      <c r="AA705" s="265"/>
      <c r="AE705" s="265"/>
      <c r="AF705" s="265"/>
      <c r="AV705" s="265"/>
      <c r="AW705" s="265"/>
      <c r="AX705" s="265"/>
      <c r="AY705" s="265"/>
      <c r="BE705" s="265"/>
      <c r="BF705" s="1028"/>
      <c r="BJ705" s="265"/>
      <c r="BK705" s="1458"/>
      <c r="BL705" s="1028"/>
      <c r="BP705" s="265"/>
      <c r="BQ705" s="1458"/>
      <c r="BW705" s="11"/>
      <c r="CA705" s="11"/>
      <c r="CK705" s="265"/>
      <c r="CL705" s="265"/>
      <c r="CM705" s="265"/>
      <c r="CO705" s="11"/>
      <c r="CR705" s="1026"/>
      <c r="CS705" s="265"/>
      <c r="CT705" s="265"/>
      <c r="CU705" s="265"/>
    </row>
    <row r="706" spans="10:99" ht="15" customHeight="1">
      <c r="J706" s="265"/>
      <c r="K706" s="1024"/>
      <c r="L706" s="1025"/>
      <c r="M706" s="1026"/>
      <c r="N706" s="1026"/>
      <c r="O706" s="265"/>
      <c r="P706" s="265"/>
      <c r="T706" s="265"/>
      <c r="U706" s="265"/>
      <c r="V706" s="265"/>
      <c r="X706" s="1026"/>
      <c r="Y706" s="265"/>
      <c r="Z706" s="265"/>
      <c r="AA706" s="265"/>
      <c r="AE706" s="265"/>
      <c r="AF706" s="265"/>
      <c r="AV706" s="265"/>
      <c r="AW706" s="265"/>
      <c r="AX706" s="265"/>
      <c r="AY706" s="265"/>
      <c r="BE706" s="265"/>
      <c r="BF706" s="1028"/>
      <c r="BJ706" s="265"/>
      <c r="BK706" s="1458"/>
      <c r="BL706" s="1028"/>
      <c r="BP706" s="265"/>
      <c r="BQ706" s="1458"/>
      <c r="BW706" s="11"/>
      <c r="CA706" s="11"/>
      <c r="CK706" s="265"/>
      <c r="CL706" s="265"/>
      <c r="CM706" s="265"/>
      <c r="CO706" s="11"/>
      <c r="CR706" s="1026"/>
      <c r="CS706" s="265"/>
      <c r="CT706" s="265"/>
      <c r="CU706" s="265"/>
    </row>
    <row r="707" spans="10:99" ht="15" customHeight="1">
      <c r="J707" s="265"/>
      <c r="K707" s="1024"/>
      <c r="L707" s="1025"/>
      <c r="M707" s="1026"/>
      <c r="N707" s="1026"/>
      <c r="O707" s="265"/>
      <c r="P707" s="265"/>
      <c r="T707" s="265"/>
      <c r="U707" s="265"/>
      <c r="V707" s="265"/>
      <c r="X707" s="1026"/>
      <c r="Y707" s="265"/>
      <c r="Z707" s="265"/>
      <c r="AA707" s="265"/>
      <c r="AE707" s="265"/>
      <c r="AF707" s="265"/>
      <c r="AV707" s="265"/>
      <c r="AW707" s="265"/>
      <c r="AX707" s="265"/>
      <c r="AY707" s="265"/>
      <c r="BE707" s="265"/>
      <c r="BF707" s="1028"/>
      <c r="BJ707" s="265"/>
      <c r="BK707" s="1458"/>
      <c r="BL707" s="1028"/>
      <c r="BP707" s="265"/>
      <c r="BQ707" s="1458"/>
      <c r="BW707" s="11"/>
      <c r="CA707" s="11"/>
      <c r="CK707" s="265"/>
      <c r="CL707" s="265"/>
      <c r="CM707" s="265"/>
      <c r="CO707" s="11"/>
      <c r="CR707" s="1026"/>
      <c r="CS707" s="265"/>
      <c r="CT707" s="265"/>
      <c r="CU707" s="265"/>
    </row>
    <row r="708" spans="10:99" ht="15" customHeight="1">
      <c r="J708" s="265"/>
      <c r="K708" s="1024"/>
      <c r="L708" s="1025"/>
      <c r="M708" s="1026"/>
      <c r="N708" s="1026"/>
      <c r="O708" s="265"/>
      <c r="P708" s="265"/>
      <c r="T708" s="265"/>
      <c r="U708" s="265"/>
      <c r="V708" s="265"/>
      <c r="X708" s="1026"/>
      <c r="Y708" s="265"/>
      <c r="Z708" s="265"/>
      <c r="AA708" s="265"/>
      <c r="AE708" s="265"/>
      <c r="AF708" s="265"/>
      <c r="AV708" s="265"/>
      <c r="AW708" s="265"/>
      <c r="AX708" s="265"/>
      <c r="AY708" s="265"/>
      <c r="BE708" s="265"/>
      <c r="BF708" s="1028"/>
      <c r="BJ708" s="265"/>
      <c r="BK708" s="1458"/>
      <c r="BL708" s="1028"/>
      <c r="BP708" s="265"/>
      <c r="BQ708" s="1458"/>
      <c r="BW708" s="11"/>
      <c r="CA708" s="11"/>
      <c r="CK708" s="265"/>
      <c r="CL708" s="265"/>
      <c r="CM708" s="265"/>
      <c r="CO708" s="11"/>
      <c r="CR708" s="1026"/>
      <c r="CS708" s="265"/>
      <c r="CT708" s="265"/>
      <c r="CU708" s="265"/>
    </row>
    <row r="709" spans="10:99" ht="15" customHeight="1">
      <c r="J709" s="265"/>
      <c r="K709" s="1024"/>
      <c r="L709" s="1025"/>
      <c r="M709" s="1026"/>
      <c r="N709" s="1026"/>
      <c r="O709" s="265"/>
      <c r="P709" s="265"/>
      <c r="T709" s="265"/>
      <c r="U709" s="265"/>
      <c r="V709" s="265"/>
      <c r="X709" s="1026"/>
      <c r="Y709" s="265"/>
      <c r="Z709" s="265"/>
      <c r="AA709" s="265"/>
      <c r="AE709" s="265"/>
      <c r="AF709" s="265"/>
      <c r="AV709" s="265"/>
      <c r="AW709" s="265"/>
      <c r="AX709" s="265"/>
      <c r="AY709" s="265"/>
      <c r="BE709" s="265"/>
      <c r="BF709" s="1028"/>
      <c r="BJ709" s="265"/>
      <c r="BK709" s="1458"/>
      <c r="BL709" s="1028"/>
      <c r="BP709" s="265"/>
      <c r="BQ709" s="1458"/>
      <c r="BW709" s="11"/>
      <c r="CA709" s="11"/>
      <c r="CK709" s="265"/>
      <c r="CL709" s="265"/>
      <c r="CM709" s="265"/>
      <c r="CO709" s="11"/>
      <c r="CR709" s="1026"/>
      <c r="CS709" s="265"/>
      <c r="CT709" s="265"/>
      <c r="CU709" s="265"/>
    </row>
    <row r="710" spans="10:99" ht="15" customHeight="1">
      <c r="J710" s="265"/>
      <c r="K710" s="1024"/>
      <c r="L710" s="1025"/>
      <c r="M710" s="1026"/>
      <c r="N710" s="1026"/>
      <c r="O710" s="265"/>
      <c r="P710" s="265"/>
      <c r="T710" s="265"/>
      <c r="U710" s="265"/>
      <c r="V710" s="265"/>
      <c r="X710" s="1026"/>
      <c r="Y710" s="265"/>
      <c r="Z710" s="265"/>
      <c r="AA710" s="265"/>
      <c r="AE710" s="265"/>
      <c r="AF710" s="265"/>
      <c r="AV710" s="265"/>
      <c r="AW710" s="265"/>
      <c r="AX710" s="265"/>
      <c r="AY710" s="265"/>
      <c r="BE710" s="265"/>
      <c r="BF710" s="1028"/>
      <c r="BJ710" s="265"/>
      <c r="BK710" s="1458"/>
      <c r="BL710" s="1028"/>
      <c r="BP710" s="265"/>
      <c r="BQ710" s="1458"/>
      <c r="BW710" s="11"/>
      <c r="CA710" s="11"/>
      <c r="CK710" s="265"/>
      <c r="CL710" s="265"/>
      <c r="CM710" s="265"/>
      <c r="CO710" s="11"/>
      <c r="CR710" s="1026"/>
      <c r="CS710" s="265"/>
      <c r="CT710" s="265"/>
      <c r="CU710" s="265"/>
    </row>
    <row r="711" spans="10:99" ht="15" customHeight="1">
      <c r="J711" s="265"/>
      <c r="K711" s="1024"/>
      <c r="L711" s="1025"/>
      <c r="M711" s="1026"/>
      <c r="N711" s="1026"/>
      <c r="O711" s="265"/>
      <c r="P711" s="265"/>
      <c r="T711" s="265"/>
      <c r="U711" s="265"/>
      <c r="V711" s="265"/>
      <c r="X711" s="1026"/>
      <c r="Y711" s="265"/>
      <c r="Z711" s="265"/>
      <c r="AA711" s="265"/>
      <c r="AE711" s="265"/>
      <c r="AF711" s="265"/>
      <c r="AV711" s="265"/>
      <c r="AW711" s="265"/>
      <c r="AX711" s="265"/>
      <c r="AY711" s="265"/>
      <c r="BE711" s="265"/>
      <c r="BF711" s="1028"/>
      <c r="BJ711" s="265"/>
      <c r="BK711" s="1458"/>
      <c r="BL711" s="1028"/>
      <c r="BP711" s="265"/>
      <c r="BQ711" s="1458"/>
      <c r="BW711" s="11"/>
      <c r="CA711" s="11"/>
      <c r="CK711" s="265"/>
      <c r="CL711" s="265"/>
      <c r="CM711" s="265"/>
      <c r="CO711" s="11"/>
      <c r="CR711" s="1026"/>
      <c r="CS711" s="265"/>
      <c r="CT711" s="265"/>
      <c r="CU711" s="265"/>
    </row>
    <row r="712" spans="10:99" ht="15" customHeight="1">
      <c r="J712" s="265"/>
      <c r="K712" s="1024"/>
      <c r="L712" s="1025"/>
      <c r="M712" s="1026"/>
      <c r="N712" s="1026"/>
      <c r="O712" s="265"/>
      <c r="P712" s="265"/>
      <c r="T712" s="265"/>
      <c r="U712" s="265"/>
      <c r="V712" s="265"/>
      <c r="X712" s="1026"/>
      <c r="Y712" s="265"/>
      <c r="Z712" s="265"/>
      <c r="AA712" s="265"/>
      <c r="AE712" s="265"/>
      <c r="AF712" s="265"/>
      <c r="AV712" s="265"/>
      <c r="AW712" s="265"/>
      <c r="AX712" s="265"/>
      <c r="AY712" s="265"/>
      <c r="BE712" s="265"/>
      <c r="BF712" s="1028"/>
      <c r="BJ712" s="265"/>
      <c r="BK712" s="1458"/>
      <c r="BL712" s="1028"/>
      <c r="BP712" s="265"/>
      <c r="BQ712" s="1458"/>
      <c r="BW712" s="11"/>
      <c r="CA712" s="11"/>
      <c r="CK712" s="265"/>
      <c r="CL712" s="265"/>
      <c r="CM712" s="265"/>
      <c r="CO712" s="11"/>
      <c r="CR712" s="1026"/>
      <c r="CS712" s="265"/>
      <c r="CT712" s="265"/>
      <c r="CU712" s="265"/>
    </row>
    <row r="713" spans="10:99" ht="15" customHeight="1">
      <c r="J713" s="265"/>
      <c r="K713" s="1024"/>
      <c r="L713" s="1025"/>
      <c r="M713" s="1026"/>
      <c r="N713" s="1026"/>
      <c r="O713" s="265"/>
      <c r="P713" s="265"/>
      <c r="T713" s="265"/>
      <c r="U713" s="265"/>
      <c r="V713" s="265"/>
      <c r="X713" s="1026"/>
      <c r="Y713" s="265"/>
      <c r="Z713" s="265"/>
      <c r="AA713" s="265"/>
      <c r="AE713" s="265"/>
      <c r="AF713" s="265"/>
      <c r="AV713" s="265"/>
      <c r="AW713" s="265"/>
      <c r="AX713" s="265"/>
      <c r="AY713" s="265"/>
      <c r="BE713" s="265"/>
      <c r="BF713" s="1028"/>
      <c r="BJ713" s="265"/>
      <c r="BK713" s="1458"/>
      <c r="BL713" s="1028"/>
      <c r="BP713" s="265"/>
      <c r="BQ713" s="1458"/>
      <c r="BW713" s="11"/>
      <c r="CA713" s="11"/>
      <c r="CK713" s="265"/>
      <c r="CL713" s="265"/>
      <c r="CM713" s="265"/>
      <c r="CO713" s="11"/>
      <c r="CR713" s="1026"/>
      <c r="CS713" s="265"/>
      <c r="CT713" s="265"/>
      <c r="CU713" s="265"/>
    </row>
    <row r="714" spans="10:99" ht="15" customHeight="1">
      <c r="J714" s="265"/>
      <c r="K714" s="1024"/>
      <c r="L714" s="1025"/>
      <c r="M714" s="1026"/>
      <c r="N714" s="1026"/>
      <c r="O714" s="265"/>
      <c r="P714" s="265"/>
      <c r="T714" s="265"/>
      <c r="U714" s="265"/>
      <c r="V714" s="265"/>
      <c r="X714" s="1026"/>
      <c r="Y714" s="265"/>
      <c r="Z714" s="265"/>
      <c r="AA714" s="265"/>
      <c r="AE714" s="265"/>
      <c r="AF714" s="265"/>
      <c r="AV714" s="265"/>
      <c r="AW714" s="265"/>
      <c r="AX714" s="265"/>
      <c r="AY714" s="265"/>
      <c r="BE714" s="265"/>
      <c r="BF714" s="1028"/>
      <c r="BJ714" s="265"/>
      <c r="BK714" s="1458"/>
      <c r="BL714" s="1028"/>
      <c r="BP714" s="265"/>
      <c r="BQ714" s="1458"/>
      <c r="BW714" s="11"/>
      <c r="CA714" s="11"/>
      <c r="CK714" s="265"/>
      <c r="CL714" s="265"/>
      <c r="CM714" s="265"/>
      <c r="CO714" s="11"/>
      <c r="CR714" s="1026"/>
      <c r="CS714" s="265"/>
      <c r="CT714" s="265"/>
      <c r="CU714" s="265"/>
    </row>
    <row r="715" spans="10:99" ht="15" customHeight="1">
      <c r="J715" s="265"/>
      <c r="K715" s="1024"/>
      <c r="L715" s="1025"/>
      <c r="M715" s="1026"/>
      <c r="N715" s="1026"/>
      <c r="O715" s="265"/>
      <c r="P715" s="265"/>
      <c r="T715" s="265"/>
      <c r="U715" s="265"/>
      <c r="V715" s="265"/>
      <c r="X715" s="1026"/>
      <c r="Y715" s="265"/>
      <c r="Z715" s="265"/>
      <c r="AA715" s="265"/>
      <c r="AE715" s="265"/>
      <c r="AF715" s="265"/>
      <c r="AV715" s="265"/>
      <c r="AW715" s="265"/>
      <c r="AX715" s="265"/>
      <c r="AY715" s="265"/>
      <c r="BE715" s="265"/>
      <c r="BF715" s="1028"/>
      <c r="BJ715" s="265"/>
      <c r="BK715" s="1458"/>
      <c r="BL715" s="1028"/>
      <c r="BP715" s="265"/>
      <c r="BQ715" s="1458"/>
      <c r="BW715" s="11"/>
      <c r="CA715" s="11"/>
      <c r="CK715" s="265"/>
      <c r="CL715" s="265"/>
      <c r="CM715" s="265"/>
      <c r="CO715" s="11"/>
      <c r="CR715" s="1026"/>
      <c r="CS715" s="265"/>
      <c r="CT715" s="265"/>
      <c r="CU715" s="265"/>
    </row>
    <row r="716" spans="10:99" ht="15" customHeight="1">
      <c r="J716" s="265"/>
      <c r="K716" s="1024"/>
      <c r="L716" s="1025"/>
      <c r="M716" s="1026"/>
      <c r="N716" s="1026"/>
      <c r="O716" s="265"/>
      <c r="P716" s="265"/>
      <c r="T716" s="265"/>
      <c r="U716" s="265"/>
      <c r="V716" s="265"/>
      <c r="X716" s="1026"/>
      <c r="Y716" s="265"/>
      <c r="Z716" s="265"/>
      <c r="AA716" s="265"/>
      <c r="AE716" s="265"/>
      <c r="AF716" s="265"/>
      <c r="AV716" s="265"/>
      <c r="AW716" s="265"/>
      <c r="AX716" s="265"/>
      <c r="AY716" s="265"/>
      <c r="BE716" s="265"/>
      <c r="BF716" s="1028"/>
      <c r="BJ716" s="265"/>
      <c r="BK716" s="1458"/>
      <c r="BL716" s="1028"/>
      <c r="BP716" s="265"/>
      <c r="BQ716" s="1458"/>
      <c r="BW716" s="11"/>
      <c r="CA716" s="11"/>
      <c r="CK716" s="265"/>
      <c r="CL716" s="265"/>
      <c r="CM716" s="265"/>
      <c r="CO716" s="11"/>
      <c r="CR716" s="1026"/>
      <c r="CS716" s="265"/>
      <c r="CT716" s="265"/>
      <c r="CU716" s="265"/>
    </row>
    <row r="717" spans="10:99" ht="15" customHeight="1">
      <c r="J717" s="265"/>
      <c r="K717" s="1024"/>
      <c r="L717" s="1025"/>
      <c r="M717" s="1026"/>
      <c r="N717" s="1026"/>
      <c r="O717" s="265"/>
      <c r="P717" s="265"/>
      <c r="T717" s="265"/>
      <c r="U717" s="265"/>
      <c r="V717" s="265"/>
      <c r="X717" s="1026"/>
      <c r="Y717" s="265"/>
      <c r="Z717" s="265"/>
      <c r="AA717" s="265"/>
      <c r="AE717" s="265"/>
      <c r="AF717" s="265"/>
      <c r="AV717" s="265"/>
      <c r="AW717" s="265"/>
      <c r="AX717" s="265"/>
      <c r="AY717" s="265"/>
      <c r="BE717" s="265"/>
      <c r="BF717" s="1028"/>
      <c r="BJ717" s="265"/>
      <c r="BK717" s="1458"/>
      <c r="BL717" s="1028"/>
      <c r="BP717" s="265"/>
      <c r="BQ717" s="1458"/>
      <c r="BW717" s="11"/>
      <c r="CA717" s="11"/>
      <c r="CK717" s="265"/>
      <c r="CL717" s="265"/>
      <c r="CM717" s="265"/>
      <c r="CO717" s="11"/>
      <c r="CR717" s="1026"/>
      <c r="CS717" s="265"/>
      <c r="CT717" s="265"/>
      <c r="CU717" s="265"/>
    </row>
    <row r="718" spans="10:99" ht="15" customHeight="1">
      <c r="J718" s="265"/>
      <c r="K718" s="1024"/>
      <c r="L718" s="1025"/>
      <c r="M718" s="1026"/>
      <c r="N718" s="1026"/>
      <c r="O718" s="265"/>
      <c r="P718" s="265"/>
      <c r="T718" s="265"/>
      <c r="U718" s="265"/>
      <c r="V718" s="265"/>
      <c r="X718" s="1026"/>
      <c r="Y718" s="265"/>
      <c r="Z718" s="265"/>
      <c r="AA718" s="265"/>
      <c r="AE718" s="265"/>
      <c r="AF718" s="265"/>
      <c r="AV718" s="265"/>
      <c r="AW718" s="265"/>
      <c r="AX718" s="265"/>
      <c r="AY718" s="265"/>
      <c r="BE718" s="265"/>
      <c r="BF718" s="1028"/>
      <c r="BJ718" s="265"/>
      <c r="BK718" s="1458"/>
      <c r="BL718" s="1028"/>
      <c r="BP718" s="265"/>
      <c r="BQ718" s="1458"/>
      <c r="BW718" s="11"/>
      <c r="CA718" s="11"/>
      <c r="CK718" s="265"/>
      <c r="CL718" s="265"/>
      <c r="CM718" s="265"/>
      <c r="CO718" s="11"/>
      <c r="CR718" s="1026"/>
      <c r="CS718" s="265"/>
      <c r="CT718" s="265"/>
      <c r="CU718" s="265"/>
    </row>
    <row r="719" spans="10:99" ht="15" customHeight="1">
      <c r="J719" s="265"/>
      <c r="K719" s="1024"/>
      <c r="L719" s="1025"/>
      <c r="M719" s="1026"/>
      <c r="N719" s="1026"/>
      <c r="O719" s="265"/>
      <c r="P719" s="265"/>
      <c r="T719" s="265"/>
      <c r="U719" s="265"/>
      <c r="V719" s="265"/>
      <c r="X719" s="1026"/>
      <c r="Y719" s="265"/>
      <c r="Z719" s="265"/>
      <c r="AA719" s="265"/>
      <c r="AE719" s="265"/>
      <c r="AF719" s="265"/>
      <c r="AV719" s="265"/>
      <c r="AW719" s="265"/>
      <c r="AX719" s="265"/>
      <c r="AY719" s="265"/>
      <c r="BE719" s="265"/>
      <c r="BF719" s="1028"/>
      <c r="BJ719" s="265"/>
      <c r="BK719" s="1458"/>
      <c r="BL719" s="1028"/>
      <c r="BP719" s="265"/>
      <c r="BQ719" s="1458"/>
      <c r="BW719" s="11"/>
      <c r="CA719" s="11"/>
      <c r="CK719" s="265"/>
      <c r="CL719" s="265"/>
      <c r="CM719" s="265"/>
      <c r="CO719" s="11"/>
      <c r="CR719" s="1026"/>
      <c r="CS719" s="265"/>
      <c r="CT719" s="265"/>
      <c r="CU719" s="265"/>
    </row>
    <row r="720" spans="10:99" ht="15" customHeight="1">
      <c r="J720" s="265"/>
      <c r="K720" s="1024"/>
      <c r="L720" s="1025"/>
      <c r="M720" s="1026"/>
      <c r="N720" s="1026"/>
      <c r="O720" s="265"/>
      <c r="P720" s="265"/>
      <c r="T720" s="265"/>
      <c r="U720" s="265"/>
      <c r="V720" s="265"/>
      <c r="X720" s="1026"/>
      <c r="Y720" s="265"/>
      <c r="Z720" s="265"/>
      <c r="AA720" s="265"/>
      <c r="AE720" s="265"/>
      <c r="AF720" s="265"/>
      <c r="AV720" s="265"/>
      <c r="AW720" s="265"/>
      <c r="AX720" s="265"/>
      <c r="AY720" s="265"/>
      <c r="BE720" s="265"/>
      <c r="BF720" s="1028"/>
      <c r="BJ720" s="265"/>
      <c r="BK720" s="1458"/>
      <c r="BL720" s="1028"/>
      <c r="BP720" s="265"/>
      <c r="BQ720" s="1458"/>
      <c r="BW720" s="11"/>
      <c r="CA720" s="11"/>
      <c r="CK720" s="265"/>
      <c r="CL720" s="265"/>
      <c r="CM720" s="265"/>
      <c r="CO720" s="11"/>
      <c r="CR720" s="1026"/>
      <c r="CS720" s="265"/>
      <c r="CT720" s="265"/>
      <c r="CU720" s="265"/>
    </row>
    <row r="721" spans="10:99" ht="15" customHeight="1">
      <c r="J721" s="265"/>
      <c r="K721" s="1024"/>
      <c r="L721" s="1025"/>
      <c r="M721" s="1026"/>
      <c r="N721" s="1026"/>
      <c r="O721" s="265"/>
      <c r="P721" s="265"/>
      <c r="T721" s="265"/>
      <c r="U721" s="265"/>
      <c r="V721" s="265"/>
      <c r="X721" s="1026"/>
      <c r="Y721" s="265"/>
      <c r="Z721" s="265"/>
      <c r="AA721" s="265"/>
      <c r="AE721" s="265"/>
      <c r="AF721" s="265"/>
      <c r="AV721" s="265"/>
      <c r="AW721" s="265"/>
      <c r="AX721" s="265"/>
      <c r="AY721" s="265"/>
      <c r="BE721" s="265"/>
      <c r="BF721" s="1028"/>
      <c r="BJ721" s="265"/>
      <c r="BK721" s="1458"/>
      <c r="BL721" s="1028"/>
      <c r="BP721" s="265"/>
      <c r="BQ721" s="1458"/>
      <c r="BW721" s="11"/>
      <c r="CA721" s="11"/>
      <c r="CK721" s="265"/>
      <c r="CL721" s="265"/>
      <c r="CM721" s="265"/>
      <c r="CO721" s="11"/>
      <c r="CR721" s="1026"/>
      <c r="CS721" s="265"/>
      <c r="CT721" s="265"/>
      <c r="CU721" s="265"/>
    </row>
    <row r="722" spans="10:99" ht="15" customHeight="1">
      <c r="J722" s="265"/>
      <c r="K722" s="1024"/>
      <c r="L722" s="1025"/>
      <c r="M722" s="1026"/>
      <c r="N722" s="1026"/>
      <c r="O722" s="265"/>
      <c r="P722" s="265"/>
      <c r="T722" s="265"/>
      <c r="U722" s="265"/>
      <c r="V722" s="265"/>
      <c r="X722" s="1026"/>
      <c r="Y722" s="265"/>
      <c r="Z722" s="265"/>
      <c r="AA722" s="265"/>
      <c r="AE722" s="265"/>
      <c r="AF722" s="265"/>
      <c r="AV722" s="265"/>
      <c r="AW722" s="265"/>
      <c r="AX722" s="265"/>
      <c r="AY722" s="265"/>
      <c r="BE722" s="265"/>
      <c r="BF722" s="1028"/>
      <c r="BJ722" s="265"/>
      <c r="BK722" s="1458"/>
      <c r="BL722" s="1028"/>
      <c r="BP722" s="265"/>
      <c r="BQ722" s="1458"/>
      <c r="BW722" s="11"/>
      <c r="CA722" s="11"/>
      <c r="CK722" s="265"/>
      <c r="CL722" s="265"/>
      <c r="CM722" s="265"/>
      <c r="CO722" s="11"/>
      <c r="CR722" s="1026"/>
      <c r="CS722" s="265"/>
      <c r="CT722" s="265"/>
      <c r="CU722" s="265"/>
    </row>
    <row r="723" spans="10:99" ht="15" customHeight="1">
      <c r="J723" s="265"/>
      <c r="K723" s="1024"/>
      <c r="L723" s="1025"/>
      <c r="M723" s="1026"/>
      <c r="N723" s="1026"/>
      <c r="O723" s="265"/>
      <c r="P723" s="265"/>
      <c r="T723" s="265"/>
      <c r="U723" s="265"/>
      <c r="V723" s="265"/>
      <c r="X723" s="1026"/>
      <c r="Y723" s="265"/>
      <c r="Z723" s="265"/>
      <c r="AA723" s="265"/>
      <c r="AE723" s="265"/>
      <c r="AF723" s="265"/>
      <c r="AV723" s="265"/>
      <c r="AW723" s="265"/>
      <c r="AX723" s="265"/>
      <c r="AY723" s="265"/>
      <c r="BE723" s="265"/>
      <c r="BF723" s="1028"/>
      <c r="BJ723" s="265"/>
      <c r="BK723" s="1458"/>
      <c r="BL723" s="1028"/>
      <c r="BP723" s="265"/>
      <c r="BQ723" s="1458"/>
      <c r="BW723" s="11"/>
      <c r="CA723" s="11"/>
      <c r="CK723" s="265"/>
      <c r="CL723" s="265"/>
      <c r="CM723" s="265"/>
      <c r="CO723" s="11"/>
      <c r="CR723" s="1026"/>
      <c r="CS723" s="265"/>
      <c r="CT723" s="265"/>
      <c r="CU723" s="265"/>
    </row>
    <row r="724" spans="10:99" ht="15" customHeight="1">
      <c r="J724" s="265"/>
      <c r="K724" s="1024"/>
      <c r="L724" s="1025"/>
      <c r="M724" s="1026"/>
      <c r="N724" s="1026"/>
      <c r="O724" s="265"/>
      <c r="P724" s="265"/>
      <c r="T724" s="265"/>
      <c r="U724" s="265"/>
      <c r="V724" s="265"/>
      <c r="X724" s="1026"/>
      <c r="Y724" s="265"/>
      <c r="Z724" s="265"/>
      <c r="AA724" s="265"/>
      <c r="AE724" s="265"/>
      <c r="AF724" s="265"/>
      <c r="AV724" s="265"/>
      <c r="AW724" s="265"/>
      <c r="AX724" s="265"/>
      <c r="AY724" s="265"/>
      <c r="BE724" s="265"/>
      <c r="BF724" s="1028"/>
      <c r="BJ724" s="265"/>
      <c r="BK724" s="1458"/>
      <c r="BL724" s="1028"/>
      <c r="BP724" s="265"/>
      <c r="BQ724" s="1458"/>
      <c r="BW724" s="11"/>
      <c r="CA724" s="11"/>
      <c r="CK724" s="265"/>
      <c r="CL724" s="265"/>
      <c r="CM724" s="265"/>
      <c r="CO724" s="11"/>
      <c r="CR724" s="1026"/>
      <c r="CS724" s="265"/>
      <c r="CT724" s="265"/>
      <c r="CU724" s="265"/>
    </row>
    <row r="725" spans="10:99" ht="15" customHeight="1">
      <c r="J725" s="265"/>
      <c r="K725" s="1024"/>
      <c r="L725" s="1025"/>
      <c r="M725" s="1026"/>
      <c r="N725" s="1026"/>
      <c r="O725" s="265"/>
      <c r="P725" s="265"/>
      <c r="T725" s="265"/>
      <c r="U725" s="265"/>
      <c r="V725" s="265"/>
      <c r="X725" s="1026"/>
      <c r="Y725" s="265"/>
      <c r="Z725" s="265"/>
      <c r="AA725" s="265"/>
      <c r="AE725" s="265"/>
      <c r="AF725" s="265"/>
      <c r="AV725" s="265"/>
      <c r="AW725" s="265"/>
      <c r="AX725" s="265"/>
      <c r="AY725" s="265"/>
      <c r="BE725" s="265"/>
      <c r="BF725" s="1028"/>
      <c r="BJ725" s="265"/>
      <c r="BK725" s="1458"/>
      <c r="BL725" s="1028"/>
      <c r="BP725" s="265"/>
      <c r="BQ725" s="1458"/>
      <c r="BW725" s="11"/>
      <c r="CA725" s="11"/>
      <c r="CK725" s="265"/>
      <c r="CL725" s="265"/>
      <c r="CM725" s="265"/>
      <c r="CO725" s="11"/>
      <c r="CR725" s="1026"/>
      <c r="CS725" s="265"/>
      <c r="CT725" s="265"/>
      <c r="CU725" s="265"/>
    </row>
    <row r="726" spans="10:99" ht="15" customHeight="1">
      <c r="J726" s="265"/>
      <c r="K726" s="1024"/>
      <c r="L726" s="1025"/>
      <c r="M726" s="1026"/>
      <c r="N726" s="1026"/>
      <c r="O726" s="265"/>
      <c r="P726" s="265"/>
      <c r="T726" s="265"/>
      <c r="U726" s="265"/>
      <c r="V726" s="265"/>
      <c r="X726" s="1026"/>
      <c r="Y726" s="265"/>
      <c r="Z726" s="265"/>
      <c r="AA726" s="265"/>
      <c r="AE726" s="265"/>
      <c r="AF726" s="265"/>
      <c r="AV726" s="265"/>
      <c r="AW726" s="265"/>
      <c r="AX726" s="265"/>
      <c r="AY726" s="265"/>
      <c r="BE726" s="265"/>
      <c r="BF726" s="1028"/>
      <c r="BJ726" s="265"/>
      <c r="BK726" s="1458"/>
      <c r="BL726" s="1028"/>
      <c r="BP726" s="265"/>
      <c r="BQ726" s="1458"/>
      <c r="BW726" s="11"/>
      <c r="CA726" s="11"/>
      <c r="CK726" s="265"/>
      <c r="CL726" s="265"/>
      <c r="CM726" s="265"/>
      <c r="CO726" s="11"/>
      <c r="CR726" s="1026"/>
      <c r="CS726" s="265"/>
      <c r="CT726" s="265"/>
      <c r="CU726" s="265"/>
    </row>
    <row r="727" spans="10:99" ht="15" customHeight="1">
      <c r="J727" s="265"/>
      <c r="K727" s="1024"/>
      <c r="L727" s="1025"/>
      <c r="M727" s="1026"/>
      <c r="N727" s="1026"/>
      <c r="O727" s="265"/>
      <c r="P727" s="265"/>
      <c r="T727" s="265"/>
      <c r="U727" s="265"/>
      <c r="V727" s="265"/>
      <c r="X727" s="1026"/>
      <c r="Y727" s="265"/>
      <c r="Z727" s="265"/>
      <c r="AA727" s="265"/>
      <c r="AE727" s="265"/>
      <c r="AF727" s="265"/>
      <c r="AV727" s="265"/>
      <c r="AW727" s="265"/>
      <c r="AX727" s="265"/>
      <c r="AY727" s="265"/>
      <c r="BE727" s="265"/>
      <c r="BF727" s="1028"/>
      <c r="BJ727" s="265"/>
      <c r="BK727" s="1458"/>
      <c r="BL727" s="1028"/>
      <c r="BP727" s="265"/>
      <c r="BQ727" s="1458"/>
      <c r="BW727" s="11"/>
      <c r="CA727" s="11"/>
      <c r="CK727" s="265"/>
      <c r="CL727" s="265"/>
      <c r="CM727" s="265"/>
      <c r="CO727" s="11"/>
      <c r="CR727" s="1026"/>
      <c r="CS727" s="265"/>
      <c r="CT727" s="265"/>
      <c r="CU727" s="265"/>
    </row>
    <row r="728" spans="10:99" ht="15" customHeight="1">
      <c r="J728" s="265"/>
      <c r="K728" s="1024"/>
      <c r="L728" s="1025"/>
      <c r="M728" s="1026"/>
      <c r="N728" s="1026"/>
      <c r="O728" s="265"/>
      <c r="P728" s="265"/>
      <c r="T728" s="265"/>
      <c r="U728" s="265"/>
      <c r="V728" s="265"/>
      <c r="X728" s="1026"/>
      <c r="Y728" s="265"/>
      <c r="Z728" s="265"/>
      <c r="AA728" s="265"/>
      <c r="AE728" s="265"/>
      <c r="AF728" s="265"/>
      <c r="AV728" s="265"/>
      <c r="AW728" s="265"/>
      <c r="AX728" s="265"/>
      <c r="AY728" s="265"/>
      <c r="BE728" s="265"/>
      <c r="BF728" s="1028"/>
      <c r="BJ728" s="265"/>
      <c r="BK728" s="1458"/>
      <c r="BL728" s="1028"/>
      <c r="BP728" s="265"/>
      <c r="BQ728" s="1458"/>
      <c r="BW728" s="11"/>
      <c r="CA728" s="11"/>
      <c r="CK728" s="265"/>
      <c r="CL728" s="265"/>
      <c r="CM728" s="265"/>
      <c r="CO728" s="11"/>
      <c r="CR728" s="1026"/>
      <c r="CS728" s="265"/>
      <c r="CT728" s="265"/>
      <c r="CU728" s="265"/>
    </row>
    <row r="729" spans="10:99" ht="15" customHeight="1">
      <c r="J729" s="265"/>
      <c r="K729" s="1024"/>
      <c r="L729" s="1025"/>
      <c r="M729" s="1026"/>
      <c r="N729" s="1026"/>
      <c r="O729" s="265"/>
      <c r="P729" s="265"/>
      <c r="T729" s="265"/>
      <c r="U729" s="265"/>
      <c r="V729" s="265"/>
      <c r="X729" s="1026"/>
      <c r="Y729" s="265"/>
      <c r="Z729" s="265"/>
      <c r="AA729" s="265"/>
      <c r="AE729" s="265"/>
      <c r="AF729" s="265"/>
      <c r="AV729" s="265"/>
      <c r="AW729" s="265"/>
      <c r="AX729" s="265"/>
      <c r="AY729" s="265"/>
      <c r="BE729" s="265"/>
      <c r="BF729" s="1028"/>
      <c r="BJ729" s="265"/>
      <c r="BK729" s="1458"/>
      <c r="BL729" s="1028"/>
      <c r="BP729" s="265"/>
      <c r="BQ729" s="1458"/>
      <c r="BW729" s="11"/>
      <c r="CA729" s="11"/>
      <c r="CK729" s="265"/>
      <c r="CL729" s="265"/>
      <c r="CM729" s="265"/>
      <c r="CO729" s="11"/>
      <c r="CR729" s="1026"/>
      <c r="CS729" s="265"/>
      <c r="CT729" s="265"/>
      <c r="CU729" s="265"/>
    </row>
    <row r="730" spans="10:99" ht="15" customHeight="1">
      <c r="J730" s="265"/>
      <c r="K730" s="1024"/>
      <c r="L730" s="1025"/>
      <c r="M730" s="1026"/>
      <c r="N730" s="1026"/>
      <c r="O730" s="265"/>
      <c r="P730" s="265"/>
      <c r="T730" s="265"/>
      <c r="U730" s="265"/>
      <c r="V730" s="265"/>
      <c r="X730" s="1026"/>
      <c r="Y730" s="265"/>
      <c r="Z730" s="265"/>
      <c r="AA730" s="265"/>
      <c r="AE730" s="265"/>
      <c r="AF730" s="265"/>
      <c r="AV730" s="265"/>
      <c r="AW730" s="265"/>
      <c r="AX730" s="265"/>
      <c r="AY730" s="265"/>
      <c r="BE730" s="265"/>
      <c r="BF730" s="1028"/>
      <c r="BJ730" s="265"/>
      <c r="BK730" s="1458"/>
      <c r="BL730" s="1028"/>
      <c r="BP730" s="265"/>
      <c r="BQ730" s="1458"/>
      <c r="BW730" s="11"/>
      <c r="CA730" s="11"/>
      <c r="CK730" s="265"/>
      <c r="CL730" s="265"/>
      <c r="CM730" s="265"/>
      <c r="CO730" s="11"/>
      <c r="CR730" s="1026"/>
      <c r="CS730" s="265"/>
      <c r="CT730" s="265"/>
      <c r="CU730" s="265"/>
    </row>
    <row r="731" spans="10:99" ht="15" customHeight="1">
      <c r="J731" s="265"/>
      <c r="K731" s="1024"/>
      <c r="L731" s="1025"/>
      <c r="M731" s="1026"/>
      <c r="N731" s="1026"/>
      <c r="O731" s="265"/>
      <c r="P731" s="265"/>
      <c r="T731" s="265"/>
      <c r="U731" s="265"/>
      <c r="V731" s="265"/>
      <c r="X731" s="1026"/>
      <c r="Y731" s="265"/>
      <c r="Z731" s="265"/>
      <c r="AA731" s="265"/>
      <c r="AE731" s="265"/>
      <c r="AF731" s="265"/>
      <c r="AV731" s="265"/>
      <c r="AW731" s="265"/>
      <c r="AX731" s="265"/>
      <c r="AY731" s="265"/>
      <c r="BE731" s="265"/>
      <c r="BF731" s="1028"/>
      <c r="BJ731" s="265"/>
      <c r="BK731" s="1458"/>
      <c r="BL731" s="1028"/>
      <c r="BP731" s="265"/>
      <c r="BQ731" s="1458"/>
      <c r="BW731" s="11"/>
      <c r="CA731" s="11"/>
      <c r="CK731" s="265"/>
      <c r="CL731" s="265"/>
      <c r="CM731" s="265"/>
      <c r="CO731" s="11"/>
      <c r="CR731" s="1026"/>
      <c r="CS731" s="265"/>
      <c r="CT731" s="265"/>
      <c r="CU731" s="265"/>
    </row>
    <row r="732" spans="10:99" ht="15" customHeight="1">
      <c r="J732" s="265"/>
      <c r="K732" s="1024"/>
      <c r="L732" s="1025"/>
      <c r="M732" s="1026"/>
      <c r="N732" s="1026"/>
      <c r="O732" s="265"/>
      <c r="P732" s="265"/>
      <c r="T732" s="265"/>
      <c r="U732" s="265"/>
      <c r="V732" s="265"/>
      <c r="X732" s="1026"/>
      <c r="Y732" s="265"/>
      <c r="Z732" s="265"/>
      <c r="AA732" s="265"/>
      <c r="AE732" s="265"/>
      <c r="AF732" s="265"/>
      <c r="AV732" s="265"/>
      <c r="AW732" s="265"/>
      <c r="AX732" s="265"/>
      <c r="AY732" s="265"/>
      <c r="BE732" s="265"/>
      <c r="BF732" s="1028"/>
      <c r="BJ732" s="265"/>
      <c r="BK732" s="1458"/>
      <c r="BL732" s="1028"/>
      <c r="BP732" s="265"/>
      <c r="BQ732" s="1458"/>
      <c r="BW732" s="11"/>
      <c r="CA732" s="11"/>
      <c r="CK732" s="265"/>
      <c r="CL732" s="265"/>
      <c r="CM732" s="265"/>
      <c r="CO732" s="11"/>
      <c r="CR732" s="1026"/>
      <c r="CS732" s="265"/>
      <c r="CT732" s="265"/>
      <c r="CU732" s="265"/>
    </row>
    <row r="733" spans="10:99" ht="15" customHeight="1">
      <c r="J733" s="265"/>
      <c r="K733" s="1024"/>
      <c r="L733" s="1025"/>
      <c r="M733" s="1026"/>
      <c r="N733" s="1026"/>
      <c r="O733" s="265"/>
      <c r="P733" s="265"/>
      <c r="T733" s="265"/>
      <c r="U733" s="265"/>
      <c r="V733" s="265"/>
      <c r="X733" s="1026"/>
      <c r="Y733" s="265"/>
      <c r="Z733" s="265"/>
      <c r="AA733" s="265"/>
      <c r="AE733" s="265"/>
      <c r="AF733" s="265"/>
      <c r="AV733" s="265"/>
      <c r="AW733" s="265"/>
      <c r="AX733" s="265"/>
      <c r="AY733" s="265"/>
      <c r="BE733" s="265"/>
      <c r="BF733" s="1028"/>
      <c r="BJ733" s="265"/>
      <c r="BK733" s="1458"/>
      <c r="BL733" s="1028"/>
      <c r="BP733" s="265"/>
      <c r="BQ733" s="1458"/>
      <c r="BW733" s="11"/>
      <c r="CA733" s="11"/>
      <c r="CK733" s="265"/>
      <c r="CL733" s="265"/>
      <c r="CM733" s="265"/>
      <c r="CO733" s="11"/>
      <c r="CR733" s="1026"/>
      <c r="CS733" s="265"/>
      <c r="CT733" s="265"/>
      <c r="CU733" s="265"/>
    </row>
    <row r="734" spans="10:99" ht="15" customHeight="1">
      <c r="J734" s="265"/>
      <c r="K734" s="1024"/>
      <c r="L734" s="1025"/>
      <c r="M734" s="1026"/>
      <c r="N734" s="1026"/>
      <c r="O734" s="265"/>
      <c r="P734" s="265"/>
      <c r="T734" s="265"/>
      <c r="U734" s="265"/>
      <c r="V734" s="265"/>
      <c r="X734" s="1026"/>
      <c r="Y734" s="265"/>
      <c r="Z734" s="265"/>
      <c r="AA734" s="265"/>
      <c r="AE734" s="265"/>
      <c r="AF734" s="265"/>
      <c r="AV734" s="265"/>
      <c r="AW734" s="265"/>
      <c r="AX734" s="265"/>
      <c r="AY734" s="265"/>
      <c r="BE734" s="265"/>
      <c r="BF734" s="1028"/>
      <c r="BJ734" s="265"/>
      <c r="BK734" s="1458"/>
      <c r="BL734" s="1028"/>
      <c r="BP734" s="265"/>
      <c r="BQ734" s="1458"/>
      <c r="BW734" s="11"/>
      <c r="CA734" s="11"/>
      <c r="CK734" s="265"/>
      <c r="CL734" s="265"/>
      <c r="CM734" s="265"/>
      <c r="CO734" s="11"/>
      <c r="CR734" s="1026"/>
      <c r="CS734" s="265"/>
      <c r="CT734" s="265"/>
      <c r="CU734" s="265"/>
    </row>
    <row r="735" spans="10:99" ht="15" customHeight="1">
      <c r="J735" s="265"/>
      <c r="K735" s="1024"/>
      <c r="L735" s="1025"/>
      <c r="M735" s="1026"/>
      <c r="N735" s="1026"/>
      <c r="O735" s="265"/>
      <c r="P735" s="265"/>
      <c r="T735" s="265"/>
      <c r="U735" s="265"/>
      <c r="V735" s="265"/>
      <c r="X735" s="1026"/>
      <c r="Y735" s="265"/>
      <c r="Z735" s="265"/>
      <c r="AA735" s="265"/>
      <c r="AE735" s="265"/>
      <c r="AF735" s="265"/>
      <c r="AV735" s="265"/>
      <c r="AW735" s="265"/>
      <c r="AX735" s="265"/>
      <c r="AY735" s="265"/>
      <c r="BE735" s="265"/>
      <c r="BF735" s="1028"/>
      <c r="BJ735" s="265"/>
      <c r="BK735" s="1458"/>
      <c r="BL735" s="1028"/>
      <c r="BP735" s="265"/>
      <c r="BQ735" s="1458"/>
      <c r="BW735" s="11"/>
      <c r="CA735" s="11"/>
      <c r="CK735" s="265"/>
      <c r="CL735" s="265"/>
      <c r="CM735" s="265"/>
      <c r="CO735" s="11"/>
      <c r="CR735" s="1026"/>
      <c r="CS735" s="265"/>
      <c r="CT735" s="265"/>
      <c r="CU735" s="265"/>
    </row>
    <row r="736" spans="10:99" ht="15" customHeight="1">
      <c r="J736" s="265"/>
      <c r="K736" s="1024"/>
      <c r="L736" s="1025"/>
      <c r="M736" s="1026"/>
      <c r="N736" s="1026"/>
      <c r="O736" s="265"/>
      <c r="P736" s="265"/>
      <c r="T736" s="265"/>
      <c r="U736" s="265"/>
      <c r="V736" s="265"/>
      <c r="X736" s="1026"/>
      <c r="Y736" s="265"/>
      <c r="Z736" s="265"/>
      <c r="AA736" s="265"/>
      <c r="AE736" s="265"/>
      <c r="AF736" s="265"/>
      <c r="AV736" s="265"/>
      <c r="AW736" s="265"/>
      <c r="AX736" s="265"/>
      <c r="AY736" s="265"/>
      <c r="BE736" s="265"/>
      <c r="BF736" s="1028"/>
      <c r="BJ736" s="265"/>
      <c r="BK736" s="1458"/>
      <c r="BL736" s="1028"/>
      <c r="BP736" s="265"/>
      <c r="BQ736" s="1458"/>
      <c r="BW736" s="11"/>
      <c r="CA736" s="11"/>
      <c r="CK736" s="265"/>
      <c r="CL736" s="265"/>
      <c r="CM736" s="265"/>
      <c r="CO736" s="11"/>
      <c r="CR736" s="1026"/>
      <c r="CS736" s="265"/>
      <c r="CT736" s="265"/>
      <c r="CU736" s="265"/>
    </row>
    <row r="737" spans="10:99" ht="15" customHeight="1">
      <c r="J737" s="265"/>
      <c r="K737" s="1024"/>
      <c r="L737" s="1025"/>
      <c r="M737" s="1026"/>
      <c r="N737" s="1026"/>
      <c r="O737" s="265"/>
      <c r="P737" s="265"/>
      <c r="T737" s="265"/>
      <c r="U737" s="265"/>
      <c r="V737" s="265"/>
      <c r="X737" s="1026"/>
      <c r="Y737" s="265"/>
      <c r="Z737" s="265"/>
      <c r="AA737" s="265"/>
      <c r="AE737" s="265"/>
      <c r="AF737" s="265"/>
      <c r="AV737" s="265"/>
      <c r="AW737" s="265"/>
      <c r="AX737" s="265"/>
      <c r="AY737" s="265"/>
      <c r="BE737" s="265"/>
      <c r="BF737" s="1028"/>
      <c r="BJ737" s="265"/>
      <c r="BK737" s="1458"/>
      <c r="BL737" s="1028"/>
      <c r="BP737" s="265"/>
      <c r="BQ737" s="1458"/>
      <c r="BW737" s="11"/>
      <c r="CA737" s="11"/>
      <c r="CK737" s="265"/>
      <c r="CL737" s="265"/>
      <c r="CM737" s="265"/>
      <c r="CO737" s="11"/>
      <c r="CR737" s="1026"/>
      <c r="CS737" s="265"/>
      <c r="CT737" s="265"/>
      <c r="CU737" s="265"/>
    </row>
    <row r="738" spans="10:99" ht="15" customHeight="1">
      <c r="J738" s="265"/>
      <c r="K738" s="1024"/>
      <c r="L738" s="1025"/>
      <c r="M738" s="1026"/>
      <c r="N738" s="1026"/>
      <c r="O738" s="265"/>
      <c r="P738" s="265"/>
      <c r="T738" s="265"/>
      <c r="U738" s="265"/>
      <c r="V738" s="265"/>
      <c r="X738" s="1026"/>
      <c r="Y738" s="265"/>
      <c r="Z738" s="265"/>
      <c r="AA738" s="265"/>
      <c r="AE738" s="265"/>
      <c r="AF738" s="265"/>
      <c r="AV738" s="265"/>
      <c r="AW738" s="265"/>
      <c r="AX738" s="265"/>
      <c r="AY738" s="265"/>
      <c r="BE738" s="265"/>
      <c r="BF738" s="1028"/>
      <c r="BJ738" s="265"/>
      <c r="BK738" s="1458"/>
      <c r="BL738" s="1028"/>
      <c r="BP738" s="265"/>
      <c r="BQ738" s="1458"/>
      <c r="BW738" s="11"/>
      <c r="CA738" s="11"/>
      <c r="CK738" s="265"/>
      <c r="CL738" s="265"/>
      <c r="CM738" s="265"/>
      <c r="CO738" s="11"/>
      <c r="CR738" s="1026"/>
      <c r="CS738" s="265"/>
      <c r="CT738" s="265"/>
      <c r="CU738" s="265"/>
    </row>
    <row r="739" spans="10:99" ht="15" customHeight="1">
      <c r="J739" s="265"/>
      <c r="K739" s="1024"/>
      <c r="L739" s="1025"/>
      <c r="M739" s="1026"/>
      <c r="N739" s="1026"/>
      <c r="O739" s="265"/>
      <c r="P739" s="265"/>
      <c r="T739" s="265"/>
      <c r="U739" s="265"/>
      <c r="V739" s="265"/>
      <c r="X739" s="1026"/>
      <c r="Y739" s="265"/>
      <c r="Z739" s="265"/>
      <c r="AA739" s="265"/>
      <c r="AE739" s="265"/>
      <c r="AF739" s="265"/>
      <c r="AV739" s="265"/>
      <c r="AW739" s="265"/>
      <c r="AX739" s="265"/>
      <c r="AY739" s="265"/>
      <c r="BE739" s="265"/>
      <c r="BF739" s="1028"/>
      <c r="BJ739" s="265"/>
      <c r="BK739" s="1458"/>
      <c r="BL739" s="1028"/>
      <c r="BP739" s="265"/>
      <c r="BQ739" s="1458"/>
      <c r="BW739" s="11"/>
      <c r="CA739" s="11"/>
      <c r="CK739" s="265"/>
      <c r="CL739" s="265"/>
      <c r="CM739" s="265"/>
      <c r="CO739" s="11"/>
      <c r="CR739" s="1026"/>
      <c r="CS739" s="265"/>
      <c r="CT739" s="265"/>
      <c r="CU739" s="265"/>
    </row>
    <row r="740" spans="10:99" ht="15" customHeight="1">
      <c r="J740" s="265"/>
      <c r="K740" s="1024"/>
      <c r="L740" s="1025"/>
      <c r="M740" s="1026"/>
      <c r="N740" s="1026"/>
      <c r="O740" s="265"/>
      <c r="P740" s="265"/>
      <c r="T740" s="265"/>
      <c r="U740" s="265"/>
      <c r="V740" s="265"/>
      <c r="X740" s="1026"/>
      <c r="Y740" s="265"/>
      <c r="Z740" s="265"/>
      <c r="AA740" s="265"/>
      <c r="AE740" s="265"/>
      <c r="AF740" s="265"/>
      <c r="AV740" s="265"/>
      <c r="AW740" s="265"/>
      <c r="AX740" s="265"/>
      <c r="AY740" s="265"/>
      <c r="BE740" s="265"/>
      <c r="BF740" s="1028"/>
      <c r="BJ740" s="265"/>
      <c r="BK740" s="1458"/>
      <c r="BL740" s="1028"/>
      <c r="BP740" s="265"/>
      <c r="BQ740" s="1458"/>
      <c r="BW740" s="11"/>
      <c r="CA740" s="11"/>
      <c r="CK740" s="265"/>
      <c r="CL740" s="265"/>
      <c r="CM740" s="265"/>
      <c r="CO740" s="11"/>
      <c r="CR740" s="1026"/>
      <c r="CS740" s="265"/>
      <c r="CT740" s="265"/>
      <c r="CU740" s="265"/>
    </row>
    <row r="741" spans="10:99" ht="15" customHeight="1">
      <c r="J741" s="265"/>
      <c r="K741" s="1024"/>
      <c r="L741" s="1025"/>
      <c r="M741" s="1026"/>
      <c r="N741" s="1026"/>
      <c r="O741" s="265"/>
      <c r="P741" s="265"/>
      <c r="T741" s="265"/>
      <c r="U741" s="265"/>
      <c r="V741" s="265"/>
      <c r="X741" s="1026"/>
      <c r="Y741" s="265"/>
      <c r="Z741" s="265"/>
      <c r="AA741" s="265"/>
      <c r="AE741" s="265"/>
      <c r="AF741" s="265"/>
      <c r="AV741" s="265"/>
      <c r="AW741" s="265"/>
      <c r="AX741" s="265"/>
      <c r="AY741" s="265"/>
      <c r="BE741" s="265"/>
      <c r="BF741" s="1028"/>
      <c r="BJ741" s="265"/>
      <c r="BK741" s="1458"/>
      <c r="BL741" s="1028"/>
      <c r="BP741" s="265"/>
      <c r="BQ741" s="1458"/>
      <c r="BW741" s="11"/>
      <c r="CA741" s="11"/>
      <c r="CK741" s="265"/>
      <c r="CL741" s="265"/>
      <c r="CM741" s="265"/>
      <c r="CO741" s="11"/>
      <c r="CR741" s="1026"/>
      <c r="CS741" s="265"/>
      <c r="CT741" s="265"/>
      <c r="CU741" s="265"/>
    </row>
    <row r="742" spans="10:99" ht="15" customHeight="1">
      <c r="J742" s="265"/>
      <c r="K742" s="1024"/>
      <c r="L742" s="1025"/>
      <c r="M742" s="1026"/>
      <c r="N742" s="1026"/>
      <c r="O742" s="265"/>
      <c r="P742" s="265"/>
      <c r="T742" s="265"/>
      <c r="U742" s="265"/>
      <c r="V742" s="265"/>
      <c r="X742" s="1026"/>
      <c r="Y742" s="265"/>
      <c r="Z742" s="265"/>
      <c r="AA742" s="265"/>
      <c r="AE742" s="265"/>
      <c r="AF742" s="265"/>
      <c r="AV742" s="265"/>
      <c r="AW742" s="265"/>
      <c r="AX742" s="265"/>
      <c r="AY742" s="265"/>
      <c r="BE742" s="265"/>
      <c r="BF742" s="1028"/>
      <c r="BJ742" s="265"/>
      <c r="BK742" s="1458"/>
      <c r="BL742" s="1028"/>
      <c r="BP742" s="265"/>
      <c r="BQ742" s="1458"/>
      <c r="BW742" s="11"/>
      <c r="CA742" s="11"/>
      <c r="CK742" s="265"/>
      <c r="CL742" s="265"/>
      <c r="CM742" s="265"/>
      <c r="CO742" s="11"/>
      <c r="CR742" s="1026"/>
      <c r="CS742" s="265"/>
      <c r="CT742" s="265"/>
      <c r="CU742" s="265"/>
    </row>
    <row r="743" spans="10:99" ht="15" customHeight="1">
      <c r="J743" s="265"/>
      <c r="K743" s="1024"/>
      <c r="L743" s="1025"/>
      <c r="M743" s="1026"/>
      <c r="N743" s="1026"/>
      <c r="O743" s="265"/>
      <c r="P743" s="265"/>
      <c r="T743" s="265"/>
      <c r="U743" s="265"/>
      <c r="V743" s="265"/>
      <c r="X743" s="1026"/>
      <c r="Y743" s="265"/>
      <c r="Z743" s="265"/>
      <c r="AA743" s="265"/>
      <c r="AE743" s="265"/>
      <c r="AF743" s="265"/>
      <c r="AV743" s="265"/>
      <c r="AW743" s="265"/>
      <c r="AX743" s="265"/>
      <c r="AY743" s="265"/>
      <c r="BE743" s="265"/>
      <c r="BF743" s="1028"/>
      <c r="BJ743" s="265"/>
      <c r="BK743" s="1458"/>
      <c r="BL743" s="1028"/>
      <c r="BP743" s="265"/>
      <c r="BQ743" s="1458"/>
      <c r="BW743" s="11"/>
      <c r="CA743" s="11"/>
      <c r="CK743" s="265"/>
      <c r="CL743" s="265"/>
      <c r="CM743" s="265"/>
      <c r="CO743" s="11"/>
      <c r="CR743" s="1026"/>
      <c r="CS743" s="265"/>
      <c r="CT743" s="265"/>
      <c r="CU743" s="265"/>
    </row>
    <row r="744" spans="10:99" ht="15" customHeight="1">
      <c r="J744" s="265"/>
      <c r="K744" s="1024"/>
      <c r="L744" s="1025"/>
      <c r="M744" s="1026"/>
      <c r="N744" s="1026"/>
      <c r="O744" s="265"/>
      <c r="P744" s="265"/>
      <c r="T744" s="265"/>
      <c r="U744" s="265"/>
      <c r="V744" s="265"/>
      <c r="X744" s="1026"/>
      <c r="Y744" s="265"/>
      <c r="Z744" s="265"/>
      <c r="AA744" s="265"/>
      <c r="AE744" s="265"/>
      <c r="AF744" s="265"/>
      <c r="AV744" s="265"/>
      <c r="AW744" s="265"/>
      <c r="AX744" s="265"/>
      <c r="AY744" s="265"/>
      <c r="BE744" s="265"/>
      <c r="BF744" s="1028"/>
      <c r="BJ744" s="265"/>
      <c r="BK744" s="1458"/>
      <c r="BL744" s="1028"/>
      <c r="BP744" s="265"/>
      <c r="BQ744" s="1458"/>
      <c r="BW744" s="11"/>
      <c r="CA744" s="11"/>
      <c r="CK744" s="265"/>
      <c r="CL744" s="265"/>
      <c r="CM744" s="265"/>
      <c r="CO744" s="11"/>
      <c r="CR744" s="1026"/>
      <c r="CS744" s="265"/>
      <c r="CT744" s="265"/>
      <c r="CU744" s="265"/>
    </row>
    <row r="745" spans="10:99" ht="15" customHeight="1">
      <c r="J745" s="265"/>
      <c r="K745" s="1024"/>
      <c r="L745" s="1025"/>
      <c r="M745" s="1026"/>
      <c r="N745" s="1026"/>
      <c r="O745" s="265"/>
      <c r="P745" s="265"/>
      <c r="T745" s="265"/>
      <c r="U745" s="265"/>
      <c r="V745" s="265"/>
      <c r="X745" s="1026"/>
      <c r="Y745" s="265"/>
      <c r="Z745" s="265"/>
      <c r="AA745" s="265"/>
      <c r="AE745" s="265"/>
      <c r="AF745" s="265"/>
      <c r="AV745" s="265"/>
      <c r="AW745" s="265"/>
      <c r="AX745" s="265"/>
      <c r="AY745" s="265"/>
      <c r="BE745" s="265"/>
      <c r="BF745" s="1028"/>
      <c r="BJ745" s="265"/>
      <c r="BK745" s="1458"/>
      <c r="BL745" s="1028"/>
      <c r="BP745" s="265"/>
      <c r="BQ745" s="1458"/>
      <c r="BW745" s="11"/>
      <c r="CA745" s="11"/>
      <c r="CK745" s="265"/>
      <c r="CL745" s="265"/>
      <c r="CM745" s="265"/>
      <c r="CO745" s="11"/>
      <c r="CR745" s="1026"/>
      <c r="CS745" s="265"/>
      <c r="CT745" s="265"/>
      <c r="CU745" s="265"/>
    </row>
    <row r="746" spans="10:99" ht="15" customHeight="1">
      <c r="J746" s="265"/>
      <c r="K746" s="1024"/>
      <c r="L746" s="1025"/>
      <c r="M746" s="1026"/>
      <c r="N746" s="1026"/>
      <c r="O746" s="265"/>
      <c r="P746" s="265"/>
      <c r="T746" s="265"/>
      <c r="U746" s="265"/>
      <c r="V746" s="265"/>
      <c r="X746" s="1026"/>
      <c r="Y746" s="265"/>
      <c r="Z746" s="265"/>
      <c r="AA746" s="265"/>
      <c r="AE746" s="265"/>
      <c r="AF746" s="265"/>
      <c r="AV746" s="265"/>
      <c r="AW746" s="265"/>
      <c r="AX746" s="265"/>
      <c r="AY746" s="265"/>
      <c r="BE746" s="265"/>
      <c r="BF746" s="1028"/>
      <c r="BJ746" s="265"/>
      <c r="BK746" s="1458"/>
      <c r="BL746" s="1028"/>
      <c r="BP746" s="265"/>
      <c r="BQ746" s="1458"/>
      <c r="BW746" s="11"/>
      <c r="CA746" s="11"/>
      <c r="CK746" s="265"/>
      <c r="CL746" s="265"/>
      <c r="CM746" s="265"/>
      <c r="CO746" s="11"/>
      <c r="CR746" s="1026"/>
      <c r="CS746" s="265"/>
      <c r="CT746" s="265"/>
      <c r="CU746" s="265"/>
    </row>
    <row r="747" spans="10:99" ht="15" customHeight="1">
      <c r="J747" s="265"/>
      <c r="K747" s="1024"/>
      <c r="L747" s="1025"/>
      <c r="M747" s="1026"/>
      <c r="N747" s="1026"/>
      <c r="O747" s="265"/>
      <c r="P747" s="265"/>
      <c r="T747" s="265"/>
      <c r="U747" s="265"/>
      <c r="V747" s="265"/>
      <c r="X747" s="1026"/>
      <c r="Y747" s="265"/>
      <c r="Z747" s="265"/>
      <c r="AA747" s="265"/>
      <c r="AE747" s="265"/>
      <c r="AF747" s="265"/>
      <c r="AV747" s="265"/>
      <c r="AW747" s="265"/>
      <c r="AX747" s="265"/>
      <c r="AY747" s="265"/>
      <c r="BE747" s="265"/>
      <c r="BF747" s="1028"/>
      <c r="BJ747" s="265"/>
      <c r="BK747" s="1458"/>
      <c r="BL747" s="1028"/>
      <c r="BP747" s="265"/>
      <c r="BQ747" s="1458"/>
      <c r="BW747" s="11"/>
      <c r="CA747" s="11"/>
      <c r="CK747" s="265"/>
      <c r="CL747" s="265"/>
      <c r="CM747" s="265"/>
      <c r="CO747" s="11"/>
      <c r="CR747" s="1026"/>
      <c r="CS747" s="265"/>
      <c r="CT747" s="265"/>
      <c r="CU747" s="265"/>
    </row>
    <row r="748" spans="10:99" ht="15" customHeight="1">
      <c r="J748" s="265"/>
      <c r="K748" s="1024"/>
      <c r="L748" s="1025"/>
      <c r="M748" s="1026"/>
      <c r="N748" s="1026"/>
      <c r="O748" s="265"/>
      <c r="P748" s="265"/>
      <c r="T748" s="265"/>
      <c r="U748" s="265"/>
      <c r="V748" s="265"/>
      <c r="X748" s="1026"/>
      <c r="Y748" s="265"/>
      <c r="Z748" s="265"/>
      <c r="AA748" s="265"/>
      <c r="AE748" s="265"/>
      <c r="AF748" s="265"/>
      <c r="AV748" s="265"/>
      <c r="AW748" s="265"/>
      <c r="AX748" s="265"/>
      <c r="AY748" s="265"/>
      <c r="BE748" s="265"/>
      <c r="BF748" s="1028"/>
      <c r="BJ748" s="265"/>
      <c r="BK748" s="1458"/>
      <c r="BL748" s="1028"/>
      <c r="BP748" s="265"/>
      <c r="BQ748" s="1458"/>
      <c r="BW748" s="11"/>
      <c r="CA748" s="11"/>
      <c r="CK748" s="265"/>
      <c r="CL748" s="265"/>
      <c r="CM748" s="265"/>
      <c r="CO748" s="11"/>
      <c r="CR748" s="1026"/>
      <c r="CS748" s="265"/>
      <c r="CT748" s="265"/>
      <c r="CU748" s="265"/>
    </row>
    <row r="749" spans="10:99" ht="15" customHeight="1">
      <c r="J749" s="265"/>
      <c r="K749" s="1024"/>
      <c r="L749" s="1025"/>
      <c r="M749" s="1026"/>
      <c r="N749" s="1026"/>
      <c r="O749" s="265"/>
      <c r="P749" s="265"/>
      <c r="T749" s="265"/>
      <c r="U749" s="265"/>
      <c r="V749" s="265"/>
      <c r="X749" s="1026"/>
      <c r="Y749" s="265"/>
      <c r="Z749" s="265"/>
      <c r="AA749" s="265"/>
      <c r="AE749" s="265"/>
      <c r="AF749" s="265"/>
      <c r="AV749" s="265"/>
      <c r="AW749" s="265"/>
      <c r="AX749" s="265"/>
      <c r="AY749" s="265"/>
      <c r="BE749" s="265"/>
      <c r="BF749" s="1028"/>
      <c r="BJ749" s="265"/>
      <c r="BK749" s="1458"/>
      <c r="BL749" s="1028"/>
      <c r="BP749" s="265"/>
      <c r="BQ749" s="1458"/>
      <c r="BW749" s="11"/>
      <c r="CA749" s="11"/>
      <c r="CK749" s="265"/>
      <c r="CL749" s="265"/>
      <c r="CM749" s="265"/>
      <c r="CO749" s="11"/>
      <c r="CR749" s="1026"/>
      <c r="CS749" s="265"/>
      <c r="CT749" s="265"/>
      <c r="CU749" s="265"/>
    </row>
    <row r="750" spans="10:99" ht="15" customHeight="1">
      <c r="J750" s="265"/>
      <c r="K750" s="1024"/>
      <c r="L750" s="1025"/>
      <c r="M750" s="1026"/>
      <c r="N750" s="1026"/>
      <c r="O750" s="265"/>
      <c r="P750" s="265"/>
      <c r="T750" s="265"/>
      <c r="U750" s="265"/>
      <c r="V750" s="265"/>
      <c r="X750" s="1026"/>
      <c r="Y750" s="265"/>
      <c r="Z750" s="265"/>
      <c r="AA750" s="265"/>
      <c r="AE750" s="265"/>
      <c r="AF750" s="265"/>
      <c r="AV750" s="265"/>
      <c r="AW750" s="265"/>
      <c r="AX750" s="265"/>
      <c r="AY750" s="265"/>
      <c r="BE750" s="265"/>
      <c r="BF750" s="1028"/>
      <c r="BJ750" s="265"/>
      <c r="BK750" s="1458"/>
      <c r="BL750" s="1028"/>
      <c r="BP750" s="265"/>
      <c r="BQ750" s="1458"/>
      <c r="BW750" s="11"/>
      <c r="CA750" s="11"/>
      <c r="CK750" s="265"/>
      <c r="CL750" s="265"/>
      <c r="CM750" s="265"/>
      <c r="CO750" s="11"/>
      <c r="CR750" s="1026"/>
      <c r="CS750" s="265"/>
      <c r="CT750" s="265"/>
      <c r="CU750" s="265"/>
    </row>
    <row r="751" spans="10:99" ht="15" customHeight="1">
      <c r="J751" s="265"/>
      <c r="K751" s="1024"/>
      <c r="L751" s="1025"/>
      <c r="M751" s="1026"/>
      <c r="N751" s="1026"/>
      <c r="O751" s="265"/>
      <c r="P751" s="265"/>
      <c r="T751" s="265"/>
      <c r="U751" s="265"/>
      <c r="V751" s="265"/>
      <c r="X751" s="1026"/>
      <c r="Y751" s="265"/>
      <c r="Z751" s="265"/>
      <c r="AA751" s="265"/>
      <c r="AE751" s="265"/>
      <c r="AF751" s="265"/>
      <c r="AV751" s="265"/>
      <c r="AW751" s="265"/>
      <c r="AX751" s="265"/>
      <c r="AY751" s="265"/>
      <c r="BE751" s="265"/>
      <c r="BF751" s="1028"/>
      <c r="BJ751" s="265"/>
      <c r="BK751" s="1458"/>
      <c r="BL751" s="1028"/>
      <c r="BP751" s="265"/>
      <c r="BQ751" s="1458"/>
      <c r="BW751" s="11"/>
      <c r="CA751" s="11"/>
      <c r="CK751" s="265"/>
      <c r="CL751" s="265"/>
      <c r="CM751" s="265"/>
      <c r="CO751" s="11"/>
      <c r="CR751" s="1026"/>
      <c r="CS751" s="265"/>
      <c r="CT751" s="265"/>
      <c r="CU751" s="265"/>
    </row>
    <row r="752" spans="10:99" ht="15" customHeight="1">
      <c r="J752" s="265"/>
      <c r="K752" s="1024"/>
      <c r="L752" s="1025"/>
      <c r="M752" s="1026"/>
      <c r="N752" s="1026"/>
      <c r="O752" s="265"/>
      <c r="P752" s="265"/>
      <c r="T752" s="265"/>
      <c r="U752" s="265"/>
      <c r="V752" s="265"/>
      <c r="X752" s="1026"/>
      <c r="Y752" s="265"/>
      <c r="Z752" s="265"/>
      <c r="AA752" s="265"/>
      <c r="AE752" s="265"/>
      <c r="AF752" s="265"/>
      <c r="AV752" s="265"/>
      <c r="AW752" s="265"/>
      <c r="AX752" s="265"/>
      <c r="AY752" s="265"/>
      <c r="BE752" s="265"/>
      <c r="BF752" s="1028"/>
      <c r="BJ752" s="265"/>
      <c r="BK752" s="1458"/>
      <c r="BL752" s="1028"/>
      <c r="BP752" s="265"/>
      <c r="BQ752" s="1458"/>
      <c r="BW752" s="11"/>
      <c r="CA752" s="11"/>
      <c r="CK752" s="265"/>
      <c r="CL752" s="265"/>
      <c r="CM752" s="265"/>
      <c r="CO752" s="11"/>
      <c r="CR752" s="1026"/>
      <c r="CS752" s="265"/>
      <c r="CT752" s="265"/>
      <c r="CU752" s="265"/>
    </row>
    <row r="753" spans="10:99" ht="15" customHeight="1">
      <c r="J753" s="265"/>
      <c r="K753" s="1024"/>
      <c r="L753" s="1025"/>
      <c r="M753" s="1026"/>
      <c r="N753" s="1026"/>
      <c r="O753" s="265"/>
      <c r="P753" s="265"/>
      <c r="T753" s="265"/>
      <c r="U753" s="265"/>
      <c r="V753" s="265"/>
      <c r="X753" s="1026"/>
      <c r="Y753" s="265"/>
      <c r="Z753" s="265"/>
      <c r="AA753" s="265"/>
      <c r="AE753" s="265"/>
      <c r="AF753" s="265"/>
      <c r="AV753" s="265"/>
      <c r="AW753" s="265"/>
      <c r="AX753" s="265"/>
      <c r="AY753" s="265"/>
      <c r="BE753" s="265"/>
      <c r="BF753" s="1028"/>
      <c r="BJ753" s="265"/>
      <c r="BK753" s="1458"/>
      <c r="BL753" s="1028"/>
      <c r="BP753" s="265"/>
      <c r="BQ753" s="1458"/>
      <c r="BW753" s="11"/>
      <c r="CA753" s="11"/>
      <c r="CK753" s="265"/>
      <c r="CL753" s="265"/>
      <c r="CM753" s="265"/>
      <c r="CO753" s="11"/>
      <c r="CR753" s="1026"/>
      <c r="CS753" s="265"/>
      <c r="CT753" s="265"/>
      <c r="CU753" s="265"/>
    </row>
    <row r="754" spans="10:99" ht="15" customHeight="1">
      <c r="J754" s="265"/>
      <c r="K754" s="1024"/>
      <c r="L754" s="1025"/>
      <c r="M754" s="1026"/>
      <c r="N754" s="1026"/>
      <c r="O754" s="265"/>
      <c r="P754" s="265"/>
      <c r="T754" s="265"/>
      <c r="U754" s="265"/>
      <c r="V754" s="265"/>
      <c r="X754" s="1026"/>
      <c r="Y754" s="265"/>
      <c r="Z754" s="265"/>
      <c r="AA754" s="265"/>
      <c r="AE754" s="265"/>
      <c r="AF754" s="265"/>
      <c r="AV754" s="265"/>
      <c r="AW754" s="265"/>
      <c r="AX754" s="265"/>
      <c r="AY754" s="265"/>
      <c r="BE754" s="265"/>
      <c r="BF754" s="1028"/>
      <c r="BJ754" s="265"/>
      <c r="BK754" s="1458"/>
      <c r="BL754" s="1028"/>
      <c r="BP754" s="265"/>
      <c r="BQ754" s="1458"/>
      <c r="BW754" s="11"/>
      <c r="CA754" s="11"/>
      <c r="CK754" s="265"/>
      <c r="CL754" s="265"/>
      <c r="CM754" s="265"/>
      <c r="CO754" s="11"/>
      <c r="CR754" s="1026"/>
      <c r="CS754" s="265"/>
      <c r="CT754" s="265"/>
      <c r="CU754" s="265"/>
    </row>
    <row r="755" spans="10:99" ht="15" customHeight="1">
      <c r="J755" s="265"/>
      <c r="K755" s="1024"/>
      <c r="L755" s="1025"/>
      <c r="M755" s="1026"/>
      <c r="N755" s="1026"/>
      <c r="O755" s="265"/>
      <c r="P755" s="265"/>
      <c r="T755" s="265"/>
      <c r="U755" s="265"/>
      <c r="V755" s="265"/>
      <c r="X755" s="1026"/>
      <c r="Y755" s="265"/>
      <c r="Z755" s="265"/>
      <c r="AA755" s="265"/>
      <c r="AE755" s="265"/>
      <c r="AF755" s="265"/>
      <c r="AV755" s="265"/>
      <c r="AW755" s="265"/>
      <c r="AX755" s="265"/>
      <c r="AY755" s="265"/>
      <c r="BE755" s="265"/>
      <c r="BF755" s="1028"/>
      <c r="BJ755" s="265"/>
      <c r="BK755" s="1458"/>
      <c r="BL755" s="1028"/>
      <c r="BP755" s="265"/>
      <c r="BQ755" s="1458"/>
      <c r="BW755" s="11"/>
      <c r="CA755" s="11"/>
      <c r="CK755" s="265"/>
      <c r="CL755" s="265"/>
      <c r="CM755" s="265"/>
      <c r="CO755" s="11"/>
      <c r="CR755" s="1026"/>
      <c r="CS755" s="265"/>
      <c r="CT755" s="265"/>
      <c r="CU755" s="265"/>
    </row>
    <row r="756" spans="10:99" ht="15" customHeight="1">
      <c r="J756" s="265"/>
      <c r="K756" s="1024"/>
      <c r="L756" s="1025"/>
      <c r="M756" s="1026"/>
      <c r="N756" s="1026"/>
      <c r="O756" s="265"/>
      <c r="P756" s="265"/>
      <c r="T756" s="265"/>
      <c r="U756" s="265"/>
      <c r="V756" s="265"/>
      <c r="X756" s="1026"/>
      <c r="Y756" s="265"/>
      <c r="Z756" s="265"/>
      <c r="AA756" s="265"/>
      <c r="AE756" s="265"/>
      <c r="AF756" s="265"/>
      <c r="AV756" s="265"/>
      <c r="AW756" s="265"/>
      <c r="AX756" s="265"/>
      <c r="AY756" s="265"/>
      <c r="BE756" s="265"/>
      <c r="BF756" s="1028"/>
      <c r="BJ756" s="265"/>
      <c r="BK756" s="1458"/>
      <c r="BL756" s="1028"/>
      <c r="BP756" s="265"/>
      <c r="BQ756" s="1458"/>
      <c r="BW756" s="11"/>
      <c r="CA756" s="11"/>
      <c r="CK756" s="265"/>
      <c r="CL756" s="265"/>
      <c r="CM756" s="265"/>
      <c r="CO756" s="11"/>
      <c r="CR756" s="1026"/>
      <c r="CS756" s="265"/>
      <c r="CT756" s="265"/>
      <c r="CU756" s="265"/>
    </row>
    <row r="757" spans="10:99" ht="15" customHeight="1">
      <c r="J757" s="265"/>
      <c r="K757" s="1024"/>
      <c r="L757" s="1025"/>
      <c r="M757" s="1026"/>
      <c r="N757" s="1026"/>
      <c r="O757" s="265"/>
      <c r="P757" s="265"/>
      <c r="T757" s="265"/>
      <c r="U757" s="265"/>
      <c r="V757" s="265"/>
      <c r="X757" s="1026"/>
      <c r="Y757" s="265"/>
      <c r="Z757" s="265"/>
      <c r="AA757" s="265"/>
      <c r="AE757" s="265"/>
      <c r="AF757" s="265"/>
      <c r="AV757" s="265"/>
      <c r="AW757" s="265"/>
      <c r="AX757" s="265"/>
      <c r="AY757" s="265"/>
      <c r="BE757" s="265"/>
      <c r="BF757" s="1028"/>
      <c r="BJ757" s="265"/>
      <c r="BK757" s="1458"/>
      <c r="BL757" s="1028"/>
      <c r="BP757" s="265"/>
      <c r="BQ757" s="1458"/>
      <c r="BW757" s="11"/>
      <c r="CA757" s="11"/>
      <c r="CK757" s="265"/>
      <c r="CL757" s="265"/>
      <c r="CM757" s="265"/>
      <c r="CO757" s="11"/>
      <c r="CR757" s="1026"/>
      <c r="CS757" s="265"/>
      <c r="CT757" s="265"/>
      <c r="CU757" s="265"/>
    </row>
    <row r="758" spans="10:99" ht="15" customHeight="1">
      <c r="J758" s="265"/>
      <c r="K758" s="1024"/>
      <c r="L758" s="1025"/>
      <c r="M758" s="1026"/>
      <c r="N758" s="1026"/>
      <c r="O758" s="265"/>
      <c r="P758" s="265"/>
      <c r="T758" s="265"/>
      <c r="U758" s="265"/>
      <c r="V758" s="265"/>
      <c r="X758" s="1026"/>
      <c r="Y758" s="265"/>
      <c r="Z758" s="265"/>
      <c r="AA758" s="265"/>
      <c r="AE758" s="265"/>
      <c r="AF758" s="265"/>
      <c r="AV758" s="265"/>
      <c r="AW758" s="265"/>
      <c r="AX758" s="265"/>
      <c r="AY758" s="265"/>
      <c r="BE758" s="265"/>
      <c r="BF758" s="1028"/>
      <c r="BJ758" s="265"/>
      <c r="BK758" s="1458"/>
      <c r="BL758" s="1028"/>
      <c r="BP758" s="265"/>
      <c r="BQ758" s="1458"/>
      <c r="BW758" s="11"/>
      <c r="CA758" s="11"/>
      <c r="CK758" s="265"/>
      <c r="CL758" s="265"/>
      <c r="CM758" s="265"/>
      <c r="CO758" s="11"/>
      <c r="CR758" s="1026"/>
      <c r="CS758" s="265"/>
      <c r="CT758" s="265"/>
      <c r="CU758" s="265"/>
    </row>
    <row r="759" spans="10:99" ht="15" customHeight="1">
      <c r="J759" s="265"/>
      <c r="K759" s="1024"/>
      <c r="L759" s="1025"/>
      <c r="M759" s="1026"/>
      <c r="N759" s="1026"/>
      <c r="O759" s="265"/>
      <c r="P759" s="265"/>
      <c r="T759" s="265"/>
      <c r="U759" s="265"/>
      <c r="V759" s="265"/>
      <c r="X759" s="1026"/>
      <c r="Y759" s="265"/>
      <c r="Z759" s="265"/>
      <c r="AA759" s="265"/>
      <c r="AE759" s="265"/>
      <c r="AF759" s="265"/>
      <c r="AV759" s="265"/>
      <c r="AW759" s="265"/>
      <c r="AX759" s="265"/>
      <c r="AY759" s="265"/>
      <c r="BE759" s="265"/>
      <c r="BF759" s="1028"/>
      <c r="BJ759" s="265"/>
      <c r="BK759" s="1458"/>
      <c r="BL759" s="1028"/>
      <c r="BP759" s="265"/>
      <c r="BQ759" s="1458"/>
      <c r="BW759" s="11"/>
      <c r="CA759" s="11"/>
      <c r="CK759" s="265"/>
      <c r="CL759" s="265"/>
      <c r="CM759" s="265"/>
      <c r="CO759" s="11"/>
      <c r="CR759" s="1026"/>
      <c r="CS759" s="265"/>
      <c r="CT759" s="265"/>
      <c r="CU759" s="265"/>
    </row>
    <row r="760" spans="10:99" ht="15" customHeight="1">
      <c r="J760" s="265"/>
      <c r="K760" s="1024"/>
      <c r="L760" s="1025"/>
      <c r="M760" s="1026"/>
      <c r="N760" s="1026"/>
      <c r="O760" s="265"/>
      <c r="P760" s="265"/>
      <c r="T760" s="265"/>
      <c r="U760" s="265"/>
      <c r="V760" s="265"/>
      <c r="X760" s="1026"/>
      <c r="Y760" s="265"/>
      <c r="Z760" s="265"/>
      <c r="AA760" s="265"/>
      <c r="AE760" s="265"/>
      <c r="AF760" s="265"/>
      <c r="AV760" s="265"/>
      <c r="AW760" s="265"/>
      <c r="AX760" s="265"/>
      <c r="AY760" s="265"/>
      <c r="BE760" s="265"/>
      <c r="BF760" s="1028"/>
      <c r="BJ760" s="265"/>
      <c r="BK760" s="1458"/>
      <c r="BL760" s="1028"/>
      <c r="BP760" s="265"/>
      <c r="BQ760" s="1458"/>
      <c r="BW760" s="11"/>
      <c r="CA760" s="11"/>
      <c r="CK760" s="265"/>
      <c r="CL760" s="265"/>
      <c r="CM760" s="265"/>
      <c r="CO760" s="11"/>
      <c r="CR760" s="1026"/>
      <c r="CS760" s="265"/>
      <c r="CT760" s="265"/>
      <c r="CU760" s="265"/>
    </row>
    <row r="761" spans="10:99" ht="15" customHeight="1">
      <c r="J761" s="265"/>
      <c r="K761" s="1024"/>
      <c r="L761" s="1025"/>
      <c r="M761" s="1026"/>
      <c r="N761" s="1026"/>
      <c r="O761" s="265"/>
      <c r="P761" s="265"/>
      <c r="T761" s="265"/>
      <c r="U761" s="265"/>
      <c r="V761" s="265"/>
      <c r="X761" s="1026"/>
      <c r="Y761" s="265"/>
      <c r="Z761" s="265"/>
      <c r="AA761" s="265"/>
      <c r="AE761" s="265"/>
      <c r="AF761" s="265"/>
      <c r="AV761" s="265"/>
      <c r="AW761" s="265"/>
      <c r="AX761" s="265"/>
      <c r="AY761" s="265"/>
      <c r="BE761" s="265"/>
      <c r="BF761" s="1028"/>
      <c r="BJ761" s="265"/>
      <c r="BK761" s="1458"/>
      <c r="BL761" s="1028"/>
      <c r="BP761" s="265"/>
      <c r="BQ761" s="1458"/>
      <c r="BW761" s="11"/>
      <c r="CA761" s="11"/>
      <c r="CK761" s="265"/>
      <c r="CL761" s="265"/>
      <c r="CM761" s="265"/>
      <c r="CO761" s="11"/>
      <c r="CR761" s="1026"/>
      <c r="CS761" s="265"/>
      <c r="CT761" s="265"/>
      <c r="CU761" s="265"/>
    </row>
    <row r="762" spans="10:99" ht="15" customHeight="1">
      <c r="J762" s="265"/>
      <c r="K762" s="1024"/>
      <c r="L762" s="1025"/>
      <c r="M762" s="1026"/>
      <c r="N762" s="1026"/>
      <c r="O762" s="265"/>
      <c r="P762" s="265"/>
      <c r="T762" s="265"/>
      <c r="U762" s="265"/>
      <c r="V762" s="265"/>
      <c r="X762" s="1026"/>
      <c r="Y762" s="265"/>
      <c r="Z762" s="265"/>
      <c r="AA762" s="265"/>
      <c r="AE762" s="265"/>
      <c r="AF762" s="265"/>
      <c r="AV762" s="265"/>
      <c r="AW762" s="265"/>
      <c r="AX762" s="265"/>
      <c r="AY762" s="265"/>
      <c r="BE762" s="265"/>
      <c r="BF762" s="1028"/>
      <c r="BJ762" s="265"/>
      <c r="BK762" s="1458"/>
      <c r="BL762" s="1028"/>
      <c r="BP762" s="265"/>
      <c r="BQ762" s="1458"/>
      <c r="BW762" s="11"/>
      <c r="CA762" s="11"/>
      <c r="CK762" s="265"/>
      <c r="CL762" s="265"/>
      <c r="CM762" s="265"/>
      <c r="CO762" s="11"/>
      <c r="CR762" s="1026"/>
      <c r="CS762" s="265"/>
      <c r="CT762" s="265"/>
      <c r="CU762" s="265"/>
    </row>
    <row r="763" spans="10:99" ht="15" customHeight="1">
      <c r="J763" s="265"/>
      <c r="K763" s="1024"/>
      <c r="L763" s="1025"/>
      <c r="M763" s="1026"/>
      <c r="N763" s="1026"/>
      <c r="O763" s="265"/>
      <c r="P763" s="265"/>
      <c r="T763" s="265"/>
      <c r="U763" s="265"/>
      <c r="V763" s="265"/>
      <c r="X763" s="1026"/>
      <c r="Y763" s="265"/>
      <c r="Z763" s="265"/>
      <c r="AA763" s="265"/>
      <c r="AE763" s="265"/>
      <c r="AF763" s="265"/>
      <c r="AV763" s="265"/>
      <c r="AW763" s="265"/>
      <c r="AX763" s="265"/>
      <c r="AY763" s="265"/>
      <c r="BE763" s="265"/>
      <c r="BF763" s="1028"/>
      <c r="BJ763" s="265"/>
      <c r="BK763" s="1458"/>
      <c r="BL763" s="1028"/>
      <c r="BP763" s="265"/>
      <c r="BQ763" s="1458"/>
      <c r="BW763" s="11"/>
      <c r="CA763" s="11"/>
      <c r="CK763" s="265"/>
      <c r="CL763" s="265"/>
      <c r="CM763" s="265"/>
      <c r="CO763" s="11"/>
      <c r="CR763" s="1026"/>
      <c r="CS763" s="265"/>
      <c r="CT763" s="265"/>
      <c r="CU763" s="265"/>
    </row>
    <row r="764" spans="10:99" ht="15" customHeight="1">
      <c r="J764" s="265"/>
      <c r="K764" s="1024"/>
      <c r="L764" s="1025"/>
      <c r="M764" s="1026"/>
      <c r="N764" s="1026"/>
      <c r="O764" s="265"/>
      <c r="P764" s="265"/>
      <c r="T764" s="265"/>
      <c r="U764" s="265"/>
      <c r="V764" s="265"/>
      <c r="X764" s="1026"/>
      <c r="Y764" s="265"/>
      <c r="Z764" s="265"/>
      <c r="AA764" s="265"/>
      <c r="AE764" s="265"/>
      <c r="AF764" s="265"/>
      <c r="AV764" s="265"/>
      <c r="AW764" s="265"/>
      <c r="AX764" s="265"/>
      <c r="AY764" s="265"/>
      <c r="BE764" s="265"/>
      <c r="BF764" s="1028"/>
      <c r="BJ764" s="265"/>
      <c r="BK764" s="1458"/>
      <c r="BL764" s="1028"/>
      <c r="BP764" s="265"/>
      <c r="BQ764" s="1458"/>
      <c r="BW764" s="11"/>
      <c r="CA764" s="11"/>
      <c r="CK764" s="265"/>
      <c r="CL764" s="265"/>
      <c r="CM764" s="265"/>
      <c r="CO764" s="11"/>
      <c r="CR764" s="1026"/>
      <c r="CS764" s="265"/>
      <c r="CT764" s="265"/>
      <c r="CU764" s="265"/>
    </row>
    <row r="765" spans="10:99" ht="15" customHeight="1">
      <c r="J765" s="265"/>
      <c r="K765" s="1024"/>
      <c r="L765" s="1025"/>
      <c r="M765" s="1026"/>
      <c r="N765" s="1026"/>
      <c r="O765" s="265"/>
      <c r="P765" s="265"/>
      <c r="T765" s="265"/>
      <c r="U765" s="265"/>
      <c r="V765" s="265"/>
      <c r="X765" s="1026"/>
      <c r="Y765" s="265"/>
      <c r="Z765" s="265"/>
      <c r="AA765" s="265"/>
      <c r="AE765" s="265"/>
      <c r="AF765" s="265"/>
      <c r="AV765" s="265"/>
      <c r="AW765" s="265"/>
      <c r="AX765" s="265"/>
      <c r="AY765" s="265"/>
      <c r="BE765" s="265"/>
      <c r="BF765" s="1028"/>
      <c r="BJ765" s="265"/>
      <c r="BK765" s="1458"/>
      <c r="BL765" s="1028"/>
      <c r="BP765" s="265"/>
      <c r="BQ765" s="1458"/>
      <c r="BW765" s="11"/>
      <c r="CA765" s="11"/>
      <c r="CK765" s="265"/>
      <c r="CL765" s="265"/>
      <c r="CM765" s="265"/>
      <c r="CO765" s="11"/>
      <c r="CR765" s="1026"/>
      <c r="CS765" s="265"/>
      <c r="CT765" s="265"/>
      <c r="CU765" s="265"/>
    </row>
    <row r="766" spans="10:99" ht="15" customHeight="1">
      <c r="J766" s="265"/>
      <c r="K766" s="1024"/>
      <c r="L766" s="1025"/>
      <c r="M766" s="1026"/>
      <c r="N766" s="1026"/>
      <c r="O766" s="265"/>
      <c r="P766" s="265"/>
      <c r="T766" s="265"/>
      <c r="U766" s="265"/>
      <c r="V766" s="265"/>
      <c r="X766" s="1026"/>
      <c r="Y766" s="265"/>
      <c r="Z766" s="265"/>
      <c r="AA766" s="265"/>
      <c r="AE766" s="265"/>
      <c r="AF766" s="265"/>
      <c r="AV766" s="265"/>
      <c r="AW766" s="265"/>
      <c r="AX766" s="265"/>
      <c r="AY766" s="265"/>
      <c r="BE766" s="265"/>
      <c r="BF766" s="1028"/>
      <c r="BJ766" s="265"/>
      <c r="BK766" s="1458"/>
      <c r="BL766" s="1028"/>
      <c r="BP766" s="265"/>
      <c r="BQ766" s="1458"/>
      <c r="BW766" s="11"/>
      <c r="CA766" s="11"/>
      <c r="CK766" s="265"/>
      <c r="CL766" s="265"/>
      <c r="CM766" s="265"/>
      <c r="CO766" s="11"/>
      <c r="CR766" s="1026"/>
      <c r="CS766" s="265"/>
      <c r="CT766" s="265"/>
      <c r="CU766" s="265"/>
    </row>
    <row r="767" spans="10:99" ht="15" customHeight="1">
      <c r="J767" s="265"/>
      <c r="K767" s="1024"/>
      <c r="L767" s="1025"/>
      <c r="M767" s="1026"/>
      <c r="N767" s="1026"/>
      <c r="O767" s="265"/>
      <c r="P767" s="265"/>
      <c r="T767" s="265"/>
      <c r="U767" s="265"/>
      <c r="V767" s="265"/>
      <c r="X767" s="1026"/>
      <c r="Y767" s="265"/>
      <c r="Z767" s="265"/>
      <c r="AA767" s="265"/>
      <c r="AE767" s="265"/>
      <c r="AF767" s="265"/>
      <c r="AV767" s="265"/>
      <c r="AW767" s="265"/>
      <c r="AX767" s="265"/>
      <c r="AY767" s="265"/>
      <c r="BE767" s="265"/>
      <c r="BF767" s="1028"/>
      <c r="BJ767" s="265"/>
      <c r="BK767" s="1458"/>
      <c r="BL767" s="1028"/>
      <c r="BP767" s="265"/>
      <c r="BQ767" s="1458"/>
      <c r="BW767" s="11"/>
      <c r="CA767" s="11"/>
      <c r="CK767" s="265"/>
      <c r="CL767" s="265"/>
      <c r="CM767" s="265"/>
      <c r="CO767" s="11"/>
      <c r="CR767" s="1026"/>
      <c r="CS767" s="265"/>
      <c r="CT767" s="265"/>
      <c r="CU767" s="265"/>
    </row>
    <row r="768" spans="10:99" ht="15" customHeight="1">
      <c r="J768" s="265"/>
      <c r="K768" s="1024"/>
      <c r="L768" s="1025"/>
      <c r="M768" s="1026"/>
      <c r="N768" s="1026"/>
      <c r="O768" s="265"/>
      <c r="P768" s="265"/>
      <c r="T768" s="265"/>
      <c r="U768" s="265"/>
      <c r="V768" s="265"/>
      <c r="X768" s="1026"/>
      <c r="Y768" s="265"/>
      <c r="Z768" s="265"/>
      <c r="AA768" s="265"/>
      <c r="AE768" s="265"/>
      <c r="AF768" s="265"/>
      <c r="AV768" s="265"/>
      <c r="AW768" s="265"/>
      <c r="AX768" s="265"/>
      <c r="AY768" s="265"/>
      <c r="BE768" s="265"/>
      <c r="BF768" s="1028"/>
      <c r="BJ768" s="265"/>
      <c r="BK768" s="1458"/>
      <c r="BL768" s="1028"/>
      <c r="BP768" s="265"/>
      <c r="BQ768" s="1458"/>
      <c r="BW768" s="11"/>
      <c r="CA768" s="11"/>
      <c r="CK768" s="265"/>
      <c r="CL768" s="265"/>
      <c r="CM768" s="265"/>
      <c r="CO768" s="11"/>
      <c r="CR768" s="1026"/>
      <c r="CS768" s="265"/>
      <c r="CT768" s="265"/>
      <c r="CU768" s="265"/>
    </row>
    <row r="769" spans="10:99" ht="15" customHeight="1">
      <c r="J769" s="265"/>
      <c r="K769" s="1024"/>
      <c r="L769" s="1025"/>
      <c r="M769" s="1026"/>
      <c r="N769" s="1026"/>
      <c r="O769" s="265"/>
      <c r="P769" s="265"/>
      <c r="T769" s="265"/>
      <c r="U769" s="265"/>
      <c r="V769" s="265"/>
      <c r="X769" s="1026"/>
      <c r="Y769" s="265"/>
      <c r="Z769" s="265"/>
      <c r="AA769" s="265"/>
      <c r="AE769" s="265"/>
      <c r="AF769" s="265"/>
      <c r="AV769" s="265"/>
      <c r="AW769" s="265"/>
      <c r="AX769" s="265"/>
      <c r="AY769" s="265"/>
      <c r="BE769" s="265"/>
      <c r="BF769" s="1028"/>
      <c r="BJ769" s="265"/>
      <c r="BK769" s="1458"/>
      <c r="BL769" s="1028"/>
      <c r="BP769" s="265"/>
      <c r="BQ769" s="1458"/>
      <c r="BW769" s="11"/>
      <c r="CA769" s="11"/>
      <c r="CK769" s="265"/>
      <c r="CL769" s="265"/>
      <c r="CM769" s="265"/>
      <c r="CO769" s="11"/>
      <c r="CR769" s="1026"/>
      <c r="CS769" s="265"/>
      <c r="CT769" s="265"/>
      <c r="CU769" s="265"/>
    </row>
    <row r="770" spans="10:99" ht="15" customHeight="1">
      <c r="J770" s="265"/>
      <c r="K770" s="1024"/>
      <c r="L770" s="1025"/>
      <c r="M770" s="1026"/>
      <c r="N770" s="1026"/>
      <c r="O770" s="265"/>
      <c r="P770" s="265"/>
      <c r="T770" s="265"/>
      <c r="U770" s="265"/>
      <c r="V770" s="265"/>
      <c r="X770" s="1026"/>
      <c r="Y770" s="265"/>
      <c r="Z770" s="265"/>
      <c r="AA770" s="265"/>
      <c r="AE770" s="265"/>
      <c r="AF770" s="265"/>
      <c r="AV770" s="265"/>
      <c r="AW770" s="265"/>
      <c r="AX770" s="265"/>
      <c r="AY770" s="265"/>
      <c r="BE770" s="265"/>
      <c r="BF770" s="1028"/>
      <c r="BJ770" s="265"/>
      <c r="BK770" s="1458"/>
      <c r="BL770" s="1028"/>
      <c r="BP770" s="265"/>
      <c r="BQ770" s="1458"/>
      <c r="BW770" s="11"/>
      <c r="CA770" s="11"/>
      <c r="CK770" s="265"/>
      <c r="CL770" s="265"/>
      <c r="CM770" s="265"/>
      <c r="CO770" s="11"/>
      <c r="CR770" s="1026"/>
      <c r="CS770" s="265"/>
      <c r="CT770" s="265"/>
      <c r="CU770" s="265"/>
    </row>
    <row r="771" spans="10:99" ht="15" customHeight="1">
      <c r="J771" s="265"/>
      <c r="K771" s="1024"/>
      <c r="L771" s="1025"/>
      <c r="M771" s="1026"/>
      <c r="N771" s="1026"/>
      <c r="O771" s="265"/>
      <c r="P771" s="265"/>
      <c r="T771" s="265"/>
      <c r="U771" s="265"/>
      <c r="V771" s="265"/>
      <c r="X771" s="1026"/>
      <c r="Y771" s="265"/>
      <c r="Z771" s="265"/>
      <c r="AA771" s="265"/>
      <c r="AE771" s="265"/>
      <c r="AF771" s="265"/>
      <c r="AV771" s="265"/>
      <c r="AW771" s="265"/>
      <c r="AX771" s="265"/>
      <c r="AY771" s="265"/>
      <c r="BE771" s="265"/>
      <c r="BF771" s="1028"/>
      <c r="BJ771" s="265"/>
      <c r="BK771" s="1458"/>
      <c r="BL771" s="1028"/>
      <c r="BP771" s="265"/>
      <c r="BQ771" s="1458"/>
      <c r="BW771" s="11"/>
      <c r="CA771" s="11"/>
      <c r="CK771" s="265"/>
      <c r="CL771" s="265"/>
      <c r="CM771" s="265"/>
      <c r="CO771" s="11"/>
      <c r="CR771" s="1026"/>
      <c r="CS771" s="265"/>
      <c r="CT771" s="265"/>
      <c r="CU771" s="265"/>
    </row>
    <row r="772" spans="10:99" ht="15" customHeight="1">
      <c r="J772" s="265"/>
      <c r="K772" s="1024"/>
      <c r="L772" s="1025"/>
      <c r="M772" s="1026"/>
      <c r="N772" s="1026"/>
      <c r="O772" s="265"/>
      <c r="P772" s="265"/>
      <c r="T772" s="265"/>
      <c r="U772" s="265"/>
      <c r="V772" s="265"/>
      <c r="X772" s="1026"/>
      <c r="Y772" s="265"/>
      <c r="Z772" s="265"/>
      <c r="AA772" s="265"/>
      <c r="AE772" s="265"/>
      <c r="AF772" s="265"/>
      <c r="AV772" s="265"/>
      <c r="AW772" s="265"/>
      <c r="AX772" s="265"/>
      <c r="AY772" s="265"/>
      <c r="BE772" s="265"/>
      <c r="BF772" s="1028"/>
      <c r="BJ772" s="265"/>
      <c r="BK772" s="1458"/>
      <c r="BL772" s="1028"/>
      <c r="BP772" s="265"/>
      <c r="BQ772" s="1458"/>
      <c r="BW772" s="11"/>
      <c r="CA772" s="11"/>
      <c r="CK772" s="265"/>
      <c r="CL772" s="265"/>
      <c r="CM772" s="265"/>
      <c r="CO772" s="11"/>
      <c r="CR772" s="1026"/>
      <c r="CS772" s="265"/>
      <c r="CT772" s="265"/>
      <c r="CU772" s="265"/>
    </row>
    <row r="773" spans="10:99" ht="15" customHeight="1">
      <c r="J773" s="265"/>
      <c r="K773" s="1024"/>
      <c r="L773" s="1025"/>
      <c r="M773" s="1026"/>
      <c r="N773" s="1026"/>
      <c r="O773" s="265"/>
      <c r="P773" s="265"/>
      <c r="T773" s="265"/>
      <c r="U773" s="265"/>
      <c r="V773" s="265"/>
      <c r="X773" s="1026"/>
      <c r="Y773" s="265"/>
      <c r="Z773" s="265"/>
      <c r="AA773" s="265"/>
      <c r="AE773" s="265"/>
      <c r="AF773" s="265"/>
      <c r="AV773" s="265"/>
      <c r="AW773" s="265"/>
      <c r="AX773" s="265"/>
      <c r="AY773" s="265"/>
      <c r="BE773" s="265"/>
      <c r="BF773" s="1028"/>
      <c r="BJ773" s="265"/>
      <c r="BK773" s="1458"/>
      <c r="BL773" s="1028"/>
      <c r="BP773" s="265"/>
      <c r="BQ773" s="1458"/>
      <c r="BW773" s="11"/>
      <c r="CA773" s="11"/>
      <c r="CK773" s="265"/>
      <c r="CL773" s="265"/>
      <c r="CM773" s="265"/>
      <c r="CO773" s="11"/>
      <c r="CR773" s="1026"/>
      <c r="CS773" s="265"/>
      <c r="CT773" s="265"/>
      <c r="CU773" s="265"/>
    </row>
    <row r="774" spans="10:99" ht="15" customHeight="1">
      <c r="J774" s="265"/>
      <c r="K774" s="1024"/>
      <c r="L774" s="1025"/>
      <c r="M774" s="1026"/>
      <c r="N774" s="1026"/>
      <c r="O774" s="265"/>
      <c r="P774" s="265"/>
      <c r="T774" s="265"/>
      <c r="U774" s="265"/>
      <c r="V774" s="265"/>
      <c r="X774" s="1026"/>
      <c r="Y774" s="265"/>
      <c r="Z774" s="265"/>
      <c r="AA774" s="265"/>
      <c r="AE774" s="265"/>
      <c r="AF774" s="265"/>
      <c r="AV774" s="265"/>
      <c r="AW774" s="265"/>
      <c r="AX774" s="265"/>
      <c r="AY774" s="265"/>
      <c r="BE774" s="265"/>
      <c r="BF774" s="1028"/>
      <c r="BJ774" s="265"/>
      <c r="BK774" s="1458"/>
      <c r="BL774" s="1028"/>
      <c r="BP774" s="265"/>
      <c r="BQ774" s="1458"/>
      <c r="BW774" s="11"/>
      <c r="CA774" s="11"/>
      <c r="CK774" s="265"/>
      <c r="CL774" s="265"/>
      <c r="CM774" s="265"/>
      <c r="CO774" s="11"/>
      <c r="CR774" s="1026"/>
      <c r="CS774" s="265"/>
      <c r="CT774" s="265"/>
      <c r="CU774" s="265"/>
    </row>
    <row r="775" spans="10:99" ht="15" customHeight="1">
      <c r="J775" s="265"/>
      <c r="K775" s="1024"/>
      <c r="L775" s="1025"/>
      <c r="M775" s="1026"/>
      <c r="N775" s="1026"/>
      <c r="O775" s="265"/>
      <c r="P775" s="265"/>
      <c r="T775" s="265"/>
      <c r="U775" s="265"/>
      <c r="V775" s="265"/>
      <c r="X775" s="1026"/>
      <c r="Y775" s="265"/>
      <c r="Z775" s="265"/>
      <c r="AA775" s="265"/>
      <c r="AE775" s="265"/>
      <c r="AF775" s="265"/>
      <c r="AV775" s="265"/>
      <c r="AW775" s="265"/>
      <c r="AX775" s="265"/>
      <c r="AY775" s="265"/>
      <c r="BE775" s="265"/>
      <c r="BF775" s="1028"/>
      <c r="BJ775" s="265"/>
      <c r="BK775" s="1458"/>
      <c r="BL775" s="1028"/>
      <c r="BP775" s="265"/>
      <c r="BQ775" s="1458"/>
      <c r="BW775" s="11"/>
      <c r="CA775" s="11"/>
      <c r="CK775" s="265"/>
      <c r="CL775" s="265"/>
      <c r="CM775" s="265"/>
      <c r="CO775" s="11"/>
      <c r="CR775" s="1026"/>
      <c r="CS775" s="265"/>
      <c r="CT775" s="265"/>
      <c r="CU775" s="265"/>
    </row>
    <row r="776" spans="10:99" ht="15" customHeight="1">
      <c r="J776" s="265"/>
      <c r="K776" s="1024"/>
      <c r="L776" s="1025"/>
      <c r="M776" s="1026"/>
      <c r="N776" s="1026"/>
      <c r="O776" s="265"/>
      <c r="P776" s="265"/>
      <c r="T776" s="265"/>
      <c r="U776" s="265"/>
      <c r="V776" s="265"/>
      <c r="X776" s="1026"/>
      <c r="Y776" s="265"/>
      <c r="Z776" s="265"/>
      <c r="AA776" s="265"/>
      <c r="AE776" s="265"/>
      <c r="AF776" s="265"/>
      <c r="AV776" s="265"/>
      <c r="AW776" s="265"/>
      <c r="AX776" s="265"/>
      <c r="AY776" s="265"/>
      <c r="BE776" s="265"/>
      <c r="BF776" s="1028"/>
      <c r="BJ776" s="265"/>
      <c r="BK776" s="1458"/>
      <c r="BL776" s="1028"/>
      <c r="BP776" s="265"/>
      <c r="BQ776" s="1458"/>
      <c r="BW776" s="11"/>
      <c r="CA776" s="11"/>
      <c r="CK776" s="265"/>
      <c r="CL776" s="265"/>
      <c r="CM776" s="265"/>
      <c r="CO776" s="11"/>
      <c r="CR776" s="1026"/>
      <c r="CS776" s="265"/>
      <c r="CT776" s="265"/>
      <c r="CU776" s="265"/>
    </row>
    <row r="777" spans="10:99" ht="15" customHeight="1">
      <c r="J777" s="265"/>
      <c r="K777" s="1024"/>
      <c r="L777" s="1025"/>
      <c r="M777" s="1026"/>
      <c r="N777" s="1026"/>
      <c r="O777" s="265"/>
      <c r="P777" s="265"/>
      <c r="T777" s="265"/>
      <c r="U777" s="265"/>
      <c r="V777" s="265"/>
      <c r="X777" s="1026"/>
      <c r="Y777" s="265"/>
      <c r="Z777" s="265"/>
      <c r="AA777" s="265"/>
      <c r="AE777" s="265"/>
      <c r="AF777" s="265"/>
      <c r="AV777" s="265"/>
      <c r="AW777" s="265"/>
      <c r="AX777" s="265"/>
      <c r="AY777" s="265"/>
      <c r="BE777" s="265"/>
      <c r="BF777" s="1028"/>
      <c r="BJ777" s="265"/>
      <c r="BK777" s="1458"/>
      <c r="BL777" s="1028"/>
      <c r="BP777" s="265"/>
      <c r="BQ777" s="1458"/>
      <c r="BW777" s="11"/>
      <c r="CA777" s="11"/>
      <c r="CK777" s="265"/>
      <c r="CL777" s="265"/>
      <c r="CM777" s="265"/>
      <c r="CO777" s="11"/>
      <c r="CR777" s="1026"/>
      <c r="CS777" s="265"/>
      <c r="CT777" s="265"/>
      <c r="CU777" s="265"/>
    </row>
    <row r="778" spans="10:99" ht="15" customHeight="1">
      <c r="J778" s="265"/>
      <c r="K778" s="1024"/>
      <c r="L778" s="1025"/>
      <c r="M778" s="1026"/>
      <c r="N778" s="1026"/>
      <c r="O778" s="265"/>
      <c r="P778" s="265"/>
      <c r="T778" s="265"/>
      <c r="U778" s="265"/>
      <c r="V778" s="265"/>
      <c r="X778" s="1026"/>
      <c r="Y778" s="265"/>
      <c r="Z778" s="265"/>
      <c r="AA778" s="265"/>
      <c r="AE778" s="265"/>
      <c r="AF778" s="265"/>
      <c r="AV778" s="265"/>
      <c r="AW778" s="265"/>
      <c r="AX778" s="265"/>
      <c r="AY778" s="265"/>
      <c r="BE778" s="265"/>
      <c r="BF778" s="1028"/>
      <c r="BJ778" s="265"/>
      <c r="BK778" s="1458"/>
      <c r="BL778" s="1028"/>
      <c r="BP778" s="265"/>
      <c r="BQ778" s="1458"/>
      <c r="BW778" s="11"/>
      <c r="CA778" s="11"/>
      <c r="CK778" s="265"/>
      <c r="CL778" s="265"/>
      <c r="CM778" s="265"/>
      <c r="CO778" s="11"/>
      <c r="CR778" s="1026"/>
      <c r="CS778" s="265"/>
      <c r="CT778" s="265"/>
      <c r="CU778" s="265"/>
    </row>
    <row r="779" spans="10:99" ht="15" customHeight="1">
      <c r="J779" s="265"/>
      <c r="K779" s="1024"/>
      <c r="L779" s="1025"/>
      <c r="M779" s="1026"/>
      <c r="N779" s="1026"/>
      <c r="O779" s="265"/>
      <c r="P779" s="265"/>
      <c r="T779" s="265"/>
      <c r="U779" s="265"/>
      <c r="V779" s="265"/>
      <c r="X779" s="1026"/>
      <c r="Y779" s="265"/>
      <c r="Z779" s="265"/>
      <c r="AA779" s="265"/>
      <c r="AE779" s="265"/>
      <c r="AF779" s="265"/>
      <c r="AV779" s="265"/>
      <c r="AW779" s="265"/>
      <c r="AX779" s="265"/>
      <c r="AY779" s="265"/>
      <c r="BE779" s="265"/>
      <c r="BF779" s="1028"/>
      <c r="BJ779" s="265"/>
      <c r="BK779" s="1458"/>
      <c r="BL779" s="1028"/>
      <c r="BP779" s="265"/>
      <c r="BQ779" s="1458"/>
      <c r="BW779" s="11"/>
      <c r="CA779" s="11"/>
      <c r="CK779" s="265"/>
      <c r="CL779" s="265"/>
      <c r="CM779" s="265"/>
      <c r="CO779" s="11"/>
      <c r="CR779" s="1026"/>
      <c r="CS779" s="265"/>
      <c r="CT779" s="265"/>
      <c r="CU779" s="265"/>
    </row>
    <row r="780" spans="10:99" ht="15" customHeight="1">
      <c r="J780" s="265"/>
      <c r="K780" s="1024"/>
      <c r="L780" s="1025"/>
      <c r="M780" s="1026"/>
      <c r="N780" s="1026"/>
      <c r="O780" s="265"/>
      <c r="P780" s="265"/>
      <c r="T780" s="265"/>
      <c r="U780" s="265"/>
      <c r="V780" s="265"/>
      <c r="X780" s="1026"/>
      <c r="Y780" s="265"/>
      <c r="Z780" s="265"/>
      <c r="AA780" s="265"/>
      <c r="AE780" s="265"/>
      <c r="AF780" s="265"/>
      <c r="AV780" s="265"/>
      <c r="AW780" s="265"/>
      <c r="AX780" s="265"/>
      <c r="AY780" s="265"/>
      <c r="BE780" s="265"/>
      <c r="BF780" s="1028"/>
      <c r="BJ780" s="265"/>
      <c r="BK780" s="1458"/>
      <c r="BL780" s="1028"/>
      <c r="BP780" s="265"/>
      <c r="BQ780" s="1458"/>
      <c r="BW780" s="11"/>
      <c r="CA780" s="11"/>
      <c r="CK780" s="265"/>
      <c r="CL780" s="265"/>
      <c r="CM780" s="265"/>
      <c r="CO780" s="11"/>
      <c r="CR780" s="1026"/>
      <c r="CS780" s="265"/>
      <c r="CT780" s="265"/>
      <c r="CU780" s="265"/>
    </row>
    <row r="781" spans="10:99" ht="15" customHeight="1">
      <c r="J781" s="265"/>
      <c r="K781" s="1024"/>
      <c r="L781" s="1025"/>
      <c r="M781" s="1026"/>
      <c r="N781" s="1026"/>
      <c r="O781" s="265"/>
      <c r="P781" s="265"/>
      <c r="T781" s="265"/>
      <c r="U781" s="265"/>
      <c r="V781" s="265"/>
      <c r="X781" s="1026"/>
      <c r="Y781" s="265"/>
      <c r="Z781" s="265"/>
      <c r="AA781" s="265"/>
      <c r="AE781" s="265"/>
      <c r="AF781" s="265"/>
      <c r="AV781" s="265"/>
      <c r="AW781" s="265"/>
      <c r="AX781" s="265"/>
      <c r="AY781" s="265"/>
      <c r="BE781" s="265"/>
      <c r="BF781" s="1028"/>
      <c r="BJ781" s="265"/>
      <c r="BK781" s="1458"/>
      <c r="BL781" s="1028"/>
      <c r="BP781" s="265"/>
      <c r="BQ781" s="1458"/>
      <c r="BW781" s="11"/>
      <c r="CA781" s="11"/>
      <c r="CK781" s="265"/>
      <c r="CL781" s="265"/>
      <c r="CM781" s="265"/>
      <c r="CO781" s="11"/>
      <c r="CR781" s="1026"/>
      <c r="CS781" s="265"/>
      <c r="CT781" s="265"/>
      <c r="CU781" s="265"/>
    </row>
    <row r="782" spans="10:99" ht="15" customHeight="1">
      <c r="J782" s="265"/>
      <c r="K782" s="1024"/>
      <c r="L782" s="1025"/>
      <c r="M782" s="1026"/>
      <c r="N782" s="1026"/>
      <c r="O782" s="265"/>
      <c r="P782" s="265"/>
      <c r="T782" s="265"/>
      <c r="U782" s="265"/>
      <c r="V782" s="265"/>
      <c r="X782" s="1026"/>
      <c r="Y782" s="265"/>
      <c r="Z782" s="265"/>
      <c r="AA782" s="265"/>
      <c r="AE782" s="265"/>
      <c r="AF782" s="265"/>
      <c r="AV782" s="265"/>
      <c r="AW782" s="265"/>
      <c r="AX782" s="265"/>
      <c r="AY782" s="265"/>
      <c r="BE782" s="265"/>
      <c r="BF782" s="1028"/>
      <c r="BJ782" s="265"/>
      <c r="BK782" s="1458"/>
      <c r="BL782" s="1028"/>
      <c r="BP782" s="265"/>
      <c r="BQ782" s="1458"/>
      <c r="BW782" s="11"/>
      <c r="CA782" s="11"/>
      <c r="CK782" s="265"/>
      <c r="CL782" s="265"/>
      <c r="CM782" s="265"/>
      <c r="CO782" s="11"/>
      <c r="CR782" s="1026"/>
      <c r="CS782" s="265"/>
      <c r="CT782" s="265"/>
      <c r="CU782" s="265"/>
    </row>
    <row r="783" spans="10:99" ht="15" customHeight="1">
      <c r="J783" s="265"/>
      <c r="K783" s="1024"/>
      <c r="L783" s="1025"/>
      <c r="M783" s="1026"/>
      <c r="N783" s="1026"/>
      <c r="O783" s="265"/>
      <c r="P783" s="265"/>
      <c r="T783" s="265"/>
      <c r="U783" s="265"/>
      <c r="V783" s="265"/>
      <c r="X783" s="1026"/>
      <c r="Y783" s="265"/>
      <c r="Z783" s="265"/>
      <c r="AA783" s="265"/>
      <c r="AE783" s="265"/>
      <c r="AF783" s="265"/>
      <c r="AV783" s="265"/>
      <c r="AW783" s="265"/>
      <c r="AX783" s="265"/>
      <c r="AY783" s="265"/>
      <c r="BE783" s="265"/>
      <c r="BF783" s="1028"/>
      <c r="BJ783" s="265"/>
      <c r="BK783" s="1458"/>
      <c r="BL783" s="1028"/>
      <c r="BP783" s="265"/>
      <c r="BQ783" s="1458"/>
      <c r="BW783" s="11"/>
      <c r="CA783" s="11"/>
      <c r="CK783" s="265"/>
      <c r="CL783" s="265"/>
      <c r="CM783" s="265"/>
      <c r="CO783" s="11"/>
      <c r="CR783" s="1026"/>
      <c r="CS783" s="265"/>
      <c r="CT783" s="265"/>
      <c r="CU783" s="265"/>
    </row>
    <row r="784" spans="10:99" ht="15" customHeight="1">
      <c r="J784" s="265"/>
      <c r="K784" s="1024"/>
      <c r="L784" s="1025"/>
      <c r="M784" s="1026"/>
      <c r="N784" s="1026"/>
      <c r="O784" s="265"/>
      <c r="P784" s="265"/>
      <c r="T784" s="265"/>
      <c r="U784" s="265"/>
      <c r="V784" s="265"/>
      <c r="X784" s="1026"/>
      <c r="Y784" s="265"/>
      <c r="Z784" s="265"/>
      <c r="AA784" s="265"/>
      <c r="AE784" s="265"/>
      <c r="AF784" s="265"/>
      <c r="AV784" s="265"/>
      <c r="AW784" s="265"/>
      <c r="AX784" s="265"/>
      <c r="AY784" s="265"/>
      <c r="BE784" s="265"/>
      <c r="BF784" s="1028"/>
      <c r="BJ784" s="265"/>
      <c r="BK784" s="1458"/>
      <c r="BL784" s="1028"/>
      <c r="BP784" s="265"/>
      <c r="BQ784" s="1458"/>
      <c r="BW784" s="11"/>
      <c r="CA784" s="11"/>
      <c r="CK784" s="265"/>
      <c r="CL784" s="265"/>
      <c r="CM784" s="265"/>
      <c r="CO784" s="11"/>
      <c r="CR784" s="1026"/>
      <c r="CS784" s="265"/>
      <c r="CT784" s="265"/>
      <c r="CU784" s="265"/>
    </row>
    <row r="785" spans="10:99" ht="15" customHeight="1">
      <c r="J785" s="265"/>
      <c r="K785" s="1024"/>
      <c r="L785" s="1025"/>
      <c r="M785" s="1026"/>
      <c r="N785" s="1026"/>
      <c r="O785" s="265"/>
      <c r="P785" s="265"/>
      <c r="T785" s="265"/>
      <c r="U785" s="265"/>
      <c r="V785" s="265"/>
      <c r="X785" s="1026"/>
      <c r="Y785" s="265"/>
      <c r="Z785" s="265"/>
      <c r="AA785" s="265"/>
      <c r="AE785" s="265"/>
      <c r="AF785" s="265"/>
      <c r="AV785" s="265"/>
      <c r="AW785" s="265"/>
      <c r="AX785" s="265"/>
      <c r="AY785" s="265"/>
      <c r="BE785" s="265"/>
      <c r="BF785" s="1028"/>
      <c r="BJ785" s="265"/>
      <c r="BK785" s="1458"/>
      <c r="BL785" s="1028"/>
      <c r="BP785" s="265"/>
      <c r="BQ785" s="1458"/>
      <c r="BW785" s="11"/>
      <c r="CA785" s="11"/>
      <c r="CK785" s="265"/>
      <c r="CL785" s="265"/>
      <c r="CM785" s="265"/>
      <c r="CO785" s="11"/>
      <c r="CR785" s="1026"/>
      <c r="CS785" s="265"/>
      <c r="CT785" s="265"/>
      <c r="CU785" s="265"/>
    </row>
    <row r="786" spans="10:99" ht="15" customHeight="1">
      <c r="J786" s="265"/>
      <c r="K786" s="1024"/>
      <c r="L786" s="1025"/>
      <c r="M786" s="1026"/>
      <c r="N786" s="1026"/>
      <c r="O786" s="265"/>
      <c r="P786" s="265"/>
      <c r="T786" s="265"/>
      <c r="U786" s="265"/>
      <c r="V786" s="265"/>
      <c r="X786" s="1026"/>
      <c r="Y786" s="265"/>
      <c r="Z786" s="265"/>
      <c r="AA786" s="265"/>
      <c r="AE786" s="265"/>
      <c r="AF786" s="265"/>
      <c r="AV786" s="265"/>
      <c r="AW786" s="265"/>
      <c r="AX786" s="265"/>
      <c r="AY786" s="265"/>
      <c r="BE786" s="265"/>
      <c r="BF786" s="1028"/>
      <c r="BJ786" s="265"/>
      <c r="BK786" s="1458"/>
      <c r="BL786" s="1028"/>
      <c r="BP786" s="265"/>
      <c r="BQ786" s="1458"/>
      <c r="BW786" s="11"/>
      <c r="CA786" s="11"/>
      <c r="CK786" s="265"/>
      <c r="CL786" s="265"/>
      <c r="CM786" s="265"/>
      <c r="CO786" s="11"/>
      <c r="CR786" s="1026"/>
      <c r="CS786" s="265"/>
      <c r="CT786" s="265"/>
      <c r="CU786" s="265"/>
    </row>
    <row r="787" spans="10:99" ht="15" customHeight="1">
      <c r="J787" s="265"/>
      <c r="K787" s="1024"/>
      <c r="L787" s="1025"/>
      <c r="M787" s="1026"/>
      <c r="N787" s="1026"/>
      <c r="O787" s="265"/>
      <c r="P787" s="265"/>
      <c r="T787" s="265"/>
      <c r="U787" s="265"/>
      <c r="V787" s="265"/>
      <c r="X787" s="1026"/>
      <c r="Y787" s="265"/>
      <c r="Z787" s="265"/>
      <c r="AA787" s="265"/>
      <c r="AE787" s="265"/>
      <c r="AF787" s="265"/>
      <c r="AV787" s="265"/>
      <c r="AW787" s="265"/>
      <c r="AX787" s="265"/>
      <c r="AY787" s="265"/>
      <c r="BE787" s="265"/>
      <c r="BF787" s="1028"/>
      <c r="BJ787" s="265"/>
      <c r="BK787" s="1458"/>
      <c r="BL787" s="1028"/>
      <c r="BP787" s="265"/>
      <c r="BQ787" s="1458"/>
      <c r="BW787" s="11"/>
      <c r="CA787" s="11"/>
      <c r="CK787" s="265"/>
      <c r="CL787" s="265"/>
      <c r="CM787" s="265"/>
      <c r="CO787" s="11"/>
      <c r="CR787" s="1026"/>
      <c r="CS787" s="265"/>
      <c r="CT787" s="265"/>
      <c r="CU787" s="265"/>
    </row>
    <row r="788" spans="10:99" ht="15" customHeight="1">
      <c r="J788" s="265"/>
      <c r="K788" s="1024"/>
      <c r="L788" s="1025"/>
      <c r="M788" s="1026"/>
      <c r="N788" s="1026"/>
      <c r="O788" s="265"/>
      <c r="P788" s="265"/>
      <c r="T788" s="265"/>
      <c r="U788" s="265"/>
      <c r="V788" s="265"/>
      <c r="X788" s="1026"/>
      <c r="Y788" s="265"/>
      <c r="Z788" s="265"/>
      <c r="AA788" s="265"/>
      <c r="AE788" s="265"/>
      <c r="AF788" s="265"/>
      <c r="AV788" s="265"/>
      <c r="AW788" s="265"/>
      <c r="AX788" s="265"/>
      <c r="AY788" s="265"/>
      <c r="BE788" s="265"/>
      <c r="BF788" s="1028"/>
      <c r="BJ788" s="265"/>
      <c r="BK788" s="1458"/>
      <c r="BL788" s="1028"/>
      <c r="BP788" s="265"/>
      <c r="BQ788" s="1458"/>
      <c r="BW788" s="11"/>
      <c r="CA788" s="11"/>
      <c r="CK788" s="265"/>
      <c r="CL788" s="265"/>
      <c r="CM788" s="265"/>
      <c r="CO788" s="11"/>
      <c r="CR788" s="1026"/>
      <c r="CS788" s="265"/>
      <c r="CT788" s="265"/>
      <c r="CU788" s="265"/>
    </row>
    <row r="789" spans="10:99" ht="15" customHeight="1">
      <c r="J789" s="265"/>
      <c r="K789" s="1024"/>
      <c r="L789" s="1025"/>
      <c r="M789" s="1026"/>
      <c r="N789" s="1026"/>
      <c r="O789" s="265"/>
      <c r="P789" s="265"/>
      <c r="T789" s="265"/>
      <c r="U789" s="265"/>
      <c r="V789" s="265"/>
      <c r="X789" s="1026"/>
      <c r="Y789" s="265"/>
      <c r="Z789" s="265"/>
      <c r="AA789" s="265"/>
      <c r="AE789" s="265"/>
      <c r="AF789" s="265"/>
      <c r="AV789" s="265"/>
      <c r="AW789" s="265"/>
      <c r="AX789" s="265"/>
      <c r="AY789" s="265"/>
      <c r="BE789" s="265"/>
      <c r="BF789" s="1028"/>
      <c r="BJ789" s="265"/>
      <c r="BK789" s="1458"/>
      <c r="BL789" s="1028"/>
      <c r="BP789" s="265"/>
      <c r="BQ789" s="1458"/>
      <c r="BW789" s="11"/>
      <c r="CA789" s="11"/>
      <c r="CK789" s="265"/>
      <c r="CL789" s="265"/>
      <c r="CM789" s="265"/>
      <c r="CO789" s="11"/>
      <c r="CR789" s="1026"/>
      <c r="CS789" s="265"/>
      <c r="CT789" s="265"/>
      <c r="CU789" s="265"/>
    </row>
    <row r="790" spans="10:99" ht="15" customHeight="1">
      <c r="J790" s="265"/>
      <c r="K790" s="1024"/>
      <c r="L790" s="1025"/>
      <c r="M790" s="1026"/>
      <c r="N790" s="1026"/>
      <c r="O790" s="265"/>
      <c r="P790" s="265"/>
      <c r="T790" s="265"/>
      <c r="U790" s="265"/>
      <c r="V790" s="265"/>
      <c r="X790" s="1026"/>
      <c r="Y790" s="265"/>
      <c r="Z790" s="265"/>
      <c r="AA790" s="265"/>
      <c r="AE790" s="265"/>
      <c r="AF790" s="265"/>
      <c r="AV790" s="265"/>
      <c r="AW790" s="265"/>
      <c r="AX790" s="265"/>
      <c r="AY790" s="265"/>
      <c r="BE790" s="265"/>
      <c r="BF790" s="1028"/>
      <c r="BJ790" s="265"/>
      <c r="BK790" s="1458"/>
      <c r="BL790" s="1028"/>
      <c r="BP790" s="265"/>
      <c r="BQ790" s="1458"/>
      <c r="BW790" s="11"/>
      <c r="CA790" s="11"/>
      <c r="CK790" s="265"/>
      <c r="CL790" s="265"/>
      <c r="CM790" s="265"/>
      <c r="CO790" s="11"/>
      <c r="CR790" s="1026"/>
      <c r="CS790" s="265"/>
      <c r="CT790" s="265"/>
      <c r="CU790" s="265"/>
    </row>
    <row r="791" spans="10:99" ht="15" customHeight="1">
      <c r="J791" s="265"/>
      <c r="K791" s="1024"/>
      <c r="L791" s="1025"/>
      <c r="M791" s="1026"/>
      <c r="N791" s="1026"/>
      <c r="O791" s="265"/>
      <c r="P791" s="265"/>
      <c r="T791" s="265"/>
      <c r="U791" s="265"/>
      <c r="V791" s="265"/>
      <c r="X791" s="1026"/>
      <c r="Y791" s="265"/>
      <c r="Z791" s="265"/>
      <c r="AA791" s="265"/>
      <c r="AE791" s="265"/>
      <c r="AF791" s="265"/>
      <c r="AV791" s="265"/>
      <c r="AW791" s="265"/>
      <c r="AX791" s="265"/>
      <c r="AY791" s="265"/>
      <c r="BE791" s="265"/>
      <c r="BF791" s="1028"/>
      <c r="BJ791" s="265"/>
      <c r="BK791" s="1458"/>
      <c r="BL791" s="1028"/>
      <c r="BP791" s="265"/>
      <c r="BQ791" s="1458"/>
      <c r="BW791" s="11"/>
      <c r="CA791" s="11"/>
      <c r="CK791" s="265"/>
      <c r="CL791" s="265"/>
      <c r="CM791" s="265"/>
      <c r="CO791" s="11"/>
      <c r="CR791" s="1026"/>
      <c r="CS791" s="265"/>
      <c r="CT791" s="265"/>
      <c r="CU791" s="265"/>
    </row>
    <row r="792" spans="10:99" ht="15" customHeight="1">
      <c r="J792" s="265"/>
      <c r="K792" s="1024"/>
      <c r="L792" s="1025"/>
      <c r="M792" s="1026"/>
      <c r="N792" s="1026"/>
      <c r="O792" s="265"/>
      <c r="P792" s="265"/>
      <c r="T792" s="265"/>
      <c r="U792" s="265"/>
      <c r="V792" s="265"/>
      <c r="X792" s="1026"/>
      <c r="Y792" s="265"/>
      <c r="Z792" s="265"/>
      <c r="AA792" s="265"/>
      <c r="AE792" s="265"/>
      <c r="AF792" s="265"/>
      <c r="AV792" s="265"/>
      <c r="AW792" s="265"/>
      <c r="AX792" s="265"/>
      <c r="AY792" s="265"/>
      <c r="BE792" s="265"/>
      <c r="BF792" s="1028"/>
      <c r="BJ792" s="265"/>
      <c r="BK792" s="1458"/>
      <c r="BL792" s="1028"/>
      <c r="BP792" s="265"/>
      <c r="BQ792" s="1458"/>
      <c r="BW792" s="11"/>
      <c r="CA792" s="11"/>
      <c r="CK792" s="265"/>
      <c r="CL792" s="265"/>
      <c r="CM792" s="265"/>
      <c r="CO792" s="11"/>
      <c r="CR792" s="1026"/>
      <c r="CS792" s="265"/>
      <c r="CT792" s="265"/>
      <c r="CU792" s="265"/>
    </row>
    <row r="793" spans="10:99" ht="15" customHeight="1">
      <c r="J793" s="265"/>
      <c r="K793" s="1024"/>
      <c r="L793" s="1025"/>
      <c r="M793" s="1026"/>
      <c r="N793" s="1026"/>
      <c r="O793" s="265"/>
      <c r="P793" s="265"/>
      <c r="T793" s="265"/>
      <c r="U793" s="265"/>
      <c r="V793" s="265"/>
      <c r="X793" s="1026"/>
      <c r="Y793" s="265"/>
      <c r="Z793" s="265"/>
      <c r="AA793" s="265"/>
      <c r="AE793" s="265"/>
      <c r="AF793" s="265"/>
      <c r="AV793" s="265"/>
      <c r="AW793" s="265"/>
      <c r="AX793" s="265"/>
      <c r="AY793" s="265"/>
      <c r="BE793" s="265"/>
      <c r="BF793" s="1028"/>
      <c r="BJ793" s="265"/>
      <c r="BK793" s="1458"/>
      <c r="BL793" s="1028"/>
      <c r="BP793" s="265"/>
      <c r="BQ793" s="1458"/>
      <c r="BW793" s="11"/>
      <c r="CA793" s="11"/>
      <c r="CK793" s="265"/>
      <c r="CL793" s="265"/>
      <c r="CM793" s="265"/>
      <c r="CO793" s="11"/>
      <c r="CR793" s="1026"/>
      <c r="CS793" s="265"/>
      <c r="CT793" s="265"/>
      <c r="CU793" s="265"/>
    </row>
    <row r="794" spans="10:99" ht="15" customHeight="1">
      <c r="J794" s="265"/>
      <c r="K794" s="1024"/>
      <c r="L794" s="1025"/>
      <c r="M794" s="1026"/>
      <c r="N794" s="1026"/>
      <c r="O794" s="265"/>
      <c r="P794" s="265"/>
      <c r="T794" s="265"/>
      <c r="U794" s="265"/>
      <c r="V794" s="265"/>
      <c r="X794" s="1026"/>
      <c r="Y794" s="265"/>
      <c r="Z794" s="265"/>
      <c r="AA794" s="265"/>
      <c r="AE794" s="265"/>
      <c r="AF794" s="265"/>
      <c r="AV794" s="265"/>
      <c r="AW794" s="265"/>
      <c r="AX794" s="265"/>
      <c r="AY794" s="265"/>
      <c r="BE794" s="265"/>
      <c r="BF794" s="1028"/>
      <c r="BJ794" s="265"/>
      <c r="BK794" s="1458"/>
      <c r="BL794" s="1028"/>
      <c r="BP794" s="265"/>
      <c r="BQ794" s="1458"/>
      <c r="BW794" s="11"/>
      <c r="CA794" s="11"/>
      <c r="CK794" s="265"/>
      <c r="CL794" s="265"/>
      <c r="CM794" s="265"/>
      <c r="CO794" s="11"/>
      <c r="CR794" s="1026"/>
      <c r="CS794" s="265"/>
      <c r="CT794" s="265"/>
      <c r="CU794" s="265"/>
    </row>
    <row r="795" spans="10:99" ht="15" customHeight="1">
      <c r="J795" s="265"/>
      <c r="K795" s="1024"/>
      <c r="L795" s="1025"/>
      <c r="M795" s="1026"/>
      <c r="N795" s="1026"/>
      <c r="O795" s="265"/>
      <c r="P795" s="265"/>
      <c r="T795" s="265"/>
      <c r="U795" s="265"/>
      <c r="V795" s="265"/>
      <c r="X795" s="1026"/>
      <c r="Y795" s="265"/>
      <c r="Z795" s="265"/>
      <c r="AA795" s="265"/>
      <c r="AE795" s="265"/>
      <c r="AF795" s="265"/>
      <c r="AV795" s="265"/>
      <c r="AW795" s="265"/>
      <c r="AX795" s="265"/>
      <c r="AY795" s="265"/>
      <c r="BE795" s="265"/>
      <c r="BF795" s="1028"/>
      <c r="BJ795" s="265"/>
      <c r="BK795" s="1458"/>
      <c r="BL795" s="1028"/>
      <c r="BP795" s="265"/>
      <c r="BQ795" s="1458"/>
      <c r="BW795" s="11"/>
      <c r="CA795" s="11"/>
      <c r="CK795" s="265"/>
      <c r="CL795" s="265"/>
      <c r="CM795" s="265"/>
      <c r="CO795" s="11"/>
      <c r="CR795" s="1026"/>
      <c r="CS795" s="265"/>
      <c r="CT795" s="265"/>
      <c r="CU795" s="265"/>
    </row>
    <row r="796" spans="10:99" ht="15" customHeight="1">
      <c r="J796" s="265"/>
      <c r="K796" s="1024"/>
      <c r="L796" s="1025"/>
      <c r="M796" s="1026"/>
      <c r="N796" s="1026"/>
      <c r="O796" s="265"/>
      <c r="P796" s="265"/>
      <c r="T796" s="265"/>
      <c r="U796" s="265"/>
      <c r="V796" s="265"/>
      <c r="X796" s="1026"/>
      <c r="Y796" s="265"/>
      <c r="Z796" s="265"/>
      <c r="AA796" s="265"/>
      <c r="AE796" s="265"/>
      <c r="AF796" s="265"/>
      <c r="AV796" s="265"/>
      <c r="AW796" s="265"/>
      <c r="AX796" s="265"/>
      <c r="AY796" s="265"/>
      <c r="BE796" s="265"/>
      <c r="BF796" s="1028"/>
      <c r="BJ796" s="265"/>
      <c r="BK796" s="1458"/>
      <c r="BL796" s="1028"/>
      <c r="BP796" s="265"/>
      <c r="BQ796" s="1458"/>
      <c r="BW796" s="11"/>
      <c r="CA796" s="11"/>
      <c r="CK796" s="265"/>
      <c r="CL796" s="265"/>
      <c r="CM796" s="265"/>
      <c r="CO796" s="11"/>
      <c r="CR796" s="1026"/>
      <c r="CS796" s="265"/>
      <c r="CT796" s="265"/>
      <c r="CU796" s="265"/>
    </row>
    <row r="797" spans="10:99" ht="15" customHeight="1">
      <c r="J797" s="265"/>
      <c r="K797" s="1024"/>
      <c r="L797" s="1025"/>
      <c r="M797" s="1026"/>
      <c r="N797" s="1026"/>
      <c r="O797" s="265"/>
      <c r="P797" s="265"/>
      <c r="T797" s="265"/>
      <c r="U797" s="265"/>
      <c r="V797" s="265"/>
      <c r="X797" s="1026"/>
      <c r="Y797" s="265"/>
      <c r="Z797" s="265"/>
      <c r="AA797" s="265"/>
      <c r="AE797" s="265"/>
      <c r="AF797" s="265"/>
      <c r="AV797" s="265"/>
      <c r="AW797" s="265"/>
      <c r="AX797" s="265"/>
      <c r="AY797" s="265"/>
      <c r="BE797" s="265"/>
      <c r="BF797" s="1028"/>
      <c r="BJ797" s="265"/>
      <c r="BK797" s="1458"/>
      <c r="BL797" s="1028"/>
      <c r="BP797" s="265"/>
      <c r="BQ797" s="1458"/>
      <c r="BW797" s="11"/>
      <c r="CA797" s="11"/>
      <c r="CK797" s="265"/>
      <c r="CL797" s="265"/>
      <c r="CM797" s="265"/>
      <c r="CO797" s="11"/>
      <c r="CR797" s="1026"/>
      <c r="CS797" s="265"/>
      <c r="CT797" s="265"/>
      <c r="CU797" s="265"/>
    </row>
    <row r="798" spans="10:99" ht="15" customHeight="1">
      <c r="J798" s="265"/>
      <c r="K798" s="1024"/>
      <c r="L798" s="1025"/>
      <c r="M798" s="1026"/>
      <c r="N798" s="1026"/>
      <c r="O798" s="265"/>
      <c r="P798" s="265"/>
      <c r="T798" s="265"/>
      <c r="U798" s="265"/>
      <c r="V798" s="265"/>
      <c r="X798" s="1026"/>
      <c r="Y798" s="265"/>
      <c r="Z798" s="265"/>
      <c r="AA798" s="265"/>
      <c r="AE798" s="265"/>
      <c r="AF798" s="265"/>
      <c r="AV798" s="265"/>
      <c r="AW798" s="265"/>
      <c r="AX798" s="265"/>
      <c r="AY798" s="265"/>
      <c r="BE798" s="265"/>
      <c r="BF798" s="1028"/>
      <c r="BJ798" s="265"/>
      <c r="BK798" s="1458"/>
      <c r="BL798" s="1028"/>
      <c r="BP798" s="265"/>
      <c r="BQ798" s="1458"/>
      <c r="BW798" s="11"/>
      <c r="CA798" s="11"/>
      <c r="CK798" s="265"/>
      <c r="CL798" s="265"/>
      <c r="CM798" s="265"/>
      <c r="CO798" s="11"/>
      <c r="CR798" s="1026"/>
      <c r="CS798" s="265"/>
      <c r="CT798" s="265"/>
      <c r="CU798" s="265"/>
    </row>
    <row r="799" spans="10:99" ht="15" customHeight="1">
      <c r="J799" s="265"/>
      <c r="K799" s="1024"/>
      <c r="L799" s="1025"/>
      <c r="M799" s="1026"/>
      <c r="N799" s="1026"/>
      <c r="O799" s="265"/>
      <c r="P799" s="265"/>
      <c r="T799" s="265"/>
      <c r="U799" s="265"/>
      <c r="V799" s="265"/>
      <c r="X799" s="1026"/>
      <c r="Y799" s="265"/>
      <c r="Z799" s="265"/>
      <c r="AA799" s="265"/>
      <c r="AE799" s="265"/>
      <c r="AF799" s="265"/>
      <c r="AV799" s="265"/>
      <c r="AW799" s="265"/>
      <c r="AX799" s="265"/>
      <c r="AY799" s="265"/>
      <c r="BE799" s="265"/>
      <c r="BF799" s="1028"/>
      <c r="BJ799" s="265"/>
      <c r="BK799" s="1458"/>
      <c r="BL799" s="1028"/>
      <c r="BP799" s="265"/>
      <c r="BQ799" s="1458"/>
      <c r="BW799" s="11"/>
      <c r="CA799" s="11"/>
      <c r="CK799" s="265"/>
      <c r="CL799" s="265"/>
      <c r="CM799" s="265"/>
      <c r="CO799" s="11"/>
      <c r="CR799" s="1026"/>
      <c r="CS799" s="265"/>
      <c r="CT799" s="265"/>
      <c r="CU799" s="265"/>
    </row>
    <row r="800" spans="10:99" ht="15" customHeight="1">
      <c r="J800" s="265"/>
      <c r="K800" s="1024"/>
      <c r="L800" s="1025"/>
      <c r="M800" s="1026"/>
      <c r="N800" s="1026"/>
      <c r="O800" s="265"/>
      <c r="P800" s="265"/>
      <c r="T800" s="265"/>
      <c r="U800" s="265"/>
      <c r="V800" s="265"/>
      <c r="X800" s="1026"/>
      <c r="Y800" s="265"/>
      <c r="Z800" s="265"/>
      <c r="AA800" s="265"/>
      <c r="AE800" s="265"/>
      <c r="AF800" s="265"/>
      <c r="AV800" s="265"/>
      <c r="AW800" s="265"/>
      <c r="AX800" s="265"/>
      <c r="AY800" s="265"/>
      <c r="BE800" s="265"/>
      <c r="BF800" s="1028"/>
      <c r="BJ800" s="265"/>
      <c r="BK800" s="1458"/>
      <c r="BL800" s="1028"/>
      <c r="BP800" s="265"/>
      <c r="BQ800" s="1458"/>
      <c r="BW800" s="11"/>
      <c r="CA800" s="11"/>
      <c r="CK800" s="265"/>
      <c r="CL800" s="265"/>
      <c r="CM800" s="265"/>
      <c r="CO800" s="11"/>
      <c r="CR800" s="1026"/>
      <c r="CS800" s="265"/>
      <c r="CT800" s="265"/>
      <c r="CU800" s="265"/>
    </row>
    <row r="801" spans="10:99" ht="15" customHeight="1">
      <c r="J801" s="265"/>
      <c r="K801" s="1024"/>
      <c r="L801" s="1025"/>
      <c r="M801" s="1026"/>
      <c r="N801" s="1026"/>
      <c r="O801" s="265"/>
      <c r="P801" s="265"/>
      <c r="T801" s="265"/>
      <c r="U801" s="265"/>
      <c r="V801" s="265"/>
      <c r="X801" s="1026"/>
      <c r="Y801" s="265"/>
      <c r="Z801" s="265"/>
      <c r="AA801" s="265"/>
      <c r="AE801" s="265"/>
      <c r="AF801" s="265"/>
      <c r="AV801" s="265"/>
      <c r="AW801" s="265"/>
      <c r="AX801" s="265"/>
      <c r="AY801" s="265"/>
      <c r="BE801" s="265"/>
      <c r="BF801" s="1028"/>
      <c r="BJ801" s="265"/>
      <c r="BK801" s="1458"/>
      <c r="BL801" s="1028"/>
      <c r="BP801" s="265"/>
      <c r="BQ801" s="1458"/>
      <c r="BW801" s="11"/>
      <c r="CA801" s="11"/>
      <c r="CK801" s="265"/>
      <c r="CL801" s="265"/>
      <c r="CM801" s="265"/>
      <c r="CO801" s="11"/>
      <c r="CR801" s="1026"/>
      <c r="CS801" s="265"/>
      <c r="CT801" s="265"/>
      <c r="CU801" s="265"/>
    </row>
    <row r="802" spans="10:99" ht="15" customHeight="1">
      <c r="J802" s="265"/>
      <c r="K802" s="1024"/>
      <c r="L802" s="1025"/>
      <c r="M802" s="1026"/>
      <c r="N802" s="1026"/>
      <c r="O802" s="265"/>
      <c r="P802" s="265"/>
      <c r="T802" s="265"/>
      <c r="U802" s="265"/>
      <c r="V802" s="265"/>
      <c r="X802" s="1026"/>
      <c r="Y802" s="265"/>
      <c r="Z802" s="265"/>
      <c r="AA802" s="265"/>
      <c r="AE802" s="265"/>
      <c r="AF802" s="265"/>
      <c r="AV802" s="265"/>
      <c r="AW802" s="265"/>
      <c r="AX802" s="265"/>
      <c r="AY802" s="265"/>
      <c r="BE802" s="265"/>
      <c r="BF802" s="1028"/>
      <c r="BJ802" s="265"/>
      <c r="BK802" s="1458"/>
      <c r="BL802" s="1028"/>
      <c r="BP802" s="265"/>
      <c r="BQ802" s="1458"/>
      <c r="BW802" s="11"/>
      <c r="CA802" s="11"/>
      <c r="CK802" s="265"/>
      <c r="CL802" s="265"/>
      <c r="CM802" s="265"/>
      <c r="CO802" s="11"/>
      <c r="CR802" s="1026"/>
      <c r="CS802" s="265"/>
      <c r="CT802" s="265"/>
      <c r="CU802" s="265"/>
    </row>
    <row r="803" spans="10:99" ht="15" customHeight="1">
      <c r="J803" s="265"/>
      <c r="K803" s="1024"/>
      <c r="L803" s="1025"/>
      <c r="M803" s="1026"/>
      <c r="N803" s="1026"/>
      <c r="O803" s="265"/>
      <c r="P803" s="265"/>
      <c r="T803" s="265"/>
      <c r="U803" s="265"/>
      <c r="V803" s="265"/>
      <c r="X803" s="1026"/>
      <c r="Y803" s="265"/>
      <c r="Z803" s="265"/>
      <c r="AA803" s="265"/>
      <c r="AE803" s="265"/>
      <c r="AF803" s="265"/>
      <c r="AV803" s="265"/>
      <c r="AW803" s="265"/>
      <c r="AX803" s="265"/>
      <c r="AY803" s="265"/>
      <c r="BE803" s="265"/>
      <c r="BF803" s="1028"/>
      <c r="BJ803" s="265"/>
      <c r="BK803" s="1458"/>
      <c r="BL803" s="1028"/>
      <c r="BP803" s="265"/>
      <c r="BQ803" s="1458"/>
      <c r="BW803" s="11"/>
      <c r="CA803" s="11"/>
      <c r="CK803" s="265"/>
      <c r="CL803" s="265"/>
      <c r="CM803" s="265"/>
      <c r="CO803" s="11"/>
      <c r="CR803" s="1026"/>
      <c r="CS803" s="265"/>
      <c r="CT803" s="265"/>
      <c r="CU803" s="265"/>
    </row>
    <row r="804" spans="10:99" ht="15" customHeight="1">
      <c r="J804" s="265"/>
      <c r="K804" s="1024"/>
      <c r="L804" s="1025"/>
      <c r="M804" s="1026"/>
      <c r="N804" s="1026"/>
      <c r="O804" s="265"/>
      <c r="P804" s="265"/>
      <c r="T804" s="265"/>
      <c r="U804" s="265"/>
      <c r="V804" s="265"/>
      <c r="X804" s="1026"/>
      <c r="Y804" s="265"/>
      <c r="Z804" s="265"/>
      <c r="AA804" s="265"/>
      <c r="AE804" s="265"/>
      <c r="AF804" s="265"/>
      <c r="AV804" s="265"/>
      <c r="AW804" s="265"/>
      <c r="AX804" s="265"/>
      <c r="AY804" s="265"/>
      <c r="BE804" s="265"/>
      <c r="BF804" s="1028"/>
      <c r="BJ804" s="265"/>
      <c r="BK804" s="1458"/>
      <c r="BL804" s="1028"/>
      <c r="BP804" s="265"/>
      <c r="BQ804" s="1458"/>
      <c r="BW804" s="11"/>
      <c r="CA804" s="11"/>
      <c r="CK804" s="265"/>
      <c r="CL804" s="265"/>
      <c r="CM804" s="265"/>
      <c r="CO804" s="11"/>
      <c r="CR804" s="1026"/>
      <c r="CS804" s="265"/>
      <c r="CT804" s="265"/>
      <c r="CU804" s="265"/>
    </row>
    <row r="805" spans="10:99" ht="15" customHeight="1">
      <c r="J805" s="265"/>
      <c r="K805" s="1024"/>
      <c r="L805" s="1025"/>
      <c r="M805" s="1026"/>
      <c r="N805" s="1026"/>
      <c r="O805" s="265"/>
      <c r="P805" s="265"/>
      <c r="T805" s="265"/>
      <c r="U805" s="265"/>
      <c r="V805" s="265"/>
      <c r="X805" s="1026"/>
      <c r="Y805" s="265"/>
      <c r="Z805" s="265"/>
      <c r="AA805" s="265"/>
      <c r="AE805" s="265"/>
      <c r="AF805" s="265"/>
      <c r="AV805" s="265"/>
      <c r="AW805" s="265"/>
      <c r="AX805" s="265"/>
      <c r="AY805" s="265"/>
      <c r="BE805" s="265"/>
      <c r="BF805" s="1028"/>
      <c r="BJ805" s="265"/>
      <c r="BK805" s="1458"/>
      <c r="BL805" s="1028"/>
      <c r="BP805" s="265"/>
      <c r="BQ805" s="1458"/>
      <c r="BW805" s="11"/>
      <c r="CA805" s="11"/>
      <c r="CK805" s="265"/>
      <c r="CL805" s="265"/>
      <c r="CM805" s="265"/>
      <c r="CO805" s="11"/>
      <c r="CR805" s="1026"/>
      <c r="CS805" s="265"/>
      <c r="CT805" s="265"/>
      <c r="CU805" s="265"/>
    </row>
    <row r="806" spans="10:99" ht="15" customHeight="1">
      <c r="J806" s="265"/>
      <c r="K806" s="1024"/>
      <c r="L806" s="1025"/>
      <c r="M806" s="1026"/>
      <c r="N806" s="1026"/>
      <c r="O806" s="265"/>
      <c r="P806" s="265"/>
      <c r="T806" s="265"/>
      <c r="U806" s="265"/>
      <c r="V806" s="265"/>
      <c r="X806" s="1026"/>
      <c r="Y806" s="265"/>
      <c r="Z806" s="265"/>
      <c r="AA806" s="265"/>
      <c r="AE806" s="265"/>
      <c r="AF806" s="265"/>
      <c r="AV806" s="265"/>
      <c r="AW806" s="265"/>
      <c r="AX806" s="265"/>
      <c r="AY806" s="265"/>
      <c r="BE806" s="265"/>
      <c r="BF806" s="1028"/>
      <c r="BJ806" s="265"/>
      <c r="BK806" s="1458"/>
      <c r="BL806" s="1028"/>
      <c r="BP806" s="265"/>
      <c r="BQ806" s="1458"/>
      <c r="BW806" s="11"/>
      <c r="CA806" s="11"/>
      <c r="CK806" s="265"/>
      <c r="CL806" s="265"/>
      <c r="CM806" s="265"/>
      <c r="CO806" s="11"/>
      <c r="CR806" s="1026"/>
      <c r="CS806" s="265"/>
      <c r="CT806" s="265"/>
      <c r="CU806" s="265"/>
    </row>
    <row r="807" spans="10:99" ht="15" customHeight="1">
      <c r="J807" s="265"/>
      <c r="K807" s="1024"/>
      <c r="L807" s="1025"/>
      <c r="M807" s="1026"/>
      <c r="N807" s="1026"/>
      <c r="O807" s="265"/>
      <c r="P807" s="265"/>
      <c r="T807" s="265"/>
      <c r="U807" s="265"/>
      <c r="V807" s="265"/>
      <c r="X807" s="1026"/>
      <c r="Y807" s="265"/>
      <c r="Z807" s="265"/>
      <c r="AA807" s="265"/>
      <c r="AE807" s="265"/>
      <c r="AF807" s="265"/>
      <c r="AV807" s="265"/>
      <c r="AW807" s="265"/>
      <c r="AX807" s="265"/>
      <c r="AY807" s="265"/>
      <c r="BE807" s="265"/>
      <c r="BF807" s="1028"/>
      <c r="BJ807" s="265"/>
      <c r="BK807" s="1458"/>
      <c r="BL807" s="1028"/>
      <c r="BP807" s="265"/>
      <c r="BQ807" s="1458"/>
      <c r="BW807" s="11"/>
      <c r="CA807" s="11"/>
      <c r="CK807" s="265"/>
      <c r="CL807" s="265"/>
      <c r="CM807" s="265"/>
      <c r="CO807" s="11"/>
      <c r="CR807" s="1026"/>
      <c r="CS807" s="265"/>
      <c r="CT807" s="265"/>
      <c r="CU807" s="265"/>
    </row>
    <row r="808" spans="10:99" ht="15" customHeight="1">
      <c r="J808" s="265"/>
      <c r="K808" s="1024"/>
      <c r="L808" s="1025"/>
      <c r="M808" s="1026"/>
      <c r="N808" s="1026"/>
      <c r="O808" s="265"/>
      <c r="P808" s="265"/>
      <c r="T808" s="265"/>
      <c r="U808" s="265"/>
      <c r="V808" s="265"/>
      <c r="X808" s="1026"/>
      <c r="Y808" s="265"/>
      <c r="Z808" s="265"/>
      <c r="AA808" s="265"/>
      <c r="AE808" s="265"/>
      <c r="AF808" s="265"/>
      <c r="AV808" s="265"/>
      <c r="AW808" s="265"/>
      <c r="AX808" s="265"/>
      <c r="AY808" s="265"/>
      <c r="BE808" s="265"/>
      <c r="BF808" s="1028"/>
      <c r="BJ808" s="265"/>
      <c r="BK808" s="1458"/>
      <c r="BL808" s="1028"/>
      <c r="BP808" s="265"/>
      <c r="BQ808" s="1458"/>
      <c r="BW808" s="11"/>
      <c r="CA808" s="11"/>
      <c r="CK808" s="265"/>
      <c r="CL808" s="265"/>
      <c r="CM808" s="265"/>
      <c r="CO808" s="11"/>
      <c r="CR808" s="1026"/>
      <c r="CS808" s="265"/>
      <c r="CT808" s="265"/>
      <c r="CU808" s="265"/>
    </row>
    <row r="809" spans="10:99" ht="15" customHeight="1">
      <c r="J809" s="265"/>
      <c r="K809" s="1024"/>
      <c r="L809" s="1025"/>
      <c r="M809" s="1026"/>
      <c r="N809" s="1026"/>
      <c r="O809" s="265"/>
      <c r="P809" s="265"/>
      <c r="T809" s="265"/>
      <c r="U809" s="265"/>
      <c r="V809" s="265"/>
      <c r="X809" s="1026"/>
      <c r="Y809" s="265"/>
      <c r="Z809" s="265"/>
      <c r="AA809" s="265"/>
      <c r="AE809" s="265"/>
      <c r="AF809" s="265"/>
      <c r="AV809" s="265"/>
      <c r="AW809" s="265"/>
      <c r="AX809" s="265"/>
      <c r="AY809" s="265"/>
      <c r="BE809" s="265"/>
      <c r="BF809" s="1028"/>
      <c r="BJ809" s="265"/>
      <c r="BK809" s="1458"/>
      <c r="BL809" s="1028"/>
      <c r="BP809" s="265"/>
      <c r="BQ809" s="1458"/>
      <c r="BW809" s="11"/>
      <c r="CA809" s="11"/>
      <c r="CK809" s="265"/>
      <c r="CL809" s="265"/>
      <c r="CM809" s="265"/>
      <c r="CO809" s="11"/>
      <c r="CR809" s="1026"/>
      <c r="CS809" s="265"/>
      <c r="CT809" s="265"/>
      <c r="CU809" s="265"/>
    </row>
    <row r="810" spans="10:99" ht="15" customHeight="1">
      <c r="J810" s="265"/>
      <c r="K810" s="1024"/>
      <c r="L810" s="1025"/>
      <c r="M810" s="1026"/>
      <c r="N810" s="1026"/>
      <c r="O810" s="265"/>
      <c r="P810" s="265"/>
      <c r="T810" s="265"/>
      <c r="U810" s="265"/>
      <c r="V810" s="265"/>
      <c r="X810" s="1026"/>
      <c r="Y810" s="265"/>
      <c r="Z810" s="265"/>
      <c r="AA810" s="265"/>
      <c r="AE810" s="265"/>
      <c r="AF810" s="265"/>
      <c r="AV810" s="265"/>
      <c r="AW810" s="265"/>
      <c r="AX810" s="265"/>
      <c r="AY810" s="265"/>
      <c r="BE810" s="265"/>
      <c r="BF810" s="1028"/>
      <c r="BJ810" s="265"/>
      <c r="BK810" s="1458"/>
      <c r="BL810" s="1028"/>
      <c r="BP810" s="265"/>
      <c r="BQ810" s="1458"/>
      <c r="BW810" s="11"/>
      <c r="CA810" s="11"/>
      <c r="CK810" s="265"/>
      <c r="CL810" s="265"/>
      <c r="CM810" s="265"/>
      <c r="CO810" s="11"/>
      <c r="CR810" s="1026"/>
      <c r="CS810" s="265"/>
      <c r="CT810" s="265"/>
      <c r="CU810" s="265"/>
    </row>
    <row r="811" spans="10:99" ht="15" customHeight="1">
      <c r="J811" s="265"/>
      <c r="K811" s="1024"/>
      <c r="L811" s="1025"/>
      <c r="M811" s="1026"/>
      <c r="N811" s="1026"/>
      <c r="O811" s="265"/>
      <c r="P811" s="265"/>
      <c r="T811" s="265"/>
      <c r="U811" s="265"/>
      <c r="V811" s="265"/>
      <c r="X811" s="1026"/>
      <c r="Y811" s="265"/>
      <c r="Z811" s="265"/>
      <c r="AA811" s="265"/>
      <c r="AE811" s="265"/>
      <c r="AF811" s="265"/>
      <c r="AV811" s="265"/>
      <c r="AW811" s="265"/>
      <c r="AX811" s="265"/>
      <c r="AY811" s="265"/>
      <c r="BE811" s="265"/>
      <c r="BF811" s="1028"/>
      <c r="BJ811" s="265"/>
      <c r="BK811" s="1458"/>
      <c r="BL811" s="1028"/>
      <c r="BP811" s="265"/>
      <c r="BQ811" s="1458"/>
      <c r="BW811" s="11"/>
      <c r="CA811" s="11"/>
      <c r="CK811" s="265"/>
      <c r="CL811" s="265"/>
      <c r="CM811" s="265"/>
      <c r="CO811" s="11"/>
      <c r="CR811" s="1026"/>
      <c r="CS811" s="265"/>
      <c r="CT811" s="265"/>
      <c r="CU811" s="265"/>
    </row>
    <row r="812" spans="10:99" ht="15" customHeight="1">
      <c r="J812" s="265"/>
      <c r="K812" s="1024"/>
      <c r="L812" s="1025"/>
      <c r="M812" s="1026"/>
      <c r="N812" s="1026"/>
      <c r="O812" s="265"/>
      <c r="P812" s="265"/>
      <c r="T812" s="265"/>
      <c r="U812" s="265"/>
      <c r="V812" s="265"/>
      <c r="X812" s="1026"/>
      <c r="Y812" s="265"/>
      <c r="Z812" s="265"/>
      <c r="AA812" s="265"/>
      <c r="AE812" s="265"/>
      <c r="AF812" s="265"/>
      <c r="AV812" s="265"/>
      <c r="AW812" s="265"/>
      <c r="AX812" s="265"/>
      <c r="AY812" s="265"/>
      <c r="BE812" s="265"/>
      <c r="BF812" s="1028"/>
      <c r="BJ812" s="265"/>
      <c r="BK812" s="1458"/>
      <c r="BL812" s="1028"/>
      <c r="BP812" s="265"/>
      <c r="BQ812" s="1458"/>
      <c r="BW812" s="11"/>
      <c r="CA812" s="11"/>
      <c r="CK812" s="265"/>
      <c r="CL812" s="265"/>
      <c r="CM812" s="265"/>
      <c r="CO812" s="11"/>
      <c r="CR812" s="1026"/>
      <c r="CS812" s="265"/>
      <c r="CT812" s="265"/>
      <c r="CU812" s="265"/>
    </row>
    <row r="813" spans="10:99" ht="15" customHeight="1">
      <c r="J813" s="265"/>
      <c r="K813" s="1024"/>
      <c r="L813" s="1025"/>
      <c r="M813" s="1026"/>
      <c r="N813" s="1026"/>
      <c r="O813" s="265"/>
      <c r="P813" s="265"/>
      <c r="T813" s="265"/>
      <c r="U813" s="265"/>
      <c r="V813" s="265"/>
      <c r="X813" s="1026"/>
      <c r="Y813" s="265"/>
      <c r="Z813" s="265"/>
      <c r="AA813" s="265"/>
      <c r="AE813" s="265"/>
      <c r="AF813" s="265"/>
      <c r="AV813" s="265"/>
      <c r="AW813" s="265"/>
      <c r="AX813" s="265"/>
      <c r="AY813" s="265"/>
      <c r="BE813" s="265"/>
      <c r="BF813" s="1028"/>
      <c r="BJ813" s="265"/>
      <c r="BK813" s="1458"/>
      <c r="BL813" s="1028"/>
      <c r="BP813" s="265"/>
      <c r="BQ813" s="1458"/>
      <c r="BW813" s="11"/>
      <c r="CA813" s="11"/>
      <c r="CK813" s="265"/>
      <c r="CL813" s="265"/>
      <c r="CM813" s="265"/>
      <c r="CO813" s="11"/>
      <c r="CR813" s="1026"/>
      <c r="CS813" s="265"/>
      <c r="CT813" s="265"/>
      <c r="CU813" s="265"/>
    </row>
    <row r="814" spans="10:99" ht="15" customHeight="1">
      <c r="J814" s="265"/>
      <c r="K814" s="1024"/>
      <c r="L814" s="1025"/>
      <c r="M814" s="1026"/>
      <c r="N814" s="1026"/>
      <c r="O814" s="265"/>
      <c r="P814" s="265"/>
      <c r="T814" s="265"/>
      <c r="U814" s="265"/>
      <c r="V814" s="265"/>
      <c r="X814" s="1026"/>
      <c r="Y814" s="265"/>
      <c r="Z814" s="265"/>
      <c r="AA814" s="265"/>
      <c r="AE814" s="265"/>
      <c r="AF814" s="265"/>
      <c r="AV814" s="265"/>
      <c r="AW814" s="265"/>
      <c r="AX814" s="265"/>
      <c r="AY814" s="265"/>
      <c r="BE814" s="265"/>
      <c r="BF814" s="1028"/>
      <c r="BJ814" s="265"/>
      <c r="BK814" s="1458"/>
      <c r="BL814" s="1028"/>
      <c r="BP814" s="265"/>
      <c r="BQ814" s="1458"/>
      <c r="BW814" s="11"/>
      <c r="CA814" s="11"/>
      <c r="CK814" s="265"/>
      <c r="CL814" s="265"/>
      <c r="CM814" s="265"/>
      <c r="CO814" s="11"/>
      <c r="CR814" s="1026"/>
      <c r="CS814" s="265"/>
      <c r="CT814" s="265"/>
      <c r="CU814" s="265"/>
    </row>
    <row r="815" spans="10:99" ht="15" customHeight="1">
      <c r="J815" s="265"/>
      <c r="K815" s="1024"/>
      <c r="L815" s="1025"/>
      <c r="M815" s="1026"/>
      <c r="N815" s="1026"/>
      <c r="O815" s="265"/>
      <c r="P815" s="265"/>
      <c r="T815" s="265"/>
      <c r="U815" s="265"/>
      <c r="V815" s="265"/>
      <c r="X815" s="1026"/>
      <c r="Y815" s="265"/>
      <c r="Z815" s="265"/>
      <c r="AA815" s="265"/>
      <c r="AE815" s="265"/>
      <c r="AF815" s="265"/>
      <c r="AV815" s="265"/>
      <c r="AW815" s="265"/>
      <c r="AX815" s="265"/>
      <c r="AY815" s="265"/>
      <c r="BE815" s="265"/>
      <c r="BF815" s="1028"/>
      <c r="BJ815" s="265"/>
      <c r="BK815" s="1458"/>
      <c r="BL815" s="1028"/>
      <c r="BP815" s="265"/>
      <c r="BQ815" s="1458"/>
      <c r="BW815" s="11"/>
      <c r="CA815" s="11"/>
      <c r="CK815" s="265"/>
      <c r="CL815" s="265"/>
      <c r="CM815" s="265"/>
      <c r="CO815" s="11"/>
      <c r="CR815" s="1026"/>
      <c r="CS815" s="265"/>
      <c r="CT815" s="265"/>
      <c r="CU815" s="265"/>
    </row>
    <row r="816" spans="10:99" ht="15" customHeight="1">
      <c r="J816" s="265"/>
      <c r="K816" s="1024"/>
      <c r="L816" s="1025"/>
      <c r="M816" s="1026"/>
      <c r="N816" s="1026"/>
      <c r="O816" s="265"/>
      <c r="P816" s="265"/>
      <c r="T816" s="265"/>
      <c r="U816" s="265"/>
      <c r="V816" s="265"/>
      <c r="X816" s="1026"/>
      <c r="Y816" s="265"/>
      <c r="Z816" s="265"/>
      <c r="AA816" s="265"/>
      <c r="AE816" s="265"/>
      <c r="AF816" s="265"/>
      <c r="AV816" s="265"/>
      <c r="AW816" s="265"/>
      <c r="AX816" s="265"/>
      <c r="AY816" s="265"/>
      <c r="BE816" s="265"/>
      <c r="BF816" s="1028"/>
      <c r="BJ816" s="265"/>
      <c r="BK816" s="1458"/>
      <c r="BL816" s="1028"/>
      <c r="BP816" s="265"/>
      <c r="BQ816" s="1458"/>
      <c r="BW816" s="11"/>
      <c r="CA816" s="11"/>
      <c r="CK816" s="265"/>
      <c r="CL816" s="265"/>
      <c r="CM816" s="265"/>
      <c r="CO816" s="11"/>
      <c r="CR816" s="1026"/>
      <c r="CS816" s="265"/>
      <c r="CT816" s="265"/>
      <c r="CU816" s="265"/>
    </row>
    <row r="817" spans="10:99" ht="15" customHeight="1">
      <c r="J817" s="265"/>
      <c r="K817" s="1024"/>
      <c r="L817" s="1025"/>
      <c r="M817" s="1026"/>
      <c r="N817" s="1026"/>
      <c r="O817" s="265"/>
      <c r="P817" s="265"/>
      <c r="T817" s="265"/>
      <c r="U817" s="265"/>
      <c r="V817" s="265"/>
      <c r="X817" s="1026"/>
      <c r="Y817" s="265"/>
      <c r="Z817" s="265"/>
      <c r="AA817" s="265"/>
      <c r="AE817" s="265"/>
      <c r="AF817" s="265"/>
      <c r="AV817" s="265"/>
      <c r="AW817" s="265"/>
      <c r="AX817" s="265"/>
      <c r="AY817" s="265"/>
      <c r="BE817" s="265"/>
      <c r="BF817" s="1028"/>
      <c r="BJ817" s="265"/>
      <c r="BK817" s="1458"/>
      <c r="BL817" s="1028"/>
      <c r="BP817" s="265"/>
      <c r="BQ817" s="1458"/>
      <c r="BW817" s="11"/>
      <c r="CA817" s="11"/>
      <c r="CK817" s="265"/>
      <c r="CL817" s="265"/>
      <c r="CM817" s="265"/>
      <c r="CO817" s="11"/>
      <c r="CR817" s="1026"/>
      <c r="CS817" s="265"/>
      <c r="CT817" s="265"/>
      <c r="CU817" s="265"/>
    </row>
    <row r="818" spans="10:99" ht="15" customHeight="1">
      <c r="J818" s="265"/>
      <c r="K818" s="1024"/>
      <c r="L818" s="1025"/>
      <c r="M818" s="1026"/>
      <c r="N818" s="1026"/>
      <c r="O818" s="265"/>
      <c r="P818" s="265"/>
      <c r="T818" s="265"/>
      <c r="U818" s="265"/>
      <c r="V818" s="265"/>
      <c r="X818" s="1026"/>
      <c r="Y818" s="265"/>
      <c r="Z818" s="265"/>
      <c r="AA818" s="265"/>
      <c r="AE818" s="265"/>
      <c r="AF818" s="265"/>
      <c r="AV818" s="265"/>
      <c r="AW818" s="265"/>
      <c r="AX818" s="265"/>
      <c r="AY818" s="265"/>
      <c r="BE818" s="265"/>
      <c r="BF818" s="1028"/>
      <c r="BJ818" s="265"/>
      <c r="BK818" s="1458"/>
      <c r="BL818" s="1028"/>
      <c r="BP818" s="265"/>
      <c r="BQ818" s="1458"/>
      <c r="BW818" s="11"/>
      <c r="CA818" s="11"/>
      <c r="CK818" s="265"/>
      <c r="CL818" s="265"/>
      <c r="CM818" s="265"/>
      <c r="CO818" s="11"/>
      <c r="CR818" s="1026"/>
      <c r="CS818" s="265"/>
      <c r="CT818" s="265"/>
      <c r="CU818" s="265"/>
    </row>
    <row r="819" spans="10:99" ht="15" customHeight="1">
      <c r="J819" s="265"/>
      <c r="K819" s="1024"/>
      <c r="L819" s="1025"/>
      <c r="M819" s="1026"/>
      <c r="N819" s="1026"/>
      <c r="O819" s="265"/>
      <c r="P819" s="265"/>
      <c r="T819" s="265"/>
      <c r="U819" s="265"/>
      <c r="V819" s="265"/>
      <c r="X819" s="1026"/>
      <c r="Y819" s="265"/>
      <c r="Z819" s="265"/>
      <c r="AA819" s="265"/>
      <c r="AE819" s="265"/>
      <c r="AF819" s="265"/>
      <c r="AV819" s="265"/>
      <c r="AW819" s="265"/>
      <c r="AX819" s="265"/>
      <c r="AY819" s="265"/>
      <c r="BE819" s="265"/>
      <c r="BF819" s="1028"/>
      <c r="BJ819" s="265"/>
      <c r="BK819" s="1458"/>
      <c r="BL819" s="1028"/>
      <c r="BP819" s="265"/>
      <c r="BQ819" s="1458"/>
      <c r="BW819" s="11"/>
      <c r="CA819" s="11"/>
      <c r="CK819" s="265"/>
      <c r="CL819" s="265"/>
      <c r="CM819" s="265"/>
      <c r="CO819" s="11"/>
      <c r="CR819" s="1026"/>
      <c r="CS819" s="265"/>
      <c r="CT819" s="265"/>
      <c r="CU819" s="265"/>
    </row>
    <row r="820" spans="10:99" ht="15" customHeight="1">
      <c r="J820" s="265"/>
      <c r="K820" s="1024"/>
      <c r="L820" s="1025"/>
      <c r="M820" s="1026"/>
      <c r="N820" s="1026"/>
      <c r="O820" s="265"/>
      <c r="P820" s="265"/>
      <c r="T820" s="265"/>
      <c r="U820" s="265"/>
      <c r="V820" s="265"/>
      <c r="X820" s="1026"/>
      <c r="Y820" s="265"/>
      <c r="Z820" s="265"/>
      <c r="AA820" s="265"/>
      <c r="AE820" s="265"/>
      <c r="AF820" s="265"/>
      <c r="AV820" s="265"/>
      <c r="AW820" s="265"/>
      <c r="AX820" s="265"/>
      <c r="AY820" s="265"/>
      <c r="BE820" s="265"/>
      <c r="BF820" s="1028"/>
      <c r="BJ820" s="265"/>
      <c r="BK820" s="1458"/>
      <c r="BL820" s="1028"/>
      <c r="BP820" s="265"/>
      <c r="BQ820" s="1458"/>
      <c r="BW820" s="11"/>
      <c r="CA820" s="11"/>
      <c r="CK820" s="265"/>
      <c r="CL820" s="265"/>
      <c r="CM820" s="265"/>
      <c r="CO820" s="11"/>
      <c r="CR820" s="1026"/>
      <c r="CS820" s="265"/>
      <c r="CT820" s="265"/>
      <c r="CU820" s="265"/>
    </row>
    <row r="821" spans="10:99" ht="15" customHeight="1">
      <c r="J821" s="265"/>
      <c r="K821" s="1024"/>
      <c r="L821" s="1025"/>
      <c r="M821" s="1026"/>
      <c r="N821" s="1026"/>
      <c r="O821" s="265"/>
      <c r="P821" s="265"/>
      <c r="T821" s="265"/>
      <c r="U821" s="265"/>
      <c r="V821" s="265"/>
      <c r="X821" s="1026"/>
      <c r="Y821" s="265"/>
      <c r="Z821" s="265"/>
      <c r="AA821" s="265"/>
      <c r="AE821" s="265"/>
      <c r="AF821" s="265"/>
      <c r="AV821" s="265"/>
      <c r="AW821" s="265"/>
      <c r="AX821" s="265"/>
      <c r="AY821" s="265"/>
      <c r="BE821" s="265"/>
      <c r="BF821" s="1028"/>
      <c r="BJ821" s="265"/>
      <c r="BK821" s="1458"/>
      <c r="BL821" s="1028"/>
      <c r="BP821" s="265"/>
      <c r="BQ821" s="1458"/>
      <c r="BW821" s="11"/>
      <c r="CA821" s="11"/>
      <c r="CK821" s="265"/>
      <c r="CL821" s="265"/>
      <c r="CM821" s="265"/>
      <c r="CO821" s="11"/>
      <c r="CR821" s="1026"/>
      <c r="CS821" s="265"/>
      <c r="CT821" s="265"/>
      <c r="CU821" s="265"/>
    </row>
    <row r="822" spans="10:99" ht="15" customHeight="1">
      <c r="J822" s="265"/>
      <c r="K822" s="1024"/>
      <c r="L822" s="1025"/>
      <c r="M822" s="1026"/>
      <c r="N822" s="1026"/>
      <c r="O822" s="265"/>
      <c r="P822" s="265"/>
      <c r="T822" s="265"/>
      <c r="U822" s="265"/>
      <c r="V822" s="265"/>
      <c r="X822" s="1026"/>
      <c r="Y822" s="265"/>
      <c r="Z822" s="265"/>
      <c r="AA822" s="265"/>
      <c r="AE822" s="265"/>
      <c r="AF822" s="265"/>
      <c r="AV822" s="265"/>
      <c r="AW822" s="265"/>
      <c r="AX822" s="265"/>
      <c r="AY822" s="265"/>
      <c r="BE822" s="265"/>
      <c r="BF822" s="1028"/>
      <c r="BJ822" s="265"/>
      <c r="BK822" s="1458"/>
      <c r="BL822" s="1028"/>
      <c r="BP822" s="265"/>
      <c r="BQ822" s="1458"/>
      <c r="BW822" s="11"/>
      <c r="CA822" s="11"/>
      <c r="CK822" s="265"/>
      <c r="CL822" s="265"/>
      <c r="CM822" s="265"/>
      <c r="CO822" s="11"/>
      <c r="CR822" s="1026"/>
      <c r="CS822" s="265"/>
      <c r="CT822" s="265"/>
      <c r="CU822" s="265"/>
    </row>
    <row r="823" spans="10:99" ht="15" customHeight="1">
      <c r="J823" s="265"/>
      <c r="K823" s="1024"/>
      <c r="L823" s="1025"/>
      <c r="M823" s="1026"/>
      <c r="N823" s="1026"/>
      <c r="O823" s="265"/>
      <c r="P823" s="265"/>
      <c r="T823" s="265"/>
      <c r="U823" s="265"/>
      <c r="V823" s="265"/>
      <c r="X823" s="1026"/>
      <c r="Y823" s="265"/>
      <c r="Z823" s="265"/>
      <c r="AA823" s="265"/>
      <c r="AE823" s="265"/>
      <c r="AF823" s="265"/>
      <c r="AV823" s="265"/>
      <c r="AW823" s="265"/>
      <c r="AX823" s="265"/>
      <c r="AY823" s="265"/>
      <c r="BE823" s="265"/>
      <c r="BF823" s="1028"/>
      <c r="BJ823" s="265"/>
      <c r="BK823" s="1458"/>
      <c r="BL823" s="1028"/>
      <c r="BP823" s="265"/>
      <c r="BQ823" s="1458"/>
      <c r="BW823" s="11"/>
      <c r="CA823" s="11"/>
      <c r="CK823" s="265"/>
      <c r="CL823" s="265"/>
      <c r="CM823" s="265"/>
      <c r="CO823" s="11"/>
      <c r="CR823" s="1026"/>
      <c r="CS823" s="265"/>
      <c r="CT823" s="265"/>
      <c r="CU823" s="265"/>
    </row>
    <row r="824" spans="10:99" ht="15" customHeight="1">
      <c r="J824" s="265"/>
      <c r="K824" s="1024"/>
      <c r="L824" s="1025"/>
      <c r="M824" s="1026"/>
      <c r="N824" s="1026"/>
      <c r="O824" s="265"/>
      <c r="P824" s="265"/>
      <c r="T824" s="265"/>
      <c r="U824" s="265"/>
      <c r="V824" s="265"/>
      <c r="X824" s="1026"/>
      <c r="Y824" s="265"/>
      <c r="Z824" s="265"/>
      <c r="AA824" s="265"/>
      <c r="AE824" s="265"/>
      <c r="AF824" s="265"/>
      <c r="AV824" s="265"/>
      <c r="AW824" s="265"/>
      <c r="AX824" s="265"/>
      <c r="AY824" s="265"/>
      <c r="BE824" s="265"/>
      <c r="BF824" s="1028"/>
      <c r="BJ824" s="265"/>
      <c r="BK824" s="1458"/>
      <c r="BL824" s="1028"/>
      <c r="BP824" s="265"/>
      <c r="BQ824" s="1458"/>
      <c r="BW824" s="11"/>
      <c r="CA824" s="11"/>
      <c r="CK824" s="265"/>
      <c r="CL824" s="265"/>
      <c r="CM824" s="265"/>
      <c r="CO824" s="11"/>
      <c r="CR824" s="1026"/>
      <c r="CS824" s="265"/>
      <c r="CT824" s="265"/>
      <c r="CU824" s="265"/>
    </row>
    <row r="825" spans="10:99" ht="15" customHeight="1">
      <c r="J825" s="265"/>
      <c r="K825" s="1024"/>
      <c r="L825" s="1025"/>
      <c r="M825" s="1026"/>
      <c r="N825" s="1026"/>
      <c r="O825" s="265"/>
      <c r="P825" s="265"/>
      <c r="T825" s="265"/>
      <c r="U825" s="265"/>
      <c r="V825" s="265"/>
      <c r="X825" s="1026"/>
      <c r="Y825" s="265"/>
      <c r="Z825" s="265"/>
      <c r="AA825" s="265"/>
      <c r="AE825" s="265"/>
      <c r="AF825" s="265"/>
      <c r="AV825" s="265"/>
      <c r="AW825" s="265"/>
      <c r="AX825" s="265"/>
      <c r="AY825" s="265"/>
      <c r="BE825" s="265"/>
      <c r="BF825" s="1028"/>
      <c r="BJ825" s="265"/>
      <c r="BK825" s="1458"/>
      <c r="BL825" s="1028"/>
      <c r="BP825" s="265"/>
      <c r="BQ825" s="1458"/>
      <c r="BW825" s="11"/>
      <c r="CA825" s="11"/>
      <c r="CK825" s="265"/>
      <c r="CL825" s="265"/>
      <c r="CM825" s="265"/>
      <c r="CO825" s="11"/>
      <c r="CR825" s="1026"/>
      <c r="CS825" s="265"/>
      <c r="CT825" s="265"/>
      <c r="CU825" s="265"/>
    </row>
    <row r="826" spans="10:99" ht="15" customHeight="1">
      <c r="J826" s="265"/>
      <c r="K826" s="1024"/>
      <c r="L826" s="1025"/>
      <c r="M826" s="1026"/>
      <c r="N826" s="1026"/>
      <c r="O826" s="265"/>
      <c r="P826" s="265"/>
      <c r="T826" s="265"/>
      <c r="U826" s="265"/>
      <c r="V826" s="265"/>
      <c r="X826" s="1026"/>
      <c r="Y826" s="265"/>
      <c r="Z826" s="265"/>
      <c r="AA826" s="265"/>
      <c r="AE826" s="265"/>
      <c r="AF826" s="265"/>
      <c r="AV826" s="265"/>
      <c r="AW826" s="265"/>
      <c r="AX826" s="265"/>
      <c r="AY826" s="265"/>
      <c r="BE826" s="265"/>
      <c r="BF826" s="1028"/>
      <c r="BJ826" s="265"/>
      <c r="BK826" s="1458"/>
      <c r="BL826" s="1028"/>
      <c r="BP826" s="265"/>
      <c r="BQ826" s="1458"/>
      <c r="BW826" s="11"/>
      <c r="CA826" s="11"/>
      <c r="CK826" s="265"/>
      <c r="CL826" s="265"/>
      <c r="CM826" s="265"/>
      <c r="CO826" s="11"/>
      <c r="CR826" s="1026"/>
      <c r="CS826" s="265"/>
      <c r="CT826" s="265"/>
      <c r="CU826" s="265"/>
    </row>
    <row r="827" spans="10:99" ht="15" customHeight="1">
      <c r="J827" s="265"/>
      <c r="K827" s="1024"/>
      <c r="L827" s="1025"/>
      <c r="M827" s="1026"/>
      <c r="N827" s="1026"/>
      <c r="O827" s="265"/>
      <c r="P827" s="265"/>
      <c r="T827" s="265"/>
      <c r="U827" s="265"/>
      <c r="V827" s="265"/>
      <c r="X827" s="1026"/>
      <c r="Y827" s="265"/>
      <c r="Z827" s="265"/>
      <c r="AA827" s="265"/>
      <c r="AE827" s="265"/>
      <c r="AF827" s="265"/>
      <c r="AV827" s="265"/>
      <c r="AW827" s="265"/>
      <c r="AX827" s="265"/>
      <c r="AY827" s="265"/>
      <c r="BE827" s="265"/>
      <c r="BF827" s="1028"/>
      <c r="BJ827" s="265"/>
      <c r="BK827" s="1458"/>
      <c r="BL827" s="1028"/>
      <c r="BP827" s="265"/>
      <c r="BQ827" s="1458"/>
      <c r="BW827" s="11"/>
      <c r="CA827" s="11"/>
      <c r="CK827" s="265"/>
      <c r="CL827" s="265"/>
      <c r="CM827" s="265"/>
      <c r="CO827" s="11"/>
      <c r="CR827" s="1026"/>
      <c r="CS827" s="265"/>
      <c r="CT827" s="265"/>
      <c r="CU827" s="265"/>
    </row>
    <row r="828" spans="10:99" ht="15" customHeight="1">
      <c r="J828" s="265"/>
      <c r="K828" s="1024"/>
      <c r="L828" s="1025"/>
      <c r="M828" s="1026"/>
      <c r="N828" s="1026"/>
      <c r="O828" s="265"/>
      <c r="P828" s="265"/>
      <c r="T828" s="265"/>
      <c r="U828" s="265"/>
      <c r="V828" s="265"/>
      <c r="X828" s="1026"/>
      <c r="Y828" s="265"/>
      <c r="Z828" s="265"/>
      <c r="AA828" s="265"/>
      <c r="AE828" s="265"/>
      <c r="AF828" s="265"/>
      <c r="AV828" s="265"/>
      <c r="AW828" s="265"/>
      <c r="AX828" s="265"/>
      <c r="AY828" s="265"/>
      <c r="BE828" s="265"/>
      <c r="BF828" s="1028"/>
      <c r="BJ828" s="265"/>
      <c r="BK828" s="1458"/>
      <c r="BL828" s="1028"/>
      <c r="BP828" s="265"/>
      <c r="BQ828" s="1458"/>
      <c r="BW828" s="11"/>
      <c r="CA828" s="11"/>
      <c r="CK828" s="265"/>
      <c r="CL828" s="265"/>
      <c r="CM828" s="265"/>
      <c r="CO828" s="11"/>
      <c r="CR828" s="1026"/>
      <c r="CS828" s="265"/>
      <c r="CT828" s="265"/>
      <c r="CU828" s="265"/>
    </row>
    <row r="829" spans="10:99" ht="15" customHeight="1">
      <c r="J829" s="265"/>
      <c r="K829" s="1024"/>
      <c r="L829" s="1025"/>
      <c r="M829" s="1026"/>
      <c r="N829" s="1026"/>
      <c r="O829" s="265"/>
      <c r="P829" s="265"/>
      <c r="T829" s="265"/>
      <c r="U829" s="265"/>
      <c r="V829" s="265"/>
      <c r="X829" s="1026"/>
      <c r="Y829" s="265"/>
      <c r="Z829" s="265"/>
      <c r="AA829" s="265"/>
      <c r="AE829" s="265"/>
      <c r="AF829" s="265"/>
      <c r="AV829" s="265"/>
      <c r="AW829" s="265"/>
      <c r="AX829" s="265"/>
      <c r="AY829" s="265"/>
      <c r="BE829" s="265"/>
      <c r="BF829" s="1028"/>
      <c r="BJ829" s="265"/>
      <c r="BK829" s="1458"/>
      <c r="BL829" s="1028"/>
      <c r="BP829" s="265"/>
      <c r="BQ829" s="1458"/>
      <c r="BW829" s="11"/>
      <c r="CA829" s="11"/>
      <c r="CK829" s="265"/>
      <c r="CL829" s="265"/>
      <c r="CM829" s="265"/>
      <c r="CO829" s="11"/>
      <c r="CR829" s="1026"/>
      <c r="CS829" s="265"/>
      <c r="CT829" s="265"/>
      <c r="CU829" s="265"/>
    </row>
    <row r="830" spans="10:99" ht="15" customHeight="1">
      <c r="J830" s="265"/>
      <c r="K830" s="1024"/>
      <c r="L830" s="1025"/>
      <c r="M830" s="1026"/>
      <c r="N830" s="1026"/>
      <c r="O830" s="265"/>
      <c r="P830" s="265"/>
      <c r="T830" s="265"/>
      <c r="U830" s="265"/>
      <c r="V830" s="265"/>
      <c r="X830" s="1026"/>
      <c r="Y830" s="265"/>
      <c r="Z830" s="265"/>
      <c r="AA830" s="265"/>
      <c r="AE830" s="265"/>
      <c r="AF830" s="265"/>
      <c r="AV830" s="265"/>
      <c r="AW830" s="265"/>
      <c r="AX830" s="265"/>
      <c r="AY830" s="265"/>
      <c r="BE830" s="265"/>
      <c r="BF830" s="1028"/>
      <c r="BJ830" s="265"/>
      <c r="BK830" s="1458"/>
      <c r="BL830" s="1028"/>
      <c r="BP830" s="265"/>
      <c r="BQ830" s="1458"/>
      <c r="BW830" s="11"/>
      <c r="CA830" s="11"/>
      <c r="CK830" s="265"/>
      <c r="CL830" s="265"/>
      <c r="CM830" s="265"/>
      <c r="CO830" s="11"/>
      <c r="CR830" s="1026"/>
      <c r="CS830" s="265"/>
      <c r="CT830" s="265"/>
      <c r="CU830" s="265"/>
    </row>
    <row r="831" spans="10:99" ht="15" customHeight="1">
      <c r="J831" s="265"/>
      <c r="K831" s="1024"/>
      <c r="L831" s="1025"/>
      <c r="M831" s="1026"/>
      <c r="N831" s="1026"/>
      <c r="O831" s="265"/>
      <c r="P831" s="265"/>
      <c r="T831" s="265"/>
      <c r="U831" s="265"/>
      <c r="V831" s="265"/>
      <c r="X831" s="1026"/>
      <c r="Y831" s="265"/>
      <c r="Z831" s="265"/>
      <c r="AA831" s="265"/>
      <c r="AE831" s="265"/>
      <c r="AF831" s="265"/>
      <c r="AV831" s="265"/>
      <c r="AW831" s="265"/>
      <c r="AX831" s="265"/>
      <c r="AY831" s="265"/>
      <c r="BE831" s="265"/>
      <c r="BF831" s="1028"/>
      <c r="BJ831" s="265"/>
      <c r="BK831" s="1458"/>
      <c r="BL831" s="1028"/>
      <c r="BP831" s="265"/>
      <c r="BQ831" s="1458"/>
      <c r="BW831" s="11"/>
      <c r="CA831" s="11"/>
      <c r="CK831" s="265"/>
      <c r="CL831" s="265"/>
      <c r="CM831" s="265"/>
      <c r="CO831" s="11"/>
      <c r="CR831" s="1026"/>
      <c r="CS831" s="265"/>
      <c r="CT831" s="265"/>
      <c r="CU831" s="265"/>
    </row>
    <row r="832" spans="10:99" ht="15" customHeight="1">
      <c r="J832" s="265"/>
      <c r="K832" s="1024"/>
      <c r="L832" s="1025"/>
      <c r="M832" s="1026"/>
      <c r="N832" s="1026"/>
      <c r="O832" s="265"/>
      <c r="P832" s="265"/>
      <c r="T832" s="265"/>
      <c r="U832" s="265"/>
      <c r="V832" s="265"/>
      <c r="X832" s="1026"/>
      <c r="Y832" s="265"/>
      <c r="Z832" s="265"/>
      <c r="AA832" s="265"/>
      <c r="AE832" s="265"/>
      <c r="AF832" s="265"/>
      <c r="AV832" s="265"/>
      <c r="AW832" s="265"/>
      <c r="AX832" s="265"/>
      <c r="AY832" s="265"/>
      <c r="BE832" s="265"/>
      <c r="BF832" s="1028"/>
      <c r="BJ832" s="265"/>
      <c r="BK832" s="1458"/>
      <c r="BL832" s="1028"/>
      <c r="BP832" s="265"/>
      <c r="BQ832" s="1458"/>
      <c r="BW832" s="11"/>
      <c r="CA832" s="11"/>
      <c r="CK832" s="265"/>
      <c r="CL832" s="265"/>
      <c r="CM832" s="265"/>
      <c r="CO832" s="11"/>
      <c r="CR832" s="1026"/>
      <c r="CS832" s="265"/>
      <c r="CT832" s="265"/>
      <c r="CU832" s="265"/>
    </row>
    <row r="833" spans="10:99" ht="15" customHeight="1">
      <c r="J833" s="265"/>
      <c r="K833" s="1024"/>
      <c r="L833" s="1025"/>
      <c r="M833" s="1026"/>
      <c r="N833" s="1026"/>
      <c r="O833" s="265"/>
      <c r="P833" s="265"/>
      <c r="T833" s="265"/>
      <c r="U833" s="265"/>
      <c r="V833" s="265"/>
      <c r="X833" s="1026"/>
      <c r="Y833" s="265"/>
      <c r="Z833" s="265"/>
      <c r="AA833" s="265"/>
      <c r="AE833" s="265"/>
      <c r="AF833" s="265"/>
      <c r="AV833" s="265"/>
      <c r="AW833" s="265"/>
      <c r="AX833" s="265"/>
      <c r="AY833" s="265"/>
      <c r="BE833" s="265"/>
      <c r="BF833" s="1028"/>
      <c r="BJ833" s="265"/>
      <c r="BK833" s="1458"/>
      <c r="BL833" s="1028"/>
      <c r="BP833" s="265"/>
      <c r="BQ833" s="1458"/>
      <c r="BW833" s="11"/>
      <c r="CA833" s="11"/>
      <c r="CK833" s="265"/>
      <c r="CL833" s="265"/>
      <c r="CM833" s="265"/>
      <c r="CO833" s="11"/>
      <c r="CR833" s="1026"/>
      <c r="CS833" s="265"/>
      <c r="CT833" s="265"/>
      <c r="CU833" s="265"/>
    </row>
    <row r="834" spans="10:99" ht="15" customHeight="1">
      <c r="J834" s="265"/>
      <c r="K834" s="1024"/>
      <c r="L834" s="1025"/>
      <c r="M834" s="1026"/>
      <c r="N834" s="1026"/>
      <c r="O834" s="265"/>
      <c r="P834" s="265"/>
      <c r="T834" s="265"/>
      <c r="U834" s="265"/>
      <c r="V834" s="265"/>
      <c r="X834" s="1026"/>
      <c r="Y834" s="265"/>
      <c r="Z834" s="265"/>
      <c r="AA834" s="265"/>
      <c r="AE834" s="265"/>
      <c r="AF834" s="265"/>
      <c r="AV834" s="265"/>
      <c r="AW834" s="265"/>
      <c r="AX834" s="265"/>
      <c r="AY834" s="265"/>
      <c r="BE834" s="265"/>
      <c r="BF834" s="1028"/>
      <c r="BJ834" s="265"/>
      <c r="BK834" s="1458"/>
      <c r="BL834" s="1028"/>
      <c r="BP834" s="265"/>
      <c r="BQ834" s="1458"/>
      <c r="BW834" s="11"/>
      <c r="CA834" s="11"/>
      <c r="CK834" s="265"/>
      <c r="CL834" s="265"/>
      <c r="CM834" s="265"/>
      <c r="CO834" s="11"/>
      <c r="CR834" s="1026"/>
      <c r="CS834" s="265"/>
      <c r="CT834" s="265"/>
      <c r="CU834" s="265"/>
    </row>
    <row r="835" spans="10:99" ht="15" customHeight="1">
      <c r="J835" s="265"/>
      <c r="K835" s="1024"/>
      <c r="L835" s="1025"/>
      <c r="M835" s="1026"/>
      <c r="N835" s="1026"/>
      <c r="O835" s="265"/>
      <c r="P835" s="265"/>
      <c r="T835" s="265"/>
      <c r="U835" s="265"/>
      <c r="V835" s="265"/>
      <c r="X835" s="1026"/>
      <c r="Y835" s="265"/>
      <c r="Z835" s="265"/>
      <c r="AA835" s="265"/>
      <c r="AE835" s="265"/>
      <c r="AF835" s="265"/>
      <c r="AV835" s="265"/>
      <c r="AW835" s="265"/>
      <c r="AX835" s="265"/>
      <c r="AY835" s="265"/>
      <c r="BE835" s="265"/>
      <c r="BF835" s="1028"/>
      <c r="BJ835" s="265"/>
      <c r="BK835" s="1458"/>
      <c r="BL835" s="1028"/>
      <c r="BP835" s="265"/>
      <c r="BQ835" s="1458"/>
      <c r="BW835" s="11"/>
      <c r="CA835" s="11"/>
      <c r="CK835" s="265"/>
      <c r="CL835" s="265"/>
      <c r="CM835" s="265"/>
      <c r="CO835" s="11"/>
      <c r="CR835" s="1026"/>
      <c r="CS835" s="265"/>
      <c r="CT835" s="265"/>
      <c r="CU835" s="265"/>
    </row>
    <row r="836" spans="10:99" ht="15" customHeight="1">
      <c r="J836" s="265"/>
      <c r="K836" s="1024"/>
      <c r="L836" s="1025"/>
      <c r="M836" s="1026"/>
      <c r="N836" s="1026"/>
      <c r="O836" s="265"/>
      <c r="P836" s="265"/>
      <c r="T836" s="265"/>
      <c r="U836" s="265"/>
      <c r="V836" s="265"/>
      <c r="X836" s="1026"/>
      <c r="Y836" s="265"/>
      <c r="Z836" s="265"/>
      <c r="AA836" s="265"/>
      <c r="AE836" s="265"/>
      <c r="AF836" s="265"/>
      <c r="AV836" s="265"/>
      <c r="AW836" s="265"/>
      <c r="AX836" s="265"/>
      <c r="AY836" s="265"/>
      <c r="BE836" s="265"/>
      <c r="BF836" s="1028"/>
      <c r="BJ836" s="265"/>
      <c r="BK836" s="1458"/>
      <c r="BL836" s="1028"/>
      <c r="BP836" s="265"/>
      <c r="BQ836" s="1458"/>
      <c r="BW836" s="11"/>
      <c r="CA836" s="11"/>
      <c r="CK836" s="265"/>
      <c r="CL836" s="265"/>
      <c r="CM836" s="265"/>
      <c r="CO836" s="11"/>
      <c r="CR836" s="1026"/>
      <c r="CS836" s="265"/>
      <c r="CT836" s="265"/>
      <c r="CU836" s="265"/>
    </row>
    <row r="837" spans="10:99" ht="15" customHeight="1">
      <c r="J837" s="265"/>
      <c r="K837" s="1024"/>
      <c r="L837" s="1025"/>
      <c r="M837" s="1026"/>
      <c r="N837" s="1026"/>
      <c r="O837" s="265"/>
      <c r="P837" s="265"/>
      <c r="T837" s="265"/>
      <c r="U837" s="265"/>
      <c r="V837" s="265"/>
      <c r="X837" s="1026"/>
      <c r="Y837" s="265"/>
      <c r="Z837" s="265"/>
      <c r="AA837" s="265"/>
      <c r="AE837" s="265"/>
      <c r="AF837" s="265"/>
      <c r="AV837" s="265"/>
      <c r="AW837" s="265"/>
      <c r="AX837" s="265"/>
      <c r="AY837" s="265"/>
      <c r="BE837" s="265"/>
      <c r="BF837" s="1028"/>
      <c r="BJ837" s="265"/>
      <c r="BK837" s="1458"/>
      <c r="BL837" s="1028"/>
      <c r="BP837" s="265"/>
      <c r="BQ837" s="1458"/>
      <c r="BW837" s="11"/>
      <c r="CA837" s="11"/>
      <c r="CK837" s="265"/>
      <c r="CL837" s="265"/>
      <c r="CM837" s="265"/>
      <c r="CO837" s="11"/>
      <c r="CR837" s="1026"/>
      <c r="CS837" s="265"/>
      <c r="CT837" s="265"/>
      <c r="CU837" s="265"/>
    </row>
    <row r="838" spans="10:99" ht="15" customHeight="1">
      <c r="J838" s="265"/>
      <c r="K838" s="1024"/>
      <c r="L838" s="1025"/>
      <c r="M838" s="1026"/>
      <c r="N838" s="1026"/>
      <c r="O838" s="265"/>
      <c r="P838" s="265"/>
      <c r="T838" s="265"/>
      <c r="U838" s="265"/>
      <c r="V838" s="265"/>
      <c r="X838" s="1026"/>
      <c r="Y838" s="265"/>
      <c r="Z838" s="265"/>
      <c r="AA838" s="265"/>
      <c r="AE838" s="265"/>
      <c r="AF838" s="265"/>
      <c r="AV838" s="265"/>
      <c r="AW838" s="265"/>
      <c r="AX838" s="265"/>
      <c r="AY838" s="265"/>
      <c r="BE838" s="265"/>
      <c r="BF838" s="1028"/>
      <c r="BJ838" s="265"/>
      <c r="BK838" s="1458"/>
      <c r="BL838" s="1028"/>
      <c r="BP838" s="265"/>
      <c r="BQ838" s="1458"/>
      <c r="BW838" s="11"/>
      <c r="CA838" s="11"/>
      <c r="CK838" s="265"/>
      <c r="CL838" s="265"/>
      <c r="CM838" s="265"/>
      <c r="CO838" s="11"/>
      <c r="CR838" s="1026"/>
      <c r="CS838" s="265"/>
      <c r="CT838" s="265"/>
      <c r="CU838" s="265"/>
    </row>
    <row r="839" spans="10:99" ht="15" customHeight="1">
      <c r="J839" s="265"/>
      <c r="K839" s="1024"/>
      <c r="L839" s="1025"/>
      <c r="M839" s="1026"/>
      <c r="N839" s="1026"/>
      <c r="O839" s="265"/>
      <c r="P839" s="265"/>
      <c r="T839" s="265"/>
      <c r="U839" s="265"/>
      <c r="V839" s="265"/>
      <c r="X839" s="1026"/>
      <c r="Y839" s="265"/>
      <c r="Z839" s="265"/>
      <c r="AA839" s="265"/>
      <c r="AE839" s="265"/>
      <c r="AF839" s="265"/>
      <c r="AV839" s="265"/>
      <c r="AW839" s="265"/>
      <c r="AX839" s="265"/>
      <c r="AY839" s="265"/>
      <c r="BE839" s="265"/>
      <c r="BF839" s="1028"/>
      <c r="BJ839" s="265"/>
      <c r="BK839" s="1458"/>
      <c r="BL839" s="1028"/>
      <c r="BP839" s="265"/>
      <c r="BQ839" s="1458"/>
      <c r="BW839" s="11"/>
      <c r="CA839" s="11"/>
      <c r="CK839" s="265"/>
      <c r="CL839" s="265"/>
      <c r="CM839" s="265"/>
      <c r="CO839" s="11"/>
      <c r="CR839" s="1026"/>
      <c r="CS839" s="265"/>
      <c r="CT839" s="265"/>
      <c r="CU839" s="265"/>
    </row>
    <row r="840" spans="10:99" ht="15" customHeight="1">
      <c r="J840" s="265"/>
      <c r="K840" s="1024"/>
      <c r="L840" s="1025"/>
      <c r="M840" s="1026"/>
      <c r="N840" s="1026"/>
      <c r="O840" s="265"/>
      <c r="P840" s="265"/>
      <c r="T840" s="265"/>
      <c r="U840" s="265"/>
      <c r="V840" s="265"/>
      <c r="X840" s="1026"/>
      <c r="Y840" s="265"/>
      <c r="Z840" s="265"/>
      <c r="AA840" s="265"/>
      <c r="AE840" s="265"/>
      <c r="AF840" s="265"/>
      <c r="AV840" s="265"/>
      <c r="AW840" s="265"/>
      <c r="AX840" s="265"/>
      <c r="AY840" s="265"/>
      <c r="BE840" s="265"/>
      <c r="BF840" s="1028"/>
      <c r="BJ840" s="265"/>
      <c r="BK840" s="1458"/>
      <c r="BL840" s="1028"/>
      <c r="BP840" s="265"/>
      <c r="BQ840" s="1458"/>
      <c r="BW840" s="11"/>
      <c r="CA840" s="11"/>
      <c r="CK840" s="265"/>
      <c r="CL840" s="265"/>
      <c r="CM840" s="265"/>
      <c r="CO840" s="11"/>
      <c r="CR840" s="1026"/>
      <c r="CS840" s="265"/>
      <c r="CT840" s="265"/>
      <c r="CU840" s="265"/>
    </row>
    <row r="841" spans="10:99" ht="15" customHeight="1">
      <c r="J841" s="265"/>
      <c r="K841" s="1024"/>
      <c r="L841" s="1025"/>
      <c r="M841" s="1026"/>
      <c r="N841" s="1026"/>
      <c r="O841" s="265"/>
      <c r="P841" s="265"/>
      <c r="T841" s="265"/>
      <c r="U841" s="265"/>
      <c r="V841" s="265"/>
      <c r="X841" s="1026"/>
      <c r="Y841" s="265"/>
      <c r="Z841" s="265"/>
      <c r="AA841" s="265"/>
      <c r="AE841" s="265"/>
      <c r="AF841" s="265"/>
      <c r="AV841" s="265"/>
      <c r="AW841" s="265"/>
      <c r="AX841" s="265"/>
      <c r="AY841" s="265"/>
      <c r="BE841" s="265"/>
      <c r="BF841" s="1028"/>
      <c r="BJ841" s="265"/>
      <c r="BK841" s="1458"/>
      <c r="BL841" s="1028"/>
      <c r="BP841" s="265"/>
      <c r="BQ841" s="1458"/>
      <c r="BW841" s="11"/>
      <c r="CA841" s="11"/>
      <c r="CK841" s="265"/>
      <c r="CL841" s="265"/>
      <c r="CM841" s="265"/>
      <c r="CO841" s="11"/>
      <c r="CR841" s="1026"/>
      <c r="CS841" s="265"/>
      <c r="CT841" s="265"/>
      <c r="CU841" s="265"/>
    </row>
    <row r="842" spans="10:99" ht="15" customHeight="1">
      <c r="J842" s="265"/>
      <c r="K842" s="1024"/>
      <c r="L842" s="1025"/>
      <c r="M842" s="1026"/>
      <c r="N842" s="1026"/>
      <c r="O842" s="265"/>
      <c r="P842" s="265"/>
      <c r="T842" s="265"/>
      <c r="U842" s="265"/>
      <c r="V842" s="265"/>
      <c r="X842" s="1026"/>
      <c r="Y842" s="265"/>
      <c r="Z842" s="265"/>
      <c r="AA842" s="265"/>
      <c r="AE842" s="265"/>
      <c r="AF842" s="265"/>
      <c r="AV842" s="265"/>
      <c r="AW842" s="265"/>
      <c r="AX842" s="265"/>
      <c r="AY842" s="265"/>
      <c r="BE842" s="265"/>
      <c r="BF842" s="1028"/>
      <c r="BJ842" s="265"/>
      <c r="BK842" s="1458"/>
      <c r="BL842" s="1028"/>
      <c r="BP842" s="265"/>
      <c r="BQ842" s="1458"/>
      <c r="BW842" s="11"/>
      <c r="CA842" s="11"/>
      <c r="CK842" s="265"/>
      <c r="CL842" s="265"/>
      <c r="CM842" s="265"/>
      <c r="CO842" s="11"/>
      <c r="CR842" s="1026"/>
      <c r="CS842" s="265"/>
      <c r="CT842" s="265"/>
      <c r="CU842" s="265"/>
    </row>
    <row r="843" spans="10:99" ht="15" customHeight="1">
      <c r="J843" s="265"/>
      <c r="K843" s="1024"/>
      <c r="L843" s="1025"/>
      <c r="M843" s="1026"/>
      <c r="N843" s="1026"/>
      <c r="O843" s="265"/>
      <c r="P843" s="265"/>
      <c r="T843" s="265"/>
      <c r="U843" s="265"/>
      <c r="V843" s="265"/>
      <c r="X843" s="1026"/>
      <c r="Y843" s="265"/>
      <c r="Z843" s="265"/>
      <c r="AA843" s="265"/>
      <c r="AE843" s="265"/>
      <c r="AF843" s="265"/>
      <c r="AV843" s="265"/>
      <c r="AW843" s="265"/>
      <c r="AX843" s="265"/>
      <c r="AY843" s="265"/>
      <c r="BE843" s="265"/>
      <c r="BF843" s="1028"/>
      <c r="BJ843" s="265"/>
      <c r="BK843" s="1458"/>
      <c r="BL843" s="1028"/>
      <c r="BP843" s="265"/>
      <c r="BQ843" s="1458"/>
      <c r="BW843" s="11"/>
      <c r="CA843" s="11"/>
      <c r="CK843" s="265"/>
      <c r="CL843" s="265"/>
      <c r="CM843" s="265"/>
      <c r="CO843" s="11"/>
      <c r="CR843" s="1026"/>
      <c r="CS843" s="265"/>
      <c r="CT843" s="265"/>
      <c r="CU843" s="265"/>
    </row>
    <row r="844" spans="10:99" ht="15" customHeight="1">
      <c r="J844" s="265"/>
      <c r="K844" s="1024"/>
      <c r="L844" s="1025"/>
      <c r="M844" s="1026"/>
      <c r="N844" s="1026"/>
      <c r="O844" s="265"/>
      <c r="P844" s="265"/>
      <c r="T844" s="265"/>
      <c r="U844" s="265"/>
      <c r="V844" s="265"/>
      <c r="X844" s="1026"/>
      <c r="Y844" s="265"/>
      <c r="Z844" s="265"/>
      <c r="AA844" s="265"/>
      <c r="AE844" s="265"/>
      <c r="AF844" s="265"/>
      <c r="AV844" s="265"/>
      <c r="AW844" s="265"/>
      <c r="AX844" s="265"/>
      <c r="AY844" s="265"/>
      <c r="BE844" s="265"/>
      <c r="BF844" s="1028"/>
      <c r="BJ844" s="265"/>
      <c r="BK844" s="1458"/>
      <c r="BL844" s="1028"/>
      <c r="BP844" s="265"/>
      <c r="BQ844" s="1458"/>
      <c r="BW844" s="11"/>
      <c r="CA844" s="11"/>
      <c r="CK844" s="265"/>
      <c r="CL844" s="265"/>
      <c r="CM844" s="265"/>
      <c r="CO844" s="11"/>
      <c r="CR844" s="1026"/>
      <c r="CS844" s="265"/>
      <c r="CT844" s="265"/>
      <c r="CU844" s="265"/>
    </row>
    <row r="845" spans="10:99" ht="15" customHeight="1">
      <c r="J845" s="265"/>
      <c r="K845" s="1024"/>
      <c r="L845" s="1025"/>
      <c r="M845" s="1026"/>
      <c r="N845" s="1026"/>
      <c r="O845" s="265"/>
      <c r="P845" s="265"/>
      <c r="T845" s="265"/>
      <c r="U845" s="265"/>
      <c r="V845" s="265"/>
      <c r="X845" s="1026"/>
      <c r="Y845" s="265"/>
      <c r="Z845" s="265"/>
      <c r="AA845" s="265"/>
      <c r="AE845" s="265"/>
      <c r="AF845" s="265"/>
      <c r="AV845" s="265"/>
      <c r="AW845" s="265"/>
      <c r="AX845" s="265"/>
      <c r="AY845" s="265"/>
      <c r="BE845" s="265"/>
      <c r="BF845" s="1028"/>
      <c r="BJ845" s="265"/>
      <c r="BK845" s="1458"/>
      <c r="BL845" s="1028"/>
      <c r="BP845" s="265"/>
      <c r="BQ845" s="1458"/>
      <c r="BW845" s="11"/>
      <c r="CA845" s="11"/>
      <c r="CK845" s="265"/>
      <c r="CL845" s="265"/>
      <c r="CM845" s="265"/>
      <c r="CO845" s="11"/>
      <c r="CR845" s="1026"/>
      <c r="CS845" s="265"/>
      <c r="CT845" s="265"/>
      <c r="CU845" s="265"/>
    </row>
    <row r="846" spans="10:99" ht="15" customHeight="1">
      <c r="J846" s="265"/>
      <c r="K846" s="1024"/>
      <c r="L846" s="1025"/>
      <c r="M846" s="1026"/>
      <c r="N846" s="1026"/>
      <c r="O846" s="265"/>
      <c r="P846" s="265"/>
      <c r="T846" s="265"/>
      <c r="U846" s="265"/>
      <c r="V846" s="265"/>
      <c r="X846" s="1026"/>
      <c r="Y846" s="265"/>
      <c r="Z846" s="265"/>
      <c r="AA846" s="265"/>
      <c r="AE846" s="265"/>
      <c r="AF846" s="265"/>
      <c r="AV846" s="265"/>
      <c r="AW846" s="265"/>
      <c r="AX846" s="265"/>
      <c r="AY846" s="265"/>
      <c r="BE846" s="265"/>
      <c r="BF846" s="1028"/>
      <c r="BJ846" s="265"/>
      <c r="BK846" s="1458"/>
      <c r="BL846" s="1028"/>
      <c r="BP846" s="265"/>
      <c r="BQ846" s="1458"/>
      <c r="BW846" s="11"/>
      <c r="CA846" s="11"/>
      <c r="CK846" s="265"/>
      <c r="CL846" s="265"/>
      <c r="CM846" s="265"/>
      <c r="CO846" s="11"/>
      <c r="CR846" s="1026"/>
      <c r="CS846" s="265"/>
      <c r="CT846" s="265"/>
      <c r="CU846" s="265"/>
    </row>
    <row r="847" spans="10:99" ht="15" customHeight="1">
      <c r="J847" s="265"/>
      <c r="K847" s="1024"/>
      <c r="L847" s="1025"/>
      <c r="M847" s="1026"/>
      <c r="N847" s="1026"/>
      <c r="O847" s="265"/>
      <c r="P847" s="265"/>
      <c r="T847" s="265"/>
      <c r="U847" s="265"/>
      <c r="V847" s="265"/>
      <c r="X847" s="1026"/>
      <c r="Y847" s="265"/>
      <c r="Z847" s="265"/>
      <c r="AA847" s="265"/>
      <c r="AE847" s="265"/>
      <c r="AF847" s="265"/>
      <c r="AV847" s="265"/>
      <c r="AW847" s="265"/>
      <c r="AX847" s="265"/>
      <c r="AY847" s="265"/>
      <c r="BE847" s="265"/>
      <c r="BF847" s="1028"/>
      <c r="BJ847" s="265"/>
      <c r="BK847" s="1458"/>
      <c r="BL847" s="1028"/>
      <c r="BP847" s="265"/>
      <c r="BQ847" s="1458"/>
      <c r="BW847" s="11"/>
      <c r="CA847" s="11"/>
      <c r="CK847" s="265"/>
      <c r="CL847" s="265"/>
      <c r="CM847" s="265"/>
      <c r="CO847" s="11"/>
      <c r="CR847" s="1026"/>
      <c r="CS847" s="265"/>
      <c r="CT847" s="265"/>
      <c r="CU847" s="265"/>
    </row>
    <row r="848" spans="10:99" ht="15" customHeight="1">
      <c r="J848" s="265"/>
      <c r="K848" s="1024"/>
      <c r="L848" s="1025"/>
      <c r="M848" s="1026"/>
      <c r="N848" s="1026"/>
      <c r="O848" s="265"/>
      <c r="P848" s="265"/>
      <c r="T848" s="265"/>
      <c r="U848" s="265"/>
      <c r="V848" s="265"/>
      <c r="X848" s="1026"/>
      <c r="Y848" s="265"/>
      <c r="Z848" s="265"/>
      <c r="AA848" s="265"/>
      <c r="AE848" s="265"/>
      <c r="AF848" s="265"/>
      <c r="AV848" s="265"/>
      <c r="AW848" s="265"/>
      <c r="AX848" s="265"/>
      <c r="AY848" s="265"/>
      <c r="BE848" s="265"/>
      <c r="BF848" s="1028"/>
      <c r="BJ848" s="265"/>
      <c r="BK848" s="1458"/>
      <c r="BL848" s="1028"/>
      <c r="BP848" s="265"/>
      <c r="BQ848" s="1458"/>
      <c r="BW848" s="11"/>
      <c r="CA848" s="11"/>
      <c r="CK848" s="265"/>
      <c r="CL848" s="265"/>
      <c r="CM848" s="265"/>
      <c r="CO848" s="11"/>
      <c r="CR848" s="1026"/>
      <c r="CS848" s="265"/>
      <c r="CT848" s="265"/>
      <c r="CU848" s="265"/>
    </row>
    <row r="849" spans="10:99" ht="15" customHeight="1">
      <c r="J849" s="265"/>
      <c r="K849" s="1024"/>
      <c r="L849" s="1025"/>
      <c r="M849" s="1026"/>
      <c r="N849" s="1026"/>
      <c r="O849" s="265"/>
      <c r="P849" s="265"/>
      <c r="T849" s="265"/>
      <c r="U849" s="265"/>
      <c r="V849" s="265"/>
      <c r="X849" s="1026"/>
      <c r="Y849" s="265"/>
      <c r="Z849" s="265"/>
      <c r="AA849" s="265"/>
      <c r="AE849" s="265"/>
      <c r="AF849" s="265"/>
      <c r="AV849" s="265"/>
      <c r="AW849" s="265"/>
      <c r="AX849" s="265"/>
      <c r="AY849" s="265"/>
      <c r="BE849" s="265"/>
      <c r="BF849" s="1028"/>
      <c r="BJ849" s="265"/>
      <c r="BK849" s="1458"/>
      <c r="BL849" s="1028"/>
      <c r="BP849" s="265"/>
      <c r="BQ849" s="1458"/>
      <c r="BW849" s="11"/>
      <c r="CA849" s="11"/>
      <c r="CK849" s="265"/>
      <c r="CL849" s="265"/>
      <c r="CM849" s="265"/>
      <c r="CO849" s="11"/>
      <c r="CR849" s="1026"/>
      <c r="CS849" s="265"/>
      <c r="CT849" s="265"/>
      <c r="CU849" s="265"/>
    </row>
    <row r="850" spans="10:99" ht="15" customHeight="1">
      <c r="J850" s="265"/>
      <c r="K850" s="1024"/>
      <c r="L850" s="1025"/>
      <c r="M850" s="1026"/>
      <c r="N850" s="1026"/>
      <c r="O850" s="265"/>
      <c r="P850" s="265"/>
      <c r="T850" s="265"/>
      <c r="U850" s="265"/>
      <c r="V850" s="265"/>
      <c r="X850" s="1026"/>
      <c r="Y850" s="265"/>
      <c r="Z850" s="265"/>
      <c r="AA850" s="265"/>
      <c r="AE850" s="265"/>
      <c r="AF850" s="265"/>
      <c r="AV850" s="265"/>
      <c r="AW850" s="265"/>
      <c r="AX850" s="265"/>
      <c r="AY850" s="265"/>
      <c r="BE850" s="265"/>
      <c r="BF850" s="1028"/>
      <c r="BJ850" s="265"/>
      <c r="BK850" s="1458"/>
      <c r="BL850" s="1028"/>
      <c r="BP850" s="265"/>
      <c r="BQ850" s="1458"/>
      <c r="BW850" s="11"/>
      <c r="CA850" s="11"/>
      <c r="CK850" s="265"/>
      <c r="CL850" s="265"/>
      <c r="CM850" s="265"/>
      <c r="CO850" s="11"/>
      <c r="CR850" s="1026"/>
      <c r="CS850" s="265"/>
      <c r="CT850" s="265"/>
      <c r="CU850" s="265"/>
    </row>
    <row r="851" spans="10:99" ht="15" customHeight="1">
      <c r="J851" s="265"/>
      <c r="K851" s="1024"/>
      <c r="L851" s="1025"/>
      <c r="M851" s="1026"/>
      <c r="N851" s="1026"/>
      <c r="O851" s="265"/>
      <c r="P851" s="265"/>
      <c r="T851" s="265"/>
      <c r="U851" s="265"/>
      <c r="V851" s="265"/>
      <c r="X851" s="1026"/>
      <c r="Y851" s="265"/>
      <c r="Z851" s="265"/>
      <c r="AA851" s="265"/>
      <c r="AE851" s="265"/>
      <c r="AF851" s="265"/>
      <c r="AV851" s="265"/>
      <c r="AW851" s="265"/>
      <c r="AX851" s="265"/>
      <c r="AY851" s="265"/>
      <c r="BE851" s="265"/>
      <c r="BF851" s="1028"/>
      <c r="BJ851" s="265"/>
      <c r="BK851" s="1458"/>
      <c r="BL851" s="1028"/>
      <c r="BP851" s="265"/>
      <c r="BQ851" s="1458"/>
      <c r="BW851" s="11"/>
      <c r="CA851" s="11"/>
      <c r="CK851" s="265"/>
      <c r="CL851" s="265"/>
      <c r="CM851" s="265"/>
      <c r="CO851" s="11"/>
      <c r="CR851" s="1026"/>
      <c r="CS851" s="265"/>
      <c r="CT851" s="265"/>
      <c r="CU851" s="265"/>
    </row>
    <row r="852" spans="10:99" ht="15" customHeight="1">
      <c r="J852" s="265"/>
      <c r="K852" s="1024"/>
      <c r="L852" s="1025"/>
      <c r="M852" s="1026"/>
      <c r="N852" s="1026"/>
      <c r="O852" s="265"/>
      <c r="P852" s="265"/>
      <c r="T852" s="265"/>
      <c r="U852" s="265"/>
      <c r="V852" s="265"/>
      <c r="X852" s="1026"/>
      <c r="Y852" s="265"/>
      <c r="Z852" s="265"/>
      <c r="AA852" s="265"/>
      <c r="AE852" s="265"/>
      <c r="AF852" s="265"/>
      <c r="AV852" s="265"/>
      <c r="AW852" s="265"/>
      <c r="AX852" s="265"/>
      <c r="AY852" s="265"/>
      <c r="BE852" s="265"/>
      <c r="BF852" s="1028"/>
      <c r="BJ852" s="265"/>
      <c r="BK852" s="1458"/>
      <c r="BL852" s="1028"/>
      <c r="BP852" s="265"/>
      <c r="BQ852" s="1458"/>
      <c r="BW852" s="11"/>
      <c r="CA852" s="11"/>
      <c r="CK852" s="265"/>
      <c r="CL852" s="265"/>
      <c r="CM852" s="265"/>
      <c r="CO852" s="11"/>
      <c r="CR852" s="1026"/>
      <c r="CS852" s="265"/>
      <c r="CT852" s="265"/>
      <c r="CU852" s="265"/>
    </row>
    <row r="853" spans="10:99" ht="15" customHeight="1">
      <c r="J853" s="265"/>
      <c r="K853" s="1024"/>
      <c r="L853" s="1025"/>
      <c r="M853" s="1026"/>
      <c r="N853" s="1026"/>
      <c r="O853" s="265"/>
      <c r="P853" s="265"/>
      <c r="T853" s="265"/>
      <c r="U853" s="265"/>
      <c r="V853" s="265"/>
      <c r="X853" s="1026"/>
      <c r="Y853" s="265"/>
      <c r="Z853" s="265"/>
      <c r="AA853" s="265"/>
      <c r="AE853" s="265"/>
      <c r="AF853" s="265"/>
      <c r="AV853" s="265"/>
      <c r="AW853" s="265"/>
      <c r="AX853" s="265"/>
      <c r="AY853" s="265"/>
      <c r="BE853" s="265"/>
      <c r="BF853" s="1028"/>
      <c r="BJ853" s="265"/>
      <c r="BK853" s="1458"/>
      <c r="BL853" s="1028"/>
      <c r="BP853" s="265"/>
      <c r="BQ853" s="1458"/>
      <c r="BW853" s="11"/>
      <c r="CA853" s="11"/>
      <c r="CK853" s="265"/>
      <c r="CL853" s="265"/>
      <c r="CM853" s="265"/>
      <c r="CO853" s="11"/>
      <c r="CR853" s="1026"/>
      <c r="CS853" s="265"/>
      <c r="CT853" s="265"/>
      <c r="CU853" s="265"/>
    </row>
    <row r="854" spans="10:99" ht="15" customHeight="1">
      <c r="J854" s="265"/>
      <c r="K854" s="1024"/>
      <c r="L854" s="1025"/>
      <c r="M854" s="1026"/>
      <c r="N854" s="1026"/>
      <c r="O854" s="265"/>
      <c r="P854" s="265"/>
      <c r="T854" s="265"/>
      <c r="U854" s="265"/>
      <c r="V854" s="265"/>
      <c r="X854" s="1026"/>
      <c r="Y854" s="265"/>
      <c r="Z854" s="265"/>
      <c r="AA854" s="265"/>
      <c r="AE854" s="265"/>
      <c r="AF854" s="265"/>
      <c r="AV854" s="265"/>
      <c r="AW854" s="265"/>
      <c r="AX854" s="265"/>
      <c r="AY854" s="265"/>
      <c r="BE854" s="265"/>
      <c r="BF854" s="1028"/>
      <c r="BJ854" s="265"/>
      <c r="BK854" s="1458"/>
      <c r="BL854" s="1028"/>
      <c r="BP854" s="265"/>
      <c r="BQ854" s="1458"/>
      <c r="BW854" s="11"/>
      <c r="CA854" s="11"/>
      <c r="CK854" s="265"/>
      <c r="CL854" s="265"/>
      <c r="CM854" s="265"/>
      <c r="CO854" s="11"/>
      <c r="CR854" s="1026"/>
      <c r="CS854" s="265"/>
      <c r="CT854" s="265"/>
      <c r="CU854" s="265"/>
    </row>
    <row r="855" spans="10:99" ht="15" customHeight="1">
      <c r="J855" s="265"/>
      <c r="K855" s="1024"/>
      <c r="L855" s="1025"/>
      <c r="M855" s="1026"/>
      <c r="N855" s="1026"/>
      <c r="O855" s="265"/>
      <c r="P855" s="265"/>
      <c r="T855" s="265"/>
      <c r="U855" s="265"/>
      <c r="V855" s="265"/>
      <c r="X855" s="1026"/>
      <c r="Y855" s="265"/>
      <c r="Z855" s="265"/>
      <c r="AA855" s="265"/>
      <c r="AE855" s="265"/>
      <c r="AF855" s="265"/>
      <c r="AV855" s="265"/>
      <c r="AW855" s="265"/>
      <c r="AX855" s="265"/>
      <c r="AY855" s="265"/>
      <c r="BE855" s="265"/>
      <c r="BF855" s="1028"/>
      <c r="BJ855" s="265"/>
      <c r="BK855" s="1458"/>
      <c r="BL855" s="1028"/>
      <c r="BP855" s="265"/>
      <c r="BQ855" s="1458"/>
      <c r="BW855" s="11"/>
      <c r="CA855" s="11"/>
      <c r="CK855" s="265"/>
      <c r="CL855" s="265"/>
      <c r="CM855" s="265"/>
      <c r="CO855" s="11"/>
      <c r="CR855" s="1026"/>
      <c r="CS855" s="265"/>
      <c r="CT855" s="265"/>
      <c r="CU855" s="265"/>
    </row>
    <row r="856" spans="10:99" ht="15" customHeight="1">
      <c r="J856" s="265"/>
      <c r="K856" s="1024"/>
      <c r="L856" s="1025"/>
      <c r="M856" s="1026"/>
      <c r="N856" s="1026"/>
      <c r="O856" s="265"/>
      <c r="P856" s="265"/>
      <c r="T856" s="265"/>
      <c r="U856" s="265"/>
      <c r="V856" s="265"/>
      <c r="X856" s="1026"/>
      <c r="Y856" s="265"/>
      <c r="Z856" s="265"/>
      <c r="AA856" s="265"/>
      <c r="AE856" s="265"/>
      <c r="AF856" s="265"/>
      <c r="AV856" s="265"/>
      <c r="AW856" s="265"/>
      <c r="AX856" s="265"/>
      <c r="AY856" s="265"/>
      <c r="BE856" s="265"/>
      <c r="BF856" s="1028"/>
      <c r="BJ856" s="265"/>
      <c r="BK856" s="1458"/>
      <c r="BL856" s="1028"/>
      <c r="BP856" s="265"/>
      <c r="BQ856" s="1458"/>
      <c r="BW856" s="11"/>
      <c r="CA856" s="11"/>
      <c r="CK856" s="265"/>
      <c r="CL856" s="265"/>
      <c r="CM856" s="265"/>
      <c r="CO856" s="11"/>
      <c r="CR856" s="1026"/>
      <c r="CS856" s="265"/>
      <c r="CT856" s="265"/>
      <c r="CU856" s="265"/>
    </row>
    <row r="857" spans="10:99" ht="15" customHeight="1">
      <c r="J857" s="265"/>
      <c r="K857" s="1024"/>
      <c r="L857" s="1025"/>
      <c r="M857" s="1026"/>
      <c r="N857" s="1026"/>
      <c r="O857" s="265"/>
      <c r="P857" s="265"/>
      <c r="T857" s="265"/>
      <c r="U857" s="265"/>
      <c r="V857" s="265"/>
      <c r="X857" s="1026"/>
      <c r="Y857" s="265"/>
      <c r="Z857" s="265"/>
      <c r="AA857" s="265"/>
      <c r="AE857" s="265"/>
      <c r="AF857" s="265"/>
      <c r="AV857" s="265"/>
      <c r="AW857" s="265"/>
      <c r="AX857" s="265"/>
      <c r="AY857" s="265"/>
      <c r="BE857" s="265"/>
      <c r="BF857" s="1028"/>
      <c r="BJ857" s="265"/>
      <c r="BK857" s="1458"/>
      <c r="BL857" s="1028"/>
      <c r="BP857" s="265"/>
      <c r="BQ857" s="1458"/>
      <c r="BW857" s="11"/>
      <c r="CA857" s="11"/>
      <c r="CK857" s="265"/>
      <c r="CL857" s="265"/>
      <c r="CM857" s="265"/>
      <c r="CO857" s="11"/>
      <c r="CR857" s="1026"/>
      <c r="CS857" s="265"/>
      <c r="CT857" s="265"/>
      <c r="CU857" s="265"/>
    </row>
    <row r="858" spans="10:99" ht="15" customHeight="1">
      <c r="J858" s="265"/>
      <c r="K858" s="1024"/>
      <c r="L858" s="1025"/>
      <c r="M858" s="1026"/>
      <c r="N858" s="1026"/>
      <c r="O858" s="265"/>
      <c r="P858" s="265"/>
      <c r="T858" s="265"/>
      <c r="U858" s="265"/>
      <c r="V858" s="265"/>
      <c r="X858" s="1026"/>
      <c r="Y858" s="265"/>
      <c r="Z858" s="265"/>
      <c r="AA858" s="265"/>
      <c r="AE858" s="265"/>
      <c r="AF858" s="265"/>
      <c r="AV858" s="265"/>
      <c r="AW858" s="265"/>
      <c r="AX858" s="265"/>
      <c r="AY858" s="265"/>
      <c r="BE858" s="265"/>
      <c r="BF858" s="1028"/>
      <c r="BJ858" s="265"/>
      <c r="BK858" s="1458"/>
      <c r="BL858" s="1028"/>
      <c r="BP858" s="265"/>
      <c r="BQ858" s="1458"/>
      <c r="BW858" s="11"/>
      <c r="CA858" s="11"/>
      <c r="CK858" s="265"/>
      <c r="CL858" s="265"/>
      <c r="CM858" s="265"/>
      <c r="CO858" s="11"/>
      <c r="CR858" s="1026"/>
      <c r="CS858" s="265"/>
      <c r="CT858" s="265"/>
      <c r="CU858" s="265"/>
    </row>
    <row r="859" spans="10:99" ht="15" customHeight="1">
      <c r="J859" s="265"/>
      <c r="K859" s="1024"/>
      <c r="L859" s="1025"/>
      <c r="M859" s="1026"/>
      <c r="N859" s="1026"/>
      <c r="O859" s="265"/>
      <c r="P859" s="265"/>
      <c r="T859" s="265"/>
      <c r="U859" s="265"/>
      <c r="V859" s="265"/>
      <c r="X859" s="1026"/>
      <c r="Y859" s="265"/>
      <c r="Z859" s="265"/>
      <c r="AA859" s="265"/>
      <c r="AE859" s="265"/>
      <c r="AF859" s="265"/>
      <c r="AV859" s="265"/>
      <c r="AW859" s="265"/>
      <c r="AX859" s="265"/>
      <c r="AY859" s="265"/>
      <c r="BE859" s="265"/>
      <c r="BF859" s="1028"/>
      <c r="BJ859" s="265"/>
      <c r="BK859" s="1458"/>
      <c r="BL859" s="1028"/>
      <c r="BP859" s="265"/>
      <c r="BQ859" s="1458"/>
      <c r="BW859" s="11"/>
      <c r="CA859" s="11"/>
      <c r="CK859" s="265"/>
      <c r="CL859" s="265"/>
      <c r="CM859" s="265"/>
      <c r="CO859" s="11"/>
      <c r="CR859" s="1026"/>
      <c r="CS859" s="265"/>
      <c r="CT859" s="265"/>
      <c r="CU859" s="265"/>
    </row>
    <row r="860" spans="10:99" ht="15" customHeight="1">
      <c r="J860" s="265"/>
      <c r="K860" s="1024"/>
      <c r="L860" s="1025"/>
      <c r="M860" s="1026"/>
      <c r="N860" s="1026"/>
      <c r="O860" s="265"/>
      <c r="P860" s="265"/>
      <c r="T860" s="265"/>
      <c r="U860" s="265"/>
      <c r="V860" s="265"/>
      <c r="X860" s="1026"/>
      <c r="Y860" s="265"/>
      <c r="Z860" s="265"/>
      <c r="AA860" s="265"/>
      <c r="AE860" s="265"/>
      <c r="AF860" s="265"/>
      <c r="AV860" s="265"/>
      <c r="AW860" s="265"/>
      <c r="AX860" s="265"/>
      <c r="AY860" s="265"/>
      <c r="BE860" s="265"/>
      <c r="BF860" s="1028"/>
      <c r="BJ860" s="265"/>
      <c r="BK860" s="1458"/>
      <c r="BL860" s="1028"/>
      <c r="BP860" s="265"/>
      <c r="BQ860" s="1458"/>
      <c r="BW860" s="11"/>
      <c r="CA860" s="11"/>
      <c r="CK860" s="265"/>
      <c r="CL860" s="265"/>
      <c r="CM860" s="265"/>
      <c r="CO860" s="11"/>
      <c r="CR860" s="1026"/>
      <c r="CS860" s="265"/>
      <c r="CT860" s="265"/>
      <c r="CU860" s="265"/>
    </row>
    <row r="861" spans="10:99" ht="15" customHeight="1">
      <c r="J861" s="265"/>
      <c r="K861" s="1024"/>
      <c r="L861" s="1025"/>
      <c r="M861" s="1026"/>
      <c r="N861" s="1026"/>
      <c r="O861" s="265"/>
      <c r="P861" s="265"/>
      <c r="T861" s="265"/>
      <c r="U861" s="265"/>
      <c r="V861" s="265"/>
      <c r="X861" s="1026"/>
      <c r="Y861" s="265"/>
      <c r="Z861" s="265"/>
      <c r="AA861" s="265"/>
      <c r="AE861" s="265"/>
      <c r="AF861" s="265"/>
      <c r="AV861" s="265"/>
      <c r="AW861" s="265"/>
      <c r="AX861" s="265"/>
      <c r="AY861" s="265"/>
      <c r="BE861" s="265"/>
      <c r="BF861" s="1028"/>
      <c r="BJ861" s="265"/>
      <c r="BK861" s="1458"/>
      <c r="BL861" s="1028"/>
      <c r="BP861" s="265"/>
      <c r="BQ861" s="1458"/>
      <c r="BW861" s="11"/>
      <c r="CA861" s="11"/>
      <c r="CK861" s="265"/>
      <c r="CL861" s="265"/>
      <c r="CM861" s="265"/>
      <c r="CO861" s="11"/>
      <c r="CR861" s="1026"/>
      <c r="CS861" s="265"/>
      <c r="CT861" s="265"/>
      <c r="CU861" s="265"/>
    </row>
    <row r="862" spans="10:99" ht="15" customHeight="1">
      <c r="J862" s="265"/>
      <c r="K862" s="1024"/>
      <c r="L862" s="1025"/>
      <c r="M862" s="1026"/>
      <c r="N862" s="1026"/>
      <c r="O862" s="265"/>
      <c r="P862" s="265"/>
      <c r="T862" s="265"/>
      <c r="U862" s="265"/>
      <c r="V862" s="265"/>
      <c r="X862" s="1026"/>
      <c r="Y862" s="265"/>
      <c r="Z862" s="265"/>
      <c r="AA862" s="265"/>
      <c r="AE862" s="265"/>
      <c r="AF862" s="265"/>
      <c r="AV862" s="265"/>
      <c r="AW862" s="265"/>
      <c r="AX862" s="265"/>
      <c r="AY862" s="265"/>
      <c r="BE862" s="265"/>
      <c r="BF862" s="1028"/>
      <c r="BJ862" s="265"/>
      <c r="BK862" s="1458"/>
      <c r="BL862" s="1028"/>
      <c r="BP862" s="265"/>
      <c r="BQ862" s="1458"/>
      <c r="BW862" s="11"/>
      <c r="CA862" s="11"/>
      <c r="CK862" s="265"/>
      <c r="CL862" s="265"/>
      <c r="CM862" s="265"/>
      <c r="CO862" s="11"/>
      <c r="CR862" s="1026"/>
      <c r="CS862" s="265"/>
      <c r="CT862" s="265"/>
      <c r="CU862" s="265"/>
    </row>
    <row r="863" spans="10:99" ht="15" customHeight="1">
      <c r="J863" s="265"/>
      <c r="K863" s="1024"/>
      <c r="L863" s="1025"/>
      <c r="M863" s="1026"/>
      <c r="N863" s="1026"/>
      <c r="O863" s="265"/>
      <c r="P863" s="265"/>
      <c r="T863" s="265"/>
      <c r="U863" s="265"/>
      <c r="V863" s="265"/>
      <c r="X863" s="1026"/>
      <c r="Y863" s="265"/>
      <c r="Z863" s="265"/>
      <c r="AA863" s="265"/>
      <c r="AE863" s="265"/>
      <c r="AF863" s="265"/>
      <c r="AV863" s="265"/>
      <c r="AW863" s="265"/>
      <c r="AX863" s="265"/>
      <c r="AY863" s="265"/>
      <c r="BE863" s="265"/>
      <c r="BF863" s="1028"/>
      <c r="BJ863" s="265"/>
      <c r="BK863" s="1458"/>
      <c r="BL863" s="1028"/>
      <c r="BP863" s="265"/>
      <c r="BQ863" s="1458"/>
      <c r="BW863" s="11"/>
      <c r="CA863" s="11"/>
      <c r="CK863" s="265"/>
      <c r="CL863" s="265"/>
      <c r="CM863" s="265"/>
      <c r="CO863" s="11"/>
      <c r="CR863" s="1026"/>
      <c r="CS863" s="265"/>
      <c r="CT863" s="265"/>
      <c r="CU863" s="265"/>
    </row>
    <row r="864" spans="10:99" ht="15" customHeight="1">
      <c r="J864" s="265"/>
      <c r="K864" s="1024"/>
      <c r="L864" s="1025"/>
      <c r="M864" s="1026"/>
      <c r="N864" s="1026"/>
      <c r="O864" s="265"/>
      <c r="P864" s="265"/>
      <c r="T864" s="265"/>
      <c r="U864" s="265"/>
      <c r="V864" s="265"/>
      <c r="X864" s="1026"/>
      <c r="Y864" s="265"/>
      <c r="Z864" s="265"/>
      <c r="AA864" s="265"/>
      <c r="AE864" s="265"/>
      <c r="AF864" s="265"/>
      <c r="AV864" s="265"/>
      <c r="AW864" s="265"/>
      <c r="AX864" s="265"/>
      <c r="AY864" s="265"/>
      <c r="BE864" s="265"/>
      <c r="BF864" s="1028"/>
      <c r="BJ864" s="265"/>
      <c r="BK864" s="1458"/>
      <c r="BL864" s="1028"/>
      <c r="BP864" s="265"/>
      <c r="BQ864" s="1458"/>
      <c r="BW864" s="11"/>
      <c r="CA864" s="11"/>
      <c r="CK864" s="265"/>
      <c r="CL864" s="265"/>
      <c r="CM864" s="265"/>
      <c r="CO864" s="11"/>
      <c r="CR864" s="1026"/>
      <c r="CS864" s="265"/>
      <c r="CT864" s="265"/>
      <c r="CU864" s="265"/>
    </row>
    <row r="865" spans="10:99" ht="15" customHeight="1">
      <c r="J865" s="265"/>
      <c r="K865" s="1024"/>
      <c r="L865" s="1025"/>
      <c r="M865" s="1026"/>
      <c r="N865" s="1026"/>
      <c r="O865" s="265"/>
      <c r="P865" s="265"/>
      <c r="T865" s="265"/>
      <c r="U865" s="265"/>
      <c r="V865" s="265"/>
      <c r="X865" s="1026"/>
      <c r="Y865" s="265"/>
      <c r="Z865" s="265"/>
      <c r="AA865" s="265"/>
      <c r="AE865" s="265"/>
      <c r="AF865" s="265"/>
      <c r="AV865" s="265"/>
      <c r="AW865" s="265"/>
      <c r="AX865" s="265"/>
      <c r="AY865" s="265"/>
      <c r="BE865" s="265"/>
      <c r="BF865" s="1028"/>
      <c r="BJ865" s="265"/>
      <c r="BK865" s="1458"/>
      <c r="BL865" s="1028"/>
      <c r="BP865" s="265"/>
      <c r="BQ865" s="1458"/>
      <c r="BW865" s="11"/>
      <c r="CA865" s="11"/>
      <c r="CK865" s="265"/>
      <c r="CL865" s="265"/>
      <c r="CM865" s="265"/>
      <c r="CO865" s="11"/>
      <c r="CR865" s="1026"/>
      <c r="CS865" s="265"/>
      <c r="CT865" s="265"/>
      <c r="CU865" s="265"/>
    </row>
    <row r="866" spans="10:99" ht="15" customHeight="1">
      <c r="J866" s="265"/>
      <c r="K866" s="1024"/>
      <c r="L866" s="1025"/>
      <c r="M866" s="1026"/>
      <c r="N866" s="1026"/>
      <c r="O866" s="265"/>
      <c r="P866" s="265"/>
      <c r="T866" s="265"/>
      <c r="U866" s="265"/>
      <c r="V866" s="265"/>
      <c r="X866" s="1026"/>
      <c r="Y866" s="265"/>
      <c r="Z866" s="265"/>
      <c r="AA866" s="265"/>
      <c r="AE866" s="265"/>
      <c r="AF866" s="265"/>
      <c r="AV866" s="265"/>
      <c r="AW866" s="265"/>
      <c r="AX866" s="265"/>
      <c r="AY866" s="265"/>
      <c r="BE866" s="265"/>
      <c r="BF866" s="1028"/>
      <c r="BJ866" s="265"/>
      <c r="BK866" s="1458"/>
      <c r="BL866" s="1028"/>
      <c r="BP866" s="265"/>
      <c r="BQ866" s="1458"/>
      <c r="BW866" s="11"/>
      <c r="CA866" s="11"/>
      <c r="CK866" s="265"/>
      <c r="CL866" s="265"/>
      <c r="CM866" s="265"/>
      <c r="CO866" s="11"/>
      <c r="CR866" s="1026"/>
      <c r="CS866" s="265"/>
      <c r="CT866" s="265"/>
      <c r="CU866" s="265"/>
    </row>
    <row r="867" spans="10:99" ht="15" customHeight="1">
      <c r="J867" s="265"/>
      <c r="K867" s="1024"/>
      <c r="L867" s="1025"/>
      <c r="M867" s="1026"/>
      <c r="N867" s="1026"/>
      <c r="O867" s="265"/>
      <c r="P867" s="265"/>
      <c r="T867" s="265"/>
      <c r="U867" s="265"/>
      <c r="V867" s="265"/>
      <c r="X867" s="1026"/>
      <c r="Y867" s="265"/>
      <c r="Z867" s="265"/>
      <c r="AA867" s="265"/>
      <c r="AE867" s="265"/>
      <c r="AF867" s="265"/>
      <c r="AV867" s="265"/>
      <c r="AW867" s="265"/>
      <c r="AX867" s="265"/>
      <c r="AY867" s="265"/>
      <c r="BE867" s="265"/>
      <c r="BF867" s="1028"/>
      <c r="BJ867" s="265"/>
      <c r="BK867" s="1458"/>
      <c r="BL867" s="1028"/>
      <c r="BP867" s="265"/>
      <c r="BQ867" s="1458"/>
      <c r="BW867" s="11"/>
      <c r="CA867" s="11"/>
      <c r="CK867" s="265"/>
      <c r="CL867" s="265"/>
      <c r="CM867" s="265"/>
      <c r="CO867" s="11"/>
      <c r="CR867" s="1026"/>
      <c r="CS867" s="265"/>
      <c r="CT867" s="265"/>
      <c r="CU867" s="265"/>
    </row>
    <row r="868" spans="10:99" ht="15" customHeight="1">
      <c r="J868" s="265"/>
      <c r="K868" s="1024"/>
      <c r="L868" s="1025"/>
      <c r="M868" s="1026"/>
      <c r="N868" s="1026"/>
      <c r="O868" s="265"/>
      <c r="P868" s="265"/>
      <c r="T868" s="265"/>
      <c r="U868" s="265"/>
      <c r="V868" s="265"/>
      <c r="X868" s="1026"/>
      <c r="Y868" s="265"/>
      <c r="Z868" s="265"/>
      <c r="AA868" s="265"/>
      <c r="AE868" s="265"/>
      <c r="AF868" s="265"/>
      <c r="AV868" s="265"/>
      <c r="AW868" s="265"/>
      <c r="AX868" s="265"/>
      <c r="AY868" s="265"/>
      <c r="BE868" s="265"/>
      <c r="BF868" s="1028"/>
      <c r="BJ868" s="265"/>
      <c r="BK868" s="1458"/>
      <c r="BL868" s="1028"/>
      <c r="BP868" s="265"/>
      <c r="BQ868" s="1458"/>
      <c r="BW868" s="11"/>
      <c r="CA868" s="11"/>
      <c r="CK868" s="265"/>
      <c r="CL868" s="265"/>
      <c r="CM868" s="265"/>
      <c r="CO868" s="11"/>
      <c r="CR868" s="1026"/>
      <c r="CS868" s="265"/>
      <c r="CT868" s="265"/>
      <c r="CU868" s="265"/>
    </row>
    <row r="869" spans="10:99" ht="15" customHeight="1">
      <c r="J869" s="265"/>
      <c r="K869" s="1024"/>
      <c r="L869" s="1025"/>
      <c r="M869" s="1026"/>
      <c r="N869" s="1026"/>
      <c r="O869" s="265"/>
      <c r="P869" s="265"/>
      <c r="T869" s="265"/>
      <c r="U869" s="265"/>
      <c r="V869" s="265"/>
      <c r="X869" s="1026"/>
      <c r="Y869" s="265"/>
      <c r="Z869" s="265"/>
      <c r="AA869" s="265"/>
      <c r="AE869" s="265"/>
      <c r="AF869" s="265"/>
      <c r="AV869" s="265"/>
      <c r="AW869" s="265"/>
      <c r="AX869" s="265"/>
      <c r="AY869" s="265"/>
      <c r="BE869" s="265"/>
      <c r="BF869" s="1028"/>
      <c r="BJ869" s="265"/>
      <c r="BK869" s="1458"/>
      <c r="BL869" s="1028"/>
      <c r="BP869" s="265"/>
      <c r="BQ869" s="1458"/>
      <c r="BW869" s="11"/>
      <c r="CA869" s="11"/>
      <c r="CK869" s="265"/>
      <c r="CL869" s="265"/>
      <c r="CM869" s="265"/>
      <c r="CO869" s="11"/>
      <c r="CR869" s="1026"/>
      <c r="CS869" s="265"/>
      <c r="CT869" s="265"/>
      <c r="CU869" s="265"/>
    </row>
    <row r="870" spans="10:99" ht="15" customHeight="1">
      <c r="J870" s="265"/>
      <c r="K870" s="1024"/>
      <c r="L870" s="1025"/>
      <c r="M870" s="1026"/>
      <c r="N870" s="1026"/>
      <c r="O870" s="265"/>
      <c r="P870" s="265"/>
      <c r="T870" s="265"/>
      <c r="U870" s="265"/>
      <c r="V870" s="265"/>
      <c r="X870" s="1026"/>
      <c r="Y870" s="265"/>
      <c r="Z870" s="265"/>
      <c r="AA870" s="265"/>
      <c r="AE870" s="265"/>
      <c r="AF870" s="265"/>
      <c r="AV870" s="265"/>
      <c r="AW870" s="265"/>
      <c r="AX870" s="265"/>
      <c r="AY870" s="265"/>
      <c r="BE870" s="265"/>
      <c r="BF870" s="1028"/>
      <c r="BJ870" s="265"/>
      <c r="BK870" s="1458"/>
      <c r="BL870" s="1028"/>
      <c r="BP870" s="265"/>
      <c r="BQ870" s="1458"/>
      <c r="BW870" s="11"/>
      <c r="CA870" s="11"/>
      <c r="CK870" s="265"/>
      <c r="CL870" s="265"/>
      <c r="CM870" s="265"/>
      <c r="CO870" s="11"/>
      <c r="CR870" s="1026"/>
      <c r="CS870" s="265"/>
      <c r="CT870" s="265"/>
      <c r="CU870" s="265"/>
    </row>
    <row r="871" spans="10:99" ht="15" customHeight="1">
      <c r="J871" s="265"/>
      <c r="K871" s="1024"/>
      <c r="L871" s="1025"/>
      <c r="M871" s="1026"/>
      <c r="N871" s="1026"/>
      <c r="O871" s="265"/>
      <c r="P871" s="265"/>
      <c r="T871" s="265"/>
      <c r="U871" s="265"/>
      <c r="V871" s="265"/>
      <c r="X871" s="1026"/>
      <c r="Y871" s="265"/>
      <c r="Z871" s="265"/>
      <c r="AA871" s="265"/>
      <c r="AE871" s="265"/>
      <c r="AF871" s="265"/>
      <c r="AV871" s="265"/>
      <c r="AW871" s="265"/>
      <c r="AX871" s="265"/>
      <c r="AY871" s="265"/>
      <c r="BE871" s="265"/>
      <c r="BF871" s="1028"/>
      <c r="BJ871" s="265"/>
      <c r="BK871" s="1458"/>
      <c r="BL871" s="1028"/>
      <c r="BP871" s="265"/>
      <c r="BQ871" s="1458"/>
      <c r="BW871" s="11"/>
      <c r="CA871" s="11"/>
      <c r="CK871" s="265"/>
      <c r="CL871" s="265"/>
      <c r="CM871" s="265"/>
      <c r="CO871" s="11"/>
      <c r="CR871" s="1026"/>
      <c r="CS871" s="265"/>
      <c r="CT871" s="265"/>
      <c r="CU871" s="265"/>
    </row>
    <row r="872" spans="10:99" ht="15" customHeight="1">
      <c r="J872" s="265"/>
      <c r="K872" s="1024"/>
      <c r="L872" s="1025"/>
      <c r="M872" s="1026"/>
      <c r="N872" s="1026"/>
      <c r="O872" s="265"/>
      <c r="P872" s="265"/>
      <c r="T872" s="265"/>
      <c r="U872" s="265"/>
      <c r="V872" s="265"/>
      <c r="X872" s="1026"/>
      <c r="Y872" s="265"/>
      <c r="Z872" s="265"/>
      <c r="AA872" s="265"/>
      <c r="AE872" s="265"/>
      <c r="AF872" s="265"/>
      <c r="AV872" s="265"/>
      <c r="AW872" s="265"/>
      <c r="AX872" s="265"/>
      <c r="AY872" s="265"/>
      <c r="BE872" s="265"/>
      <c r="BF872" s="1028"/>
      <c r="BJ872" s="265"/>
      <c r="BK872" s="1458"/>
      <c r="BL872" s="1028"/>
      <c r="BP872" s="265"/>
      <c r="BQ872" s="1458"/>
      <c r="BW872" s="11"/>
      <c r="CA872" s="11"/>
      <c r="CK872" s="265"/>
      <c r="CL872" s="265"/>
      <c r="CM872" s="265"/>
      <c r="CO872" s="11"/>
      <c r="CR872" s="1026"/>
      <c r="CS872" s="265"/>
      <c r="CT872" s="265"/>
      <c r="CU872" s="265"/>
    </row>
    <row r="873" spans="10:99" ht="15" customHeight="1">
      <c r="J873" s="265"/>
      <c r="K873" s="1024"/>
      <c r="L873" s="1025"/>
      <c r="M873" s="1026"/>
      <c r="N873" s="1026"/>
      <c r="O873" s="265"/>
      <c r="P873" s="265"/>
      <c r="T873" s="265"/>
      <c r="U873" s="265"/>
      <c r="V873" s="265"/>
      <c r="X873" s="1026"/>
      <c r="Y873" s="265"/>
      <c r="Z873" s="265"/>
      <c r="AA873" s="265"/>
      <c r="AE873" s="265"/>
      <c r="AF873" s="265"/>
      <c r="AV873" s="265"/>
      <c r="AW873" s="265"/>
      <c r="AX873" s="265"/>
      <c r="AY873" s="265"/>
      <c r="BE873" s="265"/>
      <c r="BF873" s="1028"/>
      <c r="BJ873" s="265"/>
      <c r="BK873" s="1458"/>
      <c r="BL873" s="1028"/>
      <c r="BP873" s="265"/>
      <c r="BQ873" s="1458"/>
      <c r="BW873" s="11"/>
      <c r="CA873" s="11"/>
      <c r="CK873" s="265"/>
      <c r="CL873" s="265"/>
      <c r="CM873" s="265"/>
      <c r="CO873" s="11"/>
      <c r="CR873" s="1026"/>
      <c r="CS873" s="265"/>
      <c r="CT873" s="265"/>
      <c r="CU873" s="265"/>
    </row>
    <row r="874" spans="10:99" ht="15" customHeight="1">
      <c r="J874" s="265"/>
      <c r="K874" s="1024"/>
      <c r="L874" s="1025"/>
      <c r="M874" s="1026"/>
      <c r="N874" s="1026"/>
      <c r="O874" s="265"/>
      <c r="P874" s="265"/>
      <c r="T874" s="265"/>
      <c r="U874" s="265"/>
      <c r="V874" s="265"/>
      <c r="X874" s="1026"/>
      <c r="Y874" s="265"/>
      <c r="Z874" s="265"/>
      <c r="AA874" s="265"/>
      <c r="AE874" s="265"/>
      <c r="AF874" s="265"/>
      <c r="AV874" s="265"/>
      <c r="AW874" s="265"/>
      <c r="AX874" s="265"/>
      <c r="AY874" s="265"/>
      <c r="BE874" s="265"/>
      <c r="BF874" s="1028"/>
      <c r="BJ874" s="265"/>
      <c r="BK874" s="1458"/>
      <c r="BL874" s="1028"/>
      <c r="BP874" s="265"/>
      <c r="BQ874" s="1458"/>
      <c r="BW874" s="11"/>
      <c r="CA874" s="11"/>
      <c r="CK874" s="265"/>
      <c r="CL874" s="265"/>
      <c r="CM874" s="265"/>
      <c r="CO874" s="11"/>
      <c r="CR874" s="1026"/>
      <c r="CS874" s="265"/>
      <c r="CT874" s="265"/>
      <c r="CU874" s="265"/>
    </row>
    <row r="875" spans="10:99" ht="15" customHeight="1">
      <c r="J875" s="265"/>
      <c r="K875" s="1024"/>
      <c r="L875" s="1025"/>
      <c r="M875" s="1026"/>
      <c r="N875" s="1026"/>
      <c r="O875" s="265"/>
      <c r="P875" s="265"/>
      <c r="T875" s="265"/>
      <c r="U875" s="265"/>
      <c r="V875" s="265"/>
      <c r="X875" s="1026"/>
      <c r="Y875" s="265"/>
      <c r="Z875" s="265"/>
      <c r="AA875" s="265"/>
      <c r="AE875" s="265"/>
      <c r="AF875" s="265"/>
      <c r="AV875" s="265"/>
      <c r="AW875" s="265"/>
      <c r="AX875" s="265"/>
      <c r="AY875" s="265"/>
      <c r="BE875" s="265"/>
      <c r="BF875" s="1028"/>
      <c r="BJ875" s="265"/>
      <c r="BK875" s="1458"/>
      <c r="BL875" s="1028"/>
      <c r="BP875" s="265"/>
      <c r="BQ875" s="1458"/>
      <c r="BW875" s="11"/>
      <c r="CA875" s="11"/>
      <c r="CK875" s="265"/>
      <c r="CL875" s="265"/>
      <c r="CM875" s="265"/>
      <c r="CO875" s="11"/>
      <c r="CR875" s="1026"/>
      <c r="CS875" s="265"/>
      <c r="CT875" s="265"/>
      <c r="CU875" s="265"/>
    </row>
    <row r="876" spans="10:99" ht="15" customHeight="1">
      <c r="J876" s="265"/>
      <c r="K876" s="1024"/>
      <c r="L876" s="1025"/>
      <c r="M876" s="1026"/>
      <c r="N876" s="1026"/>
      <c r="O876" s="265"/>
      <c r="P876" s="265"/>
      <c r="T876" s="265"/>
      <c r="U876" s="265"/>
      <c r="V876" s="265"/>
      <c r="X876" s="1026"/>
      <c r="Y876" s="265"/>
      <c r="Z876" s="265"/>
      <c r="AA876" s="265"/>
      <c r="AE876" s="265"/>
      <c r="AF876" s="265"/>
      <c r="AV876" s="265"/>
      <c r="AW876" s="265"/>
      <c r="AX876" s="265"/>
      <c r="AY876" s="265"/>
      <c r="BE876" s="265"/>
      <c r="BF876" s="1028"/>
      <c r="BJ876" s="265"/>
      <c r="BK876" s="1458"/>
      <c r="BL876" s="1028"/>
      <c r="BP876" s="265"/>
      <c r="BQ876" s="1458"/>
      <c r="BW876" s="11"/>
      <c r="CA876" s="11"/>
      <c r="CK876" s="265"/>
      <c r="CL876" s="265"/>
      <c r="CM876" s="265"/>
      <c r="CO876" s="11"/>
      <c r="CR876" s="1026"/>
      <c r="CS876" s="265"/>
      <c r="CT876" s="265"/>
      <c r="CU876" s="265"/>
    </row>
    <row r="877" spans="10:99" ht="15" customHeight="1">
      <c r="J877" s="265"/>
      <c r="K877" s="1024"/>
      <c r="L877" s="1025"/>
      <c r="M877" s="1026"/>
      <c r="N877" s="1026"/>
      <c r="O877" s="265"/>
      <c r="P877" s="265"/>
      <c r="T877" s="265"/>
      <c r="U877" s="265"/>
      <c r="V877" s="265"/>
      <c r="X877" s="1026"/>
      <c r="Y877" s="265"/>
      <c r="Z877" s="265"/>
      <c r="AA877" s="265"/>
      <c r="AE877" s="265"/>
      <c r="AF877" s="265"/>
      <c r="AV877" s="265"/>
      <c r="AW877" s="265"/>
      <c r="AX877" s="265"/>
      <c r="AY877" s="265"/>
      <c r="BE877" s="265"/>
      <c r="BF877" s="1028"/>
      <c r="BJ877" s="265"/>
      <c r="BK877" s="1458"/>
      <c r="BL877" s="1028"/>
      <c r="BP877" s="265"/>
      <c r="BQ877" s="1458"/>
      <c r="BW877" s="11"/>
      <c r="CA877" s="11"/>
      <c r="CK877" s="265"/>
      <c r="CL877" s="265"/>
      <c r="CM877" s="265"/>
      <c r="CO877" s="11"/>
      <c r="CR877" s="1026"/>
      <c r="CS877" s="265"/>
      <c r="CT877" s="265"/>
      <c r="CU877" s="265"/>
    </row>
    <row r="878" spans="10:99" ht="15" customHeight="1">
      <c r="J878" s="265"/>
      <c r="K878" s="1024"/>
      <c r="L878" s="1025"/>
      <c r="M878" s="1026"/>
      <c r="N878" s="1026"/>
      <c r="O878" s="265"/>
      <c r="P878" s="265"/>
      <c r="T878" s="265"/>
      <c r="U878" s="265"/>
      <c r="V878" s="265"/>
      <c r="X878" s="1026"/>
      <c r="Y878" s="265"/>
      <c r="Z878" s="265"/>
      <c r="AA878" s="265"/>
      <c r="AE878" s="265"/>
      <c r="AF878" s="265"/>
      <c r="AV878" s="265"/>
      <c r="AW878" s="265"/>
      <c r="AX878" s="265"/>
      <c r="AY878" s="265"/>
      <c r="BE878" s="265"/>
      <c r="BF878" s="1028"/>
      <c r="BJ878" s="265"/>
      <c r="BK878" s="1458"/>
      <c r="BL878" s="1028"/>
      <c r="BP878" s="265"/>
      <c r="BQ878" s="1458"/>
      <c r="BW878" s="11"/>
      <c r="CA878" s="11"/>
      <c r="CK878" s="265"/>
      <c r="CL878" s="265"/>
      <c r="CM878" s="265"/>
      <c r="CO878" s="11"/>
      <c r="CR878" s="1026"/>
      <c r="CS878" s="265"/>
      <c r="CT878" s="265"/>
      <c r="CU878" s="265"/>
    </row>
    <row r="879" spans="10:99" ht="15" customHeight="1">
      <c r="J879" s="265"/>
      <c r="K879" s="1024"/>
      <c r="L879" s="1025"/>
      <c r="M879" s="1026"/>
      <c r="N879" s="1026"/>
      <c r="O879" s="265"/>
      <c r="P879" s="265"/>
      <c r="T879" s="265"/>
      <c r="U879" s="265"/>
      <c r="V879" s="265"/>
      <c r="X879" s="1026"/>
      <c r="Y879" s="265"/>
      <c r="Z879" s="265"/>
      <c r="AA879" s="265"/>
      <c r="AE879" s="265"/>
      <c r="AF879" s="265"/>
      <c r="AV879" s="265"/>
      <c r="AW879" s="265"/>
      <c r="AX879" s="265"/>
      <c r="AY879" s="265"/>
      <c r="BE879" s="265"/>
      <c r="BF879" s="1028"/>
      <c r="BJ879" s="265"/>
      <c r="BK879" s="1458"/>
      <c r="BL879" s="1028"/>
      <c r="BP879" s="265"/>
      <c r="BQ879" s="1458"/>
      <c r="BW879" s="11"/>
      <c r="CA879" s="11"/>
      <c r="CK879" s="265"/>
      <c r="CL879" s="265"/>
      <c r="CM879" s="265"/>
      <c r="CO879" s="11"/>
      <c r="CR879" s="1026"/>
      <c r="CS879" s="265"/>
      <c r="CT879" s="265"/>
      <c r="CU879" s="265"/>
    </row>
    <row r="880" spans="10:99" ht="15" customHeight="1">
      <c r="J880" s="265"/>
      <c r="K880" s="1024"/>
      <c r="L880" s="1025"/>
      <c r="M880" s="1026"/>
      <c r="N880" s="1026"/>
      <c r="O880" s="265"/>
      <c r="P880" s="265"/>
      <c r="T880" s="265"/>
      <c r="U880" s="265"/>
      <c r="V880" s="265"/>
      <c r="X880" s="1026"/>
      <c r="Y880" s="265"/>
      <c r="Z880" s="265"/>
      <c r="AA880" s="265"/>
      <c r="AE880" s="265"/>
      <c r="AF880" s="265"/>
      <c r="AV880" s="265"/>
      <c r="AW880" s="265"/>
      <c r="AX880" s="265"/>
      <c r="AY880" s="265"/>
      <c r="BE880" s="265"/>
      <c r="BF880" s="1028"/>
      <c r="BJ880" s="265"/>
      <c r="BK880" s="1458"/>
      <c r="BL880" s="1028"/>
      <c r="BP880" s="265"/>
      <c r="BQ880" s="1458"/>
      <c r="BW880" s="11"/>
      <c r="CA880" s="11"/>
      <c r="CK880" s="265"/>
      <c r="CL880" s="265"/>
      <c r="CM880" s="265"/>
      <c r="CO880" s="11"/>
      <c r="CR880" s="1026"/>
      <c r="CS880" s="265"/>
      <c r="CT880" s="265"/>
      <c r="CU880" s="265"/>
    </row>
    <row r="881" spans="10:99" ht="15" customHeight="1">
      <c r="J881" s="265"/>
      <c r="K881" s="1024"/>
      <c r="L881" s="1025"/>
      <c r="M881" s="1026"/>
      <c r="N881" s="1026"/>
      <c r="O881" s="265"/>
      <c r="P881" s="265"/>
      <c r="T881" s="265"/>
      <c r="U881" s="265"/>
      <c r="V881" s="265"/>
      <c r="X881" s="1026"/>
      <c r="Y881" s="265"/>
      <c r="Z881" s="265"/>
      <c r="AA881" s="265"/>
      <c r="AE881" s="265"/>
      <c r="AF881" s="265"/>
      <c r="AV881" s="265"/>
      <c r="AW881" s="265"/>
      <c r="AX881" s="265"/>
      <c r="AY881" s="265"/>
      <c r="BE881" s="265"/>
      <c r="BF881" s="1028"/>
      <c r="BJ881" s="265"/>
      <c r="BK881" s="1458"/>
      <c r="BL881" s="1028"/>
      <c r="BP881" s="265"/>
      <c r="BQ881" s="1458"/>
      <c r="BW881" s="11"/>
      <c r="CA881" s="11"/>
      <c r="CK881" s="265"/>
      <c r="CL881" s="265"/>
      <c r="CM881" s="265"/>
      <c r="CO881" s="11"/>
      <c r="CR881" s="1026"/>
      <c r="CS881" s="265"/>
      <c r="CT881" s="265"/>
      <c r="CU881" s="265"/>
    </row>
    <row r="882" spans="10:99" ht="15" customHeight="1">
      <c r="J882" s="265"/>
      <c r="K882" s="1024"/>
      <c r="L882" s="1025"/>
      <c r="M882" s="1026"/>
      <c r="N882" s="1026"/>
      <c r="O882" s="265"/>
      <c r="P882" s="265"/>
      <c r="T882" s="265"/>
      <c r="U882" s="265"/>
      <c r="V882" s="265"/>
      <c r="X882" s="1026"/>
      <c r="Y882" s="265"/>
      <c r="Z882" s="265"/>
      <c r="AA882" s="265"/>
      <c r="AE882" s="265"/>
      <c r="AF882" s="265"/>
      <c r="AV882" s="265"/>
      <c r="AW882" s="265"/>
      <c r="AX882" s="265"/>
      <c r="AY882" s="265"/>
      <c r="BE882" s="265"/>
      <c r="BF882" s="1028"/>
      <c r="BJ882" s="265"/>
      <c r="BK882" s="1458"/>
      <c r="BL882" s="1028"/>
      <c r="BP882" s="265"/>
      <c r="BQ882" s="1458"/>
      <c r="BW882" s="11"/>
      <c r="CA882" s="11"/>
      <c r="CK882" s="265"/>
      <c r="CL882" s="265"/>
      <c r="CM882" s="265"/>
      <c r="CO882" s="11"/>
      <c r="CR882" s="1026"/>
      <c r="CS882" s="265"/>
      <c r="CT882" s="265"/>
      <c r="CU882" s="265"/>
    </row>
    <row r="883" spans="10:99" ht="15" customHeight="1">
      <c r="J883" s="265"/>
      <c r="K883" s="1024"/>
      <c r="L883" s="1025"/>
      <c r="M883" s="1026"/>
      <c r="N883" s="1026"/>
      <c r="O883" s="265"/>
      <c r="P883" s="265"/>
      <c r="T883" s="265"/>
      <c r="U883" s="265"/>
      <c r="V883" s="265"/>
      <c r="X883" s="1026"/>
      <c r="Y883" s="265"/>
      <c r="Z883" s="265"/>
      <c r="AA883" s="265"/>
      <c r="AE883" s="265"/>
      <c r="AF883" s="265"/>
      <c r="AV883" s="265"/>
      <c r="AW883" s="265"/>
      <c r="AX883" s="265"/>
      <c r="AY883" s="265"/>
      <c r="BE883" s="265"/>
      <c r="BF883" s="1028"/>
      <c r="BJ883" s="265"/>
      <c r="BK883" s="1458"/>
      <c r="BL883" s="1028"/>
      <c r="BP883" s="265"/>
      <c r="BQ883" s="1458"/>
      <c r="BW883" s="11"/>
      <c r="CA883" s="11"/>
      <c r="CK883" s="265"/>
      <c r="CL883" s="265"/>
      <c r="CM883" s="265"/>
      <c r="CO883" s="11"/>
      <c r="CR883" s="1026"/>
      <c r="CS883" s="265"/>
      <c r="CT883" s="265"/>
      <c r="CU883" s="265"/>
    </row>
    <row r="884" spans="10:99" ht="15" customHeight="1">
      <c r="J884" s="265"/>
      <c r="K884" s="1024"/>
      <c r="L884" s="1025"/>
      <c r="M884" s="1026"/>
      <c r="N884" s="1026"/>
      <c r="O884" s="265"/>
      <c r="P884" s="265"/>
      <c r="T884" s="265"/>
      <c r="U884" s="265"/>
      <c r="V884" s="265"/>
      <c r="X884" s="1026"/>
      <c r="Y884" s="265"/>
      <c r="Z884" s="265"/>
      <c r="AA884" s="265"/>
      <c r="AE884" s="265"/>
      <c r="AF884" s="265"/>
      <c r="AV884" s="265"/>
      <c r="AW884" s="265"/>
      <c r="AX884" s="265"/>
      <c r="AY884" s="265"/>
      <c r="BE884" s="265"/>
      <c r="BF884" s="1028"/>
      <c r="BJ884" s="265"/>
      <c r="BK884" s="1458"/>
      <c r="BL884" s="1028"/>
      <c r="BP884" s="265"/>
      <c r="BQ884" s="1458"/>
      <c r="BW884" s="11"/>
      <c r="CA884" s="11"/>
      <c r="CK884" s="265"/>
      <c r="CL884" s="265"/>
      <c r="CM884" s="265"/>
      <c r="CO884" s="11"/>
      <c r="CR884" s="1026"/>
      <c r="CS884" s="265"/>
      <c r="CT884" s="265"/>
      <c r="CU884" s="265"/>
    </row>
    <row r="885" spans="10:99" ht="15" customHeight="1">
      <c r="J885" s="265"/>
      <c r="K885" s="1024"/>
      <c r="L885" s="1025"/>
      <c r="M885" s="1026"/>
      <c r="N885" s="1026"/>
      <c r="O885" s="265"/>
      <c r="P885" s="265"/>
      <c r="T885" s="265"/>
      <c r="U885" s="265"/>
      <c r="V885" s="265"/>
      <c r="X885" s="1026"/>
      <c r="Y885" s="265"/>
      <c r="Z885" s="265"/>
      <c r="AA885" s="265"/>
      <c r="AE885" s="265"/>
      <c r="AF885" s="265"/>
      <c r="AV885" s="265"/>
      <c r="AW885" s="265"/>
      <c r="AX885" s="265"/>
      <c r="AY885" s="265"/>
      <c r="BE885" s="265"/>
      <c r="BF885" s="1028"/>
      <c r="BJ885" s="265"/>
      <c r="BK885" s="1458"/>
      <c r="BL885" s="1028"/>
      <c r="BP885" s="265"/>
      <c r="BQ885" s="1458"/>
      <c r="BW885" s="11"/>
      <c r="CA885" s="11"/>
      <c r="CK885" s="265"/>
      <c r="CL885" s="265"/>
      <c r="CM885" s="265"/>
      <c r="CO885" s="11"/>
      <c r="CR885" s="1026"/>
      <c r="CS885" s="265"/>
      <c r="CT885" s="265"/>
      <c r="CU885" s="265"/>
    </row>
    <row r="886" spans="10:99" ht="15" customHeight="1">
      <c r="J886" s="265"/>
      <c r="K886" s="1024"/>
      <c r="L886" s="1025"/>
      <c r="M886" s="1026"/>
      <c r="N886" s="1026"/>
      <c r="O886" s="265"/>
      <c r="P886" s="265"/>
      <c r="T886" s="265"/>
      <c r="U886" s="265"/>
      <c r="V886" s="265"/>
      <c r="X886" s="1026"/>
      <c r="Y886" s="265"/>
      <c r="Z886" s="265"/>
      <c r="AA886" s="265"/>
      <c r="AE886" s="265"/>
      <c r="AF886" s="265"/>
      <c r="AV886" s="265"/>
      <c r="AW886" s="265"/>
      <c r="AX886" s="265"/>
      <c r="AY886" s="265"/>
      <c r="BE886" s="265"/>
      <c r="BF886" s="1028"/>
      <c r="BJ886" s="265"/>
      <c r="BK886" s="1458"/>
      <c r="BL886" s="1028"/>
      <c r="BP886" s="265"/>
      <c r="BQ886" s="1458"/>
      <c r="BW886" s="11"/>
      <c r="CA886" s="11"/>
      <c r="CK886" s="265"/>
      <c r="CL886" s="265"/>
      <c r="CM886" s="265"/>
      <c r="CO886" s="11"/>
      <c r="CR886" s="1026"/>
      <c r="CS886" s="265"/>
      <c r="CT886" s="265"/>
      <c r="CU886" s="265"/>
    </row>
    <row r="887" spans="10:99" ht="15" customHeight="1">
      <c r="J887" s="265"/>
      <c r="K887" s="1024"/>
      <c r="L887" s="1025"/>
      <c r="M887" s="1026"/>
      <c r="N887" s="1026"/>
      <c r="O887" s="265"/>
      <c r="P887" s="265"/>
      <c r="T887" s="265"/>
      <c r="U887" s="265"/>
      <c r="V887" s="265"/>
      <c r="X887" s="1026"/>
      <c r="Y887" s="265"/>
      <c r="Z887" s="265"/>
      <c r="AA887" s="265"/>
      <c r="AE887" s="265"/>
      <c r="AF887" s="265"/>
      <c r="AV887" s="265"/>
      <c r="AW887" s="265"/>
      <c r="AX887" s="265"/>
      <c r="AY887" s="265"/>
      <c r="BE887" s="265"/>
      <c r="BF887" s="1028"/>
      <c r="BJ887" s="265"/>
      <c r="BK887" s="1458"/>
      <c r="BL887" s="1028"/>
      <c r="BP887" s="265"/>
      <c r="BQ887" s="1458"/>
      <c r="BW887" s="11"/>
      <c r="CA887" s="11"/>
      <c r="CK887" s="265"/>
      <c r="CL887" s="265"/>
      <c r="CM887" s="265"/>
      <c r="CO887" s="11"/>
      <c r="CR887" s="1026"/>
      <c r="CS887" s="265"/>
      <c r="CT887" s="265"/>
      <c r="CU887" s="265"/>
    </row>
    <row r="888" spans="10:99" ht="15" customHeight="1">
      <c r="J888" s="265"/>
      <c r="K888" s="1024"/>
      <c r="L888" s="1025"/>
      <c r="M888" s="1026"/>
      <c r="N888" s="1026"/>
      <c r="O888" s="265"/>
      <c r="P888" s="265"/>
      <c r="T888" s="265"/>
      <c r="U888" s="265"/>
      <c r="V888" s="265"/>
      <c r="X888" s="1026"/>
      <c r="Y888" s="265"/>
      <c r="Z888" s="265"/>
      <c r="AA888" s="265"/>
      <c r="AE888" s="265"/>
      <c r="AF888" s="265"/>
      <c r="AV888" s="265"/>
      <c r="AW888" s="265"/>
      <c r="AX888" s="265"/>
      <c r="AY888" s="265"/>
      <c r="BE888" s="265"/>
      <c r="BF888" s="1028"/>
      <c r="BJ888" s="265"/>
      <c r="BK888" s="1458"/>
      <c r="BL888" s="1028"/>
      <c r="BP888" s="265"/>
      <c r="BQ888" s="1458"/>
      <c r="BW888" s="11"/>
      <c r="CA888" s="11"/>
      <c r="CK888" s="265"/>
      <c r="CL888" s="265"/>
      <c r="CM888" s="265"/>
      <c r="CO888" s="11"/>
      <c r="CR888" s="1026"/>
      <c r="CS888" s="265"/>
      <c r="CT888" s="265"/>
      <c r="CU888" s="265"/>
    </row>
    <row r="889" spans="10:99" ht="15" customHeight="1">
      <c r="J889" s="265"/>
      <c r="K889" s="1024"/>
      <c r="L889" s="1025"/>
      <c r="M889" s="1026"/>
      <c r="N889" s="1026"/>
      <c r="O889" s="265"/>
      <c r="P889" s="265"/>
      <c r="T889" s="265"/>
      <c r="U889" s="265"/>
      <c r="V889" s="265"/>
      <c r="X889" s="1026"/>
      <c r="Y889" s="265"/>
      <c r="Z889" s="265"/>
      <c r="AA889" s="265"/>
      <c r="AE889" s="265"/>
      <c r="AF889" s="265"/>
      <c r="AV889" s="265"/>
      <c r="AW889" s="265"/>
      <c r="AX889" s="265"/>
      <c r="AY889" s="265"/>
      <c r="BE889" s="265"/>
      <c r="BF889" s="1028"/>
      <c r="BJ889" s="265"/>
      <c r="BK889" s="1458"/>
      <c r="BL889" s="1028"/>
      <c r="BP889" s="265"/>
      <c r="BQ889" s="1458"/>
      <c r="BW889" s="11"/>
      <c r="CA889" s="11"/>
      <c r="CK889" s="265"/>
      <c r="CL889" s="265"/>
      <c r="CM889" s="265"/>
      <c r="CO889" s="11"/>
      <c r="CR889" s="1026"/>
      <c r="CS889" s="265"/>
      <c r="CT889" s="265"/>
      <c r="CU889" s="265"/>
    </row>
    <row r="890" spans="10:99" ht="15" customHeight="1">
      <c r="J890" s="265"/>
      <c r="K890" s="1024"/>
      <c r="L890" s="1025"/>
      <c r="M890" s="1026"/>
      <c r="N890" s="1026"/>
      <c r="O890" s="265"/>
      <c r="P890" s="265"/>
      <c r="T890" s="265"/>
      <c r="U890" s="265"/>
      <c r="V890" s="265"/>
      <c r="X890" s="1026"/>
      <c r="Y890" s="265"/>
      <c r="Z890" s="265"/>
      <c r="AA890" s="265"/>
      <c r="AE890" s="265"/>
      <c r="AF890" s="265"/>
      <c r="AV890" s="265"/>
      <c r="AW890" s="265"/>
      <c r="AX890" s="265"/>
      <c r="AY890" s="265"/>
      <c r="BE890" s="265"/>
      <c r="BF890" s="1028"/>
      <c r="BJ890" s="265"/>
      <c r="BK890" s="1458"/>
      <c r="BL890" s="1028"/>
      <c r="BP890" s="265"/>
      <c r="BQ890" s="1458"/>
      <c r="BW890" s="11"/>
      <c r="CA890" s="11"/>
      <c r="CK890" s="265"/>
      <c r="CL890" s="265"/>
      <c r="CM890" s="265"/>
      <c r="CO890" s="11"/>
      <c r="CR890" s="1026"/>
      <c r="CS890" s="265"/>
      <c r="CT890" s="265"/>
      <c r="CU890" s="265"/>
    </row>
    <row r="891" spans="10:99" ht="15" customHeight="1">
      <c r="J891" s="265"/>
      <c r="K891" s="1024"/>
      <c r="L891" s="1025"/>
      <c r="M891" s="1026"/>
      <c r="N891" s="1026"/>
      <c r="O891" s="265"/>
      <c r="P891" s="265"/>
      <c r="T891" s="265"/>
      <c r="U891" s="265"/>
      <c r="V891" s="265"/>
      <c r="X891" s="1026"/>
      <c r="Y891" s="265"/>
      <c r="Z891" s="265"/>
      <c r="AA891" s="265"/>
      <c r="AE891" s="265"/>
      <c r="AF891" s="265"/>
      <c r="AV891" s="265"/>
      <c r="AW891" s="265"/>
      <c r="AX891" s="265"/>
      <c r="AY891" s="265"/>
      <c r="BE891" s="265"/>
      <c r="BF891" s="1028"/>
      <c r="BJ891" s="265"/>
      <c r="BK891" s="1458"/>
      <c r="BL891" s="1028"/>
      <c r="BP891" s="265"/>
      <c r="BQ891" s="1458"/>
      <c r="BW891" s="11"/>
      <c r="CA891" s="11"/>
      <c r="CK891" s="265"/>
      <c r="CL891" s="265"/>
      <c r="CM891" s="265"/>
      <c r="CO891" s="11"/>
      <c r="CR891" s="1026"/>
      <c r="CS891" s="265"/>
      <c r="CT891" s="265"/>
      <c r="CU891" s="265"/>
    </row>
    <row r="892" spans="10:99" ht="15" customHeight="1">
      <c r="J892" s="265"/>
      <c r="K892" s="1024"/>
      <c r="L892" s="1025"/>
      <c r="M892" s="1026"/>
      <c r="N892" s="1026"/>
      <c r="O892" s="265"/>
      <c r="P892" s="265"/>
      <c r="T892" s="265"/>
      <c r="U892" s="265"/>
      <c r="V892" s="265"/>
      <c r="X892" s="1026"/>
      <c r="Y892" s="265"/>
      <c r="Z892" s="265"/>
      <c r="AA892" s="265"/>
      <c r="AE892" s="265"/>
      <c r="AF892" s="265"/>
      <c r="AV892" s="265"/>
      <c r="AW892" s="265"/>
      <c r="AX892" s="265"/>
      <c r="AY892" s="265"/>
      <c r="BE892" s="265"/>
      <c r="BF892" s="1028"/>
      <c r="BJ892" s="265"/>
      <c r="BK892" s="1458"/>
      <c r="BL892" s="1028"/>
      <c r="BP892" s="265"/>
      <c r="BQ892" s="1458"/>
      <c r="BW892" s="11"/>
      <c r="CA892" s="11"/>
      <c r="CK892" s="265"/>
      <c r="CL892" s="265"/>
      <c r="CM892" s="265"/>
      <c r="CO892" s="11"/>
      <c r="CR892" s="1026"/>
      <c r="CS892" s="265"/>
      <c r="CT892" s="265"/>
      <c r="CU892" s="265"/>
    </row>
    <row r="893" spans="10:99" ht="15" customHeight="1">
      <c r="J893" s="265"/>
      <c r="K893" s="1024"/>
      <c r="L893" s="1025"/>
      <c r="M893" s="1026"/>
      <c r="N893" s="1026"/>
      <c r="O893" s="265"/>
      <c r="P893" s="265"/>
      <c r="T893" s="265"/>
      <c r="U893" s="265"/>
      <c r="V893" s="265"/>
      <c r="X893" s="1026"/>
      <c r="Y893" s="265"/>
      <c r="Z893" s="265"/>
      <c r="AA893" s="265"/>
      <c r="AE893" s="265"/>
      <c r="AF893" s="265"/>
      <c r="AV893" s="265"/>
      <c r="AW893" s="265"/>
      <c r="AX893" s="265"/>
      <c r="AY893" s="265"/>
      <c r="BE893" s="265"/>
      <c r="BF893" s="1028"/>
      <c r="BJ893" s="265"/>
      <c r="BK893" s="1458"/>
      <c r="BL893" s="1028"/>
      <c r="BP893" s="265"/>
      <c r="BQ893" s="1458"/>
      <c r="BW893" s="11"/>
      <c r="CA893" s="11"/>
      <c r="CK893" s="265"/>
      <c r="CL893" s="265"/>
      <c r="CM893" s="265"/>
      <c r="CO893" s="11"/>
      <c r="CR893" s="1026"/>
      <c r="CS893" s="265"/>
      <c r="CT893" s="265"/>
      <c r="CU893" s="265"/>
    </row>
    <row r="894" spans="10:99" ht="15" customHeight="1">
      <c r="J894" s="265"/>
      <c r="K894" s="1024"/>
      <c r="L894" s="1025"/>
      <c r="M894" s="1026"/>
      <c r="N894" s="1026"/>
      <c r="O894" s="265"/>
      <c r="P894" s="265"/>
      <c r="T894" s="265"/>
      <c r="U894" s="265"/>
      <c r="V894" s="265"/>
      <c r="X894" s="1026"/>
      <c r="Y894" s="265"/>
      <c r="Z894" s="265"/>
      <c r="AA894" s="265"/>
      <c r="AE894" s="265"/>
      <c r="AF894" s="265"/>
      <c r="AV894" s="265"/>
      <c r="AW894" s="265"/>
      <c r="AX894" s="265"/>
      <c r="AY894" s="265"/>
      <c r="BE894" s="265"/>
      <c r="BF894" s="1028"/>
      <c r="BJ894" s="265"/>
      <c r="BK894" s="1458"/>
      <c r="BL894" s="1028"/>
      <c r="BP894" s="265"/>
      <c r="BQ894" s="1458"/>
      <c r="BW894" s="11"/>
      <c r="CA894" s="11"/>
      <c r="CK894" s="265"/>
      <c r="CL894" s="265"/>
      <c r="CM894" s="265"/>
      <c r="CO894" s="11"/>
      <c r="CR894" s="1026"/>
      <c r="CS894" s="265"/>
      <c r="CT894" s="265"/>
      <c r="CU894" s="265"/>
    </row>
    <row r="895" spans="10:99" ht="15" customHeight="1">
      <c r="J895" s="265"/>
      <c r="K895" s="1024"/>
      <c r="L895" s="1025"/>
      <c r="M895" s="1026"/>
      <c r="N895" s="1026"/>
      <c r="O895" s="265"/>
      <c r="P895" s="265"/>
      <c r="T895" s="265"/>
      <c r="U895" s="265"/>
      <c r="V895" s="265"/>
      <c r="X895" s="1026"/>
      <c r="Y895" s="265"/>
      <c r="Z895" s="265"/>
      <c r="AA895" s="265"/>
      <c r="AE895" s="265"/>
      <c r="AF895" s="265"/>
      <c r="AV895" s="265"/>
      <c r="AW895" s="265"/>
      <c r="AX895" s="265"/>
      <c r="AY895" s="265"/>
      <c r="BE895" s="265"/>
      <c r="BF895" s="1028"/>
      <c r="BJ895" s="265"/>
      <c r="BK895" s="1458"/>
      <c r="BL895" s="1028"/>
      <c r="BP895" s="265"/>
      <c r="BQ895" s="1458"/>
      <c r="BW895" s="11"/>
      <c r="CA895" s="11"/>
      <c r="CK895" s="265"/>
      <c r="CL895" s="265"/>
      <c r="CM895" s="265"/>
      <c r="CO895" s="11"/>
      <c r="CR895" s="1026"/>
      <c r="CS895" s="265"/>
      <c r="CT895" s="265"/>
      <c r="CU895" s="265"/>
    </row>
    <row r="896" spans="10:99" ht="15" customHeight="1">
      <c r="J896" s="265"/>
      <c r="K896" s="1024"/>
      <c r="L896" s="1025"/>
      <c r="M896" s="1026"/>
      <c r="N896" s="1026"/>
      <c r="O896" s="265"/>
      <c r="P896" s="265"/>
      <c r="T896" s="265"/>
      <c r="U896" s="265"/>
      <c r="V896" s="265"/>
      <c r="X896" s="1026"/>
      <c r="Y896" s="265"/>
      <c r="Z896" s="265"/>
      <c r="AA896" s="265"/>
      <c r="AE896" s="265"/>
      <c r="AF896" s="265"/>
      <c r="AV896" s="265"/>
      <c r="AW896" s="265"/>
      <c r="AX896" s="265"/>
      <c r="AY896" s="265"/>
      <c r="BE896" s="265"/>
      <c r="BF896" s="1028"/>
      <c r="BJ896" s="265"/>
      <c r="BK896" s="1458"/>
      <c r="BL896" s="1028"/>
      <c r="BP896" s="265"/>
      <c r="BQ896" s="1458"/>
      <c r="BW896" s="11"/>
      <c r="CA896" s="11"/>
      <c r="CK896" s="265"/>
      <c r="CL896" s="265"/>
      <c r="CM896" s="265"/>
      <c r="CO896" s="11"/>
      <c r="CR896" s="1026"/>
      <c r="CS896" s="265"/>
      <c r="CT896" s="265"/>
      <c r="CU896" s="265"/>
    </row>
    <row r="897" spans="10:99" ht="15" customHeight="1">
      <c r="J897" s="265"/>
      <c r="K897" s="1024"/>
      <c r="L897" s="1025"/>
      <c r="M897" s="1026"/>
      <c r="N897" s="1026"/>
      <c r="O897" s="265"/>
      <c r="P897" s="265"/>
      <c r="T897" s="265"/>
      <c r="U897" s="265"/>
      <c r="V897" s="265"/>
      <c r="X897" s="1026"/>
      <c r="Y897" s="265"/>
      <c r="Z897" s="265"/>
      <c r="AA897" s="265"/>
      <c r="AE897" s="265"/>
      <c r="AF897" s="265"/>
      <c r="AV897" s="265"/>
      <c r="AW897" s="265"/>
      <c r="AX897" s="265"/>
      <c r="AY897" s="265"/>
      <c r="BE897" s="265"/>
      <c r="BF897" s="1028"/>
      <c r="BJ897" s="265"/>
      <c r="BK897" s="1458"/>
      <c r="BL897" s="1028"/>
      <c r="BP897" s="265"/>
      <c r="BQ897" s="1458"/>
      <c r="BW897" s="11"/>
      <c r="CA897" s="11"/>
      <c r="CK897" s="265"/>
      <c r="CL897" s="265"/>
      <c r="CM897" s="265"/>
      <c r="CO897" s="11"/>
      <c r="CR897" s="1026"/>
      <c r="CS897" s="265"/>
      <c r="CT897" s="265"/>
      <c r="CU897" s="265"/>
    </row>
    <row r="898" spans="10:99" ht="15" customHeight="1">
      <c r="J898" s="265"/>
      <c r="K898" s="1024"/>
      <c r="L898" s="1025"/>
      <c r="M898" s="1026"/>
      <c r="N898" s="1026"/>
      <c r="O898" s="265"/>
      <c r="P898" s="265"/>
      <c r="T898" s="265"/>
      <c r="U898" s="265"/>
      <c r="V898" s="265"/>
      <c r="X898" s="1026"/>
      <c r="Y898" s="265"/>
      <c r="Z898" s="265"/>
      <c r="AA898" s="265"/>
      <c r="AE898" s="265"/>
      <c r="AF898" s="265"/>
      <c r="AV898" s="265"/>
      <c r="AW898" s="265"/>
      <c r="AX898" s="265"/>
      <c r="AY898" s="265"/>
      <c r="BE898" s="265"/>
      <c r="BF898" s="1028"/>
      <c r="BJ898" s="265"/>
      <c r="BK898" s="1458"/>
      <c r="BL898" s="1028"/>
      <c r="BP898" s="265"/>
      <c r="BQ898" s="1458"/>
      <c r="BW898" s="11"/>
      <c r="CA898" s="11"/>
      <c r="CK898" s="265"/>
      <c r="CL898" s="265"/>
      <c r="CM898" s="265"/>
      <c r="CO898" s="11"/>
      <c r="CR898" s="1026"/>
      <c r="CS898" s="265"/>
      <c r="CT898" s="265"/>
      <c r="CU898" s="265"/>
    </row>
    <row r="899" spans="10:99" ht="15" customHeight="1">
      <c r="J899" s="265"/>
      <c r="K899" s="1024"/>
      <c r="L899" s="1025"/>
      <c r="M899" s="1026"/>
      <c r="N899" s="1026"/>
      <c r="O899" s="265"/>
      <c r="P899" s="265"/>
      <c r="T899" s="265"/>
      <c r="U899" s="265"/>
      <c r="V899" s="265"/>
      <c r="X899" s="1026"/>
      <c r="Y899" s="265"/>
      <c r="Z899" s="265"/>
      <c r="AA899" s="265"/>
      <c r="AE899" s="265"/>
      <c r="AF899" s="265"/>
      <c r="AV899" s="265"/>
      <c r="AW899" s="265"/>
      <c r="AX899" s="265"/>
      <c r="AY899" s="265"/>
      <c r="BE899" s="265"/>
      <c r="BF899" s="1028"/>
      <c r="BJ899" s="265"/>
      <c r="BK899" s="1458"/>
      <c r="BL899" s="1028"/>
      <c r="BP899" s="265"/>
      <c r="BQ899" s="1458"/>
      <c r="BW899" s="11"/>
      <c r="CA899" s="11"/>
      <c r="CK899" s="265"/>
      <c r="CL899" s="265"/>
      <c r="CM899" s="265"/>
      <c r="CO899" s="11"/>
      <c r="CR899" s="1026"/>
      <c r="CS899" s="265"/>
      <c r="CT899" s="265"/>
      <c r="CU899" s="265"/>
    </row>
    <row r="900" spans="10:99" ht="15" customHeight="1">
      <c r="J900" s="265"/>
      <c r="K900" s="1024"/>
      <c r="L900" s="1025"/>
      <c r="M900" s="1026"/>
      <c r="N900" s="1026"/>
      <c r="O900" s="265"/>
      <c r="P900" s="265"/>
      <c r="T900" s="265"/>
      <c r="U900" s="265"/>
      <c r="V900" s="265"/>
      <c r="X900" s="1026"/>
      <c r="Y900" s="265"/>
      <c r="Z900" s="265"/>
      <c r="AA900" s="265"/>
      <c r="AE900" s="265"/>
      <c r="AF900" s="265"/>
      <c r="AV900" s="265"/>
      <c r="AW900" s="265"/>
      <c r="AX900" s="265"/>
      <c r="AY900" s="265"/>
      <c r="BE900" s="265"/>
      <c r="BF900" s="1028"/>
      <c r="BJ900" s="265"/>
      <c r="BK900" s="1458"/>
      <c r="BL900" s="1028"/>
      <c r="BP900" s="265"/>
      <c r="BQ900" s="1458"/>
      <c r="BW900" s="11"/>
      <c r="CA900" s="11"/>
      <c r="CK900" s="265"/>
      <c r="CL900" s="265"/>
      <c r="CM900" s="265"/>
      <c r="CO900" s="11"/>
      <c r="CR900" s="1026"/>
      <c r="CS900" s="265"/>
      <c r="CT900" s="265"/>
      <c r="CU900" s="265"/>
    </row>
    <row r="901" spans="10:99" ht="15" customHeight="1">
      <c r="J901" s="265"/>
      <c r="K901" s="1024"/>
      <c r="L901" s="1025"/>
      <c r="M901" s="1026"/>
      <c r="N901" s="1026"/>
      <c r="O901" s="265"/>
      <c r="P901" s="265"/>
      <c r="T901" s="265"/>
      <c r="U901" s="265"/>
      <c r="V901" s="265"/>
      <c r="X901" s="1026"/>
      <c r="Y901" s="265"/>
      <c r="Z901" s="265"/>
      <c r="AA901" s="265"/>
      <c r="AE901" s="265"/>
      <c r="AF901" s="265"/>
      <c r="AV901" s="265"/>
      <c r="AW901" s="265"/>
      <c r="AX901" s="265"/>
      <c r="AY901" s="265"/>
      <c r="BE901" s="265"/>
      <c r="BF901" s="1028"/>
      <c r="BJ901" s="265"/>
      <c r="BK901" s="1458"/>
      <c r="BL901" s="1028"/>
      <c r="BP901" s="265"/>
      <c r="BQ901" s="1458"/>
      <c r="BW901" s="11"/>
      <c r="CA901" s="11"/>
      <c r="CK901" s="265"/>
      <c r="CL901" s="265"/>
      <c r="CM901" s="265"/>
      <c r="CO901" s="11"/>
      <c r="CR901" s="1026"/>
      <c r="CS901" s="265"/>
      <c r="CT901" s="265"/>
      <c r="CU901" s="265"/>
    </row>
    <row r="902" spans="10:99" ht="15" customHeight="1">
      <c r="J902" s="265"/>
      <c r="K902" s="1024"/>
      <c r="L902" s="1025"/>
      <c r="M902" s="1026"/>
      <c r="N902" s="1026"/>
      <c r="O902" s="265"/>
      <c r="P902" s="265"/>
      <c r="T902" s="265"/>
      <c r="U902" s="265"/>
      <c r="V902" s="265"/>
      <c r="X902" s="1026"/>
      <c r="Y902" s="265"/>
      <c r="Z902" s="265"/>
      <c r="AA902" s="265"/>
      <c r="AE902" s="265"/>
      <c r="AF902" s="265"/>
      <c r="AV902" s="265"/>
      <c r="AW902" s="265"/>
      <c r="AX902" s="265"/>
      <c r="AY902" s="265"/>
      <c r="BE902" s="265"/>
      <c r="BF902" s="1028"/>
      <c r="BJ902" s="265"/>
      <c r="BK902" s="1458"/>
      <c r="BL902" s="1028"/>
      <c r="BP902" s="265"/>
      <c r="BQ902" s="1458"/>
      <c r="BW902" s="11"/>
      <c r="CA902" s="11"/>
      <c r="CK902" s="265"/>
      <c r="CL902" s="265"/>
      <c r="CM902" s="265"/>
      <c r="CO902" s="11"/>
      <c r="CR902" s="1026"/>
      <c r="CS902" s="265"/>
      <c r="CT902" s="265"/>
      <c r="CU902" s="265"/>
    </row>
    <row r="903" spans="10:99" ht="15" customHeight="1">
      <c r="J903" s="265"/>
      <c r="K903" s="1024"/>
      <c r="L903" s="1025"/>
      <c r="M903" s="1026"/>
      <c r="N903" s="1026"/>
      <c r="O903" s="265"/>
      <c r="P903" s="265"/>
      <c r="T903" s="265"/>
      <c r="U903" s="265"/>
      <c r="V903" s="265"/>
      <c r="X903" s="1026"/>
      <c r="Y903" s="265"/>
      <c r="Z903" s="265"/>
      <c r="AA903" s="265"/>
      <c r="AE903" s="265"/>
      <c r="AF903" s="265"/>
      <c r="AV903" s="265"/>
      <c r="AW903" s="265"/>
      <c r="AX903" s="265"/>
      <c r="AY903" s="265"/>
      <c r="BE903" s="265"/>
      <c r="BF903" s="1028"/>
      <c r="BJ903" s="265"/>
      <c r="BK903" s="1458"/>
      <c r="BL903" s="1028"/>
      <c r="BP903" s="265"/>
      <c r="BQ903" s="1458"/>
      <c r="BW903" s="11"/>
      <c r="CA903" s="11"/>
      <c r="CK903" s="265"/>
      <c r="CL903" s="265"/>
      <c r="CM903" s="265"/>
      <c r="CO903" s="11"/>
      <c r="CR903" s="1026"/>
      <c r="CS903" s="265"/>
      <c r="CT903" s="265"/>
      <c r="CU903" s="265"/>
    </row>
    <row r="904" spans="10:99" ht="15" customHeight="1">
      <c r="J904" s="265"/>
      <c r="K904" s="1024"/>
      <c r="L904" s="1025"/>
      <c r="M904" s="1026"/>
      <c r="N904" s="1026"/>
      <c r="O904" s="265"/>
      <c r="P904" s="265"/>
      <c r="T904" s="265"/>
      <c r="U904" s="265"/>
      <c r="V904" s="265"/>
      <c r="X904" s="1026"/>
      <c r="Y904" s="265"/>
      <c r="Z904" s="265"/>
      <c r="AA904" s="265"/>
      <c r="AE904" s="265"/>
      <c r="AF904" s="265"/>
      <c r="AV904" s="265"/>
      <c r="AW904" s="265"/>
      <c r="AX904" s="265"/>
      <c r="AY904" s="265"/>
      <c r="BE904" s="265"/>
      <c r="BF904" s="1028"/>
      <c r="BJ904" s="265"/>
      <c r="BK904" s="1458"/>
      <c r="BL904" s="1028"/>
      <c r="BP904" s="265"/>
      <c r="BQ904" s="1458"/>
      <c r="BW904" s="11"/>
      <c r="CA904" s="11"/>
      <c r="CK904" s="265"/>
      <c r="CL904" s="265"/>
      <c r="CM904" s="265"/>
      <c r="CO904" s="11"/>
      <c r="CR904" s="1026"/>
      <c r="CS904" s="265"/>
      <c r="CT904" s="265"/>
      <c r="CU904" s="265"/>
    </row>
    <row r="905" spans="10:99" ht="15" customHeight="1">
      <c r="J905" s="265"/>
      <c r="K905" s="1024"/>
      <c r="L905" s="1025"/>
      <c r="M905" s="1026"/>
      <c r="N905" s="1026"/>
      <c r="O905" s="265"/>
      <c r="P905" s="265"/>
      <c r="T905" s="265"/>
      <c r="U905" s="265"/>
      <c r="V905" s="265"/>
      <c r="X905" s="1026"/>
      <c r="Y905" s="265"/>
      <c r="Z905" s="265"/>
      <c r="AA905" s="265"/>
      <c r="AE905" s="265"/>
      <c r="AF905" s="265"/>
      <c r="AV905" s="265"/>
      <c r="AW905" s="265"/>
      <c r="AX905" s="265"/>
      <c r="AY905" s="265"/>
      <c r="BE905" s="265"/>
      <c r="BF905" s="1028"/>
      <c r="BJ905" s="265"/>
      <c r="BK905" s="1458"/>
      <c r="BL905" s="1028"/>
      <c r="BP905" s="265"/>
      <c r="BQ905" s="1458"/>
      <c r="BW905" s="11"/>
      <c r="CA905" s="11"/>
      <c r="CK905" s="265"/>
      <c r="CL905" s="265"/>
      <c r="CM905" s="265"/>
      <c r="CO905" s="11"/>
      <c r="CR905" s="1026"/>
      <c r="CS905" s="265"/>
      <c r="CT905" s="265"/>
      <c r="CU905" s="265"/>
    </row>
    <row r="906" spans="10:99" ht="15" customHeight="1">
      <c r="J906" s="265"/>
      <c r="K906" s="1024"/>
      <c r="L906" s="1025"/>
      <c r="M906" s="1026"/>
      <c r="N906" s="1026"/>
      <c r="O906" s="265"/>
      <c r="P906" s="265"/>
      <c r="T906" s="265"/>
      <c r="U906" s="265"/>
      <c r="V906" s="265"/>
      <c r="X906" s="1026"/>
      <c r="Y906" s="265"/>
      <c r="Z906" s="265"/>
      <c r="AA906" s="265"/>
      <c r="AE906" s="265"/>
      <c r="AF906" s="265"/>
      <c r="AV906" s="265"/>
      <c r="AW906" s="265"/>
      <c r="AX906" s="265"/>
      <c r="AY906" s="265"/>
      <c r="BE906" s="265"/>
      <c r="BF906" s="1028"/>
      <c r="BJ906" s="265"/>
      <c r="BK906" s="1458"/>
      <c r="BL906" s="1028"/>
      <c r="BP906" s="265"/>
      <c r="BQ906" s="1458"/>
      <c r="BW906" s="11"/>
      <c r="CA906" s="11"/>
      <c r="CK906" s="265"/>
      <c r="CL906" s="265"/>
      <c r="CM906" s="265"/>
      <c r="CO906" s="11"/>
      <c r="CR906" s="1026"/>
      <c r="CS906" s="265"/>
      <c r="CT906" s="265"/>
      <c r="CU906" s="265"/>
    </row>
    <row r="907" spans="10:99" ht="15" customHeight="1">
      <c r="J907" s="265"/>
      <c r="K907" s="1024"/>
      <c r="L907" s="1025"/>
      <c r="M907" s="1026"/>
      <c r="N907" s="1026"/>
      <c r="O907" s="265"/>
      <c r="P907" s="265"/>
      <c r="T907" s="265"/>
      <c r="U907" s="265"/>
      <c r="V907" s="265"/>
      <c r="X907" s="1026"/>
      <c r="Y907" s="265"/>
      <c r="Z907" s="265"/>
      <c r="AA907" s="265"/>
      <c r="AE907" s="265"/>
      <c r="AF907" s="265"/>
      <c r="AV907" s="265"/>
      <c r="AW907" s="265"/>
      <c r="AX907" s="265"/>
      <c r="AY907" s="265"/>
      <c r="BE907" s="265"/>
      <c r="BF907" s="1028"/>
      <c r="BJ907" s="265"/>
      <c r="BK907" s="1458"/>
      <c r="BL907" s="1028"/>
      <c r="BP907" s="265"/>
      <c r="BQ907" s="1458"/>
      <c r="BW907" s="11"/>
      <c r="CA907" s="11"/>
      <c r="CK907" s="265"/>
      <c r="CL907" s="265"/>
      <c r="CM907" s="265"/>
      <c r="CO907" s="11"/>
      <c r="CR907" s="1026"/>
      <c r="CS907" s="265"/>
      <c r="CT907" s="265"/>
      <c r="CU907" s="265"/>
    </row>
    <row r="908" spans="10:99" ht="15" customHeight="1">
      <c r="J908" s="265"/>
      <c r="K908" s="1024"/>
      <c r="L908" s="1025"/>
      <c r="M908" s="1026"/>
      <c r="N908" s="1026"/>
      <c r="O908" s="265"/>
      <c r="P908" s="265"/>
      <c r="T908" s="265"/>
      <c r="U908" s="265"/>
      <c r="V908" s="265"/>
      <c r="X908" s="1026"/>
      <c r="Y908" s="265"/>
      <c r="Z908" s="265"/>
      <c r="AA908" s="265"/>
      <c r="AE908" s="265"/>
      <c r="AF908" s="265"/>
      <c r="AV908" s="265"/>
      <c r="AW908" s="265"/>
      <c r="AX908" s="265"/>
      <c r="AY908" s="265"/>
      <c r="BE908" s="265"/>
      <c r="BF908" s="1028"/>
      <c r="BJ908" s="265"/>
      <c r="BK908" s="1458"/>
      <c r="BL908" s="1028"/>
      <c r="BP908" s="265"/>
      <c r="BQ908" s="1458"/>
      <c r="BW908" s="11"/>
      <c r="CA908" s="11"/>
      <c r="CK908" s="265"/>
      <c r="CL908" s="265"/>
      <c r="CM908" s="265"/>
      <c r="CO908" s="11"/>
      <c r="CR908" s="1026"/>
      <c r="CS908" s="265"/>
      <c r="CT908" s="265"/>
      <c r="CU908" s="265"/>
    </row>
    <row r="909" spans="10:99" ht="15" customHeight="1">
      <c r="J909" s="265"/>
      <c r="K909" s="1024"/>
      <c r="L909" s="1025"/>
      <c r="M909" s="1026"/>
      <c r="N909" s="1026"/>
      <c r="O909" s="265"/>
      <c r="P909" s="265"/>
      <c r="T909" s="265"/>
      <c r="U909" s="265"/>
      <c r="V909" s="265"/>
      <c r="X909" s="1026"/>
      <c r="Y909" s="265"/>
      <c r="Z909" s="265"/>
      <c r="AA909" s="265"/>
      <c r="AE909" s="265"/>
      <c r="AF909" s="265"/>
      <c r="AV909" s="265"/>
      <c r="AW909" s="265"/>
      <c r="AX909" s="265"/>
      <c r="AY909" s="265"/>
      <c r="BE909" s="265"/>
      <c r="BF909" s="1028"/>
      <c r="BJ909" s="265"/>
      <c r="BK909" s="1458"/>
      <c r="BL909" s="1028"/>
      <c r="BP909" s="265"/>
      <c r="BQ909" s="1458"/>
      <c r="BW909" s="11"/>
      <c r="CA909" s="11"/>
      <c r="CK909" s="265"/>
      <c r="CL909" s="265"/>
      <c r="CM909" s="265"/>
      <c r="CO909" s="11"/>
      <c r="CR909" s="1026"/>
      <c r="CS909" s="265"/>
      <c r="CT909" s="265"/>
      <c r="CU909" s="265"/>
    </row>
    <row r="910" spans="10:99" ht="15" customHeight="1">
      <c r="J910" s="265"/>
      <c r="K910" s="1024"/>
      <c r="L910" s="1025"/>
      <c r="M910" s="1026"/>
      <c r="N910" s="1026"/>
      <c r="O910" s="265"/>
      <c r="P910" s="265"/>
      <c r="T910" s="265"/>
      <c r="U910" s="265"/>
      <c r="V910" s="265"/>
      <c r="X910" s="1026"/>
      <c r="Y910" s="265"/>
      <c r="Z910" s="265"/>
      <c r="AA910" s="265"/>
      <c r="AE910" s="265"/>
      <c r="AF910" s="265"/>
      <c r="AV910" s="265"/>
      <c r="AW910" s="265"/>
      <c r="AX910" s="265"/>
      <c r="AY910" s="265"/>
      <c r="BE910" s="265"/>
      <c r="BF910" s="1028"/>
      <c r="BJ910" s="265"/>
      <c r="BK910" s="1458"/>
      <c r="BL910" s="1028"/>
      <c r="BP910" s="265"/>
      <c r="BQ910" s="1458"/>
      <c r="BW910" s="11"/>
      <c r="CA910" s="11"/>
      <c r="CK910" s="265"/>
      <c r="CL910" s="265"/>
      <c r="CM910" s="265"/>
      <c r="CO910" s="11"/>
      <c r="CR910" s="1026"/>
      <c r="CS910" s="265"/>
      <c r="CT910" s="265"/>
      <c r="CU910" s="265"/>
    </row>
    <row r="911" spans="10:99" ht="15" customHeight="1">
      <c r="J911" s="265"/>
      <c r="K911" s="1024"/>
      <c r="L911" s="1025"/>
      <c r="M911" s="1026"/>
      <c r="N911" s="1026"/>
      <c r="O911" s="265"/>
      <c r="P911" s="265"/>
      <c r="T911" s="265"/>
      <c r="U911" s="265"/>
      <c r="V911" s="265"/>
      <c r="X911" s="1026"/>
      <c r="Y911" s="265"/>
      <c r="Z911" s="265"/>
      <c r="AA911" s="265"/>
      <c r="AE911" s="265"/>
      <c r="AF911" s="265"/>
      <c r="AV911" s="265"/>
      <c r="AW911" s="265"/>
      <c r="AX911" s="265"/>
      <c r="AY911" s="265"/>
      <c r="BE911" s="265"/>
      <c r="BF911" s="1028"/>
      <c r="BJ911" s="265"/>
      <c r="BK911" s="1458"/>
      <c r="BL911" s="1028"/>
      <c r="BP911" s="265"/>
      <c r="BQ911" s="1458"/>
      <c r="BW911" s="11"/>
      <c r="CA911" s="11"/>
      <c r="CK911" s="265"/>
      <c r="CL911" s="265"/>
      <c r="CM911" s="265"/>
      <c r="CO911" s="11"/>
      <c r="CR911" s="1026"/>
      <c r="CS911" s="265"/>
      <c r="CT911" s="265"/>
      <c r="CU911" s="265"/>
    </row>
    <row r="912" spans="10:99" ht="15" customHeight="1">
      <c r="J912" s="265"/>
      <c r="K912" s="1024"/>
      <c r="L912" s="1025"/>
      <c r="M912" s="1026"/>
      <c r="N912" s="1026"/>
      <c r="O912" s="265"/>
      <c r="P912" s="265"/>
      <c r="T912" s="265"/>
      <c r="U912" s="265"/>
      <c r="V912" s="265"/>
      <c r="X912" s="1026"/>
      <c r="Y912" s="265"/>
      <c r="Z912" s="265"/>
      <c r="AA912" s="265"/>
      <c r="AE912" s="265"/>
      <c r="AF912" s="265"/>
      <c r="AV912" s="265"/>
      <c r="AW912" s="265"/>
      <c r="AX912" s="265"/>
      <c r="AY912" s="265"/>
      <c r="BE912" s="265"/>
      <c r="BF912" s="1028"/>
      <c r="BJ912" s="265"/>
      <c r="BK912" s="1458"/>
      <c r="BL912" s="1028"/>
      <c r="BP912" s="265"/>
      <c r="BQ912" s="1458"/>
      <c r="BW912" s="11"/>
      <c r="CA912" s="11"/>
      <c r="CK912" s="265"/>
      <c r="CL912" s="265"/>
      <c r="CM912" s="265"/>
      <c r="CO912" s="11"/>
      <c r="CR912" s="1026"/>
      <c r="CS912" s="265"/>
      <c r="CT912" s="265"/>
      <c r="CU912" s="265"/>
    </row>
    <row r="913" spans="10:99" ht="15" customHeight="1">
      <c r="J913" s="265"/>
      <c r="K913" s="1024"/>
      <c r="L913" s="1025"/>
      <c r="M913" s="1026"/>
      <c r="N913" s="1026"/>
      <c r="O913" s="265"/>
      <c r="P913" s="265"/>
      <c r="T913" s="265"/>
      <c r="U913" s="265"/>
      <c r="V913" s="265"/>
      <c r="X913" s="1026"/>
      <c r="Y913" s="265"/>
      <c r="Z913" s="265"/>
      <c r="AA913" s="265"/>
      <c r="AE913" s="265"/>
      <c r="AF913" s="265"/>
      <c r="AV913" s="265"/>
      <c r="AW913" s="265"/>
      <c r="AX913" s="265"/>
      <c r="AY913" s="265"/>
      <c r="BE913" s="265"/>
      <c r="BF913" s="1028"/>
      <c r="BJ913" s="265"/>
      <c r="BK913" s="1458"/>
      <c r="BL913" s="1028"/>
      <c r="BP913" s="265"/>
      <c r="BQ913" s="1458"/>
      <c r="BW913" s="11"/>
      <c r="CA913" s="11"/>
      <c r="CK913" s="265"/>
      <c r="CL913" s="265"/>
      <c r="CM913" s="265"/>
      <c r="CO913" s="11"/>
      <c r="CR913" s="1026"/>
      <c r="CS913" s="265"/>
      <c r="CT913" s="265"/>
      <c r="CU913" s="265"/>
    </row>
    <row r="914" spans="10:99" ht="15" customHeight="1">
      <c r="J914" s="265"/>
      <c r="K914" s="1024"/>
      <c r="L914" s="1025"/>
      <c r="M914" s="1026"/>
      <c r="N914" s="1026"/>
      <c r="O914" s="265"/>
      <c r="P914" s="265"/>
      <c r="T914" s="265"/>
      <c r="U914" s="265"/>
      <c r="V914" s="265"/>
      <c r="X914" s="1026"/>
      <c r="Y914" s="265"/>
      <c r="Z914" s="265"/>
      <c r="AA914" s="265"/>
      <c r="AE914" s="265"/>
      <c r="AF914" s="265"/>
      <c r="AV914" s="265"/>
      <c r="AW914" s="265"/>
      <c r="AX914" s="265"/>
      <c r="AY914" s="265"/>
      <c r="BE914" s="265"/>
      <c r="BF914" s="1028"/>
      <c r="BJ914" s="265"/>
      <c r="BK914" s="1458"/>
      <c r="BL914" s="1028"/>
      <c r="BP914" s="265"/>
      <c r="BQ914" s="1458"/>
      <c r="BW914" s="11"/>
      <c r="CA914" s="11"/>
      <c r="CK914" s="265"/>
      <c r="CL914" s="265"/>
      <c r="CM914" s="265"/>
      <c r="CO914" s="11"/>
      <c r="CR914" s="1026"/>
      <c r="CS914" s="265"/>
      <c r="CT914" s="265"/>
      <c r="CU914" s="265"/>
    </row>
    <row r="915" spans="10:99" ht="15" customHeight="1">
      <c r="J915" s="265"/>
      <c r="K915" s="1024"/>
      <c r="L915" s="1025"/>
      <c r="M915" s="1026"/>
      <c r="N915" s="1026"/>
      <c r="O915" s="265"/>
      <c r="P915" s="265"/>
      <c r="T915" s="265"/>
      <c r="U915" s="265"/>
      <c r="V915" s="265"/>
      <c r="X915" s="1026"/>
      <c r="Y915" s="265"/>
      <c r="Z915" s="265"/>
      <c r="AA915" s="265"/>
      <c r="AE915" s="265"/>
      <c r="AF915" s="265"/>
      <c r="AV915" s="265"/>
      <c r="AW915" s="265"/>
      <c r="AX915" s="265"/>
      <c r="AY915" s="265"/>
      <c r="BE915" s="265"/>
      <c r="BF915" s="1028"/>
      <c r="BJ915" s="265"/>
      <c r="BK915" s="1458"/>
      <c r="BL915" s="1028"/>
      <c r="BP915" s="265"/>
      <c r="BQ915" s="1458"/>
      <c r="BW915" s="11"/>
      <c r="CA915" s="11"/>
      <c r="CK915" s="265"/>
      <c r="CL915" s="265"/>
      <c r="CM915" s="265"/>
      <c r="CO915" s="11"/>
      <c r="CR915" s="1026"/>
      <c r="CS915" s="265"/>
      <c r="CT915" s="265"/>
      <c r="CU915" s="265"/>
    </row>
    <row r="916" spans="10:99" ht="15" customHeight="1">
      <c r="J916" s="265"/>
      <c r="K916" s="1024"/>
      <c r="L916" s="1025"/>
      <c r="M916" s="1026"/>
      <c r="N916" s="1026"/>
      <c r="O916" s="265"/>
      <c r="P916" s="265"/>
      <c r="T916" s="265"/>
      <c r="U916" s="265"/>
      <c r="V916" s="265"/>
      <c r="X916" s="1026"/>
      <c r="Y916" s="265"/>
      <c r="Z916" s="265"/>
      <c r="AA916" s="265"/>
      <c r="AE916" s="265"/>
      <c r="AF916" s="265"/>
      <c r="AV916" s="265"/>
      <c r="AW916" s="265"/>
      <c r="AX916" s="265"/>
      <c r="AY916" s="265"/>
      <c r="BE916" s="265"/>
      <c r="BF916" s="1028"/>
      <c r="BJ916" s="265"/>
      <c r="BK916" s="1458"/>
      <c r="BL916" s="1028"/>
      <c r="BP916" s="265"/>
      <c r="BQ916" s="1458"/>
      <c r="BW916" s="11"/>
      <c r="CA916" s="11"/>
      <c r="CK916" s="265"/>
      <c r="CL916" s="265"/>
      <c r="CM916" s="265"/>
      <c r="CO916" s="11"/>
      <c r="CR916" s="1026"/>
      <c r="CS916" s="265"/>
      <c r="CT916" s="265"/>
      <c r="CU916" s="265"/>
    </row>
    <row r="917" spans="10:99" ht="15" customHeight="1">
      <c r="J917" s="265"/>
      <c r="K917" s="1024"/>
      <c r="L917" s="1025"/>
      <c r="M917" s="1026"/>
      <c r="N917" s="1026"/>
      <c r="O917" s="265"/>
      <c r="P917" s="265"/>
      <c r="T917" s="265"/>
      <c r="U917" s="265"/>
      <c r="V917" s="265"/>
      <c r="X917" s="1026"/>
      <c r="Y917" s="265"/>
      <c r="Z917" s="265"/>
      <c r="AA917" s="265"/>
      <c r="AE917" s="265"/>
      <c r="AF917" s="265"/>
      <c r="AV917" s="265"/>
      <c r="AW917" s="265"/>
      <c r="AX917" s="265"/>
      <c r="AY917" s="265"/>
      <c r="BE917" s="265"/>
      <c r="BF917" s="1028"/>
      <c r="BJ917" s="265"/>
      <c r="BK917" s="1458"/>
      <c r="BL917" s="1028"/>
      <c r="BP917" s="265"/>
      <c r="BQ917" s="1458"/>
      <c r="BW917" s="11"/>
      <c r="CA917" s="11"/>
      <c r="CK917" s="265"/>
      <c r="CL917" s="265"/>
      <c r="CM917" s="265"/>
      <c r="CO917" s="11"/>
      <c r="CR917" s="1026"/>
      <c r="CS917" s="265"/>
      <c r="CT917" s="265"/>
      <c r="CU917" s="265"/>
    </row>
    <row r="918" spans="10:99" ht="15" customHeight="1">
      <c r="J918" s="265"/>
      <c r="K918" s="1024"/>
      <c r="L918" s="1025"/>
      <c r="M918" s="1026"/>
      <c r="N918" s="1026"/>
      <c r="O918" s="265"/>
      <c r="P918" s="265"/>
      <c r="T918" s="265"/>
      <c r="U918" s="265"/>
      <c r="V918" s="265"/>
      <c r="X918" s="1026"/>
      <c r="Y918" s="265"/>
      <c r="Z918" s="265"/>
      <c r="AA918" s="265"/>
      <c r="AE918" s="265"/>
      <c r="AF918" s="265"/>
      <c r="AV918" s="265"/>
      <c r="AW918" s="265"/>
      <c r="AX918" s="265"/>
      <c r="AY918" s="265"/>
      <c r="BE918" s="265"/>
      <c r="BF918" s="1028"/>
      <c r="BJ918" s="265"/>
      <c r="BK918" s="1458"/>
      <c r="BL918" s="1028"/>
      <c r="BP918" s="265"/>
      <c r="BQ918" s="1458"/>
      <c r="BW918" s="11"/>
      <c r="CA918" s="11"/>
      <c r="CK918" s="265"/>
      <c r="CL918" s="265"/>
      <c r="CM918" s="265"/>
      <c r="CO918" s="11"/>
      <c r="CR918" s="1026"/>
      <c r="CS918" s="265"/>
      <c r="CT918" s="265"/>
      <c r="CU918" s="265"/>
    </row>
    <row r="919" spans="10:99" ht="15" customHeight="1">
      <c r="J919" s="265"/>
      <c r="K919" s="1024"/>
      <c r="L919" s="1025"/>
      <c r="M919" s="1026"/>
      <c r="N919" s="1026"/>
      <c r="O919" s="265"/>
      <c r="P919" s="265"/>
      <c r="T919" s="265"/>
      <c r="U919" s="265"/>
      <c r="V919" s="265"/>
      <c r="X919" s="1026"/>
      <c r="Y919" s="265"/>
      <c r="Z919" s="265"/>
      <c r="AA919" s="265"/>
      <c r="AE919" s="265"/>
      <c r="AF919" s="265"/>
      <c r="AV919" s="265"/>
      <c r="AW919" s="265"/>
      <c r="AX919" s="265"/>
      <c r="AY919" s="265"/>
      <c r="BE919" s="265"/>
      <c r="BF919" s="1028"/>
      <c r="BJ919" s="265"/>
      <c r="BK919" s="1458"/>
      <c r="BL919" s="1028"/>
      <c r="BP919" s="265"/>
      <c r="BQ919" s="1458"/>
      <c r="BW919" s="11"/>
      <c r="CA919" s="11"/>
      <c r="CK919" s="265"/>
      <c r="CL919" s="265"/>
      <c r="CM919" s="265"/>
      <c r="CO919" s="11"/>
      <c r="CR919" s="1026"/>
      <c r="CS919" s="265"/>
      <c r="CT919" s="265"/>
      <c r="CU919" s="265"/>
    </row>
    <row r="920" spans="10:99" ht="15" customHeight="1">
      <c r="J920" s="265"/>
      <c r="K920" s="1024"/>
      <c r="L920" s="1025"/>
      <c r="M920" s="1026"/>
      <c r="N920" s="1026"/>
      <c r="O920" s="265"/>
      <c r="P920" s="265"/>
      <c r="T920" s="265"/>
      <c r="U920" s="265"/>
      <c r="V920" s="265"/>
      <c r="X920" s="1026"/>
      <c r="Y920" s="265"/>
      <c r="Z920" s="265"/>
      <c r="AA920" s="265"/>
      <c r="AE920" s="265"/>
      <c r="AF920" s="265"/>
      <c r="AV920" s="265"/>
      <c r="AW920" s="265"/>
      <c r="AX920" s="265"/>
      <c r="AY920" s="265"/>
      <c r="BE920" s="265"/>
      <c r="BF920" s="1028"/>
      <c r="BJ920" s="265"/>
      <c r="BK920" s="1458"/>
      <c r="BL920" s="1028"/>
      <c r="BP920" s="265"/>
      <c r="BQ920" s="1458"/>
      <c r="BW920" s="11"/>
      <c r="CA920" s="11"/>
      <c r="CK920" s="265"/>
      <c r="CL920" s="265"/>
      <c r="CM920" s="265"/>
      <c r="CO920" s="11"/>
      <c r="CR920" s="1026"/>
      <c r="CS920" s="265"/>
      <c r="CT920" s="265"/>
      <c r="CU920" s="265"/>
    </row>
    <row r="921" spans="10:99" ht="15" customHeight="1">
      <c r="J921" s="265"/>
      <c r="K921" s="1024"/>
      <c r="L921" s="1025"/>
      <c r="M921" s="1026"/>
      <c r="N921" s="1026"/>
      <c r="O921" s="265"/>
      <c r="P921" s="265"/>
      <c r="T921" s="265"/>
      <c r="U921" s="265"/>
      <c r="V921" s="265"/>
      <c r="X921" s="1026"/>
      <c r="Y921" s="265"/>
      <c r="Z921" s="265"/>
      <c r="AA921" s="265"/>
      <c r="AE921" s="265"/>
      <c r="AF921" s="265"/>
      <c r="AV921" s="265"/>
      <c r="AW921" s="265"/>
      <c r="AX921" s="265"/>
      <c r="AY921" s="265"/>
      <c r="BE921" s="265"/>
      <c r="BF921" s="1028"/>
      <c r="BJ921" s="265"/>
      <c r="BK921" s="1458"/>
      <c r="BL921" s="1028"/>
      <c r="BP921" s="265"/>
      <c r="BQ921" s="1458"/>
      <c r="BW921" s="11"/>
      <c r="CA921" s="11"/>
      <c r="CK921" s="265"/>
      <c r="CL921" s="265"/>
      <c r="CM921" s="265"/>
      <c r="CO921" s="11"/>
      <c r="CR921" s="1026"/>
      <c r="CS921" s="265"/>
      <c r="CT921" s="265"/>
      <c r="CU921" s="265"/>
    </row>
    <row r="922" spans="10:99" ht="15" customHeight="1">
      <c r="J922" s="265"/>
      <c r="K922" s="1024"/>
      <c r="L922" s="1025"/>
      <c r="M922" s="1026"/>
      <c r="N922" s="1026"/>
      <c r="O922" s="265"/>
      <c r="P922" s="265"/>
      <c r="T922" s="265"/>
      <c r="U922" s="265"/>
      <c r="V922" s="265"/>
      <c r="X922" s="1026"/>
      <c r="Y922" s="265"/>
      <c r="Z922" s="265"/>
      <c r="AA922" s="265"/>
      <c r="AE922" s="265"/>
      <c r="AF922" s="265"/>
      <c r="AV922" s="265"/>
      <c r="AW922" s="265"/>
      <c r="AX922" s="265"/>
      <c r="AY922" s="265"/>
      <c r="BE922" s="265"/>
      <c r="BF922" s="1028"/>
      <c r="BJ922" s="265"/>
      <c r="BK922" s="1458"/>
      <c r="BL922" s="1028"/>
      <c r="BP922" s="265"/>
      <c r="BQ922" s="1458"/>
      <c r="BW922" s="11"/>
      <c r="CA922" s="11"/>
      <c r="CK922" s="265"/>
      <c r="CL922" s="265"/>
      <c r="CM922" s="265"/>
      <c r="CO922" s="11"/>
      <c r="CR922" s="1026"/>
      <c r="CS922" s="265"/>
      <c r="CT922" s="265"/>
      <c r="CU922" s="265"/>
    </row>
    <row r="923" spans="10:99" ht="15" customHeight="1">
      <c r="J923" s="265"/>
      <c r="K923" s="1024"/>
      <c r="L923" s="1025"/>
      <c r="M923" s="1026"/>
      <c r="N923" s="1026"/>
      <c r="O923" s="265"/>
      <c r="P923" s="265"/>
      <c r="T923" s="265"/>
      <c r="U923" s="265"/>
      <c r="V923" s="265"/>
      <c r="X923" s="1026"/>
      <c r="Y923" s="265"/>
      <c r="Z923" s="265"/>
      <c r="AA923" s="265"/>
      <c r="AE923" s="265"/>
      <c r="AF923" s="265"/>
      <c r="AV923" s="265"/>
      <c r="AW923" s="265"/>
      <c r="AX923" s="265"/>
      <c r="AY923" s="265"/>
      <c r="BE923" s="265"/>
      <c r="BF923" s="1028"/>
      <c r="BJ923" s="265"/>
      <c r="BK923" s="1458"/>
      <c r="BL923" s="1028"/>
      <c r="BP923" s="265"/>
      <c r="BQ923" s="1458"/>
      <c r="BW923" s="11"/>
      <c r="CA923" s="11"/>
      <c r="CK923" s="265"/>
      <c r="CL923" s="265"/>
      <c r="CM923" s="265"/>
      <c r="CO923" s="11"/>
      <c r="CR923" s="1026"/>
      <c r="CS923" s="265"/>
      <c r="CT923" s="265"/>
      <c r="CU923" s="265"/>
    </row>
    <row r="924" spans="10:99" ht="15" customHeight="1">
      <c r="J924" s="265"/>
      <c r="K924" s="1024"/>
      <c r="L924" s="1025"/>
      <c r="M924" s="1026"/>
      <c r="N924" s="1026"/>
      <c r="O924" s="265"/>
      <c r="P924" s="265"/>
      <c r="T924" s="265"/>
      <c r="U924" s="265"/>
      <c r="V924" s="265"/>
      <c r="X924" s="1026"/>
      <c r="Y924" s="265"/>
      <c r="Z924" s="265"/>
      <c r="AA924" s="265"/>
      <c r="AE924" s="265"/>
      <c r="AF924" s="265"/>
      <c r="AV924" s="265"/>
      <c r="AW924" s="265"/>
      <c r="AX924" s="265"/>
      <c r="AY924" s="265"/>
      <c r="BE924" s="265"/>
      <c r="BF924" s="1028"/>
      <c r="BJ924" s="265"/>
      <c r="BK924" s="1458"/>
      <c r="BL924" s="1028"/>
      <c r="BP924" s="265"/>
      <c r="BQ924" s="1458"/>
      <c r="BW924" s="11"/>
      <c r="CA924" s="11"/>
      <c r="CK924" s="265"/>
      <c r="CL924" s="265"/>
      <c r="CM924" s="265"/>
      <c r="CO924" s="11"/>
      <c r="CR924" s="1026"/>
      <c r="CS924" s="265"/>
      <c r="CT924" s="265"/>
      <c r="CU924" s="265"/>
    </row>
    <row r="925" spans="10:99" ht="15" customHeight="1">
      <c r="J925" s="265"/>
      <c r="K925" s="1024"/>
      <c r="L925" s="1025"/>
      <c r="M925" s="1026"/>
      <c r="N925" s="1026"/>
      <c r="O925" s="265"/>
      <c r="P925" s="265"/>
      <c r="T925" s="265"/>
      <c r="U925" s="265"/>
      <c r="V925" s="265"/>
      <c r="X925" s="1026"/>
      <c r="Y925" s="265"/>
      <c r="Z925" s="265"/>
      <c r="AA925" s="265"/>
      <c r="AE925" s="265"/>
      <c r="AF925" s="265"/>
      <c r="AV925" s="265"/>
      <c r="AW925" s="265"/>
      <c r="AX925" s="265"/>
      <c r="AY925" s="265"/>
      <c r="BE925" s="265"/>
      <c r="BF925" s="1028"/>
      <c r="BJ925" s="265"/>
      <c r="BK925" s="1458"/>
      <c r="BL925" s="1028"/>
      <c r="BP925" s="265"/>
      <c r="BQ925" s="1458"/>
      <c r="BW925" s="11"/>
      <c r="CA925" s="11"/>
      <c r="CK925" s="265"/>
      <c r="CL925" s="265"/>
      <c r="CM925" s="265"/>
      <c r="CO925" s="11"/>
      <c r="CR925" s="1026"/>
      <c r="CS925" s="265"/>
      <c r="CT925" s="265"/>
      <c r="CU925" s="265"/>
    </row>
    <row r="926" spans="10:99" ht="15" customHeight="1">
      <c r="J926" s="265"/>
      <c r="K926" s="1024"/>
      <c r="L926" s="1025"/>
      <c r="M926" s="1026"/>
      <c r="N926" s="1026"/>
      <c r="O926" s="265"/>
      <c r="P926" s="265"/>
      <c r="T926" s="265"/>
      <c r="U926" s="265"/>
      <c r="V926" s="265"/>
      <c r="X926" s="1026"/>
      <c r="Y926" s="265"/>
      <c r="Z926" s="265"/>
      <c r="AA926" s="265"/>
      <c r="AE926" s="265"/>
      <c r="AF926" s="265"/>
      <c r="AV926" s="265"/>
      <c r="AW926" s="265"/>
      <c r="AX926" s="265"/>
      <c r="AY926" s="265"/>
      <c r="BE926" s="265"/>
      <c r="BF926" s="1028"/>
      <c r="BJ926" s="265"/>
      <c r="BK926" s="1458"/>
      <c r="BL926" s="1028"/>
      <c r="BP926" s="265"/>
      <c r="BQ926" s="1458"/>
      <c r="BW926" s="11"/>
      <c r="CA926" s="11"/>
      <c r="CK926" s="265"/>
      <c r="CL926" s="265"/>
      <c r="CM926" s="265"/>
      <c r="CO926" s="11"/>
      <c r="CR926" s="1026"/>
      <c r="CS926" s="265"/>
      <c r="CT926" s="265"/>
      <c r="CU926" s="265"/>
    </row>
    <row r="927" spans="10:99" ht="15" customHeight="1">
      <c r="J927" s="265"/>
      <c r="K927" s="1024"/>
      <c r="L927" s="1025"/>
      <c r="M927" s="1026"/>
      <c r="N927" s="1026"/>
      <c r="O927" s="265"/>
      <c r="P927" s="265"/>
      <c r="T927" s="265"/>
      <c r="U927" s="265"/>
      <c r="V927" s="265"/>
      <c r="X927" s="1026"/>
      <c r="Y927" s="265"/>
      <c r="Z927" s="265"/>
      <c r="AA927" s="265"/>
      <c r="AE927" s="265"/>
      <c r="AF927" s="265"/>
      <c r="AV927" s="265"/>
      <c r="AW927" s="265"/>
      <c r="AX927" s="265"/>
      <c r="AY927" s="265"/>
      <c r="BE927" s="265"/>
      <c r="BF927" s="1028"/>
      <c r="BJ927" s="265"/>
      <c r="BK927" s="1458"/>
      <c r="BL927" s="1028"/>
      <c r="BP927" s="265"/>
      <c r="BQ927" s="1458"/>
      <c r="BW927" s="11"/>
      <c r="CA927" s="11"/>
      <c r="CK927" s="265"/>
      <c r="CL927" s="265"/>
      <c r="CM927" s="265"/>
      <c r="CO927" s="11"/>
      <c r="CR927" s="1026"/>
      <c r="CS927" s="265"/>
      <c r="CT927" s="265"/>
      <c r="CU927" s="265"/>
    </row>
    <row r="928" spans="10:99" ht="15" customHeight="1">
      <c r="J928" s="265"/>
      <c r="K928" s="1024"/>
      <c r="L928" s="1025"/>
      <c r="M928" s="1026"/>
      <c r="N928" s="1026"/>
      <c r="O928" s="265"/>
      <c r="P928" s="265"/>
      <c r="T928" s="265"/>
      <c r="U928" s="265"/>
      <c r="V928" s="265"/>
      <c r="X928" s="1026"/>
      <c r="Y928" s="265"/>
      <c r="Z928" s="265"/>
      <c r="AA928" s="265"/>
      <c r="AE928" s="265"/>
      <c r="AF928" s="265"/>
      <c r="AV928" s="265"/>
      <c r="AW928" s="265"/>
      <c r="AX928" s="265"/>
      <c r="AY928" s="265"/>
      <c r="BE928" s="265"/>
      <c r="BF928" s="1028"/>
      <c r="BJ928" s="265"/>
      <c r="BK928" s="1458"/>
      <c r="BL928" s="1028"/>
      <c r="BP928" s="265"/>
      <c r="BQ928" s="1458"/>
      <c r="BW928" s="11"/>
      <c r="CA928" s="11"/>
      <c r="CK928" s="265"/>
      <c r="CL928" s="265"/>
      <c r="CM928" s="265"/>
      <c r="CO928" s="11"/>
      <c r="CR928" s="1026"/>
      <c r="CS928" s="265"/>
      <c r="CT928" s="265"/>
      <c r="CU928" s="265"/>
    </row>
    <row r="929" spans="10:99" ht="15" customHeight="1">
      <c r="J929" s="265"/>
      <c r="K929" s="1024"/>
      <c r="L929" s="1025"/>
      <c r="M929" s="1026"/>
      <c r="N929" s="1026"/>
      <c r="O929" s="265"/>
      <c r="P929" s="265"/>
      <c r="T929" s="265"/>
      <c r="U929" s="265"/>
      <c r="V929" s="265"/>
      <c r="X929" s="1026"/>
      <c r="Y929" s="265"/>
      <c r="Z929" s="265"/>
      <c r="AA929" s="265"/>
      <c r="AE929" s="265"/>
      <c r="AF929" s="265"/>
      <c r="AV929" s="265"/>
      <c r="AW929" s="265"/>
      <c r="AX929" s="265"/>
      <c r="AY929" s="265"/>
      <c r="BE929" s="265"/>
      <c r="BF929" s="1028"/>
      <c r="BJ929" s="265"/>
      <c r="BK929" s="1458"/>
      <c r="BL929" s="1028"/>
      <c r="BP929" s="265"/>
      <c r="BQ929" s="1458"/>
      <c r="BW929" s="11"/>
      <c r="CA929" s="11"/>
      <c r="CK929" s="265"/>
      <c r="CL929" s="265"/>
      <c r="CM929" s="265"/>
      <c r="CO929" s="11"/>
      <c r="CR929" s="1026"/>
      <c r="CS929" s="265"/>
      <c r="CT929" s="265"/>
      <c r="CU929" s="265"/>
    </row>
    <row r="930" spans="10:99" ht="15" customHeight="1">
      <c r="J930" s="265"/>
      <c r="K930" s="1024"/>
      <c r="L930" s="1025"/>
      <c r="M930" s="1026"/>
      <c r="N930" s="1026"/>
      <c r="O930" s="265"/>
      <c r="P930" s="265"/>
      <c r="T930" s="265"/>
      <c r="U930" s="265"/>
      <c r="V930" s="265"/>
      <c r="X930" s="1026"/>
      <c r="Y930" s="265"/>
      <c r="Z930" s="265"/>
      <c r="AA930" s="265"/>
      <c r="AE930" s="265"/>
      <c r="AF930" s="265"/>
      <c r="AV930" s="265"/>
      <c r="AW930" s="265"/>
      <c r="AX930" s="265"/>
      <c r="AY930" s="265"/>
      <c r="BE930" s="265"/>
      <c r="BF930" s="1028"/>
      <c r="BJ930" s="265"/>
      <c r="BK930" s="1458"/>
      <c r="BL930" s="1028"/>
      <c r="BP930" s="265"/>
      <c r="BQ930" s="1458"/>
      <c r="BW930" s="11"/>
      <c r="CA930" s="11"/>
      <c r="CK930" s="265"/>
      <c r="CL930" s="265"/>
      <c r="CM930" s="265"/>
      <c r="CO930" s="11"/>
      <c r="CR930" s="1026"/>
      <c r="CS930" s="265"/>
      <c r="CT930" s="265"/>
      <c r="CU930" s="265"/>
    </row>
    <row r="931" spans="10:99" ht="15" customHeight="1">
      <c r="J931" s="265"/>
      <c r="K931" s="1024"/>
      <c r="L931" s="1025"/>
      <c r="M931" s="1026"/>
      <c r="N931" s="1026"/>
      <c r="O931" s="265"/>
      <c r="P931" s="265"/>
      <c r="T931" s="265"/>
      <c r="U931" s="265"/>
      <c r="V931" s="265"/>
      <c r="X931" s="1026"/>
      <c r="Y931" s="265"/>
      <c r="Z931" s="265"/>
      <c r="AA931" s="265"/>
      <c r="AE931" s="265"/>
      <c r="AF931" s="265"/>
      <c r="AV931" s="265"/>
      <c r="AW931" s="265"/>
      <c r="AX931" s="265"/>
      <c r="AY931" s="265"/>
      <c r="BE931" s="265"/>
      <c r="BF931" s="1028"/>
      <c r="BJ931" s="265"/>
      <c r="BK931" s="1458"/>
      <c r="BL931" s="1028"/>
      <c r="BP931" s="265"/>
      <c r="BQ931" s="1458"/>
      <c r="BW931" s="11"/>
      <c r="CA931" s="11"/>
      <c r="CK931" s="265"/>
      <c r="CL931" s="265"/>
      <c r="CM931" s="265"/>
      <c r="CO931" s="11"/>
      <c r="CR931" s="1026"/>
      <c r="CS931" s="265"/>
      <c r="CT931" s="265"/>
      <c r="CU931" s="265"/>
    </row>
    <row r="932" spans="10:99" ht="15" customHeight="1">
      <c r="J932" s="265"/>
      <c r="K932" s="1024"/>
      <c r="L932" s="1025"/>
      <c r="M932" s="1026"/>
      <c r="N932" s="1026"/>
      <c r="O932" s="265"/>
      <c r="P932" s="265"/>
      <c r="T932" s="265"/>
      <c r="U932" s="265"/>
      <c r="V932" s="265"/>
      <c r="X932" s="1026"/>
      <c r="Y932" s="265"/>
      <c r="Z932" s="265"/>
      <c r="AA932" s="265"/>
      <c r="AE932" s="265"/>
      <c r="AF932" s="265"/>
      <c r="AV932" s="265"/>
      <c r="AW932" s="265"/>
      <c r="AX932" s="265"/>
      <c r="AY932" s="265"/>
      <c r="BE932" s="265"/>
      <c r="BF932" s="1028"/>
      <c r="BJ932" s="265"/>
      <c r="BK932" s="1458"/>
      <c r="BL932" s="1028"/>
      <c r="BP932" s="265"/>
      <c r="BQ932" s="1458"/>
      <c r="BW932" s="11"/>
      <c r="CA932" s="11"/>
      <c r="CK932" s="265"/>
      <c r="CL932" s="265"/>
      <c r="CM932" s="265"/>
      <c r="CO932" s="11"/>
      <c r="CR932" s="1026"/>
      <c r="CS932" s="265"/>
      <c r="CT932" s="265"/>
      <c r="CU932" s="265"/>
    </row>
    <row r="933" spans="10:99" ht="15" customHeight="1">
      <c r="J933" s="265"/>
      <c r="K933" s="1024"/>
      <c r="L933" s="1025"/>
      <c r="M933" s="1026"/>
      <c r="N933" s="1026"/>
      <c r="O933" s="265"/>
      <c r="P933" s="265"/>
      <c r="T933" s="265"/>
      <c r="U933" s="265"/>
      <c r="V933" s="265"/>
      <c r="X933" s="1026"/>
      <c r="Y933" s="265"/>
      <c r="Z933" s="265"/>
      <c r="AA933" s="265"/>
      <c r="AE933" s="265"/>
      <c r="AF933" s="265"/>
      <c r="AV933" s="265"/>
      <c r="AW933" s="265"/>
      <c r="AX933" s="265"/>
      <c r="AY933" s="265"/>
      <c r="BE933" s="265"/>
      <c r="BF933" s="1028"/>
      <c r="BJ933" s="265"/>
      <c r="BK933" s="1458"/>
      <c r="BL933" s="1028"/>
      <c r="BP933" s="265"/>
      <c r="BQ933" s="1458"/>
      <c r="BW933" s="11"/>
      <c r="CA933" s="11"/>
      <c r="CK933" s="265"/>
      <c r="CL933" s="265"/>
      <c r="CM933" s="265"/>
      <c r="CO933" s="11"/>
      <c r="CR933" s="1026"/>
      <c r="CS933" s="265"/>
      <c r="CT933" s="265"/>
      <c r="CU933" s="265"/>
    </row>
    <row r="934" spans="10:99" ht="15" customHeight="1">
      <c r="J934" s="265"/>
      <c r="K934" s="1024"/>
      <c r="L934" s="1025"/>
      <c r="M934" s="1026"/>
      <c r="N934" s="1026"/>
      <c r="O934" s="265"/>
      <c r="P934" s="265"/>
      <c r="T934" s="265"/>
      <c r="U934" s="265"/>
      <c r="V934" s="265"/>
      <c r="X934" s="1026"/>
      <c r="Y934" s="265"/>
      <c r="Z934" s="265"/>
      <c r="AA934" s="265"/>
      <c r="AE934" s="265"/>
      <c r="AF934" s="265"/>
      <c r="AV934" s="265"/>
      <c r="AW934" s="265"/>
      <c r="AX934" s="265"/>
      <c r="AY934" s="265"/>
      <c r="BE934" s="265"/>
      <c r="BF934" s="1028"/>
      <c r="BJ934" s="265"/>
      <c r="BK934" s="1458"/>
      <c r="BL934" s="1028"/>
      <c r="BP934" s="265"/>
      <c r="BQ934" s="1458"/>
      <c r="BW934" s="11"/>
      <c r="CA934" s="11"/>
      <c r="CK934" s="265"/>
      <c r="CL934" s="265"/>
      <c r="CM934" s="265"/>
      <c r="CO934" s="11"/>
      <c r="CR934" s="1026"/>
      <c r="CS934" s="265"/>
      <c r="CT934" s="265"/>
      <c r="CU934" s="265"/>
    </row>
    <row r="935" spans="10:99" ht="15" customHeight="1">
      <c r="J935" s="265"/>
      <c r="K935" s="1024"/>
      <c r="L935" s="1025"/>
      <c r="M935" s="1026"/>
      <c r="N935" s="1026"/>
      <c r="O935" s="265"/>
      <c r="P935" s="265"/>
      <c r="T935" s="265"/>
      <c r="U935" s="265"/>
      <c r="V935" s="265"/>
      <c r="X935" s="1026"/>
      <c r="Y935" s="265"/>
      <c r="Z935" s="265"/>
      <c r="AA935" s="265"/>
      <c r="AE935" s="265"/>
      <c r="AF935" s="265"/>
      <c r="AV935" s="265"/>
      <c r="AW935" s="265"/>
      <c r="AX935" s="265"/>
      <c r="AY935" s="265"/>
      <c r="BE935" s="265"/>
      <c r="BF935" s="1028"/>
      <c r="BJ935" s="265"/>
      <c r="BK935" s="1458"/>
      <c r="BL935" s="1028"/>
      <c r="BP935" s="265"/>
      <c r="BQ935" s="1458"/>
      <c r="BW935" s="11"/>
      <c r="CA935" s="11"/>
      <c r="CK935" s="265"/>
      <c r="CL935" s="265"/>
      <c r="CM935" s="265"/>
      <c r="CO935" s="11"/>
      <c r="CR935" s="1026"/>
      <c r="CS935" s="265"/>
      <c r="CT935" s="265"/>
      <c r="CU935" s="265"/>
    </row>
    <row r="936" spans="10:99" ht="15" customHeight="1">
      <c r="J936" s="265"/>
      <c r="K936" s="1024"/>
      <c r="L936" s="1025"/>
      <c r="M936" s="1026"/>
      <c r="N936" s="1026"/>
      <c r="O936" s="265"/>
      <c r="P936" s="265"/>
      <c r="T936" s="265"/>
      <c r="U936" s="265"/>
      <c r="V936" s="265"/>
      <c r="X936" s="1026"/>
      <c r="Y936" s="265"/>
      <c r="Z936" s="265"/>
      <c r="AA936" s="265"/>
      <c r="AE936" s="265"/>
      <c r="AF936" s="265"/>
      <c r="AV936" s="265"/>
      <c r="AW936" s="265"/>
      <c r="AX936" s="265"/>
      <c r="AY936" s="265"/>
      <c r="BE936" s="265"/>
      <c r="BF936" s="1028"/>
      <c r="BJ936" s="265"/>
      <c r="BK936" s="1458"/>
      <c r="BL936" s="1028"/>
      <c r="BP936" s="265"/>
      <c r="BQ936" s="1458"/>
      <c r="BW936" s="11"/>
      <c r="CA936" s="11"/>
      <c r="CK936" s="265"/>
      <c r="CL936" s="265"/>
      <c r="CM936" s="265"/>
      <c r="CO936" s="11"/>
      <c r="CR936" s="1026"/>
      <c r="CS936" s="265"/>
      <c r="CT936" s="265"/>
      <c r="CU936" s="265"/>
    </row>
    <row r="937" spans="10:99" ht="15" customHeight="1">
      <c r="J937" s="265"/>
      <c r="K937" s="1024"/>
      <c r="L937" s="1025"/>
      <c r="M937" s="1026"/>
      <c r="N937" s="1026"/>
      <c r="O937" s="265"/>
      <c r="P937" s="265"/>
      <c r="T937" s="265"/>
      <c r="U937" s="265"/>
      <c r="V937" s="265"/>
      <c r="X937" s="1026"/>
      <c r="Y937" s="265"/>
      <c r="Z937" s="265"/>
      <c r="AA937" s="265"/>
      <c r="AE937" s="265"/>
      <c r="AF937" s="265"/>
      <c r="AV937" s="265"/>
      <c r="AW937" s="265"/>
      <c r="AX937" s="265"/>
      <c r="AY937" s="265"/>
      <c r="BE937" s="265"/>
      <c r="BF937" s="1028"/>
      <c r="BJ937" s="265"/>
      <c r="BK937" s="1458"/>
      <c r="BL937" s="1028"/>
      <c r="BP937" s="265"/>
      <c r="BQ937" s="1458"/>
      <c r="BW937" s="11"/>
      <c r="CA937" s="11"/>
      <c r="CK937" s="265"/>
      <c r="CL937" s="265"/>
      <c r="CM937" s="265"/>
      <c r="CO937" s="11"/>
      <c r="CR937" s="1026"/>
      <c r="CS937" s="265"/>
      <c r="CT937" s="265"/>
      <c r="CU937" s="265"/>
    </row>
    <row r="938" spans="10:99" ht="15" customHeight="1">
      <c r="J938" s="265"/>
      <c r="K938" s="1024"/>
      <c r="L938" s="1025"/>
      <c r="M938" s="1026"/>
      <c r="N938" s="1026"/>
      <c r="O938" s="265"/>
      <c r="P938" s="265"/>
      <c r="T938" s="265"/>
      <c r="U938" s="265"/>
      <c r="V938" s="265"/>
      <c r="X938" s="1026"/>
      <c r="Y938" s="265"/>
      <c r="Z938" s="265"/>
      <c r="AA938" s="265"/>
      <c r="AE938" s="265"/>
      <c r="AF938" s="265"/>
      <c r="AV938" s="265"/>
      <c r="AW938" s="265"/>
      <c r="AX938" s="265"/>
      <c r="AY938" s="265"/>
      <c r="BE938" s="265"/>
      <c r="BF938" s="1028"/>
      <c r="BJ938" s="265"/>
      <c r="BK938" s="1458"/>
      <c r="BL938" s="1028"/>
      <c r="BP938" s="265"/>
      <c r="BQ938" s="1458"/>
      <c r="BW938" s="11"/>
      <c r="CA938" s="11"/>
      <c r="CK938" s="265"/>
      <c r="CL938" s="265"/>
      <c r="CM938" s="265"/>
      <c r="CO938" s="11"/>
      <c r="CR938" s="1026"/>
      <c r="CS938" s="265"/>
      <c r="CT938" s="265"/>
      <c r="CU938" s="265"/>
    </row>
    <row r="939" spans="10:99" ht="15" customHeight="1">
      <c r="J939" s="265"/>
      <c r="K939" s="1024"/>
      <c r="L939" s="1025"/>
      <c r="M939" s="1026"/>
      <c r="N939" s="1026"/>
      <c r="O939" s="265"/>
      <c r="P939" s="265"/>
      <c r="T939" s="265"/>
      <c r="U939" s="265"/>
      <c r="V939" s="265"/>
      <c r="X939" s="1026"/>
      <c r="Y939" s="265"/>
      <c r="Z939" s="265"/>
      <c r="AA939" s="265"/>
      <c r="AE939" s="265"/>
      <c r="AF939" s="265"/>
      <c r="AV939" s="265"/>
      <c r="AW939" s="265"/>
      <c r="AX939" s="265"/>
      <c r="AY939" s="265"/>
      <c r="BE939" s="265"/>
      <c r="BF939" s="1028"/>
      <c r="BJ939" s="265"/>
      <c r="BK939" s="1458"/>
      <c r="BL939" s="1028"/>
      <c r="BP939" s="265"/>
      <c r="BQ939" s="1458"/>
      <c r="BW939" s="11"/>
      <c r="CA939" s="11"/>
      <c r="CK939" s="265"/>
      <c r="CL939" s="265"/>
      <c r="CM939" s="265"/>
      <c r="CO939" s="11"/>
      <c r="CR939" s="1026"/>
      <c r="CS939" s="265"/>
      <c r="CT939" s="265"/>
      <c r="CU939" s="265"/>
    </row>
    <row r="940" spans="10:99" ht="15" customHeight="1">
      <c r="J940" s="265"/>
      <c r="K940" s="1024"/>
      <c r="L940" s="1025"/>
      <c r="M940" s="1026"/>
      <c r="N940" s="1026"/>
      <c r="O940" s="265"/>
      <c r="P940" s="265"/>
      <c r="T940" s="265"/>
      <c r="U940" s="265"/>
      <c r="V940" s="265"/>
      <c r="X940" s="1026"/>
      <c r="Y940" s="265"/>
      <c r="Z940" s="265"/>
      <c r="AA940" s="265"/>
      <c r="AE940" s="265"/>
      <c r="AF940" s="265"/>
      <c r="AV940" s="265"/>
      <c r="AW940" s="265"/>
      <c r="AX940" s="265"/>
      <c r="AY940" s="265"/>
      <c r="BE940" s="265"/>
      <c r="BF940" s="1028"/>
      <c r="BJ940" s="265"/>
      <c r="BK940" s="1458"/>
      <c r="BL940" s="1028"/>
      <c r="BP940" s="265"/>
      <c r="BQ940" s="1458"/>
      <c r="BW940" s="11"/>
      <c r="CA940" s="11"/>
      <c r="CK940" s="265"/>
      <c r="CL940" s="265"/>
      <c r="CM940" s="265"/>
      <c r="CO940" s="11"/>
      <c r="CR940" s="1026"/>
      <c r="CS940" s="265"/>
      <c r="CT940" s="265"/>
      <c r="CU940" s="265"/>
    </row>
    <row r="941" spans="10:99" ht="15" customHeight="1">
      <c r="J941" s="265"/>
      <c r="K941" s="1024"/>
      <c r="L941" s="1025"/>
      <c r="M941" s="1026"/>
      <c r="N941" s="1026"/>
      <c r="O941" s="265"/>
      <c r="P941" s="265"/>
      <c r="T941" s="265"/>
      <c r="U941" s="265"/>
      <c r="V941" s="265"/>
      <c r="X941" s="1026"/>
      <c r="Y941" s="265"/>
      <c r="Z941" s="265"/>
      <c r="AA941" s="265"/>
      <c r="AE941" s="265"/>
      <c r="AF941" s="265"/>
      <c r="AV941" s="265"/>
      <c r="AW941" s="265"/>
      <c r="AX941" s="265"/>
      <c r="AY941" s="265"/>
      <c r="BE941" s="265"/>
      <c r="BF941" s="1028"/>
      <c r="BJ941" s="265"/>
      <c r="BK941" s="1458"/>
      <c r="BL941" s="1028"/>
      <c r="BP941" s="265"/>
      <c r="BQ941" s="1458"/>
      <c r="BW941" s="11"/>
      <c r="CA941" s="11"/>
      <c r="CK941" s="265"/>
      <c r="CL941" s="265"/>
      <c r="CM941" s="265"/>
      <c r="CO941" s="11"/>
      <c r="CR941" s="1026"/>
      <c r="CS941" s="265"/>
      <c r="CT941" s="265"/>
      <c r="CU941" s="265"/>
    </row>
    <row r="942" spans="10:99" ht="15" customHeight="1">
      <c r="J942" s="265"/>
      <c r="K942" s="1024"/>
      <c r="L942" s="1025"/>
      <c r="M942" s="1026"/>
      <c r="N942" s="1026"/>
      <c r="O942" s="265"/>
      <c r="P942" s="265"/>
      <c r="T942" s="265"/>
      <c r="U942" s="265"/>
      <c r="V942" s="265"/>
      <c r="X942" s="1026"/>
      <c r="Y942" s="265"/>
      <c r="Z942" s="265"/>
      <c r="AA942" s="265"/>
      <c r="AE942" s="265"/>
      <c r="AF942" s="265"/>
      <c r="AV942" s="265"/>
      <c r="AW942" s="265"/>
      <c r="AX942" s="265"/>
      <c r="AY942" s="265"/>
      <c r="BE942" s="265"/>
      <c r="BF942" s="1028"/>
      <c r="BJ942" s="265"/>
      <c r="BK942" s="1458"/>
      <c r="BL942" s="1028"/>
      <c r="BP942" s="265"/>
      <c r="BQ942" s="1458"/>
      <c r="BW942" s="11"/>
      <c r="CA942" s="11"/>
      <c r="CK942" s="265"/>
      <c r="CL942" s="265"/>
      <c r="CM942" s="265"/>
      <c r="CO942" s="11"/>
      <c r="CR942" s="1026"/>
      <c r="CS942" s="265"/>
      <c r="CT942" s="265"/>
      <c r="CU942" s="265"/>
    </row>
    <row r="943" spans="10:99" ht="15" customHeight="1">
      <c r="J943" s="265"/>
      <c r="K943" s="1024"/>
      <c r="L943" s="1025"/>
      <c r="M943" s="1026"/>
      <c r="N943" s="1026"/>
      <c r="O943" s="265"/>
      <c r="P943" s="265"/>
      <c r="T943" s="265"/>
      <c r="U943" s="265"/>
      <c r="V943" s="265"/>
      <c r="X943" s="1026"/>
      <c r="Y943" s="265"/>
      <c r="Z943" s="265"/>
      <c r="AA943" s="265"/>
      <c r="AE943" s="265"/>
      <c r="AF943" s="265"/>
      <c r="AV943" s="265"/>
      <c r="AW943" s="265"/>
      <c r="AX943" s="265"/>
      <c r="AY943" s="265"/>
      <c r="BE943" s="265"/>
      <c r="BF943" s="1028"/>
      <c r="BJ943" s="265"/>
      <c r="BK943" s="1458"/>
      <c r="BL943" s="1028"/>
      <c r="BP943" s="265"/>
      <c r="BQ943" s="1458"/>
      <c r="BW943" s="11"/>
      <c r="CA943" s="11"/>
      <c r="CK943" s="265"/>
      <c r="CL943" s="265"/>
      <c r="CM943" s="265"/>
      <c r="CO943" s="11"/>
      <c r="CR943" s="1026"/>
      <c r="CS943" s="265"/>
      <c r="CT943" s="265"/>
      <c r="CU943" s="265"/>
    </row>
    <row r="944" spans="10:99" ht="15" customHeight="1">
      <c r="J944" s="265"/>
      <c r="K944" s="1024"/>
      <c r="L944" s="1025"/>
      <c r="M944" s="1026"/>
      <c r="N944" s="1026"/>
      <c r="O944" s="265"/>
      <c r="P944" s="265"/>
      <c r="T944" s="265"/>
      <c r="U944" s="265"/>
      <c r="V944" s="265"/>
      <c r="X944" s="1026"/>
      <c r="Y944" s="265"/>
      <c r="Z944" s="265"/>
      <c r="AA944" s="265"/>
      <c r="AE944" s="265"/>
      <c r="AF944" s="265"/>
      <c r="AV944" s="265"/>
      <c r="AW944" s="265"/>
      <c r="AX944" s="265"/>
      <c r="AY944" s="265"/>
      <c r="BE944" s="265"/>
      <c r="BF944" s="1028"/>
      <c r="BJ944" s="265"/>
      <c r="BK944" s="1458"/>
      <c r="BL944" s="1028"/>
      <c r="BP944" s="265"/>
      <c r="BQ944" s="1458"/>
      <c r="BW944" s="11"/>
      <c r="CA944" s="11"/>
      <c r="CK944" s="265"/>
      <c r="CL944" s="265"/>
      <c r="CM944" s="265"/>
      <c r="CO944" s="11"/>
      <c r="CR944" s="1026"/>
      <c r="CS944" s="265"/>
      <c r="CT944" s="265"/>
      <c r="CU944" s="265"/>
    </row>
    <row r="945" spans="10:99" ht="15" customHeight="1">
      <c r="J945" s="265"/>
      <c r="K945" s="1024"/>
      <c r="L945" s="1025"/>
      <c r="M945" s="1026"/>
      <c r="N945" s="1026"/>
      <c r="O945" s="265"/>
      <c r="P945" s="265"/>
      <c r="T945" s="265"/>
      <c r="U945" s="265"/>
      <c r="V945" s="265"/>
      <c r="X945" s="1026"/>
      <c r="Y945" s="265"/>
      <c r="Z945" s="265"/>
      <c r="AA945" s="265"/>
      <c r="AE945" s="265"/>
      <c r="AF945" s="265"/>
      <c r="AV945" s="265"/>
      <c r="AW945" s="265"/>
      <c r="AX945" s="265"/>
      <c r="AY945" s="265"/>
      <c r="BE945" s="265"/>
      <c r="BF945" s="1028"/>
      <c r="BJ945" s="265"/>
      <c r="BK945" s="1458"/>
      <c r="BL945" s="1028"/>
      <c r="BP945" s="265"/>
      <c r="BQ945" s="1458"/>
      <c r="BW945" s="11"/>
      <c r="CA945" s="11"/>
      <c r="CK945" s="265"/>
      <c r="CL945" s="265"/>
      <c r="CM945" s="265"/>
      <c r="CO945" s="11"/>
      <c r="CR945" s="1026"/>
      <c r="CS945" s="265"/>
      <c r="CT945" s="265"/>
      <c r="CU945" s="265"/>
    </row>
    <row r="946" spans="10:99" ht="15" customHeight="1">
      <c r="J946" s="265"/>
      <c r="K946" s="1024"/>
      <c r="L946" s="1025"/>
      <c r="M946" s="1026"/>
      <c r="N946" s="1026"/>
      <c r="O946" s="265"/>
      <c r="P946" s="265"/>
      <c r="T946" s="265"/>
      <c r="U946" s="265"/>
      <c r="V946" s="265"/>
      <c r="X946" s="1026"/>
      <c r="Y946" s="265"/>
      <c r="Z946" s="265"/>
      <c r="AA946" s="265"/>
      <c r="AE946" s="265"/>
      <c r="AF946" s="265"/>
      <c r="AV946" s="265"/>
      <c r="AW946" s="265"/>
      <c r="AX946" s="265"/>
      <c r="AY946" s="265"/>
      <c r="BE946" s="265"/>
      <c r="BF946" s="1028"/>
      <c r="BJ946" s="265"/>
      <c r="BK946" s="1458"/>
      <c r="BL946" s="1028"/>
      <c r="BP946" s="265"/>
      <c r="BQ946" s="1458"/>
      <c r="BW946" s="11"/>
      <c r="CA946" s="11"/>
      <c r="CK946" s="265"/>
      <c r="CL946" s="265"/>
      <c r="CM946" s="265"/>
      <c r="CO946" s="11"/>
      <c r="CR946" s="1026"/>
      <c r="CS946" s="265"/>
      <c r="CT946" s="265"/>
      <c r="CU946" s="265"/>
    </row>
    <row r="947" spans="10:99" ht="15" customHeight="1">
      <c r="J947" s="265"/>
      <c r="K947" s="1024"/>
      <c r="L947" s="1025"/>
      <c r="M947" s="1026"/>
      <c r="N947" s="1026"/>
      <c r="O947" s="265"/>
      <c r="P947" s="265"/>
      <c r="T947" s="265"/>
      <c r="U947" s="265"/>
      <c r="V947" s="265"/>
      <c r="X947" s="1026"/>
      <c r="Y947" s="265"/>
      <c r="Z947" s="265"/>
      <c r="AA947" s="265"/>
      <c r="AE947" s="265"/>
      <c r="AF947" s="265"/>
      <c r="AV947" s="265"/>
      <c r="AW947" s="265"/>
      <c r="AX947" s="265"/>
      <c r="AY947" s="265"/>
      <c r="BE947" s="265"/>
      <c r="BF947" s="1028"/>
      <c r="BJ947" s="265"/>
      <c r="BK947" s="1458"/>
      <c r="BL947" s="1028"/>
      <c r="BP947" s="265"/>
      <c r="BQ947" s="1458"/>
      <c r="BW947" s="11"/>
      <c r="CA947" s="11"/>
      <c r="CK947" s="265"/>
      <c r="CL947" s="265"/>
      <c r="CM947" s="265"/>
      <c r="CO947" s="11"/>
      <c r="CR947" s="1026"/>
      <c r="CS947" s="265"/>
      <c r="CT947" s="265"/>
      <c r="CU947" s="265"/>
    </row>
    <row r="948" spans="10:99" ht="15" customHeight="1">
      <c r="J948" s="265"/>
      <c r="K948" s="1024"/>
      <c r="L948" s="1025"/>
      <c r="M948" s="1026"/>
      <c r="N948" s="1026"/>
      <c r="O948" s="265"/>
      <c r="P948" s="265"/>
      <c r="T948" s="265"/>
      <c r="U948" s="265"/>
      <c r="V948" s="265"/>
      <c r="X948" s="1026"/>
      <c r="Y948" s="265"/>
      <c r="Z948" s="265"/>
      <c r="AA948" s="265"/>
      <c r="AE948" s="265"/>
      <c r="AF948" s="265"/>
      <c r="AV948" s="265"/>
      <c r="AW948" s="265"/>
      <c r="AX948" s="265"/>
      <c r="AY948" s="265"/>
      <c r="BE948" s="265"/>
      <c r="BF948" s="1028"/>
      <c r="BJ948" s="265"/>
      <c r="BK948" s="1458"/>
      <c r="BL948" s="1028"/>
      <c r="BP948" s="265"/>
      <c r="BQ948" s="1458"/>
      <c r="BW948" s="11"/>
      <c r="CA948" s="11"/>
      <c r="CK948" s="265"/>
      <c r="CL948" s="265"/>
      <c r="CM948" s="265"/>
      <c r="CO948" s="11"/>
      <c r="CR948" s="1026"/>
      <c r="CS948" s="265"/>
      <c r="CT948" s="265"/>
      <c r="CU948" s="265"/>
    </row>
    <row r="949" spans="10:99" ht="15" customHeight="1">
      <c r="J949" s="265"/>
      <c r="K949" s="1024"/>
      <c r="L949" s="1025"/>
      <c r="M949" s="1026"/>
      <c r="N949" s="1026"/>
      <c r="O949" s="265"/>
      <c r="P949" s="265"/>
      <c r="T949" s="265"/>
      <c r="U949" s="265"/>
      <c r="V949" s="265"/>
      <c r="X949" s="1026"/>
      <c r="Y949" s="265"/>
      <c r="Z949" s="265"/>
      <c r="AA949" s="265"/>
      <c r="AE949" s="265"/>
      <c r="AF949" s="265"/>
      <c r="AV949" s="265"/>
      <c r="AW949" s="265"/>
      <c r="AX949" s="265"/>
      <c r="AY949" s="265"/>
      <c r="BE949" s="265"/>
      <c r="BF949" s="1028"/>
      <c r="BJ949" s="265"/>
      <c r="BK949" s="1458"/>
      <c r="BL949" s="1028"/>
      <c r="BP949" s="265"/>
      <c r="BQ949" s="1458"/>
      <c r="BW949" s="11"/>
      <c r="CA949" s="11"/>
      <c r="CK949" s="265"/>
      <c r="CL949" s="265"/>
      <c r="CM949" s="265"/>
      <c r="CO949" s="11"/>
      <c r="CR949" s="1026"/>
      <c r="CS949" s="265"/>
      <c r="CT949" s="265"/>
      <c r="CU949" s="265"/>
    </row>
    <row r="950" spans="10:99" ht="15" customHeight="1">
      <c r="J950" s="265"/>
      <c r="K950" s="1024"/>
      <c r="L950" s="1025"/>
      <c r="M950" s="1026"/>
      <c r="N950" s="1026"/>
      <c r="O950" s="265"/>
      <c r="P950" s="265"/>
      <c r="T950" s="265"/>
      <c r="U950" s="265"/>
      <c r="V950" s="265"/>
      <c r="X950" s="1026"/>
      <c r="Y950" s="265"/>
      <c r="Z950" s="265"/>
      <c r="AA950" s="265"/>
      <c r="AE950" s="265"/>
      <c r="AF950" s="265"/>
      <c r="AV950" s="265"/>
      <c r="AW950" s="265"/>
      <c r="AX950" s="265"/>
      <c r="AY950" s="265"/>
      <c r="BE950" s="265"/>
      <c r="BF950" s="1028"/>
      <c r="BJ950" s="265"/>
      <c r="BK950" s="1458"/>
      <c r="BL950" s="1028"/>
      <c r="BP950" s="265"/>
      <c r="BQ950" s="1458"/>
      <c r="BW950" s="11"/>
      <c r="CA950" s="11"/>
      <c r="CK950" s="265"/>
      <c r="CL950" s="265"/>
      <c r="CM950" s="265"/>
      <c r="CO950" s="11"/>
      <c r="CR950" s="1026"/>
      <c r="CS950" s="265"/>
      <c r="CT950" s="265"/>
      <c r="CU950" s="265"/>
    </row>
    <row r="951" spans="10:99" ht="15" customHeight="1">
      <c r="J951" s="265"/>
      <c r="K951" s="1024"/>
      <c r="L951" s="1025"/>
      <c r="M951" s="1026"/>
      <c r="N951" s="1026"/>
      <c r="O951" s="265"/>
      <c r="P951" s="265"/>
      <c r="T951" s="265"/>
      <c r="U951" s="265"/>
      <c r="V951" s="265"/>
      <c r="X951" s="1026"/>
      <c r="Y951" s="265"/>
      <c r="Z951" s="265"/>
      <c r="AA951" s="265"/>
      <c r="AE951" s="265"/>
      <c r="AF951" s="265"/>
      <c r="AV951" s="265"/>
      <c r="AW951" s="265"/>
      <c r="AX951" s="265"/>
      <c r="AY951" s="265"/>
      <c r="BE951" s="265"/>
      <c r="BF951" s="1028"/>
      <c r="BJ951" s="265"/>
      <c r="BK951" s="1458"/>
      <c r="BL951" s="1028"/>
      <c r="BP951" s="265"/>
      <c r="BQ951" s="1458"/>
      <c r="BW951" s="11"/>
      <c r="CA951" s="11"/>
      <c r="CK951" s="265"/>
      <c r="CL951" s="265"/>
      <c r="CM951" s="265"/>
      <c r="CO951" s="11"/>
      <c r="CR951" s="1026"/>
      <c r="CS951" s="265"/>
      <c r="CT951" s="265"/>
      <c r="CU951" s="265"/>
    </row>
    <row r="952" spans="10:99" ht="15" customHeight="1">
      <c r="J952" s="265"/>
      <c r="K952" s="1024"/>
      <c r="L952" s="1025"/>
      <c r="M952" s="1026"/>
      <c r="N952" s="1026"/>
      <c r="O952" s="265"/>
      <c r="P952" s="265"/>
      <c r="T952" s="265"/>
      <c r="U952" s="265"/>
      <c r="V952" s="265"/>
      <c r="X952" s="1026"/>
      <c r="Y952" s="265"/>
      <c r="Z952" s="265"/>
      <c r="AA952" s="265"/>
      <c r="AE952" s="265"/>
      <c r="AF952" s="265"/>
      <c r="AV952" s="265"/>
      <c r="AW952" s="265"/>
      <c r="AX952" s="265"/>
      <c r="AY952" s="265"/>
      <c r="BE952" s="265"/>
      <c r="BF952" s="1028"/>
      <c r="BJ952" s="265"/>
      <c r="BK952" s="1458"/>
      <c r="BL952" s="1028"/>
      <c r="BP952" s="265"/>
      <c r="BQ952" s="1458"/>
      <c r="BW952" s="11"/>
      <c r="CA952" s="11"/>
      <c r="CK952" s="265"/>
      <c r="CL952" s="265"/>
      <c r="CM952" s="265"/>
      <c r="CO952" s="11"/>
      <c r="CR952" s="1026"/>
      <c r="CS952" s="265"/>
      <c r="CT952" s="265"/>
      <c r="CU952" s="265"/>
    </row>
    <row r="953" spans="10:99" ht="15" customHeight="1">
      <c r="J953" s="265"/>
      <c r="K953" s="1024"/>
      <c r="L953" s="1025"/>
      <c r="M953" s="1026"/>
      <c r="N953" s="1026"/>
      <c r="O953" s="265"/>
      <c r="P953" s="265"/>
      <c r="T953" s="265"/>
      <c r="U953" s="265"/>
      <c r="V953" s="265"/>
      <c r="X953" s="1026"/>
      <c r="Y953" s="265"/>
      <c r="Z953" s="265"/>
      <c r="AA953" s="265"/>
      <c r="AE953" s="265"/>
      <c r="AF953" s="265"/>
      <c r="AV953" s="265"/>
      <c r="AW953" s="265"/>
      <c r="AX953" s="265"/>
      <c r="AY953" s="265"/>
      <c r="BE953" s="265"/>
      <c r="BF953" s="1028"/>
      <c r="BJ953" s="265"/>
      <c r="BK953" s="1458"/>
      <c r="BL953" s="1028"/>
      <c r="BP953" s="265"/>
      <c r="BQ953" s="1458"/>
      <c r="BW953" s="11"/>
      <c r="CA953" s="11"/>
      <c r="CK953" s="265"/>
      <c r="CL953" s="265"/>
      <c r="CM953" s="265"/>
      <c r="CO953" s="11"/>
      <c r="CR953" s="1026"/>
      <c r="CS953" s="265"/>
      <c r="CT953" s="265"/>
      <c r="CU953" s="265"/>
    </row>
    <row r="954" spans="10:99" ht="15" customHeight="1">
      <c r="J954" s="265"/>
      <c r="K954" s="1024"/>
      <c r="L954" s="1025"/>
      <c r="M954" s="1026"/>
      <c r="N954" s="1026"/>
      <c r="O954" s="265"/>
      <c r="P954" s="265"/>
      <c r="T954" s="265"/>
      <c r="U954" s="265"/>
      <c r="V954" s="265"/>
      <c r="X954" s="1026"/>
      <c r="Y954" s="265"/>
      <c r="Z954" s="265"/>
      <c r="AA954" s="265"/>
      <c r="AE954" s="265"/>
      <c r="AF954" s="265"/>
      <c r="AV954" s="265"/>
      <c r="AW954" s="265"/>
      <c r="AX954" s="265"/>
      <c r="AY954" s="265"/>
      <c r="BE954" s="265"/>
      <c r="BF954" s="1028"/>
      <c r="BJ954" s="265"/>
      <c r="BK954" s="1458"/>
      <c r="BL954" s="1028"/>
      <c r="BP954" s="265"/>
      <c r="BQ954" s="1458"/>
      <c r="BW954" s="11"/>
      <c r="CA954" s="11"/>
      <c r="CK954" s="265"/>
      <c r="CL954" s="265"/>
      <c r="CM954" s="265"/>
      <c r="CO954" s="11"/>
      <c r="CR954" s="1026"/>
      <c r="CS954" s="265"/>
      <c r="CT954" s="265"/>
      <c r="CU954" s="265"/>
    </row>
    <row r="955" spans="10:99" ht="15" customHeight="1">
      <c r="J955" s="265"/>
      <c r="K955" s="1024"/>
      <c r="L955" s="1025"/>
      <c r="M955" s="1026"/>
      <c r="N955" s="1026"/>
      <c r="O955" s="265"/>
      <c r="P955" s="265"/>
      <c r="T955" s="265"/>
      <c r="U955" s="265"/>
      <c r="V955" s="265"/>
      <c r="X955" s="1026"/>
      <c r="Y955" s="265"/>
      <c r="Z955" s="265"/>
      <c r="AA955" s="265"/>
      <c r="AE955" s="265"/>
      <c r="AF955" s="265"/>
      <c r="AV955" s="265"/>
      <c r="AW955" s="265"/>
      <c r="AX955" s="265"/>
      <c r="AY955" s="265"/>
      <c r="BE955" s="265"/>
      <c r="BF955" s="1028"/>
      <c r="BJ955" s="265"/>
      <c r="BK955" s="1458"/>
      <c r="BL955" s="1028"/>
      <c r="BP955" s="265"/>
      <c r="BQ955" s="1458"/>
      <c r="BW955" s="11"/>
      <c r="CA955" s="11"/>
      <c r="CK955" s="265"/>
      <c r="CL955" s="265"/>
      <c r="CM955" s="265"/>
      <c r="CO955" s="11"/>
      <c r="CR955" s="1026"/>
      <c r="CS955" s="265"/>
      <c r="CT955" s="265"/>
      <c r="CU955" s="265"/>
    </row>
    <row r="956" spans="10:99" ht="15" customHeight="1">
      <c r="J956" s="265"/>
      <c r="K956" s="1024"/>
      <c r="L956" s="1025"/>
      <c r="M956" s="1026"/>
      <c r="N956" s="1026"/>
      <c r="O956" s="265"/>
      <c r="P956" s="265"/>
      <c r="T956" s="265"/>
      <c r="U956" s="265"/>
      <c r="V956" s="265"/>
      <c r="X956" s="1026"/>
      <c r="Y956" s="265"/>
      <c r="Z956" s="265"/>
      <c r="AA956" s="265"/>
      <c r="AE956" s="265"/>
      <c r="AF956" s="265"/>
      <c r="AV956" s="265"/>
      <c r="AW956" s="265"/>
      <c r="AX956" s="265"/>
      <c r="AY956" s="265"/>
      <c r="BE956" s="265"/>
      <c r="BF956" s="1028"/>
      <c r="BJ956" s="265"/>
      <c r="BK956" s="1458"/>
      <c r="BL956" s="1028"/>
      <c r="BP956" s="265"/>
      <c r="BQ956" s="1458"/>
      <c r="BW956" s="11"/>
      <c r="CA956" s="11"/>
      <c r="CK956" s="265"/>
      <c r="CL956" s="265"/>
      <c r="CM956" s="265"/>
      <c r="CO956" s="11"/>
      <c r="CR956" s="1026"/>
      <c r="CS956" s="265"/>
      <c r="CT956" s="265"/>
      <c r="CU956" s="265"/>
    </row>
    <row r="957" spans="10:99" ht="15" customHeight="1">
      <c r="J957" s="265"/>
      <c r="K957" s="1024"/>
      <c r="L957" s="1025"/>
      <c r="M957" s="1026"/>
      <c r="N957" s="1026"/>
      <c r="O957" s="265"/>
      <c r="P957" s="265"/>
      <c r="T957" s="265"/>
      <c r="U957" s="265"/>
      <c r="V957" s="265"/>
      <c r="X957" s="1026"/>
      <c r="Y957" s="265"/>
      <c r="Z957" s="265"/>
      <c r="AA957" s="265"/>
      <c r="AE957" s="265"/>
      <c r="AF957" s="265"/>
      <c r="AV957" s="265"/>
      <c r="AW957" s="265"/>
      <c r="AX957" s="265"/>
      <c r="AY957" s="265"/>
      <c r="BE957" s="265"/>
      <c r="BF957" s="1028"/>
      <c r="BJ957" s="265"/>
      <c r="BK957" s="1458"/>
      <c r="BL957" s="1028"/>
      <c r="BP957" s="265"/>
      <c r="BQ957" s="1458"/>
      <c r="BW957" s="11"/>
      <c r="CA957" s="11"/>
      <c r="CK957" s="265"/>
      <c r="CL957" s="265"/>
      <c r="CM957" s="265"/>
      <c r="CO957" s="11"/>
      <c r="CR957" s="1026"/>
      <c r="CS957" s="265"/>
      <c r="CT957" s="265"/>
      <c r="CU957" s="265"/>
    </row>
    <row r="958" spans="10:99" ht="15" customHeight="1">
      <c r="J958" s="265"/>
      <c r="K958" s="1024"/>
      <c r="L958" s="1025"/>
      <c r="M958" s="1026"/>
      <c r="N958" s="1026"/>
      <c r="O958" s="265"/>
      <c r="P958" s="265"/>
      <c r="T958" s="265"/>
      <c r="U958" s="265"/>
      <c r="V958" s="265"/>
      <c r="X958" s="1026"/>
      <c r="Y958" s="265"/>
      <c r="Z958" s="265"/>
      <c r="AA958" s="265"/>
      <c r="AE958" s="265"/>
      <c r="AF958" s="265"/>
      <c r="AV958" s="265"/>
      <c r="AW958" s="265"/>
      <c r="AX958" s="265"/>
      <c r="AY958" s="265"/>
      <c r="BE958" s="265"/>
      <c r="BF958" s="1028"/>
      <c r="BJ958" s="265"/>
      <c r="BK958" s="1458"/>
      <c r="BL958" s="1028"/>
      <c r="BP958" s="265"/>
      <c r="BQ958" s="1458"/>
      <c r="BW958" s="11"/>
      <c r="CA958" s="11"/>
      <c r="CK958" s="265"/>
      <c r="CL958" s="265"/>
      <c r="CM958" s="265"/>
      <c r="CO958" s="11"/>
      <c r="CR958" s="1026"/>
      <c r="CS958" s="265"/>
      <c r="CT958" s="265"/>
      <c r="CU958" s="265"/>
    </row>
    <row r="959" spans="10:99" ht="15" customHeight="1">
      <c r="J959" s="265"/>
      <c r="K959" s="1024"/>
      <c r="L959" s="1025"/>
      <c r="M959" s="1026"/>
      <c r="N959" s="1026"/>
      <c r="O959" s="265"/>
      <c r="P959" s="265"/>
      <c r="T959" s="265"/>
      <c r="U959" s="265"/>
      <c r="V959" s="265"/>
      <c r="X959" s="1026"/>
      <c r="Y959" s="265"/>
      <c r="Z959" s="265"/>
      <c r="AA959" s="265"/>
      <c r="AE959" s="265"/>
      <c r="AF959" s="265"/>
      <c r="AV959" s="265"/>
      <c r="AW959" s="265"/>
      <c r="AX959" s="265"/>
      <c r="AY959" s="265"/>
      <c r="BE959" s="265"/>
      <c r="BF959" s="1028"/>
      <c r="BJ959" s="265"/>
      <c r="BK959" s="1458"/>
      <c r="BL959" s="1028"/>
      <c r="BP959" s="265"/>
      <c r="BQ959" s="1458"/>
      <c r="BW959" s="11"/>
      <c r="CA959" s="11"/>
      <c r="CK959" s="265"/>
      <c r="CL959" s="265"/>
      <c r="CM959" s="265"/>
      <c r="CO959" s="11"/>
      <c r="CR959" s="1026"/>
      <c r="CS959" s="265"/>
      <c r="CT959" s="265"/>
      <c r="CU959" s="265"/>
    </row>
    <row r="960" spans="10:99" ht="15" customHeight="1">
      <c r="J960" s="265"/>
      <c r="K960" s="1024"/>
      <c r="L960" s="1025"/>
      <c r="M960" s="1026"/>
      <c r="N960" s="1026"/>
      <c r="O960" s="265"/>
      <c r="P960" s="265"/>
      <c r="T960" s="265"/>
      <c r="U960" s="265"/>
      <c r="V960" s="265"/>
      <c r="X960" s="1026"/>
      <c r="Y960" s="265"/>
      <c r="Z960" s="265"/>
      <c r="AA960" s="265"/>
      <c r="AE960" s="265"/>
      <c r="AF960" s="265"/>
      <c r="AV960" s="265"/>
      <c r="AW960" s="265"/>
      <c r="AX960" s="265"/>
      <c r="AY960" s="265"/>
      <c r="BE960" s="265"/>
      <c r="BF960" s="1028"/>
      <c r="BJ960" s="265"/>
      <c r="BK960" s="1458"/>
      <c r="BL960" s="1028"/>
      <c r="BP960" s="265"/>
      <c r="BQ960" s="1458"/>
      <c r="BW960" s="11"/>
      <c r="CA960" s="11"/>
      <c r="CK960" s="265"/>
      <c r="CL960" s="265"/>
      <c r="CM960" s="265"/>
      <c r="CO960" s="11"/>
      <c r="CR960" s="1026"/>
      <c r="CS960" s="265"/>
      <c r="CT960" s="265"/>
      <c r="CU960" s="265"/>
    </row>
    <row r="961" spans="10:99" ht="15" customHeight="1">
      <c r="J961" s="265"/>
      <c r="K961" s="1024"/>
      <c r="L961" s="1025"/>
      <c r="M961" s="1026"/>
      <c r="N961" s="1026"/>
      <c r="O961" s="265"/>
      <c r="P961" s="265"/>
      <c r="T961" s="265"/>
      <c r="U961" s="265"/>
      <c r="V961" s="265"/>
      <c r="X961" s="1026"/>
      <c r="Y961" s="265"/>
      <c r="Z961" s="265"/>
      <c r="AA961" s="265"/>
      <c r="AE961" s="265"/>
      <c r="AF961" s="265"/>
      <c r="AV961" s="265"/>
      <c r="AW961" s="265"/>
      <c r="AX961" s="265"/>
      <c r="AY961" s="265"/>
      <c r="BE961" s="265"/>
      <c r="BF961" s="1028"/>
      <c r="BJ961" s="265"/>
      <c r="BK961" s="1458"/>
      <c r="BL961" s="1028"/>
      <c r="BP961" s="265"/>
      <c r="BQ961" s="1458"/>
      <c r="BW961" s="11"/>
      <c r="CA961" s="11"/>
      <c r="CK961" s="265"/>
      <c r="CL961" s="265"/>
      <c r="CM961" s="265"/>
      <c r="CO961" s="11"/>
      <c r="CR961" s="1026"/>
      <c r="CS961" s="265"/>
      <c r="CT961" s="265"/>
      <c r="CU961" s="265"/>
    </row>
    <row r="962" spans="10:99" ht="15" customHeight="1">
      <c r="J962" s="265"/>
      <c r="K962" s="1024"/>
      <c r="L962" s="1025"/>
      <c r="M962" s="1026"/>
      <c r="N962" s="1026"/>
      <c r="O962" s="265"/>
      <c r="P962" s="265"/>
      <c r="T962" s="265"/>
      <c r="U962" s="265"/>
      <c r="V962" s="265"/>
      <c r="X962" s="1026"/>
      <c r="Y962" s="265"/>
      <c r="Z962" s="265"/>
      <c r="AA962" s="265"/>
      <c r="AE962" s="265"/>
      <c r="AF962" s="265"/>
      <c r="AV962" s="265"/>
      <c r="AW962" s="265"/>
      <c r="AX962" s="265"/>
      <c r="AY962" s="265"/>
      <c r="BE962" s="265"/>
      <c r="BF962" s="1028"/>
      <c r="BJ962" s="265"/>
      <c r="BK962" s="1458"/>
      <c r="BL962" s="1028"/>
      <c r="BP962" s="265"/>
      <c r="BQ962" s="1458"/>
      <c r="BW962" s="11"/>
      <c r="CA962" s="11"/>
      <c r="CK962" s="265"/>
      <c r="CL962" s="265"/>
      <c r="CM962" s="265"/>
      <c r="CO962" s="11"/>
      <c r="CR962" s="1026"/>
      <c r="CS962" s="265"/>
      <c r="CT962" s="265"/>
      <c r="CU962" s="265"/>
    </row>
    <row r="963" spans="10:99" ht="15" customHeight="1">
      <c r="J963" s="265"/>
      <c r="K963" s="1024"/>
      <c r="L963" s="1025"/>
      <c r="M963" s="1026"/>
      <c r="N963" s="1026"/>
      <c r="O963" s="265"/>
      <c r="P963" s="265"/>
      <c r="T963" s="265"/>
      <c r="U963" s="265"/>
      <c r="V963" s="265"/>
      <c r="X963" s="1026"/>
      <c r="Y963" s="265"/>
      <c r="Z963" s="265"/>
      <c r="AA963" s="265"/>
      <c r="AE963" s="265"/>
      <c r="AF963" s="265"/>
      <c r="AV963" s="265"/>
      <c r="AW963" s="265"/>
      <c r="AX963" s="265"/>
      <c r="AY963" s="265"/>
      <c r="BE963" s="265"/>
      <c r="BF963" s="1028"/>
      <c r="BJ963" s="265"/>
      <c r="BK963" s="1458"/>
      <c r="BL963" s="1028"/>
      <c r="BP963" s="265"/>
      <c r="BQ963" s="1458"/>
      <c r="BW963" s="11"/>
      <c r="CA963" s="11"/>
      <c r="CK963" s="265"/>
      <c r="CL963" s="265"/>
      <c r="CM963" s="265"/>
      <c r="CO963" s="11"/>
      <c r="CR963" s="1026"/>
      <c r="CS963" s="265"/>
      <c r="CT963" s="265"/>
      <c r="CU963" s="265"/>
    </row>
    <row r="964" spans="10:99" ht="15" customHeight="1">
      <c r="J964" s="265"/>
      <c r="K964" s="1024"/>
      <c r="L964" s="1025"/>
      <c r="M964" s="1026"/>
      <c r="N964" s="1026"/>
      <c r="O964" s="265"/>
      <c r="P964" s="265"/>
      <c r="T964" s="265"/>
      <c r="U964" s="265"/>
      <c r="V964" s="265"/>
      <c r="X964" s="1026"/>
      <c r="Y964" s="265"/>
      <c r="Z964" s="265"/>
      <c r="AA964" s="265"/>
      <c r="AE964" s="265"/>
      <c r="AF964" s="265"/>
      <c r="AV964" s="265"/>
      <c r="AW964" s="265"/>
      <c r="AX964" s="265"/>
      <c r="AY964" s="265"/>
      <c r="BE964" s="265"/>
      <c r="BF964" s="1028"/>
      <c r="BJ964" s="265"/>
      <c r="BK964" s="1458"/>
      <c r="BL964" s="1028"/>
      <c r="BP964" s="265"/>
      <c r="BQ964" s="1458"/>
      <c r="BW964" s="11"/>
      <c r="CA964" s="11"/>
      <c r="CK964" s="265"/>
      <c r="CL964" s="265"/>
      <c r="CM964" s="265"/>
      <c r="CO964" s="11"/>
      <c r="CR964" s="1026"/>
      <c r="CS964" s="265"/>
      <c r="CT964" s="265"/>
      <c r="CU964" s="265"/>
    </row>
    <row r="965" spans="10:99" ht="15" customHeight="1">
      <c r="J965" s="265"/>
      <c r="K965" s="1024"/>
      <c r="L965" s="1025"/>
      <c r="M965" s="1026"/>
      <c r="N965" s="1026"/>
      <c r="O965" s="265"/>
      <c r="P965" s="265"/>
      <c r="T965" s="265"/>
      <c r="U965" s="265"/>
      <c r="V965" s="265"/>
      <c r="X965" s="1026"/>
      <c r="Y965" s="265"/>
      <c r="Z965" s="265"/>
      <c r="AA965" s="265"/>
      <c r="AE965" s="265"/>
      <c r="AF965" s="265"/>
      <c r="AV965" s="265"/>
      <c r="AW965" s="265"/>
      <c r="AX965" s="265"/>
      <c r="AY965" s="265"/>
      <c r="BE965" s="265"/>
      <c r="BF965" s="1028"/>
      <c r="BJ965" s="265"/>
      <c r="BK965" s="1458"/>
      <c r="BL965" s="1028"/>
      <c r="BP965" s="265"/>
      <c r="BQ965" s="1458"/>
      <c r="BW965" s="11"/>
      <c r="CA965" s="11"/>
      <c r="CK965" s="265"/>
      <c r="CL965" s="265"/>
      <c r="CM965" s="265"/>
      <c r="CO965" s="11"/>
      <c r="CR965" s="1026"/>
      <c r="CS965" s="265"/>
      <c r="CT965" s="265"/>
      <c r="CU965" s="265"/>
    </row>
    <row r="966" spans="10:99" ht="15" customHeight="1">
      <c r="J966" s="265"/>
      <c r="K966" s="1024"/>
      <c r="L966" s="1025"/>
      <c r="M966" s="1026"/>
      <c r="N966" s="1026"/>
      <c r="O966" s="265"/>
      <c r="P966" s="265"/>
      <c r="T966" s="265"/>
      <c r="U966" s="265"/>
      <c r="V966" s="265"/>
      <c r="X966" s="1026"/>
      <c r="Y966" s="265"/>
      <c r="Z966" s="265"/>
      <c r="AA966" s="265"/>
      <c r="AE966" s="265"/>
      <c r="AF966" s="265"/>
      <c r="AV966" s="265"/>
      <c r="AW966" s="265"/>
      <c r="AX966" s="265"/>
      <c r="AY966" s="265"/>
      <c r="BE966" s="265"/>
      <c r="BF966" s="1028"/>
      <c r="BJ966" s="265"/>
      <c r="BK966" s="1458"/>
      <c r="BL966" s="1028"/>
      <c r="BP966" s="265"/>
      <c r="BQ966" s="1458"/>
      <c r="BW966" s="11"/>
      <c r="CA966" s="11"/>
      <c r="CK966" s="265"/>
      <c r="CL966" s="265"/>
      <c r="CM966" s="265"/>
      <c r="CO966" s="11"/>
      <c r="CR966" s="1026"/>
      <c r="CS966" s="265"/>
      <c r="CT966" s="265"/>
      <c r="CU966" s="265"/>
    </row>
    <row r="967" spans="10:99" ht="15" customHeight="1">
      <c r="J967" s="265"/>
      <c r="K967" s="1024"/>
      <c r="L967" s="1025"/>
      <c r="M967" s="1026"/>
      <c r="N967" s="1026"/>
      <c r="O967" s="265"/>
      <c r="P967" s="265"/>
      <c r="T967" s="265"/>
      <c r="U967" s="265"/>
      <c r="V967" s="265"/>
      <c r="X967" s="1026"/>
      <c r="Y967" s="265"/>
      <c r="Z967" s="265"/>
      <c r="AA967" s="265"/>
      <c r="AE967" s="265"/>
      <c r="AF967" s="265"/>
      <c r="AV967" s="265"/>
      <c r="AW967" s="265"/>
      <c r="AX967" s="265"/>
      <c r="AY967" s="265"/>
      <c r="BE967" s="265"/>
      <c r="BF967" s="1028"/>
      <c r="BJ967" s="265"/>
      <c r="BK967" s="1458"/>
      <c r="BL967" s="1028"/>
      <c r="BP967" s="265"/>
      <c r="BQ967" s="1458"/>
      <c r="BW967" s="11"/>
      <c r="CA967" s="11"/>
      <c r="CK967" s="265"/>
      <c r="CL967" s="265"/>
      <c r="CM967" s="265"/>
      <c r="CO967" s="11"/>
      <c r="CR967" s="1026"/>
      <c r="CS967" s="265"/>
      <c r="CT967" s="265"/>
      <c r="CU967" s="265"/>
    </row>
    <row r="968" spans="10:99" ht="15" customHeight="1">
      <c r="J968" s="265"/>
      <c r="K968" s="1024"/>
      <c r="L968" s="1025"/>
      <c r="M968" s="1026"/>
      <c r="N968" s="1026"/>
      <c r="O968" s="265"/>
      <c r="P968" s="265"/>
      <c r="T968" s="265"/>
      <c r="U968" s="265"/>
      <c r="V968" s="265"/>
      <c r="X968" s="1026"/>
      <c r="Y968" s="265"/>
      <c r="Z968" s="265"/>
      <c r="AA968" s="265"/>
      <c r="AE968" s="265"/>
      <c r="AF968" s="265"/>
      <c r="AV968" s="265"/>
      <c r="AW968" s="265"/>
      <c r="AX968" s="265"/>
      <c r="AY968" s="265"/>
      <c r="BE968" s="265"/>
      <c r="BF968" s="1028"/>
      <c r="BJ968" s="265"/>
      <c r="BK968" s="1458"/>
      <c r="BL968" s="1028"/>
      <c r="BP968" s="265"/>
      <c r="BQ968" s="1458"/>
      <c r="BW968" s="11"/>
      <c r="CA968" s="11"/>
      <c r="CK968" s="265"/>
      <c r="CL968" s="265"/>
      <c r="CM968" s="265"/>
      <c r="CO968" s="11"/>
      <c r="CR968" s="1026"/>
      <c r="CS968" s="265"/>
      <c r="CT968" s="265"/>
      <c r="CU968" s="265"/>
    </row>
    <row r="969" spans="10:99" ht="15" customHeight="1">
      <c r="J969" s="265"/>
      <c r="K969" s="1024"/>
      <c r="L969" s="1025"/>
      <c r="M969" s="1026"/>
      <c r="N969" s="1026"/>
      <c r="O969" s="265"/>
      <c r="P969" s="265"/>
      <c r="T969" s="265"/>
      <c r="U969" s="265"/>
      <c r="V969" s="265"/>
      <c r="X969" s="1026"/>
      <c r="Y969" s="265"/>
      <c r="Z969" s="265"/>
      <c r="AA969" s="265"/>
      <c r="AE969" s="265"/>
      <c r="AF969" s="265"/>
      <c r="AV969" s="265"/>
      <c r="AW969" s="265"/>
      <c r="AX969" s="265"/>
      <c r="AY969" s="265"/>
      <c r="BE969" s="265"/>
      <c r="BF969" s="1028"/>
      <c r="BJ969" s="265"/>
      <c r="BK969" s="1458"/>
      <c r="BL969" s="1028"/>
      <c r="BP969" s="265"/>
      <c r="BQ969" s="1458"/>
      <c r="BW969" s="11"/>
      <c r="CA969" s="11"/>
      <c r="CK969" s="265"/>
      <c r="CL969" s="265"/>
      <c r="CM969" s="265"/>
      <c r="CO969" s="11"/>
      <c r="CR969" s="1026"/>
      <c r="CS969" s="265"/>
      <c r="CT969" s="265"/>
      <c r="CU969" s="265"/>
    </row>
    <row r="970" spans="10:99" ht="15" customHeight="1">
      <c r="J970" s="265"/>
      <c r="K970" s="1024"/>
      <c r="L970" s="1025"/>
      <c r="M970" s="1026"/>
      <c r="N970" s="1026"/>
      <c r="O970" s="265"/>
      <c r="P970" s="265"/>
      <c r="T970" s="265"/>
      <c r="U970" s="265"/>
      <c r="V970" s="265"/>
      <c r="X970" s="1026"/>
      <c r="Y970" s="265"/>
      <c r="Z970" s="265"/>
      <c r="AA970" s="265"/>
      <c r="AE970" s="265"/>
      <c r="AF970" s="265"/>
      <c r="AV970" s="265"/>
      <c r="AW970" s="265"/>
      <c r="AX970" s="265"/>
      <c r="AY970" s="265"/>
      <c r="BE970" s="265"/>
      <c r="BF970" s="1028"/>
      <c r="BJ970" s="265"/>
      <c r="BK970" s="1458"/>
      <c r="BL970" s="1028"/>
      <c r="BP970" s="265"/>
      <c r="BQ970" s="1458"/>
      <c r="BW970" s="11"/>
      <c r="CA970" s="11"/>
      <c r="CK970" s="265"/>
      <c r="CL970" s="265"/>
      <c r="CM970" s="265"/>
      <c r="CO970" s="11"/>
      <c r="CR970" s="1026"/>
      <c r="CS970" s="265"/>
      <c r="CT970" s="265"/>
      <c r="CU970" s="265"/>
    </row>
    <row r="971" spans="10:99" ht="15" customHeight="1">
      <c r="J971" s="265"/>
      <c r="K971" s="1024"/>
      <c r="L971" s="1025"/>
      <c r="M971" s="1026"/>
      <c r="N971" s="1026"/>
      <c r="O971" s="265"/>
      <c r="P971" s="265"/>
      <c r="T971" s="265"/>
      <c r="U971" s="265"/>
      <c r="V971" s="265"/>
      <c r="X971" s="1026"/>
      <c r="Y971" s="265"/>
      <c r="Z971" s="265"/>
      <c r="AA971" s="265"/>
      <c r="AE971" s="265"/>
      <c r="AF971" s="265"/>
      <c r="AV971" s="265"/>
      <c r="AW971" s="265"/>
      <c r="AX971" s="265"/>
      <c r="AY971" s="265"/>
      <c r="BE971" s="265"/>
      <c r="BF971" s="1028"/>
      <c r="BJ971" s="265"/>
      <c r="BK971" s="1458"/>
      <c r="BL971" s="1028"/>
      <c r="BP971" s="265"/>
      <c r="BQ971" s="1458"/>
      <c r="BW971" s="11"/>
      <c r="CA971" s="11"/>
      <c r="CK971" s="265"/>
      <c r="CL971" s="265"/>
      <c r="CM971" s="265"/>
      <c r="CO971" s="11"/>
      <c r="CR971" s="1026"/>
      <c r="CS971" s="265"/>
      <c r="CT971" s="265"/>
      <c r="CU971" s="265"/>
    </row>
    <row r="972" spans="10:99" ht="15" customHeight="1">
      <c r="J972" s="265"/>
      <c r="K972" s="1024"/>
      <c r="L972" s="1025"/>
      <c r="M972" s="1026"/>
      <c r="N972" s="1026"/>
      <c r="O972" s="265"/>
      <c r="P972" s="265"/>
      <c r="T972" s="265"/>
      <c r="U972" s="265"/>
      <c r="V972" s="265"/>
      <c r="X972" s="1026"/>
      <c r="Y972" s="265"/>
      <c r="Z972" s="265"/>
      <c r="AA972" s="265"/>
      <c r="AE972" s="265"/>
      <c r="AF972" s="265"/>
      <c r="AV972" s="265"/>
      <c r="AW972" s="265"/>
      <c r="AX972" s="265"/>
      <c r="AY972" s="265"/>
      <c r="BE972" s="265"/>
      <c r="BF972" s="1028"/>
      <c r="BJ972" s="265"/>
      <c r="BK972" s="1458"/>
      <c r="BL972" s="1028"/>
      <c r="BP972" s="265"/>
      <c r="BQ972" s="1458"/>
      <c r="BW972" s="11"/>
      <c r="CA972" s="11"/>
      <c r="CK972" s="265"/>
      <c r="CL972" s="265"/>
      <c r="CM972" s="265"/>
      <c r="CO972" s="11"/>
      <c r="CR972" s="1026"/>
      <c r="CS972" s="265"/>
      <c r="CT972" s="265"/>
      <c r="CU972" s="265"/>
    </row>
    <row r="973" spans="10:99" ht="15" customHeight="1">
      <c r="J973" s="265"/>
      <c r="K973" s="1024"/>
      <c r="L973" s="1025"/>
      <c r="M973" s="1026"/>
      <c r="N973" s="1026"/>
      <c r="O973" s="265"/>
      <c r="P973" s="265"/>
      <c r="T973" s="265"/>
      <c r="U973" s="265"/>
      <c r="V973" s="265"/>
      <c r="X973" s="1026"/>
      <c r="Y973" s="265"/>
      <c r="Z973" s="265"/>
      <c r="AA973" s="265"/>
      <c r="AE973" s="265"/>
      <c r="AF973" s="265"/>
      <c r="AV973" s="265"/>
      <c r="AW973" s="265"/>
      <c r="AX973" s="265"/>
      <c r="AY973" s="265"/>
      <c r="BE973" s="265"/>
      <c r="BF973" s="1028"/>
      <c r="BJ973" s="265"/>
      <c r="BK973" s="1458"/>
      <c r="BL973" s="1028"/>
      <c r="BP973" s="265"/>
      <c r="BQ973" s="1458"/>
      <c r="BW973" s="11"/>
      <c r="CA973" s="11"/>
      <c r="CK973" s="265"/>
      <c r="CL973" s="265"/>
      <c r="CM973" s="265"/>
      <c r="CO973" s="11"/>
      <c r="CR973" s="1026"/>
      <c r="CS973" s="265"/>
      <c r="CT973" s="265"/>
      <c r="CU973" s="265"/>
    </row>
    <row r="974" spans="10:99" ht="15" customHeight="1">
      <c r="J974" s="265"/>
      <c r="K974" s="1024"/>
      <c r="L974" s="1025"/>
      <c r="M974" s="1026"/>
      <c r="N974" s="1026"/>
      <c r="O974" s="265"/>
      <c r="P974" s="265"/>
      <c r="T974" s="265"/>
      <c r="U974" s="265"/>
      <c r="V974" s="265"/>
      <c r="X974" s="1026"/>
      <c r="Y974" s="265"/>
      <c r="Z974" s="265"/>
      <c r="AA974" s="265"/>
      <c r="AE974" s="265"/>
      <c r="AF974" s="265"/>
      <c r="AV974" s="265"/>
      <c r="AW974" s="265"/>
      <c r="AX974" s="265"/>
      <c r="AY974" s="265"/>
      <c r="BE974" s="265"/>
      <c r="BF974" s="1028"/>
      <c r="BJ974" s="265"/>
      <c r="BK974" s="1458"/>
      <c r="BL974" s="1028"/>
      <c r="BP974" s="265"/>
      <c r="BQ974" s="1458"/>
      <c r="BW974" s="11"/>
      <c r="CA974" s="11"/>
      <c r="CK974" s="265"/>
      <c r="CL974" s="265"/>
      <c r="CM974" s="265"/>
      <c r="CO974" s="11"/>
      <c r="CR974" s="1026"/>
      <c r="CS974" s="265"/>
      <c r="CT974" s="265"/>
      <c r="CU974" s="265"/>
    </row>
    <row r="975" spans="10:99" ht="15" customHeight="1">
      <c r="J975" s="265"/>
      <c r="K975" s="1024"/>
      <c r="L975" s="1025"/>
      <c r="M975" s="1026"/>
      <c r="N975" s="1026"/>
      <c r="O975" s="265"/>
      <c r="P975" s="265"/>
      <c r="T975" s="265"/>
      <c r="U975" s="265"/>
      <c r="V975" s="265"/>
      <c r="X975" s="1026"/>
      <c r="Y975" s="265"/>
      <c r="Z975" s="265"/>
      <c r="AA975" s="265"/>
      <c r="AE975" s="265"/>
      <c r="AF975" s="265"/>
      <c r="AV975" s="265"/>
      <c r="AW975" s="265"/>
      <c r="AX975" s="265"/>
      <c r="AY975" s="265"/>
      <c r="BE975" s="265"/>
      <c r="BF975" s="1028"/>
      <c r="BJ975" s="265"/>
      <c r="BK975" s="1458"/>
      <c r="BL975" s="1028"/>
      <c r="BP975" s="265"/>
      <c r="BQ975" s="1458"/>
      <c r="BW975" s="11"/>
      <c r="CA975" s="11"/>
      <c r="CK975" s="265"/>
      <c r="CL975" s="265"/>
      <c r="CM975" s="265"/>
      <c r="CO975" s="11"/>
      <c r="CR975" s="1026"/>
      <c r="CS975" s="265"/>
      <c r="CT975" s="265"/>
      <c r="CU975" s="265"/>
    </row>
    <row r="976" spans="10:99" ht="15" customHeight="1">
      <c r="J976" s="265"/>
      <c r="K976" s="1024"/>
      <c r="L976" s="1025"/>
      <c r="M976" s="1026"/>
      <c r="N976" s="1026"/>
      <c r="O976" s="265"/>
      <c r="P976" s="265"/>
      <c r="T976" s="265"/>
      <c r="U976" s="265"/>
      <c r="V976" s="265"/>
      <c r="X976" s="1026"/>
      <c r="Y976" s="265"/>
      <c r="Z976" s="265"/>
      <c r="AA976" s="265"/>
      <c r="AE976" s="265"/>
      <c r="AF976" s="265"/>
      <c r="AV976" s="265"/>
      <c r="AW976" s="265"/>
      <c r="AX976" s="265"/>
      <c r="AY976" s="265"/>
      <c r="BE976" s="265"/>
      <c r="BF976" s="1028"/>
      <c r="BJ976" s="265"/>
      <c r="BK976" s="1458"/>
      <c r="BL976" s="1028"/>
      <c r="BP976" s="265"/>
      <c r="BQ976" s="1458"/>
      <c r="BW976" s="11"/>
      <c r="CA976" s="11"/>
      <c r="CK976" s="265"/>
      <c r="CL976" s="265"/>
      <c r="CM976" s="265"/>
      <c r="CO976" s="11"/>
      <c r="CR976" s="1026"/>
      <c r="CS976" s="265"/>
      <c r="CT976" s="265"/>
      <c r="CU976" s="265"/>
    </row>
    <row r="977" spans="10:99" ht="15" customHeight="1">
      <c r="J977" s="265"/>
      <c r="K977" s="1024"/>
      <c r="L977" s="1025"/>
      <c r="M977" s="1026"/>
      <c r="N977" s="1026"/>
      <c r="O977" s="265"/>
      <c r="P977" s="265"/>
      <c r="T977" s="265"/>
      <c r="U977" s="265"/>
      <c r="V977" s="265"/>
      <c r="X977" s="1026"/>
      <c r="Y977" s="265"/>
      <c r="Z977" s="265"/>
      <c r="AA977" s="265"/>
      <c r="AE977" s="265"/>
      <c r="AF977" s="265"/>
      <c r="AV977" s="265"/>
      <c r="AW977" s="265"/>
      <c r="AX977" s="265"/>
      <c r="AY977" s="265"/>
      <c r="BE977" s="265"/>
      <c r="BF977" s="1028"/>
      <c r="BJ977" s="265"/>
      <c r="BK977" s="1458"/>
      <c r="BL977" s="1028"/>
      <c r="BP977" s="265"/>
      <c r="BQ977" s="1458"/>
      <c r="BW977" s="11"/>
      <c r="CA977" s="11"/>
      <c r="CK977" s="265"/>
      <c r="CL977" s="265"/>
      <c r="CM977" s="265"/>
      <c r="CO977" s="11"/>
      <c r="CR977" s="1026"/>
      <c r="CS977" s="265"/>
      <c r="CT977" s="265"/>
      <c r="CU977" s="265"/>
    </row>
    <row r="978" spans="10:99" ht="15" customHeight="1">
      <c r="J978" s="265"/>
      <c r="K978" s="1024"/>
      <c r="L978" s="1025"/>
      <c r="M978" s="1026"/>
      <c r="N978" s="1026"/>
      <c r="O978" s="265"/>
      <c r="P978" s="265"/>
      <c r="T978" s="265"/>
      <c r="U978" s="265"/>
      <c r="V978" s="265"/>
      <c r="X978" s="1026"/>
      <c r="Y978" s="265"/>
      <c r="Z978" s="265"/>
      <c r="AA978" s="265"/>
      <c r="AE978" s="265"/>
      <c r="AF978" s="265"/>
      <c r="AV978" s="265"/>
      <c r="AW978" s="265"/>
      <c r="AX978" s="265"/>
      <c r="AY978" s="265"/>
      <c r="BE978" s="265"/>
      <c r="BF978" s="1028"/>
      <c r="BJ978" s="265"/>
      <c r="BK978" s="1458"/>
      <c r="BL978" s="1028"/>
      <c r="BP978" s="265"/>
      <c r="BQ978" s="1458"/>
      <c r="BW978" s="11"/>
      <c r="CA978" s="11"/>
      <c r="CK978" s="265"/>
      <c r="CL978" s="265"/>
      <c r="CM978" s="265"/>
      <c r="CO978" s="11"/>
      <c r="CR978" s="1026"/>
      <c r="CS978" s="265"/>
      <c r="CT978" s="265"/>
      <c r="CU978" s="265"/>
    </row>
    <row r="979" spans="10:99" ht="15" customHeight="1">
      <c r="J979" s="265"/>
      <c r="K979" s="1024"/>
      <c r="L979" s="1025"/>
      <c r="M979" s="1026"/>
      <c r="N979" s="1026"/>
      <c r="O979" s="265"/>
      <c r="P979" s="265"/>
      <c r="T979" s="265"/>
      <c r="U979" s="265"/>
      <c r="V979" s="265"/>
      <c r="X979" s="1026"/>
      <c r="Y979" s="265"/>
      <c r="Z979" s="265"/>
      <c r="AA979" s="265"/>
      <c r="AE979" s="265"/>
      <c r="AF979" s="265"/>
      <c r="AV979" s="265"/>
      <c r="AW979" s="265"/>
      <c r="AX979" s="265"/>
      <c r="AY979" s="265"/>
      <c r="BE979" s="265"/>
      <c r="BF979" s="1028"/>
      <c r="BJ979" s="265"/>
      <c r="BK979" s="1458"/>
      <c r="BL979" s="1028"/>
      <c r="BP979" s="265"/>
      <c r="BQ979" s="1458"/>
      <c r="BW979" s="11"/>
      <c r="CA979" s="11"/>
      <c r="CK979" s="265"/>
      <c r="CL979" s="265"/>
      <c r="CM979" s="265"/>
      <c r="CO979" s="11"/>
      <c r="CR979" s="1026"/>
      <c r="CS979" s="265"/>
      <c r="CT979" s="265"/>
      <c r="CU979" s="265"/>
    </row>
    <row r="980" spans="10:99" ht="15" customHeight="1">
      <c r="J980" s="265"/>
      <c r="K980" s="1024"/>
      <c r="L980" s="1025"/>
      <c r="M980" s="1026"/>
      <c r="N980" s="1026"/>
      <c r="O980" s="265"/>
      <c r="P980" s="265"/>
      <c r="T980" s="265"/>
      <c r="U980" s="265"/>
      <c r="V980" s="265"/>
      <c r="X980" s="1026"/>
      <c r="Y980" s="265"/>
      <c r="Z980" s="265"/>
      <c r="AA980" s="265"/>
      <c r="AE980" s="265"/>
      <c r="AF980" s="265"/>
      <c r="AV980" s="265"/>
      <c r="AW980" s="265"/>
      <c r="AX980" s="265"/>
      <c r="AY980" s="265"/>
      <c r="BE980" s="265"/>
      <c r="BF980" s="1028"/>
      <c r="BJ980" s="265"/>
      <c r="BK980" s="1458"/>
      <c r="BL980" s="1028"/>
      <c r="BP980" s="265"/>
      <c r="BQ980" s="1458"/>
      <c r="BW980" s="11"/>
      <c r="CA980" s="11"/>
      <c r="CK980" s="265"/>
      <c r="CL980" s="265"/>
      <c r="CM980" s="265"/>
      <c r="CO980" s="11"/>
      <c r="CR980" s="1026"/>
      <c r="CS980" s="265"/>
      <c r="CT980" s="265"/>
      <c r="CU980" s="265"/>
    </row>
    <row r="981" spans="10:99" ht="15" customHeight="1">
      <c r="J981" s="265"/>
      <c r="K981" s="1024"/>
      <c r="L981" s="1025"/>
      <c r="M981" s="1026"/>
      <c r="N981" s="1026"/>
      <c r="O981" s="265"/>
      <c r="P981" s="265"/>
      <c r="T981" s="265"/>
      <c r="U981" s="265"/>
      <c r="V981" s="265"/>
      <c r="X981" s="1026"/>
      <c r="Y981" s="265"/>
      <c r="Z981" s="265"/>
      <c r="AA981" s="265"/>
      <c r="AE981" s="265"/>
      <c r="AF981" s="265"/>
      <c r="BE981" s="265"/>
      <c r="BF981" s="1028"/>
      <c r="BJ981" s="265"/>
      <c r="BK981" s="1458"/>
      <c r="BL981" s="1028"/>
      <c r="BP981" s="265"/>
      <c r="BQ981" s="1458"/>
      <c r="BW981" s="11"/>
      <c r="CA981" s="11"/>
      <c r="CK981" s="265"/>
      <c r="CL981" s="265"/>
      <c r="CM981" s="265"/>
      <c r="CO981" s="11"/>
      <c r="CR981" s="1026"/>
      <c r="CS981" s="265"/>
      <c r="CT981" s="265"/>
      <c r="CU981" s="265"/>
    </row>
  </sheetData>
  <autoFilter ref="A1:DT466" xr:uid="{00000000-0009-0000-0000-000004000000}"/>
  <customSheetViews>
    <customSheetView guid="{283C6EFD-FB32-4666-B3E0-52C9295C4966}" filter="1" showAutoFilter="1">
      <pageMargins left="0.7" right="0.7" top="0.75" bottom="0.75" header="0.3" footer="0.3"/>
      <autoFilter ref="A316:DT467" xr:uid="{8B2AB03F-881E-492B-B2FB-09C510C40103}"/>
      <extLst>
        <ext uri="GoogleSheetsCustomDataVersion1">
          <go:sheetsCustomData xmlns:go="http://customooxmlschemas.google.com/" filterViewId="1372850414"/>
        </ext>
      </extLst>
    </customSheetView>
  </customSheetViews>
  <mergeCells count="1">
    <mergeCell ref="B470:D470"/>
  </mergeCells>
  <dataValidations count="2">
    <dataValidation type="custom" allowBlank="1" showErrorMessage="1" sqref="W87 Y87:AA87 W90:W239 Y90:AA239 W243:W250 Y243:AA250 W255 Y255:AA255 W264:W272 Y264:AA272 W285 Y285:AA285 W288:W289 Y288:AA289 W291 Y291:AA291 W297 Y297:AA297 W341 Y341:AA341 W343 Y343:AA343 W345:W381 Y345:AA381 W383:W395 Y383:AA395 W419:W431 Y419:AA431 W466 Y466:AA466" xr:uid="{00000000-0002-0000-0400-000000000000}">
      <formula1>"Azienda"</formula1>
    </dataValidation>
    <dataValidation type="list" allowBlank="1" showErrorMessage="1" sqref="BU71:BU74 BY71:BY74 BU84:BU149 BY84:BY149 BU151:BU184 BY151:BY184 BU186:BU197 BY186:BY197 BU200:BU214 BY200:BY214 BU216:BU239 BY216:BY239 CC87:CC240 CG87:CG240 CD241 CH241 CC242 CC243:CJ243 CC244 CG244 CC245:CJ245 CC246:CC247 CG246:CG247 CC248:CJ250 BU243:BU251 BY243:BY251 CC252:CC260 CG252:CG260 CY261:CY262 BU264:BU272 BY264:BY272 CC264:CC273 CG264:CG273 CC277:CC284 CG277:CG284 BU285 BY285 CC285:CJ285 CC286:CC296 CG286:CG296 BU297 BY297 CC297:CJ297 BU299:BU300 CC298:CC300 CC302:CC303 CG302:CG303 BU341 BY341 CC341 CG341 CC343 CG343 BU343:BU381 BY343:BY381 CC345:CC381 CG345:CG381 CC383 CG383 CC384:CJ392 BU383:BU394 BY383:BY394 CC393:CK394 CG395:CG396 BU396:BU398 BY396:BY398 CC395:CC398 BU402 BU404 BU419 BU435 BY435 CC405:CC437 CG405:CG437 CC438:CJ438 BU437:BU440 BY437:BY440 BU442 BY442 BU451 BU462 BU466 BY466 CC452:CC466 CG466" xr:uid="{00000000-0002-0000-0400-000002000000}">
      <formula1>"x"</formula1>
    </dataValidation>
  </dataValidations>
  <hyperlinks>
    <hyperlink ref="I4" r:id="rId1" xr:uid="{00000000-0004-0000-0400-000000000000}"/>
    <hyperlink ref="I24" r:id="rId2" xr:uid="{00000000-0004-0000-0400-000001000000}"/>
    <hyperlink ref="I25" r:id="rId3" xr:uid="{00000000-0004-0000-0400-000002000000}"/>
    <hyperlink ref="I36" r:id="rId4" xr:uid="{00000000-0004-0000-0400-000003000000}"/>
    <hyperlink ref="I60" r:id="rId5" xr:uid="{00000000-0004-0000-0400-000004000000}"/>
    <hyperlink ref="I62" r:id="rId6" xr:uid="{00000000-0004-0000-0400-000005000000}"/>
    <hyperlink ref="I69" r:id="rId7" xr:uid="{00000000-0004-0000-0400-000006000000}"/>
    <hyperlink ref="I70" r:id="rId8" xr:uid="{00000000-0004-0000-0400-000007000000}"/>
    <hyperlink ref="I75" r:id="rId9" xr:uid="{00000000-0004-0000-0400-000008000000}"/>
    <hyperlink ref="I76" r:id="rId10" xr:uid="{00000000-0004-0000-0400-000009000000}"/>
    <hyperlink ref="I79" r:id="rId11" xr:uid="{00000000-0004-0000-0400-00000A000000}"/>
    <hyperlink ref="I81" r:id="rId12" xr:uid="{00000000-0004-0000-0400-00000B000000}"/>
    <hyperlink ref="I82" r:id="rId13" xr:uid="{00000000-0004-0000-0400-00000C000000}"/>
    <hyperlink ref="I83" r:id="rId14" xr:uid="{00000000-0004-0000-0400-00000D000000}"/>
    <hyperlink ref="I86" r:id="rId15" xr:uid="{00000000-0004-0000-0400-00000E000000}"/>
    <hyperlink ref="I89" r:id="rId16" xr:uid="{00000000-0004-0000-0400-00000F000000}"/>
    <hyperlink ref="I90" r:id="rId17" xr:uid="{00000000-0004-0000-0400-000010000000}"/>
    <hyperlink ref="I96" r:id="rId18" xr:uid="{00000000-0004-0000-0400-000011000000}"/>
    <hyperlink ref="I128" r:id="rId19" xr:uid="{00000000-0004-0000-0400-000012000000}"/>
    <hyperlink ref="I135" r:id="rId20" xr:uid="{00000000-0004-0000-0400-000013000000}"/>
    <hyperlink ref="I137" r:id="rId21" xr:uid="{00000000-0004-0000-0400-000014000000}"/>
    <hyperlink ref="I141" r:id="rId22" xr:uid="{00000000-0004-0000-0400-000015000000}"/>
    <hyperlink ref="I143" r:id="rId23" xr:uid="{00000000-0004-0000-0400-000016000000}"/>
    <hyperlink ref="I152" r:id="rId24" xr:uid="{00000000-0004-0000-0400-000017000000}"/>
    <hyperlink ref="I157" r:id="rId25" xr:uid="{00000000-0004-0000-0400-000018000000}"/>
    <hyperlink ref="I166" r:id="rId26" xr:uid="{00000000-0004-0000-0400-000019000000}"/>
    <hyperlink ref="I174" r:id="rId27" xr:uid="{00000000-0004-0000-0400-00001A000000}"/>
    <hyperlink ref="I175" r:id="rId28" xr:uid="{00000000-0004-0000-0400-00001B000000}"/>
    <hyperlink ref="I176" r:id="rId29" xr:uid="{00000000-0004-0000-0400-00001C000000}"/>
    <hyperlink ref="I177" r:id="rId30" xr:uid="{00000000-0004-0000-0400-00001D000000}"/>
    <hyperlink ref="I181" r:id="rId31" xr:uid="{00000000-0004-0000-0400-00001E000000}"/>
    <hyperlink ref="I188" r:id="rId32" xr:uid="{00000000-0004-0000-0400-00001F000000}"/>
    <hyperlink ref="I216" r:id="rId33" xr:uid="{00000000-0004-0000-0400-000020000000}"/>
    <hyperlink ref="I218" r:id="rId34" xr:uid="{00000000-0004-0000-0400-000021000000}"/>
    <hyperlink ref="I227" r:id="rId35" xr:uid="{00000000-0004-0000-0400-000022000000}"/>
    <hyperlink ref="I234" r:id="rId36" xr:uid="{00000000-0004-0000-0400-000023000000}"/>
    <hyperlink ref="I236" r:id="rId37" xr:uid="{00000000-0004-0000-0400-000024000000}"/>
    <hyperlink ref="I243" r:id="rId38" xr:uid="{00000000-0004-0000-0400-000025000000}"/>
    <hyperlink ref="I250" r:id="rId39" xr:uid="{00000000-0004-0000-0400-000026000000}"/>
    <hyperlink ref="I252" r:id="rId40" xr:uid="{00000000-0004-0000-0400-000027000000}"/>
    <hyperlink ref="X252" r:id="rId41" xr:uid="{00000000-0004-0000-0400-000028000000}"/>
    <hyperlink ref="AC252" r:id="rId42" xr:uid="{00000000-0004-0000-0400-000029000000}"/>
    <hyperlink ref="I253" r:id="rId43" xr:uid="{00000000-0004-0000-0400-00002A000000}"/>
    <hyperlink ref="I254" r:id="rId44" xr:uid="{00000000-0004-0000-0400-00002B000000}"/>
    <hyperlink ref="I255" r:id="rId45" xr:uid="{00000000-0004-0000-0400-00002C000000}"/>
    <hyperlink ref="I257" r:id="rId46" xr:uid="{00000000-0004-0000-0400-00002D000000}"/>
    <hyperlink ref="I258" r:id="rId47" xr:uid="{00000000-0004-0000-0400-00002E000000}"/>
    <hyperlink ref="I259" r:id="rId48" xr:uid="{00000000-0004-0000-0400-00002F000000}"/>
    <hyperlink ref="I260" r:id="rId49" xr:uid="{00000000-0004-0000-0400-000030000000}"/>
    <hyperlink ref="I261" r:id="rId50" xr:uid="{00000000-0004-0000-0400-000031000000}"/>
    <hyperlink ref="I263" r:id="rId51" xr:uid="{00000000-0004-0000-0400-000032000000}"/>
    <hyperlink ref="I272" r:id="rId52" xr:uid="{00000000-0004-0000-0400-000033000000}"/>
    <hyperlink ref="I278" r:id="rId53" xr:uid="{00000000-0004-0000-0400-000034000000}"/>
    <hyperlink ref="I279" r:id="rId54" xr:uid="{00000000-0004-0000-0400-000035000000}"/>
    <hyperlink ref="I281" r:id="rId55" xr:uid="{00000000-0004-0000-0400-000036000000}"/>
    <hyperlink ref="I283" r:id="rId56" xr:uid="{00000000-0004-0000-0400-000037000000}"/>
    <hyperlink ref="I284" r:id="rId57" xr:uid="{00000000-0004-0000-0400-000038000000}"/>
    <hyperlink ref="X290" r:id="rId58" xr:uid="{00000000-0004-0000-0400-000039000000}"/>
    <hyperlink ref="AC290" r:id="rId59" xr:uid="{00000000-0004-0000-0400-00003A000000}"/>
    <hyperlink ref="AC291" r:id="rId60" xr:uid="{00000000-0004-0000-0400-00003B000000}"/>
    <hyperlink ref="I294" r:id="rId61" xr:uid="{00000000-0004-0000-0400-00003C000000}"/>
    <hyperlink ref="I298" r:id="rId62" xr:uid="{00000000-0004-0000-0400-00003D000000}"/>
    <hyperlink ref="AC301" r:id="rId63" xr:uid="{00000000-0004-0000-0400-00003E000000}"/>
    <hyperlink ref="I344" r:id="rId64" xr:uid="{00000000-0004-0000-0400-00003F000000}"/>
    <hyperlink ref="I350" r:id="rId65" xr:uid="{00000000-0004-0000-0400-000040000000}"/>
    <hyperlink ref="I354" r:id="rId66" xr:uid="{00000000-0004-0000-0400-000041000000}"/>
    <hyperlink ref="I355" r:id="rId67" xr:uid="{00000000-0004-0000-0400-000042000000}"/>
    <hyperlink ref="I356" r:id="rId68" xr:uid="{00000000-0004-0000-0400-000043000000}"/>
    <hyperlink ref="I365" r:id="rId69" xr:uid="{00000000-0004-0000-0400-000044000000}"/>
    <hyperlink ref="I369" r:id="rId70" xr:uid="{00000000-0004-0000-0400-000045000000}"/>
    <hyperlink ref="X384" r:id="rId71" xr:uid="{00000000-0004-0000-0400-000046000000}"/>
    <hyperlink ref="AC384" r:id="rId72" xr:uid="{00000000-0004-0000-0400-000047000000}"/>
    <hyperlink ref="AC391" r:id="rId73" xr:uid="{00000000-0004-0000-0400-000048000000}"/>
    <hyperlink ref="X395" r:id="rId74" xr:uid="{00000000-0004-0000-0400-000049000000}"/>
    <hyperlink ref="AC399" r:id="rId75" xr:uid="{00000000-0004-0000-0400-00004A000000}"/>
    <hyperlink ref="AC401" r:id="rId76" xr:uid="{00000000-0004-0000-0400-00004B000000}"/>
    <hyperlink ref="X405" r:id="rId77" xr:uid="{00000000-0004-0000-0400-00004C000000}"/>
    <hyperlink ref="AC405" r:id="rId78" xr:uid="{00000000-0004-0000-0400-00004D000000}"/>
    <hyperlink ref="I407" r:id="rId79" xr:uid="{00000000-0004-0000-0400-00004E000000}"/>
    <hyperlink ref="I411" r:id="rId80" xr:uid="{00000000-0004-0000-0400-00004F000000}"/>
    <hyperlink ref="X413" r:id="rId81" xr:uid="{00000000-0004-0000-0400-000050000000}"/>
    <hyperlink ref="X415" r:id="rId82" xr:uid="{00000000-0004-0000-0400-000051000000}"/>
    <hyperlink ref="AC415" r:id="rId83" xr:uid="{00000000-0004-0000-0400-000052000000}"/>
    <hyperlink ref="I422" r:id="rId84" xr:uid="{00000000-0004-0000-0400-000053000000}"/>
    <hyperlink ref="I435" r:id="rId85" xr:uid="{00000000-0004-0000-0400-000054000000}"/>
    <hyperlink ref="I437" r:id="rId86" xr:uid="{00000000-0004-0000-0400-000055000000}"/>
    <hyperlink ref="X439" r:id="rId87" xr:uid="{00000000-0004-0000-0400-000056000000}"/>
    <hyperlink ref="AC439" r:id="rId88" xr:uid="{00000000-0004-0000-0400-000057000000}"/>
    <hyperlink ref="AC444" r:id="rId89" xr:uid="{00000000-0004-0000-0400-000058000000}"/>
    <hyperlink ref="AC447" r:id="rId90" xr:uid="{00000000-0004-0000-0400-000059000000}"/>
    <hyperlink ref="AC448" r:id="rId91" xr:uid="{00000000-0004-0000-0400-00005A000000}"/>
    <hyperlink ref="I449" r:id="rId92" xr:uid="{00000000-0004-0000-0400-00005B000000}"/>
    <hyperlink ref="X450" r:id="rId93" xr:uid="{00000000-0004-0000-0400-00005C000000}"/>
    <hyperlink ref="AC450" r:id="rId94" xr:uid="{00000000-0004-0000-0400-00005D000000}"/>
    <hyperlink ref="X452" r:id="rId95" xr:uid="{00000000-0004-0000-0400-00005E000000}"/>
    <hyperlink ref="X460" r:id="rId96" xr:uid="{00000000-0004-0000-0400-00005F000000}"/>
    <hyperlink ref="AC460" r:id="rId97" xr:uid="{00000000-0004-0000-0400-000060000000}"/>
    <hyperlink ref="X463" r:id="rId98" xr:uid="{00000000-0004-0000-0400-000061000000}"/>
    <hyperlink ref="AC463" r:id="rId99" xr:uid="{00000000-0004-0000-0400-000062000000}"/>
    <hyperlink ref="I466" r:id="rId100" xr:uid="{00000000-0004-0000-0400-000063000000}"/>
  </hyperlinks>
  <pageMargins left="0.75" right="0.75" top="1" bottom="1" header="0" footer="0"/>
  <pageSetup paperSize="9" orientation="portrait"/>
  <legacyDrawing r:id="rId101"/>
  <extLst>
    <ext xmlns:x14="http://schemas.microsoft.com/office/spreadsheetml/2009/9/main" uri="{CCE6A557-97BC-4b89-ADB6-D9C93CAAB3DF}">
      <x14:dataValidations xmlns:xm="http://schemas.microsoft.com/office/excel/2006/main" count="1">
        <x14:dataValidation type="list" allowBlank="1" showErrorMessage="1" xr:uid="{00000000-0002-0000-0400-000001000000}">
          <x14:formula1>
            <xm:f>'Data Validation'!$J$3:$J$7</xm:f>
          </x14:formula1>
          <xm:sqref>M91:M103 M105:M118 M120:M146 M148:M155 M157:M159 M161:M165 M167:M168 M171:M172 M174 M176:M178 M181 M183:M198 M200:M216 M218:M220 M223:M224 M227 M229:M239 M244 M246:M247 M264:M270 M272 M304:M315 M345:M361 M363:M364 M368:M376 M378:M381 M466 M468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78"/>
  <sheetViews>
    <sheetView workbookViewId="0"/>
  </sheetViews>
  <sheetFormatPr defaultColWidth="14.42578125" defaultRowHeight="15" customHeight="1" outlineLevelRow="1"/>
  <cols>
    <col min="1" max="1" width="4.140625" customWidth="1"/>
    <col min="2" max="2" width="20.7109375" customWidth="1"/>
    <col min="4" max="4" width="36.42578125" customWidth="1"/>
    <col min="5" max="5" width="12.85546875" customWidth="1"/>
    <col min="6" max="6" width="16.140625" customWidth="1"/>
    <col min="7" max="7" width="37.28515625" customWidth="1"/>
    <col min="8" max="8" width="30.7109375" customWidth="1"/>
    <col min="9" max="9" width="26.28515625" customWidth="1"/>
    <col min="10" max="10" width="10.7109375" customWidth="1"/>
    <col min="11" max="11" width="12.7109375" customWidth="1"/>
    <col min="12" max="12" width="15.7109375" customWidth="1"/>
    <col min="13" max="16" width="22.42578125" customWidth="1"/>
    <col min="17" max="26" width="8.7109375" customWidth="1"/>
  </cols>
  <sheetData>
    <row r="1" spans="1:26" ht="12.75" customHeight="1">
      <c r="A1" s="1030"/>
      <c r="B1" s="1030"/>
      <c r="C1" s="1030"/>
      <c r="D1" s="1031" t="s">
        <v>3333</v>
      </c>
      <c r="E1" s="1031"/>
      <c r="F1" s="1031"/>
      <c r="G1" s="1031"/>
      <c r="H1" s="1031"/>
      <c r="I1" s="1032"/>
      <c r="J1" s="1031"/>
      <c r="K1" s="1033"/>
      <c r="L1" s="1030"/>
      <c r="M1" s="1030" t="s">
        <v>3334</v>
      </c>
      <c r="N1" s="1030" t="s">
        <v>3335</v>
      </c>
      <c r="O1" s="1030" t="s">
        <v>3336</v>
      </c>
      <c r="P1" s="1030" t="s">
        <v>3337</v>
      </c>
      <c r="Q1" s="1030"/>
      <c r="R1" s="1030"/>
      <c r="S1" s="1030"/>
      <c r="T1" s="1030"/>
      <c r="U1" s="1030"/>
      <c r="V1" s="1030"/>
      <c r="W1" s="1030"/>
      <c r="X1" s="1030"/>
      <c r="Y1" s="1030"/>
      <c r="Z1" s="1030"/>
    </row>
    <row r="2" spans="1:26" ht="30.75" customHeight="1">
      <c r="A2" s="1030"/>
      <c r="B2" s="1030"/>
      <c r="C2" s="1030"/>
      <c r="D2" s="1034" t="s">
        <v>3338</v>
      </c>
      <c r="E2" s="1035" t="s">
        <v>117</v>
      </c>
      <c r="F2" s="1036" t="s">
        <v>3339</v>
      </c>
      <c r="G2" s="1459" t="s">
        <v>4701</v>
      </c>
      <c r="H2" s="1036" t="s">
        <v>3341</v>
      </c>
      <c r="I2" s="1037" t="s">
        <v>3342</v>
      </c>
      <c r="J2" s="1038" t="s">
        <v>3343</v>
      </c>
      <c r="K2" s="1037">
        <f>'Lista Corso'!BL490</f>
        <v>0</v>
      </c>
      <c r="L2" s="1039"/>
      <c r="M2" s="1040" t="s">
        <v>3344</v>
      </c>
      <c r="N2" s="1040" t="s">
        <v>3345</v>
      </c>
      <c r="O2" s="1040" t="s">
        <v>3346</v>
      </c>
      <c r="P2" s="1040" t="s">
        <v>3346</v>
      </c>
      <c r="Q2" s="1030"/>
      <c r="R2" s="1030"/>
      <c r="S2" s="1030"/>
      <c r="T2" s="1030"/>
      <c r="U2" s="1030"/>
      <c r="V2" s="1030"/>
      <c r="W2" s="1030"/>
      <c r="X2" s="1030"/>
      <c r="Y2" s="1030"/>
      <c r="Z2" s="1030"/>
    </row>
    <row r="3" spans="1:26" ht="12.75" customHeight="1">
      <c r="A3" s="1030"/>
      <c r="B3" s="1030"/>
      <c r="C3" s="1030"/>
      <c r="D3" s="1034" t="s">
        <v>3347</v>
      </c>
      <c r="E3" s="1035">
        <f>3+3+2</f>
        <v>8</v>
      </c>
      <c r="F3" s="1034" t="s">
        <v>3348</v>
      </c>
      <c r="G3" s="1035" t="s">
        <v>4702</v>
      </c>
      <c r="H3" s="1038" t="s">
        <v>3350</v>
      </c>
      <c r="I3" s="1037" t="s">
        <v>3351</v>
      </c>
      <c r="J3" s="1038" t="s">
        <v>3352</v>
      </c>
      <c r="K3" s="1037" t="s">
        <v>3353</v>
      </c>
      <c r="L3" s="1039"/>
      <c r="M3" s="1040" t="s">
        <v>690</v>
      </c>
      <c r="N3" s="1040" t="s">
        <v>3354</v>
      </c>
      <c r="O3" s="1040" t="s">
        <v>998</v>
      </c>
      <c r="P3" s="1040" t="s">
        <v>998</v>
      </c>
      <c r="Q3" s="1030"/>
      <c r="R3" s="1030"/>
      <c r="S3" s="1030"/>
      <c r="T3" s="1030"/>
      <c r="U3" s="1030"/>
      <c r="V3" s="1030"/>
      <c r="W3" s="1030"/>
      <c r="X3" s="1030"/>
      <c r="Y3" s="1030"/>
      <c r="Z3" s="1030"/>
    </row>
    <row r="4" spans="1:26" ht="12.75" customHeight="1">
      <c r="A4" s="1030"/>
      <c r="B4" s="1030"/>
      <c r="C4" s="1030"/>
      <c r="D4" s="1039"/>
      <c r="E4" s="1030"/>
      <c r="F4" s="1039"/>
      <c r="G4" s="1039"/>
      <c r="H4" s="1030"/>
      <c r="I4" s="1041"/>
      <c r="J4" s="1038" t="s">
        <v>3355</v>
      </c>
      <c r="K4" s="1042" t="str">
        <f>IF(E3=0,"",IF(K2/E3&lt;2500,"C",IF(K2/E3&lt;4000,"B","A")))</f>
        <v>C</v>
      </c>
      <c r="L4" s="1039"/>
      <c r="M4" s="1040" t="s">
        <v>117</v>
      </c>
      <c r="N4" s="1040" t="s">
        <v>3346</v>
      </c>
      <c r="O4" s="1040" t="s">
        <v>3356</v>
      </c>
      <c r="P4" s="1040" t="s">
        <v>3356</v>
      </c>
      <c r="Q4" s="1030"/>
      <c r="R4" s="1030"/>
      <c r="S4" s="1030"/>
      <c r="T4" s="1030"/>
      <c r="U4" s="1030"/>
      <c r="V4" s="1030"/>
      <c r="W4" s="1030"/>
      <c r="X4" s="1030"/>
      <c r="Y4" s="1030"/>
      <c r="Z4" s="1030"/>
    </row>
    <row r="5" spans="1:26" ht="12.75" customHeight="1">
      <c r="A5" s="1030"/>
      <c r="B5" s="1030"/>
      <c r="C5" s="1030"/>
      <c r="D5" s="1039"/>
      <c r="E5" s="1030"/>
      <c r="F5" s="1039"/>
      <c r="G5" s="1039"/>
      <c r="H5" s="1030"/>
      <c r="I5" s="1041"/>
      <c r="J5" s="1043"/>
      <c r="K5" s="1044"/>
      <c r="L5" s="1039"/>
      <c r="M5" s="1040" t="s">
        <v>3346</v>
      </c>
      <c r="N5" s="1040" t="s">
        <v>998</v>
      </c>
      <c r="O5" s="1040" t="s">
        <v>1077</v>
      </c>
      <c r="P5" s="1040" t="s">
        <v>3357</v>
      </c>
      <c r="Q5" s="1030"/>
      <c r="R5" s="1030"/>
      <c r="S5" s="1030"/>
      <c r="T5" s="1030"/>
      <c r="U5" s="1030"/>
      <c r="V5" s="1030"/>
      <c r="W5" s="1030"/>
      <c r="X5" s="1030"/>
      <c r="Y5" s="1030"/>
      <c r="Z5" s="1030"/>
    </row>
    <row r="6" spans="1:26" ht="12.75" customHeight="1">
      <c r="A6" s="1030"/>
      <c r="B6" s="1030"/>
      <c r="C6" s="1030"/>
      <c r="D6" s="1039"/>
      <c r="E6" s="1030"/>
      <c r="F6" s="1039"/>
      <c r="G6" s="1039"/>
      <c r="H6" s="1030"/>
      <c r="I6" s="1041"/>
      <c r="J6" s="1045" t="s">
        <v>3358</v>
      </c>
      <c r="K6" s="1045" t="s">
        <v>3359</v>
      </c>
      <c r="L6" s="1039"/>
      <c r="M6" s="1040" t="s">
        <v>998</v>
      </c>
      <c r="N6" s="1040" t="s">
        <v>3356</v>
      </c>
      <c r="O6" s="1040" t="s">
        <v>976</v>
      </c>
      <c r="P6" s="1040" t="s">
        <v>1077</v>
      </c>
      <c r="Q6" s="1030"/>
      <c r="R6" s="1030"/>
      <c r="S6" s="1030"/>
      <c r="T6" s="1030"/>
      <c r="U6" s="1030"/>
      <c r="V6" s="1030"/>
      <c r="W6" s="1030"/>
      <c r="X6" s="1030"/>
      <c r="Y6" s="1030"/>
      <c r="Z6" s="1030"/>
    </row>
    <row r="7" spans="1:26" ht="26.25" customHeight="1">
      <c r="A7" s="1030"/>
      <c r="B7" s="1030"/>
      <c r="C7" s="1030"/>
      <c r="D7" s="1046" t="s">
        <v>3360</v>
      </c>
      <c r="E7" s="1035"/>
      <c r="F7" s="1035"/>
      <c r="G7" s="1047"/>
      <c r="H7" s="1047"/>
      <c r="I7" s="1048" t="s">
        <v>3361</v>
      </c>
      <c r="J7" s="1049">
        <v>0</v>
      </c>
      <c r="K7" s="1050" t="str">
        <f t="shared" ref="K7:K8" si="0">IF(E7=0,"-",E7)</f>
        <v>-</v>
      </c>
      <c r="L7" s="1030"/>
      <c r="M7" s="1040" t="s">
        <v>3356</v>
      </c>
      <c r="N7" s="1040" t="s">
        <v>1077</v>
      </c>
      <c r="O7" s="1040" t="s">
        <v>1388</v>
      </c>
      <c r="P7" s="1040" t="s">
        <v>976</v>
      </c>
      <c r="Q7" s="1030"/>
      <c r="R7" s="1030"/>
      <c r="S7" s="1030"/>
      <c r="T7" s="1030"/>
      <c r="U7" s="1030"/>
      <c r="V7" s="1030"/>
      <c r="W7" s="1030"/>
      <c r="X7" s="1030"/>
      <c r="Y7" s="1030"/>
      <c r="Z7" s="1030"/>
    </row>
    <row r="8" spans="1:26" ht="12.75" customHeight="1">
      <c r="A8" s="1030"/>
      <c r="B8" s="1030"/>
      <c r="C8" s="1030"/>
      <c r="D8" s="1046" t="s">
        <v>3362</v>
      </c>
      <c r="E8" s="1035"/>
      <c r="F8" s="1035"/>
      <c r="G8" s="1047"/>
      <c r="H8" s="1047"/>
      <c r="I8" s="1038" t="s">
        <v>3363</v>
      </c>
      <c r="J8" s="1049">
        <v>0</v>
      </c>
      <c r="K8" s="1050" t="str">
        <f t="shared" si="0"/>
        <v>-</v>
      </c>
      <c r="L8" s="1030"/>
      <c r="M8" s="1040" t="s">
        <v>3357</v>
      </c>
      <c r="N8" s="1040" t="s">
        <v>976</v>
      </c>
      <c r="O8" s="1040" t="s">
        <v>2642</v>
      </c>
      <c r="P8" s="1040" t="s">
        <v>3364</v>
      </c>
      <c r="Q8" s="1030"/>
      <c r="R8" s="1030"/>
      <c r="S8" s="1030"/>
      <c r="T8" s="1030"/>
      <c r="U8" s="1030"/>
      <c r="V8" s="1030"/>
      <c r="W8" s="1030"/>
      <c r="X8" s="1030"/>
      <c r="Y8" s="1030"/>
      <c r="Z8" s="1030"/>
    </row>
    <row r="9" spans="1:26" ht="12.75" customHeight="1">
      <c r="A9" s="1030"/>
      <c r="B9" s="1030"/>
      <c r="C9" s="1030"/>
      <c r="D9" s="1051"/>
      <c r="E9" s="1051"/>
      <c r="F9" s="1034"/>
      <c r="G9" s="1047"/>
      <c r="H9" s="1047"/>
      <c r="I9" s="1038" t="s">
        <v>3365</v>
      </c>
      <c r="J9" s="1049">
        <v>0</v>
      </c>
      <c r="K9" s="1050" t="str">
        <f>IF(E8=0,"-",E8)</f>
        <v>-</v>
      </c>
      <c r="L9" s="1030"/>
      <c r="M9" s="1040" t="s">
        <v>1077</v>
      </c>
      <c r="N9" s="1040" t="s">
        <v>3364</v>
      </c>
      <c r="O9" s="1040" t="s">
        <v>3366</v>
      </c>
      <c r="P9" s="1040" t="s">
        <v>1388</v>
      </c>
      <c r="Q9" s="1030"/>
      <c r="R9" s="1030"/>
      <c r="S9" s="1030"/>
      <c r="T9" s="1030"/>
      <c r="U9" s="1030"/>
      <c r="V9" s="1030"/>
      <c r="W9" s="1030"/>
      <c r="X9" s="1030"/>
      <c r="Y9" s="1030"/>
      <c r="Z9" s="1030"/>
    </row>
    <row r="10" spans="1:26" ht="12.75" customHeight="1">
      <c r="A10" s="1030"/>
      <c r="B10" s="1030"/>
      <c r="C10" s="1030"/>
      <c r="D10" s="1051"/>
      <c r="E10" s="1051"/>
      <c r="F10" s="1034"/>
      <c r="G10" s="1047"/>
      <c r="H10" s="1052"/>
      <c r="I10" s="1038" t="s">
        <v>3367</v>
      </c>
      <c r="J10" s="1049">
        <v>0</v>
      </c>
      <c r="K10" s="1053"/>
      <c r="L10" s="1030"/>
      <c r="M10" s="1040" t="s">
        <v>976</v>
      </c>
      <c r="N10" s="1040" t="s">
        <v>1388</v>
      </c>
      <c r="O10" s="1040" t="s">
        <v>3368</v>
      </c>
      <c r="P10" s="1040" t="s">
        <v>2642</v>
      </c>
      <c r="Q10" s="1030"/>
      <c r="R10" s="1030"/>
      <c r="S10" s="1030"/>
      <c r="T10" s="1030"/>
      <c r="U10" s="1030"/>
      <c r="V10" s="1030"/>
      <c r="W10" s="1030"/>
      <c r="X10" s="1030"/>
      <c r="Y10" s="1030"/>
      <c r="Z10" s="1030"/>
    </row>
    <row r="11" spans="1:26" ht="12.75" customHeight="1">
      <c r="A11" s="1030"/>
      <c r="B11" s="1030"/>
      <c r="C11" s="1030"/>
      <c r="D11" s="1051"/>
      <c r="E11" s="1051"/>
      <c r="F11" s="1034"/>
      <c r="G11" s="1047"/>
      <c r="H11" s="1052"/>
      <c r="I11" s="1038" t="s">
        <v>3369</v>
      </c>
      <c r="J11" s="1049"/>
      <c r="K11" s="1054" t="s">
        <v>118</v>
      </c>
      <c r="L11" s="1030"/>
      <c r="M11" s="1040" t="s">
        <v>3364</v>
      </c>
      <c r="N11" s="1040" t="s">
        <v>2642</v>
      </c>
      <c r="O11" s="1040" t="s">
        <v>3370</v>
      </c>
      <c r="P11" s="1040" t="s">
        <v>3366</v>
      </c>
      <c r="Q11" s="1030"/>
      <c r="R11" s="1030"/>
      <c r="S11" s="1030"/>
      <c r="T11" s="1030"/>
      <c r="U11" s="1030"/>
      <c r="V11" s="1030"/>
      <c r="W11" s="1030"/>
      <c r="X11" s="1030"/>
      <c r="Y11" s="1030"/>
      <c r="Z11" s="1030"/>
    </row>
    <row r="12" spans="1:26" ht="12.75" customHeight="1">
      <c r="A12" s="1030"/>
      <c r="B12" s="1030"/>
      <c r="C12" s="1030"/>
      <c r="D12" s="1055"/>
      <c r="E12" s="1056"/>
      <c r="F12" s="1055"/>
      <c r="G12" s="1055"/>
      <c r="H12" s="1056"/>
      <c r="I12" s="1057"/>
      <c r="J12" s="1058"/>
      <c r="K12" s="1059"/>
      <c r="L12" s="1039"/>
      <c r="M12" s="1040" t="s">
        <v>1388</v>
      </c>
      <c r="N12" s="1040" t="s">
        <v>3366</v>
      </c>
      <c r="O12" s="1040" t="s">
        <v>2940</v>
      </c>
      <c r="P12" s="1040" t="s">
        <v>3368</v>
      </c>
      <c r="Q12" s="1030"/>
      <c r="R12" s="1030"/>
      <c r="S12" s="1030"/>
      <c r="T12" s="1030"/>
      <c r="U12" s="1030"/>
      <c r="V12" s="1030"/>
      <c r="W12" s="1030"/>
      <c r="X12" s="1030"/>
      <c r="Y12" s="1030"/>
      <c r="Z12" s="1030"/>
    </row>
    <row r="13" spans="1:26" ht="12.75" customHeight="1">
      <c r="A13" s="1060"/>
      <c r="B13" s="1030"/>
      <c r="C13" s="1030"/>
      <c r="D13" s="1031" t="s">
        <v>3371</v>
      </c>
      <c r="E13" s="1031"/>
      <c r="F13" s="1031"/>
      <c r="G13" s="1031"/>
      <c r="H13" s="1031"/>
      <c r="I13" s="1032"/>
      <c r="J13" s="1031"/>
      <c r="K13" s="1033"/>
      <c r="L13" s="1030"/>
      <c r="M13" s="1040" t="s">
        <v>2642</v>
      </c>
      <c r="N13" s="1040" t="s">
        <v>3370</v>
      </c>
      <c r="O13" s="1040" t="s">
        <v>3372</v>
      </c>
      <c r="P13" s="1040" t="s">
        <v>3370</v>
      </c>
      <c r="Q13" s="1030"/>
      <c r="R13" s="1030"/>
      <c r="S13" s="1030"/>
      <c r="T13" s="1030"/>
      <c r="U13" s="1030"/>
      <c r="V13" s="1030"/>
      <c r="W13" s="1030"/>
      <c r="X13" s="1030"/>
      <c r="Y13" s="1030"/>
      <c r="Z13" s="1030"/>
    </row>
    <row r="14" spans="1:26" ht="12.75" customHeight="1">
      <c r="A14" s="1061"/>
      <c r="B14" s="1062" t="s">
        <v>3373</v>
      </c>
      <c r="C14" s="1063" t="s">
        <v>3374</v>
      </c>
      <c r="D14" s="1064" t="s">
        <v>3375</v>
      </c>
      <c r="E14" s="1064" t="s">
        <v>3376</v>
      </c>
      <c r="F14" s="1064" t="s">
        <v>3377</v>
      </c>
      <c r="G14" s="1064" t="s">
        <v>3378</v>
      </c>
      <c r="H14" s="1064" t="s">
        <v>3377</v>
      </c>
      <c r="I14" s="1064" t="s">
        <v>3379</v>
      </c>
      <c r="J14" s="1064" t="s">
        <v>3380</v>
      </c>
      <c r="K14" s="1065" t="s">
        <v>3381</v>
      </c>
      <c r="L14" s="1030"/>
      <c r="M14" s="1040" t="s">
        <v>3366</v>
      </c>
      <c r="N14" s="1040" t="s">
        <v>2940</v>
      </c>
      <c r="O14" s="1040" t="s">
        <v>2667</v>
      </c>
      <c r="P14" s="1040" t="s">
        <v>2940</v>
      </c>
      <c r="Q14" s="1030"/>
      <c r="R14" s="1030"/>
      <c r="S14" s="1030"/>
      <c r="T14" s="1030"/>
      <c r="U14" s="1030"/>
      <c r="V14" s="1030"/>
      <c r="W14" s="1030"/>
      <c r="X14" s="1030"/>
      <c r="Y14" s="1030"/>
      <c r="Z14" s="1030"/>
    </row>
    <row r="15" spans="1:26" ht="12.75" hidden="1" customHeight="1" outlineLevel="1">
      <c r="A15" s="1061">
        <v>1</v>
      </c>
      <c r="B15" s="1051" t="s">
        <v>3382</v>
      </c>
      <c r="C15" s="1066" t="s">
        <v>3342</v>
      </c>
      <c r="D15" s="1035" t="s">
        <v>3145</v>
      </c>
      <c r="E15" s="1035" t="s">
        <v>4703</v>
      </c>
      <c r="F15" s="1073" t="s">
        <v>3384</v>
      </c>
      <c r="G15" s="1068">
        <f t="shared" ref="G15:G63" si="1">IF(E15="MT",800,IF(E15="ET",600,IF(E15="ST",400,IF(E15="T",300,IF(E15="HTS",200,IF(E15="STS",150,IF(E15="TS",100,))))))+IF(E15="MTcod",600,IF(E15="ETcod",450,IF(E15="STcod",350,IF(E15="Tcod",250,)))+IF(E15="MTCoach",800,IF(E15="ETCoach",600,IF(E15="STCoach",400,IF(E15="TCoach",300,))))))</f>
        <v>800</v>
      </c>
      <c r="H15" s="1074" t="s">
        <v>4704</v>
      </c>
      <c r="I15" s="1070">
        <v>3</v>
      </c>
      <c r="J15" s="1071"/>
      <c r="K15" s="1072">
        <f t="shared" ref="K15:K89" si="2">I15*(G15)+J15</f>
        <v>2400</v>
      </c>
      <c r="L15" s="1064" t="s">
        <v>3386</v>
      </c>
      <c r="M15" s="1040" t="s">
        <v>3368</v>
      </c>
      <c r="N15" s="1040" t="s">
        <v>3372</v>
      </c>
      <c r="O15" s="1040" t="s">
        <v>3387</v>
      </c>
      <c r="P15" s="1040" t="s">
        <v>3372</v>
      </c>
      <c r="Q15" s="1030"/>
      <c r="R15" s="1030"/>
      <c r="S15" s="1030"/>
      <c r="T15" s="1030"/>
      <c r="U15" s="1030"/>
      <c r="V15" s="1030"/>
      <c r="W15" s="1030"/>
      <c r="X15" s="1030"/>
      <c r="Y15" s="1030"/>
      <c r="Z15" s="1030"/>
    </row>
    <row r="16" spans="1:26" ht="12.75" hidden="1" customHeight="1" outlineLevel="1">
      <c r="A16" s="1061">
        <v>2</v>
      </c>
      <c r="B16" s="1051" t="s">
        <v>3382</v>
      </c>
      <c r="C16" s="1066" t="s">
        <v>3342</v>
      </c>
      <c r="D16" s="1035" t="s">
        <v>998</v>
      </c>
      <c r="E16" s="1035" t="s">
        <v>3388</v>
      </c>
      <c r="F16" s="1073" t="s">
        <v>3384</v>
      </c>
      <c r="G16" s="1068">
        <f t="shared" si="1"/>
        <v>200</v>
      </c>
      <c r="H16" s="1074" t="s">
        <v>4704</v>
      </c>
      <c r="I16" s="1070">
        <v>3.5</v>
      </c>
      <c r="J16" s="1071"/>
      <c r="K16" s="1072">
        <f t="shared" si="2"/>
        <v>700</v>
      </c>
      <c r="L16" s="1064" t="s">
        <v>3389</v>
      </c>
      <c r="M16" s="1040" t="s">
        <v>3370</v>
      </c>
      <c r="N16" s="1040" t="s">
        <v>2667</v>
      </c>
      <c r="O16" s="1040" t="s">
        <v>2689</v>
      </c>
      <c r="P16" s="1040" t="s">
        <v>2667</v>
      </c>
      <c r="Q16" s="1030"/>
      <c r="R16" s="1030"/>
      <c r="S16" s="1030"/>
      <c r="T16" s="1030"/>
      <c r="U16" s="1030"/>
      <c r="V16" s="1030"/>
      <c r="W16" s="1030"/>
      <c r="X16" s="1030"/>
      <c r="Y16" s="1030"/>
      <c r="Z16" s="1030"/>
    </row>
    <row r="17" spans="1:26" ht="12.75" hidden="1" customHeight="1" outlineLevel="1">
      <c r="A17" s="1061">
        <v>3</v>
      </c>
      <c r="B17" s="1051" t="s">
        <v>3382</v>
      </c>
      <c r="C17" s="1066" t="s">
        <v>3342</v>
      </c>
      <c r="D17" s="1035" t="s">
        <v>3356</v>
      </c>
      <c r="E17" s="1035" t="s">
        <v>3388</v>
      </c>
      <c r="F17" s="1073" t="s">
        <v>3384</v>
      </c>
      <c r="G17" s="1068">
        <f t="shared" si="1"/>
        <v>200</v>
      </c>
      <c r="H17" s="1074" t="s">
        <v>4704</v>
      </c>
      <c r="I17" s="1070">
        <v>3</v>
      </c>
      <c r="J17" s="1071"/>
      <c r="K17" s="1072">
        <f t="shared" si="2"/>
        <v>600</v>
      </c>
      <c r="L17" s="1064" t="s">
        <v>3390</v>
      </c>
      <c r="M17" s="1040" t="s">
        <v>2940</v>
      </c>
      <c r="N17" s="1040" t="s">
        <v>3387</v>
      </c>
      <c r="O17" s="1040" t="s">
        <v>3145</v>
      </c>
      <c r="P17" s="1040" t="s">
        <v>3391</v>
      </c>
      <c r="Q17" s="1030"/>
      <c r="R17" s="1030"/>
      <c r="S17" s="1030"/>
      <c r="T17" s="1030"/>
      <c r="U17" s="1030"/>
      <c r="V17" s="1030"/>
      <c r="W17" s="1030"/>
      <c r="X17" s="1030"/>
      <c r="Y17" s="1030"/>
      <c r="Z17" s="1030"/>
    </row>
    <row r="18" spans="1:26" ht="12.75" hidden="1" customHeight="1" outlineLevel="1">
      <c r="A18" s="1061">
        <v>4</v>
      </c>
      <c r="B18" s="1051" t="s">
        <v>3382</v>
      </c>
      <c r="C18" s="1066" t="s">
        <v>3342</v>
      </c>
      <c r="D18" s="1035" t="s">
        <v>3357</v>
      </c>
      <c r="E18" s="1460" t="s">
        <v>3388</v>
      </c>
      <c r="F18" s="1073" t="s">
        <v>3384</v>
      </c>
      <c r="G18" s="1068">
        <f t="shared" si="1"/>
        <v>200</v>
      </c>
      <c r="H18" s="1074" t="s">
        <v>4704</v>
      </c>
      <c r="I18" s="1461">
        <v>2.5</v>
      </c>
      <c r="J18" s="1071"/>
      <c r="K18" s="1072">
        <f t="shared" si="2"/>
        <v>500</v>
      </c>
      <c r="L18" s="1064" t="s">
        <v>3394</v>
      </c>
      <c r="M18" s="1040" t="s">
        <v>3372</v>
      </c>
      <c r="N18" s="1040" t="s">
        <v>2689</v>
      </c>
      <c r="O18" s="1040" t="s">
        <v>3395</v>
      </c>
      <c r="P18" s="1040" t="s">
        <v>3396</v>
      </c>
      <c r="Q18" s="1030"/>
      <c r="R18" s="1030"/>
      <c r="S18" s="1030"/>
      <c r="T18" s="1030"/>
      <c r="U18" s="1030"/>
      <c r="V18" s="1030"/>
      <c r="W18" s="1030"/>
      <c r="X18" s="1030"/>
      <c r="Y18" s="1030"/>
      <c r="Z18" s="1030"/>
    </row>
    <row r="19" spans="1:26" ht="12.75" hidden="1" customHeight="1" outlineLevel="1">
      <c r="A19" s="1061">
        <v>5</v>
      </c>
      <c r="B19" s="1051" t="s">
        <v>3382</v>
      </c>
      <c r="C19" s="1066" t="s">
        <v>3342</v>
      </c>
      <c r="D19" s="1035" t="s">
        <v>1077</v>
      </c>
      <c r="E19" s="1035" t="s">
        <v>3388</v>
      </c>
      <c r="F19" s="1073" t="s">
        <v>3384</v>
      </c>
      <c r="G19" s="1068">
        <f t="shared" si="1"/>
        <v>200</v>
      </c>
      <c r="H19" s="1074" t="s">
        <v>4704</v>
      </c>
      <c r="I19" s="1070">
        <v>3</v>
      </c>
      <c r="J19" s="1071"/>
      <c r="K19" s="1072">
        <f t="shared" si="2"/>
        <v>600</v>
      </c>
      <c r="L19" s="1064" t="s">
        <v>3397</v>
      </c>
      <c r="M19" s="1040" t="s">
        <v>2667</v>
      </c>
      <c r="N19" s="1040" t="s">
        <v>3145</v>
      </c>
      <c r="O19" s="1040" t="s">
        <v>3398</v>
      </c>
      <c r="P19" s="1040" t="s">
        <v>3399</v>
      </c>
      <c r="Q19" s="1030"/>
      <c r="R19" s="1030"/>
      <c r="S19" s="1030"/>
      <c r="T19" s="1030"/>
      <c r="U19" s="1030"/>
      <c r="V19" s="1030"/>
      <c r="W19" s="1030"/>
      <c r="X19" s="1030"/>
      <c r="Y19" s="1030"/>
      <c r="Z19" s="1030"/>
    </row>
    <row r="20" spans="1:26" ht="12.75" hidden="1" customHeight="1" outlineLevel="1">
      <c r="A20" s="1061">
        <v>6</v>
      </c>
      <c r="B20" s="1051" t="s">
        <v>3382</v>
      </c>
      <c r="C20" s="1066" t="s">
        <v>3342</v>
      </c>
      <c r="D20" s="1035" t="s">
        <v>976</v>
      </c>
      <c r="E20" s="1035" t="s">
        <v>3388</v>
      </c>
      <c r="F20" s="1073" t="s">
        <v>3384</v>
      </c>
      <c r="G20" s="1068">
        <f t="shared" si="1"/>
        <v>200</v>
      </c>
      <c r="H20" s="1074" t="s">
        <v>4704</v>
      </c>
      <c r="I20" s="1070">
        <v>2.5</v>
      </c>
      <c r="J20" s="1071"/>
      <c r="K20" s="1072">
        <f t="shared" si="2"/>
        <v>500</v>
      </c>
      <c r="L20" s="1030"/>
      <c r="M20" s="1030" t="s">
        <v>3391</v>
      </c>
      <c r="N20" s="1030" t="s">
        <v>3395</v>
      </c>
      <c r="O20" s="1030" t="s">
        <v>3400</v>
      </c>
      <c r="P20" s="1030" t="s">
        <v>3387</v>
      </c>
      <c r="Q20" s="1030"/>
      <c r="R20" s="1030"/>
      <c r="S20" s="1030"/>
      <c r="T20" s="1030"/>
      <c r="U20" s="1030"/>
      <c r="V20" s="1030"/>
      <c r="W20" s="1030"/>
      <c r="X20" s="1030"/>
      <c r="Y20" s="1030"/>
      <c r="Z20" s="1030"/>
    </row>
    <row r="21" spans="1:26" ht="12.75" hidden="1" customHeight="1" outlineLevel="1">
      <c r="A21" s="1061">
        <v>7</v>
      </c>
      <c r="B21" s="1051" t="s">
        <v>3382</v>
      </c>
      <c r="C21" s="1066" t="s">
        <v>3342</v>
      </c>
      <c r="D21" s="1035" t="s">
        <v>3364</v>
      </c>
      <c r="E21" s="1035" t="s">
        <v>3393</v>
      </c>
      <c r="F21" s="1073" t="s">
        <v>3384</v>
      </c>
      <c r="G21" s="1068">
        <f t="shared" si="1"/>
        <v>100</v>
      </c>
      <c r="H21" s="1074" t="s">
        <v>4704</v>
      </c>
      <c r="I21" s="1070">
        <v>3.5</v>
      </c>
      <c r="J21" s="1071"/>
      <c r="K21" s="1072">
        <f t="shared" si="2"/>
        <v>350</v>
      </c>
      <c r="L21" s="1030"/>
      <c r="M21" s="1030" t="s">
        <v>3145</v>
      </c>
      <c r="N21" s="1030"/>
      <c r="O21" s="1030"/>
      <c r="P21" s="1030" t="s">
        <v>3401</v>
      </c>
      <c r="Q21" s="1030"/>
      <c r="R21" s="1030"/>
      <c r="S21" s="1030"/>
      <c r="T21" s="1030"/>
      <c r="U21" s="1030"/>
      <c r="V21" s="1030"/>
      <c r="W21" s="1030"/>
      <c r="X21" s="1030"/>
      <c r="Y21" s="1030"/>
      <c r="Z21" s="1030"/>
    </row>
    <row r="22" spans="1:26" ht="12.75" hidden="1" customHeight="1" outlineLevel="1">
      <c r="A22" s="1061">
        <v>8</v>
      </c>
      <c r="B22" s="1051" t="s">
        <v>3382</v>
      </c>
      <c r="C22" s="1066" t="s">
        <v>3342</v>
      </c>
      <c r="D22" s="1035" t="s">
        <v>3346</v>
      </c>
      <c r="E22" s="1035" t="s">
        <v>3388</v>
      </c>
      <c r="F22" s="1073" t="s">
        <v>3384</v>
      </c>
      <c r="G22" s="1068">
        <f t="shared" si="1"/>
        <v>200</v>
      </c>
      <c r="H22" s="1074" t="s">
        <v>4704</v>
      </c>
      <c r="I22" s="1070">
        <v>3</v>
      </c>
      <c r="J22" s="1071"/>
      <c r="K22" s="1072">
        <f t="shared" si="2"/>
        <v>600</v>
      </c>
      <c r="L22" s="1030"/>
      <c r="M22" s="1030" t="s">
        <v>2689</v>
      </c>
      <c r="N22" s="1030"/>
      <c r="O22" s="1030"/>
      <c r="P22" s="1030" t="s">
        <v>3398</v>
      </c>
      <c r="Q22" s="1030"/>
      <c r="R22" s="1030"/>
      <c r="S22" s="1030"/>
      <c r="T22" s="1030"/>
      <c r="U22" s="1030"/>
      <c r="V22" s="1030"/>
      <c r="W22" s="1030"/>
      <c r="X22" s="1030"/>
      <c r="Y22" s="1030"/>
      <c r="Z22" s="1030"/>
    </row>
    <row r="23" spans="1:26" ht="12.75" hidden="1" customHeight="1" outlineLevel="1">
      <c r="A23" s="1061">
        <v>9</v>
      </c>
      <c r="B23" s="1051" t="s">
        <v>3382</v>
      </c>
      <c r="C23" s="1066" t="s">
        <v>3342</v>
      </c>
      <c r="D23" s="1035" t="s">
        <v>1388</v>
      </c>
      <c r="E23" s="1035" t="s">
        <v>3388</v>
      </c>
      <c r="F23" s="1073" t="s">
        <v>3384</v>
      </c>
      <c r="G23" s="1068">
        <f t="shared" si="1"/>
        <v>200</v>
      </c>
      <c r="H23" s="1074" t="s">
        <v>4704</v>
      </c>
      <c r="I23" s="1461">
        <v>3</v>
      </c>
      <c r="J23" s="1071"/>
      <c r="K23" s="1072">
        <f t="shared" si="2"/>
        <v>600</v>
      </c>
      <c r="L23" s="1030"/>
      <c r="M23" s="1030" t="s">
        <v>3402</v>
      </c>
      <c r="N23" s="1030" t="s">
        <v>3398</v>
      </c>
      <c r="O23" s="1030" t="s">
        <v>2802</v>
      </c>
      <c r="P23" s="1030" t="s">
        <v>2689</v>
      </c>
      <c r="Q23" s="1030"/>
      <c r="R23" s="1030"/>
      <c r="S23" s="1030"/>
      <c r="T23" s="1030"/>
      <c r="U23" s="1030"/>
      <c r="V23" s="1030"/>
      <c r="W23" s="1030"/>
      <c r="X23" s="1030"/>
      <c r="Y23" s="1030"/>
      <c r="Z23" s="1030"/>
    </row>
    <row r="24" spans="1:26" ht="12.75" hidden="1" customHeight="1" outlineLevel="1">
      <c r="A24" s="1061">
        <v>10</v>
      </c>
      <c r="B24" s="1051" t="s">
        <v>3382</v>
      </c>
      <c r="C24" s="1066" t="s">
        <v>3342</v>
      </c>
      <c r="D24" s="1035" t="s">
        <v>2642</v>
      </c>
      <c r="E24" s="1035" t="s">
        <v>3388</v>
      </c>
      <c r="F24" s="1073" t="s">
        <v>3384</v>
      </c>
      <c r="G24" s="1068">
        <f t="shared" si="1"/>
        <v>200</v>
      </c>
      <c r="H24" s="1074" t="s">
        <v>4704</v>
      </c>
      <c r="I24" s="1070">
        <v>3</v>
      </c>
      <c r="J24" s="1071"/>
      <c r="K24" s="1072">
        <f t="shared" si="2"/>
        <v>600</v>
      </c>
      <c r="L24" s="1030"/>
      <c r="M24" s="1030" t="s">
        <v>3396</v>
      </c>
      <c r="N24" s="1030" t="s">
        <v>3400</v>
      </c>
      <c r="O24" s="1030" t="s">
        <v>3403</v>
      </c>
      <c r="P24" s="1030" t="s">
        <v>3404</v>
      </c>
      <c r="Q24" s="1030"/>
      <c r="R24" s="1030"/>
      <c r="S24" s="1030"/>
      <c r="T24" s="1030"/>
      <c r="U24" s="1030"/>
      <c r="V24" s="1030"/>
      <c r="W24" s="1030"/>
      <c r="X24" s="1030"/>
      <c r="Y24" s="1030"/>
      <c r="Z24" s="1030"/>
    </row>
    <row r="25" spans="1:26" ht="12.75" hidden="1" customHeight="1" outlineLevel="1">
      <c r="A25" s="1061">
        <v>11</v>
      </c>
      <c r="B25" s="1051" t="s">
        <v>3382</v>
      </c>
      <c r="C25" s="1066" t="s">
        <v>3342</v>
      </c>
      <c r="D25" s="1035" t="s">
        <v>3366</v>
      </c>
      <c r="E25" s="1035" t="s">
        <v>3388</v>
      </c>
      <c r="F25" s="1073" t="s">
        <v>3384</v>
      </c>
      <c r="G25" s="1068">
        <f t="shared" si="1"/>
        <v>200</v>
      </c>
      <c r="H25" s="1074" t="s">
        <v>4704</v>
      </c>
      <c r="I25" s="1461">
        <v>3.5</v>
      </c>
      <c r="J25" s="1071"/>
      <c r="K25" s="1072">
        <f t="shared" si="2"/>
        <v>700</v>
      </c>
      <c r="L25" s="1030"/>
      <c r="M25" s="1030" t="s">
        <v>3399</v>
      </c>
      <c r="N25" s="1030" t="s">
        <v>2802</v>
      </c>
      <c r="O25" s="1030"/>
      <c r="P25" s="1030" t="s">
        <v>3145</v>
      </c>
      <c r="Q25" s="1030"/>
      <c r="R25" s="1030"/>
      <c r="S25" s="1030"/>
      <c r="T25" s="1030"/>
      <c r="U25" s="1030"/>
      <c r="V25" s="1030"/>
      <c r="W25" s="1030"/>
      <c r="X25" s="1030"/>
      <c r="Y25" s="1030"/>
      <c r="Z25" s="1030"/>
    </row>
    <row r="26" spans="1:26" ht="12.75" hidden="1" customHeight="1" outlineLevel="1">
      <c r="A26" s="1061">
        <v>12</v>
      </c>
      <c r="B26" s="1051" t="s">
        <v>3382</v>
      </c>
      <c r="C26" s="1066" t="s">
        <v>3342</v>
      </c>
      <c r="D26" s="1035" t="s">
        <v>3370</v>
      </c>
      <c r="E26" s="1035" t="s">
        <v>3388</v>
      </c>
      <c r="F26" s="1073" t="s">
        <v>3384</v>
      </c>
      <c r="G26" s="1068">
        <f t="shared" si="1"/>
        <v>200</v>
      </c>
      <c r="H26" s="1074" t="s">
        <v>4704</v>
      </c>
      <c r="I26" s="1070">
        <v>3.5</v>
      </c>
      <c r="J26" s="1071"/>
      <c r="K26" s="1072">
        <f t="shared" si="2"/>
        <v>700</v>
      </c>
      <c r="L26" s="1030"/>
      <c r="M26" s="1030" t="s">
        <v>3387</v>
      </c>
      <c r="N26" s="1030" t="s">
        <v>3403</v>
      </c>
      <c r="O26" s="1030"/>
      <c r="P26" s="1030" t="s">
        <v>3395</v>
      </c>
      <c r="Q26" s="1030"/>
      <c r="R26" s="1030"/>
      <c r="S26" s="1030"/>
      <c r="T26" s="1030"/>
      <c r="U26" s="1030"/>
      <c r="V26" s="1030"/>
      <c r="W26" s="1030"/>
      <c r="X26" s="1030"/>
      <c r="Y26" s="1030"/>
      <c r="Z26" s="1030"/>
    </row>
    <row r="27" spans="1:26" ht="12.75" hidden="1" customHeight="1" outlineLevel="1">
      <c r="A27" s="1061">
        <v>13</v>
      </c>
      <c r="B27" s="1051" t="s">
        <v>3382</v>
      </c>
      <c r="C27" s="1066" t="s">
        <v>3342</v>
      </c>
      <c r="D27" s="1035" t="s">
        <v>2940</v>
      </c>
      <c r="E27" s="1035" t="s">
        <v>3388</v>
      </c>
      <c r="F27" s="1073" t="s">
        <v>3384</v>
      </c>
      <c r="G27" s="1068">
        <f t="shared" si="1"/>
        <v>200</v>
      </c>
      <c r="H27" s="1074" t="s">
        <v>4704</v>
      </c>
      <c r="I27" s="1070">
        <v>3</v>
      </c>
      <c r="J27" s="1071"/>
      <c r="K27" s="1072">
        <f t="shared" si="2"/>
        <v>600</v>
      </c>
      <c r="L27" s="1030"/>
      <c r="M27" s="1030" t="s">
        <v>3404</v>
      </c>
      <c r="N27" s="1030"/>
      <c r="O27" s="1030"/>
      <c r="P27" s="1030" t="s">
        <v>3405</v>
      </c>
      <c r="Q27" s="1030"/>
      <c r="R27" s="1030"/>
      <c r="S27" s="1030"/>
      <c r="T27" s="1030"/>
      <c r="U27" s="1030"/>
      <c r="V27" s="1030"/>
      <c r="W27" s="1030"/>
      <c r="X27" s="1030"/>
      <c r="Y27" s="1030"/>
      <c r="Z27" s="1030"/>
    </row>
    <row r="28" spans="1:26" ht="12.75" hidden="1" customHeight="1" outlineLevel="1">
      <c r="A28" s="1061">
        <v>14</v>
      </c>
      <c r="B28" s="1051" t="s">
        <v>3382</v>
      </c>
      <c r="C28" s="1066" t="s">
        <v>3342</v>
      </c>
      <c r="D28" s="1035" t="s">
        <v>2667</v>
      </c>
      <c r="E28" s="1035" t="s">
        <v>3388</v>
      </c>
      <c r="F28" s="1073" t="s">
        <v>3384</v>
      </c>
      <c r="G28" s="1068">
        <f t="shared" si="1"/>
        <v>200</v>
      </c>
      <c r="H28" s="1074" t="s">
        <v>4704</v>
      </c>
      <c r="I28" s="1070">
        <v>3</v>
      </c>
      <c r="J28" s="1071"/>
      <c r="K28" s="1072">
        <f t="shared" si="2"/>
        <v>600</v>
      </c>
      <c r="L28" s="1030"/>
      <c r="M28" s="1030" t="s">
        <v>3395</v>
      </c>
      <c r="N28" s="1030"/>
      <c r="O28" s="1030"/>
      <c r="P28" s="1030" t="s">
        <v>3400</v>
      </c>
      <c r="Q28" s="1030"/>
      <c r="R28" s="1030"/>
      <c r="S28" s="1030"/>
      <c r="T28" s="1030"/>
      <c r="U28" s="1030"/>
      <c r="V28" s="1030"/>
      <c r="W28" s="1030"/>
      <c r="X28" s="1030"/>
      <c r="Y28" s="1030"/>
      <c r="Z28" s="1030"/>
    </row>
    <row r="29" spans="1:26" ht="12.75" hidden="1" customHeight="1" outlineLevel="1">
      <c r="A29" s="1061">
        <v>15</v>
      </c>
      <c r="B29" s="1051" t="s">
        <v>3382</v>
      </c>
      <c r="C29" s="1066" t="s">
        <v>3342</v>
      </c>
      <c r="D29" s="1035" t="s">
        <v>3396</v>
      </c>
      <c r="E29" s="1035" t="s">
        <v>3409</v>
      </c>
      <c r="F29" s="1073" t="s">
        <v>3384</v>
      </c>
      <c r="G29" s="1068">
        <f t="shared" si="1"/>
        <v>150</v>
      </c>
      <c r="H29" s="1074" t="s">
        <v>4704</v>
      </c>
      <c r="I29" s="1070">
        <v>3.5</v>
      </c>
      <c r="J29" s="1071"/>
      <c r="K29" s="1072">
        <f t="shared" si="2"/>
        <v>525</v>
      </c>
      <c r="L29" s="1030"/>
      <c r="M29" s="1030" t="s">
        <v>3405</v>
      </c>
      <c r="N29" s="1030"/>
      <c r="O29" s="1030"/>
      <c r="P29" s="1030" t="s">
        <v>3407</v>
      </c>
      <c r="Q29" s="1030"/>
      <c r="R29" s="1030"/>
      <c r="S29" s="1030"/>
      <c r="T29" s="1030"/>
      <c r="U29" s="1030"/>
      <c r="V29" s="1030"/>
      <c r="W29" s="1030"/>
      <c r="X29" s="1030"/>
      <c r="Y29" s="1030"/>
      <c r="Z29" s="1030"/>
    </row>
    <row r="30" spans="1:26" ht="12.75" hidden="1" customHeight="1" outlineLevel="1">
      <c r="A30" s="1061">
        <v>16</v>
      </c>
      <c r="B30" s="1051" t="s">
        <v>3382</v>
      </c>
      <c r="C30" s="1066" t="s">
        <v>3342</v>
      </c>
      <c r="D30" s="1035" t="s">
        <v>3399</v>
      </c>
      <c r="E30" s="1035" t="s">
        <v>3409</v>
      </c>
      <c r="F30" s="1073" t="s">
        <v>3384</v>
      </c>
      <c r="G30" s="1068">
        <f t="shared" si="1"/>
        <v>150</v>
      </c>
      <c r="H30" s="1074" t="s">
        <v>4704</v>
      </c>
      <c r="I30" s="1070">
        <v>3.5</v>
      </c>
      <c r="J30" s="1071"/>
      <c r="K30" s="1072">
        <f t="shared" si="2"/>
        <v>525</v>
      </c>
      <c r="L30" s="1030"/>
      <c r="M30" s="1030" t="s">
        <v>3401</v>
      </c>
      <c r="N30" s="1030"/>
      <c r="O30" s="1030"/>
      <c r="P30" s="1030" t="s">
        <v>3403</v>
      </c>
      <c r="Q30" s="1030"/>
      <c r="R30" s="1030"/>
      <c r="S30" s="1030"/>
      <c r="T30" s="1030"/>
      <c r="U30" s="1030"/>
      <c r="V30" s="1030"/>
      <c r="W30" s="1030"/>
      <c r="X30" s="1030"/>
      <c r="Y30" s="1030"/>
      <c r="Z30" s="1030"/>
    </row>
    <row r="31" spans="1:26" ht="12.75" hidden="1" customHeight="1" outlineLevel="1">
      <c r="A31" s="1061">
        <v>17</v>
      </c>
      <c r="B31" s="1051" t="s">
        <v>3382</v>
      </c>
      <c r="C31" s="1066" t="s">
        <v>3342</v>
      </c>
      <c r="D31" s="1035" t="s">
        <v>3387</v>
      </c>
      <c r="E31" s="1035" t="s">
        <v>3388</v>
      </c>
      <c r="F31" s="1073" t="s">
        <v>3384</v>
      </c>
      <c r="G31" s="1068">
        <f t="shared" si="1"/>
        <v>200</v>
      </c>
      <c r="H31" s="1074" t="s">
        <v>4704</v>
      </c>
      <c r="I31" s="1070">
        <v>2.5</v>
      </c>
      <c r="J31" s="1071"/>
      <c r="K31" s="1072">
        <f t="shared" si="2"/>
        <v>500</v>
      </c>
      <c r="L31" s="1030"/>
      <c r="M31" s="1030" t="s">
        <v>3400</v>
      </c>
      <c r="N31" s="1030"/>
      <c r="O31" s="1030"/>
      <c r="P31" s="1030"/>
      <c r="Q31" s="1030"/>
      <c r="R31" s="1030"/>
      <c r="S31" s="1030"/>
      <c r="T31" s="1030"/>
      <c r="U31" s="1030"/>
      <c r="V31" s="1030"/>
      <c r="W31" s="1030"/>
      <c r="X31" s="1030"/>
      <c r="Y31" s="1030"/>
      <c r="Z31" s="1030"/>
    </row>
    <row r="32" spans="1:26" ht="12.75" hidden="1" customHeight="1" outlineLevel="1">
      <c r="A32" s="1061">
        <v>18</v>
      </c>
      <c r="B32" s="1051" t="s">
        <v>3382</v>
      </c>
      <c r="C32" s="1066" t="s">
        <v>3342</v>
      </c>
      <c r="D32" s="1035" t="s">
        <v>2689</v>
      </c>
      <c r="E32" s="1035" t="s">
        <v>3388</v>
      </c>
      <c r="F32" s="1073" t="s">
        <v>3384</v>
      </c>
      <c r="G32" s="1068">
        <f t="shared" si="1"/>
        <v>200</v>
      </c>
      <c r="H32" s="1074" t="s">
        <v>4704</v>
      </c>
      <c r="I32" s="1070">
        <v>3</v>
      </c>
      <c r="J32" s="1071"/>
      <c r="K32" s="1072">
        <f t="shared" si="2"/>
        <v>600</v>
      </c>
      <c r="L32" s="1030"/>
      <c r="M32" s="1030" t="s">
        <v>2802</v>
      </c>
      <c r="N32" s="1030"/>
      <c r="O32" s="1030"/>
      <c r="P32" s="1030"/>
      <c r="Q32" s="1030"/>
      <c r="R32" s="1030"/>
      <c r="S32" s="1030"/>
      <c r="T32" s="1030"/>
      <c r="U32" s="1030"/>
      <c r="V32" s="1030"/>
      <c r="W32" s="1030"/>
      <c r="X32" s="1030"/>
      <c r="Y32" s="1030"/>
      <c r="Z32" s="1030"/>
    </row>
    <row r="33" spans="1:26" ht="12.75" hidden="1" customHeight="1" outlineLevel="1">
      <c r="A33" s="1061">
        <v>19</v>
      </c>
      <c r="B33" s="1051" t="s">
        <v>3382</v>
      </c>
      <c r="C33" s="1066" t="s">
        <v>3342</v>
      </c>
      <c r="D33" s="1035" t="s">
        <v>3404</v>
      </c>
      <c r="E33" s="1035" t="s">
        <v>3409</v>
      </c>
      <c r="F33" s="1073" t="s">
        <v>3384</v>
      </c>
      <c r="G33" s="1068">
        <f t="shared" si="1"/>
        <v>150</v>
      </c>
      <c r="H33" s="1074" t="s">
        <v>4704</v>
      </c>
      <c r="I33" s="1070">
        <v>3</v>
      </c>
      <c r="J33" s="1071"/>
      <c r="K33" s="1072">
        <f t="shared" si="2"/>
        <v>450</v>
      </c>
      <c r="L33" s="1030"/>
      <c r="M33" s="1030" t="s">
        <v>3407</v>
      </c>
      <c r="N33" s="1030"/>
      <c r="O33" s="1030"/>
      <c r="P33" s="1030"/>
      <c r="Q33" s="1030"/>
      <c r="R33" s="1030"/>
      <c r="S33" s="1030"/>
      <c r="T33" s="1030"/>
      <c r="U33" s="1030"/>
      <c r="V33" s="1030"/>
      <c r="W33" s="1030"/>
      <c r="X33" s="1030"/>
      <c r="Y33" s="1030"/>
      <c r="Z33" s="1030"/>
    </row>
    <row r="34" spans="1:26" ht="12.75" hidden="1" customHeight="1" outlineLevel="1">
      <c r="A34" s="1061">
        <v>20</v>
      </c>
      <c r="B34" s="1051" t="s">
        <v>3382</v>
      </c>
      <c r="C34" s="1066" t="s">
        <v>3342</v>
      </c>
      <c r="D34" s="1035" t="s">
        <v>3395</v>
      </c>
      <c r="E34" s="1035" t="s">
        <v>3388</v>
      </c>
      <c r="F34" s="1073" t="s">
        <v>3384</v>
      </c>
      <c r="G34" s="1068">
        <f t="shared" si="1"/>
        <v>200</v>
      </c>
      <c r="H34" s="1074" t="s">
        <v>4704</v>
      </c>
      <c r="I34" s="1070">
        <v>3.5</v>
      </c>
      <c r="J34" s="1071"/>
      <c r="K34" s="1072">
        <f t="shared" si="2"/>
        <v>700</v>
      </c>
      <c r="L34" s="1030"/>
      <c r="M34" s="1030" t="s">
        <v>3403</v>
      </c>
      <c r="N34" s="1030"/>
      <c r="O34" s="1030"/>
      <c r="P34" s="1030"/>
      <c r="Q34" s="1030"/>
      <c r="R34" s="1030"/>
      <c r="S34" s="1030"/>
      <c r="T34" s="1030"/>
      <c r="U34" s="1030"/>
      <c r="V34" s="1030"/>
      <c r="W34" s="1030"/>
      <c r="X34" s="1030"/>
      <c r="Y34" s="1030"/>
      <c r="Z34" s="1030"/>
    </row>
    <row r="35" spans="1:26" ht="12.75" hidden="1" customHeight="1" outlineLevel="1">
      <c r="A35" s="1061">
        <v>21</v>
      </c>
      <c r="B35" s="1051" t="s">
        <v>3382</v>
      </c>
      <c r="C35" s="1066" t="s">
        <v>3342</v>
      </c>
      <c r="D35" s="1035" t="s">
        <v>3398</v>
      </c>
      <c r="E35" s="1035"/>
      <c r="F35" s="1073" t="s">
        <v>3384</v>
      </c>
      <c r="G35" s="1068">
        <f t="shared" si="1"/>
        <v>0</v>
      </c>
      <c r="H35" s="1074" t="s">
        <v>4704</v>
      </c>
      <c r="I35" s="1070">
        <v>0</v>
      </c>
      <c r="J35" s="1071"/>
      <c r="K35" s="1072">
        <f t="shared" si="2"/>
        <v>0</v>
      </c>
      <c r="L35" s="1030"/>
      <c r="M35" s="1030"/>
      <c r="N35" s="1030"/>
      <c r="O35" s="1030"/>
      <c r="P35" s="1030"/>
      <c r="Q35" s="1030"/>
      <c r="R35" s="1030"/>
      <c r="S35" s="1030"/>
      <c r="T35" s="1030"/>
      <c r="U35" s="1030"/>
      <c r="V35" s="1030"/>
      <c r="W35" s="1030"/>
      <c r="X35" s="1030"/>
      <c r="Y35" s="1030"/>
      <c r="Z35" s="1030"/>
    </row>
    <row r="36" spans="1:26" ht="12.75" hidden="1" customHeight="1" outlineLevel="1">
      <c r="A36" s="1061">
        <v>22</v>
      </c>
      <c r="B36" s="1051" t="s">
        <v>3382</v>
      </c>
      <c r="C36" s="1066" t="s">
        <v>3342</v>
      </c>
      <c r="D36" s="1035" t="s">
        <v>3405</v>
      </c>
      <c r="E36" s="1035" t="s">
        <v>3388</v>
      </c>
      <c r="F36" s="1073" t="s">
        <v>3384</v>
      </c>
      <c r="G36" s="1068">
        <f t="shared" si="1"/>
        <v>200</v>
      </c>
      <c r="H36" s="1074" t="s">
        <v>4704</v>
      </c>
      <c r="I36" s="1070">
        <v>3.5</v>
      </c>
      <c r="J36" s="1071"/>
      <c r="K36" s="1072">
        <f t="shared" si="2"/>
        <v>700</v>
      </c>
      <c r="L36" s="1030"/>
      <c r="M36" s="1030"/>
      <c r="N36" s="1030"/>
      <c r="O36" s="1030"/>
      <c r="P36" s="1030"/>
      <c r="Q36" s="1030"/>
      <c r="R36" s="1030"/>
      <c r="S36" s="1030"/>
      <c r="T36" s="1030"/>
      <c r="U36" s="1030"/>
      <c r="V36" s="1030"/>
      <c r="W36" s="1030"/>
      <c r="X36" s="1030"/>
      <c r="Y36" s="1030"/>
      <c r="Z36" s="1030"/>
    </row>
    <row r="37" spans="1:26" ht="12.75" hidden="1" customHeight="1" outlineLevel="1">
      <c r="A37" s="1061">
        <v>23</v>
      </c>
      <c r="B37" s="1051" t="s">
        <v>3382</v>
      </c>
      <c r="C37" s="1066" t="s">
        <v>3342</v>
      </c>
      <c r="D37" s="1035" t="s">
        <v>3400</v>
      </c>
      <c r="E37" s="1035" t="s">
        <v>3388</v>
      </c>
      <c r="F37" s="1073" t="s">
        <v>3384</v>
      </c>
      <c r="G37" s="1068">
        <f t="shared" si="1"/>
        <v>200</v>
      </c>
      <c r="H37" s="1074" t="s">
        <v>4704</v>
      </c>
      <c r="I37" s="1070">
        <v>3.5</v>
      </c>
      <c r="J37" s="1071"/>
      <c r="K37" s="1072">
        <f t="shared" si="2"/>
        <v>700</v>
      </c>
      <c r="L37" s="1030"/>
      <c r="M37" s="1030"/>
      <c r="N37" s="1030"/>
      <c r="O37" s="1030"/>
      <c r="P37" s="1030"/>
      <c r="Q37" s="1030"/>
      <c r="R37" s="1030"/>
      <c r="S37" s="1030"/>
      <c r="T37" s="1030"/>
      <c r="U37" s="1030"/>
      <c r="V37" s="1030"/>
      <c r="W37" s="1030"/>
      <c r="X37" s="1030"/>
      <c r="Y37" s="1030"/>
      <c r="Z37" s="1030"/>
    </row>
    <row r="38" spans="1:26" ht="12.75" hidden="1" customHeight="1" outlineLevel="1">
      <c r="A38" s="1061">
        <v>24</v>
      </c>
      <c r="B38" s="1051" t="s">
        <v>3382</v>
      </c>
      <c r="C38" s="1066" t="s">
        <v>3342</v>
      </c>
      <c r="D38" s="1035" t="s">
        <v>2802</v>
      </c>
      <c r="E38" s="1035" t="s">
        <v>3388</v>
      </c>
      <c r="F38" s="1073" t="s">
        <v>3384</v>
      </c>
      <c r="G38" s="1068">
        <f t="shared" si="1"/>
        <v>200</v>
      </c>
      <c r="H38" s="1074" t="s">
        <v>4704</v>
      </c>
      <c r="I38" s="1070">
        <v>3.5</v>
      </c>
      <c r="J38" s="1071"/>
      <c r="K38" s="1072">
        <f t="shared" si="2"/>
        <v>700</v>
      </c>
      <c r="L38" s="1030"/>
      <c r="M38" s="1030"/>
      <c r="N38" s="1030"/>
      <c r="O38" s="1030"/>
      <c r="P38" s="1030"/>
      <c r="Q38" s="1030"/>
      <c r="R38" s="1030"/>
      <c r="S38" s="1030"/>
      <c r="T38" s="1030"/>
      <c r="U38" s="1030"/>
      <c r="V38" s="1030"/>
      <c r="W38" s="1030"/>
      <c r="X38" s="1030"/>
      <c r="Y38" s="1030"/>
      <c r="Z38" s="1030"/>
    </row>
    <row r="39" spans="1:26" ht="12.75" hidden="1" customHeight="1" outlineLevel="1">
      <c r="A39" s="1061">
        <v>25</v>
      </c>
      <c r="B39" s="1051" t="s">
        <v>3382</v>
      </c>
      <c r="C39" s="1066" t="s">
        <v>3342</v>
      </c>
      <c r="D39" s="1035" t="s">
        <v>3407</v>
      </c>
      <c r="E39" s="1035" t="s">
        <v>3393</v>
      </c>
      <c r="F39" s="1073" t="s">
        <v>3384</v>
      </c>
      <c r="G39" s="1068">
        <f t="shared" si="1"/>
        <v>100</v>
      </c>
      <c r="H39" s="1074" t="s">
        <v>4704</v>
      </c>
      <c r="I39" s="1070">
        <v>3.5</v>
      </c>
      <c r="J39" s="1071"/>
      <c r="K39" s="1068">
        <f t="shared" si="2"/>
        <v>350</v>
      </c>
      <c r="L39" s="1030"/>
      <c r="M39" s="1030"/>
      <c r="N39" s="1030"/>
      <c r="O39" s="1030"/>
      <c r="P39" s="1030"/>
      <c r="Q39" s="1030"/>
      <c r="R39" s="1030"/>
      <c r="S39" s="1030"/>
      <c r="T39" s="1030"/>
      <c r="U39" s="1030"/>
      <c r="V39" s="1030"/>
      <c r="W39" s="1030"/>
      <c r="X39" s="1030"/>
      <c r="Y39" s="1030"/>
      <c r="Z39" s="1030"/>
    </row>
    <row r="40" spans="1:26" ht="12.75" hidden="1" customHeight="1" outlineLevel="1">
      <c r="A40" s="1061">
        <v>26</v>
      </c>
      <c r="B40" s="1051" t="s">
        <v>3382</v>
      </c>
      <c r="C40" s="1066" t="s">
        <v>3342</v>
      </c>
      <c r="D40" s="1035" t="s">
        <v>3145</v>
      </c>
      <c r="E40" s="1035" t="s">
        <v>4703</v>
      </c>
      <c r="F40" s="1073" t="s">
        <v>3410</v>
      </c>
      <c r="G40" s="1068">
        <f t="shared" si="1"/>
        <v>800</v>
      </c>
      <c r="H40" s="1035" t="s">
        <v>4705</v>
      </c>
      <c r="I40" s="1070">
        <v>3</v>
      </c>
      <c r="J40" s="1071"/>
      <c r="K40" s="1068">
        <f t="shared" si="2"/>
        <v>2400</v>
      </c>
      <c r="L40" s="1030"/>
      <c r="M40" s="1030"/>
      <c r="N40" s="1030"/>
      <c r="O40" s="1030"/>
      <c r="P40" s="1030"/>
      <c r="Q40" s="1030"/>
      <c r="R40" s="1030"/>
      <c r="S40" s="1030"/>
      <c r="T40" s="1030"/>
      <c r="U40" s="1030"/>
      <c r="V40" s="1030"/>
      <c r="W40" s="1030"/>
      <c r="X40" s="1030"/>
      <c r="Y40" s="1030"/>
      <c r="Z40" s="1030"/>
    </row>
    <row r="41" spans="1:26" ht="12.75" hidden="1" customHeight="1" outlineLevel="1">
      <c r="A41" s="1061">
        <v>27</v>
      </c>
      <c r="B41" s="1051" t="s">
        <v>3382</v>
      </c>
      <c r="C41" s="1066" t="s">
        <v>3342</v>
      </c>
      <c r="D41" s="1035" t="s">
        <v>3346</v>
      </c>
      <c r="E41" s="1035" t="s">
        <v>3388</v>
      </c>
      <c r="F41" s="1073" t="s">
        <v>3410</v>
      </c>
      <c r="G41" s="1068">
        <f t="shared" si="1"/>
        <v>200</v>
      </c>
      <c r="H41" s="1035" t="s">
        <v>4705</v>
      </c>
      <c r="I41" s="1070">
        <v>3</v>
      </c>
      <c r="J41" s="1071"/>
      <c r="K41" s="1068">
        <f t="shared" si="2"/>
        <v>600</v>
      </c>
      <c r="L41" s="1030"/>
      <c r="M41" s="1030"/>
      <c r="N41" s="1030"/>
      <c r="O41" s="1039"/>
      <c r="P41" s="1039"/>
      <c r="Q41" s="1039"/>
      <c r="R41" s="1039"/>
      <c r="S41" s="1039"/>
      <c r="T41" s="1039"/>
      <c r="U41" s="1039"/>
      <c r="V41" s="1039"/>
      <c r="W41" s="1039"/>
      <c r="X41" s="1039"/>
      <c r="Y41" s="1039"/>
      <c r="Z41" s="1039"/>
    </row>
    <row r="42" spans="1:26" ht="12.75" hidden="1" customHeight="1" outlineLevel="1">
      <c r="A42" s="1061">
        <v>28</v>
      </c>
      <c r="B42" s="1051" t="s">
        <v>3382</v>
      </c>
      <c r="C42" s="1066" t="s">
        <v>3342</v>
      </c>
      <c r="D42" s="1035" t="s">
        <v>998</v>
      </c>
      <c r="E42" s="1035" t="s">
        <v>3388</v>
      </c>
      <c r="F42" s="1073" t="s">
        <v>3410</v>
      </c>
      <c r="G42" s="1068">
        <f t="shared" si="1"/>
        <v>200</v>
      </c>
      <c r="H42" s="1035" t="s">
        <v>4705</v>
      </c>
      <c r="I42" s="1070">
        <v>3</v>
      </c>
      <c r="J42" s="1071"/>
      <c r="K42" s="1068">
        <f t="shared" si="2"/>
        <v>600</v>
      </c>
      <c r="L42" s="1030"/>
      <c r="M42" s="1030"/>
      <c r="N42" s="1030"/>
      <c r="O42" s="1030"/>
      <c r="P42" s="1030"/>
      <c r="Q42" s="1030"/>
      <c r="R42" s="1030"/>
      <c r="S42" s="1030"/>
      <c r="T42" s="1030"/>
      <c r="U42" s="1030"/>
      <c r="V42" s="1030"/>
      <c r="W42" s="1030"/>
      <c r="X42" s="1030"/>
      <c r="Y42" s="1030"/>
      <c r="Z42" s="1030"/>
    </row>
    <row r="43" spans="1:26" ht="12.75" hidden="1" customHeight="1" outlineLevel="1">
      <c r="A43" s="1061">
        <v>29</v>
      </c>
      <c r="B43" s="1051" t="s">
        <v>3382</v>
      </c>
      <c r="C43" s="1066" t="s">
        <v>3342</v>
      </c>
      <c r="D43" s="1035" t="s">
        <v>3356</v>
      </c>
      <c r="E43" s="1035" t="s">
        <v>3388</v>
      </c>
      <c r="F43" s="1073" t="s">
        <v>3410</v>
      </c>
      <c r="G43" s="1068">
        <f t="shared" si="1"/>
        <v>200</v>
      </c>
      <c r="H43" s="1035" t="s">
        <v>4705</v>
      </c>
      <c r="I43" s="1070">
        <v>3</v>
      </c>
      <c r="J43" s="1071"/>
      <c r="K43" s="1068">
        <f t="shared" si="2"/>
        <v>600</v>
      </c>
      <c r="L43" s="1030"/>
      <c r="M43" s="1030"/>
      <c r="N43" s="1030"/>
      <c r="O43" s="1030"/>
      <c r="P43" s="1030"/>
      <c r="Q43" s="1030"/>
      <c r="R43" s="1030"/>
      <c r="S43" s="1030"/>
      <c r="T43" s="1030"/>
      <c r="U43" s="1030"/>
      <c r="V43" s="1030"/>
      <c r="W43" s="1030"/>
      <c r="X43" s="1030"/>
      <c r="Y43" s="1030"/>
      <c r="Z43" s="1030"/>
    </row>
    <row r="44" spans="1:26" ht="12.75" hidden="1" customHeight="1" outlineLevel="1">
      <c r="A44" s="1061">
        <v>30</v>
      </c>
      <c r="B44" s="1051" t="s">
        <v>3382</v>
      </c>
      <c r="C44" s="1066" t="s">
        <v>3342</v>
      </c>
      <c r="D44" s="1035" t="s">
        <v>3357</v>
      </c>
      <c r="E44" s="1035" t="s">
        <v>3388</v>
      </c>
      <c r="F44" s="1073" t="s">
        <v>3410</v>
      </c>
      <c r="G44" s="1068">
        <f t="shared" si="1"/>
        <v>200</v>
      </c>
      <c r="H44" s="1035" t="s">
        <v>4705</v>
      </c>
      <c r="I44" s="1070">
        <v>3</v>
      </c>
      <c r="J44" s="1071"/>
      <c r="K44" s="1068">
        <f t="shared" si="2"/>
        <v>600</v>
      </c>
      <c r="L44" s="1030"/>
      <c r="M44" s="1040"/>
      <c r="N44" s="1030"/>
      <c r="O44" s="1039"/>
      <c r="P44" s="1039"/>
      <c r="Q44" s="1039"/>
      <c r="R44" s="1039"/>
      <c r="S44" s="1039"/>
      <c r="T44" s="1039"/>
      <c r="U44" s="1039"/>
      <c r="V44" s="1039"/>
      <c r="W44" s="1039"/>
      <c r="X44" s="1039"/>
      <c r="Y44" s="1039"/>
      <c r="Z44" s="1039"/>
    </row>
    <row r="45" spans="1:26" ht="12.75" hidden="1" customHeight="1" outlineLevel="1">
      <c r="A45" s="1061">
        <v>31</v>
      </c>
      <c r="B45" s="1051" t="s">
        <v>3382</v>
      </c>
      <c r="C45" s="1066" t="s">
        <v>3342</v>
      </c>
      <c r="D45" s="1035" t="s">
        <v>1077</v>
      </c>
      <c r="E45" s="1035" t="s">
        <v>3388</v>
      </c>
      <c r="F45" s="1073" t="s">
        <v>3410</v>
      </c>
      <c r="G45" s="1068">
        <f t="shared" si="1"/>
        <v>200</v>
      </c>
      <c r="H45" s="1035" t="s">
        <v>4705</v>
      </c>
      <c r="I45" s="1070">
        <v>3</v>
      </c>
      <c r="J45" s="1071"/>
      <c r="K45" s="1068">
        <f t="shared" si="2"/>
        <v>600</v>
      </c>
      <c r="L45" s="1030"/>
      <c r="M45" s="1030"/>
      <c r="N45" s="1030"/>
      <c r="O45" s="1039"/>
      <c r="P45" s="1039"/>
      <c r="Q45" s="1039"/>
      <c r="R45" s="1039"/>
      <c r="S45" s="1039"/>
      <c r="T45" s="1039"/>
      <c r="U45" s="1039"/>
      <c r="V45" s="1039"/>
      <c r="W45" s="1039"/>
      <c r="X45" s="1039"/>
      <c r="Y45" s="1039"/>
      <c r="Z45" s="1039"/>
    </row>
    <row r="46" spans="1:26" ht="12.75" hidden="1" customHeight="1" outlineLevel="1">
      <c r="A46" s="1061">
        <v>32</v>
      </c>
      <c r="B46" s="1051" t="s">
        <v>3382</v>
      </c>
      <c r="C46" s="1066" t="s">
        <v>3342</v>
      </c>
      <c r="D46" s="1035" t="s">
        <v>976</v>
      </c>
      <c r="E46" s="1035" t="s">
        <v>3388</v>
      </c>
      <c r="F46" s="1073" t="s">
        <v>3410</v>
      </c>
      <c r="G46" s="1068">
        <f t="shared" si="1"/>
        <v>200</v>
      </c>
      <c r="H46" s="1035" t="s">
        <v>4705</v>
      </c>
      <c r="I46" s="1070">
        <v>3.5</v>
      </c>
      <c r="J46" s="1071"/>
      <c r="K46" s="1068">
        <f t="shared" si="2"/>
        <v>700</v>
      </c>
      <c r="L46" s="1030"/>
      <c r="M46" s="1030"/>
      <c r="N46" s="1030"/>
      <c r="O46" s="1030"/>
      <c r="P46" s="1030"/>
      <c r="Q46" s="1030"/>
      <c r="R46" s="1030"/>
      <c r="S46" s="1030"/>
      <c r="T46" s="1030"/>
      <c r="U46" s="1030"/>
      <c r="V46" s="1030"/>
      <c r="W46" s="1030"/>
      <c r="X46" s="1030"/>
      <c r="Y46" s="1030"/>
      <c r="Z46" s="1030"/>
    </row>
    <row r="47" spans="1:26" ht="12.75" hidden="1" customHeight="1" outlineLevel="1">
      <c r="A47" s="1061">
        <v>33</v>
      </c>
      <c r="B47" s="1051" t="s">
        <v>3382</v>
      </c>
      <c r="C47" s="1066" t="s">
        <v>3342</v>
      </c>
      <c r="D47" s="1035" t="s">
        <v>3364</v>
      </c>
      <c r="E47" s="1035" t="s">
        <v>3393</v>
      </c>
      <c r="F47" s="1073" t="s">
        <v>3410</v>
      </c>
      <c r="G47" s="1068">
        <f t="shared" si="1"/>
        <v>100</v>
      </c>
      <c r="H47" s="1035" t="s">
        <v>4705</v>
      </c>
      <c r="I47" s="1070">
        <v>3.5</v>
      </c>
      <c r="J47" s="1071"/>
      <c r="K47" s="1068">
        <f t="shared" si="2"/>
        <v>350</v>
      </c>
      <c r="L47" s="1030"/>
      <c r="M47" s="1040"/>
      <c r="N47" s="1030"/>
      <c r="O47" s="1039"/>
      <c r="P47" s="1039"/>
      <c r="Q47" s="1039"/>
      <c r="R47" s="1039"/>
      <c r="S47" s="1039"/>
      <c r="T47" s="1039"/>
      <c r="U47" s="1039"/>
      <c r="V47" s="1039"/>
      <c r="W47" s="1039"/>
      <c r="X47" s="1039"/>
      <c r="Y47" s="1039"/>
      <c r="Z47" s="1039"/>
    </row>
    <row r="48" spans="1:26" ht="12.75" hidden="1" customHeight="1" outlineLevel="1">
      <c r="A48" s="1061">
        <v>34</v>
      </c>
      <c r="B48" s="1051" t="s">
        <v>3382</v>
      </c>
      <c r="C48" s="1066" t="s">
        <v>3342</v>
      </c>
      <c r="D48" s="1035" t="s">
        <v>1388</v>
      </c>
      <c r="E48" s="1035" t="s">
        <v>3388</v>
      </c>
      <c r="F48" s="1073" t="s">
        <v>3410</v>
      </c>
      <c r="G48" s="1068">
        <f t="shared" si="1"/>
        <v>200</v>
      </c>
      <c r="H48" s="1035" t="s">
        <v>4705</v>
      </c>
      <c r="I48" s="1070">
        <v>3.5</v>
      </c>
      <c r="J48" s="1071"/>
      <c r="K48" s="1068">
        <f t="shared" si="2"/>
        <v>700</v>
      </c>
      <c r="L48" s="1030"/>
      <c r="M48" s="1030"/>
      <c r="N48" s="1030"/>
      <c r="O48" s="1030"/>
      <c r="P48" s="1030"/>
      <c r="Q48" s="1030"/>
      <c r="R48" s="1030"/>
      <c r="S48" s="1030"/>
      <c r="T48" s="1030"/>
      <c r="U48" s="1030"/>
      <c r="V48" s="1030"/>
      <c r="W48" s="1030"/>
      <c r="X48" s="1030"/>
      <c r="Y48" s="1030"/>
      <c r="Z48" s="1030"/>
    </row>
    <row r="49" spans="1:26" ht="12.75" hidden="1" customHeight="1" outlineLevel="1">
      <c r="A49" s="1061">
        <v>35</v>
      </c>
      <c r="B49" s="1051" t="s">
        <v>3382</v>
      </c>
      <c r="C49" s="1066" t="s">
        <v>3342</v>
      </c>
      <c r="D49" s="1035" t="s">
        <v>2642</v>
      </c>
      <c r="E49" s="1035" t="s">
        <v>3388</v>
      </c>
      <c r="F49" s="1073" t="s">
        <v>3410</v>
      </c>
      <c r="G49" s="1068">
        <f t="shared" si="1"/>
        <v>200</v>
      </c>
      <c r="H49" s="1035" t="s">
        <v>4705</v>
      </c>
      <c r="I49" s="1070">
        <v>3.5</v>
      </c>
      <c r="J49" s="1071"/>
      <c r="K49" s="1068">
        <f t="shared" si="2"/>
        <v>700</v>
      </c>
      <c r="L49" s="1030"/>
      <c r="M49" s="1040"/>
      <c r="N49" s="1030"/>
      <c r="O49" s="1039"/>
      <c r="P49" s="1039"/>
      <c r="Q49" s="1039"/>
      <c r="R49" s="1039"/>
      <c r="S49" s="1039"/>
      <c r="T49" s="1039"/>
      <c r="U49" s="1039"/>
      <c r="V49" s="1039"/>
      <c r="W49" s="1039"/>
      <c r="X49" s="1039"/>
      <c r="Y49" s="1039"/>
      <c r="Z49" s="1039"/>
    </row>
    <row r="50" spans="1:26" ht="12.75" hidden="1" customHeight="1" outlineLevel="1">
      <c r="A50" s="1061">
        <v>36</v>
      </c>
      <c r="B50" s="1051" t="s">
        <v>3382</v>
      </c>
      <c r="C50" s="1066" t="s">
        <v>3342</v>
      </c>
      <c r="D50" s="1035" t="s">
        <v>3366</v>
      </c>
      <c r="E50" s="1035" t="s">
        <v>3388</v>
      </c>
      <c r="F50" s="1073" t="s">
        <v>3410</v>
      </c>
      <c r="G50" s="1068">
        <f t="shared" si="1"/>
        <v>200</v>
      </c>
      <c r="H50" s="1035" t="s">
        <v>4705</v>
      </c>
      <c r="I50" s="1070">
        <v>3.5</v>
      </c>
      <c r="J50" s="1071"/>
      <c r="K50" s="1068">
        <f t="shared" si="2"/>
        <v>700</v>
      </c>
      <c r="L50" s="1030"/>
      <c r="M50" s="1030"/>
      <c r="N50" s="1030"/>
      <c r="O50" s="1030"/>
      <c r="P50" s="1030"/>
      <c r="Q50" s="1030"/>
      <c r="R50" s="1030"/>
      <c r="S50" s="1030"/>
      <c r="T50" s="1030"/>
      <c r="U50" s="1030"/>
      <c r="V50" s="1030"/>
      <c r="W50" s="1030"/>
      <c r="X50" s="1030"/>
      <c r="Y50" s="1030"/>
      <c r="Z50" s="1030"/>
    </row>
    <row r="51" spans="1:26" ht="12.75" hidden="1" customHeight="1" outlineLevel="1">
      <c r="A51" s="1061">
        <v>37</v>
      </c>
      <c r="B51" s="1051" t="s">
        <v>3382</v>
      </c>
      <c r="C51" s="1066" t="s">
        <v>3342</v>
      </c>
      <c r="D51" s="1035" t="s">
        <v>3370</v>
      </c>
      <c r="E51" s="1035" t="s">
        <v>3388</v>
      </c>
      <c r="F51" s="1073" t="s">
        <v>3410</v>
      </c>
      <c r="G51" s="1068">
        <f t="shared" si="1"/>
        <v>200</v>
      </c>
      <c r="H51" s="1035" t="s">
        <v>4705</v>
      </c>
      <c r="I51" s="1070">
        <v>3.5</v>
      </c>
      <c r="J51" s="1071"/>
      <c r="K51" s="1068">
        <f t="shared" si="2"/>
        <v>700</v>
      </c>
      <c r="L51" s="1030"/>
      <c r="M51" s="1030"/>
      <c r="N51" s="1030"/>
      <c r="O51" s="1030"/>
      <c r="P51" s="1030"/>
      <c r="Q51" s="1030"/>
      <c r="R51" s="1030"/>
      <c r="S51" s="1030"/>
      <c r="T51" s="1030"/>
      <c r="U51" s="1030"/>
      <c r="V51" s="1030"/>
      <c r="W51" s="1030"/>
      <c r="X51" s="1030"/>
      <c r="Y51" s="1030"/>
      <c r="Z51" s="1030"/>
    </row>
    <row r="52" spans="1:26" ht="12.75" hidden="1" customHeight="1" outlineLevel="1">
      <c r="A52" s="1061">
        <v>38</v>
      </c>
      <c r="B52" s="1051" t="s">
        <v>3382</v>
      </c>
      <c r="C52" s="1066" t="s">
        <v>3342</v>
      </c>
      <c r="D52" s="1035" t="s">
        <v>2940</v>
      </c>
      <c r="E52" s="1035" t="s">
        <v>3388</v>
      </c>
      <c r="F52" s="1073" t="s">
        <v>3410</v>
      </c>
      <c r="G52" s="1068">
        <f t="shared" si="1"/>
        <v>200</v>
      </c>
      <c r="H52" s="1035" t="s">
        <v>4705</v>
      </c>
      <c r="I52" s="1070">
        <v>0</v>
      </c>
      <c r="J52" s="1071"/>
      <c r="K52" s="1068">
        <f t="shared" si="2"/>
        <v>0</v>
      </c>
      <c r="L52" s="1030"/>
      <c r="M52" s="1030"/>
      <c r="N52" s="1030"/>
      <c r="O52" s="1030"/>
      <c r="P52" s="1030"/>
      <c r="Q52" s="1030"/>
      <c r="R52" s="1030"/>
      <c r="S52" s="1030"/>
      <c r="T52" s="1030"/>
      <c r="U52" s="1030"/>
      <c r="V52" s="1030"/>
      <c r="W52" s="1030"/>
      <c r="X52" s="1030"/>
      <c r="Y52" s="1030"/>
      <c r="Z52" s="1030"/>
    </row>
    <row r="53" spans="1:26" ht="12.75" hidden="1" customHeight="1" outlineLevel="1">
      <c r="A53" s="1061">
        <v>39</v>
      </c>
      <c r="B53" s="1051" t="s">
        <v>3382</v>
      </c>
      <c r="C53" s="1066" t="s">
        <v>3342</v>
      </c>
      <c r="D53" s="1035" t="s">
        <v>2667</v>
      </c>
      <c r="E53" s="1035" t="s">
        <v>3388</v>
      </c>
      <c r="F53" s="1073" t="s">
        <v>3410</v>
      </c>
      <c r="G53" s="1068">
        <f t="shared" si="1"/>
        <v>200</v>
      </c>
      <c r="H53" s="1035" t="s">
        <v>4705</v>
      </c>
      <c r="I53" s="1070">
        <v>3</v>
      </c>
      <c r="J53" s="1071"/>
      <c r="K53" s="1068">
        <f t="shared" si="2"/>
        <v>600</v>
      </c>
      <c r="L53" s="1030"/>
      <c r="M53" s="1030"/>
      <c r="N53" s="1030"/>
      <c r="O53" s="1030"/>
      <c r="P53" s="1030"/>
      <c r="Q53" s="1030"/>
      <c r="R53" s="1030"/>
      <c r="S53" s="1030"/>
      <c r="T53" s="1030"/>
      <c r="U53" s="1030"/>
      <c r="V53" s="1030"/>
      <c r="W53" s="1030"/>
      <c r="X53" s="1030"/>
      <c r="Y53" s="1030"/>
      <c r="Z53" s="1030"/>
    </row>
    <row r="54" spans="1:26" ht="12.75" hidden="1" customHeight="1" outlineLevel="1">
      <c r="A54" s="1061">
        <v>40</v>
      </c>
      <c r="B54" s="1051" t="s">
        <v>3382</v>
      </c>
      <c r="C54" s="1066" t="s">
        <v>3342</v>
      </c>
      <c r="D54" s="1035" t="s">
        <v>3396</v>
      </c>
      <c r="E54" s="1035" t="s">
        <v>3409</v>
      </c>
      <c r="F54" s="1073" t="s">
        <v>3410</v>
      </c>
      <c r="G54" s="1068">
        <f t="shared" si="1"/>
        <v>150</v>
      </c>
      <c r="H54" s="1035" t="s">
        <v>4705</v>
      </c>
      <c r="I54" s="1070">
        <v>3.5</v>
      </c>
      <c r="J54" s="1071"/>
      <c r="K54" s="1068">
        <f t="shared" si="2"/>
        <v>525</v>
      </c>
      <c r="L54" s="1030"/>
      <c r="M54" s="1030"/>
      <c r="N54" s="1030"/>
      <c r="O54" s="1030"/>
      <c r="P54" s="1030"/>
      <c r="Q54" s="1030"/>
      <c r="R54" s="1030"/>
      <c r="S54" s="1030"/>
      <c r="T54" s="1030"/>
      <c r="U54" s="1030"/>
      <c r="V54" s="1030"/>
      <c r="W54" s="1030"/>
      <c r="X54" s="1030"/>
      <c r="Y54" s="1030"/>
      <c r="Z54" s="1030"/>
    </row>
    <row r="55" spans="1:26" ht="12.75" hidden="1" customHeight="1" outlineLevel="1">
      <c r="A55" s="1061">
        <v>41</v>
      </c>
      <c r="B55" s="1051" t="s">
        <v>3382</v>
      </c>
      <c r="C55" s="1066" t="s">
        <v>3342</v>
      </c>
      <c r="D55" s="1035" t="s">
        <v>3399</v>
      </c>
      <c r="E55" s="1035" t="s">
        <v>3409</v>
      </c>
      <c r="F55" s="1073" t="s">
        <v>3410</v>
      </c>
      <c r="G55" s="1068">
        <f t="shared" si="1"/>
        <v>150</v>
      </c>
      <c r="H55" s="1035" t="s">
        <v>4705</v>
      </c>
      <c r="I55" s="1070">
        <v>3.5</v>
      </c>
      <c r="J55" s="1071"/>
      <c r="K55" s="1068">
        <f t="shared" si="2"/>
        <v>525</v>
      </c>
      <c r="L55" s="1030"/>
      <c r="M55" s="1040"/>
      <c r="N55" s="1030"/>
      <c r="O55" s="1039"/>
      <c r="P55" s="1039"/>
      <c r="Q55" s="1039"/>
      <c r="R55" s="1039"/>
      <c r="S55" s="1039"/>
      <c r="T55" s="1039"/>
      <c r="U55" s="1039"/>
      <c r="V55" s="1039"/>
      <c r="W55" s="1039"/>
      <c r="X55" s="1039"/>
      <c r="Y55" s="1039"/>
      <c r="Z55" s="1039"/>
    </row>
    <row r="56" spans="1:26" ht="12.75" hidden="1" customHeight="1" outlineLevel="1">
      <c r="A56" s="1061">
        <v>42</v>
      </c>
      <c r="B56" s="1051" t="s">
        <v>3382</v>
      </c>
      <c r="C56" s="1066" t="s">
        <v>3342</v>
      </c>
      <c r="D56" s="1035" t="s">
        <v>3387</v>
      </c>
      <c r="E56" s="1035" t="s">
        <v>3388</v>
      </c>
      <c r="F56" s="1073" t="s">
        <v>3410</v>
      </c>
      <c r="G56" s="1068">
        <f t="shared" si="1"/>
        <v>200</v>
      </c>
      <c r="H56" s="1035" t="s">
        <v>4705</v>
      </c>
      <c r="I56" s="1070">
        <v>3.5</v>
      </c>
      <c r="J56" s="1071"/>
      <c r="K56" s="1068">
        <f t="shared" si="2"/>
        <v>700</v>
      </c>
      <c r="L56" s="1030"/>
      <c r="M56" s="1030"/>
      <c r="N56" s="1030"/>
      <c r="O56" s="1039"/>
      <c r="P56" s="1039"/>
      <c r="Q56" s="1039"/>
      <c r="R56" s="1039"/>
      <c r="S56" s="1039"/>
      <c r="T56" s="1039"/>
      <c r="U56" s="1039"/>
      <c r="V56" s="1039"/>
      <c r="W56" s="1039"/>
      <c r="X56" s="1039"/>
      <c r="Y56" s="1039"/>
      <c r="Z56" s="1039"/>
    </row>
    <row r="57" spans="1:26" ht="12.75" hidden="1" customHeight="1" outlineLevel="1">
      <c r="A57" s="1061">
        <v>43</v>
      </c>
      <c r="B57" s="1051" t="s">
        <v>3382</v>
      </c>
      <c r="C57" s="1066" t="s">
        <v>3342</v>
      </c>
      <c r="D57" s="1035" t="s">
        <v>2689</v>
      </c>
      <c r="E57" s="1035" t="s">
        <v>3388</v>
      </c>
      <c r="F57" s="1073" t="s">
        <v>3410</v>
      </c>
      <c r="G57" s="1068">
        <f t="shared" si="1"/>
        <v>200</v>
      </c>
      <c r="H57" s="1035" t="s">
        <v>4705</v>
      </c>
      <c r="I57" s="1070">
        <v>3</v>
      </c>
      <c r="J57" s="1071"/>
      <c r="K57" s="1068">
        <f t="shared" si="2"/>
        <v>600</v>
      </c>
      <c r="L57" s="1030"/>
      <c r="M57" s="1030"/>
      <c r="N57" s="1030"/>
      <c r="O57" s="1030"/>
      <c r="P57" s="1030"/>
      <c r="Q57" s="1030"/>
      <c r="R57" s="1030"/>
      <c r="S57" s="1030"/>
      <c r="T57" s="1030"/>
      <c r="U57" s="1030"/>
      <c r="V57" s="1030"/>
      <c r="W57" s="1030"/>
      <c r="X57" s="1030"/>
      <c r="Y57" s="1030"/>
      <c r="Z57" s="1030"/>
    </row>
    <row r="58" spans="1:26" ht="12.75" hidden="1" customHeight="1" outlineLevel="1">
      <c r="A58" s="1061">
        <v>44</v>
      </c>
      <c r="B58" s="1051" t="s">
        <v>3382</v>
      </c>
      <c r="C58" s="1066" t="s">
        <v>3342</v>
      </c>
      <c r="D58" s="1035" t="s">
        <v>3404</v>
      </c>
      <c r="E58" s="1035" t="s">
        <v>3409</v>
      </c>
      <c r="F58" s="1073" t="s">
        <v>3410</v>
      </c>
      <c r="G58" s="1068">
        <f t="shared" si="1"/>
        <v>150</v>
      </c>
      <c r="H58" s="1035" t="s">
        <v>4705</v>
      </c>
      <c r="I58" s="1070">
        <v>3.5</v>
      </c>
      <c r="J58" s="1071"/>
      <c r="K58" s="1068">
        <f t="shared" si="2"/>
        <v>525</v>
      </c>
      <c r="L58" s="1030"/>
      <c r="M58" s="1040"/>
      <c r="N58" s="1030"/>
      <c r="O58" s="1039"/>
      <c r="P58" s="1039"/>
      <c r="Q58" s="1039"/>
      <c r="R58" s="1039"/>
      <c r="S58" s="1039"/>
      <c r="T58" s="1039"/>
      <c r="U58" s="1039"/>
      <c r="V58" s="1039"/>
      <c r="W58" s="1039"/>
      <c r="X58" s="1039"/>
      <c r="Y58" s="1039"/>
      <c r="Z58" s="1039"/>
    </row>
    <row r="59" spans="1:26" ht="12.75" hidden="1" customHeight="1" outlineLevel="1">
      <c r="A59" s="1061">
        <v>45</v>
      </c>
      <c r="B59" s="1051" t="s">
        <v>3382</v>
      </c>
      <c r="C59" s="1066" t="s">
        <v>3342</v>
      </c>
      <c r="D59" s="1035" t="s">
        <v>3395</v>
      </c>
      <c r="E59" s="1035" t="s">
        <v>3388</v>
      </c>
      <c r="F59" s="1073" t="s">
        <v>3410</v>
      </c>
      <c r="G59" s="1068">
        <f t="shared" si="1"/>
        <v>200</v>
      </c>
      <c r="H59" s="1035" t="s">
        <v>4705</v>
      </c>
      <c r="I59" s="1070">
        <v>3</v>
      </c>
      <c r="J59" s="1071"/>
      <c r="K59" s="1068">
        <f t="shared" si="2"/>
        <v>600</v>
      </c>
      <c r="L59" s="1030"/>
      <c r="M59" s="1040"/>
      <c r="N59" s="1030"/>
      <c r="O59" s="1039"/>
      <c r="P59" s="1039"/>
      <c r="Q59" s="1039"/>
      <c r="R59" s="1039"/>
      <c r="S59" s="1039"/>
      <c r="T59" s="1039"/>
      <c r="U59" s="1039"/>
      <c r="V59" s="1039"/>
      <c r="W59" s="1039"/>
      <c r="X59" s="1039"/>
      <c r="Y59" s="1039"/>
      <c r="Z59" s="1039"/>
    </row>
    <row r="60" spans="1:26" ht="12.75" hidden="1" customHeight="1" outlineLevel="1">
      <c r="A60" s="1061">
        <v>46</v>
      </c>
      <c r="B60" s="1051" t="s">
        <v>3382</v>
      </c>
      <c r="C60" s="1066" t="s">
        <v>3342</v>
      </c>
      <c r="D60" s="1035" t="s">
        <v>3398</v>
      </c>
      <c r="E60" s="1035" t="s">
        <v>3388</v>
      </c>
      <c r="F60" s="1073" t="s">
        <v>3410</v>
      </c>
      <c r="G60" s="1068">
        <f t="shared" si="1"/>
        <v>200</v>
      </c>
      <c r="H60" s="1035" t="s">
        <v>4705</v>
      </c>
      <c r="I60" s="1070">
        <v>3</v>
      </c>
      <c r="J60" s="1071"/>
      <c r="K60" s="1068">
        <f t="shared" si="2"/>
        <v>600</v>
      </c>
      <c r="L60" s="1030"/>
      <c r="M60" s="1030"/>
      <c r="N60" s="1030"/>
      <c r="O60" s="1039"/>
      <c r="P60" s="1039"/>
      <c r="Q60" s="1039"/>
      <c r="R60" s="1039"/>
      <c r="S60" s="1039"/>
      <c r="T60" s="1039"/>
      <c r="U60" s="1039"/>
      <c r="V60" s="1039"/>
      <c r="W60" s="1039"/>
      <c r="X60" s="1039"/>
      <c r="Y60" s="1039"/>
      <c r="Z60" s="1039"/>
    </row>
    <row r="61" spans="1:26" ht="12.75" hidden="1" customHeight="1" outlineLevel="1">
      <c r="A61" s="1061">
        <v>47</v>
      </c>
      <c r="B61" s="1051" t="s">
        <v>3382</v>
      </c>
      <c r="C61" s="1066" t="s">
        <v>3342</v>
      </c>
      <c r="D61" s="1035" t="s">
        <v>3405</v>
      </c>
      <c r="E61" s="1035" t="s">
        <v>3388</v>
      </c>
      <c r="F61" s="1073" t="s">
        <v>3410</v>
      </c>
      <c r="G61" s="1068">
        <f t="shared" si="1"/>
        <v>200</v>
      </c>
      <c r="H61" s="1035" t="s">
        <v>4705</v>
      </c>
      <c r="I61" s="1070">
        <v>3</v>
      </c>
      <c r="J61" s="1071"/>
      <c r="K61" s="1068">
        <f t="shared" si="2"/>
        <v>600</v>
      </c>
      <c r="L61" s="1030"/>
      <c r="M61" s="1030"/>
      <c r="N61" s="1030"/>
      <c r="O61" s="1030"/>
      <c r="P61" s="1030"/>
      <c r="Q61" s="1030"/>
      <c r="R61" s="1030"/>
      <c r="S61" s="1030"/>
      <c r="T61" s="1030"/>
      <c r="U61" s="1030"/>
      <c r="V61" s="1030"/>
      <c r="W61" s="1030"/>
      <c r="X61" s="1030"/>
      <c r="Y61" s="1030"/>
      <c r="Z61" s="1030"/>
    </row>
    <row r="62" spans="1:26" ht="12.75" hidden="1" customHeight="1" outlineLevel="1">
      <c r="A62" s="1061">
        <v>48</v>
      </c>
      <c r="B62" s="1051" t="s">
        <v>3382</v>
      </c>
      <c r="C62" s="1066" t="s">
        <v>3342</v>
      </c>
      <c r="D62" s="1035" t="s">
        <v>3400</v>
      </c>
      <c r="E62" s="1035" t="s">
        <v>3388</v>
      </c>
      <c r="F62" s="1073" t="s">
        <v>3410</v>
      </c>
      <c r="G62" s="1068">
        <f t="shared" si="1"/>
        <v>200</v>
      </c>
      <c r="H62" s="1035" t="s">
        <v>4705</v>
      </c>
      <c r="I62" s="1070">
        <v>3</v>
      </c>
      <c r="J62" s="1071"/>
      <c r="K62" s="1068">
        <f t="shared" si="2"/>
        <v>600</v>
      </c>
      <c r="L62" s="1030"/>
      <c r="M62" s="1040"/>
      <c r="N62" s="1030"/>
      <c r="O62" s="1039"/>
      <c r="P62" s="1039"/>
      <c r="Q62" s="1039"/>
      <c r="R62" s="1039"/>
      <c r="S62" s="1039"/>
      <c r="T62" s="1039"/>
      <c r="U62" s="1039"/>
      <c r="V62" s="1039"/>
      <c r="W62" s="1039"/>
      <c r="X62" s="1039"/>
      <c r="Y62" s="1039"/>
      <c r="Z62" s="1039"/>
    </row>
    <row r="63" spans="1:26" ht="12.75" hidden="1" customHeight="1" outlineLevel="1">
      <c r="A63" s="1061">
        <v>49</v>
      </c>
      <c r="B63" s="1051" t="s">
        <v>3382</v>
      </c>
      <c r="C63" s="1066" t="s">
        <v>3342</v>
      </c>
      <c r="D63" s="1035" t="s">
        <v>2802</v>
      </c>
      <c r="E63" s="1035" t="s">
        <v>3388</v>
      </c>
      <c r="F63" s="1073" t="s">
        <v>3410</v>
      </c>
      <c r="G63" s="1068">
        <f t="shared" si="1"/>
        <v>200</v>
      </c>
      <c r="H63" s="1035" t="s">
        <v>4705</v>
      </c>
      <c r="I63" s="1070">
        <v>3.5</v>
      </c>
      <c r="J63" s="1071"/>
      <c r="K63" s="1068">
        <f t="shared" si="2"/>
        <v>700</v>
      </c>
      <c r="L63" s="1030"/>
      <c r="M63" s="1030"/>
      <c r="N63" s="1030"/>
      <c r="O63" s="1030"/>
      <c r="P63" s="1030"/>
      <c r="Q63" s="1030"/>
      <c r="R63" s="1030"/>
      <c r="S63" s="1030"/>
      <c r="T63" s="1030"/>
      <c r="U63" s="1030"/>
      <c r="V63" s="1030"/>
      <c r="W63" s="1030"/>
      <c r="X63" s="1030"/>
      <c r="Y63" s="1030"/>
      <c r="Z63" s="1030"/>
    </row>
    <row r="64" spans="1:26" ht="12.75" hidden="1" customHeight="1" outlineLevel="1">
      <c r="A64" s="1061">
        <v>50</v>
      </c>
      <c r="B64" s="1051" t="s">
        <v>3382</v>
      </c>
      <c r="C64" s="1066" t="s">
        <v>3342</v>
      </c>
      <c r="D64" s="1035" t="s">
        <v>3407</v>
      </c>
      <c r="E64" s="1035" t="s">
        <v>3393</v>
      </c>
      <c r="F64" s="1073" t="s">
        <v>3410</v>
      </c>
      <c r="G64" s="1075">
        <v>100</v>
      </c>
      <c r="H64" s="1035" t="s">
        <v>4705</v>
      </c>
      <c r="I64" s="1070">
        <v>3.5</v>
      </c>
      <c r="J64" s="1071"/>
      <c r="K64" s="1068">
        <f t="shared" si="2"/>
        <v>350</v>
      </c>
      <c r="L64" s="1030"/>
      <c r="M64" s="1040"/>
      <c r="N64" s="1030"/>
      <c r="O64" s="1039"/>
      <c r="P64" s="1039"/>
      <c r="Q64" s="1039"/>
      <c r="R64" s="1039"/>
      <c r="S64" s="1039"/>
      <c r="T64" s="1039"/>
      <c r="U64" s="1039"/>
      <c r="V64" s="1039"/>
      <c r="W64" s="1039"/>
      <c r="X64" s="1039"/>
      <c r="Y64" s="1039"/>
      <c r="Z64" s="1039"/>
    </row>
    <row r="65" spans="1:26" ht="12.75" customHeight="1" collapsed="1">
      <c r="A65" s="1061">
        <v>53</v>
      </c>
      <c r="B65" s="1051" t="s">
        <v>3382</v>
      </c>
      <c r="C65" s="1066" t="s">
        <v>3342</v>
      </c>
      <c r="D65" s="1035" t="s">
        <v>3145</v>
      </c>
      <c r="E65" s="1035" t="s">
        <v>4703</v>
      </c>
      <c r="F65" s="1073" t="s">
        <v>3414</v>
      </c>
      <c r="G65" s="1068">
        <f t="shared" ref="G65:G71" si="3">IF(E65="MT",800,IF(E65="ET",600,IF(E65="ST",400,IF(E65="T",300,IF(E65="HTS",200,IF(E65="STS",150,IF(E65="TS",100,))))))+IF(E65="MTcod",600,IF(E65="ETcod",450,IF(E65="STcod",350,IF(E65="Tcod",250,)))+IF(E65="MTCoach",800,IF(E65="ETCoach",600,IF(E65="STCoach",400,IF(E65="TCoach",300,))))))</f>
        <v>800</v>
      </c>
      <c r="H65" s="1035" t="s">
        <v>4706</v>
      </c>
      <c r="I65" s="1062">
        <v>2</v>
      </c>
      <c r="J65" s="1087"/>
      <c r="K65" s="1068">
        <f t="shared" si="2"/>
        <v>1600</v>
      </c>
      <c r="L65" s="1030"/>
      <c r="M65" s="1030"/>
      <c r="N65" s="1030"/>
      <c r="O65" s="1030"/>
      <c r="P65" s="1030"/>
      <c r="Q65" s="1030"/>
      <c r="R65" s="1030"/>
      <c r="S65" s="1030"/>
      <c r="T65" s="1030"/>
      <c r="U65" s="1030"/>
      <c r="V65" s="1030"/>
      <c r="W65" s="1030"/>
      <c r="X65" s="1030"/>
      <c r="Y65" s="1030"/>
      <c r="Z65" s="1030"/>
    </row>
    <row r="66" spans="1:26" ht="12.75" customHeight="1">
      <c r="A66" s="1061">
        <v>54</v>
      </c>
      <c r="B66" s="1051" t="s">
        <v>3382</v>
      </c>
      <c r="C66" s="1066" t="s">
        <v>3342</v>
      </c>
      <c r="D66" s="1035" t="s">
        <v>3346</v>
      </c>
      <c r="E66" s="1035" t="s">
        <v>3388</v>
      </c>
      <c r="F66" s="1073" t="s">
        <v>3414</v>
      </c>
      <c r="G66" s="1068">
        <f t="shared" si="3"/>
        <v>200</v>
      </c>
      <c r="H66" s="1035" t="s">
        <v>4706</v>
      </c>
      <c r="I66" s="1062">
        <v>2</v>
      </c>
      <c r="J66" s="1087"/>
      <c r="K66" s="1068">
        <f t="shared" si="2"/>
        <v>400</v>
      </c>
      <c r="L66" s="1030"/>
      <c r="M66" s="1040"/>
      <c r="N66" s="1030"/>
      <c r="O66" s="1039"/>
      <c r="P66" s="1039"/>
      <c r="Q66" s="1039"/>
      <c r="R66" s="1039"/>
      <c r="S66" s="1039"/>
      <c r="T66" s="1039"/>
      <c r="U66" s="1039"/>
      <c r="V66" s="1039"/>
      <c r="W66" s="1039"/>
      <c r="X66" s="1039"/>
      <c r="Y66" s="1039"/>
      <c r="Z66" s="1039"/>
    </row>
    <row r="67" spans="1:26" ht="12.75" customHeight="1">
      <c r="A67" s="1061">
        <v>55</v>
      </c>
      <c r="B67" s="1051" t="s">
        <v>3382</v>
      </c>
      <c r="C67" s="1066" t="s">
        <v>3342</v>
      </c>
      <c r="D67" s="1035" t="s">
        <v>998</v>
      </c>
      <c r="E67" s="1035" t="s">
        <v>3388</v>
      </c>
      <c r="F67" s="1073" t="s">
        <v>3414</v>
      </c>
      <c r="G67" s="1068">
        <f t="shared" si="3"/>
        <v>200</v>
      </c>
      <c r="H67" s="1035" t="s">
        <v>4706</v>
      </c>
      <c r="I67" s="1062">
        <v>2.5</v>
      </c>
      <c r="J67" s="1087"/>
      <c r="K67" s="1068">
        <f t="shared" si="2"/>
        <v>500</v>
      </c>
      <c r="L67" s="1030"/>
      <c r="M67" s="1030"/>
      <c r="N67" s="1030"/>
      <c r="O67" s="1030"/>
      <c r="P67" s="1030"/>
      <c r="Q67" s="1030"/>
      <c r="R67" s="1030"/>
      <c r="S67" s="1030"/>
      <c r="T67" s="1030"/>
      <c r="U67" s="1030"/>
      <c r="V67" s="1030"/>
      <c r="W67" s="1030"/>
      <c r="X67" s="1030"/>
      <c r="Y67" s="1030"/>
      <c r="Z67" s="1030"/>
    </row>
    <row r="68" spans="1:26" ht="12.75" customHeight="1">
      <c r="A68" s="1061">
        <v>56</v>
      </c>
      <c r="B68" s="1051" t="s">
        <v>3382</v>
      </c>
      <c r="C68" s="1066" t="s">
        <v>3342</v>
      </c>
      <c r="D68" s="1035" t="s">
        <v>3356</v>
      </c>
      <c r="E68" s="1035" t="s">
        <v>3388</v>
      </c>
      <c r="F68" s="1073" t="s">
        <v>3414</v>
      </c>
      <c r="G68" s="1068">
        <f t="shared" si="3"/>
        <v>200</v>
      </c>
      <c r="H68" s="1035" t="s">
        <v>4706</v>
      </c>
      <c r="I68" s="1062">
        <v>2</v>
      </c>
      <c r="J68" s="1087"/>
      <c r="K68" s="1068">
        <f t="shared" si="2"/>
        <v>400</v>
      </c>
      <c r="L68" s="1030"/>
      <c r="M68" s="1030"/>
      <c r="N68" s="1030"/>
      <c r="O68" s="1030"/>
      <c r="P68" s="1030"/>
      <c r="Q68" s="1030"/>
      <c r="R68" s="1030"/>
      <c r="S68" s="1030"/>
      <c r="T68" s="1030"/>
      <c r="U68" s="1030"/>
      <c r="V68" s="1030"/>
      <c r="W68" s="1030"/>
      <c r="X68" s="1030"/>
      <c r="Y68" s="1030"/>
      <c r="Z68" s="1030"/>
    </row>
    <row r="69" spans="1:26" ht="12.75" customHeight="1">
      <c r="A69" s="1061">
        <v>57</v>
      </c>
      <c r="B69" s="1051" t="s">
        <v>3382</v>
      </c>
      <c r="C69" s="1066" t="s">
        <v>3342</v>
      </c>
      <c r="D69" s="1035" t="s">
        <v>3357</v>
      </c>
      <c r="E69" s="1035" t="s">
        <v>3388</v>
      </c>
      <c r="F69" s="1073" t="s">
        <v>3414</v>
      </c>
      <c r="G69" s="1068">
        <f t="shared" si="3"/>
        <v>200</v>
      </c>
      <c r="H69" s="1035" t="s">
        <v>4706</v>
      </c>
      <c r="I69" s="1062">
        <v>2</v>
      </c>
      <c r="J69" s="1087"/>
      <c r="K69" s="1068">
        <f t="shared" si="2"/>
        <v>400</v>
      </c>
      <c r="L69" s="1030"/>
      <c r="M69" s="1030"/>
      <c r="N69" s="1030"/>
      <c r="O69" s="1030"/>
      <c r="P69" s="1030"/>
      <c r="Q69" s="1030"/>
      <c r="R69" s="1030"/>
      <c r="S69" s="1030"/>
      <c r="T69" s="1030"/>
      <c r="U69" s="1030"/>
      <c r="V69" s="1030"/>
      <c r="W69" s="1030"/>
      <c r="X69" s="1030"/>
      <c r="Y69" s="1030"/>
      <c r="Z69" s="1030"/>
    </row>
    <row r="70" spans="1:26" ht="12.75" customHeight="1">
      <c r="A70" s="1061">
        <v>58</v>
      </c>
      <c r="B70" s="1051" t="s">
        <v>3382</v>
      </c>
      <c r="C70" s="1066" t="s">
        <v>3342</v>
      </c>
      <c r="D70" s="1035" t="s">
        <v>1077</v>
      </c>
      <c r="E70" s="1035" t="s">
        <v>3388</v>
      </c>
      <c r="F70" s="1073" t="s">
        <v>3414</v>
      </c>
      <c r="G70" s="1068">
        <f t="shared" si="3"/>
        <v>200</v>
      </c>
      <c r="H70" s="1035" t="s">
        <v>4706</v>
      </c>
      <c r="I70" s="1062">
        <v>2.5</v>
      </c>
      <c r="J70" s="1087"/>
      <c r="K70" s="1068">
        <f t="shared" si="2"/>
        <v>500</v>
      </c>
      <c r="L70" s="1030"/>
      <c r="M70" s="1030"/>
      <c r="N70" s="1030"/>
      <c r="O70" s="1030"/>
      <c r="P70" s="1030"/>
      <c r="Q70" s="1030"/>
      <c r="R70" s="1030"/>
      <c r="S70" s="1030"/>
      <c r="T70" s="1030"/>
      <c r="U70" s="1030"/>
      <c r="V70" s="1030"/>
      <c r="W70" s="1030"/>
      <c r="X70" s="1030"/>
      <c r="Y70" s="1030"/>
      <c r="Z70" s="1030"/>
    </row>
    <row r="71" spans="1:26" ht="12.75" customHeight="1">
      <c r="A71" s="1061">
        <v>59</v>
      </c>
      <c r="B71" s="1051" t="s">
        <v>3382</v>
      </c>
      <c r="C71" s="1066" t="s">
        <v>3342</v>
      </c>
      <c r="D71" s="1035" t="s">
        <v>976</v>
      </c>
      <c r="E71" s="1035" t="s">
        <v>3388</v>
      </c>
      <c r="F71" s="1073" t="s">
        <v>3414</v>
      </c>
      <c r="G71" s="1068">
        <f t="shared" si="3"/>
        <v>200</v>
      </c>
      <c r="H71" s="1035" t="s">
        <v>4706</v>
      </c>
      <c r="I71" s="1062">
        <v>2.5</v>
      </c>
      <c r="J71" s="1087"/>
      <c r="K71" s="1068">
        <f t="shared" si="2"/>
        <v>500</v>
      </c>
      <c r="L71" s="1030"/>
      <c r="M71" s="1030"/>
      <c r="N71" s="1030"/>
      <c r="O71" s="1030"/>
      <c r="P71" s="1030"/>
      <c r="Q71" s="1030"/>
      <c r="R71" s="1030"/>
      <c r="S71" s="1030"/>
      <c r="T71" s="1030"/>
      <c r="U71" s="1030"/>
      <c r="V71" s="1030"/>
      <c r="W71" s="1030"/>
      <c r="X71" s="1030"/>
      <c r="Y71" s="1030"/>
      <c r="Z71" s="1030"/>
    </row>
    <row r="72" spans="1:26" ht="12.75" customHeight="1">
      <c r="A72" s="1061">
        <v>60</v>
      </c>
      <c r="B72" s="1051" t="s">
        <v>3382</v>
      </c>
      <c r="C72" s="1066" t="s">
        <v>3342</v>
      </c>
      <c r="D72" s="1035" t="s">
        <v>3364</v>
      </c>
      <c r="E72" s="1035" t="s">
        <v>3393</v>
      </c>
      <c r="F72" s="1073" t="s">
        <v>3414</v>
      </c>
      <c r="G72" s="1075">
        <v>100</v>
      </c>
      <c r="H72" s="1035" t="s">
        <v>4706</v>
      </c>
      <c r="I72" s="1062">
        <v>1.5</v>
      </c>
      <c r="J72" s="1087"/>
      <c r="K72" s="1068">
        <f t="shared" si="2"/>
        <v>150</v>
      </c>
      <c r="L72" s="1030"/>
      <c r="M72" s="1030"/>
      <c r="N72" s="1030"/>
      <c r="O72" s="1030"/>
      <c r="P72" s="1030"/>
      <c r="Q72" s="1030"/>
      <c r="R72" s="1030"/>
      <c r="S72" s="1030"/>
      <c r="T72" s="1030"/>
      <c r="U72" s="1030"/>
      <c r="V72" s="1030"/>
      <c r="W72" s="1030"/>
      <c r="X72" s="1030"/>
      <c r="Y72" s="1030"/>
      <c r="Z72" s="1030"/>
    </row>
    <row r="73" spans="1:26" ht="12.75" customHeight="1">
      <c r="A73" s="1061">
        <f>A71+1</f>
        <v>60</v>
      </c>
      <c r="B73" s="1051" t="s">
        <v>3382</v>
      </c>
      <c r="C73" s="1066" t="s">
        <v>3342</v>
      </c>
      <c r="D73" s="1035" t="s">
        <v>1388</v>
      </c>
      <c r="E73" s="1035" t="s">
        <v>3388</v>
      </c>
      <c r="F73" s="1073" t="s">
        <v>3414</v>
      </c>
      <c r="G73" s="1068">
        <f t="shared" ref="G73:G89" si="4">IF(E73="MT",800,IF(E73="ET",600,IF(E73="ST",400,IF(E73="T",300,IF(E73="HTS",200,IF(E73="STS",150,IF(E73="TS",100,))))))+IF(E73="MTcod",600,IF(E73="ETcod",450,IF(E73="STcod",350,IF(E73="Tcod",250,)))+IF(E73="MTCoach",800,IF(E73="ETCoach",600,IF(E73="STCoach",400,IF(E73="TCoach",300,))))))</f>
        <v>200</v>
      </c>
      <c r="H73" s="1035" t="s">
        <v>4706</v>
      </c>
      <c r="I73" s="1062">
        <v>0</v>
      </c>
      <c r="J73" s="1087"/>
      <c r="K73" s="1068">
        <f t="shared" si="2"/>
        <v>0</v>
      </c>
      <c r="L73" s="1030"/>
      <c r="M73" s="1030"/>
      <c r="N73" s="1030"/>
      <c r="O73" s="1030"/>
      <c r="P73" s="1030"/>
      <c r="Q73" s="1030"/>
      <c r="R73" s="1030"/>
      <c r="S73" s="1030"/>
      <c r="T73" s="1030"/>
      <c r="U73" s="1030"/>
      <c r="V73" s="1030"/>
      <c r="W73" s="1030"/>
      <c r="X73" s="1030"/>
      <c r="Y73" s="1030"/>
      <c r="Z73" s="1030"/>
    </row>
    <row r="74" spans="1:26" ht="12.75" customHeight="1">
      <c r="A74" s="1061">
        <f t="shared" ref="A74:A89" si="5">A73+1</f>
        <v>61</v>
      </c>
      <c r="B74" s="1051" t="s">
        <v>3382</v>
      </c>
      <c r="C74" s="1066" t="s">
        <v>3342</v>
      </c>
      <c r="D74" s="1035" t="s">
        <v>2642</v>
      </c>
      <c r="E74" s="1035" t="s">
        <v>3388</v>
      </c>
      <c r="F74" s="1073" t="s">
        <v>3414</v>
      </c>
      <c r="G74" s="1068">
        <f t="shared" si="4"/>
        <v>200</v>
      </c>
      <c r="H74" s="1035" t="s">
        <v>4706</v>
      </c>
      <c r="I74" s="1062">
        <v>2.5</v>
      </c>
      <c r="J74" s="1087"/>
      <c r="K74" s="1068">
        <f t="shared" si="2"/>
        <v>500</v>
      </c>
      <c r="L74" s="1030"/>
      <c r="M74" s="1030"/>
      <c r="N74" s="1030"/>
      <c r="O74" s="1030"/>
      <c r="P74" s="1030"/>
      <c r="Q74" s="1030"/>
      <c r="R74" s="1030"/>
      <c r="S74" s="1030"/>
      <c r="T74" s="1030"/>
      <c r="U74" s="1030"/>
      <c r="V74" s="1030"/>
      <c r="W74" s="1030"/>
      <c r="X74" s="1030"/>
      <c r="Y74" s="1030"/>
      <c r="Z74" s="1030"/>
    </row>
    <row r="75" spans="1:26" ht="12.75" customHeight="1">
      <c r="A75" s="1061">
        <f t="shared" si="5"/>
        <v>62</v>
      </c>
      <c r="B75" s="1051" t="s">
        <v>3382</v>
      </c>
      <c r="C75" s="1066" t="s">
        <v>3342</v>
      </c>
      <c r="D75" s="1035" t="s">
        <v>3366</v>
      </c>
      <c r="E75" s="1035" t="s">
        <v>3388</v>
      </c>
      <c r="F75" s="1073" t="s">
        <v>3414</v>
      </c>
      <c r="G75" s="1068">
        <f t="shared" si="4"/>
        <v>200</v>
      </c>
      <c r="H75" s="1035" t="s">
        <v>4706</v>
      </c>
      <c r="I75" s="1062">
        <v>3</v>
      </c>
      <c r="J75" s="1087"/>
      <c r="K75" s="1068">
        <f t="shared" si="2"/>
        <v>600</v>
      </c>
      <c r="L75" s="1030"/>
      <c r="M75" s="1030"/>
      <c r="N75" s="1030"/>
      <c r="O75" s="1030"/>
      <c r="P75" s="1030"/>
      <c r="Q75" s="1030"/>
      <c r="R75" s="1030"/>
      <c r="S75" s="1030"/>
      <c r="T75" s="1030"/>
      <c r="U75" s="1030"/>
      <c r="V75" s="1030"/>
      <c r="W75" s="1030"/>
      <c r="X75" s="1030"/>
      <c r="Y75" s="1030"/>
      <c r="Z75" s="1030"/>
    </row>
    <row r="76" spans="1:26" ht="12.75" customHeight="1">
      <c r="A76" s="1061">
        <f t="shared" si="5"/>
        <v>63</v>
      </c>
      <c r="B76" s="1051" t="s">
        <v>3382</v>
      </c>
      <c r="C76" s="1066" t="s">
        <v>3342</v>
      </c>
      <c r="D76" s="1035" t="s">
        <v>3370</v>
      </c>
      <c r="E76" s="1035" t="s">
        <v>3388</v>
      </c>
      <c r="F76" s="1073" t="s">
        <v>3414</v>
      </c>
      <c r="G76" s="1068">
        <f t="shared" si="4"/>
        <v>200</v>
      </c>
      <c r="H76" s="1035" t="s">
        <v>4706</v>
      </c>
      <c r="I76" s="1062">
        <v>0</v>
      </c>
      <c r="J76" s="1087"/>
      <c r="K76" s="1068">
        <f t="shared" si="2"/>
        <v>0</v>
      </c>
      <c r="L76" s="1030"/>
      <c r="M76" s="1030"/>
      <c r="N76" s="1030"/>
      <c r="O76" s="1030"/>
      <c r="P76" s="1030"/>
      <c r="Q76" s="1030"/>
      <c r="R76" s="1030"/>
      <c r="S76" s="1030"/>
      <c r="T76" s="1030"/>
      <c r="U76" s="1030"/>
      <c r="V76" s="1030"/>
      <c r="W76" s="1030"/>
      <c r="X76" s="1030"/>
      <c r="Y76" s="1030"/>
      <c r="Z76" s="1030"/>
    </row>
    <row r="77" spans="1:26" ht="12.75" customHeight="1">
      <c r="A77" s="1061">
        <f t="shared" si="5"/>
        <v>64</v>
      </c>
      <c r="B77" s="1051" t="s">
        <v>3382</v>
      </c>
      <c r="C77" s="1066" t="s">
        <v>3342</v>
      </c>
      <c r="D77" s="1035" t="s">
        <v>2940</v>
      </c>
      <c r="E77" s="1035" t="s">
        <v>3388</v>
      </c>
      <c r="F77" s="1073" t="s">
        <v>3414</v>
      </c>
      <c r="G77" s="1068">
        <f t="shared" si="4"/>
        <v>200</v>
      </c>
      <c r="H77" s="1035" t="s">
        <v>4706</v>
      </c>
      <c r="I77" s="1062">
        <v>2.5</v>
      </c>
      <c r="J77" s="1087"/>
      <c r="K77" s="1068">
        <f t="shared" si="2"/>
        <v>500</v>
      </c>
      <c r="L77" s="1030"/>
      <c r="M77" s="1030"/>
      <c r="N77" s="1030"/>
      <c r="O77" s="1030"/>
      <c r="P77" s="1030"/>
      <c r="Q77" s="1030"/>
      <c r="R77" s="1030"/>
      <c r="S77" s="1030"/>
      <c r="T77" s="1030"/>
      <c r="U77" s="1030"/>
      <c r="V77" s="1030"/>
      <c r="W77" s="1030"/>
      <c r="X77" s="1030"/>
      <c r="Y77" s="1030"/>
      <c r="Z77" s="1030"/>
    </row>
    <row r="78" spans="1:26" ht="12.75" customHeight="1">
      <c r="A78" s="1061">
        <f t="shared" si="5"/>
        <v>65</v>
      </c>
      <c r="B78" s="1051" t="s">
        <v>3382</v>
      </c>
      <c r="C78" s="1066" t="s">
        <v>3342</v>
      </c>
      <c r="D78" s="1035" t="s">
        <v>2667</v>
      </c>
      <c r="E78" s="1035" t="s">
        <v>3388</v>
      </c>
      <c r="F78" s="1073" t="s">
        <v>3414</v>
      </c>
      <c r="G78" s="1068">
        <f t="shared" si="4"/>
        <v>200</v>
      </c>
      <c r="H78" s="1035" t="s">
        <v>4706</v>
      </c>
      <c r="I78" s="1062">
        <v>2.5</v>
      </c>
      <c r="J78" s="1087"/>
      <c r="K78" s="1068">
        <f t="shared" si="2"/>
        <v>500</v>
      </c>
      <c r="L78" s="1030"/>
      <c r="M78" s="1030"/>
      <c r="N78" s="1030"/>
      <c r="O78" s="1030"/>
      <c r="P78" s="1030"/>
      <c r="Q78" s="1030"/>
      <c r="R78" s="1030"/>
      <c r="S78" s="1030"/>
      <c r="T78" s="1030"/>
      <c r="U78" s="1030"/>
      <c r="V78" s="1030"/>
      <c r="W78" s="1030"/>
      <c r="X78" s="1030"/>
      <c r="Y78" s="1030"/>
      <c r="Z78" s="1030"/>
    </row>
    <row r="79" spans="1:26" ht="12.75" customHeight="1">
      <c r="A79" s="1061">
        <f t="shared" si="5"/>
        <v>66</v>
      </c>
      <c r="B79" s="1051" t="s">
        <v>3382</v>
      </c>
      <c r="C79" s="1066" t="s">
        <v>3342</v>
      </c>
      <c r="D79" s="1035" t="s">
        <v>3396</v>
      </c>
      <c r="E79" s="1035" t="s">
        <v>3409</v>
      </c>
      <c r="F79" s="1073" t="s">
        <v>3414</v>
      </c>
      <c r="G79" s="1068">
        <f t="shared" si="4"/>
        <v>150</v>
      </c>
      <c r="H79" s="1035" t="s">
        <v>4706</v>
      </c>
      <c r="I79" s="1062">
        <v>3</v>
      </c>
      <c r="J79" s="1087"/>
      <c r="K79" s="1068">
        <f t="shared" si="2"/>
        <v>450</v>
      </c>
      <c r="L79" s="1030"/>
      <c r="M79" s="1030"/>
      <c r="N79" s="1030"/>
      <c r="O79" s="1030"/>
      <c r="P79" s="1030"/>
      <c r="Q79" s="1030"/>
      <c r="R79" s="1030"/>
      <c r="S79" s="1030"/>
      <c r="T79" s="1030"/>
      <c r="U79" s="1030"/>
      <c r="V79" s="1030"/>
      <c r="W79" s="1030"/>
      <c r="X79" s="1030"/>
      <c r="Y79" s="1030"/>
      <c r="Z79" s="1030"/>
    </row>
    <row r="80" spans="1:26" ht="12.75" customHeight="1">
      <c r="A80" s="1061">
        <f t="shared" si="5"/>
        <v>67</v>
      </c>
      <c r="B80" s="1051" t="s">
        <v>3382</v>
      </c>
      <c r="C80" s="1066" t="s">
        <v>3342</v>
      </c>
      <c r="D80" s="1035" t="s">
        <v>3399</v>
      </c>
      <c r="E80" s="1035" t="s">
        <v>3409</v>
      </c>
      <c r="F80" s="1073" t="s">
        <v>3414</v>
      </c>
      <c r="G80" s="1068">
        <f t="shared" si="4"/>
        <v>150</v>
      </c>
      <c r="H80" s="1035" t="s">
        <v>4706</v>
      </c>
      <c r="I80" s="1062">
        <v>3</v>
      </c>
      <c r="J80" s="1087"/>
      <c r="K80" s="1068">
        <f t="shared" si="2"/>
        <v>450</v>
      </c>
      <c r="L80" s="1030"/>
      <c r="M80" s="1030"/>
      <c r="N80" s="1030"/>
      <c r="O80" s="1030"/>
      <c r="P80" s="1030"/>
      <c r="Q80" s="1030"/>
      <c r="R80" s="1030"/>
      <c r="S80" s="1030"/>
      <c r="T80" s="1030"/>
      <c r="U80" s="1030"/>
      <c r="V80" s="1030"/>
      <c r="W80" s="1030"/>
      <c r="X80" s="1030"/>
      <c r="Y80" s="1030"/>
      <c r="Z80" s="1030"/>
    </row>
    <row r="81" spans="1:26" ht="12.75" customHeight="1">
      <c r="A81" s="1061">
        <f t="shared" si="5"/>
        <v>68</v>
      </c>
      <c r="B81" s="1051" t="s">
        <v>3382</v>
      </c>
      <c r="C81" s="1066" t="s">
        <v>3342</v>
      </c>
      <c r="D81" s="1035" t="s">
        <v>3387</v>
      </c>
      <c r="E81" s="1035" t="s">
        <v>3388</v>
      </c>
      <c r="F81" s="1073" t="s">
        <v>3414</v>
      </c>
      <c r="G81" s="1068">
        <f t="shared" si="4"/>
        <v>200</v>
      </c>
      <c r="H81" s="1035" t="s">
        <v>4706</v>
      </c>
      <c r="I81" s="1062">
        <v>2.5</v>
      </c>
      <c r="J81" s="1087"/>
      <c r="K81" s="1068">
        <f t="shared" si="2"/>
        <v>500</v>
      </c>
      <c r="L81" s="1030"/>
      <c r="M81" s="1030"/>
      <c r="N81" s="1030"/>
      <c r="O81" s="1030"/>
      <c r="P81" s="1030"/>
      <c r="Q81" s="1030"/>
      <c r="R81" s="1030"/>
      <c r="S81" s="1030"/>
      <c r="T81" s="1030"/>
      <c r="U81" s="1030"/>
      <c r="V81" s="1030"/>
      <c r="W81" s="1030"/>
      <c r="X81" s="1030"/>
      <c r="Y81" s="1030"/>
      <c r="Z81" s="1030"/>
    </row>
    <row r="82" spans="1:26" ht="12.75" customHeight="1">
      <c r="A82" s="1061">
        <f t="shared" si="5"/>
        <v>69</v>
      </c>
      <c r="B82" s="1051" t="s">
        <v>3382</v>
      </c>
      <c r="C82" s="1066" t="s">
        <v>3342</v>
      </c>
      <c r="D82" s="1035" t="s">
        <v>2689</v>
      </c>
      <c r="E82" s="1035" t="s">
        <v>3388</v>
      </c>
      <c r="F82" s="1073" t="s">
        <v>3414</v>
      </c>
      <c r="G82" s="1068">
        <f t="shared" si="4"/>
        <v>200</v>
      </c>
      <c r="H82" s="1035" t="s">
        <v>4706</v>
      </c>
      <c r="I82" s="1062">
        <v>2.5</v>
      </c>
      <c r="J82" s="1087"/>
      <c r="K82" s="1068">
        <f t="shared" si="2"/>
        <v>500</v>
      </c>
      <c r="L82" s="1030"/>
      <c r="M82" s="1030"/>
      <c r="N82" s="1030"/>
      <c r="O82" s="1030"/>
      <c r="P82" s="1030"/>
      <c r="Q82" s="1030"/>
      <c r="R82" s="1030"/>
      <c r="S82" s="1030"/>
      <c r="T82" s="1030"/>
      <c r="U82" s="1030"/>
      <c r="V82" s="1030"/>
      <c r="W82" s="1030"/>
      <c r="X82" s="1030"/>
      <c r="Y82" s="1030"/>
      <c r="Z82" s="1030"/>
    </row>
    <row r="83" spans="1:26" ht="12.75" customHeight="1">
      <c r="A83" s="1061">
        <f t="shared" si="5"/>
        <v>70</v>
      </c>
      <c r="B83" s="1051" t="s">
        <v>3382</v>
      </c>
      <c r="C83" s="1066" t="s">
        <v>3342</v>
      </c>
      <c r="D83" s="1035" t="s">
        <v>3404</v>
      </c>
      <c r="E83" s="1035" t="s">
        <v>3409</v>
      </c>
      <c r="F83" s="1073" t="s">
        <v>3414</v>
      </c>
      <c r="G83" s="1068">
        <f t="shared" si="4"/>
        <v>150</v>
      </c>
      <c r="H83" s="1035" t="s">
        <v>4706</v>
      </c>
      <c r="I83" s="1062">
        <v>2.5</v>
      </c>
      <c r="J83" s="1087"/>
      <c r="K83" s="1068">
        <f t="shared" si="2"/>
        <v>375</v>
      </c>
      <c r="L83" s="1030"/>
      <c r="M83" s="1030"/>
      <c r="N83" s="1030"/>
      <c r="O83" s="1030"/>
      <c r="P83" s="1030"/>
      <c r="Q83" s="1030"/>
      <c r="R83" s="1030"/>
      <c r="S83" s="1030"/>
      <c r="T83" s="1030"/>
      <c r="U83" s="1030"/>
      <c r="V83" s="1030"/>
      <c r="W83" s="1030"/>
      <c r="X83" s="1030"/>
      <c r="Y83" s="1030"/>
      <c r="Z83" s="1030"/>
    </row>
    <row r="84" spans="1:26" ht="12.75" customHeight="1">
      <c r="A84" s="1061">
        <f t="shared" si="5"/>
        <v>71</v>
      </c>
      <c r="B84" s="1051" t="s">
        <v>3382</v>
      </c>
      <c r="C84" s="1066" t="s">
        <v>3342</v>
      </c>
      <c r="D84" s="1035" t="s">
        <v>3395</v>
      </c>
      <c r="E84" s="1035" t="s">
        <v>3388</v>
      </c>
      <c r="F84" s="1073" t="s">
        <v>3414</v>
      </c>
      <c r="G84" s="1068">
        <f t="shared" si="4"/>
        <v>200</v>
      </c>
      <c r="H84" s="1035" t="s">
        <v>4706</v>
      </c>
      <c r="I84" s="1062">
        <v>2</v>
      </c>
      <c r="J84" s="1087"/>
      <c r="K84" s="1068">
        <f t="shared" si="2"/>
        <v>400</v>
      </c>
      <c r="L84" s="1030"/>
      <c r="M84" s="1030"/>
      <c r="N84" s="1030"/>
      <c r="O84" s="1030"/>
      <c r="P84" s="1030"/>
      <c r="Q84" s="1030"/>
      <c r="R84" s="1030"/>
      <c r="S84" s="1030"/>
      <c r="T84" s="1030"/>
      <c r="U84" s="1030"/>
      <c r="V84" s="1030"/>
      <c r="W84" s="1030"/>
      <c r="X84" s="1030"/>
      <c r="Y84" s="1030"/>
      <c r="Z84" s="1030"/>
    </row>
    <row r="85" spans="1:26" ht="12.75" customHeight="1">
      <c r="A85" s="1061">
        <f t="shared" si="5"/>
        <v>72</v>
      </c>
      <c r="B85" s="1051" t="s">
        <v>3382</v>
      </c>
      <c r="C85" s="1066" t="s">
        <v>3342</v>
      </c>
      <c r="D85" s="1035" t="s">
        <v>3398</v>
      </c>
      <c r="E85" s="1035" t="s">
        <v>3388</v>
      </c>
      <c r="F85" s="1073" t="s">
        <v>3414</v>
      </c>
      <c r="G85" s="1068">
        <f t="shared" si="4"/>
        <v>200</v>
      </c>
      <c r="H85" s="1035" t="s">
        <v>4706</v>
      </c>
      <c r="I85" s="1062">
        <v>2</v>
      </c>
      <c r="J85" s="1087"/>
      <c r="K85" s="1068">
        <f t="shared" si="2"/>
        <v>400</v>
      </c>
      <c r="L85" s="1030"/>
      <c r="M85" s="1030"/>
      <c r="N85" s="1030"/>
      <c r="O85" s="1030"/>
      <c r="P85" s="1030"/>
      <c r="Q85" s="1030"/>
      <c r="R85" s="1030"/>
      <c r="S85" s="1030"/>
      <c r="T85" s="1030"/>
      <c r="U85" s="1030"/>
      <c r="V85" s="1030"/>
      <c r="W85" s="1030"/>
      <c r="X85" s="1030"/>
      <c r="Y85" s="1030"/>
      <c r="Z85" s="1030"/>
    </row>
    <row r="86" spans="1:26" ht="12.75" customHeight="1">
      <c r="A86" s="1061">
        <f t="shared" si="5"/>
        <v>73</v>
      </c>
      <c r="B86" s="1051" t="s">
        <v>3382</v>
      </c>
      <c r="C86" s="1066" t="s">
        <v>3342</v>
      </c>
      <c r="D86" s="1035" t="s">
        <v>3405</v>
      </c>
      <c r="E86" s="1035" t="s">
        <v>3388</v>
      </c>
      <c r="F86" s="1073" t="s">
        <v>3414</v>
      </c>
      <c r="G86" s="1068">
        <f t="shared" si="4"/>
        <v>200</v>
      </c>
      <c r="H86" s="1035" t="s">
        <v>4706</v>
      </c>
      <c r="I86" s="1062">
        <v>2.5</v>
      </c>
      <c r="J86" s="1087"/>
      <c r="K86" s="1068">
        <f t="shared" si="2"/>
        <v>500</v>
      </c>
      <c r="L86" s="1030"/>
      <c r="M86" s="1030"/>
      <c r="N86" s="1030"/>
      <c r="O86" s="1030"/>
      <c r="P86" s="1030"/>
      <c r="Q86" s="1030"/>
      <c r="R86" s="1030"/>
      <c r="S86" s="1030"/>
      <c r="T86" s="1030"/>
      <c r="U86" s="1030"/>
      <c r="V86" s="1030"/>
      <c r="W86" s="1030"/>
      <c r="X86" s="1030"/>
      <c r="Y86" s="1030"/>
      <c r="Z86" s="1030"/>
    </row>
    <row r="87" spans="1:26" ht="12.75" customHeight="1">
      <c r="A87" s="1061">
        <f t="shared" si="5"/>
        <v>74</v>
      </c>
      <c r="B87" s="1051" t="s">
        <v>3382</v>
      </c>
      <c r="C87" s="1066" t="s">
        <v>3342</v>
      </c>
      <c r="D87" s="1035" t="s">
        <v>3400</v>
      </c>
      <c r="E87" s="1035" t="s">
        <v>3388</v>
      </c>
      <c r="F87" s="1073" t="s">
        <v>3414</v>
      </c>
      <c r="G87" s="1068">
        <f t="shared" si="4"/>
        <v>200</v>
      </c>
      <c r="H87" s="1035" t="s">
        <v>4706</v>
      </c>
      <c r="I87" s="1062">
        <v>0</v>
      </c>
      <c r="J87" s="1087"/>
      <c r="K87" s="1068">
        <f t="shared" si="2"/>
        <v>0</v>
      </c>
      <c r="L87" s="1030"/>
      <c r="M87" s="1030"/>
      <c r="N87" s="1030"/>
      <c r="O87" s="1030"/>
      <c r="P87" s="1030"/>
      <c r="Q87" s="1030"/>
      <c r="R87" s="1030"/>
      <c r="S87" s="1030"/>
      <c r="T87" s="1030"/>
      <c r="U87" s="1030"/>
      <c r="V87" s="1030"/>
      <c r="W87" s="1030"/>
      <c r="X87" s="1030"/>
      <c r="Y87" s="1030"/>
      <c r="Z87" s="1030"/>
    </row>
    <row r="88" spans="1:26" ht="12.75" customHeight="1">
      <c r="A88" s="1061">
        <f t="shared" si="5"/>
        <v>75</v>
      </c>
      <c r="B88" s="1051" t="s">
        <v>3382</v>
      </c>
      <c r="C88" s="1066" t="s">
        <v>3342</v>
      </c>
      <c r="D88" s="1035" t="s">
        <v>2802</v>
      </c>
      <c r="E88" s="1035" t="s">
        <v>3388</v>
      </c>
      <c r="F88" s="1073" t="s">
        <v>3414</v>
      </c>
      <c r="G88" s="1068">
        <f t="shared" si="4"/>
        <v>200</v>
      </c>
      <c r="H88" s="1035" t="s">
        <v>4706</v>
      </c>
      <c r="I88" s="1062">
        <v>1.5</v>
      </c>
      <c r="J88" s="1087"/>
      <c r="K88" s="1068">
        <f t="shared" si="2"/>
        <v>300</v>
      </c>
      <c r="L88" s="1030"/>
      <c r="M88" s="1030"/>
      <c r="N88" s="1030"/>
      <c r="O88" s="1030"/>
      <c r="P88" s="1030"/>
      <c r="Q88" s="1030"/>
      <c r="R88" s="1030"/>
      <c r="S88" s="1030"/>
      <c r="T88" s="1030"/>
      <c r="U88" s="1030"/>
      <c r="V88" s="1030"/>
      <c r="W88" s="1030"/>
      <c r="X88" s="1030"/>
      <c r="Y88" s="1030"/>
      <c r="Z88" s="1030"/>
    </row>
    <row r="89" spans="1:26" ht="12.75" customHeight="1">
      <c r="A89" s="1061">
        <f t="shared" si="5"/>
        <v>76</v>
      </c>
      <c r="B89" s="1051" t="s">
        <v>3382</v>
      </c>
      <c r="C89" s="1066" t="s">
        <v>3342</v>
      </c>
      <c r="D89" s="1035" t="s">
        <v>3407</v>
      </c>
      <c r="E89" s="1035" t="s">
        <v>3393</v>
      </c>
      <c r="F89" s="1073" t="s">
        <v>3414</v>
      </c>
      <c r="G89" s="1068">
        <f t="shared" si="4"/>
        <v>100</v>
      </c>
      <c r="H89" s="1035" t="s">
        <v>4706</v>
      </c>
      <c r="I89" s="1062">
        <v>2.5</v>
      </c>
      <c r="J89" s="1087"/>
      <c r="K89" s="1068">
        <f t="shared" si="2"/>
        <v>250</v>
      </c>
      <c r="L89" s="1030"/>
      <c r="M89" s="1030"/>
      <c r="N89" s="1030"/>
      <c r="O89" s="1030"/>
      <c r="P89" s="1030"/>
      <c r="Q89" s="1030"/>
      <c r="R89" s="1030"/>
      <c r="S89" s="1030"/>
      <c r="T89" s="1030"/>
      <c r="U89" s="1030"/>
      <c r="V89" s="1030"/>
      <c r="W89" s="1030"/>
      <c r="X89" s="1030"/>
      <c r="Y89" s="1030"/>
      <c r="Z89" s="1030"/>
    </row>
    <row r="90" spans="1:26" ht="12.75" customHeight="1">
      <c r="A90" s="1039"/>
      <c r="B90" s="1039"/>
      <c r="C90" s="1039"/>
      <c r="D90" s="1088" t="s">
        <v>3416</v>
      </c>
      <c r="E90" s="1089"/>
      <c r="F90" s="1089"/>
      <c r="G90" s="1089"/>
      <c r="H90" s="1090"/>
      <c r="I90" s="1089"/>
      <c r="J90" s="1089"/>
      <c r="K90" s="1091">
        <f>SUM(K15:K89)</f>
        <v>42650</v>
      </c>
      <c r="L90" s="1039"/>
      <c r="M90" s="1030"/>
      <c r="N90" s="1030"/>
      <c r="O90" s="1030"/>
      <c r="P90" s="1030"/>
      <c r="Q90" s="1030"/>
      <c r="R90" s="1030"/>
      <c r="S90" s="1030"/>
      <c r="T90" s="1030"/>
      <c r="U90" s="1030"/>
      <c r="V90" s="1030"/>
      <c r="W90" s="1030"/>
      <c r="X90" s="1030"/>
      <c r="Y90" s="1030"/>
      <c r="Z90" s="1030"/>
    </row>
    <row r="91" spans="1:26" ht="12.75" customHeight="1">
      <c r="A91" s="1039"/>
      <c r="B91" s="1039"/>
      <c r="C91" s="1039"/>
      <c r="D91" s="1092"/>
      <c r="E91" s="1092"/>
      <c r="F91" s="1092"/>
      <c r="G91" s="1092"/>
      <c r="H91" s="1093"/>
      <c r="I91" s="1092"/>
      <c r="J91" s="1092"/>
      <c r="K91" s="1094"/>
      <c r="L91" s="1039"/>
      <c r="M91" s="1030"/>
      <c r="N91" s="1030"/>
      <c r="O91" s="1030"/>
      <c r="P91" s="1030"/>
      <c r="Q91" s="1030"/>
      <c r="R91" s="1030"/>
      <c r="S91" s="1030"/>
      <c r="T91" s="1030"/>
      <c r="U91" s="1030"/>
      <c r="V91" s="1030"/>
      <c r="W91" s="1030"/>
      <c r="X91" s="1030"/>
      <c r="Y91" s="1030"/>
      <c r="Z91" s="1030"/>
    </row>
    <row r="92" spans="1:26" ht="12.75" customHeight="1">
      <c r="A92" s="1061"/>
      <c r="B92" s="1030"/>
      <c r="C92" s="1030"/>
      <c r="D92" s="1095" t="s">
        <v>3417</v>
      </c>
      <c r="E92" s="1031"/>
      <c r="F92" s="1031"/>
      <c r="G92" s="1031"/>
      <c r="H92" s="1031"/>
      <c r="I92" s="1032"/>
      <c r="J92" s="1031"/>
      <c r="K92" s="1033"/>
      <c r="L92" s="1030"/>
      <c r="M92" s="1030"/>
      <c r="N92" s="1030"/>
      <c r="O92" s="1030"/>
      <c r="P92" s="1030"/>
      <c r="Q92" s="1030"/>
      <c r="R92" s="1030"/>
      <c r="S92" s="1030"/>
      <c r="T92" s="1030"/>
      <c r="U92" s="1030"/>
      <c r="V92" s="1030"/>
      <c r="W92" s="1030"/>
      <c r="X92" s="1030"/>
      <c r="Y92" s="1030"/>
      <c r="Z92" s="1030"/>
    </row>
    <row r="93" spans="1:26" ht="12.75" customHeight="1">
      <c r="A93" s="1061"/>
      <c r="B93" s="1062" t="s">
        <v>3373</v>
      </c>
      <c r="C93" s="1063" t="s">
        <v>3374</v>
      </c>
      <c r="D93" s="1064" t="s">
        <v>3418</v>
      </c>
      <c r="E93" s="1096" t="s">
        <v>3419</v>
      </c>
      <c r="F93" s="1064" t="s">
        <v>3377</v>
      </c>
      <c r="G93" s="1064"/>
      <c r="H93" s="1064"/>
      <c r="I93" s="1064" t="s">
        <v>3420</v>
      </c>
      <c r="J93" s="1064" t="s">
        <v>3420</v>
      </c>
      <c r="K93" s="1097" t="s">
        <v>3421</v>
      </c>
      <c r="L93" s="1030"/>
      <c r="M93" s="1030"/>
      <c r="N93" s="1030"/>
      <c r="O93" s="1030"/>
      <c r="P93" s="1030"/>
      <c r="Q93" s="1030"/>
      <c r="R93" s="1030"/>
      <c r="S93" s="1030"/>
      <c r="T93" s="1030"/>
      <c r="U93" s="1030"/>
      <c r="V93" s="1030"/>
      <c r="W93" s="1030"/>
      <c r="X93" s="1030"/>
      <c r="Y93" s="1030"/>
      <c r="Z93" s="1030"/>
    </row>
    <row r="94" spans="1:26" ht="12.75" customHeight="1">
      <c r="A94" s="1061"/>
      <c r="B94" s="1051" t="s">
        <v>3419</v>
      </c>
      <c r="C94" s="1066" t="s">
        <v>3342</v>
      </c>
      <c r="D94" s="1099" t="s">
        <v>122</v>
      </c>
      <c r="E94" s="1035"/>
      <c r="F94" s="1100"/>
      <c r="G94" s="1100"/>
      <c r="H94" s="1100"/>
      <c r="I94" s="1035"/>
      <c r="J94" s="1035"/>
      <c r="K94" s="1101">
        <f>(2160+2160)</f>
        <v>4320</v>
      </c>
      <c r="L94" s="1030"/>
      <c r="M94" s="1030"/>
      <c r="N94" s="1030"/>
      <c r="O94" s="1030"/>
      <c r="P94" s="1030"/>
      <c r="Q94" s="1030"/>
      <c r="R94" s="1030"/>
      <c r="S94" s="1030"/>
      <c r="T94" s="1030"/>
      <c r="U94" s="1030"/>
      <c r="V94" s="1030"/>
      <c r="W94" s="1030"/>
      <c r="X94" s="1030"/>
      <c r="Y94" s="1030"/>
      <c r="Z94" s="1030"/>
    </row>
    <row r="95" spans="1:26" ht="12.75" customHeight="1">
      <c r="A95" s="1061"/>
      <c r="B95" s="1104"/>
      <c r="C95" s="1105"/>
      <c r="D95" s="1106"/>
      <c r="E95" s="1106"/>
      <c r="F95" s="1106"/>
      <c r="G95" s="1106"/>
      <c r="H95" s="1107"/>
      <c r="I95" s="1106"/>
      <c r="J95" s="1106"/>
      <c r="K95" s="1108"/>
      <c r="L95" s="1030"/>
      <c r="M95" s="1030"/>
      <c r="N95" s="1030"/>
      <c r="O95" s="1030"/>
      <c r="P95" s="1030"/>
      <c r="Q95" s="1030"/>
      <c r="R95" s="1030"/>
      <c r="S95" s="1030"/>
      <c r="T95" s="1030"/>
      <c r="U95" s="1030"/>
      <c r="V95" s="1030"/>
      <c r="W95" s="1030"/>
      <c r="X95" s="1030"/>
      <c r="Y95" s="1030"/>
      <c r="Z95" s="1030"/>
    </row>
    <row r="96" spans="1:26" ht="27.75" customHeight="1">
      <c r="A96" s="1061"/>
      <c r="B96" s="1062" t="s">
        <v>3373</v>
      </c>
      <c r="C96" s="1063" t="s">
        <v>3374</v>
      </c>
      <c r="D96" s="1064" t="s">
        <v>3418</v>
      </c>
      <c r="E96" s="1109" t="s">
        <v>3339</v>
      </c>
      <c r="F96" s="1110" t="s">
        <v>3423</v>
      </c>
      <c r="G96" s="1109" t="s">
        <v>3424</v>
      </c>
      <c r="H96" s="1109" t="s">
        <v>24</v>
      </c>
      <c r="I96" s="1109" t="s">
        <v>3425</v>
      </c>
      <c r="J96" s="1111" t="s">
        <v>3426</v>
      </c>
      <c r="K96" s="1045" t="s">
        <v>3381</v>
      </c>
      <c r="L96" s="1030"/>
      <c r="M96" s="1030"/>
      <c r="N96" s="1030"/>
      <c r="O96" s="1030"/>
      <c r="P96" s="1030"/>
      <c r="Q96" s="1030"/>
      <c r="R96" s="1030"/>
      <c r="S96" s="1030"/>
      <c r="T96" s="1030"/>
      <c r="U96" s="1030"/>
      <c r="V96" s="1030"/>
      <c r="W96" s="1030"/>
      <c r="X96" s="1030"/>
      <c r="Y96" s="1030"/>
      <c r="Z96" s="1030"/>
    </row>
    <row r="97" spans="1:26" ht="12.75" customHeight="1" outlineLevel="1">
      <c r="A97" s="1098">
        <v>1</v>
      </c>
      <c r="B97" s="1051" t="s">
        <v>3428</v>
      </c>
      <c r="C97" s="1112" t="s">
        <v>3342</v>
      </c>
      <c r="D97" s="1113" t="s">
        <v>122</v>
      </c>
      <c r="E97" s="1114"/>
      <c r="F97" s="1073" t="s">
        <v>3384</v>
      </c>
      <c r="G97" s="1035" t="s">
        <v>3429</v>
      </c>
      <c r="H97" s="1114"/>
      <c r="I97" s="1120">
        <v>100</v>
      </c>
      <c r="J97" s="1117">
        <v>0.3</v>
      </c>
      <c r="K97" s="1118">
        <f t="shared" ref="K97:K121" si="6">I97*J97</f>
        <v>30</v>
      </c>
      <c r="L97" s="1102" t="s">
        <v>3422</v>
      </c>
      <c r="M97" s="1103"/>
      <c r="N97" s="1103"/>
      <c r="O97" s="1103"/>
      <c r="P97" s="1103"/>
      <c r="Q97" s="1103"/>
      <c r="R97" s="1103"/>
      <c r="S97" s="1103"/>
      <c r="T97" s="1103"/>
      <c r="U97" s="1103"/>
      <c r="V97" s="1103"/>
      <c r="W97" s="1103"/>
      <c r="X97" s="1103"/>
      <c r="Y97" s="1103"/>
      <c r="Z97" s="1103"/>
    </row>
    <row r="98" spans="1:26" ht="12.75" customHeight="1" outlineLevel="1">
      <c r="A98" s="1098">
        <f t="shared" ref="A98:A124" si="7">A97+1</f>
        <v>2</v>
      </c>
      <c r="B98" s="1051" t="s">
        <v>3428</v>
      </c>
      <c r="C98" s="1119" t="s">
        <v>3342</v>
      </c>
      <c r="D98" s="1113" t="s">
        <v>122</v>
      </c>
      <c r="E98" s="1120"/>
      <c r="F98" s="1073" t="s">
        <v>3384</v>
      </c>
      <c r="G98" s="1035" t="s">
        <v>3431</v>
      </c>
      <c r="H98" s="1120"/>
      <c r="I98" s="1120">
        <v>0</v>
      </c>
      <c r="J98" s="1122">
        <v>0.3</v>
      </c>
      <c r="K98" s="1118">
        <f t="shared" si="6"/>
        <v>0</v>
      </c>
      <c r="L98" s="1103"/>
      <c r="M98" s="1103"/>
      <c r="N98" s="1103"/>
      <c r="O98" s="1103"/>
      <c r="P98" s="1103"/>
      <c r="Q98" s="1103"/>
      <c r="R98" s="1103"/>
      <c r="S98" s="1103"/>
      <c r="T98" s="1103"/>
      <c r="U98" s="1103"/>
      <c r="V98" s="1103"/>
      <c r="W98" s="1103"/>
      <c r="X98" s="1103"/>
      <c r="Y98" s="1103"/>
      <c r="Z98" s="1103"/>
    </row>
    <row r="99" spans="1:26" ht="12.75" customHeight="1" outlineLevel="1">
      <c r="A99" s="1098">
        <f t="shared" si="7"/>
        <v>3</v>
      </c>
      <c r="B99" s="1051" t="s">
        <v>3428</v>
      </c>
      <c r="C99" s="1119" t="s">
        <v>3342</v>
      </c>
      <c r="D99" s="1113" t="s">
        <v>122</v>
      </c>
      <c r="E99" s="1120"/>
      <c r="F99" s="1073" t="s">
        <v>3384</v>
      </c>
      <c r="G99" s="1035" t="s">
        <v>3433</v>
      </c>
      <c r="H99" s="1120"/>
      <c r="I99" s="1120">
        <v>332</v>
      </c>
      <c r="J99" s="1122">
        <v>0.3</v>
      </c>
      <c r="K99" s="1118">
        <f t="shared" si="6"/>
        <v>99.6</v>
      </c>
      <c r="L99" s="1103" t="s">
        <v>3427</v>
      </c>
      <c r="M99" s="1103"/>
      <c r="N99" s="1103"/>
      <c r="O99" s="1103"/>
      <c r="P99" s="1103"/>
      <c r="Q99" s="1103"/>
      <c r="R99" s="1103"/>
      <c r="S99" s="1103"/>
      <c r="T99" s="1103"/>
      <c r="U99" s="1103"/>
      <c r="V99" s="1103"/>
      <c r="W99" s="1103"/>
      <c r="X99" s="1103"/>
      <c r="Y99" s="1103"/>
      <c r="Z99" s="1103"/>
    </row>
    <row r="100" spans="1:26" ht="12.75" customHeight="1" outlineLevel="1">
      <c r="A100" s="1098">
        <f t="shared" si="7"/>
        <v>4</v>
      </c>
      <c r="B100" s="1051" t="s">
        <v>3428</v>
      </c>
      <c r="C100" s="1119" t="s">
        <v>3342</v>
      </c>
      <c r="D100" s="1113" t="s">
        <v>122</v>
      </c>
      <c r="E100" s="1120"/>
      <c r="F100" s="1073" t="s">
        <v>3384</v>
      </c>
      <c r="G100" s="1035" t="s">
        <v>3436</v>
      </c>
      <c r="H100" s="1120"/>
      <c r="I100" s="1120">
        <v>92</v>
      </c>
      <c r="J100" s="1122">
        <v>0.3</v>
      </c>
      <c r="K100" s="1118">
        <f t="shared" si="6"/>
        <v>27.599999999999998</v>
      </c>
      <c r="L100" s="1103" t="s">
        <v>3430</v>
      </c>
      <c r="M100" s="1103"/>
      <c r="N100" s="1103"/>
      <c r="O100" s="1103"/>
      <c r="P100" s="1103"/>
      <c r="Q100" s="1103"/>
      <c r="R100" s="1103"/>
      <c r="S100" s="1103"/>
      <c r="T100" s="1103"/>
      <c r="U100" s="1103"/>
      <c r="V100" s="1103"/>
      <c r="W100" s="1103"/>
      <c r="X100" s="1103"/>
      <c r="Y100" s="1103"/>
      <c r="Z100" s="1103"/>
    </row>
    <row r="101" spans="1:26" ht="12.75" customHeight="1" outlineLevel="1">
      <c r="A101" s="1098">
        <f t="shared" si="7"/>
        <v>5</v>
      </c>
      <c r="B101" s="1051" t="s">
        <v>3428</v>
      </c>
      <c r="C101" s="1119" t="s">
        <v>3342</v>
      </c>
      <c r="D101" s="1113" t="s">
        <v>122</v>
      </c>
      <c r="E101" s="1120"/>
      <c r="F101" s="1073" t="s">
        <v>3384</v>
      </c>
      <c r="G101" s="1035" t="s">
        <v>3522</v>
      </c>
      <c r="H101" s="1120"/>
      <c r="I101" s="1120">
        <v>0</v>
      </c>
      <c r="J101" s="1122">
        <v>0</v>
      </c>
      <c r="K101" s="1118">
        <f t="shared" si="6"/>
        <v>0</v>
      </c>
      <c r="L101" s="1103" t="s">
        <v>3432</v>
      </c>
      <c r="M101" s="1103"/>
      <c r="N101" s="1103"/>
      <c r="O101" s="1103"/>
      <c r="P101" s="1103"/>
      <c r="Q101" s="1103"/>
      <c r="R101" s="1103"/>
      <c r="S101" s="1103"/>
      <c r="T101" s="1103"/>
      <c r="U101" s="1103"/>
      <c r="V101" s="1103"/>
      <c r="W101" s="1103"/>
      <c r="X101" s="1103"/>
      <c r="Y101" s="1103"/>
      <c r="Z101" s="1103"/>
    </row>
    <row r="102" spans="1:26" ht="12.75" customHeight="1" outlineLevel="1">
      <c r="A102" s="1098">
        <f t="shared" si="7"/>
        <v>6</v>
      </c>
      <c r="B102" s="1051" t="s">
        <v>3428</v>
      </c>
      <c r="C102" s="1119" t="s">
        <v>3342</v>
      </c>
      <c r="D102" s="1113" t="s">
        <v>122</v>
      </c>
      <c r="E102" s="1120"/>
      <c r="F102" s="1073" t="s">
        <v>3384</v>
      </c>
      <c r="G102" s="1035" t="s">
        <v>3438</v>
      </c>
      <c r="H102" s="1120"/>
      <c r="I102" s="1120">
        <v>280</v>
      </c>
      <c r="J102" s="1122">
        <v>0.3</v>
      </c>
      <c r="K102" s="1118">
        <f t="shared" si="6"/>
        <v>84</v>
      </c>
      <c r="L102" s="1103" t="s">
        <v>3434</v>
      </c>
      <c r="M102" s="1103"/>
      <c r="N102" s="1103"/>
      <c r="O102" s="1103"/>
      <c r="P102" s="1103"/>
      <c r="Q102" s="1103"/>
      <c r="R102" s="1103"/>
      <c r="S102" s="1103"/>
      <c r="T102" s="1103"/>
      <c r="U102" s="1103"/>
      <c r="V102" s="1103"/>
      <c r="W102" s="1103"/>
      <c r="X102" s="1103"/>
      <c r="Y102" s="1103"/>
      <c r="Z102" s="1103"/>
    </row>
    <row r="103" spans="1:26" ht="12.75" customHeight="1" outlineLevel="1">
      <c r="A103" s="1098">
        <f t="shared" si="7"/>
        <v>7</v>
      </c>
      <c r="B103" s="1051" t="s">
        <v>3428</v>
      </c>
      <c r="C103" s="1119" t="s">
        <v>3342</v>
      </c>
      <c r="D103" s="1113" t="s">
        <v>122</v>
      </c>
      <c r="E103" s="1120"/>
      <c r="F103" s="1073" t="s">
        <v>3384</v>
      </c>
      <c r="G103" s="1035" t="s">
        <v>3439</v>
      </c>
      <c r="H103" s="1120"/>
      <c r="I103" s="1120">
        <v>364</v>
      </c>
      <c r="J103" s="1122">
        <v>0.3</v>
      </c>
      <c r="K103" s="1118">
        <f t="shared" si="6"/>
        <v>109.2</v>
      </c>
      <c r="L103" s="1103"/>
      <c r="M103" s="1103"/>
      <c r="N103" s="1103"/>
      <c r="O103" s="1103"/>
      <c r="P103" s="1103"/>
      <c r="Q103" s="1103"/>
      <c r="R103" s="1103"/>
      <c r="S103" s="1103"/>
      <c r="T103" s="1103"/>
      <c r="U103" s="1103"/>
      <c r="V103" s="1103"/>
      <c r="W103" s="1103"/>
      <c r="X103" s="1103"/>
      <c r="Y103" s="1103"/>
      <c r="Z103" s="1103"/>
    </row>
    <row r="104" spans="1:26" ht="12.75" customHeight="1" outlineLevel="1">
      <c r="A104" s="1462">
        <f t="shared" si="7"/>
        <v>8</v>
      </c>
      <c r="B104" s="1125" t="s">
        <v>3428</v>
      </c>
      <c r="C104" s="1126" t="s">
        <v>3342</v>
      </c>
      <c r="D104" s="1127" t="s">
        <v>122</v>
      </c>
      <c r="E104" s="1128"/>
      <c r="F104" s="1129" t="s">
        <v>3384</v>
      </c>
      <c r="G104" s="1130" t="s">
        <v>3440</v>
      </c>
      <c r="H104" s="1128"/>
      <c r="I104" s="1128">
        <v>0</v>
      </c>
      <c r="J104" s="1131">
        <v>0.3</v>
      </c>
      <c r="K104" s="1118">
        <f t="shared" si="6"/>
        <v>0</v>
      </c>
      <c r="L104" s="1124"/>
      <c r="M104" s="1124"/>
      <c r="N104" s="1124"/>
      <c r="O104" s="1124"/>
      <c r="P104" s="1124"/>
      <c r="Q104" s="1124"/>
      <c r="R104" s="1124"/>
      <c r="S104" s="1124"/>
      <c r="T104" s="1124"/>
      <c r="U104" s="1124"/>
      <c r="V104" s="1124"/>
      <c r="W104" s="1124"/>
      <c r="X104" s="1124"/>
      <c r="Y104" s="1124"/>
      <c r="Z104" s="1124"/>
    </row>
    <row r="105" spans="1:26" ht="12.75" customHeight="1" outlineLevel="1">
      <c r="A105" s="1462">
        <f t="shared" si="7"/>
        <v>9</v>
      </c>
      <c r="B105" s="1125" t="s">
        <v>3428</v>
      </c>
      <c r="C105" s="1126" t="s">
        <v>3342</v>
      </c>
      <c r="D105" s="1127" t="s">
        <v>122</v>
      </c>
      <c r="E105" s="1128"/>
      <c r="F105" s="1129" t="s">
        <v>3384</v>
      </c>
      <c r="G105" s="1130" t="s">
        <v>3441</v>
      </c>
      <c r="H105" s="1128"/>
      <c r="I105" s="1128">
        <v>222</v>
      </c>
      <c r="J105" s="1131">
        <v>0.3</v>
      </c>
      <c r="K105" s="1118">
        <f t="shared" si="6"/>
        <v>66.599999999999994</v>
      </c>
      <c r="L105" s="1124"/>
      <c r="M105" s="1124"/>
      <c r="N105" s="1124"/>
      <c r="O105" s="1124"/>
      <c r="P105" s="1124"/>
      <c r="Q105" s="1124"/>
      <c r="R105" s="1124"/>
      <c r="S105" s="1124"/>
      <c r="T105" s="1124"/>
      <c r="U105" s="1124"/>
      <c r="V105" s="1124"/>
      <c r="W105" s="1124"/>
      <c r="X105" s="1124"/>
      <c r="Y105" s="1124"/>
      <c r="Z105" s="1124"/>
    </row>
    <row r="106" spans="1:26" ht="12.75" customHeight="1" outlineLevel="1">
      <c r="A106" s="1462">
        <f t="shared" si="7"/>
        <v>10</v>
      </c>
      <c r="B106" s="1125" t="s">
        <v>3428</v>
      </c>
      <c r="C106" s="1126" t="s">
        <v>3342</v>
      </c>
      <c r="D106" s="1127" t="s">
        <v>122</v>
      </c>
      <c r="E106" s="1128"/>
      <c r="F106" s="1129" t="s">
        <v>3384</v>
      </c>
      <c r="G106" s="1130" t="s">
        <v>3442</v>
      </c>
      <c r="H106" s="1128"/>
      <c r="I106" s="1128">
        <v>626</v>
      </c>
      <c r="J106" s="1131">
        <v>0.3</v>
      </c>
      <c r="K106" s="1118">
        <f t="shared" si="6"/>
        <v>187.79999999999998</v>
      </c>
      <c r="L106" s="1124"/>
      <c r="M106" s="1124"/>
      <c r="N106" s="1124"/>
      <c r="O106" s="1124"/>
      <c r="P106" s="1124"/>
      <c r="Q106" s="1124"/>
      <c r="R106" s="1124"/>
      <c r="S106" s="1124"/>
      <c r="T106" s="1124"/>
      <c r="U106" s="1124"/>
      <c r="V106" s="1124"/>
      <c r="W106" s="1124"/>
      <c r="X106" s="1124"/>
      <c r="Y106" s="1124"/>
      <c r="Z106" s="1124"/>
    </row>
    <row r="107" spans="1:26" ht="12.75" customHeight="1" outlineLevel="1">
      <c r="A107" s="1462">
        <f t="shared" si="7"/>
        <v>11</v>
      </c>
      <c r="B107" s="1125" t="s">
        <v>3428</v>
      </c>
      <c r="C107" s="1126" t="s">
        <v>3342</v>
      </c>
      <c r="D107" s="1127" t="s">
        <v>122</v>
      </c>
      <c r="E107" s="1132"/>
      <c r="F107" s="1129" t="s">
        <v>3384</v>
      </c>
      <c r="G107" s="1130" t="s">
        <v>3443</v>
      </c>
      <c r="H107" s="1128"/>
      <c r="I107" s="1128">
        <v>150</v>
      </c>
      <c r="J107" s="1131">
        <v>0.3</v>
      </c>
      <c r="K107" s="1118">
        <f t="shared" si="6"/>
        <v>45</v>
      </c>
      <c r="L107" s="1124"/>
      <c r="M107" s="1124"/>
      <c r="N107" s="1124"/>
      <c r="O107" s="1124"/>
      <c r="P107" s="1124"/>
      <c r="Q107" s="1124"/>
      <c r="R107" s="1124"/>
      <c r="S107" s="1124"/>
      <c r="T107" s="1124"/>
      <c r="U107" s="1124"/>
      <c r="V107" s="1124"/>
      <c r="W107" s="1124"/>
      <c r="X107" s="1124"/>
      <c r="Y107" s="1124"/>
      <c r="Z107" s="1124"/>
    </row>
    <row r="108" spans="1:26" ht="12.75" customHeight="1" outlineLevel="1">
      <c r="A108" s="1462">
        <f t="shared" si="7"/>
        <v>12</v>
      </c>
      <c r="B108" s="1125" t="s">
        <v>3428</v>
      </c>
      <c r="C108" s="1126" t="s">
        <v>3342</v>
      </c>
      <c r="D108" s="1127" t="s">
        <v>122</v>
      </c>
      <c r="E108" s="1132"/>
      <c r="F108" s="1129" t="s">
        <v>3384</v>
      </c>
      <c r="G108" s="1130" t="s">
        <v>3565</v>
      </c>
      <c r="H108" s="1128"/>
      <c r="I108" s="1128">
        <v>398</v>
      </c>
      <c r="J108" s="1131">
        <v>0.3</v>
      </c>
      <c r="K108" s="1118">
        <f t="shared" si="6"/>
        <v>119.39999999999999</v>
      </c>
      <c r="L108" s="1124"/>
      <c r="M108" s="1124"/>
      <c r="N108" s="1124"/>
      <c r="O108" s="1124"/>
      <c r="P108" s="1124"/>
      <c r="Q108" s="1124"/>
      <c r="R108" s="1124"/>
      <c r="S108" s="1124"/>
      <c r="T108" s="1124"/>
      <c r="U108" s="1124"/>
      <c r="V108" s="1124"/>
      <c r="W108" s="1124"/>
      <c r="X108" s="1124"/>
      <c r="Y108" s="1124"/>
      <c r="Z108" s="1124"/>
    </row>
    <row r="109" spans="1:26" ht="12.75" customHeight="1" outlineLevel="1">
      <c r="A109" s="1462">
        <f t="shared" si="7"/>
        <v>13</v>
      </c>
      <c r="B109" s="1125" t="s">
        <v>3428</v>
      </c>
      <c r="C109" s="1126" t="s">
        <v>3342</v>
      </c>
      <c r="D109" s="1127" t="s">
        <v>122</v>
      </c>
      <c r="E109" s="1128"/>
      <c r="F109" s="1129" t="s">
        <v>3384</v>
      </c>
      <c r="G109" s="1130" t="s">
        <v>3444</v>
      </c>
      <c r="H109" s="1128"/>
      <c r="I109" s="1128">
        <v>286</v>
      </c>
      <c r="J109" s="1131">
        <v>0.3</v>
      </c>
      <c r="K109" s="1118">
        <f t="shared" si="6"/>
        <v>85.8</v>
      </c>
      <c r="L109" s="1124"/>
      <c r="M109" s="1124"/>
      <c r="N109" s="1124"/>
      <c r="O109" s="1124"/>
      <c r="P109" s="1124"/>
      <c r="Q109" s="1124"/>
      <c r="R109" s="1124"/>
      <c r="S109" s="1124"/>
      <c r="T109" s="1124"/>
      <c r="U109" s="1124"/>
      <c r="V109" s="1124"/>
      <c r="W109" s="1124"/>
      <c r="X109" s="1124"/>
      <c r="Y109" s="1124"/>
      <c r="Z109" s="1124"/>
    </row>
    <row r="110" spans="1:26" ht="12.75" customHeight="1" outlineLevel="1">
      <c r="A110" s="1462">
        <f t="shared" si="7"/>
        <v>14</v>
      </c>
      <c r="B110" s="1125" t="s">
        <v>3428</v>
      </c>
      <c r="C110" s="1126" t="s">
        <v>3342</v>
      </c>
      <c r="D110" s="1127" t="s">
        <v>122</v>
      </c>
      <c r="E110" s="1128"/>
      <c r="F110" s="1129" t="s">
        <v>3384</v>
      </c>
      <c r="G110" s="1130" t="s">
        <v>3446</v>
      </c>
      <c r="H110" s="1128"/>
      <c r="I110" s="1128">
        <v>420</v>
      </c>
      <c r="J110" s="1131">
        <v>0.3</v>
      </c>
      <c r="K110" s="1118">
        <f t="shared" si="6"/>
        <v>126</v>
      </c>
      <c r="L110" s="1124"/>
      <c r="M110" s="1124"/>
      <c r="N110" s="1124"/>
      <c r="O110" s="1124"/>
      <c r="P110" s="1124"/>
      <c r="Q110" s="1124"/>
      <c r="R110" s="1124"/>
      <c r="S110" s="1124"/>
      <c r="T110" s="1124"/>
      <c r="U110" s="1124"/>
      <c r="V110" s="1124"/>
      <c r="W110" s="1124"/>
      <c r="X110" s="1124"/>
      <c r="Y110" s="1124"/>
      <c r="Z110" s="1124"/>
    </row>
    <row r="111" spans="1:26" ht="12.75" customHeight="1" outlineLevel="1">
      <c r="A111" s="1462">
        <f t="shared" si="7"/>
        <v>15</v>
      </c>
      <c r="B111" s="1125" t="s">
        <v>3428</v>
      </c>
      <c r="C111" s="1126" t="s">
        <v>3342</v>
      </c>
      <c r="D111" s="1127" t="s">
        <v>122</v>
      </c>
      <c r="E111" s="1128"/>
      <c r="F111" s="1129" t="s">
        <v>3384</v>
      </c>
      <c r="G111" s="1130" t="s">
        <v>3447</v>
      </c>
      <c r="H111" s="1128"/>
      <c r="I111" s="1128">
        <v>0</v>
      </c>
      <c r="J111" s="1131">
        <v>0.3</v>
      </c>
      <c r="K111" s="1118">
        <f t="shared" si="6"/>
        <v>0</v>
      </c>
      <c r="L111" s="1124"/>
      <c r="M111" s="1124"/>
      <c r="N111" s="1124"/>
      <c r="O111" s="1124"/>
      <c r="P111" s="1124"/>
      <c r="Q111" s="1124"/>
      <c r="R111" s="1124"/>
      <c r="S111" s="1124"/>
      <c r="T111" s="1124"/>
      <c r="U111" s="1124"/>
      <c r="V111" s="1124"/>
      <c r="W111" s="1124"/>
      <c r="X111" s="1124"/>
      <c r="Y111" s="1124"/>
      <c r="Z111" s="1124"/>
    </row>
    <row r="112" spans="1:26" ht="12.75" customHeight="1" outlineLevel="1">
      <c r="A112" s="1462">
        <f t="shared" si="7"/>
        <v>16</v>
      </c>
      <c r="B112" s="1125" t="s">
        <v>3428</v>
      </c>
      <c r="C112" s="1126" t="s">
        <v>3342</v>
      </c>
      <c r="D112" s="1127" t="s">
        <v>122</v>
      </c>
      <c r="E112" s="1128"/>
      <c r="F112" s="1129" t="s">
        <v>3384</v>
      </c>
      <c r="G112" s="1130" t="s">
        <v>3448</v>
      </c>
      <c r="H112" s="1128"/>
      <c r="I112" s="1128">
        <v>420</v>
      </c>
      <c r="J112" s="1131">
        <v>0.3</v>
      </c>
      <c r="K112" s="1118">
        <f t="shared" si="6"/>
        <v>126</v>
      </c>
      <c r="L112" s="1124"/>
      <c r="M112" s="1124"/>
      <c r="N112" s="1124"/>
      <c r="O112" s="1124"/>
      <c r="P112" s="1124"/>
      <c r="Q112" s="1124"/>
      <c r="R112" s="1124"/>
      <c r="S112" s="1124"/>
      <c r="T112" s="1124"/>
      <c r="U112" s="1124"/>
      <c r="V112" s="1124"/>
      <c r="W112" s="1124"/>
      <c r="X112" s="1124"/>
      <c r="Y112" s="1124"/>
      <c r="Z112" s="1124"/>
    </row>
    <row r="113" spans="1:26" ht="12.75" customHeight="1" outlineLevel="1">
      <c r="A113" s="1462">
        <f t="shared" si="7"/>
        <v>17</v>
      </c>
      <c r="B113" s="1125" t="s">
        <v>3428</v>
      </c>
      <c r="C113" s="1126" t="s">
        <v>3342</v>
      </c>
      <c r="D113" s="1127" t="s">
        <v>122</v>
      </c>
      <c r="E113" s="1128"/>
      <c r="F113" s="1129" t="s">
        <v>3384</v>
      </c>
      <c r="G113" s="1130" t="s">
        <v>3449</v>
      </c>
      <c r="H113" s="1128"/>
      <c r="I113" s="1128">
        <f>2*88</f>
        <v>176</v>
      </c>
      <c r="J113" s="1131">
        <v>0.3</v>
      </c>
      <c r="K113" s="1118">
        <f t="shared" si="6"/>
        <v>52.8</v>
      </c>
      <c r="L113" s="1124"/>
      <c r="M113" s="1124"/>
      <c r="N113" s="1124"/>
      <c r="O113" s="1124"/>
      <c r="P113" s="1124"/>
      <c r="Q113" s="1124"/>
      <c r="R113" s="1124"/>
      <c r="S113" s="1124"/>
      <c r="T113" s="1124"/>
      <c r="U113" s="1124"/>
      <c r="V113" s="1124"/>
      <c r="W113" s="1124"/>
      <c r="X113" s="1124"/>
      <c r="Y113" s="1124"/>
      <c r="Z113" s="1124"/>
    </row>
    <row r="114" spans="1:26" ht="12.75" customHeight="1" outlineLevel="1">
      <c r="A114" s="1462">
        <f t="shared" si="7"/>
        <v>18</v>
      </c>
      <c r="B114" s="1125" t="s">
        <v>3428</v>
      </c>
      <c r="C114" s="1126" t="s">
        <v>3342</v>
      </c>
      <c r="D114" s="1127" t="s">
        <v>122</v>
      </c>
      <c r="E114" s="1128"/>
      <c r="F114" s="1129" t="s">
        <v>3384</v>
      </c>
      <c r="G114" s="1130" t="s">
        <v>3450</v>
      </c>
      <c r="H114" s="1128"/>
      <c r="I114" s="1128">
        <v>162</v>
      </c>
      <c r="J114" s="1131">
        <v>0.3</v>
      </c>
      <c r="K114" s="1118">
        <f t="shared" si="6"/>
        <v>48.6</v>
      </c>
      <c r="L114" s="1124"/>
      <c r="M114" s="1124"/>
      <c r="N114" s="1124"/>
      <c r="O114" s="1124"/>
      <c r="P114" s="1124"/>
      <c r="Q114" s="1124"/>
      <c r="R114" s="1124"/>
      <c r="S114" s="1124"/>
      <c r="T114" s="1124"/>
      <c r="U114" s="1124"/>
      <c r="V114" s="1124"/>
      <c r="W114" s="1124"/>
      <c r="X114" s="1124"/>
      <c r="Y114" s="1124"/>
      <c r="Z114" s="1124"/>
    </row>
    <row r="115" spans="1:26" ht="12.75" customHeight="1" outlineLevel="1">
      <c r="A115" s="1462">
        <f t="shared" si="7"/>
        <v>19</v>
      </c>
      <c r="B115" s="1125" t="s">
        <v>3428</v>
      </c>
      <c r="C115" s="1126" t="s">
        <v>3342</v>
      </c>
      <c r="D115" s="1127" t="s">
        <v>122</v>
      </c>
      <c r="E115" s="1128"/>
      <c r="F115" s="1129" t="s">
        <v>3384</v>
      </c>
      <c r="G115" s="1130" t="s">
        <v>3451</v>
      </c>
      <c r="H115" s="1128"/>
      <c r="I115" s="1128">
        <v>0</v>
      </c>
      <c r="J115" s="1131">
        <v>0.3</v>
      </c>
      <c r="K115" s="1118">
        <f t="shared" si="6"/>
        <v>0</v>
      </c>
      <c r="L115" s="1124"/>
      <c r="M115" s="1124"/>
      <c r="N115" s="1124"/>
      <c r="O115" s="1124"/>
      <c r="P115" s="1124"/>
      <c r="Q115" s="1124"/>
      <c r="R115" s="1124"/>
      <c r="S115" s="1124"/>
      <c r="T115" s="1124"/>
      <c r="U115" s="1124"/>
      <c r="V115" s="1124"/>
      <c r="W115" s="1124"/>
      <c r="X115" s="1124"/>
      <c r="Y115" s="1124"/>
      <c r="Z115" s="1124"/>
    </row>
    <row r="116" spans="1:26" ht="12.75" customHeight="1" outlineLevel="1">
      <c r="A116" s="1462">
        <f t="shared" si="7"/>
        <v>20</v>
      </c>
      <c r="B116" s="1125" t="s">
        <v>3428</v>
      </c>
      <c r="C116" s="1126" t="s">
        <v>3342</v>
      </c>
      <c r="D116" s="1127" t="s">
        <v>122</v>
      </c>
      <c r="E116" s="1128"/>
      <c r="F116" s="1129" t="s">
        <v>3384</v>
      </c>
      <c r="G116" s="1130" t="s">
        <v>3452</v>
      </c>
      <c r="H116" s="1128"/>
      <c r="I116" s="1128">
        <v>270</v>
      </c>
      <c r="J116" s="1131">
        <v>0.3</v>
      </c>
      <c r="K116" s="1118">
        <f t="shared" si="6"/>
        <v>81</v>
      </c>
      <c r="L116" s="1124"/>
      <c r="M116" s="1124"/>
      <c r="N116" s="1124"/>
      <c r="O116" s="1124"/>
      <c r="P116" s="1124"/>
      <c r="Q116" s="1124"/>
      <c r="R116" s="1124"/>
      <c r="S116" s="1124"/>
      <c r="T116" s="1124"/>
      <c r="U116" s="1124"/>
      <c r="V116" s="1124"/>
      <c r="W116" s="1124"/>
      <c r="X116" s="1124"/>
      <c r="Y116" s="1124"/>
      <c r="Z116" s="1124"/>
    </row>
    <row r="117" spans="1:26" ht="12.75" customHeight="1" outlineLevel="1">
      <c r="A117" s="1462">
        <f t="shared" si="7"/>
        <v>21</v>
      </c>
      <c r="B117" s="1125" t="s">
        <v>3428</v>
      </c>
      <c r="C117" s="1126" t="s">
        <v>3342</v>
      </c>
      <c r="D117" s="1127" t="s">
        <v>122</v>
      </c>
      <c r="E117" s="1128"/>
      <c r="F117" s="1129" t="s">
        <v>3384</v>
      </c>
      <c r="G117" s="1130" t="s">
        <v>3453</v>
      </c>
      <c r="H117" s="1133" t="s">
        <v>3563</v>
      </c>
      <c r="I117" s="1128">
        <v>0</v>
      </c>
      <c r="J117" s="1131">
        <v>0.3</v>
      </c>
      <c r="K117" s="1118">
        <f t="shared" si="6"/>
        <v>0</v>
      </c>
      <c r="L117" s="1124"/>
      <c r="M117" s="1124"/>
      <c r="N117" s="1124"/>
      <c r="O117" s="1124"/>
      <c r="P117" s="1124"/>
      <c r="Q117" s="1124"/>
      <c r="R117" s="1124"/>
      <c r="S117" s="1124"/>
      <c r="T117" s="1124"/>
      <c r="U117" s="1124"/>
      <c r="V117" s="1124"/>
      <c r="W117" s="1124"/>
      <c r="X117" s="1124"/>
      <c r="Y117" s="1124"/>
      <c r="Z117" s="1124"/>
    </row>
    <row r="118" spans="1:26" ht="12.75" customHeight="1" outlineLevel="1">
      <c r="A118" s="1462">
        <f t="shared" si="7"/>
        <v>22</v>
      </c>
      <c r="B118" s="1125" t="s">
        <v>3428</v>
      </c>
      <c r="C118" s="1126" t="s">
        <v>3342</v>
      </c>
      <c r="D118" s="1127" t="s">
        <v>122</v>
      </c>
      <c r="E118" s="1128"/>
      <c r="F118" s="1129" t="s">
        <v>3384</v>
      </c>
      <c r="G118" s="1130" t="s">
        <v>3454</v>
      </c>
      <c r="H118" s="1128"/>
      <c r="I118" s="1128">
        <v>51</v>
      </c>
      <c r="J118" s="1131">
        <v>0.3</v>
      </c>
      <c r="K118" s="1118">
        <f t="shared" si="6"/>
        <v>15.299999999999999</v>
      </c>
      <c r="L118" s="1124"/>
      <c r="M118" s="1124"/>
      <c r="N118" s="1124"/>
      <c r="O118" s="1124"/>
      <c r="P118" s="1124"/>
      <c r="Q118" s="1124"/>
      <c r="R118" s="1124"/>
      <c r="S118" s="1124"/>
      <c r="T118" s="1124"/>
      <c r="U118" s="1124"/>
      <c r="V118" s="1124"/>
      <c r="W118" s="1124"/>
      <c r="X118" s="1124"/>
      <c r="Y118" s="1124"/>
      <c r="Z118" s="1124"/>
    </row>
    <row r="119" spans="1:26" ht="12.75" customHeight="1" outlineLevel="1">
      <c r="A119" s="1462">
        <f t="shared" si="7"/>
        <v>23</v>
      </c>
      <c r="B119" s="1125" t="s">
        <v>3428</v>
      </c>
      <c r="C119" s="1126" t="s">
        <v>3342</v>
      </c>
      <c r="D119" s="1127" t="s">
        <v>122</v>
      </c>
      <c r="E119" s="1128"/>
      <c r="F119" s="1129" t="s">
        <v>3384</v>
      </c>
      <c r="G119" s="1130" t="s">
        <v>3455</v>
      </c>
      <c r="H119" s="1128"/>
      <c r="I119" s="1128">
        <v>470</v>
      </c>
      <c r="J119" s="1131">
        <v>0.3</v>
      </c>
      <c r="K119" s="1118">
        <f t="shared" si="6"/>
        <v>141</v>
      </c>
      <c r="L119" s="1124"/>
      <c r="M119" s="1124"/>
      <c r="N119" s="1124"/>
      <c r="O119" s="1124"/>
      <c r="P119" s="1124"/>
      <c r="Q119" s="1124"/>
      <c r="R119" s="1124"/>
      <c r="S119" s="1124"/>
      <c r="T119" s="1124"/>
      <c r="U119" s="1124"/>
      <c r="V119" s="1124"/>
      <c r="W119" s="1124"/>
      <c r="X119" s="1124"/>
      <c r="Y119" s="1124"/>
      <c r="Z119" s="1124"/>
    </row>
    <row r="120" spans="1:26" ht="12.75" customHeight="1" outlineLevel="1">
      <c r="A120" s="1462">
        <f t="shared" si="7"/>
        <v>24</v>
      </c>
      <c r="B120" s="1125" t="s">
        <v>3428</v>
      </c>
      <c r="C120" s="1126" t="s">
        <v>3342</v>
      </c>
      <c r="D120" s="1127" t="s">
        <v>122</v>
      </c>
      <c r="E120" s="1128"/>
      <c r="F120" s="1129" t="s">
        <v>3384</v>
      </c>
      <c r="G120" s="1130" t="s">
        <v>3456</v>
      </c>
      <c r="H120" s="1128"/>
      <c r="I120" s="1128">
        <v>312</v>
      </c>
      <c r="J120" s="1131">
        <v>0.3</v>
      </c>
      <c r="K120" s="1118">
        <f t="shared" si="6"/>
        <v>93.6</v>
      </c>
      <c r="L120" s="1124"/>
      <c r="M120" s="1124"/>
      <c r="N120" s="1124"/>
      <c r="O120" s="1124"/>
      <c r="P120" s="1124"/>
      <c r="Q120" s="1124"/>
      <c r="R120" s="1124"/>
      <c r="S120" s="1124"/>
      <c r="T120" s="1124"/>
      <c r="U120" s="1124"/>
      <c r="V120" s="1124"/>
      <c r="W120" s="1124"/>
      <c r="X120" s="1124"/>
      <c r="Y120" s="1124"/>
      <c r="Z120" s="1124"/>
    </row>
    <row r="121" spans="1:26" ht="12.75" customHeight="1" outlineLevel="1">
      <c r="A121" s="1462">
        <f t="shared" si="7"/>
        <v>25</v>
      </c>
      <c r="B121" s="1125" t="s">
        <v>3428</v>
      </c>
      <c r="C121" s="1126" t="s">
        <v>3342</v>
      </c>
      <c r="D121" s="1127" t="s">
        <v>122</v>
      </c>
      <c r="E121" s="1128"/>
      <c r="F121" s="1129" t="s">
        <v>3384</v>
      </c>
      <c r="G121" s="1130" t="s">
        <v>3457</v>
      </c>
      <c r="H121" s="1128"/>
      <c r="I121" s="1128">
        <f>280*2</f>
        <v>560</v>
      </c>
      <c r="J121" s="1131">
        <v>0.3</v>
      </c>
      <c r="K121" s="1118">
        <f t="shared" si="6"/>
        <v>168</v>
      </c>
      <c r="L121" s="1124"/>
      <c r="M121" s="1124"/>
      <c r="N121" s="1124"/>
      <c r="O121" s="1124"/>
      <c r="P121" s="1124"/>
      <c r="Q121" s="1124"/>
      <c r="R121" s="1124"/>
      <c r="S121" s="1124"/>
      <c r="T121" s="1124"/>
      <c r="U121" s="1124"/>
      <c r="V121" s="1124"/>
      <c r="W121" s="1124"/>
      <c r="X121" s="1124"/>
      <c r="Y121" s="1124"/>
      <c r="Z121" s="1124"/>
    </row>
    <row r="122" spans="1:26" ht="12.75" customHeight="1" outlineLevel="1">
      <c r="A122" s="1462">
        <f t="shared" si="7"/>
        <v>26</v>
      </c>
      <c r="B122" s="1125" t="s">
        <v>3428</v>
      </c>
      <c r="C122" s="1126" t="s">
        <v>3342</v>
      </c>
      <c r="D122" s="1127" t="s">
        <v>122</v>
      </c>
      <c r="E122" s="1128"/>
      <c r="F122" s="1129" t="s">
        <v>3384</v>
      </c>
      <c r="G122" s="1130" t="s">
        <v>3458</v>
      </c>
      <c r="H122" s="1133" t="s">
        <v>3459</v>
      </c>
      <c r="I122" s="1133"/>
      <c r="J122" s="1135"/>
      <c r="K122" s="1118">
        <v>61.94</v>
      </c>
      <c r="L122" s="1124"/>
      <c r="M122" s="1124"/>
      <c r="N122" s="1124"/>
      <c r="O122" s="1124"/>
      <c r="P122" s="1124"/>
      <c r="Q122" s="1124"/>
      <c r="R122" s="1124"/>
      <c r="S122" s="1124"/>
      <c r="T122" s="1124"/>
      <c r="U122" s="1124"/>
      <c r="V122" s="1124"/>
      <c r="W122" s="1124"/>
      <c r="X122" s="1124"/>
      <c r="Y122" s="1124"/>
      <c r="Z122" s="1124"/>
    </row>
    <row r="123" spans="1:26" ht="16.5" customHeight="1" outlineLevel="1">
      <c r="A123" s="1098">
        <f t="shared" si="7"/>
        <v>27</v>
      </c>
      <c r="B123" s="1051" t="s">
        <v>3428</v>
      </c>
      <c r="C123" s="1066" t="s">
        <v>3342</v>
      </c>
      <c r="D123" s="1113" t="s">
        <v>122</v>
      </c>
      <c r="E123" s="1136"/>
      <c r="F123" s="1073" t="s">
        <v>3384</v>
      </c>
      <c r="G123" s="1035" t="s">
        <v>4707</v>
      </c>
      <c r="H123" s="1138" t="s">
        <v>3461</v>
      </c>
      <c r="I123" s="1138"/>
      <c r="J123" s="1139"/>
      <c r="K123" s="1118">
        <v>185</v>
      </c>
      <c r="L123" s="1134"/>
      <c r="M123" s="1030"/>
      <c r="N123" s="1030"/>
      <c r="O123" s="1030"/>
      <c r="P123" s="1030"/>
      <c r="Q123" s="1030"/>
      <c r="R123" s="1030"/>
      <c r="S123" s="1030"/>
      <c r="T123" s="1030"/>
      <c r="U123" s="1030"/>
      <c r="V123" s="1030"/>
      <c r="W123" s="1030"/>
      <c r="X123" s="1030"/>
      <c r="Y123" s="1030"/>
      <c r="Z123" s="1030"/>
    </row>
    <row r="124" spans="1:26" ht="16.5" customHeight="1" outlineLevel="1">
      <c r="A124" s="1098">
        <f t="shared" si="7"/>
        <v>28</v>
      </c>
      <c r="B124" s="1051" t="s">
        <v>3428</v>
      </c>
      <c r="C124" s="1066" t="s">
        <v>3342</v>
      </c>
      <c r="D124" s="1113" t="s">
        <v>122</v>
      </c>
      <c r="E124" s="1136"/>
      <c r="F124" s="1073" t="s">
        <v>3384</v>
      </c>
      <c r="G124" s="1035" t="s">
        <v>4708</v>
      </c>
      <c r="H124" s="1138" t="s">
        <v>4709</v>
      </c>
      <c r="I124" s="1138"/>
      <c r="J124" s="1139"/>
      <c r="K124" s="1118">
        <v>39.450000000000003</v>
      </c>
      <c r="L124" s="1134"/>
      <c r="M124" s="1030"/>
      <c r="N124" s="1030"/>
      <c r="O124" s="1030"/>
      <c r="P124" s="1030"/>
      <c r="Q124" s="1030"/>
      <c r="R124" s="1030"/>
      <c r="S124" s="1030"/>
      <c r="T124" s="1030"/>
      <c r="U124" s="1030"/>
      <c r="V124" s="1030"/>
      <c r="W124" s="1030"/>
      <c r="X124" s="1030"/>
      <c r="Y124" s="1030"/>
      <c r="Z124" s="1030"/>
    </row>
    <row r="125" spans="1:26" ht="60" customHeight="1" outlineLevel="1">
      <c r="A125" s="1098">
        <f>A123+1</f>
        <v>28</v>
      </c>
      <c r="B125" s="1051" t="s">
        <v>3466</v>
      </c>
      <c r="C125" s="1066" t="s">
        <v>3342</v>
      </c>
      <c r="D125" s="1113" t="s">
        <v>122</v>
      </c>
      <c r="E125" s="1136"/>
      <c r="F125" s="1142" t="s">
        <v>3384</v>
      </c>
      <c r="G125" s="1035" t="s">
        <v>3584</v>
      </c>
      <c r="H125" s="1133" t="s">
        <v>4710</v>
      </c>
      <c r="I125" s="1138" t="s">
        <v>4711</v>
      </c>
      <c r="J125" s="1139"/>
      <c r="K125" s="1118">
        <f>6791.8+1230+3441.82+2362.73+42.27+106.5</f>
        <v>13975.12</v>
      </c>
      <c r="L125" s="1030"/>
      <c r="M125" s="1030"/>
      <c r="N125" s="1030"/>
      <c r="O125" s="1030"/>
      <c r="P125" s="1030"/>
      <c r="Q125" s="1030"/>
      <c r="R125" s="1030"/>
      <c r="S125" s="1030"/>
      <c r="T125" s="1030"/>
      <c r="U125" s="1030"/>
      <c r="V125" s="1030"/>
      <c r="W125" s="1030"/>
      <c r="X125" s="1030"/>
      <c r="Y125" s="1030"/>
      <c r="Z125" s="1030"/>
    </row>
    <row r="126" spans="1:26" ht="16.5" customHeight="1" outlineLevel="1">
      <c r="A126" s="1098">
        <f t="shared" ref="A126:A134" si="8">A125+1</f>
        <v>29</v>
      </c>
      <c r="B126" s="1051" t="s">
        <v>3470</v>
      </c>
      <c r="C126" s="1066" t="s">
        <v>3342</v>
      </c>
      <c r="D126" s="1113" t="s">
        <v>122</v>
      </c>
      <c r="E126" s="1136"/>
      <c r="F126" s="1073" t="s">
        <v>3384</v>
      </c>
      <c r="G126" s="1035" t="s">
        <v>3471</v>
      </c>
      <c r="H126" s="1035" t="s">
        <v>4712</v>
      </c>
      <c r="I126" s="1035"/>
      <c r="J126" s="1139"/>
      <c r="K126" s="1118">
        <f>1600+150</f>
        <v>1750</v>
      </c>
      <c r="L126" s="1134"/>
      <c r="M126" s="1030"/>
      <c r="N126" s="1030"/>
      <c r="O126" s="1030"/>
      <c r="P126" s="1030"/>
      <c r="Q126" s="1030"/>
      <c r="R126" s="1030"/>
      <c r="S126" s="1030"/>
      <c r="T126" s="1030"/>
      <c r="U126" s="1030"/>
      <c r="V126" s="1030"/>
      <c r="W126" s="1030"/>
      <c r="X126" s="1030"/>
      <c r="Y126" s="1030"/>
      <c r="Z126" s="1030"/>
    </row>
    <row r="127" spans="1:26" ht="42" customHeight="1" outlineLevel="1">
      <c r="A127" s="1098">
        <f t="shared" si="8"/>
        <v>30</v>
      </c>
      <c r="B127" s="1144" t="s">
        <v>3473</v>
      </c>
      <c r="C127" s="1112" t="s">
        <v>3342</v>
      </c>
      <c r="D127" s="1113" t="s">
        <v>122</v>
      </c>
      <c r="E127" s="1114"/>
      <c r="F127" s="1145" t="s">
        <v>3384</v>
      </c>
      <c r="G127" s="1136" t="s">
        <v>3474</v>
      </c>
      <c r="H127" s="1137" t="s">
        <v>4713</v>
      </c>
      <c r="I127" s="1136"/>
      <c r="J127" s="1147"/>
      <c r="K127" s="1118">
        <v>1714.65</v>
      </c>
      <c r="L127" s="1103"/>
      <c r="M127" s="1103"/>
      <c r="N127" s="1103"/>
      <c r="O127" s="1103"/>
      <c r="P127" s="1103"/>
      <c r="Q127" s="1103"/>
      <c r="R127" s="1103"/>
      <c r="S127" s="1103"/>
      <c r="T127" s="1103"/>
      <c r="U127" s="1103"/>
      <c r="V127" s="1103"/>
      <c r="W127" s="1103"/>
      <c r="X127" s="1103"/>
      <c r="Y127" s="1103"/>
      <c r="Z127" s="1103"/>
    </row>
    <row r="128" spans="1:26" ht="38.25" outlineLevel="1">
      <c r="A128" s="1098">
        <f t="shared" si="8"/>
        <v>31</v>
      </c>
      <c r="B128" s="1051" t="s">
        <v>3473</v>
      </c>
      <c r="C128" s="1066" t="s">
        <v>3342</v>
      </c>
      <c r="D128" s="1113" t="s">
        <v>122</v>
      </c>
      <c r="E128" s="1136"/>
      <c r="F128" s="1073" t="s">
        <v>3384</v>
      </c>
      <c r="G128" s="1035" t="s">
        <v>3476</v>
      </c>
      <c r="H128" s="1137" t="s">
        <v>4714</v>
      </c>
      <c r="I128" s="1137" t="s">
        <v>4715</v>
      </c>
      <c r="J128" s="1139"/>
      <c r="K128" s="1118">
        <f>(1213.79/2000*600)+(600*0.52)</f>
        <v>676.13699999999994</v>
      </c>
      <c r="L128" s="1134"/>
      <c r="M128" s="1030"/>
      <c r="N128" s="1030"/>
      <c r="O128" s="1030"/>
      <c r="P128" s="1030"/>
      <c r="Q128" s="1030"/>
      <c r="R128" s="1030"/>
      <c r="S128" s="1030"/>
      <c r="T128" s="1030"/>
      <c r="U128" s="1030"/>
      <c r="V128" s="1030"/>
      <c r="W128" s="1030"/>
      <c r="X128" s="1030"/>
      <c r="Y128" s="1030"/>
      <c r="Z128" s="1030"/>
    </row>
    <row r="129" spans="1:26" ht="25.5" customHeight="1" outlineLevel="1">
      <c r="A129" s="1098">
        <f t="shared" si="8"/>
        <v>32</v>
      </c>
      <c r="B129" s="1051" t="s">
        <v>3462</v>
      </c>
      <c r="C129" s="1066" t="s">
        <v>3342</v>
      </c>
      <c r="D129" s="1113" t="s">
        <v>122</v>
      </c>
      <c r="E129" s="1136"/>
      <c r="F129" s="1073" t="s">
        <v>3384</v>
      </c>
      <c r="G129" s="1035" t="s">
        <v>3535</v>
      </c>
      <c r="H129" s="1137" t="s">
        <v>4716</v>
      </c>
      <c r="I129" s="1137" t="s">
        <v>4717</v>
      </c>
      <c r="J129" s="1139"/>
      <c r="K129" s="1118">
        <f>(7854/3)/200*142</f>
        <v>1858.78</v>
      </c>
      <c r="L129" s="1134"/>
      <c r="M129" s="1030"/>
      <c r="N129" s="1030"/>
      <c r="O129" s="1030"/>
      <c r="P129" s="1030"/>
      <c r="Q129" s="1030"/>
      <c r="R129" s="1030"/>
      <c r="S129" s="1030"/>
      <c r="T129" s="1030"/>
      <c r="U129" s="1030"/>
      <c r="V129" s="1030"/>
      <c r="W129" s="1030"/>
      <c r="X129" s="1030"/>
      <c r="Y129" s="1030"/>
      <c r="Z129" s="1030"/>
    </row>
    <row r="130" spans="1:26" ht="29.25" customHeight="1" outlineLevel="1">
      <c r="A130" s="1098">
        <f t="shared" si="8"/>
        <v>33</v>
      </c>
      <c r="B130" s="1051" t="s">
        <v>3485</v>
      </c>
      <c r="C130" s="1066" t="s">
        <v>3342</v>
      </c>
      <c r="D130" s="1113" t="s">
        <v>122</v>
      </c>
      <c r="E130" s="1136"/>
      <c r="F130" s="1148" t="s">
        <v>3384</v>
      </c>
      <c r="G130" s="1149" t="s">
        <v>3486</v>
      </c>
      <c r="H130" s="1137" t="s">
        <v>4718</v>
      </c>
      <c r="I130" s="1198"/>
      <c r="J130" s="1139"/>
      <c r="K130" s="1118">
        <v>115</v>
      </c>
      <c r="L130" s="1134"/>
      <c r="M130" s="1030"/>
      <c r="N130" s="1030"/>
      <c r="O130" s="1030"/>
      <c r="P130" s="1030"/>
      <c r="Q130" s="1030"/>
      <c r="R130" s="1030"/>
      <c r="S130" s="1030"/>
      <c r="T130" s="1030"/>
      <c r="U130" s="1030"/>
      <c r="V130" s="1030"/>
      <c r="W130" s="1030"/>
      <c r="X130" s="1030"/>
      <c r="Y130" s="1030"/>
      <c r="Z130" s="1030"/>
    </row>
    <row r="131" spans="1:26" ht="25.5" outlineLevel="1">
      <c r="A131" s="1098">
        <f t="shared" si="8"/>
        <v>34</v>
      </c>
      <c r="B131" s="1051" t="s">
        <v>3462</v>
      </c>
      <c r="C131" s="1066" t="s">
        <v>3342</v>
      </c>
      <c r="D131" s="1113" t="s">
        <v>122</v>
      </c>
      <c r="E131" s="1136"/>
      <c r="F131" s="1073" t="s">
        <v>3384</v>
      </c>
      <c r="G131" s="1035" t="s">
        <v>3488</v>
      </c>
      <c r="H131" s="1137" t="s">
        <v>4719</v>
      </c>
      <c r="I131" s="1137" t="s">
        <v>4720</v>
      </c>
      <c r="J131" s="1139"/>
      <c r="K131" s="1118">
        <f>(450*3)+30</f>
        <v>1380</v>
      </c>
      <c r="L131" s="1134"/>
      <c r="M131" s="1030"/>
      <c r="N131" s="1030"/>
      <c r="O131" s="1030"/>
      <c r="P131" s="1030"/>
      <c r="Q131" s="1030"/>
      <c r="R131" s="1030"/>
      <c r="S131" s="1030"/>
      <c r="T131" s="1030"/>
      <c r="U131" s="1030"/>
      <c r="V131" s="1030"/>
      <c r="W131" s="1030"/>
      <c r="X131" s="1030"/>
      <c r="Y131" s="1030"/>
      <c r="Z131" s="1030"/>
    </row>
    <row r="132" spans="1:26" ht="25.5" outlineLevel="1">
      <c r="A132" s="1098">
        <f t="shared" si="8"/>
        <v>35</v>
      </c>
      <c r="B132" s="1051" t="s">
        <v>3485</v>
      </c>
      <c r="C132" s="1066" t="s">
        <v>3342</v>
      </c>
      <c r="D132" s="1113" t="s">
        <v>122</v>
      </c>
      <c r="E132" s="1136"/>
      <c r="F132" s="1142" t="s">
        <v>3384</v>
      </c>
      <c r="G132" s="1035" t="s">
        <v>3491</v>
      </c>
      <c r="H132" s="1137" t="s">
        <v>4721</v>
      </c>
      <c r="I132" s="1137"/>
      <c r="J132" s="1139"/>
      <c r="K132" s="1118">
        <v>199.37</v>
      </c>
      <c r="L132" s="1134"/>
      <c r="M132" s="1030"/>
      <c r="N132" s="1030"/>
      <c r="O132" s="1030"/>
      <c r="P132" s="1030"/>
      <c r="Q132" s="1030"/>
      <c r="R132" s="1030"/>
      <c r="S132" s="1030"/>
      <c r="T132" s="1030"/>
      <c r="U132" s="1030"/>
      <c r="V132" s="1030"/>
      <c r="W132" s="1030"/>
      <c r="X132" s="1030"/>
      <c r="Y132" s="1030"/>
      <c r="Z132" s="1030"/>
    </row>
    <row r="133" spans="1:26" ht="25.5" outlineLevel="1">
      <c r="A133" s="1098">
        <f t="shared" si="8"/>
        <v>36</v>
      </c>
      <c r="B133" s="1051" t="s">
        <v>3485</v>
      </c>
      <c r="C133" s="1066" t="s">
        <v>3342</v>
      </c>
      <c r="D133" s="1113" t="s">
        <v>122</v>
      </c>
      <c r="E133" s="1136"/>
      <c r="F133" s="1142" t="s">
        <v>3384</v>
      </c>
      <c r="G133" s="1035" t="s">
        <v>3495</v>
      </c>
      <c r="H133" s="1035" t="s">
        <v>3494</v>
      </c>
      <c r="I133" s="1139" t="s">
        <v>4722</v>
      </c>
      <c r="J133" s="1139"/>
      <c r="K133" s="1118">
        <v>2.9</v>
      </c>
      <c r="L133" s="1134"/>
      <c r="M133" s="1030"/>
      <c r="N133" s="1030"/>
      <c r="O133" s="1030"/>
      <c r="P133" s="1030"/>
      <c r="Q133" s="1030"/>
      <c r="R133" s="1030"/>
      <c r="S133" s="1030"/>
      <c r="T133" s="1030"/>
      <c r="U133" s="1030"/>
      <c r="V133" s="1030"/>
      <c r="W133" s="1030"/>
      <c r="X133" s="1030"/>
      <c r="Y133" s="1030"/>
      <c r="Z133" s="1030"/>
    </row>
    <row r="134" spans="1:26" ht="25.5" outlineLevel="1">
      <c r="A134" s="1098">
        <f t="shared" si="8"/>
        <v>37</v>
      </c>
      <c r="B134" s="1051" t="s">
        <v>3485</v>
      </c>
      <c r="C134" s="1066" t="s">
        <v>3342</v>
      </c>
      <c r="D134" s="1113" t="s">
        <v>122</v>
      </c>
      <c r="E134" s="1136"/>
      <c r="F134" s="1142" t="s">
        <v>3384</v>
      </c>
      <c r="G134" s="1035" t="s">
        <v>3495</v>
      </c>
      <c r="H134" s="1035" t="s">
        <v>3498</v>
      </c>
      <c r="I134" s="1139" t="s">
        <v>4723</v>
      </c>
      <c r="J134" s="1139"/>
      <c r="K134" s="1118">
        <f>2.9+17.09</f>
        <v>19.989999999999998</v>
      </c>
      <c r="L134" s="1134"/>
      <c r="M134" s="1030"/>
      <c r="N134" s="1030"/>
      <c r="O134" s="1030"/>
      <c r="P134" s="1030"/>
      <c r="Q134" s="1030"/>
      <c r="R134" s="1030"/>
      <c r="S134" s="1030"/>
      <c r="T134" s="1030"/>
      <c r="U134" s="1030"/>
      <c r="V134" s="1030"/>
      <c r="W134" s="1030"/>
      <c r="X134" s="1030"/>
      <c r="Y134" s="1030"/>
      <c r="Z134" s="1030"/>
    </row>
    <row r="135" spans="1:26" ht="12.75" customHeight="1" outlineLevel="1">
      <c r="A135" s="1098">
        <f>A132+1</f>
        <v>36</v>
      </c>
      <c r="B135" s="1051" t="s">
        <v>3473</v>
      </c>
      <c r="C135" s="1066" t="s">
        <v>3342</v>
      </c>
      <c r="D135" s="1113" t="s">
        <v>122</v>
      </c>
      <c r="E135" s="1136"/>
      <c r="F135" s="1073" t="s">
        <v>3384</v>
      </c>
      <c r="G135" s="1035" t="s">
        <v>3499</v>
      </c>
      <c r="H135" s="1035" t="s">
        <v>4724</v>
      </c>
      <c r="I135" s="1035" t="s">
        <v>4725</v>
      </c>
      <c r="J135" s="1139"/>
      <c r="K135" s="1118">
        <f>7.5*110</f>
        <v>825</v>
      </c>
      <c r="L135" s="1134"/>
      <c r="M135" s="1030"/>
      <c r="N135" s="1030"/>
      <c r="O135" s="1030"/>
      <c r="P135" s="1030"/>
      <c r="Q135" s="1030"/>
      <c r="R135" s="1030"/>
      <c r="S135" s="1030"/>
      <c r="T135" s="1030"/>
      <c r="U135" s="1030"/>
      <c r="V135" s="1030"/>
      <c r="W135" s="1030"/>
      <c r="X135" s="1030"/>
      <c r="Y135" s="1030"/>
      <c r="Z135" s="1030"/>
    </row>
    <row r="136" spans="1:26" ht="12.75" customHeight="1" outlineLevel="1">
      <c r="A136" s="1098">
        <f t="shared" ref="A136:A172" si="9">A135+1</f>
        <v>37</v>
      </c>
      <c r="B136" s="1051" t="s">
        <v>3428</v>
      </c>
      <c r="C136" s="1066" t="s">
        <v>3342</v>
      </c>
      <c r="D136" s="1113" t="s">
        <v>122</v>
      </c>
      <c r="E136" s="1152"/>
      <c r="F136" s="1073" t="s">
        <v>3410</v>
      </c>
      <c r="G136" s="1035" t="s">
        <v>3429</v>
      </c>
      <c r="H136" s="1114"/>
      <c r="I136" s="1120">
        <v>100</v>
      </c>
      <c r="J136" s="1117">
        <v>0.3</v>
      </c>
      <c r="K136" s="1118">
        <f t="shared" ref="K136:K160" si="10">I136*J136</f>
        <v>30</v>
      </c>
      <c r="L136" s="1030"/>
      <c r="M136" s="1030"/>
      <c r="N136" s="1030"/>
      <c r="O136" s="1030"/>
      <c r="P136" s="1030"/>
      <c r="Q136" s="1030"/>
      <c r="R136" s="1030"/>
      <c r="S136" s="1030"/>
      <c r="T136" s="1030"/>
      <c r="U136" s="1030"/>
      <c r="V136" s="1030"/>
      <c r="W136" s="1030"/>
      <c r="X136" s="1030"/>
      <c r="Y136" s="1030"/>
      <c r="Z136" s="1030"/>
    </row>
    <row r="137" spans="1:26" ht="12.75" customHeight="1" outlineLevel="1">
      <c r="A137" s="1098">
        <f t="shared" si="9"/>
        <v>38</v>
      </c>
      <c r="B137" s="1051" t="s">
        <v>3428</v>
      </c>
      <c r="C137" s="1066" t="s">
        <v>3342</v>
      </c>
      <c r="D137" s="1113" t="s">
        <v>122</v>
      </c>
      <c r="E137" s="1152"/>
      <c r="F137" s="1073" t="s">
        <v>3410</v>
      </c>
      <c r="G137" s="1035" t="s">
        <v>3431</v>
      </c>
      <c r="H137" s="1120"/>
      <c r="I137" s="1120">
        <v>0</v>
      </c>
      <c r="J137" s="1122">
        <v>0.3</v>
      </c>
      <c r="K137" s="1118">
        <f t="shared" si="10"/>
        <v>0</v>
      </c>
      <c r="L137" s="1030"/>
      <c r="M137" s="1030"/>
      <c r="N137" s="1030"/>
      <c r="O137" s="1030"/>
      <c r="P137" s="1030"/>
      <c r="Q137" s="1030"/>
      <c r="R137" s="1030"/>
      <c r="S137" s="1030"/>
      <c r="T137" s="1030"/>
      <c r="U137" s="1030"/>
      <c r="V137" s="1030"/>
      <c r="W137" s="1030"/>
      <c r="X137" s="1030"/>
      <c r="Y137" s="1030"/>
      <c r="Z137" s="1030"/>
    </row>
    <row r="138" spans="1:26" ht="12.75" customHeight="1" outlineLevel="1">
      <c r="A138" s="1098">
        <f t="shared" si="9"/>
        <v>39</v>
      </c>
      <c r="B138" s="1051" t="s">
        <v>3428</v>
      </c>
      <c r="C138" s="1066" t="s">
        <v>3342</v>
      </c>
      <c r="D138" s="1113" t="s">
        <v>122</v>
      </c>
      <c r="E138" s="1152"/>
      <c r="F138" s="1073" t="s">
        <v>3410</v>
      </c>
      <c r="G138" s="1035" t="s">
        <v>3433</v>
      </c>
      <c r="H138" s="1120"/>
      <c r="I138" s="1120">
        <v>0</v>
      </c>
      <c r="J138" s="1122">
        <v>0.3</v>
      </c>
      <c r="K138" s="1118">
        <f t="shared" si="10"/>
        <v>0</v>
      </c>
      <c r="L138" s="1030"/>
      <c r="M138" s="1030"/>
      <c r="N138" s="1030"/>
      <c r="O138" s="1030"/>
      <c r="P138" s="1030"/>
      <c r="Q138" s="1030"/>
      <c r="R138" s="1030"/>
      <c r="S138" s="1030"/>
      <c r="T138" s="1030"/>
      <c r="U138" s="1030"/>
      <c r="V138" s="1030"/>
      <c r="W138" s="1030"/>
      <c r="X138" s="1030"/>
      <c r="Y138" s="1030"/>
      <c r="Z138" s="1030"/>
    </row>
    <row r="139" spans="1:26" ht="12.75" customHeight="1" outlineLevel="1">
      <c r="A139" s="1098">
        <f t="shared" si="9"/>
        <v>40</v>
      </c>
      <c r="B139" s="1051" t="s">
        <v>3428</v>
      </c>
      <c r="C139" s="1066" t="s">
        <v>3342</v>
      </c>
      <c r="D139" s="1113" t="s">
        <v>122</v>
      </c>
      <c r="E139" s="1153"/>
      <c r="F139" s="1073" t="s">
        <v>3410</v>
      </c>
      <c r="G139" s="1035" t="s">
        <v>3436</v>
      </c>
      <c r="H139" s="1120"/>
      <c r="I139" s="1120">
        <v>184</v>
      </c>
      <c r="J139" s="1122">
        <v>0.3</v>
      </c>
      <c r="K139" s="1118">
        <f t="shared" si="10"/>
        <v>55.199999999999996</v>
      </c>
      <c r="L139" s="1030"/>
      <c r="M139" s="1030"/>
      <c r="N139" s="1030"/>
      <c r="O139" s="1030"/>
      <c r="P139" s="1030"/>
      <c r="Q139" s="1030"/>
      <c r="R139" s="1030"/>
      <c r="S139" s="1030"/>
      <c r="T139" s="1030"/>
      <c r="U139" s="1030"/>
      <c r="V139" s="1030"/>
      <c r="W139" s="1030"/>
      <c r="X139" s="1030"/>
      <c r="Y139" s="1030"/>
      <c r="Z139" s="1030"/>
    </row>
    <row r="140" spans="1:26" ht="12.75" customHeight="1" outlineLevel="1">
      <c r="A140" s="1098">
        <f t="shared" si="9"/>
        <v>41</v>
      </c>
      <c r="B140" s="1051" t="s">
        <v>3428</v>
      </c>
      <c r="C140" s="1066" t="s">
        <v>3342</v>
      </c>
      <c r="D140" s="1113" t="s">
        <v>122</v>
      </c>
      <c r="E140" s="1153"/>
      <c r="F140" s="1073" t="s">
        <v>3410</v>
      </c>
      <c r="G140" s="1035" t="s">
        <v>3522</v>
      </c>
      <c r="H140" s="1120"/>
      <c r="I140" s="1120">
        <v>0</v>
      </c>
      <c r="J140" s="1122">
        <v>0</v>
      </c>
      <c r="K140" s="1118">
        <f t="shared" si="10"/>
        <v>0</v>
      </c>
      <c r="L140" s="1030"/>
      <c r="M140" s="1030"/>
      <c r="N140" s="1030"/>
      <c r="O140" s="1030"/>
      <c r="P140" s="1030"/>
      <c r="Q140" s="1030"/>
      <c r="R140" s="1030"/>
      <c r="S140" s="1030"/>
      <c r="T140" s="1030"/>
      <c r="U140" s="1030"/>
      <c r="V140" s="1030"/>
      <c r="W140" s="1030"/>
      <c r="X140" s="1030"/>
      <c r="Y140" s="1030"/>
      <c r="Z140" s="1030"/>
    </row>
    <row r="141" spans="1:26" ht="12.75" customHeight="1" outlineLevel="1">
      <c r="A141" s="1098">
        <f t="shared" si="9"/>
        <v>42</v>
      </c>
      <c r="B141" s="1051" t="s">
        <v>3428</v>
      </c>
      <c r="C141" s="1066" t="s">
        <v>3342</v>
      </c>
      <c r="D141" s="1113" t="s">
        <v>122</v>
      </c>
      <c r="E141" s="1152"/>
      <c r="F141" s="1073" t="s">
        <v>3410</v>
      </c>
      <c r="G141" s="1035" t="s">
        <v>3523</v>
      </c>
      <c r="H141" s="1120"/>
      <c r="I141" s="1120">
        <v>150</v>
      </c>
      <c r="J141" s="1122">
        <v>0.3</v>
      </c>
      <c r="K141" s="1118">
        <f t="shared" si="10"/>
        <v>45</v>
      </c>
      <c r="L141" s="1030"/>
      <c r="M141" s="1030"/>
      <c r="N141" s="1030"/>
      <c r="O141" s="1030"/>
      <c r="P141" s="1030"/>
      <c r="Q141" s="1030"/>
      <c r="R141" s="1030"/>
      <c r="S141" s="1030"/>
      <c r="T141" s="1030"/>
      <c r="U141" s="1030"/>
      <c r="V141" s="1030"/>
      <c r="W141" s="1030"/>
      <c r="X141" s="1030"/>
      <c r="Y141" s="1030"/>
      <c r="Z141" s="1030"/>
    </row>
    <row r="142" spans="1:26" ht="12.75" customHeight="1" outlineLevel="1">
      <c r="A142" s="1098">
        <f t="shared" si="9"/>
        <v>43</v>
      </c>
      <c r="B142" s="1051" t="s">
        <v>3428</v>
      </c>
      <c r="C142" s="1066" t="s">
        <v>3342</v>
      </c>
      <c r="D142" s="1113" t="s">
        <v>122</v>
      </c>
      <c r="E142" s="1152"/>
      <c r="F142" s="1073" t="s">
        <v>3410</v>
      </c>
      <c r="G142" s="1035" t="s">
        <v>3439</v>
      </c>
      <c r="H142" s="1120"/>
      <c r="I142" s="1120">
        <v>364</v>
      </c>
      <c r="J142" s="1122">
        <v>0.3</v>
      </c>
      <c r="K142" s="1118">
        <f t="shared" si="10"/>
        <v>109.2</v>
      </c>
      <c r="L142" s="1030"/>
      <c r="M142" s="1030"/>
      <c r="N142" s="1030"/>
      <c r="O142" s="1030"/>
      <c r="P142" s="1030"/>
      <c r="Q142" s="1030"/>
      <c r="R142" s="1030"/>
      <c r="S142" s="1030"/>
      <c r="T142" s="1030"/>
      <c r="U142" s="1030"/>
      <c r="V142" s="1030"/>
      <c r="W142" s="1030"/>
      <c r="X142" s="1030"/>
      <c r="Y142" s="1030"/>
      <c r="Z142" s="1030"/>
    </row>
    <row r="143" spans="1:26" ht="12.75" customHeight="1" outlineLevel="1">
      <c r="A143" s="1098">
        <f t="shared" si="9"/>
        <v>44</v>
      </c>
      <c r="B143" s="1051" t="s">
        <v>3428</v>
      </c>
      <c r="C143" s="1066" t="s">
        <v>3342</v>
      </c>
      <c r="D143" s="1113" t="s">
        <v>122</v>
      </c>
      <c r="E143" s="1152"/>
      <c r="F143" s="1073" t="s">
        <v>3410</v>
      </c>
      <c r="G143" s="1035" t="s">
        <v>3440</v>
      </c>
      <c r="H143" s="1120"/>
      <c r="I143" s="1120">
        <v>0</v>
      </c>
      <c r="J143" s="1122">
        <v>0.3</v>
      </c>
      <c r="K143" s="1118">
        <f t="shared" si="10"/>
        <v>0</v>
      </c>
      <c r="L143" s="1030"/>
      <c r="M143" s="1030"/>
      <c r="N143" s="1030"/>
      <c r="O143" s="1030"/>
      <c r="P143" s="1030"/>
      <c r="Q143" s="1030"/>
      <c r="R143" s="1030"/>
      <c r="S143" s="1030"/>
      <c r="T143" s="1030"/>
      <c r="U143" s="1030"/>
      <c r="V143" s="1030"/>
      <c r="W143" s="1030"/>
      <c r="X143" s="1030"/>
      <c r="Y143" s="1030"/>
      <c r="Z143" s="1030"/>
    </row>
    <row r="144" spans="1:26" ht="12.75" customHeight="1" outlineLevel="1">
      <c r="A144" s="1098">
        <f t="shared" si="9"/>
        <v>45</v>
      </c>
      <c r="B144" s="1051" t="s">
        <v>3428</v>
      </c>
      <c r="C144" s="1066" t="s">
        <v>3342</v>
      </c>
      <c r="D144" s="1113" t="s">
        <v>122</v>
      </c>
      <c r="E144" s="1152"/>
      <c r="F144" s="1073" t="s">
        <v>3410</v>
      </c>
      <c r="G144" s="1035" t="s">
        <v>3441</v>
      </c>
      <c r="H144" s="1120"/>
      <c r="I144" s="1120">
        <f>154*2</f>
        <v>308</v>
      </c>
      <c r="J144" s="1122">
        <v>0.3</v>
      </c>
      <c r="K144" s="1118">
        <f t="shared" si="10"/>
        <v>92.399999999999991</v>
      </c>
      <c r="L144" s="1030"/>
      <c r="M144" s="1030"/>
      <c r="N144" s="1030"/>
      <c r="O144" s="1030"/>
      <c r="P144" s="1030"/>
      <c r="Q144" s="1030"/>
      <c r="R144" s="1030"/>
      <c r="S144" s="1030"/>
      <c r="T144" s="1030"/>
      <c r="U144" s="1030"/>
      <c r="V144" s="1030"/>
      <c r="W144" s="1030"/>
      <c r="X144" s="1030"/>
      <c r="Y144" s="1030"/>
      <c r="Z144" s="1030"/>
    </row>
    <row r="145" spans="1:26" ht="12.75" customHeight="1" outlineLevel="1">
      <c r="A145" s="1098">
        <f t="shared" si="9"/>
        <v>46</v>
      </c>
      <c r="B145" s="1051" t="s">
        <v>3428</v>
      </c>
      <c r="C145" s="1066" t="s">
        <v>3342</v>
      </c>
      <c r="D145" s="1113" t="s">
        <v>122</v>
      </c>
      <c r="E145" s="1152"/>
      <c r="F145" s="1073" t="s">
        <v>3410</v>
      </c>
      <c r="G145" s="1035" t="s">
        <v>3442</v>
      </c>
      <c r="H145" s="1120"/>
      <c r="I145" s="1120">
        <v>626</v>
      </c>
      <c r="J145" s="1122">
        <v>0.3</v>
      </c>
      <c r="K145" s="1118">
        <f t="shared" si="10"/>
        <v>187.79999999999998</v>
      </c>
      <c r="L145" s="1030"/>
      <c r="M145" s="1030"/>
      <c r="N145" s="1030"/>
      <c r="O145" s="1030"/>
      <c r="P145" s="1030"/>
      <c r="Q145" s="1030"/>
      <c r="R145" s="1030"/>
      <c r="S145" s="1030"/>
      <c r="T145" s="1030"/>
      <c r="U145" s="1030"/>
      <c r="V145" s="1030"/>
      <c r="W145" s="1030"/>
      <c r="X145" s="1030"/>
      <c r="Y145" s="1030"/>
      <c r="Z145" s="1030"/>
    </row>
    <row r="146" spans="1:26" ht="12.75" customHeight="1" outlineLevel="1">
      <c r="A146" s="1098">
        <f t="shared" si="9"/>
        <v>47</v>
      </c>
      <c r="B146" s="1051" t="s">
        <v>3428</v>
      </c>
      <c r="C146" s="1066" t="s">
        <v>3342</v>
      </c>
      <c r="D146" s="1113" t="s">
        <v>122</v>
      </c>
      <c r="E146" s="1136"/>
      <c r="F146" s="1073" t="s">
        <v>3410</v>
      </c>
      <c r="G146" s="1035" t="s">
        <v>3443</v>
      </c>
      <c r="H146" s="1120"/>
      <c r="I146" s="1120">
        <v>277</v>
      </c>
      <c r="J146" s="1122">
        <v>0.3</v>
      </c>
      <c r="K146" s="1118">
        <f t="shared" si="10"/>
        <v>83.1</v>
      </c>
      <c r="L146" s="1030"/>
      <c r="M146" s="1030"/>
      <c r="N146" s="1030"/>
      <c r="O146" s="1030"/>
      <c r="P146" s="1030"/>
      <c r="Q146" s="1030"/>
      <c r="R146" s="1030"/>
      <c r="S146" s="1030"/>
      <c r="T146" s="1030"/>
      <c r="U146" s="1030"/>
      <c r="V146" s="1030"/>
      <c r="W146" s="1030"/>
      <c r="X146" s="1030"/>
      <c r="Y146" s="1030"/>
      <c r="Z146" s="1030"/>
    </row>
    <row r="147" spans="1:26" ht="12.75" customHeight="1" outlineLevel="1">
      <c r="A147" s="1098">
        <f t="shared" si="9"/>
        <v>48</v>
      </c>
      <c r="B147" s="1051" t="s">
        <v>3428</v>
      </c>
      <c r="C147" s="1066" t="s">
        <v>3342</v>
      </c>
      <c r="D147" s="1113" t="s">
        <v>122</v>
      </c>
      <c r="E147" s="1136"/>
      <c r="F147" s="1073" t="s">
        <v>3410</v>
      </c>
      <c r="G147" s="1035" t="s">
        <v>3565</v>
      </c>
      <c r="H147" s="1120"/>
      <c r="I147" s="1120">
        <v>398</v>
      </c>
      <c r="J147" s="1122">
        <v>0.3</v>
      </c>
      <c r="K147" s="1118">
        <f t="shared" si="10"/>
        <v>119.39999999999999</v>
      </c>
      <c r="L147" s="1030"/>
      <c r="M147" s="1030"/>
      <c r="N147" s="1030"/>
      <c r="O147" s="1030"/>
      <c r="P147" s="1030"/>
      <c r="Q147" s="1030"/>
      <c r="R147" s="1030"/>
      <c r="S147" s="1030"/>
      <c r="T147" s="1030"/>
      <c r="U147" s="1030"/>
      <c r="V147" s="1030"/>
      <c r="W147" s="1030"/>
      <c r="X147" s="1030"/>
      <c r="Y147" s="1030"/>
      <c r="Z147" s="1030"/>
    </row>
    <row r="148" spans="1:26" ht="12.75" customHeight="1" outlineLevel="1">
      <c r="A148" s="1098">
        <f t="shared" si="9"/>
        <v>49</v>
      </c>
      <c r="B148" s="1051" t="s">
        <v>3428</v>
      </c>
      <c r="C148" s="1066" t="s">
        <v>3342</v>
      </c>
      <c r="D148" s="1113" t="s">
        <v>122</v>
      </c>
      <c r="E148" s="1136"/>
      <c r="F148" s="1073" t="s">
        <v>3410</v>
      </c>
      <c r="G148" s="1035" t="s">
        <v>3444</v>
      </c>
      <c r="H148" s="1120"/>
      <c r="I148" s="1120">
        <v>0</v>
      </c>
      <c r="J148" s="1122">
        <v>0.3</v>
      </c>
      <c r="K148" s="1118">
        <f t="shared" si="10"/>
        <v>0</v>
      </c>
      <c r="L148" s="1030"/>
      <c r="M148" s="1030"/>
      <c r="N148" s="1030"/>
      <c r="O148" s="1030"/>
      <c r="P148" s="1030"/>
      <c r="Q148" s="1030"/>
      <c r="R148" s="1030"/>
      <c r="S148" s="1030"/>
      <c r="T148" s="1030"/>
      <c r="U148" s="1030"/>
      <c r="V148" s="1030"/>
      <c r="W148" s="1030"/>
      <c r="X148" s="1030"/>
      <c r="Y148" s="1030"/>
      <c r="Z148" s="1030"/>
    </row>
    <row r="149" spans="1:26" ht="12.75" customHeight="1" outlineLevel="1">
      <c r="A149" s="1098">
        <f t="shared" si="9"/>
        <v>50</v>
      </c>
      <c r="B149" s="1051" t="s">
        <v>3428</v>
      </c>
      <c r="C149" s="1066" t="s">
        <v>3342</v>
      </c>
      <c r="D149" s="1113" t="s">
        <v>122</v>
      </c>
      <c r="E149" s="1136"/>
      <c r="F149" s="1073" t="s">
        <v>3410</v>
      </c>
      <c r="G149" s="1035" t="s">
        <v>3446</v>
      </c>
      <c r="H149" s="1120"/>
      <c r="I149" s="1120">
        <v>210</v>
      </c>
      <c r="J149" s="1122">
        <v>0.3</v>
      </c>
      <c r="K149" s="1118">
        <f t="shared" si="10"/>
        <v>63</v>
      </c>
      <c r="L149" s="1030"/>
      <c r="M149" s="1030"/>
      <c r="N149" s="1030"/>
      <c r="O149" s="1030"/>
      <c r="P149" s="1030"/>
      <c r="Q149" s="1030"/>
      <c r="R149" s="1030"/>
      <c r="S149" s="1030"/>
      <c r="T149" s="1030"/>
      <c r="U149" s="1030"/>
      <c r="V149" s="1030"/>
      <c r="W149" s="1030"/>
      <c r="X149" s="1030"/>
      <c r="Y149" s="1030"/>
      <c r="Z149" s="1030"/>
    </row>
    <row r="150" spans="1:26" ht="12.75" customHeight="1" outlineLevel="1">
      <c r="A150" s="1098">
        <f t="shared" si="9"/>
        <v>51</v>
      </c>
      <c r="B150" s="1051" t="s">
        <v>3428</v>
      </c>
      <c r="C150" s="1066" t="s">
        <v>3342</v>
      </c>
      <c r="D150" s="1113" t="s">
        <v>122</v>
      </c>
      <c r="E150" s="1136"/>
      <c r="F150" s="1073" t="s">
        <v>3410</v>
      </c>
      <c r="G150" s="1035" t="s">
        <v>3447</v>
      </c>
      <c r="H150" s="1120"/>
      <c r="I150" s="1120">
        <v>0</v>
      </c>
      <c r="J150" s="1122">
        <v>0.3</v>
      </c>
      <c r="K150" s="1118">
        <f t="shared" si="10"/>
        <v>0</v>
      </c>
      <c r="L150" s="1030"/>
      <c r="M150" s="1030"/>
      <c r="N150" s="1030"/>
      <c r="O150" s="1030"/>
      <c r="P150" s="1030"/>
      <c r="Q150" s="1030"/>
      <c r="R150" s="1030"/>
      <c r="S150" s="1030"/>
      <c r="T150" s="1030"/>
      <c r="U150" s="1030"/>
      <c r="V150" s="1030"/>
      <c r="W150" s="1030"/>
      <c r="X150" s="1030"/>
      <c r="Y150" s="1030"/>
      <c r="Z150" s="1030"/>
    </row>
    <row r="151" spans="1:26" ht="12.75" customHeight="1" outlineLevel="1">
      <c r="A151" s="1098">
        <f t="shared" si="9"/>
        <v>52</v>
      </c>
      <c r="B151" s="1051" t="s">
        <v>3428</v>
      </c>
      <c r="C151" s="1066" t="s">
        <v>3342</v>
      </c>
      <c r="D151" s="1113" t="s">
        <v>122</v>
      </c>
      <c r="E151" s="1136"/>
      <c r="F151" s="1073" t="s">
        <v>3410</v>
      </c>
      <c r="G151" s="1035" t="s">
        <v>3448</v>
      </c>
      <c r="H151" s="1120"/>
      <c r="I151" s="1120">
        <v>420</v>
      </c>
      <c r="J151" s="1122">
        <v>0.3</v>
      </c>
      <c r="K151" s="1118">
        <f t="shared" si="10"/>
        <v>126</v>
      </c>
      <c r="L151" s="1030"/>
      <c r="M151" s="1030"/>
      <c r="N151" s="1030"/>
      <c r="O151" s="1030"/>
      <c r="P151" s="1030"/>
      <c r="Q151" s="1030"/>
      <c r="R151" s="1030"/>
      <c r="S151" s="1030"/>
      <c r="T151" s="1030"/>
      <c r="U151" s="1030"/>
      <c r="V151" s="1030"/>
      <c r="W151" s="1030"/>
      <c r="X151" s="1030"/>
      <c r="Y151" s="1030"/>
      <c r="Z151" s="1030"/>
    </row>
    <row r="152" spans="1:26" ht="12.75" customHeight="1" outlineLevel="1">
      <c r="A152" s="1098">
        <f t="shared" si="9"/>
        <v>53</v>
      </c>
      <c r="B152" s="1051" t="s">
        <v>3428</v>
      </c>
      <c r="C152" s="1066" t="s">
        <v>3342</v>
      </c>
      <c r="D152" s="1113" t="s">
        <v>122</v>
      </c>
      <c r="E152" s="1136"/>
      <c r="F152" s="1073" t="s">
        <v>3410</v>
      </c>
      <c r="G152" s="1035" t="s">
        <v>3449</v>
      </c>
      <c r="H152" s="1120"/>
      <c r="I152" s="1120">
        <f>2*88</f>
        <v>176</v>
      </c>
      <c r="J152" s="1122">
        <v>0.3</v>
      </c>
      <c r="K152" s="1118">
        <f t="shared" si="10"/>
        <v>52.8</v>
      </c>
      <c r="L152" s="1030"/>
      <c r="M152" s="1030"/>
      <c r="N152" s="1030"/>
      <c r="O152" s="1030"/>
      <c r="P152" s="1030"/>
      <c r="Q152" s="1030"/>
      <c r="R152" s="1030"/>
      <c r="S152" s="1030"/>
      <c r="T152" s="1030"/>
      <c r="U152" s="1030"/>
      <c r="V152" s="1030"/>
      <c r="W152" s="1030"/>
      <c r="X152" s="1030"/>
      <c r="Y152" s="1030"/>
      <c r="Z152" s="1030"/>
    </row>
    <row r="153" spans="1:26" ht="12.75" customHeight="1" outlineLevel="1">
      <c r="A153" s="1098">
        <f t="shared" si="9"/>
        <v>54</v>
      </c>
      <c r="B153" s="1051" t="s">
        <v>3428</v>
      </c>
      <c r="C153" s="1066" t="s">
        <v>3342</v>
      </c>
      <c r="D153" s="1113" t="s">
        <v>122</v>
      </c>
      <c r="E153" s="1136"/>
      <c r="F153" s="1073" t="s">
        <v>3410</v>
      </c>
      <c r="G153" s="1035" t="s">
        <v>3450</v>
      </c>
      <c r="H153" s="1120"/>
      <c r="I153" s="1120">
        <v>162</v>
      </c>
      <c r="J153" s="1122">
        <v>0.3</v>
      </c>
      <c r="K153" s="1118">
        <f t="shared" si="10"/>
        <v>48.6</v>
      </c>
      <c r="L153" s="1030"/>
      <c r="M153" s="1030"/>
      <c r="N153" s="1030"/>
      <c r="O153" s="1030"/>
      <c r="P153" s="1030"/>
      <c r="Q153" s="1030"/>
      <c r="R153" s="1030"/>
      <c r="S153" s="1030"/>
      <c r="T153" s="1030"/>
      <c r="U153" s="1030"/>
      <c r="V153" s="1030"/>
      <c r="W153" s="1030"/>
      <c r="X153" s="1030"/>
      <c r="Y153" s="1030"/>
      <c r="Z153" s="1030"/>
    </row>
    <row r="154" spans="1:26" ht="12.75" customHeight="1" outlineLevel="1">
      <c r="A154" s="1098">
        <f t="shared" si="9"/>
        <v>55</v>
      </c>
      <c r="B154" s="1051" t="s">
        <v>3428</v>
      </c>
      <c r="C154" s="1066" t="s">
        <v>3342</v>
      </c>
      <c r="D154" s="1113" t="s">
        <v>122</v>
      </c>
      <c r="E154" s="1136"/>
      <c r="F154" s="1073" t="s">
        <v>3410</v>
      </c>
      <c r="G154" s="1035" t="s">
        <v>3451</v>
      </c>
      <c r="H154" s="1120"/>
      <c r="I154" s="1120">
        <v>0</v>
      </c>
      <c r="J154" s="1122">
        <v>0.3</v>
      </c>
      <c r="K154" s="1118">
        <f t="shared" si="10"/>
        <v>0</v>
      </c>
      <c r="L154" s="1030"/>
      <c r="M154" s="1030"/>
      <c r="N154" s="1030"/>
      <c r="O154" s="1030"/>
      <c r="P154" s="1030"/>
      <c r="Q154" s="1030"/>
      <c r="R154" s="1030"/>
      <c r="S154" s="1030"/>
      <c r="T154" s="1030"/>
      <c r="U154" s="1030"/>
      <c r="V154" s="1030"/>
      <c r="W154" s="1030"/>
      <c r="X154" s="1030"/>
      <c r="Y154" s="1030"/>
      <c r="Z154" s="1030"/>
    </row>
    <row r="155" spans="1:26" ht="12.75" customHeight="1" outlineLevel="1">
      <c r="A155" s="1098">
        <f t="shared" si="9"/>
        <v>56</v>
      </c>
      <c r="B155" s="1051" t="s">
        <v>3428</v>
      </c>
      <c r="C155" s="1066" t="s">
        <v>3342</v>
      </c>
      <c r="D155" s="1113" t="s">
        <v>122</v>
      </c>
      <c r="E155" s="1136"/>
      <c r="F155" s="1073" t="s">
        <v>3410</v>
      </c>
      <c r="G155" s="1035" t="s">
        <v>3452</v>
      </c>
      <c r="H155" s="1120"/>
      <c r="I155" s="1120">
        <v>135</v>
      </c>
      <c r="J155" s="1122">
        <v>0.3</v>
      </c>
      <c r="K155" s="1118">
        <f t="shared" si="10"/>
        <v>40.5</v>
      </c>
      <c r="L155" s="1030"/>
      <c r="M155" s="1030"/>
      <c r="N155" s="1030"/>
      <c r="O155" s="1030"/>
      <c r="P155" s="1030"/>
      <c r="Q155" s="1030"/>
      <c r="R155" s="1030"/>
      <c r="S155" s="1030"/>
      <c r="T155" s="1030"/>
      <c r="U155" s="1030"/>
      <c r="V155" s="1030"/>
      <c r="W155" s="1030"/>
      <c r="X155" s="1030"/>
      <c r="Y155" s="1030"/>
      <c r="Z155" s="1030"/>
    </row>
    <row r="156" spans="1:26" ht="12.75" customHeight="1" outlineLevel="1">
      <c r="A156" s="1098">
        <f t="shared" si="9"/>
        <v>57</v>
      </c>
      <c r="B156" s="1051" t="s">
        <v>3428</v>
      </c>
      <c r="C156" s="1066" t="s">
        <v>3342</v>
      </c>
      <c r="D156" s="1113" t="s">
        <v>122</v>
      </c>
      <c r="E156" s="1136"/>
      <c r="F156" s="1073" t="s">
        <v>3410</v>
      </c>
      <c r="G156" s="1035" t="s">
        <v>3453</v>
      </c>
      <c r="H156" s="1120"/>
      <c r="I156" s="1120">
        <v>260</v>
      </c>
      <c r="J156" s="1122">
        <v>0.3</v>
      </c>
      <c r="K156" s="1118">
        <f t="shared" si="10"/>
        <v>78</v>
      </c>
      <c r="L156" s="1030"/>
      <c r="M156" s="1030"/>
      <c r="N156" s="1030"/>
      <c r="O156" s="1030"/>
      <c r="P156" s="1030"/>
      <c r="Q156" s="1030"/>
      <c r="R156" s="1030"/>
      <c r="S156" s="1030"/>
      <c r="T156" s="1030"/>
      <c r="U156" s="1030"/>
      <c r="V156" s="1030"/>
      <c r="W156" s="1030"/>
      <c r="X156" s="1030"/>
      <c r="Y156" s="1030"/>
      <c r="Z156" s="1030"/>
    </row>
    <row r="157" spans="1:26" ht="12.75" customHeight="1" outlineLevel="1">
      <c r="A157" s="1098">
        <f t="shared" si="9"/>
        <v>58</v>
      </c>
      <c r="B157" s="1051" t="s">
        <v>3428</v>
      </c>
      <c r="C157" s="1066" t="s">
        <v>3342</v>
      </c>
      <c r="D157" s="1113" t="s">
        <v>122</v>
      </c>
      <c r="E157" s="1136"/>
      <c r="F157" s="1073" t="s">
        <v>3410</v>
      </c>
      <c r="G157" s="1035" t="s">
        <v>3454</v>
      </c>
      <c r="H157" s="1120"/>
      <c r="I157" s="1120">
        <v>293</v>
      </c>
      <c r="J157" s="1122">
        <v>0.3</v>
      </c>
      <c r="K157" s="1118">
        <f t="shared" si="10"/>
        <v>87.899999999999991</v>
      </c>
      <c r="L157" s="1030"/>
      <c r="M157" s="1030"/>
      <c r="N157" s="1030"/>
      <c r="O157" s="1030"/>
      <c r="P157" s="1030"/>
      <c r="Q157" s="1030"/>
      <c r="R157" s="1030"/>
      <c r="S157" s="1030"/>
      <c r="T157" s="1030"/>
      <c r="U157" s="1030"/>
      <c r="V157" s="1030"/>
      <c r="W157" s="1030"/>
      <c r="X157" s="1030"/>
      <c r="Y157" s="1030"/>
      <c r="Z157" s="1030"/>
    </row>
    <row r="158" spans="1:26" ht="12.75" customHeight="1" outlineLevel="1">
      <c r="A158" s="1098">
        <f t="shared" si="9"/>
        <v>59</v>
      </c>
      <c r="B158" s="1051" t="s">
        <v>3428</v>
      </c>
      <c r="C158" s="1066" t="s">
        <v>3342</v>
      </c>
      <c r="D158" s="1113" t="s">
        <v>122</v>
      </c>
      <c r="E158" s="1136"/>
      <c r="F158" s="1073" t="s">
        <v>3410</v>
      </c>
      <c r="G158" s="1035" t="s">
        <v>3455</v>
      </c>
      <c r="H158" s="1120"/>
      <c r="I158" s="1120">
        <v>470</v>
      </c>
      <c r="J158" s="1122">
        <v>0.3</v>
      </c>
      <c r="K158" s="1118">
        <f t="shared" si="10"/>
        <v>141</v>
      </c>
      <c r="L158" s="1030"/>
      <c r="M158" s="1030"/>
      <c r="N158" s="1030"/>
      <c r="O158" s="1030"/>
      <c r="P158" s="1030"/>
      <c r="Q158" s="1030"/>
      <c r="R158" s="1030"/>
      <c r="S158" s="1030"/>
      <c r="T158" s="1030"/>
      <c r="U158" s="1030"/>
      <c r="V158" s="1030"/>
      <c r="W158" s="1030"/>
      <c r="X158" s="1030"/>
      <c r="Y158" s="1030"/>
      <c r="Z158" s="1030"/>
    </row>
    <row r="159" spans="1:26" ht="12.75" customHeight="1" outlineLevel="1">
      <c r="A159" s="1098">
        <f t="shared" si="9"/>
        <v>60</v>
      </c>
      <c r="B159" s="1051" t="s">
        <v>3428</v>
      </c>
      <c r="C159" s="1066" t="s">
        <v>3342</v>
      </c>
      <c r="D159" s="1113" t="s">
        <v>122</v>
      </c>
      <c r="E159" s="1136"/>
      <c r="F159" s="1073" t="s">
        <v>3410</v>
      </c>
      <c r="G159" s="1035" t="s">
        <v>3456</v>
      </c>
      <c r="H159" s="1120"/>
      <c r="I159" s="1120">
        <v>312</v>
      </c>
      <c r="J159" s="1122">
        <v>0.3</v>
      </c>
      <c r="K159" s="1118">
        <f t="shared" si="10"/>
        <v>93.6</v>
      </c>
      <c r="L159" s="1030"/>
      <c r="M159" s="1030"/>
      <c r="N159" s="1030"/>
      <c r="O159" s="1030"/>
      <c r="P159" s="1030"/>
      <c r="Q159" s="1030"/>
      <c r="R159" s="1030"/>
      <c r="S159" s="1030"/>
      <c r="T159" s="1030"/>
      <c r="U159" s="1030"/>
      <c r="V159" s="1030"/>
      <c r="W159" s="1030"/>
      <c r="X159" s="1030"/>
      <c r="Y159" s="1030"/>
      <c r="Z159" s="1030"/>
    </row>
    <row r="160" spans="1:26" ht="12.75" customHeight="1" outlineLevel="1">
      <c r="A160" s="1098">
        <f t="shared" si="9"/>
        <v>61</v>
      </c>
      <c r="B160" s="1051" t="s">
        <v>3428</v>
      </c>
      <c r="C160" s="1066" t="s">
        <v>3342</v>
      </c>
      <c r="D160" s="1113" t="s">
        <v>122</v>
      </c>
      <c r="E160" s="1136"/>
      <c r="F160" s="1073" t="s">
        <v>3410</v>
      </c>
      <c r="G160" s="1035" t="s">
        <v>3457</v>
      </c>
      <c r="H160" s="1120"/>
      <c r="I160" s="1120">
        <f>280*2</f>
        <v>560</v>
      </c>
      <c r="J160" s="1122">
        <v>0.3</v>
      </c>
      <c r="K160" s="1118">
        <f t="shared" si="10"/>
        <v>168</v>
      </c>
      <c r="L160" s="1030"/>
      <c r="M160" s="1030"/>
      <c r="N160" s="1030"/>
      <c r="O160" s="1030"/>
      <c r="P160" s="1030"/>
      <c r="Q160" s="1030"/>
      <c r="R160" s="1030"/>
      <c r="S160" s="1030"/>
      <c r="T160" s="1030"/>
      <c r="U160" s="1030"/>
      <c r="V160" s="1030"/>
      <c r="W160" s="1030"/>
      <c r="X160" s="1030"/>
      <c r="Y160" s="1030"/>
      <c r="Z160" s="1030"/>
    </row>
    <row r="161" spans="1:26" ht="12.75" customHeight="1" outlineLevel="1">
      <c r="A161" s="1098">
        <f t="shared" si="9"/>
        <v>62</v>
      </c>
      <c r="B161" s="1051" t="s">
        <v>3428</v>
      </c>
      <c r="C161" s="1066" t="s">
        <v>3342</v>
      </c>
      <c r="D161" s="1113" t="s">
        <v>122</v>
      </c>
      <c r="E161" s="1136"/>
      <c r="F161" s="1073" t="s">
        <v>3410</v>
      </c>
      <c r="G161" s="1035" t="s">
        <v>3458</v>
      </c>
      <c r="H161" s="1035" t="s">
        <v>3459</v>
      </c>
      <c r="I161" s="1120"/>
      <c r="J161" s="1122"/>
      <c r="K161" s="1118">
        <v>29.61</v>
      </c>
      <c r="L161" s="1030"/>
      <c r="M161" s="1030"/>
      <c r="N161" s="1030"/>
      <c r="O161" s="1030"/>
      <c r="P161" s="1030"/>
      <c r="Q161" s="1030"/>
      <c r="R161" s="1030"/>
      <c r="S161" s="1030"/>
      <c r="T161" s="1030"/>
      <c r="U161" s="1030"/>
      <c r="V161" s="1030"/>
      <c r="W161" s="1030"/>
      <c r="X161" s="1030"/>
      <c r="Y161" s="1030"/>
      <c r="Z161" s="1030"/>
    </row>
    <row r="162" spans="1:26" ht="29.25" customHeight="1" outlineLevel="1">
      <c r="A162" s="1098">
        <f t="shared" si="9"/>
        <v>63</v>
      </c>
      <c r="B162" s="1051" t="s">
        <v>3428</v>
      </c>
      <c r="C162" s="1066" t="s">
        <v>3342</v>
      </c>
      <c r="D162" s="1113" t="s">
        <v>122</v>
      </c>
      <c r="E162" s="1136"/>
      <c r="F162" s="1073" t="s">
        <v>3410</v>
      </c>
      <c r="G162" s="1035" t="s">
        <v>3460</v>
      </c>
      <c r="H162" s="1035" t="s">
        <v>4726</v>
      </c>
      <c r="I162" s="1120"/>
      <c r="J162" s="1122"/>
      <c r="K162" s="1118">
        <f>500+123</f>
        <v>623</v>
      </c>
      <c r="L162" s="1030"/>
      <c r="M162" s="1030"/>
      <c r="N162" s="1030"/>
      <c r="O162" s="1030"/>
      <c r="P162" s="1030"/>
      <c r="Q162" s="1030"/>
      <c r="R162" s="1030"/>
      <c r="S162" s="1030"/>
      <c r="T162" s="1030"/>
      <c r="U162" s="1030"/>
      <c r="V162" s="1030"/>
      <c r="W162" s="1030"/>
      <c r="X162" s="1030"/>
      <c r="Y162" s="1030"/>
      <c r="Z162" s="1030"/>
    </row>
    <row r="163" spans="1:26" ht="12.75" customHeight="1" outlineLevel="1">
      <c r="A163" s="1098">
        <f t="shared" si="9"/>
        <v>64</v>
      </c>
      <c r="B163" s="1051" t="s">
        <v>3428</v>
      </c>
      <c r="C163" s="1066" t="s">
        <v>3342</v>
      </c>
      <c r="D163" s="1113" t="s">
        <v>122</v>
      </c>
      <c r="E163" s="1136"/>
      <c r="F163" s="1073" t="s">
        <v>3410</v>
      </c>
      <c r="G163" s="1035" t="s">
        <v>3507</v>
      </c>
      <c r="H163" s="1035" t="s">
        <v>4727</v>
      </c>
      <c r="I163" s="1120"/>
      <c r="J163" s="1122"/>
      <c r="K163" s="1118">
        <v>12.53</v>
      </c>
      <c r="L163" s="1030"/>
      <c r="M163" s="1030"/>
      <c r="N163" s="1030"/>
      <c r="O163" s="1030"/>
      <c r="P163" s="1030"/>
      <c r="Q163" s="1030"/>
      <c r="R163" s="1030"/>
      <c r="S163" s="1030"/>
      <c r="T163" s="1030"/>
      <c r="U163" s="1030"/>
      <c r="V163" s="1030"/>
      <c r="W163" s="1030"/>
      <c r="X163" s="1030"/>
      <c r="Y163" s="1030"/>
      <c r="Z163" s="1030"/>
    </row>
    <row r="164" spans="1:26" ht="60" customHeight="1" outlineLevel="1">
      <c r="A164" s="1098">
        <f t="shared" si="9"/>
        <v>65</v>
      </c>
      <c r="B164" s="1051" t="s">
        <v>3466</v>
      </c>
      <c r="C164" s="1066" t="s">
        <v>3342</v>
      </c>
      <c r="D164" s="1113" t="s">
        <v>122</v>
      </c>
      <c r="E164" s="1136"/>
      <c r="F164" s="1073" t="s">
        <v>3410</v>
      </c>
      <c r="G164" s="1035" t="s">
        <v>3584</v>
      </c>
      <c r="H164" s="1133" t="s">
        <v>4728</v>
      </c>
      <c r="I164" s="1138" t="s">
        <v>4729</v>
      </c>
      <c r="J164" s="1139"/>
      <c r="K164" s="1118">
        <f>3320.91+102+2488.18+6950+1230</f>
        <v>14091.09</v>
      </c>
      <c r="L164" s="1134"/>
      <c r="M164" s="1030"/>
      <c r="N164" s="1030"/>
      <c r="O164" s="1030"/>
      <c r="P164" s="1030"/>
      <c r="Q164" s="1030"/>
      <c r="R164" s="1030"/>
      <c r="S164" s="1030"/>
      <c r="T164" s="1030"/>
      <c r="U164" s="1030"/>
      <c r="V164" s="1030"/>
      <c r="W164" s="1030"/>
      <c r="X164" s="1030"/>
      <c r="Y164" s="1030"/>
      <c r="Z164" s="1030"/>
    </row>
    <row r="165" spans="1:26" ht="12.75" customHeight="1" outlineLevel="1">
      <c r="A165" s="1098">
        <f t="shared" si="9"/>
        <v>66</v>
      </c>
      <c r="B165" s="1051" t="s">
        <v>3470</v>
      </c>
      <c r="C165" s="1066" t="s">
        <v>3342</v>
      </c>
      <c r="D165" s="1113" t="s">
        <v>122</v>
      </c>
      <c r="E165" s="1136"/>
      <c r="F165" s="1073" t="s">
        <v>3410</v>
      </c>
      <c r="G165" s="1035" t="s">
        <v>3531</v>
      </c>
      <c r="H165" s="1035" t="s">
        <v>4730</v>
      </c>
      <c r="I165" s="1035"/>
      <c r="J165" s="1139"/>
      <c r="K165" s="1118">
        <v>1900</v>
      </c>
      <c r="L165" s="1030"/>
      <c r="M165" s="1030"/>
      <c r="N165" s="1030"/>
      <c r="O165" s="1030"/>
      <c r="P165" s="1030"/>
      <c r="Q165" s="1030"/>
      <c r="R165" s="1030"/>
      <c r="S165" s="1030"/>
      <c r="T165" s="1030"/>
      <c r="U165" s="1030"/>
      <c r="V165" s="1030"/>
      <c r="W165" s="1030"/>
      <c r="X165" s="1030"/>
      <c r="Y165" s="1030"/>
      <c r="Z165" s="1030"/>
    </row>
    <row r="166" spans="1:26" ht="25.5" customHeight="1" outlineLevel="1">
      <c r="A166" s="1098">
        <f t="shared" si="9"/>
        <v>67</v>
      </c>
      <c r="B166" s="1051" t="s">
        <v>3485</v>
      </c>
      <c r="C166" s="1066" t="s">
        <v>3342</v>
      </c>
      <c r="D166" s="1113" t="s">
        <v>122</v>
      </c>
      <c r="E166" s="1136"/>
      <c r="F166" s="1073" t="s">
        <v>3410</v>
      </c>
      <c r="G166" s="1035" t="s">
        <v>3510</v>
      </c>
      <c r="H166" s="1035" t="s">
        <v>4731</v>
      </c>
      <c r="I166" s="1035"/>
      <c r="J166" s="1139"/>
      <c r="K166" s="1118">
        <v>140</v>
      </c>
      <c r="L166" s="1134"/>
      <c r="M166" s="1030"/>
      <c r="N166" s="1030"/>
      <c r="O166" s="1030"/>
      <c r="P166" s="1030"/>
      <c r="Q166" s="1030"/>
      <c r="R166" s="1030"/>
      <c r="S166" s="1030"/>
      <c r="T166" s="1030"/>
      <c r="U166" s="1030"/>
      <c r="V166" s="1030"/>
      <c r="W166" s="1030"/>
      <c r="X166" s="1030"/>
      <c r="Y166" s="1030"/>
      <c r="Z166" s="1030"/>
    </row>
    <row r="167" spans="1:26" ht="52.5" customHeight="1" outlineLevel="1">
      <c r="A167" s="1098">
        <f t="shared" si="9"/>
        <v>68</v>
      </c>
      <c r="B167" s="1051" t="s">
        <v>3473</v>
      </c>
      <c r="C167" s="1066" t="s">
        <v>3342</v>
      </c>
      <c r="D167" s="1113" t="s">
        <v>122</v>
      </c>
      <c r="E167" s="1136"/>
      <c r="F167" s="1073" t="s">
        <v>3410</v>
      </c>
      <c r="G167" s="1035" t="s">
        <v>3588</v>
      </c>
      <c r="H167" s="1035" t="s">
        <v>3589</v>
      </c>
      <c r="I167" s="1035"/>
      <c r="J167" s="1139"/>
      <c r="K167" s="1118"/>
      <c r="L167" s="1134"/>
      <c r="M167" s="1030"/>
      <c r="N167" s="1030"/>
      <c r="O167" s="1030"/>
      <c r="P167" s="1030"/>
      <c r="Q167" s="1030"/>
      <c r="R167" s="1030"/>
      <c r="S167" s="1030"/>
      <c r="T167" s="1030"/>
      <c r="U167" s="1030"/>
      <c r="V167" s="1030"/>
      <c r="W167" s="1030"/>
      <c r="X167" s="1030"/>
      <c r="Y167" s="1030"/>
      <c r="Z167" s="1030"/>
    </row>
    <row r="168" spans="1:26" ht="25.5" outlineLevel="1">
      <c r="A168" s="1098">
        <f t="shared" si="9"/>
        <v>69</v>
      </c>
      <c r="B168" s="1051" t="s">
        <v>3473</v>
      </c>
      <c r="C168" s="1112" t="s">
        <v>3342</v>
      </c>
      <c r="D168" s="1113" t="s">
        <v>122</v>
      </c>
      <c r="E168" s="1114"/>
      <c r="F168" s="1073" t="s">
        <v>3410</v>
      </c>
      <c r="G168" s="1136" t="s">
        <v>3474</v>
      </c>
      <c r="H168" s="1035" t="s">
        <v>4732</v>
      </c>
      <c r="I168" s="1035"/>
      <c r="J168" s="1147"/>
      <c r="K168" s="1118">
        <v>1525.04</v>
      </c>
      <c r="L168" s="1103"/>
      <c r="M168" s="1103"/>
      <c r="N168" s="1103"/>
      <c r="O168" s="1103"/>
      <c r="P168" s="1103"/>
      <c r="Q168" s="1103"/>
      <c r="R168" s="1103"/>
      <c r="S168" s="1103"/>
      <c r="T168" s="1103"/>
      <c r="U168" s="1103"/>
      <c r="V168" s="1103"/>
      <c r="W168" s="1103"/>
      <c r="X168" s="1103"/>
      <c r="Y168" s="1103"/>
      <c r="Z168" s="1103"/>
    </row>
    <row r="169" spans="1:26" ht="25.5" outlineLevel="1">
      <c r="A169" s="1098">
        <f t="shared" si="9"/>
        <v>70</v>
      </c>
      <c r="B169" s="1051" t="s">
        <v>3473</v>
      </c>
      <c r="C169" s="1112" t="s">
        <v>3342</v>
      </c>
      <c r="D169" s="1113" t="s">
        <v>122</v>
      </c>
      <c r="E169" s="1114"/>
      <c r="F169" s="1073" t="s">
        <v>3410</v>
      </c>
      <c r="G169" s="1136" t="s">
        <v>3474</v>
      </c>
      <c r="H169" s="1035" t="s">
        <v>4733</v>
      </c>
      <c r="I169" s="1035" t="s">
        <v>4734</v>
      </c>
      <c r="J169" s="1147"/>
      <c r="K169" s="1118">
        <f>3.14+10.01+24.84+24.84</f>
        <v>62.83</v>
      </c>
      <c r="L169" s="1103"/>
      <c r="M169" s="1103"/>
      <c r="N169" s="1103"/>
      <c r="O169" s="1103"/>
      <c r="P169" s="1103"/>
      <c r="Q169" s="1103"/>
      <c r="R169" s="1103"/>
      <c r="S169" s="1103"/>
      <c r="T169" s="1103"/>
      <c r="U169" s="1103"/>
      <c r="V169" s="1103"/>
      <c r="W169" s="1103"/>
      <c r="X169" s="1103"/>
      <c r="Y169" s="1103"/>
      <c r="Z169" s="1103"/>
    </row>
    <row r="170" spans="1:26" ht="30.75" customHeight="1" outlineLevel="1">
      <c r="A170" s="1098">
        <f t="shared" si="9"/>
        <v>71</v>
      </c>
      <c r="B170" s="1051" t="s">
        <v>3462</v>
      </c>
      <c r="C170" s="1066" t="s">
        <v>3342</v>
      </c>
      <c r="D170" s="1113" t="s">
        <v>122</v>
      </c>
      <c r="E170" s="1136"/>
      <c r="F170" s="1073" t="s">
        <v>3410</v>
      </c>
      <c r="G170" s="1035" t="s">
        <v>3535</v>
      </c>
      <c r="H170" s="1035" t="s">
        <v>4735</v>
      </c>
      <c r="I170" s="1137" t="s">
        <v>4736</v>
      </c>
      <c r="J170" s="1035"/>
      <c r="K170" s="1118">
        <f>(7854/3)/200*152</f>
        <v>1989.68</v>
      </c>
      <c r="L170" s="1134"/>
      <c r="M170" s="1030"/>
      <c r="N170" s="1030"/>
      <c r="O170" s="1030"/>
      <c r="P170" s="1030"/>
      <c r="Q170" s="1030"/>
      <c r="R170" s="1030"/>
      <c r="S170" s="1030"/>
      <c r="T170" s="1030"/>
      <c r="U170" s="1030"/>
      <c r="V170" s="1030"/>
      <c r="W170" s="1030"/>
      <c r="X170" s="1030"/>
      <c r="Y170" s="1030"/>
      <c r="Z170" s="1030"/>
    </row>
    <row r="171" spans="1:26" ht="26.25" customHeight="1" outlineLevel="1">
      <c r="A171" s="1098">
        <f t="shared" si="9"/>
        <v>72</v>
      </c>
      <c r="B171" s="1051" t="s">
        <v>3485</v>
      </c>
      <c r="C171" s="1066" t="s">
        <v>3342</v>
      </c>
      <c r="D171" s="1113" t="s">
        <v>122</v>
      </c>
      <c r="E171" s="1136"/>
      <c r="F171" s="1073" t="s">
        <v>3410</v>
      </c>
      <c r="G171" s="1035" t="s">
        <v>3596</v>
      </c>
      <c r="H171" s="1196" t="s">
        <v>4737</v>
      </c>
      <c r="I171" s="1035"/>
      <c r="J171" s="1139"/>
      <c r="K171" s="1118">
        <v>195.02</v>
      </c>
      <c r="L171" s="1134"/>
      <c r="M171" s="1030"/>
      <c r="N171" s="1030"/>
      <c r="O171" s="1030"/>
      <c r="P171" s="1030"/>
      <c r="Q171" s="1030"/>
      <c r="R171" s="1030"/>
      <c r="S171" s="1030"/>
      <c r="T171" s="1030"/>
      <c r="U171" s="1030"/>
      <c r="V171" s="1030"/>
      <c r="W171" s="1030"/>
      <c r="X171" s="1030"/>
      <c r="Y171" s="1030"/>
      <c r="Z171" s="1030"/>
    </row>
    <row r="172" spans="1:26" ht="25.5" outlineLevel="1">
      <c r="A172" s="1098">
        <f t="shared" si="9"/>
        <v>73</v>
      </c>
      <c r="B172" s="1051" t="s">
        <v>3485</v>
      </c>
      <c r="C172" s="1066" t="s">
        <v>3342</v>
      </c>
      <c r="D172" s="1113" t="s">
        <v>122</v>
      </c>
      <c r="E172" s="1136"/>
      <c r="F172" s="1073" t="s">
        <v>3410</v>
      </c>
      <c r="G172" s="1035" t="s">
        <v>3495</v>
      </c>
      <c r="H172" s="1035" t="s">
        <v>3494</v>
      </c>
      <c r="I172" s="1139" t="s">
        <v>4738</v>
      </c>
      <c r="J172" s="1139"/>
      <c r="K172" s="1118">
        <f>2.9+2.9+18.15</f>
        <v>23.95</v>
      </c>
      <c r="L172" s="1134"/>
      <c r="M172" s="1030"/>
      <c r="N172" s="1030"/>
      <c r="O172" s="1030"/>
      <c r="P172" s="1030"/>
      <c r="Q172" s="1030"/>
      <c r="R172" s="1030"/>
      <c r="S172" s="1030"/>
      <c r="T172" s="1030"/>
      <c r="U172" s="1030"/>
      <c r="V172" s="1030"/>
      <c r="W172" s="1030"/>
      <c r="X172" s="1030"/>
      <c r="Y172" s="1030"/>
      <c r="Z172" s="1030"/>
    </row>
    <row r="173" spans="1:26" ht="12.75" customHeight="1">
      <c r="A173" s="1098">
        <f>A171+1</f>
        <v>73</v>
      </c>
      <c r="B173" s="1051" t="s">
        <v>3428</v>
      </c>
      <c r="C173" s="1066" t="s">
        <v>3342</v>
      </c>
      <c r="D173" s="1113" t="s">
        <v>122</v>
      </c>
      <c r="E173" s="1152"/>
      <c r="F173" s="1463" t="s">
        <v>3414</v>
      </c>
      <c r="G173" s="1035" t="s">
        <v>3429</v>
      </c>
      <c r="H173" s="1114"/>
      <c r="I173" s="1120">
        <v>100</v>
      </c>
      <c r="J173" s="1117">
        <v>0.3</v>
      </c>
      <c r="K173" s="1464">
        <f t="shared" ref="K173:K197" si="11">I173*J173</f>
        <v>30</v>
      </c>
      <c r="L173" s="1030"/>
      <c r="M173" s="1030"/>
      <c r="N173" s="1030"/>
      <c r="O173" s="1030"/>
      <c r="P173" s="1030"/>
      <c r="Q173" s="1030"/>
      <c r="R173" s="1030"/>
      <c r="S173" s="1030"/>
      <c r="T173" s="1030"/>
      <c r="U173" s="1030"/>
      <c r="V173" s="1030"/>
      <c r="W173" s="1030"/>
      <c r="X173" s="1030"/>
      <c r="Y173" s="1030"/>
      <c r="Z173" s="1030"/>
    </row>
    <row r="174" spans="1:26" ht="12.75" customHeight="1">
      <c r="A174" s="1098">
        <f t="shared" ref="A174:A202" si="12">A173+1</f>
        <v>74</v>
      </c>
      <c r="B174" s="1051" t="s">
        <v>3428</v>
      </c>
      <c r="C174" s="1066" t="s">
        <v>3342</v>
      </c>
      <c r="D174" s="1113" t="s">
        <v>122</v>
      </c>
      <c r="E174" s="1152"/>
      <c r="F174" s="1073" t="s">
        <v>3414</v>
      </c>
      <c r="G174" s="1035" t="s">
        <v>3431</v>
      </c>
      <c r="H174" s="1120"/>
      <c r="I174" s="1120">
        <v>0</v>
      </c>
      <c r="J174" s="1122">
        <v>0.3</v>
      </c>
      <c r="K174" s="1464">
        <f t="shared" si="11"/>
        <v>0</v>
      </c>
      <c r="L174" s="1030"/>
      <c r="M174" s="1030"/>
      <c r="N174" s="1030"/>
      <c r="O174" s="1030"/>
      <c r="P174" s="1030"/>
      <c r="Q174" s="1030"/>
      <c r="R174" s="1030"/>
      <c r="S174" s="1030"/>
      <c r="T174" s="1030"/>
      <c r="U174" s="1030"/>
      <c r="V174" s="1030"/>
      <c r="W174" s="1030"/>
      <c r="X174" s="1030"/>
      <c r="Y174" s="1030"/>
      <c r="Z174" s="1030"/>
    </row>
    <row r="175" spans="1:26" ht="12.75" customHeight="1">
      <c r="A175" s="1098">
        <f t="shared" si="12"/>
        <v>75</v>
      </c>
      <c r="B175" s="1051" t="s">
        <v>3428</v>
      </c>
      <c r="C175" s="1066" t="s">
        <v>3342</v>
      </c>
      <c r="D175" s="1113" t="s">
        <v>122</v>
      </c>
      <c r="E175" s="1152"/>
      <c r="F175" s="1073" t="s">
        <v>3414</v>
      </c>
      <c r="G175" s="1035" t="s">
        <v>3433</v>
      </c>
      <c r="H175" s="1120"/>
      <c r="I175" s="1120">
        <f>166*2</f>
        <v>332</v>
      </c>
      <c r="J175" s="1122">
        <v>0.3</v>
      </c>
      <c r="K175" s="1464">
        <f t="shared" si="11"/>
        <v>99.6</v>
      </c>
      <c r="L175" s="1030"/>
      <c r="M175" s="1030"/>
      <c r="N175" s="1030"/>
      <c r="O175" s="1030"/>
      <c r="P175" s="1030"/>
      <c r="Q175" s="1030"/>
      <c r="R175" s="1030"/>
      <c r="S175" s="1030"/>
      <c r="T175" s="1030"/>
      <c r="U175" s="1030"/>
      <c r="V175" s="1030"/>
      <c r="W175" s="1030"/>
      <c r="X175" s="1030"/>
      <c r="Y175" s="1030"/>
      <c r="Z175" s="1030"/>
    </row>
    <row r="176" spans="1:26" ht="12.75" customHeight="1">
      <c r="A176" s="1098">
        <f t="shared" si="12"/>
        <v>76</v>
      </c>
      <c r="B176" s="1051" t="s">
        <v>3428</v>
      </c>
      <c r="C176" s="1066" t="s">
        <v>3342</v>
      </c>
      <c r="D176" s="1113" t="s">
        <v>122</v>
      </c>
      <c r="E176" s="1153"/>
      <c r="F176" s="1073" t="s">
        <v>3414</v>
      </c>
      <c r="G176" s="1035" t="s">
        <v>3436</v>
      </c>
      <c r="H176" s="1120"/>
      <c r="I176" s="1120">
        <v>184</v>
      </c>
      <c r="J176" s="1122">
        <v>0.3</v>
      </c>
      <c r="K176" s="1464">
        <f t="shared" si="11"/>
        <v>55.199999999999996</v>
      </c>
      <c r="L176" s="1030"/>
      <c r="M176" s="1030"/>
      <c r="N176" s="1030"/>
      <c r="O176" s="1030"/>
      <c r="P176" s="1030"/>
      <c r="Q176" s="1030"/>
      <c r="R176" s="1030"/>
      <c r="S176" s="1030"/>
      <c r="T176" s="1030"/>
      <c r="U176" s="1030"/>
      <c r="V176" s="1030"/>
      <c r="W176" s="1030"/>
      <c r="X176" s="1030"/>
      <c r="Y176" s="1030"/>
      <c r="Z176" s="1030"/>
    </row>
    <row r="177" spans="1:26" ht="12.75" customHeight="1">
      <c r="A177" s="1098">
        <f t="shared" si="12"/>
        <v>77</v>
      </c>
      <c r="B177" s="1051" t="s">
        <v>3428</v>
      </c>
      <c r="C177" s="1066" t="s">
        <v>3342</v>
      </c>
      <c r="D177" s="1113" t="s">
        <v>122</v>
      </c>
      <c r="E177" s="1153"/>
      <c r="F177" s="1073" t="s">
        <v>3414</v>
      </c>
      <c r="G177" s="1035" t="s">
        <v>3522</v>
      </c>
      <c r="H177" s="1120"/>
      <c r="I177" s="1120">
        <v>0</v>
      </c>
      <c r="J177" s="1122">
        <v>0</v>
      </c>
      <c r="K177" s="1464">
        <f t="shared" si="11"/>
        <v>0</v>
      </c>
      <c r="L177" s="1030"/>
      <c r="M177" s="1030"/>
      <c r="N177" s="1030"/>
      <c r="O177" s="1030"/>
      <c r="P177" s="1030"/>
      <c r="Q177" s="1030"/>
      <c r="R177" s="1030"/>
      <c r="S177" s="1030"/>
      <c r="T177" s="1030"/>
      <c r="U177" s="1030"/>
      <c r="V177" s="1030"/>
      <c r="W177" s="1030"/>
      <c r="X177" s="1030"/>
      <c r="Y177" s="1030"/>
      <c r="Z177" s="1030"/>
    </row>
    <row r="178" spans="1:26" ht="12.75" customHeight="1">
      <c r="A178" s="1098">
        <f t="shared" si="12"/>
        <v>78</v>
      </c>
      <c r="B178" s="1051" t="s">
        <v>3428</v>
      </c>
      <c r="C178" s="1066" t="s">
        <v>3342</v>
      </c>
      <c r="D178" s="1113" t="s">
        <v>122</v>
      </c>
      <c r="E178" s="1152"/>
      <c r="F178" s="1073" t="s">
        <v>3414</v>
      </c>
      <c r="G178" s="1035" t="s">
        <v>3523</v>
      </c>
      <c r="H178" s="1120"/>
      <c r="I178" s="1120">
        <v>280</v>
      </c>
      <c r="J178" s="1122">
        <v>0.3</v>
      </c>
      <c r="K178" s="1464">
        <f t="shared" si="11"/>
        <v>84</v>
      </c>
      <c r="L178" s="1030"/>
      <c r="M178" s="1030"/>
      <c r="N178" s="1030"/>
      <c r="O178" s="1030"/>
      <c r="P178" s="1030"/>
      <c r="Q178" s="1030"/>
      <c r="R178" s="1030"/>
      <c r="S178" s="1030"/>
      <c r="T178" s="1030"/>
      <c r="U178" s="1030"/>
      <c r="V178" s="1030"/>
      <c r="W178" s="1030"/>
      <c r="X178" s="1030"/>
      <c r="Y178" s="1030"/>
      <c r="Z178" s="1030"/>
    </row>
    <row r="179" spans="1:26" ht="12.75" customHeight="1">
      <c r="A179" s="1098">
        <f t="shared" si="12"/>
        <v>79</v>
      </c>
      <c r="B179" s="1051" t="s">
        <v>3428</v>
      </c>
      <c r="C179" s="1066" t="s">
        <v>3342</v>
      </c>
      <c r="D179" s="1113" t="s">
        <v>122</v>
      </c>
      <c r="E179" s="1152"/>
      <c r="F179" s="1073" t="s">
        <v>3414</v>
      </c>
      <c r="G179" s="1035" t="s">
        <v>3439</v>
      </c>
      <c r="H179" s="1120"/>
      <c r="I179" s="1120">
        <v>364</v>
      </c>
      <c r="J179" s="1122">
        <v>0.3</v>
      </c>
      <c r="K179" s="1464">
        <f t="shared" si="11"/>
        <v>109.2</v>
      </c>
      <c r="L179" s="1030"/>
      <c r="M179" s="1030"/>
      <c r="N179" s="1030"/>
      <c r="O179" s="1030"/>
      <c r="P179" s="1030"/>
      <c r="Q179" s="1030"/>
      <c r="R179" s="1030"/>
      <c r="S179" s="1030"/>
      <c r="T179" s="1030"/>
      <c r="U179" s="1030"/>
      <c r="V179" s="1030"/>
      <c r="W179" s="1030"/>
      <c r="X179" s="1030"/>
      <c r="Y179" s="1030"/>
      <c r="Z179" s="1030"/>
    </row>
    <row r="180" spans="1:26" ht="12.75" customHeight="1">
      <c r="A180" s="1098">
        <f t="shared" si="12"/>
        <v>80</v>
      </c>
      <c r="B180" s="1051" t="s">
        <v>3428</v>
      </c>
      <c r="C180" s="1066" t="s">
        <v>3342</v>
      </c>
      <c r="D180" s="1113" t="s">
        <v>122</v>
      </c>
      <c r="E180" s="1152"/>
      <c r="F180" s="1073" t="s">
        <v>3414</v>
      </c>
      <c r="G180" s="1035" t="s">
        <v>3440</v>
      </c>
      <c r="H180" s="1120"/>
      <c r="I180" s="1120">
        <v>0</v>
      </c>
      <c r="J180" s="1122">
        <v>0.3</v>
      </c>
      <c r="K180" s="1464">
        <f t="shared" si="11"/>
        <v>0</v>
      </c>
      <c r="L180" s="1030"/>
      <c r="M180" s="1030"/>
      <c r="N180" s="1030"/>
      <c r="O180" s="1030"/>
      <c r="P180" s="1030"/>
      <c r="Q180" s="1030"/>
      <c r="R180" s="1030"/>
      <c r="S180" s="1030"/>
      <c r="T180" s="1030"/>
      <c r="U180" s="1030"/>
      <c r="V180" s="1030"/>
      <c r="W180" s="1030"/>
      <c r="X180" s="1030"/>
      <c r="Y180" s="1030"/>
      <c r="Z180" s="1030"/>
    </row>
    <row r="181" spans="1:26" ht="12.75" customHeight="1">
      <c r="A181" s="1098">
        <f t="shared" si="12"/>
        <v>81</v>
      </c>
      <c r="B181" s="1051" t="s">
        <v>3428</v>
      </c>
      <c r="C181" s="1066" t="s">
        <v>3342</v>
      </c>
      <c r="D181" s="1113" t="s">
        <v>122</v>
      </c>
      <c r="E181" s="1152"/>
      <c r="F181" s="1073" t="s">
        <v>3414</v>
      </c>
      <c r="G181" s="1035" t="s">
        <v>3441</v>
      </c>
      <c r="H181" s="1120"/>
      <c r="I181" s="1120">
        <v>0</v>
      </c>
      <c r="J181" s="1122">
        <v>0.3</v>
      </c>
      <c r="K181" s="1118">
        <f t="shared" si="11"/>
        <v>0</v>
      </c>
      <c r="L181" s="1030"/>
      <c r="M181" s="1030"/>
      <c r="N181" s="1030"/>
      <c r="O181" s="1030"/>
      <c r="P181" s="1030"/>
      <c r="Q181" s="1030"/>
      <c r="R181" s="1030"/>
      <c r="S181" s="1030"/>
      <c r="T181" s="1030"/>
      <c r="U181" s="1030"/>
      <c r="V181" s="1030"/>
      <c r="W181" s="1030"/>
      <c r="X181" s="1030"/>
      <c r="Y181" s="1030"/>
      <c r="Z181" s="1030"/>
    </row>
    <row r="182" spans="1:26" ht="12.75" customHeight="1">
      <c r="A182" s="1098">
        <f t="shared" si="12"/>
        <v>82</v>
      </c>
      <c r="B182" s="1051" t="s">
        <v>3428</v>
      </c>
      <c r="C182" s="1066" t="s">
        <v>3342</v>
      </c>
      <c r="D182" s="1113" t="s">
        <v>122</v>
      </c>
      <c r="E182" s="1152"/>
      <c r="F182" s="1073" t="s">
        <v>3414</v>
      </c>
      <c r="G182" s="1035" t="s">
        <v>3442</v>
      </c>
      <c r="H182" s="1120"/>
      <c r="I182" s="1120">
        <v>626</v>
      </c>
      <c r="J182" s="1122">
        <v>0.3</v>
      </c>
      <c r="K182" s="1464">
        <f t="shared" si="11"/>
        <v>187.79999999999998</v>
      </c>
      <c r="L182" s="1030"/>
      <c r="M182" s="1030"/>
      <c r="N182" s="1030"/>
      <c r="O182" s="1030"/>
      <c r="P182" s="1030"/>
      <c r="Q182" s="1030"/>
      <c r="R182" s="1030"/>
      <c r="S182" s="1030"/>
      <c r="T182" s="1030"/>
      <c r="U182" s="1030"/>
      <c r="V182" s="1030"/>
      <c r="W182" s="1030"/>
      <c r="X182" s="1030"/>
      <c r="Y182" s="1030"/>
      <c r="Z182" s="1030"/>
    </row>
    <row r="183" spans="1:26" ht="12.75" customHeight="1">
      <c r="A183" s="1098">
        <f t="shared" si="12"/>
        <v>83</v>
      </c>
      <c r="B183" s="1051" t="s">
        <v>3428</v>
      </c>
      <c r="C183" s="1066" t="s">
        <v>3342</v>
      </c>
      <c r="D183" s="1113" t="s">
        <v>122</v>
      </c>
      <c r="E183" s="1136"/>
      <c r="F183" s="1073" t="s">
        <v>3414</v>
      </c>
      <c r="G183" s="1035" t="s">
        <v>3443</v>
      </c>
      <c r="H183" s="1120"/>
      <c r="I183" s="1120">
        <f>250*2</f>
        <v>500</v>
      </c>
      <c r="J183" s="1122">
        <v>0.3</v>
      </c>
      <c r="K183" s="1464">
        <f t="shared" si="11"/>
        <v>150</v>
      </c>
      <c r="L183" s="1030"/>
      <c r="M183" s="1030"/>
      <c r="N183" s="1030"/>
      <c r="O183" s="1030"/>
      <c r="P183" s="1030"/>
      <c r="Q183" s="1030"/>
      <c r="R183" s="1030"/>
      <c r="S183" s="1030"/>
      <c r="T183" s="1030"/>
      <c r="U183" s="1030"/>
      <c r="V183" s="1030"/>
      <c r="W183" s="1030"/>
      <c r="X183" s="1030"/>
      <c r="Y183" s="1030"/>
      <c r="Z183" s="1030"/>
    </row>
    <row r="184" spans="1:26" ht="12.75" customHeight="1">
      <c r="A184" s="1098">
        <f t="shared" si="12"/>
        <v>84</v>
      </c>
      <c r="B184" s="1051" t="s">
        <v>3428</v>
      </c>
      <c r="C184" s="1066" t="s">
        <v>3342</v>
      </c>
      <c r="D184" s="1113" t="s">
        <v>122</v>
      </c>
      <c r="E184" s="1136"/>
      <c r="F184" s="1073" t="s">
        <v>3414</v>
      </c>
      <c r="G184" s="1035" t="s">
        <v>3565</v>
      </c>
      <c r="H184" s="1120"/>
      <c r="I184" s="1120">
        <v>0</v>
      </c>
      <c r="J184" s="1122">
        <v>0.3</v>
      </c>
      <c r="K184" s="1118">
        <f t="shared" si="11"/>
        <v>0</v>
      </c>
      <c r="L184" s="1030"/>
      <c r="M184" s="1030"/>
      <c r="N184" s="1030"/>
      <c r="O184" s="1030"/>
      <c r="P184" s="1030"/>
      <c r="Q184" s="1030"/>
      <c r="R184" s="1030"/>
      <c r="S184" s="1030"/>
      <c r="T184" s="1030"/>
      <c r="U184" s="1030"/>
      <c r="V184" s="1030"/>
      <c r="W184" s="1030"/>
      <c r="X184" s="1030"/>
      <c r="Y184" s="1030"/>
      <c r="Z184" s="1030"/>
    </row>
    <row r="185" spans="1:26" ht="12.75" customHeight="1">
      <c r="A185" s="1098">
        <f t="shared" si="12"/>
        <v>85</v>
      </c>
      <c r="B185" s="1051" t="s">
        <v>3428</v>
      </c>
      <c r="C185" s="1066" t="s">
        <v>3342</v>
      </c>
      <c r="D185" s="1113" t="s">
        <v>122</v>
      </c>
      <c r="E185" s="1136"/>
      <c r="F185" s="1073" t="s">
        <v>3414</v>
      </c>
      <c r="G185" s="1035" t="s">
        <v>3444</v>
      </c>
      <c r="H185" s="1120"/>
      <c r="I185" s="1120">
        <v>286</v>
      </c>
      <c r="J185" s="1122">
        <v>0.3</v>
      </c>
      <c r="K185" s="1464">
        <f t="shared" si="11"/>
        <v>85.8</v>
      </c>
      <c r="L185" s="1030"/>
      <c r="M185" s="1030"/>
      <c r="N185" s="1030"/>
      <c r="O185" s="1030"/>
      <c r="P185" s="1030"/>
      <c r="Q185" s="1030"/>
      <c r="R185" s="1030"/>
      <c r="S185" s="1030"/>
      <c r="T185" s="1030"/>
      <c r="U185" s="1030"/>
      <c r="V185" s="1030"/>
      <c r="W185" s="1030"/>
      <c r="X185" s="1030"/>
      <c r="Y185" s="1030"/>
      <c r="Z185" s="1030"/>
    </row>
    <row r="186" spans="1:26" ht="12.75" customHeight="1">
      <c r="A186" s="1098">
        <f t="shared" si="12"/>
        <v>86</v>
      </c>
      <c r="B186" s="1051" t="s">
        <v>3428</v>
      </c>
      <c r="C186" s="1066" t="s">
        <v>3342</v>
      </c>
      <c r="D186" s="1113" t="s">
        <v>122</v>
      </c>
      <c r="E186" s="1136"/>
      <c r="F186" s="1073" t="s">
        <v>3414</v>
      </c>
      <c r="G186" s="1035" t="s">
        <v>3446</v>
      </c>
      <c r="H186" s="1120"/>
      <c r="I186" s="1120">
        <v>235</v>
      </c>
      <c r="J186" s="1122">
        <v>0.3</v>
      </c>
      <c r="K186" s="1464">
        <f t="shared" si="11"/>
        <v>70.5</v>
      </c>
      <c r="L186" s="1030"/>
      <c r="M186" s="1030"/>
      <c r="N186" s="1030"/>
      <c r="O186" s="1030"/>
      <c r="P186" s="1030"/>
      <c r="Q186" s="1030"/>
      <c r="R186" s="1030"/>
      <c r="S186" s="1030"/>
      <c r="T186" s="1030"/>
      <c r="U186" s="1030"/>
      <c r="V186" s="1030"/>
      <c r="W186" s="1030"/>
      <c r="X186" s="1030"/>
      <c r="Y186" s="1030"/>
      <c r="Z186" s="1030"/>
    </row>
    <row r="187" spans="1:26" ht="12.75" customHeight="1">
      <c r="A187" s="1098">
        <f t="shared" si="12"/>
        <v>87</v>
      </c>
      <c r="B187" s="1051" t="s">
        <v>3428</v>
      </c>
      <c r="C187" s="1066" t="s">
        <v>3342</v>
      </c>
      <c r="D187" s="1113" t="s">
        <v>122</v>
      </c>
      <c r="E187" s="1136"/>
      <c r="F187" s="1073" t="s">
        <v>3414</v>
      </c>
      <c r="G187" s="1035" t="s">
        <v>3447</v>
      </c>
      <c r="H187" s="1120"/>
      <c r="I187" s="1120">
        <v>0</v>
      </c>
      <c r="J187" s="1122">
        <v>0.3</v>
      </c>
      <c r="K187" s="1464">
        <f t="shared" si="11"/>
        <v>0</v>
      </c>
      <c r="L187" s="1030"/>
      <c r="M187" s="1030"/>
      <c r="N187" s="1030"/>
      <c r="O187" s="1030"/>
      <c r="P187" s="1030"/>
      <c r="Q187" s="1030"/>
      <c r="R187" s="1030"/>
      <c r="S187" s="1030"/>
      <c r="T187" s="1030"/>
      <c r="U187" s="1030"/>
      <c r="V187" s="1030"/>
      <c r="W187" s="1030"/>
      <c r="X187" s="1030"/>
      <c r="Y187" s="1030"/>
      <c r="Z187" s="1030"/>
    </row>
    <row r="188" spans="1:26" ht="12.75" customHeight="1">
      <c r="A188" s="1098">
        <f t="shared" si="12"/>
        <v>88</v>
      </c>
      <c r="B188" s="1051" t="s">
        <v>3428</v>
      </c>
      <c r="C188" s="1066" t="s">
        <v>3342</v>
      </c>
      <c r="D188" s="1113" t="s">
        <v>122</v>
      </c>
      <c r="E188" s="1136"/>
      <c r="F188" s="1073" t="s">
        <v>3414</v>
      </c>
      <c r="G188" s="1035" t="s">
        <v>3448</v>
      </c>
      <c r="H188" s="1120"/>
      <c r="I188" s="1120">
        <v>608</v>
      </c>
      <c r="J188" s="1122">
        <v>0.3</v>
      </c>
      <c r="K188" s="1464">
        <f t="shared" si="11"/>
        <v>182.4</v>
      </c>
      <c r="L188" s="1030"/>
      <c r="M188" s="1030"/>
      <c r="N188" s="1030"/>
      <c r="O188" s="1030"/>
      <c r="P188" s="1030"/>
      <c r="Q188" s="1030"/>
      <c r="R188" s="1030"/>
      <c r="S188" s="1030"/>
      <c r="T188" s="1030"/>
      <c r="U188" s="1030"/>
      <c r="V188" s="1030"/>
      <c r="W188" s="1030"/>
      <c r="X188" s="1030"/>
      <c r="Y188" s="1030"/>
      <c r="Z188" s="1030"/>
    </row>
    <row r="189" spans="1:26" ht="12.75" customHeight="1">
      <c r="A189" s="1098">
        <f t="shared" si="12"/>
        <v>89</v>
      </c>
      <c r="B189" s="1051" t="s">
        <v>3428</v>
      </c>
      <c r="C189" s="1066" t="s">
        <v>3342</v>
      </c>
      <c r="D189" s="1113" t="s">
        <v>122</v>
      </c>
      <c r="E189" s="1136"/>
      <c r="F189" s="1073" t="s">
        <v>3414</v>
      </c>
      <c r="G189" s="1035" t="s">
        <v>3449</v>
      </c>
      <c r="H189" s="1120"/>
      <c r="I189" s="1120">
        <f>2*88</f>
        <v>176</v>
      </c>
      <c r="J189" s="1122">
        <v>0.3</v>
      </c>
      <c r="K189" s="1464">
        <f t="shared" si="11"/>
        <v>52.8</v>
      </c>
      <c r="L189" s="1030"/>
      <c r="M189" s="1030"/>
      <c r="N189" s="1030"/>
      <c r="O189" s="1030"/>
      <c r="P189" s="1030"/>
      <c r="Q189" s="1030"/>
      <c r="R189" s="1030"/>
      <c r="S189" s="1030"/>
      <c r="T189" s="1030"/>
      <c r="U189" s="1030"/>
      <c r="V189" s="1030"/>
      <c r="W189" s="1030"/>
      <c r="X189" s="1030"/>
      <c r="Y189" s="1030"/>
      <c r="Z189" s="1030"/>
    </row>
    <row r="190" spans="1:26" ht="12.75" customHeight="1">
      <c r="A190" s="1098">
        <f t="shared" si="12"/>
        <v>90</v>
      </c>
      <c r="B190" s="1051" t="s">
        <v>3428</v>
      </c>
      <c r="C190" s="1066" t="s">
        <v>3342</v>
      </c>
      <c r="D190" s="1113" t="s">
        <v>122</v>
      </c>
      <c r="E190" s="1136"/>
      <c r="F190" s="1073" t="s">
        <v>3414</v>
      </c>
      <c r="G190" s="1035" t="s">
        <v>3450</v>
      </c>
      <c r="H190" s="1120"/>
      <c r="I190" s="1120">
        <f>81*2</f>
        <v>162</v>
      </c>
      <c r="J190" s="1122">
        <v>0.3</v>
      </c>
      <c r="K190" s="1464">
        <f t="shared" si="11"/>
        <v>48.6</v>
      </c>
      <c r="L190" s="1030"/>
      <c r="M190" s="1030"/>
      <c r="N190" s="1030"/>
      <c r="O190" s="1030"/>
      <c r="P190" s="1030"/>
      <c r="Q190" s="1030"/>
      <c r="R190" s="1030"/>
      <c r="S190" s="1030"/>
      <c r="T190" s="1030"/>
      <c r="U190" s="1030"/>
      <c r="V190" s="1030"/>
      <c r="W190" s="1030"/>
      <c r="X190" s="1030"/>
      <c r="Y190" s="1030"/>
      <c r="Z190" s="1030"/>
    </row>
    <row r="191" spans="1:26" ht="12.75" customHeight="1">
      <c r="A191" s="1098">
        <f t="shared" si="12"/>
        <v>91</v>
      </c>
      <c r="B191" s="1051" t="s">
        <v>3428</v>
      </c>
      <c r="C191" s="1066" t="s">
        <v>3342</v>
      </c>
      <c r="D191" s="1113" t="s">
        <v>122</v>
      </c>
      <c r="E191" s="1136"/>
      <c r="F191" s="1073" t="s">
        <v>3414</v>
      </c>
      <c r="G191" s="1035" t="s">
        <v>3451</v>
      </c>
      <c r="H191" s="1120"/>
      <c r="I191" s="1120">
        <v>0</v>
      </c>
      <c r="J191" s="1122">
        <v>0.3</v>
      </c>
      <c r="K191" s="1118">
        <f t="shared" si="11"/>
        <v>0</v>
      </c>
      <c r="L191" s="1030"/>
      <c r="M191" s="1030"/>
      <c r="N191" s="1030"/>
      <c r="O191" s="1030"/>
      <c r="P191" s="1030"/>
      <c r="Q191" s="1030"/>
      <c r="R191" s="1030"/>
      <c r="S191" s="1030"/>
      <c r="T191" s="1030"/>
      <c r="U191" s="1030"/>
      <c r="V191" s="1030"/>
      <c r="W191" s="1030"/>
      <c r="X191" s="1030"/>
      <c r="Y191" s="1030"/>
      <c r="Z191" s="1030"/>
    </row>
    <row r="192" spans="1:26" ht="12.75" customHeight="1">
      <c r="A192" s="1098">
        <f t="shared" si="12"/>
        <v>92</v>
      </c>
      <c r="B192" s="1051" t="s">
        <v>3428</v>
      </c>
      <c r="C192" s="1066" t="s">
        <v>3342</v>
      </c>
      <c r="D192" s="1113" t="s">
        <v>122</v>
      </c>
      <c r="E192" s="1136"/>
      <c r="F192" s="1073" t="s">
        <v>3414</v>
      </c>
      <c r="G192" s="1035" t="s">
        <v>3452</v>
      </c>
      <c r="H192" s="1120"/>
      <c r="I192" s="1120">
        <f>190+135</f>
        <v>325</v>
      </c>
      <c r="J192" s="1122">
        <v>0.3</v>
      </c>
      <c r="K192" s="1464">
        <f t="shared" si="11"/>
        <v>97.5</v>
      </c>
      <c r="L192" s="1030"/>
      <c r="M192" s="1030"/>
      <c r="N192" s="1030"/>
      <c r="O192" s="1030"/>
      <c r="P192" s="1030"/>
      <c r="Q192" s="1030"/>
      <c r="R192" s="1030"/>
      <c r="S192" s="1030"/>
      <c r="T192" s="1030"/>
      <c r="U192" s="1030"/>
      <c r="V192" s="1030"/>
      <c r="W192" s="1030"/>
      <c r="X192" s="1030"/>
      <c r="Y192" s="1030"/>
      <c r="Z192" s="1030"/>
    </row>
    <row r="193" spans="1:26" ht="12.75" customHeight="1">
      <c r="A193" s="1098">
        <f t="shared" si="12"/>
        <v>93</v>
      </c>
      <c r="B193" s="1051" t="s">
        <v>3428</v>
      </c>
      <c r="C193" s="1066" t="s">
        <v>3342</v>
      </c>
      <c r="D193" s="1113" t="s">
        <v>122</v>
      </c>
      <c r="E193" s="1136"/>
      <c r="F193" s="1073" t="s">
        <v>3414</v>
      </c>
      <c r="G193" s="1035" t="s">
        <v>3453</v>
      </c>
      <c r="H193" s="1120"/>
      <c r="I193" s="1120">
        <v>260</v>
      </c>
      <c r="J193" s="1122">
        <v>0.3</v>
      </c>
      <c r="K193" s="1464">
        <f t="shared" si="11"/>
        <v>78</v>
      </c>
      <c r="L193" s="1030"/>
      <c r="M193" s="1030"/>
      <c r="N193" s="1030"/>
      <c r="O193" s="1030"/>
      <c r="P193" s="1030"/>
      <c r="Q193" s="1030"/>
      <c r="R193" s="1030"/>
      <c r="S193" s="1030"/>
      <c r="T193" s="1030"/>
      <c r="U193" s="1030"/>
      <c r="V193" s="1030"/>
      <c r="W193" s="1030"/>
      <c r="X193" s="1030"/>
      <c r="Y193" s="1030"/>
      <c r="Z193" s="1030"/>
    </row>
    <row r="194" spans="1:26" ht="12.75" customHeight="1">
      <c r="A194" s="1098">
        <f t="shared" si="12"/>
        <v>94</v>
      </c>
      <c r="B194" s="1051" t="s">
        <v>3428</v>
      </c>
      <c r="C194" s="1066" t="s">
        <v>3342</v>
      </c>
      <c r="D194" s="1113" t="s">
        <v>122</v>
      </c>
      <c r="E194" s="1136"/>
      <c r="F194" s="1073" t="s">
        <v>3414</v>
      </c>
      <c r="G194" s="1035" t="s">
        <v>3454</v>
      </c>
      <c r="H194" s="1120"/>
      <c r="I194" s="1120">
        <f>25.5*4+(70*2)</f>
        <v>242</v>
      </c>
      <c r="J194" s="1122">
        <v>0.3</v>
      </c>
      <c r="K194" s="1464">
        <f t="shared" si="11"/>
        <v>72.599999999999994</v>
      </c>
      <c r="L194" s="1030"/>
      <c r="M194" s="1030"/>
      <c r="N194" s="1030"/>
      <c r="O194" s="1030"/>
      <c r="P194" s="1030"/>
      <c r="Q194" s="1030"/>
      <c r="R194" s="1030"/>
      <c r="S194" s="1030"/>
      <c r="T194" s="1030"/>
      <c r="U194" s="1030"/>
      <c r="V194" s="1030"/>
      <c r="W194" s="1030"/>
      <c r="X194" s="1030"/>
      <c r="Y194" s="1030"/>
      <c r="Z194" s="1030"/>
    </row>
    <row r="195" spans="1:26" ht="12.75" customHeight="1">
      <c r="A195" s="1098">
        <f t="shared" si="12"/>
        <v>95</v>
      </c>
      <c r="B195" s="1051" t="s">
        <v>3428</v>
      </c>
      <c r="C195" s="1066" t="s">
        <v>3342</v>
      </c>
      <c r="D195" s="1113" t="s">
        <v>122</v>
      </c>
      <c r="E195" s="1136"/>
      <c r="F195" s="1073" t="s">
        <v>3414</v>
      </c>
      <c r="G195" s="1035" t="s">
        <v>3455</v>
      </c>
      <c r="H195" s="1120"/>
      <c r="I195" s="1120">
        <v>470</v>
      </c>
      <c r="J195" s="1122">
        <v>0.3</v>
      </c>
      <c r="K195" s="1464">
        <f t="shared" si="11"/>
        <v>141</v>
      </c>
      <c r="L195" s="1030"/>
      <c r="M195" s="1030"/>
      <c r="N195" s="1030"/>
      <c r="O195" s="1030"/>
      <c r="P195" s="1030"/>
      <c r="Q195" s="1030"/>
      <c r="R195" s="1030"/>
      <c r="S195" s="1030"/>
      <c r="T195" s="1030"/>
      <c r="U195" s="1030"/>
      <c r="V195" s="1030"/>
      <c r="W195" s="1030"/>
      <c r="X195" s="1030"/>
      <c r="Y195" s="1030"/>
      <c r="Z195" s="1030"/>
    </row>
    <row r="196" spans="1:26" ht="12.75" customHeight="1">
      <c r="A196" s="1098">
        <f t="shared" si="12"/>
        <v>96</v>
      </c>
      <c r="B196" s="1051" t="s">
        <v>3428</v>
      </c>
      <c r="C196" s="1066" t="s">
        <v>3342</v>
      </c>
      <c r="D196" s="1113" t="s">
        <v>122</v>
      </c>
      <c r="E196" s="1136"/>
      <c r="F196" s="1073" t="s">
        <v>3414</v>
      </c>
      <c r="G196" s="1035" t="s">
        <v>3456</v>
      </c>
      <c r="H196" s="1035"/>
      <c r="I196" s="1035">
        <v>0</v>
      </c>
      <c r="J196" s="1122">
        <v>0.3</v>
      </c>
      <c r="K196" s="1464">
        <f t="shared" si="11"/>
        <v>0</v>
      </c>
      <c r="L196" s="1030"/>
      <c r="M196" s="1030"/>
      <c r="N196" s="1030"/>
      <c r="O196" s="1030"/>
      <c r="P196" s="1030"/>
      <c r="Q196" s="1030"/>
      <c r="R196" s="1030"/>
      <c r="S196" s="1030"/>
      <c r="T196" s="1030"/>
      <c r="U196" s="1030"/>
      <c r="V196" s="1030"/>
      <c r="W196" s="1030"/>
      <c r="X196" s="1030"/>
      <c r="Y196" s="1030"/>
      <c r="Z196" s="1030"/>
    </row>
    <row r="197" spans="1:26" ht="12.75" customHeight="1">
      <c r="A197" s="1098">
        <f t="shared" si="12"/>
        <v>97</v>
      </c>
      <c r="B197" s="1051" t="s">
        <v>3428</v>
      </c>
      <c r="C197" s="1066" t="s">
        <v>3342</v>
      </c>
      <c r="D197" s="1113" t="s">
        <v>122</v>
      </c>
      <c r="E197" s="1136"/>
      <c r="F197" s="1073" t="s">
        <v>3414</v>
      </c>
      <c r="G197" s="1035" t="s">
        <v>3457</v>
      </c>
      <c r="H197" s="1035"/>
      <c r="I197" s="1035">
        <f>280*2</f>
        <v>560</v>
      </c>
      <c r="J197" s="1122">
        <v>0.3</v>
      </c>
      <c r="K197" s="1464">
        <f t="shared" si="11"/>
        <v>168</v>
      </c>
      <c r="L197" s="1030"/>
      <c r="M197" s="1030"/>
      <c r="N197" s="1030"/>
      <c r="O197" s="1030"/>
      <c r="P197" s="1030"/>
      <c r="Q197" s="1030"/>
      <c r="R197" s="1030"/>
      <c r="S197" s="1030"/>
      <c r="T197" s="1030"/>
      <c r="U197" s="1030"/>
      <c r="V197" s="1030"/>
      <c r="W197" s="1030"/>
      <c r="X197" s="1030"/>
      <c r="Y197" s="1030"/>
      <c r="Z197" s="1030"/>
    </row>
    <row r="198" spans="1:26" ht="12.75" customHeight="1">
      <c r="A198" s="1098">
        <f t="shared" si="12"/>
        <v>98</v>
      </c>
      <c r="B198" s="1051" t="s">
        <v>3428</v>
      </c>
      <c r="C198" s="1066" t="s">
        <v>3342</v>
      </c>
      <c r="D198" s="1113" t="s">
        <v>122</v>
      </c>
      <c r="E198" s="1136"/>
      <c r="F198" s="1073" t="s">
        <v>3414</v>
      </c>
      <c r="G198" s="1035" t="s">
        <v>3458</v>
      </c>
      <c r="H198" s="1035" t="s">
        <v>3459</v>
      </c>
      <c r="I198" s="1035"/>
      <c r="J198" s="1122"/>
      <c r="K198" s="1464">
        <v>42.96</v>
      </c>
      <c r="L198" s="1030"/>
      <c r="M198" s="1030"/>
      <c r="N198" s="1030"/>
      <c r="O198" s="1030"/>
      <c r="P198" s="1030"/>
      <c r="Q198" s="1030"/>
      <c r="R198" s="1030"/>
      <c r="S198" s="1030"/>
      <c r="T198" s="1030"/>
      <c r="U198" s="1030"/>
      <c r="V198" s="1030"/>
      <c r="W198" s="1030"/>
      <c r="X198" s="1030"/>
      <c r="Y198" s="1030"/>
      <c r="Z198" s="1030"/>
    </row>
    <row r="199" spans="1:26" ht="12.75" customHeight="1">
      <c r="A199" s="1098">
        <f t="shared" si="12"/>
        <v>99</v>
      </c>
      <c r="B199" s="1051" t="s">
        <v>3428</v>
      </c>
      <c r="C199" s="1066" t="s">
        <v>3342</v>
      </c>
      <c r="D199" s="1113" t="s">
        <v>122</v>
      </c>
      <c r="E199" s="1136"/>
      <c r="F199" s="1073" t="s">
        <v>3414</v>
      </c>
      <c r="G199" s="1035" t="s">
        <v>3460</v>
      </c>
      <c r="H199" s="1035" t="s">
        <v>4739</v>
      </c>
      <c r="I199" s="1035"/>
      <c r="J199" s="1122"/>
      <c r="K199" s="1464">
        <v>246</v>
      </c>
      <c r="L199" s="1030"/>
      <c r="M199" s="1030"/>
      <c r="N199" s="1030"/>
      <c r="O199" s="1030"/>
      <c r="P199" s="1030"/>
      <c r="Q199" s="1030"/>
      <c r="R199" s="1030"/>
      <c r="S199" s="1030"/>
      <c r="T199" s="1030"/>
      <c r="U199" s="1030"/>
      <c r="V199" s="1030"/>
      <c r="W199" s="1030"/>
      <c r="X199" s="1030"/>
      <c r="Y199" s="1030"/>
      <c r="Z199" s="1030"/>
    </row>
    <row r="200" spans="1:26" ht="12.75" customHeight="1">
      <c r="A200" s="1098">
        <f t="shared" si="12"/>
        <v>100</v>
      </c>
      <c r="B200" s="1051" t="s">
        <v>3428</v>
      </c>
      <c r="C200" s="1066" t="s">
        <v>3342</v>
      </c>
      <c r="D200" s="1113" t="s">
        <v>122</v>
      </c>
      <c r="E200" s="1136"/>
      <c r="F200" s="1073" t="s">
        <v>3414</v>
      </c>
      <c r="G200" s="1035" t="s">
        <v>3460</v>
      </c>
      <c r="H200" s="1035" t="s">
        <v>4740</v>
      </c>
      <c r="I200" s="1035"/>
      <c r="J200" s="1122"/>
      <c r="K200" s="1464">
        <v>411</v>
      </c>
      <c r="L200" s="1030"/>
      <c r="M200" s="1030"/>
      <c r="N200" s="1030"/>
      <c r="O200" s="1030"/>
      <c r="P200" s="1030"/>
      <c r="Q200" s="1030"/>
      <c r="R200" s="1030"/>
      <c r="S200" s="1030"/>
      <c r="T200" s="1030"/>
      <c r="U200" s="1030"/>
      <c r="V200" s="1030"/>
      <c r="W200" s="1030"/>
      <c r="X200" s="1030"/>
      <c r="Y200" s="1030"/>
      <c r="Z200" s="1030"/>
    </row>
    <row r="201" spans="1:26" ht="12.75" customHeight="1">
      <c r="A201" s="1098">
        <f t="shared" si="12"/>
        <v>101</v>
      </c>
      <c r="B201" s="1051" t="s">
        <v>3473</v>
      </c>
      <c r="C201" s="1066" t="s">
        <v>3342</v>
      </c>
      <c r="D201" s="1113" t="s">
        <v>122</v>
      </c>
      <c r="E201" s="1136"/>
      <c r="F201" s="1073" t="s">
        <v>3414</v>
      </c>
      <c r="G201" s="1035" t="s">
        <v>4741</v>
      </c>
      <c r="H201" s="1035" t="s">
        <v>4742</v>
      </c>
      <c r="I201" s="1465" t="s">
        <v>3604</v>
      </c>
      <c r="J201" s="1122"/>
      <c r="K201" s="1118">
        <v>50</v>
      </c>
      <c r="L201" s="1030"/>
      <c r="M201" s="1030"/>
      <c r="N201" s="1030"/>
      <c r="O201" s="1030"/>
      <c r="P201" s="1030"/>
      <c r="Q201" s="1030"/>
      <c r="R201" s="1030"/>
      <c r="S201" s="1030"/>
      <c r="T201" s="1030"/>
      <c r="U201" s="1030"/>
      <c r="V201" s="1030"/>
      <c r="W201" s="1030"/>
      <c r="X201" s="1030"/>
      <c r="Y201" s="1030"/>
      <c r="Z201" s="1030"/>
    </row>
    <row r="202" spans="1:26" ht="12.75" customHeight="1">
      <c r="A202" s="1098">
        <f t="shared" si="12"/>
        <v>102</v>
      </c>
      <c r="B202" s="1051" t="s">
        <v>3473</v>
      </c>
      <c r="C202" s="1066" t="s">
        <v>3342</v>
      </c>
      <c r="D202" s="1113" t="s">
        <v>122</v>
      </c>
      <c r="E202" s="1136"/>
      <c r="F202" s="1073" t="s">
        <v>3414</v>
      </c>
      <c r="G202" s="1035" t="s">
        <v>3507</v>
      </c>
      <c r="H202" s="1035" t="s">
        <v>4743</v>
      </c>
      <c r="I202" s="1035"/>
      <c r="J202" s="1122"/>
      <c r="K202" s="1464">
        <v>5</v>
      </c>
      <c r="L202" s="1030"/>
      <c r="M202" s="1030"/>
      <c r="N202" s="1030"/>
      <c r="O202" s="1030"/>
      <c r="P202" s="1030"/>
      <c r="Q202" s="1030"/>
      <c r="R202" s="1030"/>
      <c r="S202" s="1030"/>
      <c r="T202" s="1030"/>
      <c r="U202" s="1030"/>
      <c r="V202" s="1030"/>
      <c r="W202" s="1030"/>
      <c r="X202" s="1030"/>
      <c r="Y202" s="1030"/>
      <c r="Z202" s="1030"/>
    </row>
    <row r="203" spans="1:26" ht="53.25" customHeight="1">
      <c r="A203" s="1098">
        <f>A201+1</f>
        <v>102</v>
      </c>
      <c r="B203" s="1051" t="s">
        <v>3466</v>
      </c>
      <c r="C203" s="1066" t="s">
        <v>3342</v>
      </c>
      <c r="D203" s="1113" t="s">
        <v>122</v>
      </c>
      <c r="E203" s="1136"/>
      <c r="F203" s="1073" t="s">
        <v>3414</v>
      </c>
      <c r="G203" s="1035" t="s">
        <v>3526</v>
      </c>
      <c r="H203" s="1138" t="s">
        <v>4744</v>
      </c>
      <c r="I203" s="1138" t="s">
        <v>4745</v>
      </c>
      <c r="J203" s="1139"/>
      <c r="K203" s="1464">
        <f>9673.04-590.91</f>
        <v>9082.130000000001</v>
      </c>
      <c r="L203" s="1134"/>
      <c r="M203" s="1030"/>
      <c r="N203" s="1030"/>
      <c r="O203" s="1030"/>
      <c r="P203" s="1030"/>
      <c r="Q203" s="1030"/>
      <c r="R203" s="1030"/>
      <c r="S203" s="1030"/>
      <c r="T203" s="1030"/>
      <c r="U203" s="1030"/>
      <c r="V203" s="1030"/>
      <c r="W203" s="1030"/>
      <c r="X203" s="1030"/>
      <c r="Y203" s="1030"/>
      <c r="Z203" s="1030"/>
    </row>
    <row r="204" spans="1:26" ht="50.25" customHeight="1">
      <c r="A204" s="1098">
        <f t="shared" ref="A204:A211" si="13">A203+1</f>
        <v>103</v>
      </c>
      <c r="B204" s="1051" t="s">
        <v>3428</v>
      </c>
      <c r="C204" s="1066" t="s">
        <v>3342</v>
      </c>
      <c r="D204" s="1113" t="s">
        <v>122</v>
      </c>
      <c r="E204" s="1136"/>
      <c r="F204" s="1073" t="s">
        <v>3414</v>
      </c>
      <c r="G204" s="1035" t="s">
        <v>4746</v>
      </c>
      <c r="H204" s="1035" t="s">
        <v>4747</v>
      </c>
      <c r="I204" s="1035" t="s">
        <v>4748</v>
      </c>
      <c r="J204" s="1139"/>
      <c r="K204" s="1464">
        <f>175+(5*130/1.1)</f>
        <v>765.90909090909088</v>
      </c>
      <c r="L204" s="1134"/>
      <c r="M204" s="1030"/>
      <c r="N204" s="1030"/>
      <c r="O204" s="1030"/>
      <c r="P204" s="1030"/>
      <c r="Q204" s="1030"/>
      <c r="R204" s="1030"/>
      <c r="S204" s="1030"/>
      <c r="T204" s="1030"/>
      <c r="U204" s="1030"/>
      <c r="V204" s="1030"/>
      <c r="W204" s="1030"/>
      <c r="X204" s="1030"/>
      <c r="Y204" s="1030"/>
      <c r="Z204" s="1030"/>
    </row>
    <row r="205" spans="1:26" ht="12.75" customHeight="1">
      <c r="A205" s="1098">
        <f t="shared" si="13"/>
        <v>104</v>
      </c>
      <c r="B205" s="1051" t="s">
        <v>3470</v>
      </c>
      <c r="C205" s="1066" t="s">
        <v>3342</v>
      </c>
      <c r="D205" s="1113" t="s">
        <v>122</v>
      </c>
      <c r="E205" s="1136"/>
      <c r="F205" s="1073" t="s">
        <v>3414</v>
      </c>
      <c r="G205" s="1035" t="s">
        <v>3531</v>
      </c>
      <c r="H205" s="1035" t="s">
        <v>4749</v>
      </c>
      <c r="I205" s="1035"/>
      <c r="J205" s="1139"/>
      <c r="K205" s="1464">
        <f>1500+100</f>
        <v>1600</v>
      </c>
      <c r="L205" s="1134"/>
      <c r="M205" s="1030"/>
      <c r="N205" s="1030"/>
      <c r="O205" s="1030"/>
      <c r="P205" s="1030"/>
      <c r="Q205" s="1030"/>
      <c r="R205" s="1030"/>
      <c r="S205" s="1030"/>
      <c r="T205" s="1030"/>
      <c r="U205" s="1030"/>
      <c r="V205" s="1030"/>
      <c r="W205" s="1030"/>
      <c r="X205" s="1030"/>
      <c r="Y205" s="1030"/>
      <c r="Z205" s="1030"/>
    </row>
    <row r="206" spans="1:26" ht="12.75" customHeight="1">
      <c r="A206" s="1098">
        <f t="shared" si="13"/>
        <v>105</v>
      </c>
      <c r="B206" s="1051" t="s">
        <v>3485</v>
      </c>
      <c r="C206" s="1066" t="s">
        <v>3342</v>
      </c>
      <c r="D206" s="1113" t="s">
        <v>122</v>
      </c>
      <c r="E206" s="1136"/>
      <c r="F206" s="1073" t="s">
        <v>3414</v>
      </c>
      <c r="G206" s="1035" t="s">
        <v>3510</v>
      </c>
      <c r="H206" s="1035" t="s">
        <v>4750</v>
      </c>
      <c r="I206" s="1035"/>
      <c r="J206" s="1139"/>
      <c r="K206" s="1464">
        <v>100</v>
      </c>
      <c r="L206" s="1134"/>
      <c r="M206" s="1030"/>
      <c r="N206" s="1030"/>
      <c r="O206" s="1030"/>
      <c r="P206" s="1030"/>
      <c r="Q206" s="1030"/>
      <c r="R206" s="1030"/>
      <c r="S206" s="1030"/>
      <c r="T206" s="1030"/>
      <c r="U206" s="1030"/>
      <c r="V206" s="1030"/>
      <c r="W206" s="1030"/>
      <c r="X206" s="1030"/>
      <c r="Y206" s="1030"/>
      <c r="Z206" s="1030"/>
    </row>
    <row r="207" spans="1:26" ht="52.5" customHeight="1">
      <c r="A207" s="1098">
        <f t="shared" si="13"/>
        <v>106</v>
      </c>
      <c r="B207" s="1051" t="s">
        <v>3473</v>
      </c>
      <c r="C207" s="1066" t="s">
        <v>3342</v>
      </c>
      <c r="D207" s="1113" t="s">
        <v>122</v>
      </c>
      <c r="E207" s="1136"/>
      <c r="F207" s="1073" t="s">
        <v>3414</v>
      </c>
      <c r="G207" s="1035" t="s">
        <v>3588</v>
      </c>
      <c r="H207" s="1035" t="s">
        <v>3589</v>
      </c>
      <c r="I207" s="1035"/>
      <c r="J207" s="1139"/>
      <c r="K207" s="1118"/>
      <c r="L207" s="1134"/>
      <c r="M207" s="1030"/>
      <c r="N207" s="1030"/>
      <c r="O207" s="1030"/>
      <c r="P207" s="1030"/>
      <c r="Q207" s="1030"/>
      <c r="R207" s="1030"/>
      <c r="S207" s="1030"/>
      <c r="T207" s="1030"/>
      <c r="U207" s="1030"/>
      <c r="V207" s="1030"/>
      <c r="W207" s="1030"/>
      <c r="X207" s="1030"/>
      <c r="Y207" s="1030"/>
      <c r="Z207" s="1030"/>
    </row>
    <row r="208" spans="1:26" ht="25.5">
      <c r="A208" s="1098">
        <f t="shared" si="13"/>
        <v>107</v>
      </c>
      <c r="B208" s="1051" t="s">
        <v>3473</v>
      </c>
      <c r="C208" s="1112" t="s">
        <v>3342</v>
      </c>
      <c r="D208" s="1113" t="s">
        <v>122</v>
      </c>
      <c r="E208" s="1114"/>
      <c r="F208" s="1073" t="s">
        <v>3414</v>
      </c>
      <c r="G208" s="1136" t="s">
        <v>3474</v>
      </c>
      <c r="H208" s="1136" t="s">
        <v>4751</v>
      </c>
      <c r="I208" s="1136"/>
      <c r="J208" s="1147"/>
      <c r="K208" s="1464">
        <v>2292.5</v>
      </c>
      <c r="L208" s="1103"/>
      <c r="M208" s="1103"/>
      <c r="N208" s="1103"/>
      <c r="O208" s="1103"/>
      <c r="P208" s="1103"/>
      <c r="Q208" s="1103"/>
      <c r="R208" s="1103"/>
      <c r="S208" s="1103"/>
      <c r="T208" s="1103"/>
      <c r="U208" s="1103"/>
      <c r="V208" s="1103"/>
      <c r="W208" s="1103"/>
      <c r="X208" s="1103"/>
      <c r="Y208" s="1103"/>
      <c r="Z208" s="1103"/>
    </row>
    <row r="209" spans="1:26" ht="36" customHeight="1">
      <c r="A209" s="1098">
        <f t="shared" si="13"/>
        <v>108</v>
      </c>
      <c r="B209" s="1051" t="s">
        <v>3462</v>
      </c>
      <c r="C209" s="1066" t="s">
        <v>3342</v>
      </c>
      <c r="D209" s="1113" t="s">
        <v>122</v>
      </c>
      <c r="E209" s="1136"/>
      <c r="F209" s="1073" t="s">
        <v>3414</v>
      </c>
      <c r="G209" s="1035" t="s">
        <v>3535</v>
      </c>
      <c r="H209" s="1137" t="s">
        <v>4752</v>
      </c>
      <c r="I209" s="1137" t="s">
        <v>4717</v>
      </c>
      <c r="J209" s="1035"/>
      <c r="K209" s="1464">
        <f>(7854/3)/200*142</f>
        <v>1858.78</v>
      </c>
      <c r="L209" s="1134"/>
      <c r="M209" s="1030"/>
      <c r="N209" s="1030"/>
      <c r="O209" s="1030"/>
      <c r="P209" s="1030"/>
      <c r="Q209" s="1030"/>
      <c r="R209" s="1030"/>
      <c r="S209" s="1030"/>
      <c r="T209" s="1030"/>
      <c r="U209" s="1030"/>
      <c r="V209" s="1030"/>
      <c r="W209" s="1030"/>
      <c r="X209" s="1030"/>
      <c r="Y209" s="1030"/>
      <c r="Z209" s="1030"/>
    </row>
    <row r="210" spans="1:26" ht="25.5">
      <c r="A210" s="1098">
        <f t="shared" si="13"/>
        <v>109</v>
      </c>
      <c r="B210" s="1051" t="s">
        <v>3485</v>
      </c>
      <c r="C210" s="1066" t="s">
        <v>3342</v>
      </c>
      <c r="D210" s="1113" t="s">
        <v>122</v>
      </c>
      <c r="E210" s="1136"/>
      <c r="F210" s="1073" t="s">
        <v>3414</v>
      </c>
      <c r="G210" s="1035" t="s">
        <v>3495</v>
      </c>
      <c r="H210" s="1035" t="s">
        <v>3494</v>
      </c>
      <c r="I210" s="1139" t="s">
        <v>4753</v>
      </c>
      <c r="J210" s="1139"/>
      <c r="K210" s="1464">
        <f>2.9+2.9+20</f>
        <v>25.8</v>
      </c>
      <c r="L210" s="1134"/>
      <c r="M210" s="1030"/>
      <c r="N210" s="1030"/>
      <c r="O210" s="1030"/>
      <c r="P210" s="1030"/>
      <c r="Q210" s="1030"/>
      <c r="R210" s="1030"/>
      <c r="S210" s="1030"/>
      <c r="T210" s="1030"/>
      <c r="U210" s="1030"/>
      <c r="V210" s="1030"/>
      <c r="W210" s="1030"/>
      <c r="X210" s="1030"/>
      <c r="Y210" s="1030"/>
      <c r="Z210" s="1030"/>
    </row>
    <row r="211" spans="1:26" ht="36" customHeight="1">
      <c r="A211" s="1098">
        <f t="shared" si="13"/>
        <v>110</v>
      </c>
      <c r="B211" s="1051" t="s">
        <v>3485</v>
      </c>
      <c r="C211" s="1066" t="s">
        <v>3342</v>
      </c>
      <c r="D211" s="1113" t="s">
        <v>122</v>
      </c>
      <c r="E211" s="1136"/>
      <c r="F211" s="1073" t="s">
        <v>3414</v>
      </c>
      <c r="G211" s="1035" t="s">
        <v>3609</v>
      </c>
      <c r="H211" s="1035" t="s">
        <v>4754</v>
      </c>
      <c r="I211" s="1035"/>
      <c r="J211" s="1139"/>
      <c r="K211" s="1464">
        <v>124.36</v>
      </c>
      <c r="L211" s="1134"/>
      <c r="M211" s="1030"/>
      <c r="N211" s="1030"/>
      <c r="O211" s="1030"/>
      <c r="P211" s="1030"/>
      <c r="Q211" s="1030"/>
      <c r="R211" s="1030"/>
      <c r="S211" s="1030"/>
      <c r="T211" s="1030"/>
      <c r="U211" s="1030"/>
      <c r="V211" s="1030"/>
      <c r="W211" s="1030"/>
      <c r="X211" s="1030"/>
      <c r="Y211" s="1030"/>
      <c r="Z211" s="1030"/>
    </row>
    <row r="212" spans="1:26" ht="13.5" customHeight="1">
      <c r="A212" s="1039"/>
      <c r="B212" s="1039"/>
      <c r="C212" s="1039"/>
      <c r="D212" s="1088" t="s">
        <v>3537</v>
      </c>
      <c r="E212" s="1089"/>
      <c r="F212" s="1089"/>
      <c r="G212" s="1089"/>
      <c r="H212" s="1090"/>
      <c r="I212" s="1089"/>
      <c r="J212" s="1164"/>
      <c r="K212" s="1091">
        <f>SUM(K97:K211)</f>
        <v>65042.32609090909</v>
      </c>
      <c r="L212" s="1039"/>
      <c r="M212" s="1039"/>
      <c r="N212" s="1039"/>
      <c r="O212" s="1039"/>
      <c r="P212" s="1039"/>
      <c r="Q212" s="1039"/>
      <c r="R212" s="1039"/>
      <c r="S212" s="1039"/>
      <c r="T212" s="1039"/>
      <c r="U212" s="1039"/>
      <c r="V212" s="1039"/>
      <c r="W212" s="1039"/>
      <c r="X212" s="1039"/>
      <c r="Y212" s="1039"/>
      <c r="Z212" s="1039"/>
    </row>
    <row r="213" spans="1:26" ht="12.75" customHeight="1">
      <c r="A213" s="1039"/>
      <c r="B213" s="1039"/>
      <c r="C213" s="1039"/>
      <c r="D213" s="1092"/>
      <c r="E213" s="1092"/>
      <c r="F213" s="1092"/>
      <c r="G213" s="1092"/>
      <c r="H213" s="1093"/>
      <c r="I213" s="1092"/>
      <c r="J213" s="1092"/>
      <c r="K213" s="1094"/>
      <c r="L213" s="1039"/>
      <c r="M213" s="1039"/>
      <c r="N213" s="1039"/>
      <c r="O213" s="1039"/>
      <c r="P213" s="1039"/>
      <c r="Q213" s="1039"/>
      <c r="R213" s="1039"/>
      <c r="S213" s="1039"/>
      <c r="T213" s="1039"/>
      <c r="U213" s="1039"/>
      <c r="V213" s="1039"/>
      <c r="W213" s="1039"/>
      <c r="X213" s="1039"/>
      <c r="Y213" s="1039"/>
      <c r="Z213" s="1039"/>
    </row>
    <row r="214" spans="1:26" ht="12.75" customHeight="1">
      <c r="A214" s="1039"/>
      <c r="B214" s="1030"/>
      <c r="C214" s="1030"/>
      <c r="D214" s="1031" t="s">
        <v>3538</v>
      </c>
      <c r="E214" s="1031"/>
      <c r="F214" s="1031"/>
      <c r="G214" s="1031"/>
      <c r="H214" s="1031"/>
      <c r="I214" s="1032"/>
      <c r="J214" s="1031"/>
      <c r="K214" s="1033"/>
      <c r="L214" s="1039"/>
      <c r="M214" s="1039"/>
      <c r="N214" s="1039"/>
      <c r="O214" s="1039"/>
      <c r="P214" s="1039"/>
      <c r="Q214" s="1039"/>
      <c r="R214" s="1039"/>
      <c r="S214" s="1039"/>
      <c r="T214" s="1039"/>
      <c r="U214" s="1039"/>
      <c r="V214" s="1039"/>
      <c r="W214" s="1039"/>
      <c r="X214" s="1039"/>
      <c r="Y214" s="1039"/>
      <c r="Z214" s="1039"/>
    </row>
    <row r="215" spans="1:26" ht="12.75" customHeight="1">
      <c r="A215" s="1061"/>
      <c r="B215" s="1062" t="s">
        <v>3373</v>
      </c>
      <c r="C215" s="1063" t="s">
        <v>3374</v>
      </c>
      <c r="D215" s="1064" t="s">
        <v>3539</v>
      </c>
      <c r="E215" s="1064" t="s">
        <v>3376</v>
      </c>
      <c r="F215" s="1064" t="s">
        <v>3539</v>
      </c>
      <c r="G215" s="1064" t="s">
        <v>3377</v>
      </c>
      <c r="H215" s="1064" t="s">
        <v>3540</v>
      </c>
      <c r="I215" s="1064" t="s">
        <v>3379</v>
      </c>
      <c r="J215" s="1064" t="s">
        <v>3380</v>
      </c>
      <c r="K215" s="1065" t="s">
        <v>3381</v>
      </c>
      <c r="L215" s="1030"/>
      <c r="M215" s="1030"/>
      <c r="N215" s="1030"/>
      <c r="O215" s="1030"/>
      <c r="P215" s="1030"/>
      <c r="Q215" s="1030"/>
      <c r="R215" s="1030"/>
      <c r="S215" s="1030"/>
      <c r="T215" s="1030"/>
      <c r="U215" s="1030"/>
      <c r="V215" s="1030"/>
      <c r="W215" s="1030"/>
      <c r="X215" s="1030"/>
      <c r="Y215" s="1030"/>
      <c r="Z215" s="1030"/>
    </row>
    <row r="216" spans="1:26" ht="12.75" customHeight="1">
      <c r="A216" s="1061"/>
      <c r="B216" s="1051" t="s">
        <v>3541</v>
      </c>
      <c r="C216" s="1066" t="s">
        <v>3342</v>
      </c>
      <c r="D216" s="1062">
        <f>E8</f>
        <v>0</v>
      </c>
      <c r="E216" s="1035"/>
      <c r="F216" s="1138" t="s">
        <v>122</v>
      </c>
      <c r="G216" s="1087"/>
      <c r="H216" s="1068">
        <f>IF(F216="x",IF(AND($F$239&gt;=4000,OR(E216="MT",E216="MTcod",E216="ET",E216="ETcod")),IF((10*($F$239-4000)/100)&lt;=300,10*($F$239-4000)/100,300),0))+IF(F216="x",IF(AND($F$239&gt;=2500,OR(E216="ST",E216="STcod")),IF((10*($F$239-2500)/100)&lt;=200,10*($F$239-2500)/100,200),0))+IF(F216="x",IF(AND($F$239&gt;=1500,OR(E216="T",E216="Tcod")),IF((10*($F$239-1500)/100)&lt;=100,10*($F$239-1500)/100,100),0))+IF(F216="x",IF(AND($F$239&gt;=1500,OR(E216="HTS",E216="STS",E216="TS")),IF((10*($F$239-1500)/100)&lt;=100,10*($F$239-1500)/100,100),0))+IF(F216="x",IF(AND($F$239&gt;=2000,OR(E216="MTCoach",E216="ETCoach")),IF((10*($F$239-2000)/100*2)&lt;=300,10*($F$239-2000)/100*2,300),0))+IF(F216="x",IF(AND($F$239&gt;=1500,E216="STCoach"),IF((10*($F$239-1500)/100*2)&lt;=200,10*($F$239-1500)/100*2,200),0))+IF(F216="x",IF(AND($F$239&gt;=1000,E216="TCoach"),IF((10*($F$239-1000)/100*2)&lt;=100,10*($F$239-1000)/100*2,100),0))</f>
        <v>0</v>
      </c>
      <c r="I216" s="1062">
        <f>$E$3</f>
        <v>8</v>
      </c>
      <c r="J216" s="1035"/>
      <c r="K216" s="1068">
        <f>I216*(H216)+J216</f>
        <v>0</v>
      </c>
      <c r="L216" s="1060"/>
      <c r="M216" s="1030"/>
      <c r="N216" s="1030"/>
      <c r="O216" s="1030"/>
      <c r="P216" s="1030"/>
      <c r="Q216" s="1030"/>
      <c r="R216" s="1030"/>
      <c r="S216" s="1030"/>
      <c r="T216" s="1030"/>
      <c r="U216" s="1030"/>
      <c r="V216" s="1030"/>
      <c r="W216" s="1030"/>
      <c r="X216" s="1030"/>
      <c r="Y216" s="1030"/>
      <c r="Z216" s="1030"/>
    </row>
    <row r="217" spans="1:26" ht="12.75" customHeight="1">
      <c r="A217" s="1039"/>
      <c r="B217" s="1030"/>
      <c r="C217" s="1030"/>
      <c r="D217" s="1060"/>
      <c r="E217" s="1060"/>
      <c r="F217" s="1060"/>
      <c r="G217" s="1060"/>
      <c r="H217" s="1060"/>
      <c r="I217" s="1165"/>
      <c r="J217" s="1060"/>
      <c r="K217" s="1166"/>
      <c r="L217" s="1039"/>
      <c r="M217" s="1039"/>
      <c r="N217" s="1039"/>
      <c r="O217" s="1039"/>
      <c r="P217" s="1039"/>
      <c r="Q217" s="1039"/>
      <c r="R217" s="1039"/>
      <c r="S217" s="1039"/>
      <c r="T217" s="1039"/>
      <c r="U217" s="1039"/>
      <c r="V217" s="1039"/>
      <c r="W217" s="1039"/>
      <c r="X217" s="1039"/>
      <c r="Y217" s="1039"/>
      <c r="Z217" s="1039"/>
    </row>
    <row r="218" spans="1:26" ht="12.75" customHeight="1">
      <c r="A218" s="1039"/>
      <c r="B218" s="1062" t="s">
        <v>3373</v>
      </c>
      <c r="C218" s="1063" t="s">
        <v>3374</v>
      </c>
      <c r="D218" s="1064" t="s">
        <v>3359</v>
      </c>
      <c r="E218" s="1064" t="s">
        <v>3542</v>
      </c>
      <c r="F218" s="1064"/>
      <c r="G218" s="1064"/>
      <c r="H218" s="1064" t="s">
        <v>3377</v>
      </c>
      <c r="I218" s="1064"/>
      <c r="J218" s="1064"/>
      <c r="K218" s="1065" t="s">
        <v>3381</v>
      </c>
      <c r="L218" s="1039"/>
      <c r="M218" s="1039"/>
      <c r="N218" s="1039"/>
      <c r="O218" s="1039"/>
      <c r="P218" s="1039"/>
      <c r="Q218" s="1039"/>
      <c r="R218" s="1039"/>
      <c r="S218" s="1039"/>
      <c r="T218" s="1039"/>
      <c r="U218" s="1039"/>
      <c r="V218" s="1039"/>
      <c r="W218" s="1039"/>
      <c r="X218" s="1039"/>
      <c r="Y218" s="1039"/>
      <c r="Z218" s="1039"/>
    </row>
    <row r="219" spans="1:26" ht="12.75" customHeight="1">
      <c r="A219" s="1039"/>
      <c r="B219" s="1051" t="s">
        <v>3541</v>
      </c>
      <c r="C219" s="1066" t="s">
        <v>117</v>
      </c>
      <c r="D219" s="1050" t="str">
        <f t="shared" ref="D219:D223" si="14">K7</f>
        <v>-</v>
      </c>
      <c r="E219" s="1167" t="s">
        <v>3543</v>
      </c>
      <c r="F219" s="1168"/>
      <c r="G219" s="1169"/>
      <c r="H219" s="1170"/>
      <c r="I219" s="1168"/>
      <c r="J219" s="1169"/>
      <c r="K219" s="1068">
        <v>0</v>
      </c>
      <c r="L219" s="1039"/>
      <c r="M219" s="1039"/>
      <c r="N219" s="1039"/>
      <c r="O219" s="1039"/>
      <c r="P219" s="1039"/>
      <c r="Q219" s="1039"/>
      <c r="R219" s="1039"/>
      <c r="S219" s="1039"/>
      <c r="T219" s="1039"/>
      <c r="U219" s="1039"/>
      <c r="V219" s="1039"/>
      <c r="W219" s="1039"/>
      <c r="X219" s="1039"/>
      <c r="Y219" s="1039"/>
      <c r="Z219" s="1039"/>
    </row>
    <row r="220" spans="1:26" ht="12.75" customHeight="1">
      <c r="A220" s="1039"/>
      <c r="B220" s="1051" t="s">
        <v>3541</v>
      </c>
      <c r="C220" s="1066" t="s">
        <v>117</v>
      </c>
      <c r="D220" s="1050" t="str">
        <f t="shared" si="14"/>
        <v>-</v>
      </c>
      <c r="E220" s="1167" t="s">
        <v>3544</v>
      </c>
      <c r="F220" s="1168"/>
      <c r="G220" s="1169"/>
      <c r="H220" s="1170"/>
      <c r="I220" s="1168"/>
      <c r="J220" s="1169"/>
      <c r="K220" s="1068">
        <v>0</v>
      </c>
      <c r="L220" s="1039"/>
      <c r="M220" s="1039"/>
      <c r="N220" s="1039"/>
      <c r="O220" s="1039"/>
      <c r="P220" s="1039"/>
      <c r="Q220" s="1039"/>
      <c r="R220" s="1039"/>
      <c r="S220" s="1039"/>
      <c r="T220" s="1039"/>
      <c r="U220" s="1039"/>
      <c r="V220" s="1039"/>
      <c r="W220" s="1039"/>
      <c r="X220" s="1039"/>
      <c r="Y220" s="1039"/>
      <c r="Z220" s="1039"/>
    </row>
    <row r="221" spans="1:26" ht="12.75" customHeight="1">
      <c r="A221" s="1039"/>
      <c r="B221" s="1051" t="s">
        <v>3541</v>
      </c>
      <c r="C221" s="1066" t="s">
        <v>117</v>
      </c>
      <c r="D221" s="1050" t="str">
        <f t="shared" si="14"/>
        <v>-</v>
      </c>
      <c r="E221" s="1167" t="s">
        <v>3545</v>
      </c>
      <c r="F221" s="1168"/>
      <c r="G221" s="1169"/>
      <c r="H221" s="1170"/>
      <c r="I221" s="1168"/>
      <c r="J221" s="1169"/>
      <c r="K221" s="1068">
        <v>0</v>
      </c>
      <c r="L221" s="1039"/>
      <c r="M221" s="1039"/>
      <c r="N221" s="1039"/>
      <c r="O221" s="1039"/>
      <c r="P221" s="1039"/>
      <c r="Q221" s="1039"/>
      <c r="R221" s="1039"/>
      <c r="S221" s="1039"/>
      <c r="T221" s="1039"/>
      <c r="U221" s="1039"/>
      <c r="V221" s="1039"/>
      <c r="W221" s="1039"/>
      <c r="X221" s="1039"/>
      <c r="Y221" s="1039"/>
      <c r="Z221" s="1039"/>
    </row>
    <row r="222" spans="1:26" ht="12.75" customHeight="1">
      <c r="A222" s="1039"/>
      <c r="B222" s="1051" t="s">
        <v>3541</v>
      </c>
      <c r="C222" s="1066" t="s">
        <v>117</v>
      </c>
      <c r="D222" s="1050">
        <f t="shared" si="14"/>
        <v>0</v>
      </c>
      <c r="E222" s="1167" t="s">
        <v>3546</v>
      </c>
      <c r="F222" s="1168"/>
      <c r="G222" s="1169"/>
      <c r="H222" s="1168"/>
      <c r="I222" s="1168"/>
      <c r="J222" s="1169"/>
      <c r="K222" s="1068">
        <f t="shared" ref="K222:K223" si="15">F246</f>
        <v>0</v>
      </c>
      <c r="L222" s="1039"/>
      <c r="M222" s="1039"/>
      <c r="N222" s="1039"/>
      <c r="O222" s="1039"/>
      <c r="P222" s="1039"/>
      <c r="Q222" s="1039"/>
      <c r="R222" s="1039"/>
      <c r="S222" s="1039"/>
      <c r="T222" s="1039"/>
      <c r="U222" s="1039"/>
      <c r="V222" s="1039"/>
      <c r="W222" s="1039"/>
      <c r="X222" s="1039"/>
      <c r="Y222" s="1039"/>
      <c r="Z222" s="1039"/>
    </row>
    <row r="223" spans="1:26" ht="12.75" customHeight="1">
      <c r="A223" s="1039"/>
      <c r="B223" s="1051" t="s">
        <v>3541</v>
      </c>
      <c r="C223" s="1066" t="s">
        <v>117</v>
      </c>
      <c r="D223" s="1050" t="str">
        <f t="shared" si="14"/>
        <v>-</v>
      </c>
      <c r="E223" s="1167" t="s">
        <v>3547</v>
      </c>
      <c r="F223" s="1168"/>
      <c r="G223" s="1169"/>
      <c r="H223" s="1168"/>
      <c r="I223" s="1168"/>
      <c r="J223" s="1169"/>
      <c r="K223" s="1068">
        <f t="shared" si="15"/>
        <v>0</v>
      </c>
      <c r="L223" s="1039"/>
      <c r="M223" s="1039"/>
      <c r="N223" s="1039"/>
      <c r="O223" s="1039"/>
      <c r="P223" s="1039"/>
      <c r="Q223" s="1039"/>
      <c r="R223" s="1039"/>
      <c r="S223" s="1039"/>
      <c r="T223" s="1039"/>
      <c r="U223" s="1039"/>
      <c r="V223" s="1039"/>
      <c r="W223" s="1039"/>
      <c r="X223" s="1039"/>
      <c r="Y223" s="1039"/>
      <c r="Z223" s="1039"/>
    </row>
    <row r="224" spans="1:26" ht="12.75" hidden="1" customHeight="1" outlineLevel="1">
      <c r="A224" s="1039"/>
      <c r="B224" s="1051"/>
      <c r="C224" s="1066" t="s">
        <v>117</v>
      </c>
      <c r="D224" s="1201"/>
      <c r="E224" s="1167"/>
      <c r="F224" s="1168"/>
      <c r="G224" s="1169"/>
      <c r="H224" s="1168"/>
      <c r="I224" s="1168"/>
      <c r="J224" s="1169"/>
      <c r="K224" s="1087"/>
      <c r="L224" s="1039"/>
      <c r="M224" s="1039"/>
      <c r="N224" s="1039"/>
      <c r="O224" s="1039"/>
      <c r="P224" s="1039"/>
      <c r="Q224" s="1039"/>
      <c r="R224" s="1039"/>
      <c r="S224" s="1039"/>
      <c r="T224" s="1039"/>
      <c r="U224" s="1039"/>
      <c r="V224" s="1039"/>
      <c r="W224" s="1039"/>
      <c r="X224" s="1039"/>
      <c r="Y224" s="1039"/>
      <c r="Z224" s="1039"/>
    </row>
    <row r="225" spans="1:26" ht="12.75" hidden="1" customHeight="1" outlineLevel="1">
      <c r="A225" s="1039"/>
      <c r="B225" s="1051"/>
      <c r="C225" s="1066" t="s">
        <v>117</v>
      </c>
      <c r="D225" s="1201"/>
      <c r="E225" s="1167"/>
      <c r="F225" s="1168"/>
      <c r="G225" s="1169"/>
      <c r="H225" s="1168"/>
      <c r="I225" s="1168"/>
      <c r="J225" s="1169"/>
      <c r="K225" s="1087"/>
      <c r="L225" s="1039"/>
      <c r="M225" s="1039"/>
      <c r="N225" s="1039"/>
      <c r="O225" s="1039"/>
      <c r="P225" s="1039"/>
      <c r="Q225" s="1039"/>
      <c r="R225" s="1039"/>
      <c r="S225" s="1039"/>
      <c r="T225" s="1039"/>
      <c r="U225" s="1039"/>
      <c r="V225" s="1039"/>
      <c r="W225" s="1039"/>
      <c r="X225" s="1039"/>
      <c r="Y225" s="1039"/>
      <c r="Z225" s="1039"/>
    </row>
    <row r="226" spans="1:26" ht="12.75" hidden="1" customHeight="1" outlineLevel="1">
      <c r="A226" s="1039"/>
      <c r="B226" s="1051"/>
      <c r="C226" s="1066" t="s">
        <v>117</v>
      </c>
      <c r="D226" s="1201"/>
      <c r="E226" s="1167"/>
      <c r="F226" s="1168"/>
      <c r="G226" s="1169"/>
      <c r="H226" s="1168"/>
      <c r="I226" s="1168"/>
      <c r="J226" s="1169"/>
      <c r="K226" s="1087"/>
      <c r="L226" s="1039"/>
      <c r="M226" s="1030"/>
      <c r="N226" s="1030"/>
      <c r="O226" s="1030"/>
      <c r="P226" s="1030"/>
      <c r="Q226" s="1030"/>
      <c r="R226" s="1030"/>
      <c r="S226" s="1030"/>
      <c r="T226" s="1030"/>
      <c r="U226" s="1030"/>
      <c r="V226" s="1030"/>
      <c r="W226" s="1030"/>
      <c r="X226" s="1030"/>
      <c r="Y226" s="1030"/>
      <c r="Z226" s="1030"/>
    </row>
    <row r="227" spans="1:26" ht="12.75" hidden="1" customHeight="1" outlineLevel="1">
      <c r="A227" s="1039"/>
      <c r="B227" s="1051"/>
      <c r="C227" s="1066" t="s">
        <v>117</v>
      </c>
      <c r="D227" s="1201"/>
      <c r="E227" s="1167"/>
      <c r="F227" s="1168"/>
      <c r="G227" s="1169"/>
      <c r="H227" s="1168"/>
      <c r="I227" s="1168"/>
      <c r="J227" s="1169"/>
      <c r="K227" s="1087"/>
      <c r="L227" s="1039"/>
      <c r="M227" s="1030"/>
      <c r="N227" s="1030"/>
      <c r="O227" s="1030"/>
      <c r="P227" s="1030"/>
      <c r="Q227" s="1030"/>
      <c r="R227" s="1030"/>
      <c r="S227" s="1030"/>
      <c r="T227" s="1030"/>
      <c r="U227" s="1030"/>
      <c r="V227" s="1030"/>
      <c r="W227" s="1030"/>
      <c r="X227" s="1030"/>
      <c r="Y227" s="1030"/>
      <c r="Z227" s="1030"/>
    </row>
    <row r="228" spans="1:26" ht="12.75" hidden="1" customHeight="1" outlineLevel="1">
      <c r="A228" s="1039"/>
      <c r="B228" s="1051"/>
      <c r="C228" s="1066" t="s">
        <v>117</v>
      </c>
      <c r="D228" s="1201"/>
      <c r="E228" s="1167"/>
      <c r="F228" s="1168"/>
      <c r="G228" s="1169"/>
      <c r="H228" s="1168"/>
      <c r="I228" s="1168"/>
      <c r="J228" s="1169"/>
      <c r="K228" s="1087"/>
      <c r="L228" s="1039"/>
      <c r="M228" s="1030"/>
      <c r="N228" s="1030"/>
      <c r="O228" s="1030"/>
      <c r="P228" s="1030"/>
      <c r="Q228" s="1030"/>
      <c r="R228" s="1030"/>
      <c r="S228" s="1030"/>
      <c r="T228" s="1030"/>
      <c r="U228" s="1030"/>
      <c r="V228" s="1030"/>
      <c r="W228" s="1030"/>
      <c r="X228" s="1030"/>
      <c r="Y228" s="1030"/>
      <c r="Z228" s="1030"/>
    </row>
    <row r="229" spans="1:26" ht="12.75" customHeight="1" collapsed="1">
      <c r="A229" s="1039"/>
      <c r="B229" s="1030"/>
      <c r="C229" s="1030"/>
      <c r="D229" s="1088" t="s">
        <v>3548</v>
      </c>
      <c r="E229" s="1089"/>
      <c r="F229" s="1089"/>
      <c r="G229" s="1089"/>
      <c r="H229" s="1090"/>
      <c r="I229" s="1089"/>
      <c r="J229" s="1089"/>
      <c r="K229" s="1091">
        <f>K216+SUM(K219:K228)</f>
        <v>0</v>
      </c>
      <c r="L229" s="1039"/>
      <c r="M229" s="1030"/>
      <c r="N229" s="1030"/>
      <c r="O229" s="1030"/>
      <c r="P229" s="1030"/>
      <c r="Q229" s="1030"/>
      <c r="R229" s="1030"/>
      <c r="S229" s="1030"/>
      <c r="T229" s="1030"/>
      <c r="U229" s="1030"/>
      <c r="V229" s="1030"/>
      <c r="W229" s="1030"/>
      <c r="X229" s="1030"/>
      <c r="Y229" s="1030"/>
      <c r="Z229" s="1030"/>
    </row>
    <row r="230" spans="1:26" ht="15.75" customHeight="1">
      <c r="A230" s="1039"/>
      <c r="B230" s="1030"/>
      <c r="C230" s="1030"/>
      <c r="D230" s="1030"/>
      <c r="E230" s="1172"/>
      <c r="F230" s="1172"/>
      <c r="G230" s="1172"/>
      <c r="H230" s="1172"/>
      <c r="I230" s="1172"/>
      <c r="J230" s="1172"/>
      <c r="K230" s="1172"/>
      <c r="L230" s="1039"/>
      <c r="M230" s="1171"/>
      <c r="N230" s="1171"/>
      <c r="O230" s="1171"/>
      <c r="P230" s="1171"/>
      <c r="Q230" s="1171"/>
      <c r="R230" s="1171"/>
      <c r="S230" s="1171"/>
      <c r="T230" s="1171"/>
      <c r="U230" s="1171"/>
      <c r="V230" s="1171"/>
      <c r="W230" s="1171"/>
      <c r="X230" s="1171"/>
      <c r="Y230" s="1171"/>
      <c r="Z230" s="1171"/>
    </row>
    <row r="231" spans="1:26" ht="15.75" customHeight="1">
      <c r="A231" s="1039"/>
      <c r="B231" s="1030"/>
      <c r="C231" s="1030"/>
      <c r="D231" s="1173" t="s">
        <v>3549</v>
      </c>
      <c r="E231" s="1174"/>
      <c r="F231" s="1174"/>
      <c r="G231" s="1174"/>
      <c r="H231" s="1174"/>
      <c r="I231" s="1175"/>
      <c r="J231" s="1174"/>
      <c r="K231" s="1176"/>
      <c r="L231" s="1039"/>
      <c r="M231" s="1171"/>
      <c r="N231" s="1171"/>
      <c r="O231" s="1171"/>
      <c r="P231" s="1171"/>
      <c r="Q231" s="1171"/>
      <c r="R231" s="1171"/>
      <c r="S231" s="1171"/>
      <c r="T231" s="1171"/>
      <c r="U231" s="1171"/>
      <c r="V231" s="1171"/>
      <c r="W231" s="1171"/>
      <c r="X231" s="1171"/>
      <c r="Y231" s="1171"/>
      <c r="Z231" s="1171"/>
    </row>
    <row r="232" spans="1:26" ht="15.75" customHeight="1">
      <c r="A232" s="1039"/>
      <c r="B232" s="1062" t="s">
        <v>3550</v>
      </c>
      <c r="C232" s="1063" t="s">
        <v>3374</v>
      </c>
      <c r="D232" s="1177" t="s">
        <v>3551</v>
      </c>
      <c r="E232" s="1064"/>
      <c r="F232" s="1064"/>
      <c r="G232" s="1064"/>
      <c r="H232" s="1064"/>
      <c r="I232" s="1097" t="s">
        <v>3377</v>
      </c>
      <c r="J232" s="1064"/>
      <c r="K232" s="1064" t="s">
        <v>3381</v>
      </c>
      <c r="L232" s="1039"/>
      <c r="M232" s="1171"/>
      <c r="N232" s="1171"/>
      <c r="O232" s="1171"/>
      <c r="P232" s="1171"/>
      <c r="Q232" s="1171"/>
      <c r="R232" s="1171"/>
      <c r="S232" s="1171"/>
      <c r="T232" s="1171"/>
      <c r="U232" s="1171"/>
      <c r="V232" s="1171"/>
      <c r="W232" s="1171"/>
      <c r="X232" s="1171"/>
      <c r="Y232" s="1171"/>
      <c r="Z232" s="1171"/>
    </row>
    <row r="233" spans="1:26" ht="12.75" customHeight="1">
      <c r="A233" s="1030"/>
      <c r="B233" s="1051" t="s">
        <v>3552</v>
      </c>
      <c r="C233" s="1066" t="s">
        <v>117</v>
      </c>
      <c r="D233" s="1178" t="str">
        <f>I2</f>
        <v>Master in Vendita</v>
      </c>
      <c r="E233" s="1179"/>
      <c r="F233" s="1180"/>
      <c r="G233" s="1181" t="str">
        <f>G2</f>
        <v>21-22-23 ottobre, 4-5-6 novembre, 2-3-4 dicembre</v>
      </c>
      <c r="H233" s="1180" t="str">
        <f>G3</f>
        <v>Lazise (VR)</v>
      </c>
      <c r="I233" s="1167"/>
      <c r="J233" s="1116"/>
      <c r="K233" s="1182">
        <f>F238</f>
        <v>0</v>
      </c>
      <c r="L233" s="1030"/>
      <c r="M233" s="1030"/>
      <c r="N233" s="1030"/>
      <c r="O233" s="1030"/>
      <c r="P233" s="1030"/>
      <c r="Q233" s="1030"/>
      <c r="R233" s="1030"/>
      <c r="S233" s="1030"/>
      <c r="T233" s="1030"/>
      <c r="U233" s="1030"/>
      <c r="V233" s="1030"/>
      <c r="W233" s="1030"/>
      <c r="X233" s="1030"/>
      <c r="Y233" s="1030"/>
      <c r="Z233" s="1030"/>
    </row>
    <row r="234" spans="1:26" ht="12.75" customHeight="1">
      <c r="A234" s="1030"/>
      <c r="B234" s="1051" t="s">
        <v>3553</v>
      </c>
      <c r="C234" s="1066" t="s">
        <v>117</v>
      </c>
      <c r="D234" s="1183" t="s">
        <v>3352</v>
      </c>
      <c r="E234" s="1184"/>
      <c r="F234" s="1179"/>
      <c r="G234" s="1179"/>
      <c r="H234" s="1185"/>
      <c r="I234" s="1167"/>
      <c r="J234" s="1116"/>
      <c r="K234" s="1068">
        <f>K212-SUMIF(D97:D211,"x",K97:K211)</f>
        <v>0</v>
      </c>
      <c r="L234" s="1030"/>
      <c r="M234" s="1030"/>
      <c r="N234" s="1030"/>
      <c r="O234" s="1030"/>
      <c r="P234" s="1030"/>
      <c r="Q234" s="1030"/>
      <c r="R234" s="1030"/>
      <c r="S234" s="1030"/>
      <c r="T234" s="1030"/>
      <c r="U234" s="1030"/>
      <c r="V234" s="1030"/>
      <c r="W234" s="1030"/>
      <c r="X234" s="1030"/>
      <c r="Y234" s="1030"/>
      <c r="Z234" s="1030"/>
    </row>
    <row r="235" spans="1:26" ht="12.75" customHeight="1">
      <c r="A235" s="1030"/>
      <c r="B235" s="1030"/>
      <c r="C235" s="1030"/>
      <c r="D235" s="1030"/>
      <c r="E235" s="1030"/>
      <c r="F235" s="1030"/>
      <c r="G235" s="1030"/>
      <c r="H235" s="1186"/>
      <c r="I235" s="1030"/>
      <c r="J235" s="1030"/>
      <c r="K235" s="1030"/>
      <c r="L235" s="1030"/>
      <c r="M235" s="1030"/>
      <c r="N235" s="1030"/>
      <c r="O235" s="1030"/>
      <c r="P235" s="1030"/>
      <c r="Q235" s="1030"/>
      <c r="R235" s="1030"/>
      <c r="S235" s="1030"/>
      <c r="T235" s="1030"/>
      <c r="U235" s="1030"/>
      <c r="V235" s="1030"/>
      <c r="W235" s="1030"/>
      <c r="X235" s="1030"/>
      <c r="Y235" s="1030"/>
      <c r="Z235" s="1030"/>
    </row>
    <row r="236" spans="1:26" ht="15.75" customHeight="1">
      <c r="A236" s="1030"/>
      <c r="B236" s="1030"/>
      <c r="C236" s="1030"/>
      <c r="D236" s="1088" t="s">
        <v>3554</v>
      </c>
      <c r="E236" s="1089"/>
      <c r="F236" s="1187"/>
      <c r="G236" s="1030"/>
      <c r="H236" s="1030"/>
      <c r="I236" s="1030"/>
      <c r="J236" s="1030" t="s">
        <v>3555</v>
      </c>
      <c r="K236" s="1186"/>
      <c r="L236" s="1030"/>
      <c r="M236" s="1171"/>
      <c r="N236" s="1171"/>
      <c r="O236" s="1171"/>
      <c r="P236" s="1171"/>
      <c r="Q236" s="1171"/>
      <c r="R236" s="1171"/>
      <c r="S236" s="1171"/>
      <c r="T236" s="1171"/>
      <c r="U236" s="1171"/>
      <c r="V236" s="1171"/>
      <c r="W236" s="1171"/>
      <c r="X236" s="1171"/>
      <c r="Y236" s="1171"/>
      <c r="Z236" s="1171"/>
    </row>
    <row r="237" spans="1:26" ht="15.75" customHeight="1">
      <c r="A237" s="1030"/>
      <c r="B237" s="1030"/>
      <c r="C237" s="1030"/>
      <c r="D237" s="1034" t="s">
        <v>3556</v>
      </c>
      <c r="E237" s="1034"/>
      <c r="F237" s="1072">
        <f>K90+SUMIF(D94,"x",K94)+SUMIF(D97:D211,"x",K97:K211)</f>
        <v>112012.32609090909</v>
      </c>
      <c r="G237" s="1030"/>
      <c r="H237" s="1134"/>
      <c r="I237" s="1030"/>
      <c r="J237" s="1060"/>
      <c r="K237" s="1060"/>
      <c r="L237" s="1030"/>
      <c r="M237" s="1030"/>
      <c r="N237" s="1030"/>
      <c r="O237" s="1030"/>
      <c r="P237" s="1030"/>
      <c r="Q237" s="1030"/>
      <c r="R237" s="1030"/>
      <c r="S237" s="1030"/>
      <c r="T237" s="1030"/>
      <c r="U237" s="1030"/>
      <c r="V237" s="1030"/>
      <c r="W237" s="1030"/>
      <c r="X237" s="1030"/>
      <c r="Y237" s="1030"/>
      <c r="Z237" s="1030"/>
    </row>
    <row r="238" spans="1:26" ht="15.75" customHeight="1">
      <c r="A238" s="1171"/>
      <c r="B238" s="1030"/>
      <c r="C238" s="1030"/>
      <c r="D238" s="1034" t="s">
        <v>3343</v>
      </c>
      <c r="E238" s="1188"/>
      <c r="F238" s="1072">
        <f>K2</f>
        <v>0</v>
      </c>
      <c r="G238" s="1171"/>
      <c r="H238" s="1134"/>
      <c r="I238" s="1171"/>
      <c r="J238" s="1060"/>
      <c r="K238" s="1060"/>
      <c r="L238" s="1171"/>
      <c r="M238" s="1030"/>
      <c r="N238" s="1030"/>
      <c r="O238" s="1030"/>
      <c r="P238" s="1030"/>
      <c r="Q238" s="1030"/>
      <c r="R238" s="1030"/>
      <c r="S238" s="1030"/>
      <c r="T238" s="1030"/>
      <c r="U238" s="1030"/>
      <c r="V238" s="1030"/>
      <c r="W238" s="1030"/>
      <c r="X238" s="1030"/>
      <c r="Y238" s="1030"/>
      <c r="Z238" s="1030"/>
    </row>
    <row r="239" spans="1:26" ht="15.75" customHeight="1">
      <c r="A239" s="1171"/>
      <c r="B239" s="1030"/>
      <c r="C239" s="1030"/>
      <c r="D239" s="1034" t="s">
        <v>3557</v>
      </c>
      <c r="E239" s="1188"/>
      <c r="F239" s="1072">
        <f>IF(E3=0,0,F238/E3)</f>
        <v>0</v>
      </c>
      <c r="G239" s="1189"/>
      <c r="H239" s="1134"/>
      <c r="I239" s="1171"/>
      <c r="J239" s="1030"/>
      <c r="K239" s="1030"/>
      <c r="L239" s="1171"/>
      <c r="M239" s="1030"/>
      <c r="N239" s="1030"/>
      <c r="O239" s="1030"/>
      <c r="P239" s="1030"/>
      <c r="Q239" s="1030"/>
      <c r="R239" s="1030"/>
      <c r="S239" s="1030"/>
      <c r="T239" s="1030"/>
      <c r="U239" s="1030"/>
      <c r="V239" s="1030"/>
      <c r="W239" s="1030"/>
      <c r="X239" s="1030"/>
      <c r="Y239" s="1030"/>
      <c r="Z239" s="1030"/>
    </row>
    <row r="240" spans="1:26" ht="15.75" customHeight="1">
      <c r="A240" s="1030"/>
      <c r="B240" s="1030"/>
      <c r="C240" s="1030"/>
      <c r="D240" s="1034" t="s">
        <v>3352</v>
      </c>
      <c r="E240" s="1188"/>
      <c r="F240" s="1190" t="str">
        <f>K3</f>
        <v>Incluse</v>
      </c>
      <c r="G240" s="1189"/>
      <c r="H240" s="1134"/>
      <c r="I240" s="1171"/>
      <c r="J240" s="1039"/>
      <c r="K240" s="1039"/>
      <c r="L240" s="1030"/>
      <c r="M240" s="1030"/>
      <c r="N240" s="1030"/>
      <c r="O240" s="1030"/>
      <c r="P240" s="1030"/>
      <c r="Q240" s="1030"/>
      <c r="R240" s="1030"/>
      <c r="S240" s="1030"/>
      <c r="T240" s="1030"/>
      <c r="U240" s="1030"/>
      <c r="V240" s="1030"/>
      <c r="W240" s="1030"/>
      <c r="X240" s="1030"/>
      <c r="Y240" s="1030"/>
      <c r="Z240" s="1030"/>
    </row>
    <row r="241" spans="1:26" ht="15.75" customHeight="1">
      <c r="A241" s="1030"/>
      <c r="B241" s="1030"/>
      <c r="C241" s="1030"/>
      <c r="D241" s="1034" t="s">
        <v>3350</v>
      </c>
      <c r="E241" s="1188"/>
      <c r="F241" s="1190" t="str">
        <f>I3</f>
        <v>Autofinanziato</v>
      </c>
      <c r="G241" s="1189"/>
      <c r="H241" s="1134"/>
      <c r="I241" s="1030"/>
      <c r="J241" s="1060"/>
      <c r="K241" s="1172"/>
      <c r="L241" s="1030"/>
      <c r="M241" s="1030"/>
      <c r="N241" s="1030"/>
      <c r="O241" s="1030"/>
      <c r="P241" s="1030"/>
      <c r="Q241" s="1030"/>
      <c r="R241" s="1030"/>
      <c r="S241" s="1030"/>
      <c r="T241" s="1030"/>
      <c r="U241" s="1030"/>
      <c r="V241" s="1030"/>
      <c r="W241" s="1030"/>
      <c r="X241" s="1030"/>
      <c r="Y241" s="1030"/>
      <c r="Z241" s="1030"/>
    </row>
    <row r="242" spans="1:26" ht="15.75" customHeight="1">
      <c r="A242" s="1030"/>
      <c r="B242" s="1030"/>
      <c r="C242" s="1030"/>
      <c r="D242" s="1034" t="s">
        <v>3558</v>
      </c>
      <c r="E242" s="1188"/>
      <c r="F242" s="1072">
        <f>K216</f>
        <v>0</v>
      </c>
      <c r="G242" s="1189"/>
      <c r="H242" s="1134"/>
      <c r="I242" s="1030"/>
      <c r="J242" s="1060"/>
      <c r="K242" s="1172"/>
      <c r="L242" s="1030"/>
      <c r="M242" s="1030"/>
      <c r="N242" s="1030"/>
      <c r="O242" s="1030"/>
      <c r="P242" s="1030"/>
      <c r="Q242" s="1030"/>
      <c r="R242" s="1030"/>
      <c r="S242" s="1030"/>
      <c r="T242" s="1030"/>
      <c r="U242" s="1030"/>
      <c r="V242" s="1030"/>
      <c r="W242" s="1030"/>
      <c r="X242" s="1030"/>
      <c r="Y242" s="1030"/>
      <c r="Z242" s="1030"/>
    </row>
    <row r="243" spans="1:26" ht="15" customHeight="1">
      <c r="A243" s="1030"/>
      <c r="B243" s="1030"/>
      <c r="C243" s="1030"/>
      <c r="D243" s="1034" t="s">
        <v>3361</v>
      </c>
      <c r="E243" s="1191">
        <f t="shared" ref="E243:E247" si="16">J7</f>
        <v>0</v>
      </c>
      <c r="F243" s="1072">
        <f>'Lista Corso'!BS490</f>
        <v>0</v>
      </c>
      <c r="G243" s="1189"/>
      <c r="H243" s="1134"/>
      <c r="I243" s="1171"/>
      <c r="J243" s="1060"/>
      <c r="K243" s="1172"/>
      <c r="L243" s="1030"/>
      <c r="M243" s="1030"/>
      <c r="N243" s="1030"/>
      <c r="O243" s="1030"/>
      <c r="P243" s="1030"/>
      <c r="Q243" s="1030"/>
      <c r="R243" s="1030"/>
      <c r="S243" s="1030"/>
      <c r="T243" s="1030"/>
      <c r="U243" s="1030"/>
      <c r="V243" s="1030"/>
      <c r="W243" s="1030"/>
      <c r="X243" s="1030"/>
      <c r="Y243" s="1030"/>
      <c r="Z243" s="1030"/>
    </row>
    <row r="244" spans="1:26" ht="15.75" customHeight="1">
      <c r="A244" s="1030"/>
      <c r="B244" s="1030"/>
      <c r="C244" s="1030"/>
      <c r="D244" s="1034" t="s">
        <v>3559</v>
      </c>
      <c r="E244" s="1191">
        <f t="shared" si="16"/>
        <v>0</v>
      </c>
      <c r="F244" s="1072">
        <f>'Lista Corso'!CA490</f>
        <v>0</v>
      </c>
      <c r="G244" s="1189"/>
      <c r="H244" s="1134"/>
      <c r="I244" s="1030"/>
      <c r="J244" s="1060"/>
      <c r="K244" s="1172"/>
      <c r="L244" s="1030"/>
      <c r="M244" s="1030"/>
      <c r="N244" s="1030"/>
      <c r="O244" s="1030"/>
      <c r="P244" s="1030"/>
      <c r="Q244" s="1030"/>
      <c r="R244" s="1030"/>
      <c r="S244" s="1030"/>
      <c r="T244" s="1030"/>
      <c r="U244" s="1030"/>
      <c r="V244" s="1030"/>
      <c r="W244" s="1030"/>
      <c r="X244" s="1030"/>
      <c r="Y244" s="1030"/>
      <c r="Z244" s="1030"/>
    </row>
    <row r="245" spans="1:26" ht="15.75" hidden="1" customHeight="1">
      <c r="A245" s="1030"/>
      <c r="B245" s="1030"/>
      <c r="C245" s="1030"/>
      <c r="D245" s="1034" t="s">
        <v>3365</v>
      </c>
      <c r="E245" s="1191">
        <f t="shared" si="16"/>
        <v>0</v>
      </c>
      <c r="F245" s="1072">
        <f>K221</f>
        <v>0</v>
      </c>
      <c r="G245" s="1189"/>
      <c r="H245" s="1134"/>
      <c r="I245" s="1030"/>
      <c r="J245" s="1060"/>
      <c r="K245" s="1172"/>
      <c r="L245" s="1030"/>
      <c r="M245" s="1030"/>
      <c r="N245" s="1030"/>
      <c r="O245" s="1030"/>
      <c r="P245" s="1030"/>
      <c r="Q245" s="1030"/>
      <c r="R245" s="1030"/>
      <c r="S245" s="1030"/>
      <c r="T245" s="1030"/>
      <c r="U245" s="1030"/>
      <c r="V245" s="1030"/>
      <c r="W245" s="1030"/>
      <c r="X245" s="1030"/>
      <c r="Y245" s="1030"/>
      <c r="Z245" s="1030"/>
    </row>
    <row r="246" spans="1:26" ht="15.75" hidden="1" customHeight="1">
      <c r="A246" s="1030"/>
      <c r="B246" s="1030"/>
      <c r="C246" s="1030"/>
      <c r="D246" s="1034" t="s">
        <v>3367</v>
      </c>
      <c r="E246" s="1191">
        <f t="shared" si="16"/>
        <v>0</v>
      </c>
      <c r="F246" s="1072">
        <f>E246*(F238-SUMIF(D94,"x",K94)-SUMIF(D104:D211,"x",K104:K211))</f>
        <v>0</v>
      </c>
      <c r="G246" s="1192"/>
      <c r="H246" s="1134"/>
      <c r="I246" s="1030"/>
      <c r="J246" s="1193"/>
      <c r="K246" s="1172"/>
      <c r="L246" s="1030"/>
      <c r="M246" s="1030"/>
      <c r="N246" s="1030"/>
      <c r="O246" s="1030"/>
      <c r="P246" s="1030"/>
      <c r="Q246" s="1030"/>
      <c r="R246" s="1030"/>
      <c r="S246" s="1030"/>
      <c r="T246" s="1030"/>
      <c r="U246" s="1030"/>
      <c r="V246" s="1030"/>
      <c r="W246" s="1030"/>
      <c r="X246" s="1030"/>
      <c r="Y246" s="1030"/>
      <c r="Z246" s="1030"/>
    </row>
    <row r="247" spans="1:26" ht="15.75" hidden="1" customHeight="1">
      <c r="A247" s="1030"/>
      <c r="B247" s="1030"/>
      <c r="C247" s="1030"/>
      <c r="D247" s="1034" t="s">
        <v>3369</v>
      </c>
      <c r="E247" s="1191">
        <f t="shared" si="16"/>
        <v>0</v>
      </c>
      <c r="F247" s="1072">
        <f>E247*(F238-SUMIF(D94,"x",K94)-SUMIF(D104:D211,"x",K104:K211))</f>
        <v>0</v>
      </c>
      <c r="G247" s="1189"/>
      <c r="H247" s="1186"/>
      <c r="I247" s="1030"/>
      <c r="J247" s="1030"/>
      <c r="K247" s="1030"/>
      <c r="L247" s="1030"/>
      <c r="M247" s="1030"/>
      <c r="N247" s="1030"/>
      <c r="O247" s="1030"/>
      <c r="P247" s="1030"/>
      <c r="Q247" s="1030"/>
      <c r="R247" s="1030"/>
      <c r="S247" s="1030"/>
      <c r="T247" s="1030"/>
      <c r="U247" s="1030"/>
      <c r="V247" s="1030"/>
      <c r="W247" s="1030"/>
      <c r="X247" s="1030"/>
      <c r="Y247" s="1030"/>
      <c r="Z247" s="1030"/>
    </row>
    <row r="248" spans="1:26" ht="12.75" customHeight="1">
      <c r="A248" s="1030"/>
      <c r="B248" s="1030"/>
      <c r="C248" s="1030"/>
      <c r="D248" s="1034" t="s">
        <v>3560</v>
      </c>
      <c r="E248" s="1034"/>
      <c r="F248" s="1072">
        <f>F238-F237-F242-F243-F244-F245-F246-F247</f>
        <v>-112012.32609090909</v>
      </c>
      <c r="G248" s="1030"/>
      <c r="H248" s="1186"/>
      <c r="I248" s="1030"/>
      <c r="J248" s="1030"/>
      <c r="K248" s="1030"/>
      <c r="L248" s="1030"/>
      <c r="M248" s="1030"/>
      <c r="N248" s="1030"/>
      <c r="O248" s="1030"/>
      <c r="P248" s="1030"/>
      <c r="Q248" s="1030"/>
      <c r="R248" s="1030"/>
      <c r="S248" s="1030"/>
      <c r="T248" s="1030"/>
      <c r="U248" s="1030"/>
      <c r="V248" s="1030"/>
      <c r="W248" s="1030"/>
      <c r="X248" s="1030"/>
      <c r="Y248" s="1030"/>
      <c r="Z248" s="1030"/>
    </row>
    <row r="249" spans="1:26" ht="12.75" customHeight="1">
      <c r="A249" s="1030"/>
      <c r="B249" s="1030"/>
      <c r="C249" s="1030"/>
      <c r="D249" s="1034" t="s">
        <v>3561</v>
      </c>
      <c r="E249" s="1034"/>
      <c r="F249" s="1194">
        <f>IF(F238=0,0,F248/F238)</f>
        <v>0</v>
      </c>
      <c r="G249" s="1186"/>
      <c r="H249" s="1030"/>
      <c r="I249" s="1030"/>
      <c r="J249" s="1030"/>
      <c r="K249" s="1030"/>
      <c r="L249" s="1030"/>
      <c r="M249" s="1030"/>
      <c r="N249" s="1030"/>
      <c r="O249" s="1030"/>
      <c r="P249" s="1030"/>
      <c r="Q249" s="1030"/>
      <c r="R249" s="1030"/>
      <c r="S249" s="1030"/>
      <c r="T249" s="1030"/>
      <c r="U249" s="1030"/>
      <c r="V249" s="1030"/>
      <c r="W249" s="1030"/>
      <c r="X249" s="1030"/>
      <c r="Y249" s="1030"/>
      <c r="Z249" s="1030"/>
    </row>
    <row r="250" spans="1:26" ht="12.75" customHeight="1">
      <c r="A250" s="1030"/>
      <c r="B250" s="1030"/>
      <c r="C250" s="1030"/>
      <c r="D250" s="1030"/>
      <c r="E250" s="1030"/>
      <c r="F250" s="1030"/>
      <c r="G250" s="1186"/>
      <c r="H250" s="1030"/>
      <c r="I250" s="1030"/>
      <c r="J250" s="1030"/>
      <c r="K250" s="1030"/>
      <c r="L250" s="1030"/>
      <c r="M250" s="1030"/>
      <c r="N250" s="1030"/>
      <c r="O250" s="1030"/>
      <c r="P250" s="1030"/>
      <c r="Q250" s="1030"/>
      <c r="R250" s="1030"/>
      <c r="S250" s="1030"/>
      <c r="T250" s="1030"/>
      <c r="U250" s="1030"/>
      <c r="V250" s="1030"/>
      <c r="W250" s="1030"/>
      <c r="X250" s="1030"/>
      <c r="Y250" s="1030"/>
      <c r="Z250" s="1030"/>
    </row>
    <row r="251" spans="1:26" ht="12.75" customHeight="1">
      <c r="A251" s="1030"/>
      <c r="B251" s="1030"/>
      <c r="C251" s="1030"/>
      <c r="D251" s="1030"/>
      <c r="E251" s="1030"/>
      <c r="F251" s="1030"/>
      <c r="G251" s="1030"/>
      <c r="H251" s="1186"/>
      <c r="I251" s="1030"/>
      <c r="J251" s="1030"/>
      <c r="K251" s="1030"/>
      <c r="L251" s="1030"/>
      <c r="M251" s="1030"/>
      <c r="N251" s="1030"/>
      <c r="O251" s="1030"/>
      <c r="P251" s="1030"/>
      <c r="Q251" s="1030"/>
      <c r="R251" s="1030"/>
      <c r="S251" s="1030"/>
      <c r="T251" s="1030"/>
      <c r="U251" s="1030"/>
      <c r="V251" s="1030"/>
      <c r="W251" s="1030"/>
      <c r="X251" s="1030"/>
      <c r="Y251" s="1030"/>
      <c r="Z251" s="1030"/>
    </row>
    <row r="252" spans="1:26" ht="12.75" customHeight="1">
      <c r="A252" s="1030"/>
      <c r="B252" s="1030"/>
      <c r="C252" s="1030"/>
      <c r="D252" s="1030"/>
      <c r="E252" s="1030"/>
      <c r="F252" s="1030"/>
      <c r="G252" s="1030"/>
      <c r="H252" s="1186"/>
      <c r="I252" s="1030"/>
      <c r="J252" s="1030"/>
      <c r="K252" s="1030"/>
      <c r="L252" s="1030"/>
      <c r="M252" s="1030"/>
      <c r="N252" s="1030"/>
      <c r="O252" s="1030"/>
      <c r="P252" s="1030"/>
      <c r="Q252" s="1030"/>
      <c r="R252" s="1030"/>
      <c r="S252" s="1030"/>
      <c r="T252" s="1030"/>
      <c r="U252" s="1030"/>
      <c r="V252" s="1030"/>
      <c r="W252" s="1030"/>
      <c r="X252" s="1030"/>
      <c r="Y252" s="1030"/>
      <c r="Z252" s="1030"/>
    </row>
    <row r="253" spans="1:26" ht="12.75" customHeight="1">
      <c r="A253" s="1030"/>
      <c r="B253" s="1030"/>
      <c r="C253" s="1030"/>
      <c r="D253" s="1030"/>
      <c r="E253" s="1030"/>
      <c r="F253" s="1030"/>
      <c r="G253" s="1030"/>
      <c r="H253" s="1186"/>
      <c r="I253" s="1030"/>
      <c r="J253" s="1030"/>
      <c r="K253" s="1030"/>
      <c r="L253" s="1030"/>
      <c r="M253" s="1030"/>
      <c r="N253" s="1030"/>
      <c r="O253" s="1030"/>
      <c r="P253" s="1030"/>
      <c r="Q253" s="1030"/>
      <c r="R253" s="1030"/>
      <c r="S253" s="1030"/>
      <c r="T253" s="1030"/>
      <c r="U253" s="1030"/>
      <c r="V253" s="1030"/>
      <c r="W253" s="1030"/>
      <c r="X253" s="1030"/>
      <c r="Y253" s="1030"/>
      <c r="Z253" s="1030"/>
    </row>
    <row r="254" spans="1:26" ht="12.75" customHeight="1">
      <c r="A254" s="1030"/>
      <c r="B254" s="1030"/>
      <c r="C254" s="1030"/>
      <c r="D254" s="1030"/>
      <c r="E254" s="1030"/>
      <c r="F254" s="1030"/>
      <c r="G254" s="1030"/>
      <c r="H254" s="1186"/>
      <c r="I254" s="1030"/>
      <c r="J254" s="1030"/>
      <c r="K254" s="1030"/>
      <c r="L254" s="1030"/>
      <c r="M254" s="1030"/>
      <c r="N254" s="1030"/>
      <c r="O254" s="1030"/>
      <c r="P254" s="1030"/>
      <c r="Q254" s="1030"/>
      <c r="R254" s="1030"/>
      <c r="S254" s="1030"/>
      <c r="T254" s="1030"/>
      <c r="U254" s="1030"/>
      <c r="V254" s="1030"/>
      <c r="W254" s="1030"/>
      <c r="X254" s="1030"/>
      <c r="Y254" s="1030"/>
      <c r="Z254" s="1030"/>
    </row>
    <row r="255" spans="1:26" ht="12.75" customHeight="1">
      <c r="A255" s="1030"/>
      <c r="B255" s="1030"/>
      <c r="C255" s="1030"/>
      <c r="D255" s="1030"/>
      <c r="E255" s="1030"/>
      <c r="F255" s="1030"/>
      <c r="G255" s="1030"/>
      <c r="H255" s="1186"/>
      <c r="I255" s="1030"/>
      <c r="J255" s="1030"/>
      <c r="K255" s="1030"/>
      <c r="L255" s="1030"/>
      <c r="M255" s="1030"/>
      <c r="N255" s="1030"/>
      <c r="O255" s="1030"/>
      <c r="P255" s="1030"/>
      <c r="Q255" s="1030"/>
      <c r="R255" s="1030"/>
      <c r="S255" s="1030"/>
      <c r="T255" s="1030"/>
      <c r="U255" s="1030"/>
      <c r="V255" s="1030"/>
      <c r="W255" s="1030"/>
      <c r="X255" s="1030"/>
      <c r="Y255" s="1030"/>
      <c r="Z255" s="1030"/>
    </row>
    <row r="256" spans="1:26" ht="12.75" customHeight="1">
      <c r="A256" s="1030"/>
      <c r="B256" s="1030"/>
      <c r="C256" s="1030"/>
      <c r="D256" s="1030"/>
      <c r="E256" s="1030"/>
      <c r="F256" s="1030"/>
      <c r="G256" s="1030"/>
      <c r="H256" s="1186"/>
      <c r="I256" s="1030"/>
      <c r="J256" s="1030"/>
      <c r="K256" s="1030"/>
      <c r="L256" s="1030"/>
      <c r="M256" s="1030"/>
      <c r="N256" s="1030"/>
      <c r="O256" s="1030"/>
      <c r="P256" s="1030"/>
      <c r="Q256" s="1030"/>
      <c r="R256" s="1030"/>
      <c r="S256" s="1030"/>
      <c r="T256" s="1030"/>
      <c r="U256" s="1030"/>
      <c r="V256" s="1030"/>
      <c r="W256" s="1030"/>
      <c r="X256" s="1030"/>
      <c r="Y256" s="1030"/>
      <c r="Z256" s="1030"/>
    </row>
    <row r="257" spans="1:26" ht="12.75" customHeight="1">
      <c r="A257" s="1030"/>
      <c r="B257" s="1030"/>
      <c r="C257" s="1030"/>
      <c r="D257" s="1030"/>
      <c r="E257" s="1030"/>
      <c r="F257" s="1030"/>
      <c r="G257" s="1030"/>
      <c r="H257" s="1186"/>
      <c r="I257" s="1030"/>
      <c r="J257" s="1030"/>
      <c r="K257" s="1030"/>
      <c r="L257" s="1030"/>
      <c r="M257" s="1030"/>
      <c r="N257" s="1030"/>
      <c r="O257" s="1030"/>
      <c r="P257" s="1030"/>
      <c r="Q257" s="1030"/>
      <c r="R257" s="1030"/>
      <c r="S257" s="1030"/>
      <c r="T257" s="1030"/>
      <c r="U257" s="1030"/>
      <c r="V257" s="1030"/>
      <c r="W257" s="1030"/>
      <c r="X257" s="1030"/>
      <c r="Y257" s="1030"/>
      <c r="Z257" s="1030"/>
    </row>
    <row r="258" spans="1:26" ht="12.75" customHeight="1">
      <c r="A258" s="1030"/>
      <c r="B258" s="1030"/>
      <c r="C258" s="1030"/>
      <c r="D258" s="1030"/>
      <c r="E258" s="1030"/>
      <c r="F258" s="1030"/>
      <c r="G258" s="1030"/>
      <c r="H258" s="1186"/>
      <c r="I258" s="1030"/>
      <c r="J258" s="1030"/>
      <c r="K258" s="1030"/>
      <c r="L258" s="1030"/>
      <c r="M258" s="1030"/>
      <c r="N258" s="1030"/>
      <c r="O258" s="1030"/>
      <c r="P258" s="1030"/>
      <c r="Q258" s="1030"/>
      <c r="R258" s="1030"/>
      <c r="S258" s="1030"/>
      <c r="T258" s="1030"/>
      <c r="U258" s="1030"/>
      <c r="V258" s="1030"/>
      <c r="W258" s="1030"/>
      <c r="X258" s="1030"/>
      <c r="Y258" s="1030"/>
      <c r="Z258" s="1030"/>
    </row>
    <row r="259" spans="1:26" ht="12.75" customHeight="1">
      <c r="A259" s="1030"/>
      <c r="B259" s="1030"/>
      <c r="C259" s="1030"/>
      <c r="D259" s="1030"/>
      <c r="E259" s="1030"/>
      <c r="F259" s="1030"/>
      <c r="G259" s="1030"/>
      <c r="H259" s="1186"/>
      <c r="I259" s="1030"/>
      <c r="J259" s="1030"/>
      <c r="K259" s="1030"/>
      <c r="L259" s="1030"/>
      <c r="M259" s="1030"/>
      <c r="N259" s="1030"/>
      <c r="O259" s="1030"/>
      <c r="P259" s="1030"/>
      <c r="Q259" s="1030"/>
      <c r="R259" s="1030"/>
      <c r="S259" s="1030"/>
      <c r="T259" s="1030"/>
      <c r="U259" s="1030"/>
      <c r="V259" s="1030"/>
      <c r="W259" s="1030"/>
      <c r="X259" s="1030"/>
      <c r="Y259" s="1030"/>
      <c r="Z259" s="1030"/>
    </row>
    <row r="260" spans="1:26" ht="12.75" customHeight="1">
      <c r="A260" s="1030"/>
      <c r="B260" s="1030"/>
      <c r="C260" s="1030"/>
      <c r="D260" s="1030"/>
      <c r="E260" s="1030"/>
      <c r="F260" s="1030"/>
      <c r="G260" s="1030"/>
      <c r="H260" s="1186"/>
      <c r="I260" s="1030"/>
      <c r="J260" s="1030"/>
      <c r="K260" s="1030"/>
      <c r="L260" s="1030"/>
      <c r="M260" s="1030"/>
      <c r="N260" s="1030"/>
      <c r="O260" s="1030"/>
      <c r="P260" s="1030"/>
      <c r="Q260" s="1030"/>
      <c r="R260" s="1030"/>
      <c r="S260" s="1030"/>
      <c r="T260" s="1030"/>
      <c r="U260" s="1030"/>
      <c r="V260" s="1030"/>
      <c r="W260" s="1030"/>
      <c r="X260" s="1030"/>
      <c r="Y260" s="1030"/>
      <c r="Z260" s="1030"/>
    </row>
    <row r="261" spans="1:26" ht="12.75" customHeight="1">
      <c r="A261" s="1030"/>
      <c r="B261" s="1030"/>
      <c r="C261" s="1030"/>
      <c r="D261" s="1030"/>
      <c r="E261" s="1030"/>
      <c r="F261" s="1030"/>
      <c r="G261" s="1030"/>
      <c r="H261" s="1186"/>
      <c r="I261" s="1030"/>
      <c r="J261" s="1030"/>
      <c r="K261" s="1030"/>
      <c r="L261" s="1030"/>
      <c r="M261" s="1030"/>
      <c r="N261" s="1030"/>
      <c r="O261" s="1030"/>
      <c r="P261" s="1030"/>
      <c r="Q261" s="1030"/>
      <c r="R261" s="1030"/>
      <c r="S261" s="1030"/>
      <c r="T261" s="1030"/>
      <c r="U261" s="1030"/>
      <c r="V261" s="1030"/>
      <c r="W261" s="1030"/>
      <c r="X261" s="1030"/>
      <c r="Y261" s="1030"/>
      <c r="Z261" s="1030"/>
    </row>
    <row r="262" spans="1:26" ht="12.75" customHeight="1">
      <c r="A262" s="1030"/>
      <c r="B262" s="1030"/>
      <c r="C262" s="1030"/>
      <c r="D262" s="1030"/>
      <c r="E262" s="1030"/>
      <c r="F262" s="1030"/>
      <c r="G262" s="1030"/>
      <c r="H262" s="1186"/>
      <c r="I262" s="1030"/>
      <c r="J262" s="1030"/>
      <c r="K262" s="1030"/>
      <c r="L262" s="1030"/>
      <c r="M262" s="1030"/>
      <c r="N262" s="1030"/>
      <c r="O262" s="1030"/>
      <c r="P262" s="1030"/>
      <c r="Q262" s="1030"/>
      <c r="R262" s="1030"/>
      <c r="S262" s="1030"/>
      <c r="T262" s="1030"/>
      <c r="U262" s="1030"/>
      <c r="V262" s="1030"/>
      <c r="W262" s="1030"/>
      <c r="X262" s="1030"/>
      <c r="Y262" s="1030"/>
      <c r="Z262" s="1030"/>
    </row>
    <row r="263" spans="1:26" ht="12.75" customHeight="1">
      <c r="A263" s="1030"/>
      <c r="B263" s="1030"/>
      <c r="C263" s="1030"/>
      <c r="D263" s="1030"/>
      <c r="E263" s="1030"/>
      <c r="F263" s="1030"/>
      <c r="G263" s="1030"/>
      <c r="H263" s="1186"/>
      <c r="I263" s="1030"/>
      <c r="J263" s="1030"/>
      <c r="K263" s="1030"/>
      <c r="L263" s="1030"/>
      <c r="M263" s="1030"/>
      <c r="N263" s="1030"/>
      <c r="O263" s="1030"/>
      <c r="P263" s="1030"/>
      <c r="Q263" s="1030"/>
      <c r="R263" s="1030"/>
      <c r="S263" s="1030"/>
      <c r="T263" s="1030"/>
      <c r="U263" s="1030"/>
      <c r="V263" s="1030"/>
      <c r="W263" s="1030"/>
      <c r="X263" s="1030"/>
      <c r="Y263" s="1030"/>
      <c r="Z263" s="1030"/>
    </row>
    <row r="264" spans="1:26" ht="12.75" customHeight="1">
      <c r="A264" s="1030"/>
      <c r="B264" s="1030"/>
      <c r="C264" s="1030"/>
      <c r="D264" s="1030"/>
      <c r="E264" s="1030"/>
      <c r="F264" s="1030"/>
      <c r="G264" s="1030"/>
      <c r="H264" s="1186"/>
      <c r="I264" s="1030"/>
      <c r="J264" s="1030"/>
      <c r="K264" s="1030"/>
      <c r="L264" s="1030"/>
      <c r="M264" s="1030"/>
      <c r="N264" s="1030"/>
      <c r="O264" s="1030"/>
      <c r="P264" s="1030"/>
      <c r="Q264" s="1030"/>
      <c r="R264" s="1030"/>
      <c r="S264" s="1030"/>
      <c r="T264" s="1030"/>
      <c r="U264" s="1030"/>
      <c r="V264" s="1030"/>
      <c r="W264" s="1030"/>
      <c r="X264" s="1030"/>
      <c r="Y264" s="1030"/>
      <c r="Z264" s="1030"/>
    </row>
    <row r="265" spans="1:26" ht="12.75" customHeight="1">
      <c r="A265" s="1030"/>
      <c r="B265" s="1030"/>
      <c r="C265" s="1030"/>
      <c r="D265" s="1030"/>
      <c r="E265" s="1030"/>
      <c r="F265" s="1030"/>
      <c r="G265" s="1030"/>
      <c r="H265" s="1186"/>
      <c r="I265" s="1030"/>
      <c r="J265" s="1030"/>
      <c r="K265" s="1030"/>
      <c r="L265" s="1030"/>
      <c r="M265" s="1030"/>
      <c r="N265" s="1030"/>
      <c r="O265" s="1030"/>
      <c r="P265" s="1030"/>
      <c r="Q265" s="1030"/>
      <c r="R265" s="1030"/>
      <c r="S265" s="1030"/>
      <c r="T265" s="1030"/>
      <c r="U265" s="1030"/>
      <c r="V265" s="1030"/>
      <c r="W265" s="1030"/>
      <c r="X265" s="1030"/>
      <c r="Y265" s="1030"/>
      <c r="Z265" s="1030"/>
    </row>
    <row r="266" spans="1:26" ht="12.75" customHeight="1">
      <c r="A266" s="1030"/>
      <c r="B266" s="1030"/>
      <c r="C266" s="1030"/>
      <c r="D266" s="1030"/>
      <c r="E266" s="1030"/>
      <c r="F266" s="1030"/>
      <c r="G266" s="1030"/>
      <c r="H266" s="1186"/>
      <c r="I266" s="1030"/>
      <c r="J266" s="1030"/>
      <c r="K266" s="1030"/>
      <c r="L266" s="1030"/>
      <c r="M266" s="1030"/>
      <c r="N266" s="1030"/>
      <c r="O266" s="1030"/>
      <c r="P266" s="1030"/>
      <c r="Q266" s="1030"/>
      <c r="R266" s="1030"/>
      <c r="S266" s="1030"/>
      <c r="T266" s="1030"/>
      <c r="U266" s="1030"/>
      <c r="V266" s="1030"/>
      <c r="W266" s="1030"/>
      <c r="X266" s="1030"/>
      <c r="Y266" s="1030"/>
      <c r="Z266" s="1030"/>
    </row>
    <row r="267" spans="1:26" ht="12.75" customHeight="1">
      <c r="A267" s="1030"/>
      <c r="B267" s="1030"/>
      <c r="C267" s="1030"/>
      <c r="D267" s="1030"/>
      <c r="E267" s="1030"/>
      <c r="F267" s="1030"/>
      <c r="G267" s="1030"/>
      <c r="H267" s="1186"/>
      <c r="I267" s="1030"/>
      <c r="J267" s="1030"/>
      <c r="K267" s="1030"/>
      <c r="L267" s="1030"/>
      <c r="M267" s="1030"/>
      <c r="N267" s="1030"/>
      <c r="O267" s="1030"/>
      <c r="P267" s="1030"/>
      <c r="Q267" s="1030"/>
      <c r="R267" s="1030"/>
      <c r="S267" s="1030"/>
      <c r="T267" s="1030"/>
      <c r="U267" s="1030"/>
      <c r="V267" s="1030"/>
      <c r="W267" s="1030"/>
      <c r="X267" s="1030"/>
      <c r="Y267" s="1030"/>
      <c r="Z267" s="1030"/>
    </row>
    <row r="268" spans="1:26" ht="12.75" customHeight="1">
      <c r="A268" s="1030"/>
      <c r="B268" s="1030"/>
      <c r="C268" s="1030"/>
      <c r="D268" s="1030"/>
      <c r="E268" s="1030"/>
      <c r="F268" s="1030"/>
      <c r="G268" s="1030"/>
      <c r="H268" s="1186"/>
      <c r="I268" s="1030"/>
      <c r="J268" s="1030"/>
      <c r="K268" s="1030"/>
      <c r="L268" s="1030"/>
      <c r="M268" s="1030"/>
      <c r="N268" s="1030"/>
      <c r="O268" s="1030"/>
      <c r="P268" s="1030"/>
      <c r="Q268" s="1030"/>
      <c r="R268" s="1030"/>
      <c r="S268" s="1030"/>
      <c r="T268" s="1030"/>
      <c r="U268" s="1030"/>
      <c r="V268" s="1030"/>
      <c r="W268" s="1030"/>
      <c r="X268" s="1030"/>
      <c r="Y268" s="1030"/>
      <c r="Z268" s="1030"/>
    </row>
    <row r="269" spans="1:26" ht="12.75" customHeight="1">
      <c r="A269" s="1030"/>
      <c r="B269" s="1030"/>
      <c r="C269" s="1030"/>
      <c r="D269" s="1030"/>
      <c r="E269" s="1030"/>
      <c r="F269" s="1030"/>
      <c r="G269" s="1030"/>
      <c r="H269" s="1186"/>
      <c r="I269" s="1030"/>
      <c r="J269" s="1030"/>
      <c r="K269" s="1030"/>
      <c r="L269" s="1030"/>
      <c r="M269" s="1030"/>
      <c r="N269" s="1030"/>
      <c r="O269" s="1030"/>
      <c r="P269" s="1030"/>
      <c r="Q269" s="1030"/>
      <c r="R269" s="1030"/>
      <c r="S269" s="1030"/>
      <c r="T269" s="1030"/>
      <c r="U269" s="1030"/>
      <c r="V269" s="1030"/>
      <c r="W269" s="1030"/>
      <c r="X269" s="1030"/>
      <c r="Y269" s="1030"/>
      <c r="Z269" s="1030"/>
    </row>
    <row r="270" spans="1:26" ht="12.75" customHeight="1">
      <c r="A270" s="1030"/>
      <c r="B270" s="1030"/>
      <c r="C270" s="1030"/>
      <c r="D270" s="1030"/>
      <c r="E270" s="1030"/>
      <c r="F270" s="1030"/>
      <c r="G270" s="1030"/>
      <c r="H270" s="1186"/>
      <c r="I270" s="1030"/>
      <c r="J270" s="1030"/>
      <c r="K270" s="1030"/>
      <c r="L270" s="1030"/>
      <c r="M270" s="1030"/>
      <c r="N270" s="1030"/>
      <c r="O270" s="1030"/>
      <c r="P270" s="1030"/>
      <c r="Q270" s="1030"/>
      <c r="R270" s="1030"/>
      <c r="S270" s="1030"/>
      <c r="T270" s="1030"/>
      <c r="U270" s="1030"/>
      <c r="V270" s="1030"/>
      <c r="W270" s="1030"/>
      <c r="X270" s="1030"/>
      <c r="Y270" s="1030"/>
      <c r="Z270" s="1030"/>
    </row>
    <row r="271" spans="1:26" ht="12.75" customHeight="1">
      <c r="A271" s="1030"/>
      <c r="B271" s="1030"/>
      <c r="C271" s="1030"/>
      <c r="D271" s="1030"/>
      <c r="E271" s="1030"/>
      <c r="F271" s="1030"/>
      <c r="G271" s="1030"/>
      <c r="H271" s="1186"/>
      <c r="I271" s="1030"/>
      <c r="J271" s="1030"/>
      <c r="K271" s="1030"/>
      <c r="L271" s="1030"/>
      <c r="M271" s="1030"/>
      <c r="N271" s="1030"/>
      <c r="O271" s="1030"/>
      <c r="P271" s="1030"/>
      <c r="Q271" s="1030"/>
      <c r="R271" s="1030"/>
      <c r="S271" s="1030"/>
      <c r="T271" s="1030"/>
      <c r="U271" s="1030"/>
      <c r="V271" s="1030"/>
      <c r="W271" s="1030"/>
      <c r="X271" s="1030"/>
      <c r="Y271" s="1030"/>
      <c r="Z271" s="1030"/>
    </row>
    <row r="272" spans="1:26" ht="12.75" customHeight="1">
      <c r="A272" s="1030"/>
      <c r="B272" s="1030"/>
      <c r="C272" s="1030"/>
      <c r="D272" s="1030"/>
      <c r="E272" s="1030"/>
      <c r="F272" s="1030"/>
      <c r="G272" s="1030"/>
      <c r="H272" s="1186"/>
      <c r="I272" s="1030"/>
      <c r="J272" s="1030"/>
      <c r="K272" s="1030"/>
      <c r="L272" s="1030"/>
      <c r="M272" s="1030"/>
      <c r="N272" s="1030"/>
      <c r="O272" s="1030"/>
      <c r="P272" s="1030"/>
      <c r="Q272" s="1030"/>
      <c r="R272" s="1030"/>
      <c r="S272" s="1030"/>
      <c r="T272" s="1030"/>
      <c r="U272" s="1030"/>
      <c r="V272" s="1030"/>
      <c r="W272" s="1030"/>
      <c r="X272" s="1030"/>
      <c r="Y272" s="1030"/>
      <c r="Z272" s="1030"/>
    </row>
    <row r="273" spans="1:26" ht="12.75" customHeight="1">
      <c r="A273" s="1030"/>
      <c r="B273" s="1030"/>
      <c r="C273" s="1030"/>
      <c r="D273" s="1030"/>
      <c r="E273" s="1030"/>
      <c r="F273" s="1030"/>
      <c r="G273" s="1030"/>
      <c r="H273" s="1186"/>
      <c r="I273" s="1030"/>
      <c r="J273" s="1030"/>
      <c r="K273" s="1030"/>
      <c r="L273" s="1030"/>
      <c r="M273" s="1030"/>
      <c r="N273" s="1030"/>
      <c r="O273" s="1030"/>
      <c r="P273" s="1030"/>
      <c r="Q273" s="1030"/>
      <c r="R273" s="1030"/>
      <c r="S273" s="1030"/>
      <c r="T273" s="1030"/>
      <c r="U273" s="1030"/>
      <c r="V273" s="1030"/>
      <c r="W273" s="1030"/>
      <c r="X273" s="1030"/>
      <c r="Y273" s="1030"/>
      <c r="Z273" s="1030"/>
    </row>
    <row r="274" spans="1:26" ht="12.75" customHeight="1">
      <c r="A274" s="1030"/>
      <c r="B274" s="1030"/>
      <c r="C274" s="1030"/>
      <c r="D274" s="1030"/>
      <c r="E274" s="1030"/>
      <c r="F274" s="1030"/>
      <c r="G274" s="1030"/>
      <c r="H274" s="1186"/>
      <c r="I274" s="1030"/>
      <c r="J274" s="1030"/>
      <c r="K274" s="1030"/>
      <c r="L274" s="1030"/>
      <c r="M274" s="1030"/>
      <c r="N274" s="1030"/>
      <c r="O274" s="1030"/>
      <c r="P274" s="1030"/>
      <c r="Q274" s="1030"/>
      <c r="R274" s="1030"/>
      <c r="S274" s="1030"/>
      <c r="T274" s="1030"/>
      <c r="U274" s="1030"/>
      <c r="V274" s="1030"/>
      <c r="W274" s="1030"/>
      <c r="X274" s="1030"/>
      <c r="Y274" s="1030"/>
      <c r="Z274" s="1030"/>
    </row>
    <row r="275" spans="1:26" ht="12.75" customHeight="1">
      <c r="A275" s="1030"/>
      <c r="B275" s="1030"/>
      <c r="C275" s="1030"/>
      <c r="D275" s="1030"/>
      <c r="E275" s="1030"/>
      <c r="F275" s="1030"/>
      <c r="G275" s="1030"/>
      <c r="H275" s="1186"/>
      <c r="I275" s="1030"/>
      <c r="J275" s="1030"/>
      <c r="K275" s="1030"/>
      <c r="L275" s="1030"/>
      <c r="M275" s="1030"/>
      <c r="N275" s="1030"/>
      <c r="O275" s="1030"/>
      <c r="P275" s="1030"/>
      <c r="Q275" s="1030"/>
      <c r="R275" s="1030"/>
      <c r="S275" s="1030"/>
      <c r="T275" s="1030"/>
      <c r="U275" s="1030"/>
      <c r="V275" s="1030"/>
      <c r="W275" s="1030"/>
      <c r="X275" s="1030"/>
      <c r="Y275" s="1030"/>
      <c r="Z275" s="1030"/>
    </row>
    <row r="276" spans="1:26" ht="12.75" customHeight="1">
      <c r="A276" s="1030"/>
      <c r="B276" s="1030"/>
      <c r="C276" s="1030"/>
      <c r="D276" s="1030"/>
      <c r="E276" s="1030"/>
      <c r="F276" s="1030"/>
      <c r="G276" s="1030"/>
      <c r="H276" s="1186"/>
      <c r="I276" s="1030"/>
      <c r="J276" s="1030"/>
      <c r="K276" s="1030"/>
      <c r="L276" s="1030"/>
      <c r="M276" s="1030"/>
      <c r="N276" s="1030"/>
      <c r="O276" s="1030"/>
      <c r="P276" s="1030"/>
      <c r="Q276" s="1030"/>
      <c r="R276" s="1030"/>
      <c r="S276" s="1030"/>
      <c r="T276" s="1030"/>
      <c r="U276" s="1030"/>
      <c r="V276" s="1030"/>
      <c r="W276" s="1030"/>
      <c r="X276" s="1030"/>
      <c r="Y276" s="1030"/>
      <c r="Z276" s="1030"/>
    </row>
    <row r="277" spans="1:26" ht="12.75" customHeight="1">
      <c r="A277" s="1030"/>
      <c r="B277" s="1030"/>
      <c r="C277" s="1030"/>
      <c r="D277" s="1030"/>
      <c r="E277" s="1030"/>
      <c r="F277" s="1030"/>
      <c r="G277" s="1030"/>
      <c r="H277" s="1186"/>
      <c r="I277" s="1030"/>
      <c r="J277" s="1030"/>
      <c r="K277" s="1030"/>
      <c r="L277" s="1030"/>
      <c r="M277" s="1030"/>
      <c r="N277" s="1030"/>
      <c r="O277" s="1030"/>
      <c r="P277" s="1030"/>
      <c r="Q277" s="1030"/>
      <c r="R277" s="1030"/>
      <c r="S277" s="1030"/>
      <c r="T277" s="1030"/>
      <c r="U277" s="1030"/>
      <c r="V277" s="1030"/>
      <c r="W277" s="1030"/>
      <c r="X277" s="1030"/>
      <c r="Y277" s="1030"/>
      <c r="Z277" s="1030"/>
    </row>
    <row r="278" spans="1:26" ht="12.75" customHeight="1">
      <c r="A278" s="1030"/>
      <c r="B278" s="1030"/>
      <c r="C278" s="1030"/>
      <c r="D278" s="1030"/>
      <c r="E278" s="1030"/>
      <c r="F278" s="1030"/>
      <c r="G278" s="1030"/>
      <c r="H278" s="1186"/>
      <c r="I278" s="1030"/>
      <c r="J278" s="1030"/>
      <c r="K278" s="1030"/>
      <c r="L278" s="1030"/>
      <c r="M278" s="1030"/>
      <c r="N278" s="1030"/>
      <c r="O278" s="1030"/>
      <c r="P278" s="1030"/>
      <c r="Q278" s="1030"/>
      <c r="R278" s="1030"/>
      <c r="S278" s="1030"/>
      <c r="T278" s="1030"/>
      <c r="U278" s="1030"/>
      <c r="V278" s="1030"/>
      <c r="W278" s="1030"/>
      <c r="X278" s="1030"/>
      <c r="Y278" s="1030"/>
      <c r="Z278" s="1030"/>
    </row>
    <row r="279" spans="1:26" ht="12.75" customHeight="1">
      <c r="A279" s="1030"/>
      <c r="B279" s="1030"/>
      <c r="C279" s="1030"/>
      <c r="D279" s="1030"/>
      <c r="E279" s="1030"/>
      <c r="F279" s="1030"/>
      <c r="G279" s="1030"/>
      <c r="H279" s="1186"/>
      <c r="I279" s="1030"/>
      <c r="J279" s="1030"/>
      <c r="K279" s="1030"/>
      <c r="L279" s="1030"/>
      <c r="M279" s="1030"/>
      <c r="N279" s="1030"/>
      <c r="O279" s="1030"/>
      <c r="P279" s="1030"/>
      <c r="Q279" s="1030"/>
      <c r="R279" s="1030"/>
      <c r="S279" s="1030"/>
      <c r="T279" s="1030"/>
      <c r="U279" s="1030"/>
      <c r="V279" s="1030"/>
      <c r="W279" s="1030"/>
      <c r="X279" s="1030"/>
      <c r="Y279" s="1030"/>
      <c r="Z279" s="1030"/>
    </row>
    <row r="280" spans="1:26" ht="12.75" customHeight="1">
      <c r="A280" s="1030"/>
      <c r="B280" s="1030"/>
      <c r="C280" s="1030"/>
      <c r="D280" s="1030"/>
      <c r="E280" s="1030"/>
      <c r="F280" s="1030"/>
      <c r="G280" s="1030"/>
      <c r="H280" s="1186"/>
      <c r="I280" s="1030"/>
      <c r="J280" s="1030"/>
      <c r="K280" s="1030"/>
      <c r="L280" s="1030"/>
      <c r="M280" s="1030"/>
      <c r="N280" s="1030"/>
      <c r="O280" s="1030"/>
      <c r="P280" s="1030"/>
      <c r="Q280" s="1030"/>
      <c r="R280" s="1030"/>
      <c r="S280" s="1030"/>
      <c r="T280" s="1030"/>
      <c r="U280" s="1030"/>
      <c r="V280" s="1030"/>
      <c r="W280" s="1030"/>
      <c r="X280" s="1030"/>
      <c r="Y280" s="1030"/>
      <c r="Z280" s="1030"/>
    </row>
    <row r="281" spans="1:26" ht="12.75" customHeight="1">
      <c r="A281" s="1030"/>
      <c r="B281" s="1030"/>
      <c r="C281" s="1030"/>
      <c r="D281" s="1030"/>
      <c r="E281" s="1030"/>
      <c r="F281" s="1030"/>
      <c r="G281" s="1030"/>
      <c r="H281" s="1186"/>
      <c r="I281" s="1030"/>
      <c r="J281" s="1030"/>
      <c r="K281" s="1030"/>
      <c r="L281" s="1030"/>
      <c r="M281" s="1030"/>
      <c r="N281" s="1030"/>
      <c r="O281" s="1030"/>
      <c r="P281" s="1030"/>
      <c r="Q281" s="1030"/>
      <c r="R281" s="1030"/>
      <c r="S281" s="1030"/>
      <c r="T281" s="1030"/>
      <c r="U281" s="1030"/>
      <c r="V281" s="1030"/>
      <c r="W281" s="1030"/>
      <c r="X281" s="1030"/>
      <c r="Y281" s="1030"/>
      <c r="Z281" s="1030"/>
    </row>
    <row r="282" spans="1:26" ht="12.75" customHeight="1">
      <c r="A282" s="1030"/>
      <c r="B282" s="1030"/>
      <c r="C282" s="1030"/>
      <c r="D282" s="1030"/>
      <c r="E282" s="1030"/>
      <c r="F282" s="1030"/>
      <c r="G282" s="1030"/>
      <c r="H282" s="1186"/>
      <c r="I282" s="1030"/>
      <c r="J282" s="1030"/>
      <c r="K282" s="1030"/>
      <c r="L282" s="1030"/>
      <c r="M282" s="1030"/>
      <c r="N282" s="1030"/>
      <c r="O282" s="1030"/>
      <c r="P282" s="1030"/>
      <c r="Q282" s="1030"/>
      <c r="R282" s="1030"/>
      <c r="S282" s="1030"/>
      <c r="T282" s="1030"/>
      <c r="U282" s="1030"/>
      <c r="V282" s="1030"/>
      <c r="W282" s="1030"/>
      <c r="X282" s="1030"/>
      <c r="Y282" s="1030"/>
      <c r="Z282" s="1030"/>
    </row>
    <row r="283" spans="1:26" ht="12.75" customHeight="1">
      <c r="A283" s="1030"/>
      <c r="B283" s="1030"/>
      <c r="C283" s="1030"/>
      <c r="D283" s="1030"/>
      <c r="E283" s="1030"/>
      <c r="F283" s="1030"/>
      <c r="G283" s="1030"/>
      <c r="H283" s="1186"/>
      <c r="I283" s="1030"/>
      <c r="J283" s="1030"/>
      <c r="K283" s="1030"/>
      <c r="L283" s="1030"/>
      <c r="M283" s="1030"/>
      <c r="N283" s="1030"/>
      <c r="O283" s="1030"/>
      <c r="P283" s="1030"/>
      <c r="Q283" s="1030"/>
      <c r="R283" s="1030"/>
      <c r="S283" s="1030"/>
      <c r="T283" s="1030"/>
      <c r="U283" s="1030"/>
      <c r="V283" s="1030"/>
      <c r="W283" s="1030"/>
      <c r="X283" s="1030"/>
      <c r="Y283" s="1030"/>
      <c r="Z283" s="1030"/>
    </row>
    <row r="284" spans="1:26" ht="12.75" customHeight="1">
      <c r="A284" s="1030"/>
      <c r="B284" s="1030"/>
      <c r="C284" s="1030"/>
      <c r="D284" s="1030"/>
      <c r="E284" s="1030"/>
      <c r="F284" s="1030"/>
      <c r="G284" s="1030"/>
      <c r="H284" s="1186"/>
      <c r="I284" s="1030"/>
      <c r="J284" s="1030"/>
      <c r="K284" s="1030"/>
      <c r="L284" s="1030"/>
      <c r="M284" s="1030"/>
      <c r="N284" s="1030"/>
      <c r="O284" s="1030"/>
      <c r="P284" s="1030"/>
      <c r="Q284" s="1030"/>
      <c r="R284" s="1030"/>
      <c r="S284" s="1030"/>
      <c r="T284" s="1030"/>
      <c r="U284" s="1030"/>
      <c r="V284" s="1030"/>
      <c r="W284" s="1030"/>
      <c r="X284" s="1030"/>
      <c r="Y284" s="1030"/>
      <c r="Z284" s="1030"/>
    </row>
    <row r="285" spans="1:26" ht="12.75" customHeight="1">
      <c r="A285" s="1030"/>
      <c r="B285" s="1030"/>
      <c r="C285" s="1030"/>
      <c r="D285" s="1030"/>
      <c r="E285" s="1030"/>
      <c r="F285" s="1030"/>
      <c r="G285" s="1030"/>
      <c r="H285" s="1186"/>
      <c r="I285" s="1030"/>
      <c r="J285" s="1030"/>
      <c r="K285" s="1030"/>
      <c r="L285" s="1030"/>
      <c r="M285" s="1030"/>
      <c r="N285" s="1030"/>
      <c r="O285" s="1030"/>
      <c r="P285" s="1030"/>
      <c r="Q285" s="1030"/>
      <c r="R285" s="1030"/>
      <c r="S285" s="1030"/>
      <c r="T285" s="1030"/>
      <c r="U285" s="1030"/>
      <c r="V285" s="1030"/>
      <c r="W285" s="1030"/>
      <c r="X285" s="1030"/>
      <c r="Y285" s="1030"/>
      <c r="Z285" s="1030"/>
    </row>
    <row r="286" spans="1:26" ht="12.75" customHeight="1">
      <c r="A286" s="1030"/>
      <c r="B286" s="1030"/>
      <c r="C286" s="1030"/>
      <c r="D286" s="1030"/>
      <c r="E286" s="1030"/>
      <c r="F286" s="1030"/>
      <c r="G286" s="1030"/>
      <c r="H286" s="1186"/>
      <c r="I286" s="1030"/>
      <c r="J286" s="1030"/>
      <c r="K286" s="1030"/>
      <c r="L286" s="1030"/>
      <c r="M286" s="1030"/>
      <c r="N286" s="1030"/>
      <c r="O286" s="1030"/>
      <c r="P286" s="1030"/>
      <c r="Q286" s="1030"/>
      <c r="R286" s="1030"/>
      <c r="S286" s="1030"/>
      <c r="T286" s="1030"/>
      <c r="U286" s="1030"/>
      <c r="V286" s="1030"/>
      <c r="W286" s="1030"/>
      <c r="X286" s="1030"/>
      <c r="Y286" s="1030"/>
      <c r="Z286" s="1030"/>
    </row>
    <row r="287" spans="1:26" ht="12.75" customHeight="1">
      <c r="A287" s="1030"/>
      <c r="B287" s="1030"/>
      <c r="C287" s="1030"/>
      <c r="D287" s="1030"/>
      <c r="E287" s="1030"/>
      <c r="F287" s="1030"/>
      <c r="G287" s="1030"/>
      <c r="H287" s="1186"/>
      <c r="I287" s="1030"/>
      <c r="J287" s="1030"/>
      <c r="K287" s="1030"/>
      <c r="L287" s="1030"/>
      <c r="M287" s="1030"/>
      <c r="N287" s="1030"/>
      <c r="O287" s="1030"/>
      <c r="P287" s="1030"/>
      <c r="Q287" s="1030"/>
      <c r="R287" s="1030"/>
      <c r="S287" s="1030"/>
      <c r="T287" s="1030"/>
      <c r="U287" s="1030"/>
      <c r="V287" s="1030"/>
      <c r="W287" s="1030"/>
      <c r="X287" s="1030"/>
      <c r="Y287" s="1030"/>
      <c r="Z287" s="1030"/>
    </row>
    <row r="288" spans="1:26" ht="12.75" customHeight="1">
      <c r="A288" s="1030"/>
      <c r="B288" s="1030"/>
      <c r="C288" s="1030"/>
      <c r="D288" s="1030"/>
      <c r="E288" s="1030"/>
      <c r="F288" s="1030"/>
      <c r="G288" s="1030"/>
      <c r="H288" s="1186"/>
      <c r="I288" s="1030"/>
      <c r="J288" s="1030"/>
      <c r="K288" s="1030"/>
      <c r="L288" s="1030"/>
      <c r="M288" s="1030"/>
      <c r="N288" s="1030"/>
      <c r="O288" s="1030"/>
      <c r="P288" s="1030"/>
      <c r="Q288" s="1030"/>
      <c r="R288" s="1030"/>
      <c r="S288" s="1030"/>
      <c r="T288" s="1030"/>
      <c r="U288" s="1030"/>
      <c r="V288" s="1030"/>
      <c r="W288" s="1030"/>
      <c r="X288" s="1030"/>
      <c r="Y288" s="1030"/>
      <c r="Z288" s="1030"/>
    </row>
    <row r="289" spans="1:26" ht="12.75" customHeight="1">
      <c r="A289" s="1030"/>
      <c r="B289" s="1030"/>
      <c r="C289" s="1030"/>
      <c r="D289" s="1030"/>
      <c r="E289" s="1030"/>
      <c r="F289" s="1030"/>
      <c r="G289" s="1030"/>
      <c r="H289" s="1186"/>
      <c r="I289" s="1030"/>
      <c r="J289" s="1030"/>
      <c r="K289" s="1030"/>
      <c r="L289" s="1030"/>
      <c r="M289" s="1030"/>
      <c r="N289" s="1030"/>
      <c r="O289" s="1030"/>
      <c r="P289" s="1030"/>
      <c r="Q289" s="1030"/>
      <c r="R289" s="1030"/>
      <c r="S289" s="1030"/>
      <c r="T289" s="1030"/>
      <c r="U289" s="1030"/>
      <c r="V289" s="1030"/>
      <c r="W289" s="1030"/>
      <c r="X289" s="1030"/>
      <c r="Y289" s="1030"/>
      <c r="Z289" s="1030"/>
    </row>
    <row r="290" spans="1:26" ht="12.75" customHeight="1">
      <c r="A290" s="1030"/>
      <c r="B290" s="1030"/>
      <c r="C290" s="1030"/>
      <c r="D290" s="1030"/>
      <c r="E290" s="1030"/>
      <c r="F290" s="1030"/>
      <c r="G290" s="1030"/>
      <c r="H290" s="1186"/>
      <c r="I290" s="1030"/>
      <c r="J290" s="1030"/>
      <c r="K290" s="1030"/>
      <c r="L290" s="1030"/>
      <c r="M290" s="1030"/>
      <c r="N290" s="1030"/>
      <c r="O290" s="1030"/>
      <c r="P290" s="1030"/>
      <c r="Q290" s="1030"/>
      <c r="R290" s="1030"/>
      <c r="S290" s="1030"/>
      <c r="T290" s="1030"/>
      <c r="U290" s="1030"/>
      <c r="V290" s="1030"/>
      <c r="W290" s="1030"/>
      <c r="X290" s="1030"/>
      <c r="Y290" s="1030"/>
      <c r="Z290" s="1030"/>
    </row>
    <row r="291" spans="1:26" ht="12.75" customHeight="1">
      <c r="A291" s="1030"/>
      <c r="B291" s="1030"/>
      <c r="C291" s="1030"/>
      <c r="D291" s="1030"/>
      <c r="E291" s="1030"/>
      <c r="F291" s="1030"/>
      <c r="G291" s="1030"/>
      <c r="H291" s="1186"/>
      <c r="I291" s="1030"/>
      <c r="J291" s="1030"/>
      <c r="K291" s="1030"/>
      <c r="L291" s="1030"/>
      <c r="M291" s="1030"/>
      <c r="N291" s="1030"/>
      <c r="O291" s="1030"/>
      <c r="P291" s="1030"/>
      <c r="Q291" s="1030"/>
      <c r="R291" s="1030"/>
      <c r="S291" s="1030"/>
      <c r="T291" s="1030"/>
      <c r="U291" s="1030"/>
      <c r="V291" s="1030"/>
      <c r="W291" s="1030"/>
      <c r="X291" s="1030"/>
      <c r="Y291" s="1030"/>
      <c r="Z291" s="1030"/>
    </row>
    <row r="292" spans="1:26" ht="12.75" customHeight="1">
      <c r="A292" s="1030"/>
      <c r="B292" s="1030"/>
      <c r="C292" s="1030"/>
      <c r="D292" s="1030"/>
      <c r="E292" s="1030"/>
      <c r="F292" s="1030"/>
      <c r="G292" s="1030"/>
      <c r="H292" s="1186"/>
      <c r="I292" s="1030"/>
      <c r="J292" s="1030"/>
      <c r="K292" s="1030"/>
      <c r="L292" s="1030"/>
      <c r="M292" s="1030"/>
      <c r="N292" s="1030"/>
      <c r="O292" s="1030"/>
      <c r="P292" s="1030"/>
      <c r="Q292" s="1030"/>
      <c r="R292" s="1030"/>
      <c r="S292" s="1030"/>
      <c r="T292" s="1030"/>
      <c r="U292" s="1030"/>
      <c r="V292" s="1030"/>
      <c r="W292" s="1030"/>
      <c r="X292" s="1030"/>
      <c r="Y292" s="1030"/>
      <c r="Z292" s="1030"/>
    </row>
    <row r="293" spans="1:26" ht="12.75" customHeight="1">
      <c r="A293" s="1030"/>
      <c r="B293" s="1030"/>
      <c r="C293" s="1030"/>
      <c r="D293" s="1030"/>
      <c r="E293" s="1030"/>
      <c r="F293" s="1030"/>
      <c r="G293" s="1030"/>
      <c r="H293" s="1186"/>
      <c r="I293" s="1030"/>
      <c r="J293" s="1030"/>
      <c r="K293" s="1030"/>
      <c r="L293" s="1030"/>
      <c r="M293" s="1030"/>
      <c r="N293" s="1030"/>
      <c r="O293" s="1030"/>
      <c r="P293" s="1030"/>
      <c r="Q293" s="1030"/>
      <c r="R293" s="1030"/>
      <c r="S293" s="1030"/>
      <c r="T293" s="1030"/>
      <c r="U293" s="1030"/>
      <c r="V293" s="1030"/>
      <c r="W293" s="1030"/>
      <c r="X293" s="1030"/>
      <c r="Y293" s="1030"/>
      <c r="Z293" s="1030"/>
    </row>
    <row r="294" spans="1:26" ht="12.75" customHeight="1">
      <c r="A294" s="1030"/>
      <c r="B294" s="1030"/>
      <c r="C294" s="1030"/>
      <c r="D294" s="1030"/>
      <c r="E294" s="1030"/>
      <c r="F294" s="1030"/>
      <c r="G294" s="1030"/>
      <c r="H294" s="1186"/>
      <c r="I294" s="1030"/>
      <c r="J294" s="1030"/>
      <c r="K294" s="1030"/>
      <c r="L294" s="1030"/>
      <c r="M294" s="1030"/>
      <c r="N294" s="1030"/>
      <c r="O294" s="1030"/>
      <c r="P294" s="1030"/>
      <c r="Q294" s="1030"/>
      <c r="R294" s="1030"/>
      <c r="S294" s="1030"/>
      <c r="T294" s="1030"/>
      <c r="U294" s="1030"/>
      <c r="V294" s="1030"/>
      <c r="W294" s="1030"/>
      <c r="X294" s="1030"/>
      <c r="Y294" s="1030"/>
      <c r="Z294" s="1030"/>
    </row>
    <row r="295" spans="1:26" ht="12.75" customHeight="1">
      <c r="A295" s="1030"/>
      <c r="B295" s="1030"/>
      <c r="C295" s="1030"/>
      <c r="D295" s="1030"/>
      <c r="E295" s="1030"/>
      <c r="F295" s="1030"/>
      <c r="G295" s="1030"/>
      <c r="H295" s="1186"/>
      <c r="I295" s="1030"/>
      <c r="J295" s="1030"/>
      <c r="K295" s="1030"/>
      <c r="L295" s="1030"/>
      <c r="M295" s="1030"/>
      <c r="N295" s="1030"/>
      <c r="O295" s="1030"/>
      <c r="P295" s="1030"/>
      <c r="Q295" s="1030"/>
      <c r="R295" s="1030"/>
      <c r="S295" s="1030"/>
      <c r="T295" s="1030"/>
      <c r="U295" s="1030"/>
      <c r="V295" s="1030"/>
      <c r="W295" s="1030"/>
      <c r="X295" s="1030"/>
      <c r="Y295" s="1030"/>
      <c r="Z295" s="1030"/>
    </row>
    <row r="296" spans="1:26" ht="12.75" customHeight="1">
      <c r="A296" s="1030"/>
      <c r="B296" s="1030"/>
      <c r="C296" s="1030"/>
      <c r="D296" s="1030"/>
      <c r="E296" s="1030"/>
      <c r="F296" s="1030"/>
      <c r="G296" s="1030"/>
      <c r="H296" s="1186"/>
      <c r="I296" s="1030"/>
      <c r="J296" s="1030"/>
      <c r="K296" s="1030"/>
      <c r="L296" s="1030"/>
      <c r="M296" s="1030"/>
      <c r="N296" s="1030"/>
      <c r="O296" s="1030"/>
      <c r="P296" s="1030"/>
      <c r="Q296" s="1030"/>
      <c r="R296" s="1030"/>
      <c r="S296" s="1030"/>
      <c r="T296" s="1030"/>
      <c r="U296" s="1030"/>
      <c r="V296" s="1030"/>
      <c r="W296" s="1030"/>
      <c r="X296" s="1030"/>
      <c r="Y296" s="1030"/>
      <c r="Z296" s="1030"/>
    </row>
    <row r="297" spans="1:26" ht="12.75" customHeight="1">
      <c r="A297" s="1030"/>
      <c r="B297" s="1030"/>
      <c r="C297" s="1030"/>
      <c r="D297" s="1030"/>
      <c r="E297" s="1030"/>
      <c r="F297" s="1030"/>
      <c r="G297" s="1030"/>
      <c r="H297" s="1186"/>
      <c r="I297" s="1030"/>
      <c r="J297" s="1030"/>
      <c r="K297" s="1030"/>
      <c r="L297" s="1030"/>
      <c r="M297" s="1030"/>
      <c r="N297" s="1030"/>
      <c r="O297" s="1030"/>
      <c r="P297" s="1030"/>
      <c r="Q297" s="1030"/>
      <c r="R297" s="1030"/>
      <c r="S297" s="1030"/>
      <c r="T297" s="1030"/>
      <c r="U297" s="1030"/>
      <c r="V297" s="1030"/>
      <c r="W297" s="1030"/>
      <c r="X297" s="1030"/>
      <c r="Y297" s="1030"/>
      <c r="Z297" s="1030"/>
    </row>
    <row r="298" spans="1:26" ht="12.75" customHeight="1">
      <c r="A298" s="1030"/>
      <c r="B298" s="1030"/>
      <c r="C298" s="1030"/>
      <c r="D298" s="1030"/>
      <c r="E298" s="1030"/>
      <c r="F298" s="1030"/>
      <c r="G298" s="1030"/>
      <c r="H298" s="1186"/>
      <c r="I298" s="1030"/>
      <c r="J298" s="1030"/>
      <c r="K298" s="1030"/>
      <c r="L298" s="1030"/>
      <c r="M298" s="1030"/>
      <c r="N298" s="1030"/>
      <c r="O298" s="1030"/>
      <c r="P298" s="1030"/>
      <c r="Q298" s="1030"/>
      <c r="R298" s="1030"/>
      <c r="S298" s="1030"/>
      <c r="T298" s="1030"/>
      <c r="U298" s="1030"/>
      <c r="V298" s="1030"/>
      <c r="W298" s="1030"/>
      <c r="X298" s="1030"/>
      <c r="Y298" s="1030"/>
      <c r="Z298" s="1030"/>
    </row>
    <row r="299" spans="1:26" ht="12.75" customHeight="1">
      <c r="A299" s="1030"/>
      <c r="B299" s="1030"/>
      <c r="C299" s="1030"/>
      <c r="D299" s="1030"/>
      <c r="E299" s="1030"/>
      <c r="F299" s="1030"/>
      <c r="G299" s="1030"/>
      <c r="H299" s="1186"/>
      <c r="I299" s="1030"/>
      <c r="J299" s="1030"/>
      <c r="K299" s="1030"/>
      <c r="L299" s="1030"/>
      <c r="M299" s="1030"/>
      <c r="N299" s="1030"/>
      <c r="O299" s="1030"/>
      <c r="P299" s="1030"/>
      <c r="Q299" s="1030"/>
      <c r="R299" s="1030"/>
      <c r="S299" s="1030"/>
      <c r="T299" s="1030"/>
      <c r="U299" s="1030"/>
      <c r="V299" s="1030"/>
      <c r="W299" s="1030"/>
      <c r="X299" s="1030"/>
      <c r="Y299" s="1030"/>
      <c r="Z299" s="1030"/>
    </row>
    <row r="300" spans="1:26" ht="12.75" customHeight="1">
      <c r="A300" s="1030"/>
      <c r="B300" s="1030"/>
      <c r="C300" s="1030"/>
      <c r="D300" s="1030"/>
      <c r="E300" s="1030"/>
      <c r="F300" s="1030"/>
      <c r="G300" s="1030"/>
      <c r="H300" s="1186"/>
      <c r="I300" s="1030"/>
      <c r="J300" s="1030"/>
      <c r="K300" s="1030"/>
      <c r="L300" s="1030"/>
      <c r="M300" s="1030"/>
      <c r="N300" s="1030"/>
      <c r="O300" s="1030"/>
      <c r="P300" s="1030"/>
      <c r="Q300" s="1030"/>
      <c r="R300" s="1030"/>
      <c r="S300" s="1030"/>
      <c r="T300" s="1030"/>
      <c r="U300" s="1030"/>
      <c r="V300" s="1030"/>
      <c r="W300" s="1030"/>
      <c r="X300" s="1030"/>
      <c r="Y300" s="1030"/>
      <c r="Z300" s="1030"/>
    </row>
    <row r="301" spans="1:26" ht="12.75" customHeight="1">
      <c r="A301" s="1030"/>
      <c r="B301" s="1030"/>
      <c r="C301" s="1030"/>
      <c r="D301" s="1030"/>
      <c r="E301" s="1030"/>
      <c r="F301" s="1030"/>
      <c r="G301" s="1030"/>
      <c r="H301" s="1186"/>
      <c r="I301" s="1030"/>
      <c r="J301" s="1030"/>
      <c r="K301" s="1030"/>
      <c r="L301" s="1030"/>
      <c r="M301" s="1030"/>
      <c r="N301" s="1030"/>
      <c r="O301" s="1030"/>
      <c r="P301" s="1030"/>
      <c r="Q301" s="1030"/>
      <c r="R301" s="1030"/>
      <c r="S301" s="1030"/>
      <c r="T301" s="1030"/>
      <c r="U301" s="1030"/>
      <c r="V301" s="1030"/>
      <c r="W301" s="1030"/>
      <c r="X301" s="1030"/>
      <c r="Y301" s="1030"/>
      <c r="Z301" s="1030"/>
    </row>
    <row r="302" spans="1:26" ht="12.75" customHeight="1">
      <c r="A302" s="1030"/>
      <c r="B302" s="1030"/>
      <c r="C302" s="1030"/>
      <c r="D302" s="1030"/>
      <c r="E302" s="1030"/>
      <c r="F302" s="1030"/>
      <c r="G302" s="1030"/>
      <c r="H302" s="1186"/>
      <c r="I302" s="1030"/>
      <c r="J302" s="1030"/>
      <c r="K302" s="1030"/>
      <c r="L302" s="1030"/>
      <c r="M302" s="1030"/>
      <c r="N302" s="1030"/>
      <c r="O302" s="1030"/>
      <c r="P302" s="1030"/>
      <c r="Q302" s="1030"/>
      <c r="R302" s="1030"/>
      <c r="S302" s="1030"/>
      <c r="T302" s="1030"/>
      <c r="U302" s="1030"/>
      <c r="V302" s="1030"/>
      <c r="W302" s="1030"/>
      <c r="X302" s="1030"/>
      <c r="Y302" s="1030"/>
      <c r="Z302" s="1030"/>
    </row>
    <row r="303" spans="1:26" ht="12.75" customHeight="1">
      <c r="A303" s="1030"/>
      <c r="B303" s="1030"/>
      <c r="C303" s="1030"/>
      <c r="D303" s="1030"/>
      <c r="E303" s="1030"/>
      <c r="F303" s="1030"/>
      <c r="G303" s="1030"/>
      <c r="H303" s="1186"/>
      <c r="I303" s="1030"/>
      <c r="J303" s="1030"/>
      <c r="K303" s="1030"/>
      <c r="L303" s="1030"/>
      <c r="M303" s="1030"/>
      <c r="N303" s="1030"/>
      <c r="O303" s="1030"/>
      <c r="P303" s="1030"/>
      <c r="Q303" s="1030"/>
      <c r="R303" s="1030"/>
      <c r="S303" s="1030"/>
      <c r="T303" s="1030"/>
      <c r="U303" s="1030"/>
      <c r="V303" s="1030"/>
      <c r="W303" s="1030"/>
      <c r="X303" s="1030"/>
      <c r="Y303" s="1030"/>
      <c r="Z303" s="1030"/>
    </row>
    <row r="304" spans="1:26" ht="12.75" customHeight="1">
      <c r="A304" s="1030"/>
      <c r="B304" s="1030"/>
      <c r="C304" s="1030"/>
      <c r="D304" s="1030"/>
      <c r="E304" s="1030"/>
      <c r="F304" s="1030"/>
      <c r="G304" s="1030"/>
      <c r="H304" s="1186"/>
      <c r="I304" s="1030"/>
      <c r="J304" s="1030"/>
      <c r="K304" s="1030"/>
      <c r="L304" s="1030"/>
      <c r="M304" s="1030"/>
      <c r="N304" s="1030"/>
      <c r="O304" s="1030"/>
      <c r="P304" s="1030"/>
      <c r="Q304" s="1030"/>
      <c r="R304" s="1030"/>
      <c r="S304" s="1030"/>
      <c r="T304" s="1030"/>
      <c r="U304" s="1030"/>
      <c r="V304" s="1030"/>
      <c r="W304" s="1030"/>
      <c r="X304" s="1030"/>
      <c r="Y304" s="1030"/>
      <c r="Z304" s="1030"/>
    </row>
    <row r="305" spans="1:26" ht="12.75" customHeight="1">
      <c r="A305" s="1030"/>
      <c r="B305" s="1030"/>
      <c r="C305" s="1030"/>
      <c r="D305" s="1030"/>
      <c r="E305" s="1030"/>
      <c r="F305" s="1030"/>
      <c r="G305" s="1030"/>
      <c r="H305" s="1186"/>
      <c r="I305" s="1030"/>
      <c r="J305" s="1030"/>
      <c r="K305" s="1030"/>
      <c r="L305" s="1030"/>
      <c r="M305" s="1030"/>
      <c r="N305" s="1030"/>
      <c r="O305" s="1030"/>
      <c r="P305" s="1030"/>
      <c r="Q305" s="1030"/>
      <c r="R305" s="1030"/>
      <c r="S305" s="1030"/>
      <c r="T305" s="1030"/>
      <c r="U305" s="1030"/>
      <c r="V305" s="1030"/>
      <c r="W305" s="1030"/>
      <c r="X305" s="1030"/>
      <c r="Y305" s="1030"/>
      <c r="Z305" s="1030"/>
    </row>
    <row r="306" spans="1:26" ht="12.75" customHeight="1">
      <c r="A306" s="1030"/>
      <c r="B306" s="1030"/>
      <c r="C306" s="1030"/>
      <c r="D306" s="1030"/>
      <c r="E306" s="1030"/>
      <c r="F306" s="1030"/>
      <c r="G306" s="1030"/>
      <c r="H306" s="1186"/>
      <c r="I306" s="1030"/>
      <c r="J306" s="1030"/>
      <c r="K306" s="1030"/>
      <c r="L306" s="1030"/>
      <c r="M306" s="1030"/>
      <c r="N306" s="1030"/>
      <c r="O306" s="1030"/>
      <c r="P306" s="1030"/>
      <c r="Q306" s="1030"/>
      <c r="R306" s="1030"/>
      <c r="S306" s="1030"/>
      <c r="T306" s="1030"/>
      <c r="U306" s="1030"/>
      <c r="V306" s="1030"/>
      <c r="W306" s="1030"/>
      <c r="X306" s="1030"/>
      <c r="Y306" s="1030"/>
      <c r="Z306" s="1030"/>
    </row>
    <row r="307" spans="1:26" ht="12.75" customHeight="1">
      <c r="A307" s="1030"/>
      <c r="B307" s="1030"/>
      <c r="C307" s="1030"/>
      <c r="D307" s="1030"/>
      <c r="E307" s="1030"/>
      <c r="F307" s="1030"/>
      <c r="G307" s="1030"/>
      <c r="H307" s="1186"/>
      <c r="I307" s="1030"/>
      <c r="J307" s="1030"/>
      <c r="K307" s="1030"/>
      <c r="L307" s="1030"/>
      <c r="M307" s="1030"/>
      <c r="N307" s="1030"/>
      <c r="O307" s="1030"/>
      <c r="P307" s="1030"/>
      <c r="Q307" s="1030"/>
      <c r="R307" s="1030"/>
      <c r="S307" s="1030"/>
      <c r="T307" s="1030"/>
      <c r="U307" s="1030"/>
      <c r="V307" s="1030"/>
      <c r="W307" s="1030"/>
      <c r="X307" s="1030"/>
      <c r="Y307" s="1030"/>
      <c r="Z307" s="1030"/>
    </row>
    <row r="308" spans="1:26" ht="12.75" customHeight="1">
      <c r="A308" s="1030"/>
      <c r="B308" s="1030"/>
      <c r="C308" s="1030"/>
      <c r="D308" s="1030"/>
      <c r="E308" s="1030"/>
      <c r="F308" s="1030"/>
      <c r="G308" s="1030"/>
      <c r="H308" s="1186"/>
      <c r="I308" s="1030"/>
      <c r="J308" s="1030"/>
      <c r="K308" s="1030"/>
      <c r="L308" s="1030"/>
      <c r="M308" s="1030"/>
      <c r="N308" s="1030"/>
      <c r="O308" s="1030"/>
      <c r="P308" s="1030"/>
      <c r="Q308" s="1030"/>
      <c r="R308" s="1030"/>
      <c r="S308" s="1030"/>
      <c r="T308" s="1030"/>
      <c r="U308" s="1030"/>
      <c r="V308" s="1030"/>
      <c r="W308" s="1030"/>
      <c r="X308" s="1030"/>
      <c r="Y308" s="1030"/>
      <c r="Z308" s="1030"/>
    </row>
    <row r="309" spans="1:26" ht="12.75" customHeight="1">
      <c r="A309" s="1030"/>
      <c r="B309" s="1030"/>
      <c r="C309" s="1030"/>
      <c r="D309" s="1030"/>
      <c r="E309" s="1030"/>
      <c r="F309" s="1030"/>
      <c r="G309" s="1030"/>
      <c r="H309" s="1186"/>
      <c r="I309" s="1030"/>
      <c r="J309" s="1030"/>
      <c r="K309" s="1030"/>
      <c r="L309" s="1030"/>
      <c r="M309" s="1030"/>
      <c r="N309" s="1030"/>
      <c r="O309" s="1030"/>
      <c r="P309" s="1030"/>
      <c r="Q309" s="1030"/>
      <c r="R309" s="1030"/>
      <c r="S309" s="1030"/>
      <c r="T309" s="1030"/>
      <c r="U309" s="1030"/>
      <c r="V309" s="1030"/>
      <c r="W309" s="1030"/>
      <c r="X309" s="1030"/>
      <c r="Y309" s="1030"/>
      <c r="Z309" s="1030"/>
    </row>
    <row r="310" spans="1:26" ht="12.75" customHeight="1">
      <c r="A310" s="1030"/>
      <c r="B310" s="1030"/>
      <c r="C310" s="1030"/>
      <c r="D310" s="1030"/>
      <c r="E310" s="1030"/>
      <c r="F310" s="1030"/>
      <c r="G310" s="1030"/>
      <c r="H310" s="1186"/>
      <c r="I310" s="1030"/>
      <c r="J310" s="1030"/>
      <c r="K310" s="1030"/>
      <c r="L310" s="1030"/>
      <c r="M310" s="1030"/>
      <c r="N310" s="1030"/>
      <c r="O310" s="1030"/>
      <c r="P310" s="1030"/>
      <c r="Q310" s="1030"/>
      <c r="R310" s="1030"/>
      <c r="S310" s="1030"/>
      <c r="T310" s="1030"/>
      <c r="U310" s="1030"/>
      <c r="V310" s="1030"/>
      <c r="W310" s="1030"/>
      <c r="X310" s="1030"/>
      <c r="Y310" s="1030"/>
      <c r="Z310" s="1030"/>
    </row>
    <row r="311" spans="1:26" ht="12.75" customHeight="1">
      <c r="A311" s="1030"/>
      <c r="B311" s="1030"/>
      <c r="C311" s="1030"/>
      <c r="D311" s="1030"/>
      <c r="E311" s="1030"/>
      <c r="F311" s="1030"/>
      <c r="G311" s="1030"/>
      <c r="H311" s="1186"/>
      <c r="I311" s="1030"/>
      <c r="J311" s="1030"/>
      <c r="K311" s="1030"/>
      <c r="L311" s="1030"/>
      <c r="M311" s="1030"/>
      <c r="N311" s="1030"/>
      <c r="O311" s="1030"/>
      <c r="P311" s="1030"/>
      <c r="Q311" s="1030"/>
      <c r="R311" s="1030"/>
      <c r="S311" s="1030"/>
      <c r="T311" s="1030"/>
      <c r="U311" s="1030"/>
      <c r="V311" s="1030"/>
      <c r="W311" s="1030"/>
      <c r="X311" s="1030"/>
      <c r="Y311" s="1030"/>
      <c r="Z311" s="1030"/>
    </row>
    <row r="312" spans="1:26" ht="12.75" customHeight="1">
      <c r="A312" s="1030"/>
      <c r="B312" s="1030"/>
      <c r="C312" s="1030"/>
      <c r="D312" s="1030"/>
      <c r="E312" s="1030"/>
      <c r="F312" s="1030"/>
      <c r="G312" s="1030"/>
      <c r="H312" s="1186"/>
      <c r="I312" s="1030"/>
      <c r="J312" s="1030"/>
      <c r="K312" s="1030"/>
      <c r="L312" s="1030"/>
      <c r="M312" s="1030"/>
      <c r="N312" s="1030"/>
      <c r="O312" s="1030"/>
      <c r="P312" s="1030"/>
      <c r="Q312" s="1030"/>
      <c r="R312" s="1030"/>
      <c r="S312" s="1030"/>
      <c r="T312" s="1030"/>
      <c r="U312" s="1030"/>
      <c r="V312" s="1030"/>
      <c r="W312" s="1030"/>
      <c r="X312" s="1030"/>
      <c r="Y312" s="1030"/>
      <c r="Z312" s="1030"/>
    </row>
    <row r="313" spans="1:26" ht="12.75" customHeight="1">
      <c r="A313" s="1030"/>
      <c r="B313" s="1030"/>
      <c r="C313" s="1030"/>
      <c r="D313" s="1030"/>
      <c r="E313" s="1030"/>
      <c r="F313" s="1030"/>
      <c r="G313" s="1030"/>
      <c r="H313" s="1186"/>
      <c r="I313" s="1030"/>
      <c r="J313" s="1030"/>
      <c r="K313" s="1030"/>
      <c r="L313" s="1030"/>
      <c r="M313" s="1030"/>
      <c r="N313" s="1030"/>
      <c r="O313" s="1030"/>
      <c r="P313" s="1030"/>
      <c r="Q313" s="1030"/>
      <c r="R313" s="1030"/>
      <c r="S313" s="1030"/>
      <c r="T313" s="1030"/>
      <c r="U313" s="1030"/>
      <c r="V313" s="1030"/>
      <c r="W313" s="1030"/>
      <c r="X313" s="1030"/>
      <c r="Y313" s="1030"/>
      <c r="Z313" s="1030"/>
    </row>
    <row r="314" spans="1:26" ht="12.75" customHeight="1">
      <c r="A314" s="1030"/>
      <c r="B314" s="1030"/>
      <c r="C314" s="1030"/>
      <c r="D314" s="1030"/>
      <c r="E314" s="1030"/>
      <c r="F314" s="1030"/>
      <c r="G314" s="1030"/>
      <c r="H314" s="1186"/>
      <c r="I314" s="1030"/>
      <c r="J314" s="1030"/>
      <c r="K314" s="1030"/>
      <c r="L314" s="1030"/>
      <c r="M314" s="1030"/>
      <c r="N314" s="1030"/>
      <c r="O314" s="1030"/>
      <c r="P314" s="1030"/>
      <c r="Q314" s="1030"/>
      <c r="R314" s="1030"/>
      <c r="S314" s="1030"/>
      <c r="T314" s="1030"/>
      <c r="U314" s="1030"/>
      <c r="V314" s="1030"/>
      <c r="W314" s="1030"/>
      <c r="X314" s="1030"/>
      <c r="Y314" s="1030"/>
      <c r="Z314" s="1030"/>
    </row>
    <row r="315" spans="1:26" ht="12.75" customHeight="1">
      <c r="A315" s="1030"/>
      <c r="B315" s="1030"/>
      <c r="C315" s="1030"/>
      <c r="D315" s="1030"/>
      <c r="E315" s="1030"/>
      <c r="F315" s="1030"/>
      <c r="G315" s="1030"/>
      <c r="H315" s="1186"/>
      <c r="I315" s="1030"/>
      <c r="J315" s="1030"/>
      <c r="K315" s="1030"/>
      <c r="L315" s="1030"/>
      <c r="M315" s="1030"/>
      <c r="N315" s="1030"/>
      <c r="O315" s="1030"/>
      <c r="P315" s="1030"/>
      <c r="Q315" s="1030"/>
      <c r="R315" s="1030"/>
      <c r="S315" s="1030"/>
      <c r="T315" s="1030"/>
      <c r="U315" s="1030"/>
      <c r="V315" s="1030"/>
      <c r="W315" s="1030"/>
      <c r="X315" s="1030"/>
      <c r="Y315" s="1030"/>
      <c r="Z315" s="1030"/>
    </row>
    <row r="316" spans="1:26" ht="12.75" customHeight="1">
      <c r="A316" s="1030"/>
      <c r="B316" s="1030"/>
      <c r="C316" s="1030"/>
      <c r="D316" s="1030"/>
      <c r="E316" s="1030"/>
      <c r="F316" s="1030"/>
      <c r="G316" s="1030"/>
      <c r="H316" s="1186"/>
      <c r="I316" s="1030"/>
      <c r="J316" s="1030"/>
      <c r="K316" s="1030"/>
      <c r="L316" s="1030"/>
      <c r="M316" s="1030"/>
      <c r="N316" s="1030"/>
      <c r="O316" s="1030"/>
      <c r="P316" s="1030"/>
      <c r="Q316" s="1030"/>
      <c r="R316" s="1030"/>
      <c r="S316" s="1030"/>
      <c r="T316" s="1030"/>
      <c r="U316" s="1030"/>
      <c r="V316" s="1030"/>
      <c r="W316" s="1030"/>
      <c r="X316" s="1030"/>
      <c r="Y316" s="1030"/>
      <c r="Z316" s="1030"/>
    </row>
    <row r="317" spans="1:26" ht="12.75" customHeight="1">
      <c r="A317" s="1030"/>
      <c r="B317" s="1030"/>
      <c r="C317" s="1030"/>
      <c r="D317" s="1030"/>
      <c r="E317" s="1030"/>
      <c r="F317" s="1030"/>
      <c r="G317" s="1030"/>
      <c r="H317" s="1186"/>
      <c r="I317" s="1030"/>
      <c r="J317" s="1030"/>
      <c r="K317" s="1030"/>
      <c r="L317" s="1030"/>
      <c r="M317" s="1030"/>
      <c r="N317" s="1030"/>
      <c r="O317" s="1030"/>
      <c r="P317" s="1030"/>
      <c r="Q317" s="1030"/>
      <c r="R317" s="1030"/>
      <c r="S317" s="1030"/>
      <c r="T317" s="1030"/>
      <c r="U317" s="1030"/>
      <c r="V317" s="1030"/>
      <c r="W317" s="1030"/>
      <c r="X317" s="1030"/>
      <c r="Y317" s="1030"/>
      <c r="Z317" s="1030"/>
    </row>
    <row r="318" spans="1:26" ht="12.75" customHeight="1">
      <c r="A318" s="1030"/>
      <c r="B318" s="1030"/>
      <c r="C318" s="1030"/>
      <c r="D318" s="1030"/>
      <c r="E318" s="1030"/>
      <c r="F318" s="1030"/>
      <c r="G318" s="1030"/>
      <c r="H318" s="1186"/>
      <c r="I318" s="1030"/>
      <c r="J318" s="1030"/>
      <c r="K318" s="1030"/>
      <c r="L318" s="1030"/>
      <c r="M318" s="1030"/>
      <c r="N318" s="1030"/>
      <c r="O318" s="1030"/>
      <c r="P318" s="1030"/>
      <c r="Q318" s="1030"/>
      <c r="R318" s="1030"/>
      <c r="S318" s="1030"/>
      <c r="T318" s="1030"/>
      <c r="U318" s="1030"/>
      <c r="V318" s="1030"/>
      <c r="W318" s="1030"/>
      <c r="X318" s="1030"/>
      <c r="Y318" s="1030"/>
      <c r="Z318" s="1030"/>
    </row>
    <row r="319" spans="1:26" ht="12.75" customHeight="1">
      <c r="A319" s="1030"/>
      <c r="B319" s="1030"/>
      <c r="C319" s="1030"/>
      <c r="D319" s="1030"/>
      <c r="E319" s="1030"/>
      <c r="F319" s="1030"/>
      <c r="G319" s="1030"/>
      <c r="H319" s="1186"/>
      <c r="I319" s="1030"/>
      <c r="J319" s="1030"/>
      <c r="K319" s="1030"/>
      <c r="L319" s="1030"/>
      <c r="M319" s="1030"/>
      <c r="N319" s="1030"/>
      <c r="O319" s="1030"/>
      <c r="P319" s="1030"/>
      <c r="Q319" s="1030"/>
      <c r="R319" s="1030"/>
      <c r="S319" s="1030"/>
      <c r="T319" s="1030"/>
      <c r="U319" s="1030"/>
      <c r="V319" s="1030"/>
      <c r="W319" s="1030"/>
      <c r="X319" s="1030"/>
      <c r="Y319" s="1030"/>
      <c r="Z319" s="1030"/>
    </row>
    <row r="320" spans="1:26" ht="12.75" customHeight="1">
      <c r="A320" s="1030"/>
      <c r="B320" s="1030"/>
      <c r="C320" s="1030"/>
      <c r="D320" s="1030"/>
      <c r="E320" s="1030"/>
      <c r="F320" s="1030"/>
      <c r="G320" s="1030"/>
      <c r="H320" s="1186"/>
      <c r="I320" s="1030"/>
      <c r="J320" s="1030"/>
      <c r="K320" s="1030"/>
      <c r="L320" s="1030"/>
      <c r="M320" s="1030"/>
      <c r="N320" s="1030"/>
      <c r="O320" s="1030"/>
      <c r="P320" s="1030"/>
      <c r="Q320" s="1030"/>
      <c r="R320" s="1030"/>
      <c r="S320" s="1030"/>
      <c r="T320" s="1030"/>
      <c r="U320" s="1030"/>
      <c r="V320" s="1030"/>
      <c r="W320" s="1030"/>
      <c r="X320" s="1030"/>
      <c r="Y320" s="1030"/>
      <c r="Z320" s="1030"/>
    </row>
    <row r="321" spans="1:26" ht="12.75" customHeight="1">
      <c r="A321" s="1030"/>
      <c r="B321" s="1030"/>
      <c r="C321" s="1030"/>
      <c r="D321" s="1030"/>
      <c r="E321" s="1030"/>
      <c r="F321" s="1030"/>
      <c r="G321" s="1030"/>
      <c r="H321" s="1186"/>
      <c r="I321" s="1030"/>
      <c r="J321" s="1030"/>
      <c r="K321" s="1030"/>
      <c r="L321" s="1030"/>
      <c r="M321" s="1030"/>
      <c r="N321" s="1030"/>
      <c r="O321" s="1030"/>
      <c r="P321" s="1030"/>
      <c r="Q321" s="1030"/>
      <c r="R321" s="1030"/>
      <c r="S321" s="1030"/>
      <c r="T321" s="1030"/>
      <c r="U321" s="1030"/>
      <c r="V321" s="1030"/>
      <c r="W321" s="1030"/>
      <c r="X321" s="1030"/>
      <c r="Y321" s="1030"/>
      <c r="Z321" s="1030"/>
    </row>
    <row r="322" spans="1:26" ht="12.75" customHeight="1">
      <c r="A322" s="1030"/>
      <c r="B322" s="1030"/>
      <c r="C322" s="1030"/>
      <c r="D322" s="1030"/>
      <c r="E322" s="1030"/>
      <c r="F322" s="1030"/>
      <c r="G322" s="1030"/>
      <c r="H322" s="1186"/>
      <c r="I322" s="1030"/>
      <c r="J322" s="1030"/>
      <c r="K322" s="1030"/>
      <c r="L322" s="1030"/>
      <c r="M322" s="1030"/>
      <c r="N322" s="1030"/>
      <c r="O322" s="1030"/>
      <c r="P322" s="1030"/>
      <c r="Q322" s="1030"/>
      <c r="R322" s="1030"/>
      <c r="S322" s="1030"/>
      <c r="T322" s="1030"/>
      <c r="U322" s="1030"/>
      <c r="V322" s="1030"/>
      <c r="W322" s="1030"/>
      <c r="X322" s="1030"/>
      <c r="Y322" s="1030"/>
      <c r="Z322" s="1030"/>
    </row>
    <row r="323" spans="1:26" ht="12.75" customHeight="1">
      <c r="A323" s="1030"/>
      <c r="B323" s="1030"/>
      <c r="C323" s="1030"/>
      <c r="D323" s="1030"/>
      <c r="E323" s="1030"/>
      <c r="F323" s="1030"/>
      <c r="G323" s="1030"/>
      <c r="H323" s="1186"/>
      <c r="I323" s="1030"/>
      <c r="J323" s="1030"/>
      <c r="K323" s="1030"/>
      <c r="L323" s="1030"/>
      <c r="M323" s="1030"/>
      <c r="N323" s="1030"/>
      <c r="O323" s="1030"/>
      <c r="P323" s="1030"/>
      <c r="Q323" s="1030"/>
      <c r="R323" s="1030"/>
      <c r="S323" s="1030"/>
      <c r="T323" s="1030"/>
      <c r="U323" s="1030"/>
      <c r="V323" s="1030"/>
      <c r="W323" s="1030"/>
      <c r="X323" s="1030"/>
      <c r="Y323" s="1030"/>
      <c r="Z323" s="1030"/>
    </row>
    <row r="324" spans="1:26" ht="12.75" customHeight="1">
      <c r="A324" s="1030"/>
      <c r="B324" s="1030"/>
      <c r="C324" s="1030"/>
      <c r="D324" s="1030"/>
      <c r="E324" s="1030"/>
      <c r="F324" s="1030"/>
      <c r="G324" s="1030"/>
      <c r="H324" s="1186"/>
      <c r="I324" s="1030"/>
      <c r="J324" s="1030"/>
      <c r="K324" s="1030"/>
      <c r="L324" s="1030"/>
      <c r="M324" s="1030"/>
      <c r="N324" s="1030"/>
      <c r="O324" s="1030"/>
      <c r="P324" s="1030"/>
      <c r="Q324" s="1030"/>
      <c r="R324" s="1030"/>
      <c r="S324" s="1030"/>
      <c r="T324" s="1030"/>
      <c r="U324" s="1030"/>
      <c r="V324" s="1030"/>
      <c r="W324" s="1030"/>
      <c r="X324" s="1030"/>
      <c r="Y324" s="1030"/>
      <c r="Z324" s="1030"/>
    </row>
    <row r="325" spans="1:26" ht="12.75" customHeight="1">
      <c r="A325" s="1030"/>
      <c r="B325" s="1030"/>
      <c r="C325" s="1030"/>
      <c r="D325" s="1030"/>
      <c r="E325" s="1030"/>
      <c r="F325" s="1030"/>
      <c r="G325" s="1030"/>
      <c r="H325" s="1186"/>
      <c r="I325" s="1030"/>
      <c r="J325" s="1030"/>
      <c r="K325" s="1030"/>
      <c r="L325" s="1030"/>
      <c r="M325" s="1030"/>
      <c r="N325" s="1030"/>
      <c r="O325" s="1030"/>
      <c r="P325" s="1030"/>
      <c r="Q325" s="1030"/>
      <c r="R325" s="1030"/>
      <c r="S325" s="1030"/>
      <c r="T325" s="1030"/>
      <c r="U325" s="1030"/>
      <c r="V325" s="1030"/>
      <c r="W325" s="1030"/>
      <c r="X325" s="1030"/>
      <c r="Y325" s="1030"/>
      <c r="Z325" s="1030"/>
    </row>
    <row r="326" spans="1:26" ht="12.75" customHeight="1">
      <c r="A326" s="1030"/>
      <c r="B326" s="1030"/>
      <c r="C326" s="1030"/>
      <c r="D326" s="1030"/>
      <c r="E326" s="1030"/>
      <c r="F326" s="1030"/>
      <c r="G326" s="1030"/>
      <c r="H326" s="1186"/>
      <c r="I326" s="1030"/>
      <c r="J326" s="1030"/>
      <c r="K326" s="1030"/>
      <c r="L326" s="1030"/>
      <c r="M326" s="1030"/>
      <c r="N326" s="1030"/>
      <c r="O326" s="1030"/>
      <c r="P326" s="1030"/>
      <c r="Q326" s="1030"/>
      <c r="R326" s="1030"/>
      <c r="S326" s="1030"/>
      <c r="T326" s="1030"/>
      <c r="U326" s="1030"/>
      <c r="V326" s="1030"/>
      <c r="W326" s="1030"/>
      <c r="X326" s="1030"/>
      <c r="Y326" s="1030"/>
      <c r="Z326" s="1030"/>
    </row>
    <row r="327" spans="1:26" ht="12.75" customHeight="1">
      <c r="A327" s="1030"/>
      <c r="B327" s="1030"/>
      <c r="C327" s="1030"/>
      <c r="D327" s="1030"/>
      <c r="E327" s="1030"/>
      <c r="F327" s="1030"/>
      <c r="G327" s="1030"/>
      <c r="H327" s="1186"/>
      <c r="I327" s="1030"/>
      <c r="J327" s="1030"/>
      <c r="K327" s="1030"/>
      <c r="L327" s="1030"/>
      <c r="M327" s="1030"/>
      <c r="N327" s="1030"/>
      <c r="O327" s="1030"/>
      <c r="P327" s="1030"/>
      <c r="Q327" s="1030"/>
      <c r="R327" s="1030"/>
      <c r="S327" s="1030"/>
      <c r="T327" s="1030"/>
      <c r="U327" s="1030"/>
      <c r="V327" s="1030"/>
      <c r="W327" s="1030"/>
      <c r="X327" s="1030"/>
      <c r="Y327" s="1030"/>
      <c r="Z327" s="1030"/>
    </row>
    <row r="328" spans="1:26" ht="12.75" customHeight="1">
      <c r="A328" s="1030"/>
      <c r="B328" s="1030"/>
      <c r="C328" s="1030"/>
      <c r="D328" s="1030"/>
      <c r="E328" s="1030"/>
      <c r="F328" s="1030"/>
      <c r="G328" s="1030"/>
      <c r="H328" s="1186"/>
      <c r="I328" s="1030"/>
      <c r="J328" s="1030"/>
      <c r="K328" s="1030"/>
      <c r="L328" s="1030"/>
      <c r="M328" s="1030"/>
      <c r="N328" s="1030"/>
      <c r="O328" s="1030"/>
      <c r="P328" s="1030"/>
      <c r="Q328" s="1030"/>
      <c r="R328" s="1030"/>
      <c r="S328" s="1030"/>
      <c r="T328" s="1030"/>
      <c r="U328" s="1030"/>
      <c r="V328" s="1030"/>
      <c r="W328" s="1030"/>
      <c r="X328" s="1030"/>
      <c r="Y328" s="1030"/>
      <c r="Z328" s="1030"/>
    </row>
    <row r="329" spans="1:26" ht="12.75" customHeight="1">
      <c r="A329" s="1030"/>
      <c r="B329" s="1030"/>
      <c r="C329" s="1030"/>
      <c r="D329" s="1030"/>
      <c r="E329" s="1030"/>
      <c r="F329" s="1030"/>
      <c r="G329" s="1030"/>
      <c r="H329" s="1186"/>
      <c r="I329" s="1030"/>
      <c r="J329" s="1030"/>
      <c r="K329" s="1030"/>
      <c r="L329" s="1030"/>
      <c r="M329" s="1030"/>
      <c r="N329" s="1030"/>
      <c r="O329" s="1030"/>
      <c r="P329" s="1030"/>
      <c r="Q329" s="1030"/>
      <c r="R329" s="1030"/>
      <c r="S329" s="1030"/>
      <c r="T329" s="1030"/>
      <c r="U329" s="1030"/>
      <c r="V329" s="1030"/>
      <c r="W329" s="1030"/>
      <c r="X329" s="1030"/>
      <c r="Y329" s="1030"/>
      <c r="Z329" s="1030"/>
    </row>
    <row r="330" spans="1:26" ht="12.75" customHeight="1">
      <c r="A330" s="1030"/>
      <c r="B330" s="1030"/>
      <c r="C330" s="1030"/>
      <c r="D330" s="1030"/>
      <c r="E330" s="1030"/>
      <c r="F330" s="1030"/>
      <c r="G330" s="1030"/>
      <c r="H330" s="1186"/>
      <c r="I330" s="1030"/>
      <c r="J330" s="1030"/>
      <c r="K330" s="1030"/>
      <c r="L330" s="1030"/>
      <c r="M330" s="1030"/>
      <c r="N330" s="1030"/>
      <c r="O330" s="1030"/>
      <c r="P330" s="1030"/>
      <c r="Q330" s="1030"/>
      <c r="R330" s="1030"/>
      <c r="S330" s="1030"/>
      <c r="T330" s="1030"/>
      <c r="U330" s="1030"/>
      <c r="V330" s="1030"/>
      <c r="W330" s="1030"/>
      <c r="X330" s="1030"/>
      <c r="Y330" s="1030"/>
      <c r="Z330" s="1030"/>
    </row>
    <row r="331" spans="1:26" ht="12.75" customHeight="1">
      <c r="A331" s="1030"/>
      <c r="B331" s="1030"/>
      <c r="C331" s="1030"/>
      <c r="D331" s="1030"/>
      <c r="E331" s="1030"/>
      <c r="F331" s="1030"/>
      <c r="G331" s="1030"/>
      <c r="H331" s="1186"/>
      <c r="I331" s="1030"/>
      <c r="J331" s="1030"/>
      <c r="K331" s="1030"/>
      <c r="L331" s="1030"/>
      <c r="M331" s="1030"/>
      <c r="N331" s="1030"/>
      <c r="O331" s="1030"/>
      <c r="P331" s="1030"/>
      <c r="Q331" s="1030"/>
      <c r="R331" s="1030"/>
      <c r="S331" s="1030"/>
      <c r="T331" s="1030"/>
      <c r="U331" s="1030"/>
      <c r="V331" s="1030"/>
      <c r="W331" s="1030"/>
      <c r="X331" s="1030"/>
      <c r="Y331" s="1030"/>
      <c r="Z331" s="1030"/>
    </row>
    <row r="332" spans="1:26" ht="12.75" customHeight="1">
      <c r="A332" s="1030"/>
      <c r="B332" s="1030"/>
      <c r="C332" s="1030"/>
      <c r="D332" s="1030"/>
      <c r="E332" s="1030"/>
      <c r="F332" s="1030"/>
      <c r="G332" s="1030"/>
      <c r="H332" s="1186"/>
      <c r="I332" s="1030"/>
      <c r="J332" s="1030"/>
      <c r="K332" s="1030"/>
      <c r="L332" s="1030"/>
      <c r="M332" s="1030"/>
      <c r="N332" s="1030"/>
      <c r="O332" s="1030"/>
      <c r="P332" s="1030"/>
      <c r="Q332" s="1030"/>
      <c r="R332" s="1030"/>
      <c r="S332" s="1030"/>
      <c r="T332" s="1030"/>
      <c r="U332" s="1030"/>
      <c r="V332" s="1030"/>
      <c r="W332" s="1030"/>
      <c r="X332" s="1030"/>
      <c r="Y332" s="1030"/>
      <c r="Z332" s="1030"/>
    </row>
    <row r="333" spans="1:26" ht="12.75" customHeight="1">
      <c r="A333" s="1030"/>
      <c r="B333" s="1030"/>
      <c r="C333" s="1030"/>
      <c r="D333" s="1030"/>
      <c r="E333" s="1030"/>
      <c r="F333" s="1030"/>
      <c r="G333" s="1030"/>
      <c r="H333" s="1186"/>
      <c r="I333" s="1030"/>
      <c r="J333" s="1030"/>
      <c r="K333" s="1030"/>
      <c r="L333" s="1030"/>
      <c r="M333" s="1030"/>
      <c r="N333" s="1030"/>
      <c r="O333" s="1030"/>
      <c r="P333" s="1030"/>
      <c r="Q333" s="1030"/>
      <c r="R333" s="1030"/>
      <c r="S333" s="1030"/>
      <c r="T333" s="1030"/>
      <c r="U333" s="1030"/>
      <c r="V333" s="1030"/>
      <c r="W333" s="1030"/>
      <c r="X333" s="1030"/>
      <c r="Y333" s="1030"/>
      <c r="Z333" s="1030"/>
    </row>
    <row r="334" spans="1:26" ht="12.75" customHeight="1">
      <c r="A334" s="1030"/>
      <c r="B334" s="1030"/>
      <c r="C334" s="1030"/>
      <c r="D334" s="1030"/>
      <c r="E334" s="1030"/>
      <c r="F334" s="1030"/>
      <c r="G334" s="1030"/>
      <c r="H334" s="1186"/>
      <c r="I334" s="1030"/>
      <c r="J334" s="1030"/>
      <c r="K334" s="1030"/>
      <c r="L334" s="1030"/>
      <c r="M334" s="1030"/>
      <c r="N334" s="1030"/>
      <c r="O334" s="1030"/>
      <c r="P334" s="1030"/>
      <c r="Q334" s="1030"/>
      <c r="R334" s="1030"/>
      <c r="S334" s="1030"/>
      <c r="T334" s="1030"/>
      <c r="U334" s="1030"/>
      <c r="V334" s="1030"/>
      <c r="W334" s="1030"/>
      <c r="X334" s="1030"/>
      <c r="Y334" s="1030"/>
      <c r="Z334" s="1030"/>
    </row>
    <row r="335" spans="1:26" ht="12.75" customHeight="1">
      <c r="A335" s="1030"/>
      <c r="B335" s="1030"/>
      <c r="C335" s="1030"/>
      <c r="D335" s="1030"/>
      <c r="E335" s="1030"/>
      <c r="F335" s="1030"/>
      <c r="G335" s="1030"/>
      <c r="H335" s="1186"/>
      <c r="I335" s="1030"/>
      <c r="J335" s="1030"/>
      <c r="K335" s="1030"/>
      <c r="L335" s="1030"/>
      <c r="M335" s="1030"/>
      <c r="N335" s="1030"/>
      <c r="O335" s="1030"/>
      <c r="P335" s="1030"/>
      <c r="Q335" s="1030"/>
      <c r="R335" s="1030"/>
      <c r="S335" s="1030"/>
      <c r="T335" s="1030"/>
      <c r="U335" s="1030"/>
      <c r="V335" s="1030"/>
      <c r="W335" s="1030"/>
      <c r="X335" s="1030"/>
      <c r="Y335" s="1030"/>
      <c r="Z335" s="1030"/>
    </row>
    <row r="336" spans="1:26" ht="12.75" customHeight="1">
      <c r="A336" s="1030"/>
      <c r="B336" s="1030"/>
      <c r="C336" s="1030"/>
      <c r="D336" s="1030"/>
      <c r="E336" s="1030"/>
      <c r="F336" s="1030"/>
      <c r="G336" s="1030"/>
      <c r="H336" s="1186"/>
      <c r="I336" s="1030"/>
      <c r="J336" s="1030"/>
      <c r="K336" s="1030"/>
      <c r="L336" s="1030"/>
      <c r="M336" s="1030"/>
      <c r="N336" s="1030"/>
      <c r="O336" s="1030"/>
      <c r="P336" s="1030"/>
      <c r="Q336" s="1030"/>
      <c r="R336" s="1030"/>
      <c r="S336" s="1030"/>
      <c r="T336" s="1030"/>
      <c r="U336" s="1030"/>
      <c r="V336" s="1030"/>
      <c r="W336" s="1030"/>
      <c r="X336" s="1030"/>
      <c r="Y336" s="1030"/>
      <c r="Z336" s="1030"/>
    </row>
    <row r="337" spans="1:26" ht="12.75" customHeight="1">
      <c r="A337" s="1030"/>
      <c r="B337" s="1030"/>
      <c r="C337" s="1030"/>
      <c r="D337" s="1030"/>
      <c r="E337" s="1030"/>
      <c r="F337" s="1030"/>
      <c r="G337" s="1030"/>
      <c r="H337" s="1186"/>
      <c r="I337" s="1030"/>
      <c r="J337" s="1030"/>
      <c r="K337" s="1030"/>
      <c r="L337" s="1030"/>
      <c r="M337" s="1030"/>
      <c r="N337" s="1030"/>
      <c r="O337" s="1030"/>
      <c r="P337" s="1030"/>
      <c r="Q337" s="1030"/>
      <c r="R337" s="1030"/>
      <c r="S337" s="1030"/>
      <c r="T337" s="1030"/>
      <c r="U337" s="1030"/>
      <c r="V337" s="1030"/>
      <c r="W337" s="1030"/>
      <c r="X337" s="1030"/>
      <c r="Y337" s="1030"/>
      <c r="Z337" s="1030"/>
    </row>
    <row r="338" spans="1:26" ht="12.75" customHeight="1">
      <c r="A338" s="1030"/>
      <c r="B338" s="1030"/>
      <c r="C338" s="1030"/>
      <c r="D338" s="1030"/>
      <c r="E338" s="1030"/>
      <c r="F338" s="1030"/>
      <c r="G338" s="1030"/>
      <c r="H338" s="1186"/>
      <c r="I338" s="1030"/>
      <c r="J338" s="1030"/>
      <c r="K338" s="1030"/>
      <c r="L338" s="1030"/>
      <c r="M338" s="1030"/>
      <c r="N338" s="1030"/>
      <c r="O338" s="1030"/>
      <c r="P338" s="1030"/>
      <c r="Q338" s="1030"/>
      <c r="R338" s="1030"/>
      <c r="S338" s="1030"/>
      <c r="T338" s="1030"/>
      <c r="U338" s="1030"/>
      <c r="V338" s="1030"/>
      <c r="W338" s="1030"/>
      <c r="X338" s="1030"/>
      <c r="Y338" s="1030"/>
      <c r="Z338" s="1030"/>
    </row>
    <row r="339" spans="1:26" ht="12.75" customHeight="1">
      <c r="A339" s="1030"/>
      <c r="B339" s="1030"/>
      <c r="C339" s="1030"/>
      <c r="D339" s="1030"/>
      <c r="E339" s="1030"/>
      <c r="F339" s="1030"/>
      <c r="G339" s="1030"/>
      <c r="H339" s="1186"/>
      <c r="I339" s="1030"/>
      <c r="J339" s="1030"/>
      <c r="K339" s="1030"/>
      <c r="L339" s="1030"/>
      <c r="M339" s="1030"/>
      <c r="N339" s="1030"/>
      <c r="O339" s="1030"/>
      <c r="P339" s="1030"/>
      <c r="Q339" s="1030"/>
      <c r="R339" s="1030"/>
      <c r="S339" s="1030"/>
      <c r="T339" s="1030"/>
      <c r="U339" s="1030"/>
      <c r="V339" s="1030"/>
      <c r="W339" s="1030"/>
      <c r="X339" s="1030"/>
      <c r="Y339" s="1030"/>
      <c r="Z339" s="1030"/>
    </row>
    <row r="340" spans="1:26" ht="12.75" customHeight="1">
      <c r="A340" s="1030"/>
      <c r="B340" s="1030"/>
      <c r="C340" s="1030"/>
      <c r="D340" s="1030"/>
      <c r="E340" s="1030"/>
      <c r="F340" s="1030"/>
      <c r="G340" s="1030"/>
      <c r="H340" s="1186"/>
      <c r="I340" s="1030"/>
      <c r="J340" s="1030"/>
      <c r="K340" s="1030"/>
      <c r="L340" s="1030"/>
      <c r="M340" s="1030"/>
      <c r="N340" s="1030"/>
      <c r="O340" s="1030"/>
      <c r="P340" s="1030"/>
      <c r="Q340" s="1030"/>
      <c r="R340" s="1030"/>
      <c r="S340" s="1030"/>
      <c r="T340" s="1030"/>
      <c r="U340" s="1030"/>
      <c r="V340" s="1030"/>
      <c r="W340" s="1030"/>
      <c r="X340" s="1030"/>
      <c r="Y340" s="1030"/>
      <c r="Z340" s="1030"/>
    </row>
    <row r="341" spans="1:26" ht="12.75" customHeight="1">
      <c r="A341" s="1030"/>
      <c r="B341" s="1030"/>
      <c r="C341" s="1030"/>
      <c r="D341" s="1030"/>
      <c r="E341" s="1030"/>
      <c r="F341" s="1030"/>
      <c r="G341" s="1030"/>
      <c r="H341" s="1186"/>
      <c r="I341" s="1030"/>
      <c r="J341" s="1030"/>
      <c r="K341" s="1030"/>
      <c r="L341" s="1030"/>
      <c r="M341" s="1030"/>
      <c r="N341" s="1030"/>
      <c r="O341" s="1030"/>
      <c r="P341" s="1030"/>
      <c r="Q341" s="1030"/>
      <c r="R341" s="1030"/>
      <c r="S341" s="1030"/>
      <c r="T341" s="1030"/>
      <c r="U341" s="1030"/>
      <c r="V341" s="1030"/>
      <c r="W341" s="1030"/>
      <c r="X341" s="1030"/>
      <c r="Y341" s="1030"/>
      <c r="Z341" s="1030"/>
    </row>
    <row r="342" spans="1:26" ht="12.75" customHeight="1">
      <c r="A342" s="1030"/>
      <c r="B342" s="1030"/>
      <c r="C342" s="1030"/>
      <c r="D342" s="1030"/>
      <c r="E342" s="1030"/>
      <c r="F342" s="1030"/>
      <c r="G342" s="1030"/>
      <c r="H342" s="1186"/>
      <c r="I342" s="1030"/>
      <c r="J342" s="1030"/>
      <c r="K342" s="1030"/>
      <c r="L342" s="1030"/>
      <c r="M342" s="1030"/>
      <c r="N342" s="1030"/>
      <c r="O342" s="1030"/>
      <c r="P342" s="1030"/>
      <c r="Q342" s="1030"/>
      <c r="R342" s="1030"/>
      <c r="S342" s="1030"/>
      <c r="T342" s="1030"/>
      <c r="U342" s="1030"/>
      <c r="V342" s="1030"/>
      <c r="W342" s="1030"/>
      <c r="X342" s="1030"/>
      <c r="Y342" s="1030"/>
      <c r="Z342" s="1030"/>
    </row>
    <row r="343" spans="1:26" ht="12.75" customHeight="1">
      <c r="A343" s="1030"/>
      <c r="B343" s="1030"/>
      <c r="C343" s="1030"/>
      <c r="D343" s="1030"/>
      <c r="E343" s="1030"/>
      <c r="F343" s="1030"/>
      <c r="G343" s="1030"/>
      <c r="H343" s="1186"/>
      <c r="I343" s="1030"/>
      <c r="J343" s="1030"/>
      <c r="K343" s="1030"/>
      <c r="L343" s="1030"/>
      <c r="M343" s="1030"/>
      <c r="N343" s="1030"/>
      <c r="O343" s="1030"/>
      <c r="P343" s="1030"/>
      <c r="Q343" s="1030"/>
      <c r="R343" s="1030"/>
      <c r="S343" s="1030"/>
      <c r="T343" s="1030"/>
      <c r="U343" s="1030"/>
      <c r="V343" s="1030"/>
      <c r="W343" s="1030"/>
      <c r="X343" s="1030"/>
      <c r="Y343" s="1030"/>
      <c r="Z343" s="1030"/>
    </row>
    <row r="344" spans="1:26" ht="12.75" customHeight="1">
      <c r="A344" s="1030"/>
      <c r="B344" s="1030"/>
      <c r="C344" s="1030"/>
      <c r="D344" s="1030"/>
      <c r="E344" s="1030"/>
      <c r="F344" s="1030"/>
      <c r="G344" s="1030"/>
      <c r="H344" s="1186"/>
      <c r="I344" s="1030"/>
      <c r="J344" s="1030"/>
      <c r="K344" s="1030"/>
      <c r="L344" s="1030"/>
      <c r="M344" s="1030"/>
      <c r="N344" s="1030"/>
      <c r="O344" s="1030"/>
      <c r="P344" s="1030"/>
      <c r="Q344" s="1030"/>
      <c r="R344" s="1030"/>
      <c r="S344" s="1030"/>
      <c r="T344" s="1030"/>
      <c r="U344" s="1030"/>
      <c r="V344" s="1030"/>
      <c r="W344" s="1030"/>
      <c r="X344" s="1030"/>
      <c r="Y344" s="1030"/>
      <c r="Z344" s="1030"/>
    </row>
    <row r="345" spans="1:26" ht="12.75" customHeight="1">
      <c r="A345" s="1030"/>
      <c r="B345" s="1030"/>
      <c r="C345" s="1030"/>
      <c r="D345" s="1030"/>
      <c r="E345" s="1030"/>
      <c r="F345" s="1030"/>
      <c r="G345" s="1030"/>
      <c r="H345" s="1186"/>
      <c r="I345" s="1030"/>
      <c r="J345" s="1030"/>
      <c r="K345" s="1030"/>
      <c r="L345" s="1030"/>
      <c r="M345" s="1030"/>
      <c r="N345" s="1030"/>
      <c r="O345" s="1030"/>
      <c r="P345" s="1030"/>
      <c r="Q345" s="1030"/>
      <c r="R345" s="1030"/>
      <c r="S345" s="1030"/>
      <c r="T345" s="1030"/>
      <c r="U345" s="1030"/>
      <c r="V345" s="1030"/>
      <c r="W345" s="1030"/>
      <c r="X345" s="1030"/>
      <c r="Y345" s="1030"/>
      <c r="Z345" s="1030"/>
    </row>
    <row r="346" spans="1:26" ht="12.75" customHeight="1">
      <c r="A346" s="1030"/>
      <c r="B346" s="1030"/>
      <c r="C346" s="1030"/>
      <c r="D346" s="1030"/>
      <c r="E346" s="1030"/>
      <c r="F346" s="1030"/>
      <c r="G346" s="1030"/>
      <c r="H346" s="1186"/>
      <c r="I346" s="1030"/>
      <c r="J346" s="1030"/>
      <c r="K346" s="1030"/>
      <c r="L346" s="1030"/>
      <c r="M346" s="1030"/>
      <c r="N346" s="1030"/>
      <c r="O346" s="1030"/>
      <c r="P346" s="1030"/>
      <c r="Q346" s="1030"/>
      <c r="R346" s="1030"/>
      <c r="S346" s="1030"/>
      <c r="T346" s="1030"/>
      <c r="U346" s="1030"/>
      <c r="V346" s="1030"/>
      <c r="W346" s="1030"/>
      <c r="X346" s="1030"/>
      <c r="Y346" s="1030"/>
      <c r="Z346" s="1030"/>
    </row>
    <row r="347" spans="1:26" ht="12.75" customHeight="1">
      <c r="A347" s="1030"/>
      <c r="B347" s="1030"/>
      <c r="C347" s="1030"/>
      <c r="D347" s="1030"/>
      <c r="E347" s="1030"/>
      <c r="F347" s="1030"/>
      <c r="G347" s="1030"/>
      <c r="H347" s="1186"/>
      <c r="I347" s="1030"/>
      <c r="J347" s="1030"/>
      <c r="K347" s="1030"/>
      <c r="L347" s="1030"/>
      <c r="M347" s="1030"/>
      <c r="N347" s="1030"/>
      <c r="O347" s="1030"/>
      <c r="P347" s="1030"/>
      <c r="Q347" s="1030"/>
      <c r="R347" s="1030"/>
      <c r="S347" s="1030"/>
      <c r="T347" s="1030"/>
      <c r="U347" s="1030"/>
      <c r="V347" s="1030"/>
      <c r="W347" s="1030"/>
      <c r="X347" s="1030"/>
      <c r="Y347" s="1030"/>
      <c r="Z347" s="1030"/>
    </row>
    <row r="348" spans="1:26" ht="12.75" customHeight="1">
      <c r="A348" s="1030"/>
      <c r="B348" s="1030"/>
      <c r="C348" s="1030"/>
      <c r="D348" s="1030"/>
      <c r="E348" s="1030"/>
      <c r="F348" s="1030"/>
      <c r="G348" s="1030"/>
      <c r="H348" s="1186"/>
      <c r="I348" s="1030"/>
      <c r="J348" s="1030"/>
      <c r="K348" s="1030"/>
      <c r="L348" s="1030"/>
      <c r="M348" s="1030"/>
      <c r="N348" s="1030"/>
      <c r="O348" s="1030"/>
      <c r="P348" s="1030"/>
      <c r="Q348" s="1030"/>
      <c r="R348" s="1030"/>
      <c r="S348" s="1030"/>
      <c r="T348" s="1030"/>
      <c r="U348" s="1030"/>
      <c r="V348" s="1030"/>
      <c r="W348" s="1030"/>
      <c r="X348" s="1030"/>
      <c r="Y348" s="1030"/>
      <c r="Z348" s="1030"/>
    </row>
    <row r="349" spans="1:26" ht="12.75" customHeight="1">
      <c r="A349" s="1030"/>
      <c r="B349" s="1030"/>
      <c r="C349" s="1030"/>
      <c r="D349" s="1030"/>
      <c r="E349" s="1030"/>
      <c r="F349" s="1030"/>
      <c r="G349" s="1030"/>
      <c r="H349" s="1186"/>
      <c r="I349" s="1030"/>
      <c r="J349" s="1030"/>
      <c r="K349" s="1030"/>
      <c r="L349" s="1030"/>
      <c r="M349" s="1030"/>
      <c r="N349" s="1030"/>
      <c r="O349" s="1030"/>
      <c r="P349" s="1030"/>
      <c r="Q349" s="1030"/>
      <c r="R349" s="1030"/>
      <c r="S349" s="1030"/>
      <c r="T349" s="1030"/>
      <c r="U349" s="1030"/>
      <c r="V349" s="1030"/>
      <c r="W349" s="1030"/>
      <c r="X349" s="1030"/>
      <c r="Y349" s="1030"/>
      <c r="Z349" s="1030"/>
    </row>
    <row r="350" spans="1:26" ht="12.75" customHeight="1">
      <c r="A350" s="1030"/>
      <c r="B350" s="1030"/>
      <c r="C350" s="1030"/>
      <c r="D350" s="1030"/>
      <c r="E350" s="1030"/>
      <c r="F350" s="1030"/>
      <c r="G350" s="1030"/>
      <c r="H350" s="1186"/>
      <c r="I350" s="1030"/>
      <c r="J350" s="1030"/>
      <c r="K350" s="1030"/>
      <c r="L350" s="1030"/>
      <c r="M350" s="1030"/>
      <c r="N350" s="1030"/>
      <c r="O350" s="1030"/>
      <c r="P350" s="1030"/>
      <c r="Q350" s="1030"/>
      <c r="R350" s="1030"/>
      <c r="S350" s="1030"/>
      <c r="T350" s="1030"/>
      <c r="U350" s="1030"/>
      <c r="V350" s="1030"/>
      <c r="W350" s="1030"/>
      <c r="X350" s="1030"/>
      <c r="Y350" s="1030"/>
      <c r="Z350" s="1030"/>
    </row>
    <row r="351" spans="1:26" ht="12.75" customHeight="1">
      <c r="A351" s="1030"/>
      <c r="B351" s="1030"/>
      <c r="C351" s="1030"/>
      <c r="D351" s="1030"/>
      <c r="E351" s="1030"/>
      <c r="F351" s="1030"/>
      <c r="G351" s="1030"/>
      <c r="H351" s="1186"/>
      <c r="I351" s="1030"/>
      <c r="J351" s="1030"/>
      <c r="K351" s="1030"/>
      <c r="L351" s="1030"/>
      <c r="M351" s="1030"/>
      <c r="N351" s="1030"/>
      <c r="O351" s="1030"/>
      <c r="P351" s="1030"/>
      <c r="Q351" s="1030"/>
      <c r="R351" s="1030"/>
      <c r="S351" s="1030"/>
      <c r="T351" s="1030"/>
      <c r="U351" s="1030"/>
      <c r="V351" s="1030"/>
      <c r="W351" s="1030"/>
      <c r="X351" s="1030"/>
      <c r="Y351" s="1030"/>
      <c r="Z351" s="1030"/>
    </row>
    <row r="352" spans="1:26" ht="12.75" customHeight="1">
      <c r="A352" s="1030"/>
      <c r="B352" s="1030"/>
      <c r="C352" s="1030"/>
      <c r="D352" s="1030"/>
      <c r="E352" s="1030"/>
      <c r="F352" s="1030"/>
      <c r="G352" s="1030"/>
      <c r="H352" s="1186"/>
      <c r="I352" s="1030"/>
      <c r="J352" s="1030"/>
      <c r="K352" s="1030"/>
      <c r="L352" s="1030"/>
      <c r="M352" s="1030"/>
      <c r="N352" s="1030"/>
      <c r="O352" s="1030"/>
      <c r="P352" s="1030"/>
      <c r="Q352" s="1030"/>
      <c r="R352" s="1030"/>
      <c r="S352" s="1030"/>
      <c r="T352" s="1030"/>
      <c r="U352" s="1030"/>
      <c r="V352" s="1030"/>
      <c r="W352" s="1030"/>
      <c r="X352" s="1030"/>
      <c r="Y352" s="1030"/>
      <c r="Z352" s="1030"/>
    </row>
    <row r="353" spans="1:26" ht="12.75" customHeight="1">
      <c r="A353" s="1030"/>
      <c r="B353" s="1030"/>
      <c r="C353" s="1030"/>
      <c r="D353" s="1030"/>
      <c r="E353" s="1030"/>
      <c r="F353" s="1030"/>
      <c r="G353" s="1030"/>
      <c r="H353" s="1186"/>
      <c r="I353" s="1030"/>
      <c r="J353" s="1030"/>
      <c r="K353" s="1030"/>
      <c r="L353" s="1030"/>
      <c r="M353" s="1030"/>
      <c r="N353" s="1030"/>
      <c r="O353" s="1030"/>
      <c r="P353" s="1030"/>
      <c r="Q353" s="1030"/>
      <c r="R353" s="1030"/>
      <c r="S353" s="1030"/>
      <c r="T353" s="1030"/>
      <c r="U353" s="1030"/>
      <c r="V353" s="1030"/>
      <c r="W353" s="1030"/>
      <c r="X353" s="1030"/>
      <c r="Y353" s="1030"/>
      <c r="Z353" s="1030"/>
    </row>
    <row r="354" spans="1:26" ht="12.75" customHeight="1">
      <c r="A354" s="1030"/>
      <c r="B354" s="1030"/>
      <c r="C354" s="1030"/>
      <c r="D354" s="1030"/>
      <c r="E354" s="1030"/>
      <c r="F354" s="1030"/>
      <c r="G354" s="1030"/>
      <c r="H354" s="1186"/>
      <c r="I354" s="1030"/>
      <c r="J354" s="1030"/>
      <c r="K354" s="1030"/>
      <c r="L354" s="1030"/>
      <c r="M354" s="1030"/>
      <c r="N354" s="1030"/>
      <c r="O354" s="1030"/>
      <c r="P354" s="1030"/>
      <c r="Q354" s="1030"/>
      <c r="R354" s="1030"/>
      <c r="S354" s="1030"/>
      <c r="T354" s="1030"/>
      <c r="U354" s="1030"/>
      <c r="V354" s="1030"/>
      <c r="W354" s="1030"/>
      <c r="X354" s="1030"/>
      <c r="Y354" s="1030"/>
      <c r="Z354" s="1030"/>
    </row>
    <row r="355" spans="1:26" ht="12.75" customHeight="1">
      <c r="A355" s="1030"/>
      <c r="B355" s="1030"/>
      <c r="C355" s="1030"/>
      <c r="D355" s="1030"/>
      <c r="E355" s="1030"/>
      <c r="F355" s="1030"/>
      <c r="G355" s="1030"/>
      <c r="H355" s="1186"/>
      <c r="I355" s="1030"/>
      <c r="J355" s="1030"/>
      <c r="K355" s="1030"/>
      <c r="L355" s="1030"/>
      <c r="M355" s="1030"/>
      <c r="N355" s="1030"/>
      <c r="O355" s="1030"/>
      <c r="P355" s="1030"/>
      <c r="Q355" s="1030"/>
      <c r="R355" s="1030"/>
      <c r="S355" s="1030"/>
      <c r="T355" s="1030"/>
      <c r="U355" s="1030"/>
      <c r="V355" s="1030"/>
      <c r="W355" s="1030"/>
      <c r="X355" s="1030"/>
      <c r="Y355" s="1030"/>
      <c r="Z355" s="1030"/>
    </row>
    <row r="356" spans="1:26" ht="12.75" customHeight="1">
      <c r="A356" s="1030"/>
      <c r="B356" s="1030"/>
      <c r="C356" s="1030"/>
      <c r="D356" s="1030"/>
      <c r="E356" s="1030"/>
      <c r="F356" s="1030"/>
      <c r="G356" s="1030"/>
      <c r="H356" s="1186"/>
      <c r="I356" s="1030"/>
      <c r="J356" s="1030"/>
      <c r="K356" s="1030"/>
      <c r="L356" s="1030"/>
      <c r="M356" s="1030"/>
      <c r="N356" s="1030"/>
      <c r="O356" s="1030"/>
      <c r="P356" s="1030"/>
      <c r="Q356" s="1030"/>
      <c r="R356" s="1030"/>
      <c r="S356" s="1030"/>
      <c r="T356" s="1030"/>
      <c r="U356" s="1030"/>
      <c r="V356" s="1030"/>
      <c r="W356" s="1030"/>
      <c r="X356" s="1030"/>
      <c r="Y356" s="1030"/>
      <c r="Z356" s="1030"/>
    </row>
    <row r="357" spans="1:26" ht="12.75" customHeight="1">
      <c r="A357" s="1030"/>
      <c r="B357" s="1030"/>
      <c r="C357" s="1030"/>
      <c r="D357" s="1030"/>
      <c r="E357" s="1030"/>
      <c r="F357" s="1030"/>
      <c r="G357" s="1030"/>
      <c r="H357" s="1186"/>
      <c r="I357" s="1030"/>
      <c r="J357" s="1030"/>
      <c r="K357" s="1030"/>
      <c r="L357" s="1030"/>
      <c r="M357" s="1030"/>
      <c r="N357" s="1030"/>
      <c r="O357" s="1030"/>
      <c r="P357" s="1030"/>
      <c r="Q357" s="1030"/>
      <c r="R357" s="1030"/>
      <c r="S357" s="1030"/>
      <c r="T357" s="1030"/>
      <c r="U357" s="1030"/>
      <c r="V357" s="1030"/>
      <c r="W357" s="1030"/>
      <c r="X357" s="1030"/>
      <c r="Y357" s="1030"/>
      <c r="Z357" s="1030"/>
    </row>
    <row r="358" spans="1:26" ht="12.75" customHeight="1">
      <c r="A358" s="1030"/>
      <c r="B358" s="1030"/>
      <c r="C358" s="1030"/>
      <c r="D358" s="1030"/>
      <c r="E358" s="1030"/>
      <c r="F358" s="1030"/>
      <c r="G358" s="1030"/>
      <c r="H358" s="1186"/>
      <c r="I358" s="1030"/>
      <c r="J358" s="1030"/>
      <c r="K358" s="1030"/>
      <c r="L358" s="1030"/>
      <c r="M358" s="1030"/>
      <c r="N358" s="1030"/>
      <c r="O358" s="1030"/>
      <c r="P358" s="1030"/>
      <c r="Q358" s="1030"/>
      <c r="R358" s="1030"/>
      <c r="S358" s="1030"/>
      <c r="T358" s="1030"/>
      <c r="U358" s="1030"/>
      <c r="V358" s="1030"/>
      <c r="W358" s="1030"/>
      <c r="X358" s="1030"/>
      <c r="Y358" s="1030"/>
      <c r="Z358" s="1030"/>
    </row>
    <row r="359" spans="1:26" ht="12.75" customHeight="1">
      <c r="A359" s="1030"/>
      <c r="B359" s="1030"/>
      <c r="C359" s="1030"/>
      <c r="D359" s="1030"/>
      <c r="E359" s="1030"/>
      <c r="F359" s="1030"/>
      <c r="G359" s="1030"/>
      <c r="H359" s="1186"/>
      <c r="I359" s="1030"/>
      <c r="J359" s="1030"/>
      <c r="K359" s="1030"/>
      <c r="L359" s="1030"/>
      <c r="M359" s="1030"/>
      <c r="N359" s="1030"/>
      <c r="O359" s="1030"/>
      <c r="P359" s="1030"/>
      <c r="Q359" s="1030"/>
      <c r="R359" s="1030"/>
      <c r="S359" s="1030"/>
      <c r="T359" s="1030"/>
      <c r="U359" s="1030"/>
      <c r="V359" s="1030"/>
      <c r="W359" s="1030"/>
      <c r="X359" s="1030"/>
      <c r="Y359" s="1030"/>
      <c r="Z359" s="1030"/>
    </row>
    <row r="360" spans="1:26" ht="12.75" customHeight="1">
      <c r="A360" s="1030"/>
      <c r="B360" s="1030"/>
      <c r="C360" s="1030"/>
      <c r="D360" s="1030"/>
      <c r="E360" s="1030"/>
      <c r="F360" s="1030"/>
      <c r="G360" s="1030"/>
      <c r="H360" s="1186"/>
      <c r="I360" s="1030"/>
      <c r="J360" s="1030"/>
      <c r="K360" s="1030"/>
      <c r="L360" s="1030"/>
      <c r="M360" s="1030"/>
      <c r="N360" s="1030"/>
      <c r="O360" s="1030"/>
      <c r="P360" s="1030"/>
      <c r="Q360" s="1030"/>
      <c r="R360" s="1030"/>
      <c r="S360" s="1030"/>
      <c r="T360" s="1030"/>
      <c r="U360" s="1030"/>
      <c r="V360" s="1030"/>
      <c r="W360" s="1030"/>
      <c r="X360" s="1030"/>
      <c r="Y360" s="1030"/>
      <c r="Z360" s="1030"/>
    </row>
    <row r="361" spans="1:26" ht="12.75" customHeight="1">
      <c r="A361" s="1030"/>
      <c r="B361" s="1030"/>
      <c r="C361" s="1030"/>
      <c r="D361" s="1030"/>
      <c r="E361" s="1030"/>
      <c r="F361" s="1030"/>
      <c r="G361" s="1030"/>
      <c r="H361" s="1186"/>
      <c r="I361" s="1030"/>
      <c r="J361" s="1030"/>
      <c r="K361" s="1030"/>
      <c r="L361" s="1030"/>
      <c r="M361" s="1030"/>
      <c r="N361" s="1030"/>
      <c r="O361" s="1030"/>
      <c r="P361" s="1030"/>
      <c r="Q361" s="1030"/>
      <c r="R361" s="1030"/>
      <c r="S361" s="1030"/>
      <c r="T361" s="1030"/>
      <c r="U361" s="1030"/>
      <c r="V361" s="1030"/>
      <c r="W361" s="1030"/>
      <c r="X361" s="1030"/>
      <c r="Y361" s="1030"/>
      <c r="Z361" s="1030"/>
    </row>
    <row r="362" spans="1:26" ht="12.75" customHeight="1">
      <c r="A362" s="1030"/>
      <c r="B362" s="1030"/>
      <c r="C362" s="1030"/>
      <c r="D362" s="1030"/>
      <c r="E362" s="1030"/>
      <c r="F362" s="1030"/>
      <c r="G362" s="1030"/>
      <c r="H362" s="1186"/>
      <c r="I362" s="1030"/>
      <c r="J362" s="1030"/>
      <c r="K362" s="1030"/>
      <c r="L362" s="1030"/>
      <c r="M362" s="1030"/>
      <c r="N362" s="1030"/>
      <c r="O362" s="1030"/>
      <c r="P362" s="1030"/>
      <c r="Q362" s="1030"/>
      <c r="R362" s="1030"/>
      <c r="S362" s="1030"/>
      <c r="T362" s="1030"/>
      <c r="U362" s="1030"/>
      <c r="V362" s="1030"/>
      <c r="W362" s="1030"/>
      <c r="X362" s="1030"/>
      <c r="Y362" s="1030"/>
      <c r="Z362" s="1030"/>
    </row>
    <row r="363" spans="1:26" ht="12.75" customHeight="1">
      <c r="A363" s="1030"/>
      <c r="B363" s="1030"/>
      <c r="C363" s="1030"/>
      <c r="D363" s="1030"/>
      <c r="E363" s="1030"/>
      <c r="F363" s="1030"/>
      <c r="G363" s="1030"/>
      <c r="H363" s="1186"/>
      <c r="I363" s="1030"/>
      <c r="J363" s="1030"/>
      <c r="K363" s="1030"/>
      <c r="L363" s="1030"/>
      <c r="M363" s="1030"/>
      <c r="N363" s="1030"/>
      <c r="O363" s="1030"/>
      <c r="P363" s="1030"/>
      <c r="Q363" s="1030"/>
      <c r="R363" s="1030"/>
      <c r="S363" s="1030"/>
      <c r="T363" s="1030"/>
      <c r="U363" s="1030"/>
      <c r="V363" s="1030"/>
      <c r="W363" s="1030"/>
      <c r="X363" s="1030"/>
      <c r="Y363" s="1030"/>
      <c r="Z363" s="1030"/>
    </row>
    <row r="364" spans="1:26" ht="12.75" customHeight="1">
      <c r="A364" s="1030"/>
      <c r="B364" s="1030"/>
      <c r="C364" s="1030"/>
      <c r="D364" s="1030"/>
      <c r="E364" s="1030"/>
      <c r="F364" s="1030"/>
      <c r="G364" s="1030"/>
      <c r="H364" s="1186"/>
      <c r="I364" s="1030"/>
      <c r="J364" s="1030"/>
      <c r="K364" s="1030"/>
      <c r="L364" s="1030"/>
      <c r="M364" s="1030"/>
      <c r="N364" s="1030"/>
      <c r="O364" s="1030"/>
      <c r="P364" s="1030"/>
      <c r="Q364" s="1030"/>
      <c r="R364" s="1030"/>
      <c r="S364" s="1030"/>
      <c r="T364" s="1030"/>
      <c r="U364" s="1030"/>
      <c r="V364" s="1030"/>
      <c r="W364" s="1030"/>
      <c r="X364" s="1030"/>
      <c r="Y364" s="1030"/>
      <c r="Z364" s="1030"/>
    </row>
    <row r="365" spans="1:26" ht="12.75" customHeight="1">
      <c r="A365" s="1030"/>
      <c r="B365" s="1030"/>
      <c r="C365" s="1030"/>
      <c r="D365" s="1030"/>
      <c r="E365" s="1030"/>
      <c r="F365" s="1030"/>
      <c r="G365" s="1030"/>
      <c r="H365" s="1186"/>
      <c r="I365" s="1030"/>
      <c r="J365" s="1030"/>
      <c r="K365" s="1030"/>
      <c r="L365" s="1030"/>
      <c r="M365" s="1030"/>
      <c r="N365" s="1030"/>
      <c r="O365" s="1030"/>
      <c r="P365" s="1030"/>
      <c r="Q365" s="1030"/>
      <c r="R365" s="1030"/>
      <c r="S365" s="1030"/>
      <c r="T365" s="1030"/>
      <c r="U365" s="1030"/>
      <c r="V365" s="1030"/>
      <c r="W365" s="1030"/>
      <c r="X365" s="1030"/>
      <c r="Y365" s="1030"/>
      <c r="Z365" s="1030"/>
    </row>
    <row r="366" spans="1:26" ht="12.75" customHeight="1">
      <c r="A366" s="1030"/>
      <c r="B366" s="1030"/>
      <c r="C366" s="1030"/>
      <c r="D366" s="1030"/>
      <c r="E366" s="1030"/>
      <c r="F366" s="1030"/>
      <c r="G366" s="1030"/>
      <c r="H366" s="1186"/>
      <c r="I366" s="1030"/>
      <c r="J366" s="1030"/>
      <c r="K366" s="1030"/>
      <c r="L366" s="1030"/>
      <c r="M366" s="1030"/>
      <c r="N366" s="1030"/>
      <c r="O366" s="1030"/>
      <c r="P366" s="1030"/>
      <c r="Q366" s="1030"/>
      <c r="R366" s="1030"/>
      <c r="S366" s="1030"/>
      <c r="T366" s="1030"/>
      <c r="U366" s="1030"/>
      <c r="V366" s="1030"/>
      <c r="W366" s="1030"/>
      <c r="X366" s="1030"/>
      <c r="Y366" s="1030"/>
      <c r="Z366" s="1030"/>
    </row>
    <row r="367" spans="1:26" ht="12.75" customHeight="1">
      <c r="A367" s="1030"/>
      <c r="B367" s="1030"/>
      <c r="C367" s="1030"/>
      <c r="D367" s="1030"/>
      <c r="E367" s="1030"/>
      <c r="F367" s="1030"/>
      <c r="G367" s="1030"/>
      <c r="H367" s="1186"/>
      <c r="I367" s="1030"/>
      <c r="J367" s="1030"/>
      <c r="K367" s="1030"/>
      <c r="L367" s="1030"/>
      <c r="M367" s="1030"/>
      <c r="N367" s="1030"/>
      <c r="O367" s="1030"/>
      <c r="P367" s="1030"/>
      <c r="Q367" s="1030"/>
      <c r="R367" s="1030"/>
      <c r="S367" s="1030"/>
      <c r="T367" s="1030"/>
      <c r="U367" s="1030"/>
      <c r="V367" s="1030"/>
      <c r="W367" s="1030"/>
      <c r="X367" s="1030"/>
      <c r="Y367" s="1030"/>
      <c r="Z367" s="1030"/>
    </row>
    <row r="368" spans="1:26" ht="12.75" customHeight="1">
      <c r="A368" s="1030"/>
      <c r="B368" s="1030"/>
      <c r="C368" s="1030"/>
      <c r="D368" s="1030"/>
      <c r="E368" s="1030"/>
      <c r="F368" s="1030"/>
      <c r="G368" s="1030"/>
      <c r="H368" s="1186"/>
      <c r="I368" s="1030"/>
      <c r="J368" s="1030"/>
      <c r="K368" s="1030"/>
      <c r="L368" s="1030"/>
      <c r="M368" s="1030"/>
      <c r="N368" s="1030"/>
      <c r="O368" s="1030"/>
      <c r="P368" s="1030"/>
      <c r="Q368" s="1030"/>
      <c r="R368" s="1030"/>
      <c r="S368" s="1030"/>
      <c r="T368" s="1030"/>
      <c r="U368" s="1030"/>
      <c r="V368" s="1030"/>
      <c r="W368" s="1030"/>
      <c r="X368" s="1030"/>
      <c r="Y368" s="1030"/>
      <c r="Z368" s="1030"/>
    </row>
    <row r="369" spans="1:26" ht="12.75" customHeight="1">
      <c r="A369" s="1030"/>
      <c r="B369" s="1030"/>
      <c r="C369" s="1030"/>
      <c r="D369" s="1030"/>
      <c r="E369" s="1030"/>
      <c r="F369" s="1030"/>
      <c r="G369" s="1030"/>
      <c r="H369" s="1186"/>
      <c r="I369" s="1030"/>
      <c r="J369" s="1030"/>
      <c r="K369" s="1030"/>
      <c r="L369" s="1030"/>
      <c r="M369" s="1030"/>
      <c r="N369" s="1030"/>
      <c r="O369" s="1030"/>
      <c r="P369" s="1030"/>
      <c r="Q369" s="1030"/>
      <c r="R369" s="1030"/>
      <c r="S369" s="1030"/>
      <c r="T369" s="1030"/>
      <c r="U369" s="1030"/>
      <c r="V369" s="1030"/>
      <c r="W369" s="1030"/>
      <c r="X369" s="1030"/>
      <c r="Y369" s="1030"/>
      <c r="Z369" s="1030"/>
    </row>
    <row r="370" spans="1:26" ht="12.75" customHeight="1">
      <c r="A370" s="1030"/>
      <c r="B370" s="1030"/>
      <c r="C370" s="1030"/>
      <c r="D370" s="1030"/>
      <c r="E370" s="1030"/>
      <c r="F370" s="1030"/>
      <c r="G370" s="1030"/>
      <c r="H370" s="1186"/>
      <c r="I370" s="1030"/>
      <c r="J370" s="1030"/>
      <c r="K370" s="1030"/>
      <c r="L370" s="1030"/>
      <c r="M370" s="1030"/>
      <c r="N370" s="1030"/>
      <c r="O370" s="1030"/>
      <c r="P370" s="1030"/>
      <c r="Q370" s="1030"/>
      <c r="R370" s="1030"/>
      <c r="S370" s="1030"/>
      <c r="T370" s="1030"/>
      <c r="U370" s="1030"/>
      <c r="V370" s="1030"/>
      <c r="W370" s="1030"/>
      <c r="X370" s="1030"/>
      <c r="Y370" s="1030"/>
      <c r="Z370" s="1030"/>
    </row>
    <row r="371" spans="1:26" ht="12.75" customHeight="1">
      <c r="A371" s="1030"/>
      <c r="B371" s="1030"/>
      <c r="C371" s="1030"/>
      <c r="D371" s="1030"/>
      <c r="E371" s="1030"/>
      <c r="F371" s="1030"/>
      <c r="G371" s="1030"/>
      <c r="H371" s="1186"/>
      <c r="I371" s="1030"/>
      <c r="J371" s="1030"/>
      <c r="K371" s="1030"/>
      <c r="L371" s="1030"/>
      <c r="M371" s="1030"/>
      <c r="N371" s="1030"/>
      <c r="O371" s="1030"/>
      <c r="P371" s="1030"/>
      <c r="Q371" s="1030"/>
      <c r="R371" s="1030"/>
      <c r="S371" s="1030"/>
      <c r="T371" s="1030"/>
      <c r="U371" s="1030"/>
      <c r="V371" s="1030"/>
      <c r="W371" s="1030"/>
      <c r="X371" s="1030"/>
      <c r="Y371" s="1030"/>
      <c r="Z371" s="1030"/>
    </row>
    <row r="372" spans="1:26" ht="12.75" customHeight="1">
      <c r="A372" s="1030"/>
      <c r="B372" s="1030"/>
      <c r="C372" s="1030"/>
      <c r="D372" s="1030"/>
      <c r="E372" s="1030"/>
      <c r="F372" s="1030"/>
      <c r="G372" s="1030"/>
      <c r="H372" s="1186"/>
      <c r="I372" s="1030"/>
      <c r="J372" s="1030"/>
      <c r="K372" s="1030"/>
      <c r="L372" s="1030"/>
      <c r="M372" s="1030"/>
      <c r="N372" s="1030"/>
      <c r="O372" s="1030"/>
      <c r="P372" s="1030"/>
      <c r="Q372" s="1030"/>
      <c r="R372" s="1030"/>
      <c r="S372" s="1030"/>
      <c r="T372" s="1030"/>
      <c r="U372" s="1030"/>
      <c r="V372" s="1030"/>
      <c r="W372" s="1030"/>
      <c r="X372" s="1030"/>
      <c r="Y372" s="1030"/>
      <c r="Z372" s="1030"/>
    </row>
    <row r="373" spans="1:26" ht="12.75" customHeight="1">
      <c r="A373" s="1030"/>
      <c r="B373" s="1030"/>
      <c r="C373" s="1030"/>
      <c r="D373" s="1030"/>
      <c r="E373" s="1030"/>
      <c r="F373" s="1030"/>
      <c r="G373" s="1030"/>
      <c r="H373" s="1186"/>
      <c r="I373" s="1030"/>
      <c r="J373" s="1030"/>
      <c r="K373" s="1030"/>
      <c r="L373" s="1030"/>
      <c r="M373" s="1030"/>
      <c r="N373" s="1030"/>
      <c r="O373" s="1030"/>
      <c r="P373" s="1030"/>
      <c r="Q373" s="1030"/>
      <c r="R373" s="1030"/>
      <c r="S373" s="1030"/>
      <c r="T373" s="1030"/>
      <c r="U373" s="1030"/>
      <c r="V373" s="1030"/>
      <c r="W373" s="1030"/>
      <c r="X373" s="1030"/>
      <c r="Y373" s="1030"/>
      <c r="Z373" s="1030"/>
    </row>
    <row r="374" spans="1:26" ht="12.75" customHeight="1">
      <c r="A374" s="1030"/>
      <c r="B374" s="1030"/>
      <c r="C374" s="1030"/>
      <c r="D374" s="1030"/>
      <c r="E374" s="1030"/>
      <c r="F374" s="1030"/>
      <c r="G374" s="1030"/>
      <c r="H374" s="1186"/>
      <c r="I374" s="1030"/>
      <c r="J374" s="1030"/>
      <c r="K374" s="1030"/>
      <c r="L374" s="1030"/>
      <c r="M374" s="1030"/>
      <c r="N374" s="1030"/>
      <c r="O374" s="1030"/>
      <c r="P374" s="1030"/>
      <c r="Q374" s="1030"/>
      <c r="R374" s="1030"/>
      <c r="S374" s="1030"/>
      <c r="T374" s="1030"/>
      <c r="U374" s="1030"/>
      <c r="V374" s="1030"/>
      <c r="W374" s="1030"/>
      <c r="X374" s="1030"/>
      <c r="Y374" s="1030"/>
      <c r="Z374" s="1030"/>
    </row>
    <row r="375" spans="1:26" ht="12.75" customHeight="1">
      <c r="A375" s="1030"/>
      <c r="B375" s="1030"/>
      <c r="C375" s="1030"/>
      <c r="D375" s="1030"/>
      <c r="E375" s="1030"/>
      <c r="F375" s="1030"/>
      <c r="G375" s="1030"/>
      <c r="H375" s="1186"/>
      <c r="I375" s="1030"/>
      <c r="J375" s="1030"/>
      <c r="K375" s="1030"/>
      <c r="L375" s="1030"/>
      <c r="M375" s="1030"/>
      <c r="N375" s="1030"/>
      <c r="O375" s="1030"/>
      <c r="P375" s="1030"/>
      <c r="Q375" s="1030"/>
      <c r="R375" s="1030"/>
      <c r="S375" s="1030"/>
      <c r="T375" s="1030"/>
      <c r="U375" s="1030"/>
      <c r="V375" s="1030"/>
      <c r="W375" s="1030"/>
      <c r="X375" s="1030"/>
      <c r="Y375" s="1030"/>
      <c r="Z375" s="1030"/>
    </row>
    <row r="376" spans="1:26" ht="12.75" customHeight="1">
      <c r="A376" s="1030"/>
      <c r="B376" s="1030"/>
      <c r="C376" s="1030"/>
      <c r="D376" s="1030"/>
      <c r="E376" s="1030"/>
      <c r="F376" s="1030"/>
      <c r="G376" s="1030"/>
      <c r="H376" s="1186"/>
      <c r="I376" s="1030"/>
      <c r="J376" s="1030"/>
      <c r="K376" s="1030"/>
      <c r="L376" s="1030"/>
      <c r="M376" s="1030"/>
      <c r="N376" s="1030"/>
      <c r="O376" s="1030"/>
      <c r="P376" s="1030"/>
      <c r="Q376" s="1030"/>
      <c r="R376" s="1030"/>
      <c r="S376" s="1030"/>
      <c r="T376" s="1030"/>
      <c r="U376" s="1030"/>
      <c r="V376" s="1030"/>
      <c r="W376" s="1030"/>
      <c r="X376" s="1030"/>
      <c r="Y376" s="1030"/>
      <c r="Z376" s="1030"/>
    </row>
    <row r="377" spans="1:26" ht="12.75" customHeight="1">
      <c r="A377" s="1030"/>
      <c r="B377" s="1030"/>
      <c r="C377" s="1030"/>
      <c r="D377" s="1030"/>
      <c r="E377" s="1030"/>
      <c r="F377" s="1030"/>
      <c r="G377" s="1030"/>
      <c r="H377" s="1186"/>
      <c r="I377" s="1030"/>
      <c r="J377" s="1030"/>
      <c r="K377" s="1030"/>
      <c r="L377" s="1030"/>
      <c r="M377" s="1030"/>
      <c r="N377" s="1030"/>
      <c r="O377" s="1030"/>
      <c r="P377" s="1030"/>
      <c r="Q377" s="1030"/>
      <c r="R377" s="1030"/>
      <c r="S377" s="1030"/>
      <c r="T377" s="1030"/>
      <c r="U377" s="1030"/>
      <c r="V377" s="1030"/>
      <c r="W377" s="1030"/>
      <c r="X377" s="1030"/>
      <c r="Y377" s="1030"/>
      <c r="Z377" s="1030"/>
    </row>
    <row r="378" spans="1:26" ht="12.75" customHeight="1">
      <c r="A378" s="1030"/>
      <c r="B378" s="1030"/>
      <c r="C378" s="1030"/>
      <c r="D378" s="1030"/>
      <c r="E378" s="1030"/>
      <c r="F378" s="1030"/>
      <c r="G378" s="1030"/>
      <c r="H378" s="1186"/>
      <c r="I378" s="1030"/>
      <c r="J378" s="1030"/>
      <c r="K378" s="1030"/>
      <c r="L378" s="1030"/>
      <c r="M378" s="1030"/>
      <c r="N378" s="1030"/>
      <c r="O378" s="1030"/>
      <c r="P378" s="1030"/>
      <c r="Q378" s="1030"/>
      <c r="R378" s="1030"/>
      <c r="S378" s="1030"/>
      <c r="T378" s="1030"/>
      <c r="U378" s="1030"/>
      <c r="V378" s="1030"/>
      <c r="W378" s="1030"/>
      <c r="X378" s="1030"/>
      <c r="Y378" s="1030"/>
      <c r="Z378" s="1030"/>
    </row>
    <row r="379" spans="1:26" ht="12.75" customHeight="1">
      <c r="A379" s="1030"/>
      <c r="B379" s="1030"/>
      <c r="C379" s="1030"/>
      <c r="D379" s="1030"/>
      <c r="E379" s="1030"/>
      <c r="F379" s="1030"/>
      <c r="G379" s="1030"/>
      <c r="H379" s="1186"/>
      <c r="I379" s="1030"/>
      <c r="J379" s="1030"/>
      <c r="K379" s="1030"/>
      <c r="L379" s="1030"/>
      <c r="M379" s="1030"/>
      <c r="N379" s="1030"/>
      <c r="O379" s="1030"/>
      <c r="P379" s="1030"/>
      <c r="Q379" s="1030"/>
      <c r="R379" s="1030"/>
      <c r="S379" s="1030"/>
      <c r="T379" s="1030"/>
      <c r="U379" s="1030"/>
      <c r="V379" s="1030"/>
      <c r="W379" s="1030"/>
      <c r="X379" s="1030"/>
      <c r="Y379" s="1030"/>
      <c r="Z379" s="1030"/>
    </row>
    <row r="380" spans="1:26" ht="12.75" customHeight="1">
      <c r="A380" s="1030"/>
      <c r="B380" s="1030"/>
      <c r="C380" s="1030"/>
      <c r="D380" s="1030"/>
      <c r="E380" s="1030"/>
      <c r="F380" s="1030"/>
      <c r="G380" s="1030"/>
      <c r="H380" s="1186"/>
      <c r="I380" s="1030"/>
      <c r="J380" s="1030"/>
      <c r="K380" s="1030"/>
      <c r="L380" s="1030"/>
      <c r="M380" s="1030"/>
      <c r="N380" s="1030"/>
      <c r="O380" s="1030"/>
      <c r="P380" s="1030"/>
      <c r="Q380" s="1030"/>
      <c r="R380" s="1030"/>
      <c r="S380" s="1030"/>
      <c r="T380" s="1030"/>
      <c r="U380" s="1030"/>
      <c r="V380" s="1030"/>
      <c r="W380" s="1030"/>
      <c r="X380" s="1030"/>
      <c r="Y380" s="1030"/>
      <c r="Z380" s="1030"/>
    </row>
    <row r="381" spans="1:26" ht="12.75" customHeight="1">
      <c r="A381" s="1030"/>
      <c r="B381" s="1030"/>
      <c r="C381" s="1030"/>
      <c r="D381" s="1030"/>
      <c r="E381" s="1030"/>
      <c r="F381" s="1030"/>
      <c r="G381" s="1030"/>
      <c r="H381" s="1186"/>
      <c r="I381" s="1030"/>
      <c r="J381" s="1030"/>
      <c r="K381" s="1030"/>
      <c r="L381" s="1030"/>
      <c r="M381" s="1030"/>
      <c r="N381" s="1030"/>
      <c r="O381" s="1030"/>
      <c r="P381" s="1030"/>
      <c r="Q381" s="1030"/>
      <c r="R381" s="1030"/>
      <c r="S381" s="1030"/>
      <c r="T381" s="1030"/>
      <c r="U381" s="1030"/>
      <c r="V381" s="1030"/>
      <c r="W381" s="1030"/>
      <c r="X381" s="1030"/>
      <c r="Y381" s="1030"/>
      <c r="Z381" s="1030"/>
    </row>
    <row r="382" spans="1:26" ht="12.75" customHeight="1">
      <c r="A382" s="1030"/>
      <c r="B382" s="1030"/>
      <c r="C382" s="1030"/>
      <c r="D382" s="1030"/>
      <c r="E382" s="1030"/>
      <c r="F382" s="1030"/>
      <c r="G382" s="1030"/>
      <c r="H382" s="1186"/>
      <c r="I382" s="1030"/>
      <c r="J382" s="1030"/>
      <c r="K382" s="1030"/>
      <c r="L382" s="1030"/>
      <c r="M382" s="1030"/>
      <c r="N382" s="1030"/>
      <c r="O382" s="1030"/>
      <c r="P382" s="1030"/>
      <c r="Q382" s="1030"/>
      <c r="R382" s="1030"/>
      <c r="S382" s="1030"/>
      <c r="T382" s="1030"/>
      <c r="U382" s="1030"/>
      <c r="V382" s="1030"/>
      <c r="W382" s="1030"/>
      <c r="X382" s="1030"/>
      <c r="Y382" s="1030"/>
      <c r="Z382" s="1030"/>
    </row>
    <row r="383" spans="1:26" ht="12.75" customHeight="1">
      <c r="A383" s="1030"/>
      <c r="B383" s="1030"/>
      <c r="C383" s="1030"/>
      <c r="D383" s="1030"/>
      <c r="E383" s="1030"/>
      <c r="F383" s="1030"/>
      <c r="G383" s="1030"/>
      <c r="H383" s="1186"/>
      <c r="I383" s="1030"/>
      <c r="J383" s="1030"/>
      <c r="K383" s="1030"/>
      <c r="L383" s="1030"/>
      <c r="M383" s="1030"/>
      <c r="N383" s="1030"/>
      <c r="O383" s="1030"/>
      <c r="P383" s="1030"/>
      <c r="Q383" s="1030"/>
      <c r="R383" s="1030"/>
      <c r="S383" s="1030"/>
      <c r="T383" s="1030"/>
      <c r="U383" s="1030"/>
      <c r="V383" s="1030"/>
      <c r="W383" s="1030"/>
      <c r="X383" s="1030"/>
      <c r="Y383" s="1030"/>
      <c r="Z383" s="1030"/>
    </row>
    <row r="384" spans="1:26" ht="12.75" customHeight="1">
      <c r="A384" s="1030"/>
      <c r="B384" s="1030"/>
      <c r="C384" s="1030"/>
      <c r="D384" s="1030"/>
      <c r="E384" s="1030"/>
      <c r="F384" s="1030"/>
      <c r="G384" s="1030"/>
      <c r="H384" s="1186"/>
      <c r="I384" s="1030"/>
      <c r="J384" s="1030"/>
      <c r="K384" s="1030"/>
      <c r="L384" s="1030"/>
      <c r="M384" s="1030"/>
      <c r="N384" s="1030"/>
      <c r="O384" s="1030"/>
      <c r="P384" s="1030"/>
      <c r="Q384" s="1030"/>
      <c r="R384" s="1030"/>
      <c r="S384" s="1030"/>
      <c r="T384" s="1030"/>
      <c r="U384" s="1030"/>
      <c r="V384" s="1030"/>
      <c r="W384" s="1030"/>
      <c r="X384" s="1030"/>
      <c r="Y384" s="1030"/>
      <c r="Z384" s="1030"/>
    </row>
    <row r="385" spans="1:26" ht="12.75" customHeight="1">
      <c r="A385" s="1030"/>
      <c r="B385" s="1030"/>
      <c r="C385" s="1030"/>
      <c r="D385" s="1030"/>
      <c r="E385" s="1030"/>
      <c r="F385" s="1030"/>
      <c r="G385" s="1030"/>
      <c r="H385" s="1186"/>
      <c r="I385" s="1030"/>
      <c r="J385" s="1030"/>
      <c r="K385" s="1030"/>
      <c r="L385" s="1030"/>
      <c r="M385" s="1030"/>
      <c r="N385" s="1030"/>
      <c r="O385" s="1030"/>
      <c r="P385" s="1030"/>
      <c r="Q385" s="1030"/>
      <c r="R385" s="1030"/>
      <c r="S385" s="1030"/>
      <c r="T385" s="1030"/>
      <c r="U385" s="1030"/>
      <c r="V385" s="1030"/>
      <c r="W385" s="1030"/>
      <c r="X385" s="1030"/>
      <c r="Y385" s="1030"/>
      <c r="Z385" s="1030"/>
    </row>
    <row r="386" spans="1:26" ht="12.75" customHeight="1">
      <c r="A386" s="1030"/>
      <c r="B386" s="1030"/>
      <c r="C386" s="1030"/>
      <c r="D386" s="1030"/>
      <c r="E386" s="1030"/>
      <c r="F386" s="1030"/>
      <c r="G386" s="1030"/>
      <c r="H386" s="1186"/>
      <c r="I386" s="1030"/>
      <c r="J386" s="1030"/>
      <c r="K386" s="1030"/>
      <c r="L386" s="1030"/>
      <c r="M386" s="1030"/>
      <c r="N386" s="1030"/>
      <c r="O386" s="1030"/>
      <c r="P386" s="1030"/>
      <c r="Q386" s="1030"/>
      <c r="R386" s="1030"/>
      <c r="S386" s="1030"/>
      <c r="T386" s="1030"/>
      <c r="U386" s="1030"/>
      <c r="V386" s="1030"/>
      <c r="W386" s="1030"/>
      <c r="X386" s="1030"/>
      <c r="Y386" s="1030"/>
      <c r="Z386" s="1030"/>
    </row>
    <row r="387" spans="1:26" ht="12.75" customHeight="1">
      <c r="A387" s="1030"/>
      <c r="B387" s="1030"/>
      <c r="C387" s="1030"/>
      <c r="D387" s="1030"/>
      <c r="E387" s="1030"/>
      <c r="F387" s="1030"/>
      <c r="G387" s="1030"/>
      <c r="H387" s="1186"/>
      <c r="I387" s="1030"/>
      <c r="J387" s="1030"/>
      <c r="K387" s="1030"/>
      <c r="L387" s="1030"/>
      <c r="M387" s="1030"/>
      <c r="N387" s="1030"/>
      <c r="O387" s="1030"/>
      <c r="P387" s="1030"/>
      <c r="Q387" s="1030"/>
      <c r="R387" s="1030"/>
      <c r="S387" s="1030"/>
      <c r="T387" s="1030"/>
      <c r="U387" s="1030"/>
      <c r="V387" s="1030"/>
      <c r="W387" s="1030"/>
      <c r="X387" s="1030"/>
      <c r="Y387" s="1030"/>
      <c r="Z387" s="1030"/>
    </row>
    <row r="388" spans="1:26" ht="12.75" customHeight="1">
      <c r="A388" s="1030"/>
      <c r="B388" s="1030"/>
      <c r="C388" s="1030"/>
      <c r="D388" s="1030"/>
      <c r="E388" s="1030"/>
      <c r="F388" s="1030"/>
      <c r="G388" s="1030"/>
      <c r="H388" s="1186"/>
      <c r="I388" s="1030"/>
      <c r="J388" s="1030"/>
      <c r="K388" s="1030"/>
      <c r="L388" s="1030"/>
      <c r="M388" s="1030"/>
      <c r="N388" s="1030"/>
      <c r="O388" s="1030"/>
      <c r="P388" s="1030"/>
      <c r="Q388" s="1030"/>
      <c r="R388" s="1030"/>
      <c r="S388" s="1030"/>
      <c r="T388" s="1030"/>
      <c r="U388" s="1030"/>
      <c r="V388" s="1030"/>
      <c r="W388" s="1030"/>
      <c r="X388" s="1030"/>
      <c r="Y388" s="1030"/>
      <c r="Z388" s="1030"/>
    </row>
    <row r="389" spans="1:26" ht="12.75" customHeight="1">
      <c r="A389" s="1030"/>
      <c r="B389" s="1030"/>
      <c r="C389" s="1030"/>
      <c r="D389" s="1030"/>
      <c r="E389" s="1030"/>
      <c r="F389" s="1030"/>
      <c r="G389" s="1030"/>
      <c r="H389" s="1186"/>
      <c r="I389" s="1030"/>
      <c r="J389" s="1030"/>
      <c r="K389" s="1030"/>
      <c r="L389" s="1030"/>
      <c r="M389" s="1030"/>
      <c r="N389" s="1030"/>
      <c r="O389" s="1030"/>
      <c r="P389" s="1030"/>
      <c r="Q389" s="1030"/>
      <c r="R389" s="1030"/>
      <c r="S389" s="1030"/>
      <c r="T389" s="1030"/>
      <c r="U389" s="1030"/>
      <c r="V389" s="1030"/>
      <c r="W389" s="1030"/>
      <c r="X389" s="1030"/>
      <c r="Y389" s="1030"/>
      <c r="Z389" s="1030"/>
    </row>
    <row r="390" spans="1:26" ht="12.75" customHeight="1">
      <c r="A390" s="1030"/>
      <c r="B390" s="1030"/>
      <c r="C390" s="1030"/>
      <c r="D390" s="1030"/>
      <c r="E390" s="1030"/>
      <c r="F390" s="1030"/>
      <c r="G390" s="1030"/>
      <c r="H390" s="1186"/>
      <c r="I390" s="1030"/>
      <c r="J390" s="1030"/>
      <c r="K390" s="1030"/>
      <c r="L390" s="1030"/>
      <c r="M390" s="1030"/>
      <c r="N390" s="1030"/>
      <c r="O390" s="1030"/>
      <c r="P390" s="1030"/>
      <c r="Q390" s="1030"/>
      <c r="R390" s="1030"/>
      <c r="S390" s="1030"/>
      <c r="T390" s="1030"/>
      <c r="U390" s="1030"/>
      <c r="V390" s="1030"/>
      <c r="W390" s="1030"/>
      <c r="X390" s="1030"/>
      <c r="Y390" s="1030"/>
      <c r="Z390" s="1030"/>
    </row>
    <row r="391" spans="1:26" ht="12.75" customHeight="1">
      <c r="A391" s="1030"/>
      <c r="B391" s="1030"/>
      <c r="C391" s="1030"/>
      <c r="D391" s="1030"/>
      <c r="E391" s="1030"/>
      <c r="F391" s="1030"/>
      <c r="G391" s="1030"/>
      <c r="H391" s="1186"/>
      <c r="I391" s="1030"/>
      <c r="J391" s="1030"/>
      <c r="K391" s="1030"/>
      <c r="L391" s="1030"/>
      <c r="M391" s="1030"/>
      <c r="N391" s="1030"/>
      <c r="O391" s="1030"/>
      <c r="P391" s="1030"/>
      <c r="Q391" s="1030"/>
      <c r="R391" s="1030"/>
      <c r="S391" s="1030"/>
      <c r="T391" s="1030"/>
      <c r="U391" s="1030"/>
      <c r="V391" s="1030"/>
      <c r="W391" s="1030"/>
      <c r="X391" s="1030"/>
      <c r="Y391" s="1030"/>
      <c r="Z391" s="1030"/>
    </row>
    <row r="392" spans="1:26" ht="12.75" customHeight="1">
      <c r="A392" s="1030"/>
      <c r="B392" s="1030"/>
      <c r="C392" s="1030"/>
      <c r="D392" s="1030"/>
      <c r="E392" s="1030"/>
      <c r="F392" s="1030"/>
      <c r="G392" s="1030"/>
      <c r="H392" s="1186"/>
      <c r="I392" s="1030"/>
      <c r="J392" s="1030"/>
      <c r="K392" s="1030"/>
      <c r="L392" s="1030"/>
      <c r="M392" s="1030"/>
      <c r="N392" s="1030"/>
      <c r="O392" s="1030"/>
      <c r="P392" s="1030"/>
      <c r="Q392" s="1030"/>
      <c r="R392" s="1030"/>
      <c r="S392" s="1030"/>
      <c r="T392" s="1030"/>
      <c r="U392" s="1030"/>
      <c r="V392" s="1030"/>
      <c r="W392" s="1030"/>
      <c r="X392" s="1030"/>
      <c r="Y392" s="1030"/>
      <c r="Z392" s="1030"/>
    </row>
    <row r="393" spans="1:26" ht="12.75" customHeight="1">
      <c r="A393" s="1030"/>
      <c r="B393" s="1030"/>
      <c r="C393" s="1030"/>
      <c r="D393" s="1030"/>
      <c r="E393" s="1030"/>
      <c r="F393" s="1030"/>
      <c r="G393" s="1030"/>
      <c r="H393" s="1186"/>
      <c r="I393" s="1030"/>
      <c r="J393" s="1030"/>
      <c r="K393" s="1030"/>
      <c r="L393" s="1030"/>
      <c r="M393" s="1030"/>
      <c r="N393" s="1030"/>
      <c r="O393" s="1030"/>
      <c r="P393" s="1030"/>
      <c r="Q393" s="1030"/>
      <c r="R393" s="1030"/>
      <c r="S393" s="1030"/>
      <c r="T393" s="1030"/>
      <c r="U393" s="1030"/>
      <c r="V393" s="1030"/>
      <c r="W393" s="1030"/>
      <c r="X393" s="1030"/>
      <c r="Y393" s="1030"/>
      <c r="Z393" s="1030"/>
    </row>
    <row r="394" spans="1:26" ht="12.75" customHeight="1">
      <c r="A394" s="1030"/>
      <c r="B394" s="1030"/>
      <c r="C394" s="1030"/>
      <c r="D394" s="1030"/>
      <c r="E394" s="1030"/>
      <c r="F394" s="1030"/>
      <c r="G394" s="1030"/>
      <c r="H394" s="1186"/>
      <c r="I394" s="1030"/>
      <c r="J394" s="1030"/>
      <c r="K394" s="1030"/>
      <c r="L394" s="1030"/>
      <c r="M394" s="1030"/>
      <c r="N394" s="1030"/>
      <c r="O394" s="1030"/>
      <c r="P394" s="1030"/>
      <c r="Q394" s="1030"/>
      <c r="R394" s="1030"/>
      <c r="S394" s="1030"/>
      <c r="T394" s="1030"/>
      <c r="U394" s="1030"/>
      <c r="V394" s="1030"/>
      <c r="W394" s="1030"/>
      <c r="X394" s="1030"/>
      <c r="Y394" s="1030"/>
      <c r="Z394" s="1030"/>
    </row>
    <row r="395" spans="1:26" ht="12.75" customHeight="1">
      <c r="A395" s="1030"/>
      <c r="B395" s="1030"/>
      <c r="C395" s="1030"/>
      <c r="D395" s="1030"/>
      <c r="E395" s="1030"/>
      <c r="F395" s="1030"/>
      <c r="G395" s="1030"/>
      <c r="H395" s="1186"/>
      <c r="I395" s="1030"/>
      <c r="J395" s="1030"/>
      <c r="K395" s="1030"/>
      <c r="L395" s="1030"/>
      <c r="M395" s="1030"/>
      <c r="N395" s="1030"/>
      <c r="O395" s="1030"/>
      <c r="P395" s="1030"/>
      <c r="Q395" s="1030"/>
      <c r="R395" s="1030"/>
      <c r="S395" s="1030"/>
      <c r="T395" s="1030"/>
      <c r="U395" s="1030"/>
      <c r="V395" s="1030"/>
      <c r="W395" s="1030"/>
      <c r="X395" s="1030"/>
      <c r="Y395" s="1030"/>
      <c r="Z395" s="1030"/>
    </row>
    <row r="396" spans="1:26" ht="12.75" customHeight="1">
      <c r="A396" s="1030"/>
      <c r="B396" s="1030"/>
      <c r="C396" s="1030"/>
      <c r="D396" s="1030"/>
      <c r="E396" s="1030"/>
      <c r="F396" s="1030"/>
      <c r="G396" s="1030"/>
      <c r="H396" s="1186"/>
      <c r="I396" s="1030"/>
      <c r="J396" s="1030"/>
      <c r="K396" s="1030"/>
      <c r="L396" s="1030"/>
      <c r="M396" s="1030"/>
      <c r="N396" s="1030"/>
      <c r="O396" s="1030"/>
      <c r="P396" s="1030"/>
      <c r="Q396" s="1030"/>
      <c r="R396" s="1030"/>
      <c r="S396" s="1030"/>
      <c r="T396" s="1030"/>
      <c r="U396" s="1030"/>
      <c r="V396" s="1030"/>
      <c r="W396" s="1030"/>
      <c r="X396" s="1030"/>
      <c r="Y396" s="1030"/>
      <c r="Z396" s="1030"/>
    </row>
    <row r="397" spans="1:26" ht="12.75" customHeight="1">
      <c r="A397" s="1030"/>
      <c r="B397" s="1030"/>
      <c r="C397" s="1030"/>
      <c r="D397" s="1030"/>
      <c r="E397" s="1030"/>
      <c r="F397" s="1030"/>
      <c r="G397" s="1030"/>
      <c r="H397" s="1186"/>
      <c r="I397" s="1030"/>
      <c r="J397" s="1030"/>
      <c r="K397" s="1030"/>
      <c r="L397" s="1030"/>
      <c r="M397" s="1030"/>
      <c r="N397" s="1030"/>
      <c r="O397" s="1030"/>
      <c r="P397" s="1030"/>
      <c r="Q397" s="1030"/>
      <c r="R397" s="1030"/>
      <c r="S397" s="1030"/>
      <c r="T397" s="1030"/>
      <c r="U397" s="1030"/>
      <c r="V397" s="1030"/>
      <c r="W397" s="1030"/>
      <c r="X397" s="1030"/>
      <c r="Y397" s="1030"/>
      <c r="Z397" s="1030"/>
    </row>
    <row r="398" spans="1:26" ht="12.75" customHeight="1">
      <c r="A398" s="1030"/>
      <c r="B398" s="1030"/>
      <c r="C398" s="1030"/>
      <c r="D398" s="1030"/>
      <c r="E398" s="1030"/>
      <c r="F398" s="1030"/>
      <c r="G398" s="1030"/>
      <c r="H398" s="1186"/>
      <c r="I398" s="1030"/>
      <c r="J398" s="1030"/>
      <c r="K398" s="1030"/>
      <c r="L398" s="1030"/>
      <c r="M398" s="1030"/>
      <c r="N398" s="1030"/>
      <c r="O398" s="1030"/>
      <c r="P398" s="1030"/>
      <c r="Q398" s="1030"/>
      <c r="R398" s="1030"/>
      <c r="S398" s="1030"/>
      <c r="T398" s="1030"/>
      <c r="U398" s="1030"/>
      <c r="V398" s="1030"/>
      <c r="W398" s="1030"/>
      <c r="X398" s="1030"/>
      <c r="Y398" s="1030"/>
      <c r="Z398" s="1030"/>
    </row>
    <row r="399" spans="1:26" ht="12.75" customHeight="1">
      <c r="A399" s="1030"/>
      <c r="B399" s="1030"/>
      <c r="C399" s="1030"/>
      <c r="D399" s="1030"/>
      <c r="E399" s="1030"/>
      <c r="F399" s="1030"/>
      <c r="G399" s="1030"/>
      <c r="H399" s="1186"/>
      <c r="I399" s="1030"/>
      <c r="J399" s="1030"/>
      <c r="K399" s="1030"/>
      <c r="L399" s="1030"/>
      <c r="M399" s="1030"/>
      <c r="N399" s="1030"/>
      <c r="O399" s="1030"/>
      <c r="P399" s="1030"/>
      <c r="Q399" s="1030"/>
      <c r="R399" s="1030"/>
      <c r="S399" s="1030"/>
      <c r="T399" s="1030"/>
      <c r="U399" s="1030"/>
      <c r="V399" s="1030"/>
      <c r="W399" s="1030"/>
      <c r="X399" s="1030"/>
      <c r="Y399" s="1030"/>
      <c r="Z399" s="1030"/>
    </row>
    <row r="400" spans="1:26" ht="12.75" customHeight="1">
      <c r="A400" s="1030"/>
      <c r="B400" s="1030"/>
      <c r="C400" s="1030"/>
      <c r="D400" s="1030"/>
      <c r="E400" s="1030"/>
      <c r="F400" s="1030"/>
      <c r="G400" s="1030"/>
      <c r="H400" s="1186"/>
      <c r="I400" s="1030"/>
      <c r="J400" s="1030"/>
      <c r="K400" s="1030"/>
      <c r="L400" s="1030"/>
      <c r="M400" s="1030"/>
      <c r="N400" s="1030"/>
      <c r="O400" s="1030"/>
      <c r="P400" s="1030"/>
      <c r="Q400" s="1030"/>
      <c r="R400" s="1030"/>
      <c r="S400" s="1030"/>
      <c r="T400" s="1030"/>
      <c r="U400" s="1030"/>
      <c r="V400" s="1030"/>
      <c r="W400" s="1030"/>
      <c r="X400" s="1030"/>
      <c r="Y400" s="1030"/>
      <c r="Z400" s="1030"/>
    </row>
    <row r="401" spans="1:26" ht="12.75" customHeight="1">
      <c r="A401" s="1030"/>
      <c r="B401" s="1030"/>
      <c r="C401" s="1030"/>
      <c r="D401" s="1030"/>
      <c r="E401" s="1030"/>
      <c r="F401" s="1030"/>
      <c r="G401" s="1030"/>
      <c r="H401" s="1186"/>
      <c r="I401" s="1030"/>
      <c r="J401" s="1030"/>
      <c r="K401" s="1030"/>
      <c r="L401" s="1030"/>
      <c r="M401" s="1030"/>
      <c r="N401" s="1030"/>
      <c r="O401" s="1030"/>
      <c r="P401" s="1030"/>
      <c r="Q401" s="1030"/>
      <c r="R401" s="1030"/>
      <c r="S401" s="1030"/>
      <c r="T401" s="1030"/>
      <c r="U401" s="1030"/>
      <c r="V401" s="1030"/>
      <c r="W401" s="1030"/>
      <c r="X401" s="1030"/>
      <c r="Y401" s="1030"/>
      <c r="Z401" s="1030"/>
    </row>
    <row r="402" spans="1:26" ht="12.75" customHeight="1">
      <c r="A402" s="1030"/>
      <c r="B402" s="1030"/>
      <c r="C402" s="1030"/>
      <c r="D402" s="1030"/>
      <c r="E402" s="1030"/>
      <c r="F402" s="1030"/>
      <c r="G402" s="1030"/>
      <c r="H402" s="1186"/>
      <c r="I402" s="1030"/>
      <c r="J402" s="1030"/>
      <c r="K402" s="1030"/>
      <c r="L402" s="1030"/>
      <c r="M402" s="1030"/>
      <c r="N402" s="1030"/>
      <c r="O402" s="1030"/>
      <c r="P402" s="1030"/>
      <c r="Q402" s="1030"/>
      <c r="R402" s="1030"/>
      <c r="S402" s="1030"/>
      <c r="T402" s="1030"/>
      <c r="U402" s="1030"/>
      <c r="V402" s="1030"/>
      <c r="W402" s="1030"/>
      <c r="X402" s="1030"/>
      <c r="Y402" s="1030"/>
      <c r="Z402" s="1030"/>
    </row>
    <row r="403" spans="1:26" ht="12.75" customHeight="1">
      <c r="A403" s="1030"/>
      <c r="B403" s="1030"/>
      <c r="C403" s="1030"/>
      <c r="D403" s="1030"/>
      <c r="E403" s="1030"/>
      <c r="F403" s="1030"/>
      <c r="G403" s="1030"/>
      <c r="H403" s="1186"/>
      <c r="I403" s="1030"/>
      <c r="J403" s="1030"/>
      <c r="K403" s="1030"/>
      <c r="L403" s="1030"/>
      <c r="M403" s="1030"/>
      <c r="N403" s="1030"/>
      <c r="O403" s="1030"/>
      <c r="P403" s="1030"/>
      <c r="Q403" s="1030"/>
      <c r="R403" s="1030"/>
      <c r="S403" s="1030"/>
      <c r="T403" s="1030"/>
      <c r="U403" s="1030"/>
      <c r="V403" s="1030"/>
      <c r="W403" s="1030"/>
      <c r="X403" s="1030"/>
      <c r="Y403" s="1030"/>
      <c r="Z403" s="1030"/>
    </row>
    <row r="404" spans="1:26" ht="12.75" customHeight="1">
      <c r="A404" s="1030"/>
      <c r="B404" s="1030"/>
      <c r="C404" s="1030"/>
      <c r="D404" s="1030"/>
      <c r="E404" s="1030"/>
      <c r="F404" s="1030"/>
      <c r="G404" s="1030"/>
      <c r="H404" s="1186"/>
      <c r="I404" s="1030"/>
      <c r="J404" s="1030"/>
      <c r="K404" s="1030"/>
      <c r="L404" s="1030"/>
      <c r="M404" s="1030"/>
      <c r="N404" s="1030"/>
      <c r="O404" s="1030"/>
      <c r="P404" s="1030"/>
      <c r="Q404" s="1030"/>
      <c r="R404" s="1030"/>
      <c r="S404" s="1030"/>
      <c r="T404" s="1030"/>
      <c r="U404" s="1030"/>
      <c r="V404" s="1030"/>
      <c r="W404" s="1030"/>
      <c r="X404" s="1030"/>
      <c r="Y404" s="1030"/>
      <c r="Z404" s="1030"/>
    </row>
    <row r="405" spans="1:26" ht="12.75" customHeight="1">
      <c r="A405" s="1030"/>
      <c r="B405" s="1030"/>
      <c r="C405" s="1030"/>
      <c r="D405" s="1030"/>
      <c r="E405" s="1030"/>
      <c r="F405" s="1030"/>
      <c r="G405" s="1030"/>
      <c r="H405" s="1186"/>
      <c r="I405" s="1030"/>
      <c r="J405" s="1030"/>
      <c r="K405" s="1030"/>
      <c r="L405" s="1030"/>
      <c r="M405" s="1030"/>
      <c r="N405" s="1030"/>
      <c r="O405" s="1030"/>
      <c r="P405" s="1030"/>
      <c r="Q405" s="1030"/>
      <c r="R405" s="1030"/>
      <c r="S405" s="1030"/>
      <c r="T405" s="1030"/>
      <c r="U405" s="1030"/>
      <c r="V405" s="1030"/>
      <c r="W405" s="1030"/>
      <c r="X405" s="1030"/>
      <c r="Y405" s="1030"/>
      <c r="Z405" s="1030"/>
    </row>
    <row r="406" spans="1:26" ht="12.75" customHeight="1">
      <c r="A406" s="1030"/>
      <c r="B406" s="1030"/>
      <c r="C406" s="1030"/>
      <c r="D406" s="1030"/>
      <c r="E406" s="1030"/>
      <c r="F406" s="1030"/>
      <c r="G406" s="1030"/>
      <c r="H406" s="1186"/>
      <c r="I406" s="1030"/>
      <c r="J406" s="1030"/>
      <c r="K406" s="1030"/>
      <c r="L406" s="1030"/>
      <c r="M406" s="1030"/>
      <c r="N406" s="1030"/>
      <c r="O406" s="1030"/>
      <c r="P406" s="1030"/>
      <c r="Q406" s="1030"/>
      <c r="R406" s="1030"/>
      <c r="S406" s="1030"/>
      <c r="T406" s="1030"/>
      <c r="U406" s="1030"/>
      <c r="V406" s="1030"/>
      <c r="W406" s="1030"/>
      <c r="X406" s="1030"/>
      <c r="Y406" s="1030"/>
      <c r="Z406" s="1030"/>
    </row>
    <row r="407" spans="1:26" ht="12.75" customHeight="1">
      <c r="A407" s="1030"/>
      <c r="B407" s="1030"/>
      <c r="C407" s="1030"/>
      <c r="D407" s="1030"/>
      <c r="E407" s="1030"/>
      <c r="F407" s="1030"/>
      <c r="G407" s="1030"/>
      <c r="H407" s="1186"/>
      <c r="I407" s="1030"/>
      <c r="J407" s="1030"/>
      <c r="K407" s="1030"/>
      <c r="L407" s="1030"/>
      <c r="M407" s="1030"/>
      <c r="N407" s="1030"/>
      <c r="O407" s="1030"/>
      <c r="P407" s="1030"/>
      <c r="Q407" s="1030"/>
      <c r="R407" s="1030"/>
      <c r="S407" s="1030"/>
      <c r="T407" s="1030"/>
      <c r="U407" s="1030"/>
      <c r="V407" s="1030"/>
      <c r="W407" s="1030"/>
      <c r="X407" s="1030"/>
      <c r="Y407" s="1030"/>
      <c r="Z407" s="1030"/>
    </row>
    <row r="408" spans="1:26" ht="12.75" customHeight="1">
      <c r="A408" s="1030"/>
      <c r="B408" s="1030"/>
      <c r="C408" s="1030"/>
      <c r="D408" s="1030"/>
      <c r="E408" s="1030"/>
      <c r="F408" s="1030"/>
      <c r="G408" s="1030"/>
      <c r="H408" s="1186"/>
      <c r="I408" s="1030"/>
      <c r="J408" s="1030"/>
      <c r="K408" s="1030"/>
      <c r="L408" s="1030"/>
      <c r="M408" s="1030"/>
      <c r="N408" s="1030"/>
      <c r="O408" s="1030"/>
      <c r="P408" s="1030"/>
      <c r="Q408" s="1030"/>
      <c r="R408" s="1030"/>
      <c r="S408" s="1030"/>
      <c r="T408" s="1030"/>
      <c r="U408" s="1030"/>
      <c r="V408" s="1030"/>
      <c r="W408" s="1030"/>
      <c r="X408" s="1030"/>
      <c r="Y408" s="1030"/>
      <c r="Z408" s="1030"/>
    </row>
    <row r="409" spans="1:26" ht="12.75" customHeight="1">
      <c r="A409" s="1030"/>
      <c r="B409" s="1030"/>
      <c r="C409" s="1030"/>
      <c r="D409" s="1030"/>
      <c r="E409" s="1030"/>
      <c r="F409" s="1030"/>
      <c r="G409" s="1030"/>
      <c r="H409" s="1186"/>
      <c r="I409" s="1030"/>
      <c r="J409" s="1030"/>
      <c r="K409" s="1030"/>
      <c r="L409" s="1030"/>
      <c r="M409" s="1030"/>
      <c r="N409" s="1030"/>
      <c r="O409" s="1030"/>
      <c r="P409" s="1030"/>
      <c r="Q409" s="1030"/>
      <c r="R409" s="1030"/>
      <c r="S409" s="1030"/>
      <c r="T409" s="1030"/>
      <c r="U409" s="1030"/>
      <c r="V409" s="1030"/>
      <c r="W409" s="1030"/>
      <c r="X409" s="1030"/>
      <c r="Y409" s="1030"/>
      <c r="Z409" s="1030"/>
    </row>
    <row r="410" spans="1:26" ht="12.75" customHeight="1">
      <c r="A410" s="1030"/>
      <c r="B410" s="1030"/>
      <c r="C410" s="1030"/>
      <c r="D410" s="1030"/>
      <c r="E410" s="1030"/>
      <c r="F410" s="1030"/>
      <c r="G410" s="1030"/>
      <c r="H410" s="1186"/>
      <c r="I410" s="1030"/>
      <c r="J410" s="1030"/>
      <c r="K410" s="1030"/>
      <c r="L410" s="1030"/>
      <c r="M410" s="1030"/>
      <c r="N410" s="1030"/>
      <c r="O410" s="1030"/>
      <c r="P410" s="1030"/>
      <c r="Q410" s="1030"/>
      <c r="R410" s="1030"/>
      <c r="S410" s="1030"/>
      <c r="T410" s="1030"/>
      <c r="U410" s="1030"/>
      <c r="V410" s="1030"/>
      <c r="W410" s="1030"/>
      <c r="X410" s="1030"/>
      <c r="Y410" s="1030"/>
      <c r="Z410" s="1030"/>
    </row>
    <row r="411" spans="1:26" ht="12.75" customHeight="1">
      <c r="A411" s="1030"/>
      <c r="B411" s="1030"/>
      <c r="C411" s="1030"/>
      <c r="D411" s="1030"/>
      <c r="E411" s="1030"/>
      <c r="F411" s="1030"/>
      <c r="G411" s="1030"/>
      <c r="H411" s="1186"/>
      <c r="I411" s="1030"/>
      <c r="J411" s="1030"/>
      <c r="K411" s="1030"/>
      <c r="L411" s="1030"/>
      <c r="M411" s="1030"/>
      <c r="N411" s="1030"/>
      <c r="O411" s="1030"/>
      <c r="P411" s="1030"/>
      <c r="Q411" s="1030"/>
      <c r="R411" s="1030"/>
      <c r="S411" s="1030"/>
      <c r="T411" s="1030"/>
      <c r="U411" s="1030"/>
      <c r="V411" s="1030"/>
      <c r="W411" s="1030"/>
      <c r="X411" s="1030"/>
      <c r="Y411" s="1030"/>
      <c r="Z411" s="1030"/>
    </row>
    <row r="412" spans="1:26" ht="12.75" customHeight="1">
      <c r="A412" s="1030"/>
      <c r="B412" s="1030"/>
      <c r="C412" s="1030"/>
      <c r="D412" s="1030"/>
      <c r="E412" s="1030"/>
      <c r="F412" s="1030"/>
      <c r="G412" s="1030"/>
      <c r="H412" s="1186"/>
      <c r="I412" s="1030"/>
      <c r="J412" s="1030"/>
      <c r="K412" s="1030"/>
      <c r="L412" s="1030"/>
      <c r="M412" s="1030"/>
      <c r="N412" s="1030"/>
      <c r="O412" s="1030"/>
      <c r="P412" s="1030"/>
      <c r="Q412" s="1030"/>
      <c r="R412" s="1030"/>
      <c r="S412" s="1030"/>
      <c r="T412" s="1030"/>
      <c r="U412" s="1030"/>
      <c r="V412" s="1030"/>
      <c r="W412" s="1030"/>
      <c r="X412" s="1030"/>
      <c r="Y412" s="1030"/>
      <c r="Z412" s="1030"/>
    </row>
    <row r="413" spans="1:26" ht="12.75" customHeight="1">
      <c r="A413" s="1030"/>
      <c r="B413" s="1030"/>
      <c r="C413" s="1030"/>
      <c r="D413" s="1030"/>
      <c r="E413" s="1030"/>
      <c r="F413" s="1030"/>
      <c r="G413" s="1030"/>
      <c r="H413" s="1186"/>
      <c r="I413" s="1030"/>
      <c r="J413" s="1030"/>
      <c r="K413" s="1030"/>
      <c r="L413" s="1030"/>
      <c r="M413" s="1030"/>
      <c r="N413" s="1030"/>
      <c r="O413" s="1030"/>
      <c r="P413" s="1030"/>
      <c r="Q413" s="1030"/>
      <c r="R413" s="1030"/>
      <c r="S413" s="1030"/>
      <c r="T413" s="1030"/>
      <c r="U413" s="1030"/>
      <c r="V413" s="1030"/>
      <c r="W413" s="1030"/>
      <c r="X413" s="1030"/>
      <c r="Y413" s="1030"/>
      <c r="Z413" s="1030"/>
    </row>
    <row r="414" spans="1:26" ht="12.75" customHeight="1">
      <c r="A414" s="1030"/>
      <c r="B414" s="1030"/>
      <c r="C414" s="1030"/>
      <c r="D414" s="1030"/>
      <c r="E414" s="1030"/>
      <c r="F414" s="1030"/>
      <c r="G414" s="1030"/>
      <c r="H414" s="1186"/>
      <c r="I414" s="1030"/>
      <c r="J414" s="1030"/>
      <c r="K414" s="1030"/>
      <c r="L414" s="1030"/>
      <c r="M414" s="1030"/>
      <c r="N414" s="1030"/>
      <c r="O414" s="1030"/>
      <c r="P414" s="1030"/>
      <c r="Q414" s="1030"/>
      <c r="R414" s="1030"/>
      <c r="S414" s="1030"/>
      <c r="T414" s="1030"/>
      <c r="U414" s="1030"/>
      <c r="V414" s="1030"/>
      <c r="W414" s="1030"/>
      <c r="X414" s="1030"/>
      <c r="Y414" s="1030"/>
      <c r="Z414" s="1030"/>
    </row>
    <row r="415" spans="1:26" ht="12.75" customHeight="1">
      <c r="A415" s="1030"/>
      <c r="B415" s="1030"/>
      <c r="C415" s="1030"/>
      <c r="D415" s="1030"/>
      <c r="E415" s="1030"/>
      <c r="F415" s="1030"/>
      <c r="G415" s="1030"/>
      <c r="H415" s="1186"/>
      <c r="I415" s="1030"/>
      <c r="J415" s="1030"/>
      <c r="K415" s="1030"/>
      <c r="L415" s="1030"/>
      <c r="M415" s="1030"/>
      <c r="N415" s="1030"/>
      <c r="O415" s="1030"/>
      <c r="P415" s="1030"/>
      <c r="Q415" s="1030"/>
      <c r="R415" s="1030"/>
      <c r="S415" s="1030"/>
      <c r="T415" s="1030"/>
      <c r="U415" s="1030"/>
      <c r="V415" s="1030"/>
      <c r="W415" s="1030"/>
      <c r="X415" s="1030"/>
      <c r="Y415" s="1030"/>
      <c r="Z415" s="1030"/>
    </row>
    <row r="416" spans="1:26" ht="12.75" customHeight="1">
      <c r="A416" s="1030"/>
      <c r="B416" s="1030"/>
      <c r="C416" s="1030"/>
      <c r="D416" s="1030"/>
      <c r="E416" s="1030"/>
      <c r="F416" s="1030"/>
      <c r="G416" s="1030"/>
      <c r="H416" s="1186"/>
      <c r="I416" s="1030"/>
      <c r="J416" s="1030"/>
      <c r="K416" s="1030"/>
      <c r="L416" s="1030"/>
      <c r="M416" s="1030"/>
      <c r="N416" s="1030"/>
      <c r="O416" s="1030"/>
      <c r="P416" s="1030"/>
      <c r="Q416" s="1030"/>
      <c r="R416" s="1030"/>
      <c r="S416" s="1030"/>
      <c r="T416" s="1030"/>
      <c r="U416" s="1030"/>
      <c r="V416" s="1030"/>
      <c r="W416" s="1030"/>
      <c r="X416" s="1030"/>
      <c r="Y416" s="1030"/>
      <c r="Z416" s="1030"/>
    </row>
    <row r="417" spans="1:26" ht="12.75" customHeight="1">
      <c r="A417" s="1030"/>
      <c r="B417" s="1030"/>
      <c r="C417" s="1030"/>
      <c r="D417" s="1030"/>
      <c r="E417" s="1030"/>
      <c r="F417" s="1030"/>
      <c r="G417" s="1030"/>
      <c r="H417" s="1186"/>
      <c r="I417" s="1030"/>
      <c r="J417" s="1030"/>
      <c r="K417" s="1030"/>
      <c r="L417" s="1030"/>
      <c r="M417" s="1030"/>
      <c r="N417" s="1030"/>
      <c r="O417" s="1030"/>
      <c r="P417" s="1030"/>
      <c r="Q417" s="1030"/>
      <c r="R417" s="1030"/>
      <c r="S417" s="1030"/>
      <c r="T417" s="1030"/>
      <c r="U417" s="1030"/>
      <c r="V417" s="1030"/>
      <c r="W417" s="1030"/>
      <c r="X417" s="1030"/>
      <c r="Y417" s="1030"/>
      <c r="Z417" s="1030"/>
    </row>
    <row r="418" spans="1:26" ht="12.75" customHeight="1">
      <c r="A418" s="1030"/>
      <c r="B418" s="1030"/>
      <c r="C418" s="1030"/>
      <c r="D418" s="1030"/>
      <c r="E418" s="1030"/>
      <c r="F418" s="1030"/>
      <c r="G418" s="1030"/>
      <c r="H418" s="1186"/>
      <c r="I418" s="1030"/>
      <c r="J418" s="1030"/>
      <c r="K418" s="1030"/>
      <c r="L418" s="1030"/>
      <c r="M418" s="1030"/>
      <c r="N418" s="1030"/>
      <c r="O418" s="1030"/>
      <c r="P418" s="1030"/>
      <c r="Q418" s="1030"/>
      <c r="R418" s="1030"/>
      <c r="S418" s="1030"/>
      <c r="T418" s="1030"/>
      <c r="U418" s="1030"/>
      <c r="V418" s="1030"/>
      <c r="W418" s="1030"/>
      <c r="X418" s="1030"/>
      <c r="Y418" s="1030"/>
      <c r="Z418" s="1030"/>
    </row>
    <row r="419" spans="1:26" ht="12.75" customHeight="1">
      <c r="A419" s="1030"/>
      <c r="B419" s="1030"/>
      <c r="C419" s="1030"/>
      <c r="D419" s="1030"/>
      <c r="E419" s="1030"/>
      <c r="F419" s="1030"/>
      <c r="G419" s="1030"/>
      <c r="H419" s="1186"/>
      <c r="I419" s="1030"/>
      <c r="J419" s="1030"/>
      <c r="K419" s="1030"/>
      <c r="L419" s="1030"/>
      <c r="M419" s="1030"/>
      <c r="N419" s="1030"/>
      <c r="O419" s="1030"/>
      <c r="P419" s="1030"/>
      <c r="Q419" s="1030"/>
      <c r="R419" s="1030"/>
      <c r="S419" s="1030"/>
      <c r="T419" s="1030"/>
      <c r="U419" s="1030"/>
      <c r="V419" s="1030"/>
      <c r="W419" s="1030"/>
      <c r="X419" s="1030"/>
      <c r="Y419" s="1030"/>
      <c r="Z419" s="1030"/>
    </row>
    <row r="420" spans="1:26" ht="12.75" customHeight="1">
      <c r="A420" s="1030"/>
      <c r="B420" s="1030"/>
      <c r="C420" s="1030"/>
      <c r="D420" s="1030"/>
      <c r="E420" s="1030"/>
      <c r="F420" s="1030"/>
      <c r="G420" s="1030"/>
      <c r="H420" s="1186"/>
      <c r="I420" s="1030"/>
      <c r="J420" s="1030"/>
      <c r="K420" s="1030"/>
      <c r="L420" s="1030"/>
      <c r="M420" s="1030"/>
      <c r="N420" s="1030"/>
      <c r="O420" s="1030"/>
      <c r="P420" s="1030"/>
      <c r="Q420" s="1030"/>
      <c r="R420" s="1030"/>
      <c r="S420" s="1030"/>
      <c r="T420" s="1030"/>
      <c r="U420" s="1030"/>
      <c r="V420" s="1030"/>
      <c r="W420" s="1030"/>
      <c r="X420" s="1030"/>
      <c r="Y420" s="1030"/>
      <c r="Z420" s="1030"/>
    </row>
    <row r="421" spans="1:26" ht="12.75" customHeight="1">
      <c r="A421" s="1030"/>
      <c r="B421" s="1030"/>
      <c r="C421" s="1030"/>
      <c r="D421" s="1030"/>
      <c r="E421" s="1030"/>
      <c r="F421" s="1030"/>
      <c r="G421" s="1030"/>
      <c r="H421" s="1186"/>
      <c r="I421" s="1030"/>
      <c r="J421" s="1030"/>
      <c r="K421" s="1030"/>
      <c r="L421" s="1030"/>
      <c r="M421" s="1030"/>
      <c r="N421" s="1030"/>
      <c r="O421" s="1030"/>
      <c r="P421" s="1030"/>
      <c r="Q421" s="1030"/>
      <c r="R421" s="1030"/>
      <c r="S421" s="1030"/>
      <c r="T421" s="1030"/>
      <c r="U421" s="1030"/>
      <c r="V421" s="1030"/>
      <c r="W421" s="1030"/>
      <c r="X421" s="1030"/>
      <c r="Y421" s="1030"/>
      <c r="Z421" s="1030"/>
    </row>
    <row r="422" spans="1:26" ht="12.75" customHeight="1">
      <c r="A422" s="1030"/>
      <c r="B422" s="1030"/>
      <c r="C422" s="1030"/>
      <c r="D422" s="1030"/>
      <c r="E422" s="1030"/>
      <c r="F422" s="1030"/>
      <c r="G422" s="1030"/>
      <c r="H422" s="1186"/>
      <c r="I422" s="1030"/>
      <c r="J422" s="1030"/>
      <c r="K422" s="1030"/>
      <c r="L422" s="1030"/>
      <c r="M422" s="1030"/>
      <c r="N422" s="1030"/>
      <c r="O422" s="1030"/>
      <c r="P422" s="1030"/>
      <c r="Q422" s="1030"/>
      <c r="R422" s="1030"/>
      <c r="S422" s="1030"/>
      <c r="T422" s="1030"/>
      <c r="U422" s="1030"/>
      <c r="V422" s="1030"/>
      <c r="W422" s="1030"/>
      <c r="X422" s="1030"/>
      <c r="Y422" s="1030"/>
      <c r="Z422" s="1030"/>
    </row>
    <row r="423" spans="1:26" ht="12.75" customHeight="1">
      <c r="A423" s="1030"/>
      <c r="B423" s="1030"/>
      <c r="C423" s="1030"/>
      <c r="D423" s="1030"/>
      <c r="E423" s="1030"/>
      <c r="F423" s="1030"/>
      <c r="G423" s="1030"/>
      <c r="H423" s="1186"/>
      <c r="I423" s="1030"/>
      <c r="J423" s="1030"/>
      <c r="K423" s="1030"/>
      <c r="L423" s="1030"/>
      <c r="M423" s="1030"/>
      <c r="N423" s="1030"/>
      <c r="O423" s="1030"/>
      <c r="P423" s="1030"/>
      <c r="Q423" s="1030"/>
      <c r="R423" s="1030"/>
      <c r="S423" s="1030"/>
      <c r="T423" s="1030"/>
      <c r="U423" s="1030"/>
      <c r="V423" s="1030"/>
      <c r="W423" s="1030"/>
      <c r="X423" s="1030"/>
      <c r="Y423" s="1030"/>
      <c r="Z423" s="1030"/>
    </row>
    <row r="424" spans="1:26" ht="12.75" customHeight="1">
      <c r="A424" s="1030"/>
      <c r="B424" s="1030"/>
      <c r="C424" s="1030"/>
      <c r="D424" s="1030"/>
      <c r="E424" s="1030"/>
      <c r="F424" s="1030"/>
      <c r="G424" s="1030"/>
      <c r="H424" s="1186"/>
      <c r="I424" s="1030"/>
      <c r="J424" s="1030"/>
      <c r="K424" s="1030"/>
      <c r="L424" s="1030"/>
      <c r="M424" s="1030"/>
      <c r="N424" s="1030"/>
      <c r="O424" s="1030"/>
      <c r="P424" s="1030"/>
      <c r="Q424" s="1030"/>
      <c r="R424" s="1030"/>
      <c r="S424" s="1030"/>
      <c r="T424" s="1030"/>
      <c r="U424" s="1030"/>
      <c r="V424" s="1030"/>
      <c r="W424" s="1030"/>
      <c r="X424" s="1030"/>
      <c r="Y424" s="1030"/>
      <c r="Z424" s="1030"/>
    </row>
    <row r="425" spans="1:26" ht="12.75" customHeight="1">
      <c r="A425" s="1030"/>
      <c r="B425" s="1030"/>
      <c r="C425" s="1030"/>
      <c r="D425" s="1030"/>
      <c r="E425" s="1030"/>
      <c r="F425" s="1030"/>
      <c r="G425" s="1030"/>
      <c r="H425" s="1186"/>
      <c r="I425" s="1030"/>
      <c r="J425" s="1030"/>
      <c r="K425" s="1030"/>
      <c r="L425" s="1030"/>
      <c r="M425" s="1030"/>
      <c r="N425" s="1030"/>
      <c r="O425" s="1030"/>
      <c r="P425" s="1030"/>
      <c r="Q425" s="1030"/>
      <c r="R425" s="1030"/>
      <c r="S425" s="1030"/>
      <c r="T425" s="1030"/>
      <c r="U425" s="1030"/>
      <c r="V425" s="1030"/>
      <c r="W425" s="1030"/>
      <c r="X425" s="1030"/>
      <c r="Y425" s="1030"/>
      <c r="Z425" s="1030"/>
    </row>
    <row r="426" spans="1:26" ht="12.75" customHeight="1">
      <c r="A426" s="1030"/>
      <c r="B426" s="1030"/>
      <c r="C426" s="1030"/>
      <c r="D426" s="1030"/>
      <c r="E426" s="1030"/>
      <c r="F426" s="1030"/>
      <c r="G426" s="1030"/>
      <c r="H426" s="1186"/>
      <c r="I426" s="1030"/>
      <c r="J426" s="1030"/>
      <c r="K426" s="1030"/>
      <c r="L426" s="1030"/>
      <c r="M426" s="1030"/>
      <c r="N426" s="1030"/>
      <c r="O426" s="1030"/>
      <c r="P426" s="1030"/>
      <c r="Q426" s="1030"/>
      <c r="R426" s="1030"/>
      <c r="S426" s="1030"/>
      <c r="T426" s="1030"/>
      <c r="U426" s="1030"/>
      <c r="V426" s="1030"/>
      <c r="W426" s="1030"/>
      <c r="X426" s="1030"/>
      <c r="Y426" s="1030"/>
      <c r="Z426" s="1030"/>
    </row>
    <row r="427" spans="1:26" ht="12.75" customHeight="1">
      <c r="A427" s="1030"/>
      <c r="B427" s="1030"/>
      <c r="C427" s="1030"/>
      <c r="D427" s="1030"/>
      <c r="E427" s="1030"/>
      <c r="F427" s="1030"/>
      <c r="G427" s="1030"/>
      <c r="H427" s="1186"/>
      <c r="I427" s="1030"/>
      <c r="J427" s="1030"/>
      <c r="K427" s="1030"/>
      <c r="L427" s="1030"/>
      <c r="M427" s="1030"/>
      <c r="N427" s="1030"/>
      <c r="O427" s="1030"/>
      <c r="P427" s="1030"/>
      <c r="Q427" s="1030"/>
      <c r="R427" s="1030"/>
      <c r="S427" s="1030"/>
      <c r="T427" s="1030"/>
      <c r="U427" s="1030"/>
      <c r="V427" s="1030"/>
      <c r="W427" s="1030"/>
      <c r="X427" s="1030"/>
      <c r="Y427" s="1030"/>
      <c r="Z427" s="1030"/>
    </row>
    <row r="428" spans="1:26" ht="12.75" customHeight="1">
      <c r="A428" s="1030"/>
      <c r="B428" s="1030"/>
      <c r="C428" s="1030"/>
      <c r="D428" s="1030"/>
      <c r="E428" s="1030"/>
      <c r="F428" s="1030"/>
      <c r="G428" s="1030"/>
      <c r="H428" s="1186"/>
      <c r="I428" s="1030"/>
      <c r="J428" s="1030"/>
      <c r="K428" s="1030"/>
      <c r="L428" s="1030"/>
      <c r="M428" s="1030"/>
      <c r="N428" s="1030"/>
      <c r="O428" s="1030"/>
      <c r="P428" s="1030"/>
      <c r="Q428" s="1030"/>
      <c r="R428" s="1030"/>
      <c r="S428" s="1030"/>
      <c r="T428" s="1030"/>
      <c r="U428" s="1030"/>
      <c r="V428" s="1030"/>
      <c r="W428" s="1030"/>
      <c r="X428" s="1030"/>
      <c r="Y428" s="1030"/>
      <c r="Z428" s="1030"/>
    </row>
    <row r="429" spans="1:26" ht="12.75" customHeight="1">
      <c r="A429" s="1030"/>
      <c r="B429" s="1030"/>
      <c r="C429" s="1030"/>
      <c r="D429" s="1030"/>
      <c r="E429" s="1030"/>
      <c r="F429" s="1030"/>
      <c r="G429" s="1030"/>
      <c r="H429" s="1186"/>
      <c r="I429" s="1030"/>
      <c r="J429" s="1030"/>
      <c r="K429" s="1030"/>
      <c r="L429" s="1030"/>
      <c r="M429" s="1030"/>
      <c r="N429" s="1030"/>
      <c r="O429" s="1030"/>
      <c r="P429" s="1030"/>
      <c r="Q429" s="1030"/>
      <c r="R429" s="1030"/>
      <c r="S429" s="1030"/>
      <c r="T429" s="1030"/>
      <c r="U429" s="1030"/>
      <c r="V429" s="1030"/>
      <c r="W429" s="1030"/>
      <c r="X429" s="1030"/>
      <c r="Y429" s="1030"/>
      <c r="Z429" s="1030"/>
    </row>
    <row r="430" spans="1:26" ht="12.75" customHeight="1">
      <c r="A430" s="1030"/>
      <c r="B430" s="1030"/>
      <c r="C430" s="1030"/>
      <c r="D430" s="1030"/>
      <c r="E430" s="1030"/>
      <c r="F430" s="1030"/>
      <c r="G430" s="1030"/>
      <c r="H430" s="1186"/>
      <c r="I430" s="1030"/>
      <c r="J430" s="1030"/>
      <c r="K430" s="1030"/>
      <c r="L430" s="1030"/>
      <c r="M430" s="1030"/>
      <c r="N430" s="1030"/>
      <c r="O430" s="1030"/>
      <c r="P430" s="1030"/>
      <c r="Q430" s="1030"/>
      <c r="R430" s="1030"/>
      <c r="S430" s="1030"/>
      <c r="T430" s="1030"/>
      <c r="U430" s="1030"/>
      <c r="V430" s="1030"/>
      <c r="W430" s="1030"/>
      <c r="X430" s="1030"/>
      <c r="Y430" s="1030"/>
      <c r="Z430" s="1030"/>
    </row>
    <row r="431" spans="1:26" ht="12.75" customHeight="1">
      <c r="A431" s="1030"/>
      <c r="B431" s="1030"/>
      <c r="C431" s="1030"/>
      <c r="D431" s="1030"/>
      <c r="E431" s="1030"/>
      <c r="F431" s="1030"/>
      <c r="G431" s="1030"/>
      <c r="H431" s="1186"/>
      <c r="I431" s="1030"/>
      <c r="J431" s="1030"/>
      <c r="K431" s="1030"/>
      <c r="L431" s="1030"/>
      <c r="M431" s="1030"/>
      <c r="N431" s="1030"/>
      <c r="O431" s="1030"/>
      <c r="P431" s="1030"/>
      <c r="Q431" s="1030"/>
      <c r="R431" s="1030"/>
      <c r="S431" s="1030"/>
      <c r="T431" s="1030"/>
      <c r="U431" s="1030"/>
      <c r="V431" s="1030"/>
      <c r="W431" s="1030"/>
      <c r="X431" s="1030"/>
      <c r="Y431" s="1030"/>
      <c r="Z431" s="1030"/>
    </row>
    <row r="432" spans="1:26" ht="12.75" customHeight="1">
      <c r="A432" s="1030"/>
      <c r="B432" s="1030"/>
      <c r="C432" s="1030"/>
      <c r="D432" s="1030"/>
      <c r="E432" s="1030"/>
      <c r="F432" s="1030"/>
      <c r="G432" s="1030"/>
      <c r="H432" s="1186"/>
      <c r="I432" s="1030"/>
      <c r="J432" s="1030"/>
      <c r="K432" s="1030"/>
      <c r="L432" s="1030"/>
      <c r="M432" s="1030"/>
      <c r="N432" s="1030"/>
      <c r="O432" s="1030"/>
      <c r="P432" s="1030"/>
      <c r="Q432" s="1030"/>
      <c r="R432" s="1030"/>
      <c r="S432" s="1030"/>
      <c r="T432" s="1030"/>
      <c r="U432" s="1030"/>
      <c r="V432" s="1030"/>
      <c r="W432" s="1030"/>
      <c r="X432" s="1030"/>
      <c r="Y432" s="1030"/>
      <c r="Z432" s="1030"/>
    </row>
    <row r="433" spans="1:26" ht="12.75" customHeight="1">
      <c r="A433" s="1030"/>
      <c r="B433" s="1030"/>
      <c r="C433" s="1030"/>
      <c r="D433" s="1030"/>
      <c r="E433" s="1030"/>
      <c r="F433" s="1030"/>
      <c r="G433" s="1030"/>
      <c r="H433" s="1186"/>
      <c r="I433" s="1030"/>
      <c r="J433" s="1030"/>
      <c r="K433" s="1030"/>
      <c r="L433" s="1030"/>
      <c r="M433" s="1030"/>
      <c r="N433" s="1030"/>
      <c r="O433" s="1030"/>
      <c r="P433" s="1030"/>
      <c r="Q433" s="1030"/>
      <c r="R433" s="1030"/>
      <c r="S433" s="1030"/>
      <c r="T433" s="1030"/>
      <c r="U433" s="1030"/>
      <c r="V433" s="1030"/>
      <c r="W433" s="1030"/>
      <c r="X433" s="1030"/>
      <c r="Y433" s="1030"/>
      <c r="Z433" s="1030"/>
    </row>
    <row r="434" spans="1:26" ht="12.75" customHeight="1">
      <c r="A434" s="1030"/>
      <c r="B434" s="1030"/>
      <c r="C434" s="1030"/>
      <c r="D434" s="1030"/>
      <c r="E434" s="1030"/>
      <c r="F434" s="1030"/>
      <c r="G434" s="1030"/>
      <c r="H434" s="1186"/>
      <c r="I434" s="1030"/>
      <c r="J434" s="1030"/>
      <c r="K434" s="1030"/>
      <c r="L434" s="1030"/>
      <c r="M434" s="1030"/>
      <c r="N434" s="1030"/>
      <c r="O434" s="1030"/>
      <c r="P434" s="1030"/>
      <c r="Q434" s="1030"/>
      <c r="R434" s="1030"/>
      <c r="S434" s="1030"/>
      <c r="T434" s="1030"/>
      <c r="U434" s="1030"/>
      <c r="V434" s="1030"/>
      <c r="W434" s="1030"/>
      <c r="X434" s="1030"/>
      <c r="Y434" s="1030"/>
      <c r="Z434" s="1030"/>
    </row>
    <row r="435" spans="1:26" ht="12.75" customHeight="1">
      <c r="A435" s="1030"/>
      <c r="B435" s="1030"/>
      <c r="C435" s="1030"/>
      <c r="D435" s="1030"/>
      <c r="E435" s="1030"/>
      <c r="F435" s="1030"/>
      <c r="G435" s="1030"/>
      <c r="H435" s="1186"/>
      <c r="I435" s="1030"/>
      <c r="J435" s="1030"/>
      <c r="K435" s="1030"/>
      <c r="L435" s="1030"/>
      <c r="M435" s="1030"/>
      <c r="N435" s="1030"/>
      <c r="O435" s="1030"/>
      <c r="P435" s="1030"/>
      <c r="Q435" s="1030"/>
      <c r="R435" s="1030"/>
      <c r="S435" s="1030"/>
      <c r="T435" s="1030"/>
      <c r="U435" s="1030"/>
      <c r="V435" s="1030"/>
      <c r="W435" s="1030"/>
      <c r="X435" s="1030"/>
      <c r="Y435" s="1030"/>
      <c r="Z435" s="1030"/>
    </row>
    <row r="436" spans="1:26" ht="12.75" customHeight="1">
      <c r="A436" s="1030"/>
      <c r="B436" s="1030"/>
      <c r="C436" s="1030"/>
      <c r="D436" s="1030"/>
      <c r="E436" s="1030"/>
      <c r="F436" s="1030"/>
      <c r="G436" s="1030"/>
      <c r="H436" s="1186"/>
      <c r="I436" s="1030"/>
      <c r="J436" s="1030"/>
      <c r="K436" s="1030"/>
      <c r="L436" s="1030"/>
      <c r="M436" s="1030"/>
      <c r="N436" s="1030"/>
      <c r="O436" s="1030"/>
      <c r="P436" s="1030"/>
      <c r="Q436" s="1030"/>
      <c r="R436" s="1030"/>
      <c r="S436" s="1030"/>
      <c r="T436" s="1030"/>
      <c r="U436" s="1030"/>
      <c r="V436" s="1030"/>
      <c r="W436" s="1030"/>
      <c r="X436" s="1030"/>
      <c r="Y436" s="1030"/>
      <c r="Z436" s="1030"/>
    </row>
    <row r="437" spans="1:26" ht="12.75" customHeight="1">
      <c r="A437" s="1030"/>
      <c r="B437" s="1030"/>
      <c r="C437" s="1030"/>
      <c r="D437" s="1030"/>
      <c r="E437" s="1030"/>
      <c r="F437" s="1030"/>
      <c r="G437" s="1030"/>
      <c r="H437" s="1186"/>
      <c r="I437" s="1030"/>
      <c r="J437" s="1030"/>
      <c r="K437" s="1030"/>
      <c r="L437" s="1030"/>
      <c r="M437" s="1030"/>
      <c r="N437" s="1030"/>
      <c r="O437" s="1030"/>
      <c r="P437" s="1030"/>
      <c r="Q437" s="1030"/>
      <c r="R437" s="1030"/>
      <c r="S437" s="1030"/>
      <c r="T437" s="1030"/>
      <c r="U437" s="1030"/>
      <c r="V437" s="1030"/>
      <c r="W437" s="1030"/>
      <c r="X437" s="1030"/>
      <c r="Y437" s="1030"/>
      <c r="Z437" s="1030"/>
    </row>
    <row r="438" spans="1:26" ht="12.75" customHeight="1">
      <c r="A438" s="1030"/>
      <c r="B438" s="1030"/>
      <c r="C438" s="1030"/>
      <c r="D438" s="1030"/>
      <c r="E438" s="1030"/>
      <c r="F438" s="1030"/>
      <c r="G438" s="1030"/>
      <c r="H438" s="1186"/>
      <c r="I438" s="1030"/>
      <c r="J438" s="1030"/>
      <c r="K438" s="1030"/>
      <c r="L438" s="1030"/>
      <c r="M438" s="1030"/>
      <c r="N438" s="1030"/>
      <c r="O438" s="1030"/>
      <c r="P438" s="1030"/>
      <c r="Q438" s="1030"/>
      <c r="R438" s="1030"/>
      <c r="S438" s="1030"/>
      <c r="T438" s="1030"/>
      <c r="U438" s="1030"/>
      <c r="V438" s="1030"/>
      <c r="W438" s="1030"/>
      <c r="X438" s="1030"/>
      <c r="Y438" s="1030"/>
      <c r="Z438" s="1030"/>
    </row>
    <row r="439" spans="1:26" ht="12.75" customHeight="1">
      <c r="A439" s="1030"/>
      <c r="B439" s="1030"/>
      <c r="C439" s="1030"/>
      <c r="D439" s="1030"/>
      <c r="E439" s="1030"/>
      <c r="F439" s="1030"/>
      <c r="G439" s="1030"/>
      <c r="H439" s="1186"/>
      <c r="I439" s="1030"/>
      <c r="J439" s="1030"/>
      <c r="K439" s="1030"/>
      <c r="L439" s="1030"/>
      <c r="M439" s="1030"/>
      <c r="N439" s="1030"/>
      <c r="O439" s="1030"/>
      <c r="P439" s="1030"/>
      <c r="Q439" s="1030"/>
      <c r="R439" s="1030"/>
      <c r="S439" s="1030"/>
      <c r="T439" s="1030"/>
      <c r="U439" s="1030"/>
      <c r="V439" s="1030"/>
      <c r="W439" s="1030"/>
      <c r="X439" s="1030"/>
      <c r="Y439" s="1030"/>
      <c r="Z439" s="1030"/>
    </row>
    <row r="440" spans="1:26" ht="12.75" customHeight="1">
      <c r="A440" s="1030"/>
      <c r="B440" s="1030"/>
      <c r="C440" s="1030"/>
      <c r="D440" s="1030"/>
      <c r="E440" s="1030"/>
      <c r="F440" s="1030"/>
      <c r="G440" s="1030"/>
      <c r="H440" s="1186"/>
      <c r="I440" s="1030"/>
      <c r="J440" s="1030"/>
      <c r="K440" s="1030"/>
      <c r="L440" s="1030"/>
      <c r="M440" s="1030"/>
      <c r="N440" s="1030"/>
      <c r="O440" s="1030"/>
      <c r="P440" s="1030"/>
      <c r="Q440" s="1030"/>
      <c r="R440" s="1030"/>
      <c r="S440" s="1030"/>
      <c r="T440" s="1030"/>
      <c r="U440" s="1030"/>
      <c r="V440" s="1030"/>
      <c r="W440" s="1030"/>
      <c r="X440" s="1030"/>
      <c r="Y440" s="1030"/>
      <c r="Z440" s="1030"/>
    </row>
    <row r="441" spans="1:26" ht="12.75" customHeight="1">
      <c r="A441" s="1030"/>
      <c r="B441" s="1030"/>
      <c r="C441" s="1030"/>
      <c r="D441" s="1030"/>
      <c r="E441" s="1030"/>
      <c r="F441" s="1030"/>
      <c r="G441" s="1030"/>
      <c r="H441" s="1186"/>
      <c r="I441" s="1030"/>
      <c r="J441" s="1030"/>
      <c r="K441" s="1030"/>
      <c r="L441" s="1030"/>
      <c r="M441" s="1030"/>
      <c r="N441" s="1030"/>
      <c r="O441" s="1030"/>
      <c r="P441" s="1030"/>
      <c r="Q441" s="1030"/>
      <c r="R441" s="1030"/>
      <c r="S441" s="1030"/>
      <c r="T441" s="1030"/>
      <c r="U441" s="1030"/>
      <c r="V441" s="1030"/>
      <c r="W441" s="1030"/>
      <c r="X441" s="1030"/>
      <c r="Y441" s="1030"/>
      <c r="Z441" s="1030"/>
    </row>
    <row r="442" spans="1:26" ht="12.75" customHeight="1">
      <c r="A442" s="1030"/>
      <c r="B442" s="1030"/>
      <c r="C442" s="1030"/>
      <c r="D442" s="1030"/>
      <c r="E442" s="1030"/>
      <c r="F442" s="1030"/>
      <c r="G442" s="1030"/>
      <c r="H442" s="1186"/>
      <c r="I442" s="1030"/>
      <c r="J442" s="1030"/>
      <c r="K442" s="1030"/>
      <c r="L442" s="1030"/>
      <c r="M442" s="1030"/>
      <c r="N442" s="1030"/>
      <c r="O442" s="1030"/>
      <c r="P442" s="1030"/>
      <c r="Q442" s="1030"/>
      <c r="R442" s="1030"/>
      <c r="S442" s="1030"/>
      <c r="T442" s="1030"/>
      <c r="U442" s="1030"/>
      <c r="V442" s="1030"/>
      <c r="W442" s="1030"/>
      <c r="X442" s="1030"/>
      <c r="Y442" s="1030"/>
      <c r="Z442" s="1030"/>
    </row>
    <row r="443" spans="1:26" ht="12.75" customHeight="1">
      <c r="A443" s="1030"/>
      <c r="B443" s="1030"/>
      <c r="C443" s="1030"/>
      <c r="D443" s="1030"/>
      <c r="E443" s="1030"/>
      <c r="F443" s="1030"/>
      <c r="G443" s="1030"/>
      <c r="H443" s="1186"/>
      <c r="I443" s="1030"/>
      <c r="J443" s="1030"/>
      <c r="K443" s="1030"/>
      <c r="L443" s="1030"/>
      <c r="M443" s="1030"/>
      <c r="N443" s="1030"/>
      <c r="O443" s="1030"/>
      <c r="P443" s="1030"/>
      <c r="Q443" s="1030"/>
      <c r="R443" s="1030"/>
      <c r="S443" s="1030"/>
      <c r="T443" s="1030"/>
      <c r="U443" s="1030"/>
      <c r="V443" s="1030"/>
      <c r="W443" s="1030"/>
      <c r="X443" s="1030"/>
      <c r="Y443" s="1030"/>
      <c r="Z443" s="1030"/>
    </row>
    <row r="444" spans="1:26" ht="12.75" customHeight="1">
      <c r="A444" s="1030"/>
      <c r="B444" s="1030"/>
      <c r="C444" s="1030"/>
      <c r="D444" s="1030"/>
      <c r="E444" s="1030"/>
      <c r="F444" s="1030"/>
      <c r="G444" s="1030"/>
      <c r="H444" s="1186"/>
      <c r="I444" s="1030"/>
      <c r="J444" s="1030"/>
      <c r="K444" s="1030"/>
      <c r="L444" s="1030"/>
      <c r="M444" s="1030"/>
      <c r="N444" s="1030"/>
      <c r="O444" s="1030"/>
      <c r="P444" s="1030"/>
      <c r="Q444" s="1030"/>
      <c r="R444" s="1030"/>
      <c r="S444" s="1030"/>
      <c r="T444" s="1030"/>
      <c r="U444" s="1030"/>
      <c r="V444" s="1030"/>
      <c r="W444" s="1030"/>
      <c r="X444" s="1030"/>
      <c r="Y444" s="1030"/>
      <c r="Z444" s="1030"/>
    </row>
    <row r="445" spans="1:26" ht="12.75" customHeight="1">
      <c r="A445" s="1030"/>
      <c r="B445" s="1030"/>
      <c r="C445" s="1030"/>
      <c r="D445" s="1030"/>
      <c r="E445" s="1030"/>
      <c r="F445" s="1030"/>
      <c r="G445" s="1030"/>
      <c r="H445" s="1186"/>
      <c r="I445" s="1030"/>
      <c r="J445" s="1030"/>
      <c r="K445" s="1030"/>
      <c r="L445" s="1030"/>
      <c r="M445" s="1030"/>
      <c r="N445" s="1030"/>
      <c r="O445" s="1030"/>
      <c r="P445" s="1030"/>
      <c r="Q445" s="1030"/>
      <c r="R445" s="1030"/>
      <c r="S445" s="1030"/>
      <c r="T445" s="1030"/>
      <c r="U445" s="1030"/>
      <c r="V445" s="1030"/>
      <c r="W445" s="1030"/>
      <c r="X445" s="1030"/>
      <c r="Y445" s="1030"/>
      <c r="Z445" s="1030"/>
    </row>
    <row r="446" spans="1:26" ht="12.75" customHeight="1">
      <c r="A446" s="1030"/>
      <c r="B446" s="1030"/>
      <c r="C446" s="1030"/>
      <c r="D446" s="1030"/>
      <c r="E446" s="1030"/>
      <c r="F446" s="1030"/>
      <c r="G446" s="1030"/>
      <c r="H446" s="1186"/>
      <c r="I446" s="1030"/>
      <c r="J446" s="1030"/>
      <c r="K446" s="1030"/>
      <c r="L446" s="1030"/>
      <c r="M446" s="1030"/>
      <c r="N446" s="1030"/>
      <c r="O446" s="1030"/>
      <c r="P446" s="1030"/>
      <c r="Q446" s="1030"/>
      <c r="R446" s="1030"/>
      <c r="S446" s="1030"/>
      <c r="T446" s="1030"/>
      <c r="U446" s="1030"/>
      <c r="V446" s="1030"/>
      <c r="W446" s="1030"/>
      <c r="X446" s="1030"/>
      <c r="Y446" s="1030"/>
      <c r="Z446" s="1030"/>
    </row>
    <row r="447" spans="1:26" ht="12.75" customHeight="1">
      <c r="A447" s="1030"/>
      <c r="B447" s="1030"/>
      <c r="C447" s="1030"/>
      <c r="D447" s="1030"/>
      <c r="E447" s="1030"/>
      <c r="F447" s="1030"/>
      <c r="G447" s="1030"/>
      <c r="H447" s="1186"/>
      <c r="I447" s="1030"/>
      <c r="J447" s="1030"/>
      <c r="K447" s="1030"/>
      <c r="L447" s="1030"/>
      <c r="M447" s="1030"/>
      <c r="N447" s="1030"/>
      <c r="O447" s="1030"/>
      <c r="P447" s="1030"/>
      <c r="Q447" s="1030"/>
      <c r="R447" s="1030"/>
      <c r="S447" s="1030"/>
      <c r="T447" s="1030"/>
      <c r="U447" s="1030"/>
      <c r="V447" s="1030"/>
      <c r="W447" s="1030"/>
      <c r="X447" s="1030"/>
      <c r="Y447" s="1030"/>
      <c r="Z447" s="1030"/>
    </row>
    <row r="448" spans="1:26" ht="12.75" customHeight="1">
      <c r="A448" s="1030"/>
      <c r="B448" s="1030"/>
      <c r="C448" s="1030"/>
      <c r="D448" s="1030"/>
      <c r="E448" s="1030"/>
      <c r="F448" s="1030"/>
      <c r="G448" s="1030"/>
      <c r="H448" s="1186"/>
      <c r="I448" s="1030"/>
      <c r="J448" s="1030"/>
      <c r="K448" s="1030"/>
      <c r="L448" s="1030"/>
      <c r="M448" s="1030"/>
      <c r="N448" s="1030"/>
      <c r="O448" s="1030"/>
      <c r="P448" s="1030"/>
      <c r="Q448" s="1030"/>
      <c r="R448" s="1030"/>
      <c r="S448" s="1030"/>
      <c r="T448" s="1030"/>
      <c r="U448" s="1030"/>
      <c r="V448" s="1030"/>
      <c r="W448" s="1030"/>
      <c r="X448" s="1030"/>
      <c r="Y448" s="1030"/>
      <c r="Z448" s="1030"/>
    </row>
    <row r="449" spans="1:26" ht="12.75" customHeight="1">
      <c r="A449" s="1030"/>
      <c r="B449" s="1030"/>
      <c r="C449" s="1030"/>
      <c r="D449" s="1030"/>
      <c r="E449" s="1030"/>
      <c r="F449" s="1030"/>
      <c r="G449" s="1030"/>
      <c r="H449" s="1186"/>
      <c r="I449" s="1030"/>
      <c r="J449" s="1030"/>
      <c r="K449" s="1030"/>
      <c r="L449" s="1030"/>
      <c r="M449" s="1030"/>
      <c r="N449" s="1030"/>
      <c r="O449" s="1030"/>
      <c r="P449" s="1030"/>
      <c r="Q449" s="1030"/>
      <c r="R449" s="1030"/>
      <c r="S449" s="1030"/>
      <c r="T449" s="1030"/>
      <c r="U449" s="1030"/>
      <c r="V449" s="1030"/>
      <c r="W449" s="1030"/>
      <c r="X449" s="1030"/>
      <c r="Y449" s="1030"/>
      <c r="Z449" s="1030"/>
    </row>
    <row r="450" spans="1:26" ht="15.75" customHeight="1">
      <c r="A450" s="937"/>
      <c r="B450" s="937"/>
      <c r="C450" s="937"/>
      <c r="D450" s="937"/>
      <c r="E450" s="937"/>
      <c r="F450" s="937"/>
      <c r="G450" s="937"/>
      <c r="H450" s="937"/>
      <c r="I450" s="937"/>
      <c r="J450" s="937"/>
      <c r="K450" s="937"/>
      <c r="L450" s="937"/>
      <c r="M450" s="937"/>
      <c r="N450" s="937"/>
      <c r="O450" s="937"/>
      <c r="P450" s="937"/>
      <c r="Q450" s="937"/>
      <c r="R450" s="937"/>
      <c r="S450" s="937"/>
      <c r="T450" s="937"/>
      <c r="U450" s="937"/>
      <c r="V450" s="937"/>
      <c r="W450" s="937"/>
      <c r="X450" s="937"/>
      <c r="Y450" s="937"/>
      <c r="Z450" s="937"/>
    </row>
    <row r="451" spans="1:26" ht="15.75" customHeight="1">
      <c r="A451" s="937"/>
      <c r="B451" s="937"/>
      <c r="C451" s="937"/>
      <c r="D451" s="937"/>
      <c r="E451" s="937"/>
      <c r="F451" s="937"/>
      <c r="G451" s="937"/>
      <c r="H451" s="937"/>
      <c r="I451" s="937"/>
      <c r="J451" s="937"/>
      <c r="K451" s="937"/>
      <c r="L451" s="937"/>
      <c r="M451" s="937"/>
      <c r="N451" s="937"/>
      <c r="O451" s="937"/>
      <c r="P451" s="937"/>
      <c r="Q451" s="937"/>
      <c r="R451" s="937"/>
      <c r="S451" s="937"/>
      <c r="T451" s="937"/>
      <c r="U451" s="937"/>
      <c r="V451" s="937"/>
      <c r="W451" s="937"/>
      <c r="X451" s="937"/>
      <c r="Y451" s="937"/>
      <c r="Z451" s="937"/>
    </row>
    <row r="452" spans="1:26" ht="15.75" customHeight="1">
      <c r="A452" s="937"/>
      <c r="B452" s="937"/>
      <c r="C452" s="937"/>
      <c r="D452" s="937"/>
      <c r="E452" s="937"/>
      <c r="F452" s="937"/>
      <c r="G452" s="937"/>
      <c r="H452" s="937"/>
      <c r="I452" s="937"/>
      <c r="J452" s="937"/>
      <c r="K452" s="937"/>
      <c r="L452" s="937"/>
      <c r="M452" s="937"/>
      <c r="N452" s="937"/>
      <c r="O452" s="937"/>
      <c r="P452" s="937"/>
      <c r="Q452" s="937"/>
      <c r="R452" s="937"/>
      <c r="S452" s="937"/>
      <c r="T452" s="937"/>
      <c r="U452" s="937"/>
      <c r="V452" s="937"/>
      <c r="W452" s="937"/>
      <c r="X452" s="937"/>
      <c r="Y452" s="937"/>
      <c r="Z452" s="937"/>
    </row>
    <row r="453" spans="1:26" ht="15.75" customHeight="1">
      <c r="A453" s="937"/>
      <c r="B453" s="937"/>
      <c r="C453" s="937"/>
      <c r="D453" s="937"/>
      <c r="E453" s="937"/>
      <c r="F453" s="937"/>
      <c r="G453" s="937"/>
      <c r="H453" s="937"/>
      <c r="I453" s="937"/>
      <c r="J453" s="937"/>
      <c r="K453" s="937"/>
      <c r="L453" s="937"/>
      <c r="M453" s="937"/>
      <c r="N453" s="937"/>
      <c r="O453" s="937"/>
      <c r="P453" s="937"/>
      <c r="Q453" s="937"/>
      <c r="R453" s="937"/>
      <c r="S453" s="937"/>
      <c r="T453" s="937"/>
      <c r="U453" s="937"/>
      <c r="V453" s="937"/>
      <c r="W453" s="937"/>
      <c r="X453" s="937"/>
      <c r="Y453" s="937"/>
      <c r="Z453" s="937"/>
    </row>
    <row r="454" spans="1:26" ht="15.75" customHeight="1">
      <c r="A454" s="937"/>
      <c r="B454" s="937"/>
      <c r="C454" s="937"/>
      <c r="D454" s="937"/>
      <c r="E454" s="937"/>
      <c r="F454" s="937"/>
      <c r="G454" s="937"/>
      <c r="H454" s="937"/>
      <c r="I454" s="937"/>
      <c r="J454" s="937"/>
      <c r="K454" s="937"/>
      <c r="L454" s="937"/>
      <c r="M454" s="937"/>
      <c r="N454" s="937"/>
      <c r="O454" s="937"/>
      <c r="P454" s="937"/>
      <c r="Q454" s="937"/>
      <c r="R454" s="937"/>
      <c r="S454" s="937"/>
      <c r="T454" s="937"/>
      <c r="U454" s="937"/>
      <c r="V454" s="937"/>
      <c r="W454" s="937"/>
      <c r="X454" s="937"/>
      <c r="Y454" s="937"/>
      <c r="Z454" s="937"/>
    </row>
    <row r="455" spans="1:26" ht="15.75" customHeight="1">
      <c r="A455" s="937"/>
      <c r="B455" s="937"/>
      <c r="C455" s="937"/>
      <c r="D455" s="937"/>
      <c r="E455" s="937"/>
      <c r="F455" s="937"/>
      <c r="G455" s="937"/>
      <c r="H455" s="937"/>
      <c r="I455" s="937"/>
      <c r="J455" s="937"/>
      <c r="K455" s="937"/>
      <c r="L455" s="937"/>
      <c r="M455" s="937"/>
      <c r="N455" s="937"/>
      <c r="O455" s="937"/>
      <c r="P455" s="937"/>
      <c r="Q455" s="937"/>
      <c r="R455" s="937"/>
      <c r="S455" s="937"/>
      <c r="T455" s="937"/>
      <c r="U455" s="937"/>
      <c r="V455" s="937"/>
      <c r="W455" s="937"/>
      <c r="X455" s="937"/>
      <c r="Y455" s="937"/>
      <c r="Z455" s="937"/>
    </row>
    <row r="456" spans="1:26" ht="15.75" customHeight="1">
      <c r="A456" s="937"/>
      <c r="B456" s="937"/>
      <c r="C456" s="937"/>
      <c r="D456" s="937"/>
      <c r="E456" s="937"/>
      <c r="F456" s="937"/>
      <c r="G456" s="937"/>
      <c r="H456" s="937"/>
      <c r="I456" s="937"/>
      <c r="J456" s="937"/>
      <c r="K456" s="937"/>
      <c r="L456" s="937"/>
      <c r="M456" s="937"/>
      <c r="N456" s="937"/>
      <c r="O456" s="937"/>
      <c r="P456" s="937"/>
      <c r="Q456" s="937"/>
      <c r="R456" s="937"/>
      <c r="S456" s="937"/>
      <c r="T456" s="937"/>
      <c r="U456" s="937"/>
      <c r="V456" s="937"/>
      <c r="W456" s="937"/>
      <c r="X456" s="937"/>
      <c r="Y456" s="937"/>
      <c r="Z456" s="937"/>
    </row>
    <row r="457" spans="1:26" ht="15.75" customHeight="1">
      <c r="A457" s="937"/>
      <c r="B457" s="937"/>
      <c r="C457" s="937"/>
      <c r="D457" s="937"/>
      <c r="E457" s="937"/>
      <c r="F457" s="937"/>
      <c r="G457" s="937"/>
      <c r="H457" s="937"/>
      <c r="I457" s="937"/>
      <c r="J457" s="937"/>
      <c r="K457" s="937"/>
      <c r="L457" s="937"/>
      <c r="M457" s="937"/>
      <c r="N457" s="937"/>
      <c r="O457" s="937"/>
      <c r="P457" s="937"/>
      <c r="Q457" s="937"/>
      <c r="R457" s="937"/>
      <c r="S457" s="937"/>
      <c r="T457" s="937"/>
      <c r="U457" s="937"/>
      <c r="V457" s="937"/>
      <c r="W457" s="937"/>
      <c r="X457" s="937"/>
      <c r="Y457" s="937"/>
      <c r="Z457" s="937"/>
    </row>
    <row r="458" spans="1:26" ht="15.75" customHeight="1">
      <c r="A458" s="937"/>
      <c r="B458" s="937"/>
      <c r="C458" s="937"/>
      <c r="D458" s="937"/>
      <c r="E458" s="937"/>
      <c r="F458" s="937"/>
      <c r="G458" s="937"/>
      <c r="H458" s="937"/>
      <c r="I458" s="937"/>
      <c r="J458" s="937"/>
      <c r="K458" s="937"/>
      <c r="L458" s="937"/>
      <c r="M458" s="937"/>
      <c r="N458" s="937"/>
      <c r="O458" s="937"/>
      <c r="P458" s="937"/>
      <c r="Q458" s="937"/>
      <c r="R458" s="937"/>
      <c r="S458" s="937"/>
      <c r="T458" s="937"/>
      <c r="U458" s="937"/>
      <c r="V458" s="937"/>
      <c r="W458" s="937"/>
      <c r="X458" s="937"/>
      <c r="Y458" s="937"/>
      <c r="Z458" s="937"/>
    </row>
    <row r="459" spans="1:26" ht="15.75" customHeight="1">
      <c r="A459" s="937"/>
      <c r="B459" s="937"/>
      <c r="C459" s="937"/>
      <c r="D459" s="937"/>
      <c r="E459" s="937"/>
      <c r="F459" s="937"/>
      <c r="G459" s="937"/>
      <c r="H459" s="937"/>
      <c r="I459" s="937"/>
      <c r="J459" s="937"/>
      <c r="K459" s="937"/>
      <c r="L459" s="937"/>
      <c r="M459" s="937"/>
      <c r="N459" s="937"/>
      <c r="O459" s="937"/>
      <c r="P459" s="937"/>
      <c r="Q459" s="937"/>
      <c r="R459" s="937"/>
      <c r="S459" s="937"/>
      <c r="T459" s="937"/>
      <c r="U459" s="937"/>
      <c r="V459" s="937"/>
      <c r="W459" s="937"/>
      <c r="X459" s="937"/>
      <c r="Y459" s="937"/>
      <c r="Z459" s="937"/>
    </row>
    <row r="460" spans="1:26" ht="15.75" customHeight="1">
      <c r="A460" s="937"/>
      <c r="B460" s="937"/>
      <c r="C460" s="937"/>
      <c r="D460" s="937"/>
      <c r="E460" s="937"/>
      <c r="F460" s="937"/>
      <c r="G460" s="937"/>
      <c r="H460" s="937"/>
      <c r="I460" s="937"/>
      <c r="J460" s="937"/>
      <c r="K460" s="937"/>
      <c r="L460" s="937"/>
      <c r="M460" s="937"/>
      <c r="N460" s="937"/>
      <c r="O460" s="937"/>
      <c r="P460" s="937"/>
      <c r="Q460" s="937"/>
      <c r="R460" s="937"/>
      <c r="S460" s="937"/>
      <c r="T460" s="937"/>
      <c r="U460" s="937"/>
      <c r="V460" s="937"/>
      <c r="W460" s="937"/>
      <c r="X460" s="937"/>
      <c r="Y460" s="937"/>
      <c r="Z460" s="937"/>
    </row>
    <row r="461" spans="1:26" ht="15.75" customHeight="1">
      <c r="A461" s="937"/>
      <c r="B461" s="937"/>
      <c r="C461" s="937"/>
      <c r="D461" s="937"/>
      <c r="E461" s="937"/>
      <c r="F461" s="937"/>
      <c r="G461" s="937"/>
      <c r="H461" s="937"/>
      <c r="I461" s="937"/>
      <c r="J461" s="937"/>
      <c r="K461" s="937"/>
      <c r="L461" s="937"/>
      <c r="M461" s="937"/>
      <c r="N461" s="937"/>
      <c r="O461" s="937"/>
      <c r="P461" s="937"/>
      <c r="Q461" s="937"/>
      <c r="R461" s="937"/>
      <c r="S461" s="937"/>
      <c r="T461" s="937"/>
      <c r="U461" s="937"/>
      <c r="V461" s="937"/>
      <c r="W461" s="937"/>
      <c r="X461" s="937"/>
      <c r="Y461" s="937"/>
      <c r="Z461" s="937"/>
    </row>
    <row r="462" spans="1:26" ht="15.75" customHeight="1">
      <c r="A462" s="937"/>
      <c r="B462" s="937"/>
      <c r="C462" s="937"/>
      <c r="D462" s="937"/>
      <c r="E462" s="937"/>
      <c r="F462" s="937"/>
      <c r="G462" s="937"/>
      <c r="H462" s="937"/>
      <c r="I462" s="937"/>
      <c r="J462" s="937"/>
      <c r="K462" s="937"/>
      <c r="L462" s="937"/>
      <c r="M462" s="937"/>
      <c r="N462" s="937"/>
      <c r="O462" s="937"/>
      <c r="P462" s="937"/>
      <c r="Q462" s="937"/>
      <c r="R462" s="937"/>
      <c r="S462" s="937"/>
      <c r="T462" s="937"/>
      <c r="U462" s="937"/>
      <c r="V462" s="937"/>
      <c r="W462" s="937"/>
      <c r="X462" s="937"/>
      <c r="Y462" s="937"/>
      <c r="Z462" s="937"/>
    </row>
    <row r="463" spans="1:26" ht="15.75" customHeight="1">
      <c r="A463" s="937"/>
      <c r="B463" s="937"/>
      <c r="C463" s="937"/>
      <c r="D463" s="937"/>
      <c r="E463" s="937"/>
      <c r="F463" s="937"/>
      <c r="G463" s="937"/>
      <c r="H463" s="937"/>
      <c r="I463" s="937"/>
      <c r="J463" s="937"/>
      <c r="K463" s="937"/>
      <c r="L463" s="937"/>
      <c r="M463" s="937"/>
      <c r="N463" s="937"/>
      <c r="O463" s="937"/>
      <c r="P463" s="937"/>
      <c r="Q463" s="937"/>
      <c r="R463" s="937"/>
      <c r="S463" s="937"/>
      <c r="T463" s="937"/>
      <c r="U463" s="937"/>
      <c r="V463" s="937"/>
      <c r="W463" s="937"/>
      <c r="X463" s="937"/>
      <c r="Y463" s="937"/>
      <c r="Z463" s="937"/>
    </row>
    <row r="464" spans="1:26" ht="15.75" customHeight="1">
      <c r="A464" s="937"/>
      <c r="B464" s="937"/>
      <c r="C464" s="937"/>
      <c r="D464" s="937"/>
      <c r="E464" s="937"/>
      <c r="F464" s="937"/>
      <c r="G464" s="937"/>
      <c r="H464" s="937"/>
      <c r="I464" s="937"/>
      <c r="J464" s="937"/>
      <c r="K464" s="937"/>
      <c r="L464" s="937"/>
      <c r="M464" s="937"/>
      <c r="N464" s="937"/>
      <c r="O464" s="937"/>
      <c r="P464" s="937"/>
      <c r="Q464" s="937"/>
      <c r="R464" s="937"/>
      <c r="S464" s="937"/>
      <c r="T464" s="937"/>
      <c r="U464" s="937"/>
      <c r="V464" s="937"/>
      <c r="W464" s="937"/>
      <c r="X464" s="937"/>
      <c r="Y464" s="937"/>
      <c r="Z464" s="937"/>
    </row>
    <row r="465" spans="1:26" ht="15.75" customHeight="1">
      <c r="A465" s="937"/>
      <c r="B465" s="937"/>
      <c r="C465" s="937"/>
      <c r="D465" s="937"/>
      <c r="E465" s="937"/>
      <c r="F465" s="937"/>
      <c r="G465" s="937"/>
      <c r="H465" s="937"/>
      <c r="I465" s="937"/>
      <c r="J465" s="937"/>
      <c r="K465" s="937"/>
      <c r="L465" s="937"/>
      <c r="M465" s="937"/>
      <c r="N465" s="937"/>
      <c r="O465" s="937"/>
      <c r="P465" s="937"/>
      <c r="Q465" s="937"/>
      <c r="R465" s="937"/>
      <c r="S465" s="937"/>
      <c r="T465" s="937"/>
      <c r="U465" s="937"/>
      <c r="V465" s="937"/>
      <c r="W465" s="937"/>
      <c r="X465" s="937"/>
      <c r="Y465" s="937"/>
      <c r="Z465" s="937"/>
    </row>
    <row r="466" spans="1:26" ht="15.75" customHeight="1">
      <c r="A466" s="937"/>
      <c r="B466" s="937"/>
      <c r="C466" s="937"/>
      <c r="D466" s="937"/>
      <c r="E466" s="937"/>
      <c r="F466" s="937"/>
      <c r="G466" s="937"/>
      <c r="H466" s="937"/>
      <c r="I466" s="937"/>
      <c r="J466" s="937"/>
      <c r="K466" s="937"/>
      <c r="L466" s="937"/>
      <c r="M466" s="937"/>
      <c r="N466" s="937"/>
      <c r="O466" s="937"/>
      <c r="P466" s="937"/>
      <c r="Q466" s="937"/>
      <c r="R466" s="937"/>
      <c r="S466" s="937"/>
      <c r="T466" s="937"/>
      <c r="U466" s="937"/>
      <c r="V466" s="937"/>
      <c r="W466" s="937"/>
      <c r="X466" s="937"/>
      <c r="Y466" s="937"/>
      <c r="Z466" s="937"/>
    </row>
    <row r="467" spans="1:26" ht="15.75" customHeight="1">
      <c r="A467" s="937"/>
      <c r="B467" s="937"/>
      <c r="C467" s="937"/>
      <c r="D467" s="937"/>
      <c r="E467" s="937"/>
      <c r="F467" s="937"/>
      <c r="G467" s="937"/>
      <c r="H467" s="937"/>
      <c r="I467" s="937"/>
      <c r="J467" s="937"/>
      <c r="K467" s="937"/>
      <c r="L467" s="937"/>
      <c r="M467" s="937"/>
      <c r="N467" s="937"/>
      <c r="O467" s="937"/>
      <c r="P467" s="937"/>
      <c r="Q467" s="937"/>
      <c r="R467" s="937"/>
      <c r="S467" s="937"/>
      <c r="T467" s="937"/>
      <c r="U467" s="937"/>
      <c r="V467" s="937"/>
      <c r="W467" s="937"/>
      <c r="X467" s="937"/>
      <c r="Y467" s="937"/>
      <c r="Z467" s="937"/>
    </row>
    <row r="468" spans="1:26" ht="15.75" customHeight="1">
      <c r="A468" s="937"/>
      <c r="B468" s="937"/>
      <c r="C468" s="937"/>
      <c r="D468" s="937"/>
      <c r="E468" s="937"/>
      <c r="F468" s="937"/>
      <c r="G468" s="937"/>
      <c r="H468" s="937"/>
      <c r="I468" s="937"/>
      <c r="J468" s="937"/>
      <c r="K468" s="937"/>
      <c r="L468" s="937"/>
      <c r="M468" s="937"/>
      <c r="N468" s="937"/>
      <c r="O468" s="937"/>
      <c r="P468" s="937"/>
      <c r="Q468" s="937"/>
      <c r="R468" s="937"/>
      <c r="S468" s="937"/>
      <c r="T468" s="937"/>
      <c r="U468" s="937"/>
      <c r="V468" s="937"/>
      <c r="W468" s="937"/>
      <c r="X468" s="937"/>
      <c r="Y468" s="937"/>
      <c r="Z468" s="937"/>
    </row>
    <row r="469" spans="1:26" ht="15.75" customHeight="1">
      <c r="A469" s="937"/>
      <c r="B469" s="937"/>
      <c r="C469" s="937"/>
      <c r="D469" s="937"/>
      <c r="E469" s="937"/>
      <c r="F469" s="937"/>
      <c r="G469" s="937"/>
      <c r="H469" s="937"/>
      <c r="I469" s="937"/>
      <c r="J469" s="937"/>
      <c r="K469" s="937"/>
      <c r="L469" s="937"/>
      <c r="M469" s="937"/>
      <c r="N469" s="937"/>
      <c r="O469" s="937"/>
      <c r="P469" s="937"/>
      <c r="Q469" s="937"/>
      <c r="R469" s="937"/>
      <c r="S469" s="937"/>
      <c r="T469" s="937"/>
      <c r="U469" s="937"/>
      <c r="V469" s="937"/>
      <c r="W469" s="937"/>
      <c r="X469" s="937"/>
      <c r="Y469" s="937"/>
      <c r="Z469" s="937"/>
    </row>
    <row r="470" spans="1:26" ht="15.75" customHeight="1">
      <c r="A470" s="937"/>
      <c r="B470" s="937"/>
      <c r="C470" s="937"/>
      <c r="D470" s="937"/>
      <c r="E470" s="937"/>
      <c r="F470" s="937"/>
      <c r="G470" s="937"/>
      <c r="H470" s="937"/>
      <c r="I470" s="937"/>
      <c r="J470" s="937"/>
      <c r="K470" s="937"/>
      <c r="L470" s="937"/>
      <c r="M470" s="937"/>
      <c r="N470" s="937"/>
      <c r="O470" s="937"/>
      <c r="P470" s="937"/>
      <c r="Q470" s="937"/>
      <c r="R470" s="937"/>
      <c r="S470" s="937"/>
      <c r="T470" s="937"/>
      <c r="U470" s="937"/>
      <c r="V470" s="937"/>
      <c r="W470" s="937"/>
      <c r="X470" s="937"/>
      <c r="Y470" s="937"/>
      <c r="Z470" s="937"/>
    </row>
    <row r="471" spans="1:26" ht="15.75" customHeight="1">
      <c r="A471" s="937"/>
      <c r="B471" s="937"/>
      <c r="C471" s="937"/>
      <c r="D471" s="937"/>
      <c r="E471" s="937"/>
      <c r="F471" s="937"/>
      <c r="G471" s="937"/>
      <c r="H471" s="937"/>
      <c r="I471" s="937"/>
      <c r="J471" s="937"/>
      <c r="K471" s="937"/>
      <c r="L471" s="937"/>
      <c r="M471" s="937"/>
      <c r="N471" s="937"/>
      <c r="O471" s="937"/>
      <c r="P471" s="937"/>
      <c r="Q471" s="937"/>
      <c r="R471" s="937"/>
      <c r="S471" s="937"/>
      <c r="T471" s="937"/>
      <c r="U471" s="937"/>
      <c r="V471" s="937"/>
      <c r="W471" s="937"/>
      <c r="X471" s="937"/>
      <c r="Y471" s="937"/>
      <c r="Z471" s="937"/>
    </row>
    <row r="472" spans="1:26" ht="15.75" customHeight="1">
      <c r="A472" s="937"/>
      <c r="B472" s="937"/>
      <c r="C472" s="937"/>
      <c r="D472" s="937"/>
      <c r="E472" s="937"/>
      <c r="F472" s="937"/>
      <c r="G472" s="937"/>
      <c r="H472" s="937"/>
      <c r="I472" s="937"/>
      <c r="J472" s="937"/>
      <c r="K472" s="937"/>
      <c r="L472" s="937"/>
      <c r="M472" s="937"/>
      <c r="N472" s="937"/>
      <c r="O472" s="937"/>
      <c r="P472" s="937"/>
      <c r="Q472" s="937"/>
      <c r="R472" s="937"/>
      <c r="S472" s="937"/>
      <c r="T472" s="937"/>
      <c r="U472" s="937"/>
      <c r="V472" s="937"/>
      <c r="W472" s="937"/>
      <c r="X472" s="937"/>
      <c r="Y472" s="937"/>
      <c r="Z472" s="937"/>
    </row>
    <row r="473" spans="1:26" ht="15.75" customHeight="1">
      <c r="A473" s="937"/>
      <c r="B473" s="937"/>
      <c r="C473" s="937"/>
      <c r="D473" s="937"/>
      <c r="E473" s="937"/>
      <c r="F473" s="937"/>
      <c r="G473" s="937"/>
      <c r="H473" s="937"/>
      <c r="I473" s="937"/>
      <c r="J473" s="937"/>
      <c r="K473" s="937"/>
      <c r="L473" s="937"/>
      <c r="M473" s="937"/>
      <c r="N473" s="937"/>
      <c r="O473" s="937"/>
      <c r="P473" s="937"/>
      <c r="Q473" s="937"/>
      <c r="R473" s="937"/>
      <c r="S473" s="937"/>
      <c r="T473" s="937"/>
      <c r="U473" s="937"/>
      <c r="V473" s="937"/>
      <c r="W473" s="937"/>
      <c r="X473" s="937"/>
      <c r="Y473" s="937"/>
      <c r="Z473" s="937"/>
    </row>
    <row r="474" spans="1:26" ht="15.75" customHeight="1">
      <c r="A474" s="937"/>
      <c r="B474" s="937"/>
      <c r="C474" s="937"/>
      <c r="D474" s="937"/>
      <c r="E474" s="937"/>
      <c r="F474" s="937"/>
      <c r="G474" s="937"/>
      <c r="H474" s="937"/>
      <c r="I474" s="937"/>
      <c r="J474" s="937"/>
      <c r="K474" s="937"/>
      <c r="L474" s="937"/>
      <c r="M474" s="937"/>
      <c r="N474" s="937"/>
      <c r="O474" s="937"/>
      <c r="P474" s="937"/>
      <c r="Q474" s="937"/>
      <c r="R474" s="937"/>
      <c r="S474" s="937"/>
      <c r="T474" s="937"/>
      <c r="U474" s="937"/>
      <c r="V474" s="937"/>
      <c r="W474" s="937"/>
      <c r="X474" s="937"/>
      <c r="Y474" s="937"/>
      <c r="Z474" s="937"/>
    </row>
    <row r="475" spans="1:26" ht="15.75" customHeight="1">
      <c r="A475" s="937"/>
      <c r="B475" s="937"/>
      <c r="C475" s="937"/>
      <c r="D475" s="937"/>
      <c r="E475" s="937"/>
      <c r="F475" s="937"/>
      <c r="G475" s="937"/>
      <c r="H475" s="937"/>
      <c r="I475" s="937"/>
      <c r="J475" s="937"/>
      <c r="K475" s="937"/>
      <c r="L475" s="937"/>
      <c r="M475" s="937"/>
      <c r="N475" s="937"/>
      <c r="O475" s="937"/>
      <c r="P475" s="937"/>
      <c r="Q475" s="937"/>
      <c r="R475" s="937"/>
      <c r="S475" s="937"/>
      <c r="T475" s="937"/>
      <c r="U475" s="937"/>
      <c r="V475" s="937"/>
      <c r="W475" s="937"/>
      <c r="X475" s="937"/>
      <c r="Y475" s="937"/>
      <c r="Z475" s="937"/>
    </row>
    <row r="476" spans="1:26" ht="15.75" customHeight="1">
      <c r="A476" s="937"/>
      <c r="B476" s="937"/>
      <c r="C476" s="937"/>
      <c r="D476" s="937"/>
      <c r="E476" s="937"/>
      <c r="F476" s="937"/>
      <c r="G476" s="937"/>
      <c r="H476" s="937"/>
      <c r="I476" s="937"/>
      <c r="J476" s="937"/>
      <c r="K476" s="937"/>
      <c r="L476" s="937"/>
      <c r="M476" s="937"/>
      <c r="N476" s="937"/>
      <c r="O476" s="937"/>
      <c r="P476" s="937"/>
      <c r="Q476" s="937"/>
      <c r="R476" s="937"/>
      <c r="S476" s="937"/>
      <c r="T476" s="937"/>
      <c r="U476" s="937"/>
      <c r="V476" s="937"/>
      <c r="W476" s="937"/>
      <c r="X476" s="937"/>
      <c r="Y476" s="937"/>
      <c r="Z476" s="937"/>
    </row>
    <row r="477" spans="1:26" ht="15.75" customHeight="1">
      <c r="A477" s="937"/>
      <c r="B477" s="937"/>
      <c r="C477" s="937"/>
      <c r="D477" s="937"/>
      <c r="E477" s="937"/>
      <c r="F477" s="937"/>
      <c r="G477" s="937"/>
      <c r="H477" s="937"/>
      <c r="I477" s="937"/>
      <c r="J477" s="937"/>
      <c r="K477" s="937"/>
      <c r="L477" s="937"/>
      <c r="M477" s="937"/>
      <c r="N477" s="937"/>
      <c r="O477" s="937"/>
      <c r="P477" s="937"/>
      <c r="Q477" s="937"/>
      <c r="R477" s="937"/>
      <c r="S477" s="937"/>
      <c r="T477" s="937"/>
      <c r="U477" s="937"/>
      <c r="V477" s="937"/>
      <c r="W477" s="937"/>
      <c r="X477" s="937"/>
      <c r="Y477" s="937"/>
      <c r="Z477" s="937"/>
    </row>
    <row r="478" spans="1:26" ht="15.75" customHeight="1">
      <c r="A478" s="937"/>
      <c r="B478" s="937"/>
      <c r="C478" s="937"/>
      <c r="D478" s="937"/>
      <c r="E478" s="937"/>
      <c r="F478" s="937"/>
      <c r="G478" s="937"/>
      <c r="H478" s="937"/>
      <c r="I478" s="937"/>
      <c r="J478" s="937"/>
      <c r="K478" s="937"/>
      <c r="L478" s="937"/>
      <c r="M478" s="937"/>
      <c r="N478" s="937"/>
      <c r="O478" s="937"/>
      <c r="P478" s="937"/>
      <c r="Q478" s="937"/>
      <c r="R478" s="937"/>
      <c r="S478" s="937"/>
      <c r="T478" s="937"/>
      <c r="U478" s="937"/>
      <c r="V478" s="937"/>
      <c r="W478" s="937"/>
      <c r="X478" s="937"/>
      <c r="Y478" s="937"/>
      <c r="Z478" s="937"/>
    </row>
    <row r="479" spans="1:26" ht="15.75" customHeight="1">
      <c r="A479" s="937"/>
      <c r="B479" s="937"/>
      <c r="C479" s="937"/>
      <c r="D479" s="937"/>
      <c r="E479" s="937"/>
      <c r="F479" s="937"/>
      <c r="G479" s="937"/>
      <c r="H479" s="937"/>
      <c r="I479" s="937"/>
      <c r="J479" s="937"/>
      <c r="K479" s="937"/>
      <c r="L479" s="937"/>
      <c r="M479" s="937"/>
      <c r="N479" s="937"/>
      <c r="O479" s="937"/>
      <c r="P479" s="937"/>
      <c r="Q479" s="937"/>
      <c r="R479" s="937"/>
      <c r="S479" s="937"/>
      <c r="T479" s="937"/>
      <c r="U479" s="937"/>
      <c r="V479" s="937"/>
      <c r="W479" s="937"/>
      <c r="X479" s="937"/>
      <c r="Y479" s="937"/>
      <c r="Z479" s="937"/>
    </row>
    <row r="480" spans="1:26" ht="15.75" customHeight="1">
      <c r="A480" s="937"/>
      <c r="B480" s="937"/>
      <c r="C480" s="937"/>
      <c r="D480" s="937"/>
      <c r="E480" s="937"/>
      <c r="F480" s="937"/>
      <c r="G480" s="937"/>
      <c r="H480" s="937"/>
      <c r="I480" s="937"/>
      <c r="J480" s="937"/>
      <c r="K480" s="937"/>
      <c r="L480" s="937"/>
      <c r="M480" s="937"/>
      <c r="N480" s="937"/>
      <c r="O480" s="937"/>
      <c r="P480" s="937"/>
      <c r="Q480" s="937"/>
      <c r="R480" s="937"/>
      <c r="S480" s="937"/>
      <c r="T480" s="937"/>
      <c r="U480" s="937"/>
      <c r="V480" s="937"/>
      <c r="W480" s="937"/>
      <c r="X480" s="937"/>
      <c r="Y480" s="937"/>
      <c r="Z480" s="937"/>
    </row>
    <row r="481" spans="1:26" ht="15.75" customHeight="1">
      <c r="A481" s="937"/>
      <c r="B481" s="937"/>
      <c r="C481" s="937"/>
      <c r="D481" s="937"/>
      <c r="E481" s="937"/>
      <c r="F481" s="937"/>
      <c r="G481" s="937"/>
      <c r="H481" s="937"/>
      <c r="I481" s="937"/>
      <c r="J481" s="937"/>
      <c r="K481" s="937"/>
      <c r="L481" s="937"/>
      <c r="M481" s="937"/>
      <c r="N481" s="937"/>
      <c r="O481" s="937"/>
      <c r="P481" s="937"/>
      <c r="Q481" s="937"/>
      <c r="R481" s="937"/>
      <c r="S481" s="937"/>
      <c r="T481" s="937"/>
      <c r="U481" s="937"/>
      <c r="V481" s="937"/>
      <c r="W481" s="937"/>
      <c r="X481" s="937"/>
      <c r="Y481" s="937"/>
      <c r="Z481" s="937"/>
    </row>
    <row r="482" spans="1:26" ht="15.75" customHeight="1">
      <c r="A482" s="937"/>
      <c r="B482" s="937"/>
      <c r="C482" s="937"/>
      <c r="D482" s="937"/>
      <c r="E482" s="937"/>
      <c r="F482" s="937"/>
      <c r="G482" s="937"/>
      <c r="H482" s="937"/>
      <c r="I482" s="937"/>
      <c r="J482" s="937"/>
      <c r="K482" s="937"/>
      <c r="L482" s="937"/>
      <c r="M482" s="937"/>
      <c r="N482" s="937"/>
      <c r="O482" s="937"/>
      <c r="P482" s="937"/>
      <c r="Q482" s="937"/>
      <c r="R482" s="937"/>
      <c r="S482" s="937"/>
      <c r="T482" s="937"/>
      <c r="U482" s="937"/>
      <c r="V482" s="937"/>
      <c r="W482" s="937"/>
      <c r="X482" s="937"/>
      <c r="Y482" s="937"/>
      <c r="Z482" s="937"/>
    </row>
    <row r="483" spans="1:26" ht="15.75" customHeight="1">
      <c r="A483" s="937"/>
      <c r="B483" s="937"/>
      <c r="C483" s="937"/>
      <c r="D483" s="937"/>
      <c r="E483" s="937"/>
      <c r="F483" s="937"/>
      <c r="G483" s="937"/>
      <c r="H483" s="937"/>
      <c r="I483" s="937"/>
      <c r="J483" s="937"/>
      <c r="K483" s="937"/>
      <c r="L483" s="937"/>
      <c r="M483" s="937"/>
      <c r="N483" s="937"/>
      <c r="O483" s="937"/>
      <c r="P483" s="937"/>
      <c r="Q483" s="937"/>
      <c r="R483" s="937"/>
      <c r="S483" s="937"/>
      <c r="T483" s="937"/>
      <c r="U483" s="937"/>
      <c r="V483" s="937"/>
      <c r="W483" s="937"/>
      <c r="X483" s="937"/>
      <c r="Y483" s="937"/>
      <c r="Z483" s="937"/>
    </row>
    <row r="484" spans="1:26" ht="15.75" customHeight="1">
      <c r="A484" s="937"/>
      <c r="B484" s="937"/>
      <c r="C484" s="937"/>
      <c r="D484" s="937"/>
      <c r="E484" s="937"/>
      <c r="F484" s="937"/>
      <c r="G484" s="937"/>
      <c r="H484" s="937"/>
      <c r="I484" s="937"/>
      <c r="J484" s="937"/>
      <c r="K484" s="937"/>
      <c r="L484" s="937"/>
      <c r="M484" s="937"/>
      <c r="N484" s="937"/>
      <c r="O484" s="937"/>
      <c r="P484" s="937"/>
      <c r="Q484" s="937"/>
      <c r="R484" s="937"/>
      <c r="S484" s="937"/>
      <c r="T484" s="937"/>
      <c r="U484" s="937"/>
      <c r="V484" s="937"/>
      <c r="W484" s="937"/>
      <c r="X484" s="937"/>
      <c r="Y484" s="937"/>
      <c r="Z484" s="937"/>
    </row>
    <row r="485" spans="1:26" ht="15.75" customHeight="1">
      <c r="A485" s="937"/>
      <c r="B485" s="937"/>
      <c r="C485" s="937"/>
      <c r="D485" s="937"/>
      <c r="E485" s="937"/>
      <c r="F485" s="937"/>
      <c r="G485" s="937"/>
      <c r="H485" s="937"/>
      <c r="I485" s="937"/>
      <c r="J485" s="937"/>
      <c r="K485" s="937"/>
      <c r="L485" s="937"/>
      <c r="M485" s="937"/>
      <c r="N485" s="937"/>
      <c r="O485" s="937"/>
      <c r="P485" s="937"/>
      <c r="Q485" s="937"/>
      <c r="R485" s="937"/>
      <c r="S485" s="937"/>
      <c r="T485" s="937"/>
      <c r="U485" s="937"/>
      <c r="V485" s="937"/>
      <c r="W485" s="937"/>
      <c r="X485" s="937"/>
      <c r="Y485" s="937"/>
      <c r="Z485" s="937"/>
    </row>
    <row r="486" spans="1:26" ht="15.75" customHeight="1">
      <c r="A486" s="937"/>
      <c r="B486" s="937"/>
      <c r="C486" s="937"/>
      <c r="D486" s="937"/>
      <c r="E486" s="937"/>
      <c r="F486" s="937"/>
      <c r="G486" s="937"/>
      <c r="H486" s="937"/>
      <c r="I486" s="937"/>
      <c r="J486" s="937"/>
      <c r="K486" s="937"/>
      <c r="L486" s="937"/>
      <c r="M486" s="937"/>
      <c r="N486" s="937"/>
      <c r="O486" s="937"/>
      <c r="P486" s="937"/>
      <c r="Q486" s="937"/>
      <c r="R486" s="937"/>
      <c r="S486" s="937"/>
      <c r="T486" s="937"/>
      <c r="U486" s="937"/>
      <c r="V486" s="937"/>
      <c r="W486" s="937"/>
      <c r="X486" s="937"/>
      <c r="Y486" s="937"/>
      <c r="Z486" s="937"/>
    </row>
    <row r="487" spans="1:26" ht="15.75" customHeight="1">
      <c r="A487" s="937"/>
      <c r="B487" s="937"/>
      <c r="C487" s="937"/>
      <c r="D487" s="937"/>
      <c r="E487" s="937"/>
      <c r="F487" s="937"/>
      <c r="G487" s="937"/>
      <c r="H487" s="937"/>
      <c r="I487" s="937"/>
      <c r="J487" s="937"/>
      <c r="K487" s="937"/>
      <c r="L487" s="937"/>
      <c r="M487" s="937"/>
      <c r="N487" s="937"/>
      <c r="O487" s="937"/>
      <c r="P487" s="937"/>
      <c r="Q487" s="937"/>
      <c r="R487" s="937"/>
      <c r="S487" s="937"/>
      <c r="T487" s="937"/>
      <c r="U487" s="937"/>
      <c r="V487" s="937"/>
      <c r="W487" s="937"/>
      <c r="X487" s="937"/>
      <c r="Y487" s="937"/>
      <c r="Z487" s="937"/>
    </row>
    <row r="488" spans="1:26" ht="15.75" customHeight="1">
      <c r="A488" s="937"/>
      <c r="B488" s="937"/>
      <c r="C488" s="937"/>
      <c r="D488" s="937"/>
      <c r="E488" s="937"/>
      <c r="F488" s="937"/>
      <c r="G488" s="937"/>
      <c r="H488" s="937"/>
      <c r="I488" s="937"/>
      <c r="J488" s="937"/>
      <c r="K488" s="937"/>
      <c r="L488" s="937"/>
      <c r="M488" s="937"/>
      <c r="N488" s="937"/>
      <c r="O488" s="937"/>
      <c r="P488" s="937"/>
      <c r="Q488" s="937"/>
      <c r="R488" s="937"/>
      <c r="S488" s="937"/>
      <c r="T488" s="937"/>
      <c r="U488" s="937"/>
      <c r="V488" s="937"/>
      <c r="W488" s="937"/>
      <c r="X488" s="937"/>
      <c r="Y488" s="937"/>
      <c r="Z488" s="937"/>
    </row>
    <row r="489" spans="1:26" ht="15.75" customHeight="1">
      <c r="A489" s="937"/>
      <c r="B489" s="937"/>
      <c r="C489" s="937"/>
      <c r="D489" s="937"/>
      <c r="E489" s="937"/>
      <c r="F489" s="937"/>
      <c r="G489" s="937"/>
      <c r="H489" s="937"/>
      <c r="I489" s="937"/>
      <c r="J489" s="937"/>
      <c r="K489" s="937"/>
      <c r="L489" s="937"/>
      <c r="M489" s="937"/>
      <c r="N489" s="937"/>
      <c r="O489" s="937"/>
      <c r="P489" s="937"/>
      <c r="Q489" s="937"/>
      <c r="R489" s="937"/>
      <c r="S489" s="937"/>
      <c r="T489" s="937"/>
      <c r="U489" s="937"/>
      <c r="V489" s="937"/>
      <c r="W489" s="937"/>
      <c r="X489" s="937"/>
      <c r="Y489" s="937"/>
      <c r="Z489" s="937"/>
    </row>
    <row r="490" spans="1:26" ht="15.75" customHeight="1">
      <c r="A490" s="937"/>
      <c r="B490" s="937"/>
      <c r="C490" s="937"/>
      <c r="D490" s="937"/>
      <c r="E490" s="937"/>
      <c r="F490" s="937"/>
      <c r="G490" s="937"/>
      <c r="H490" s="937"/>
      <c r="I490" s="937"/>
      <c r="J490" s="937"/>
      <c r="K490" s="937"/>
      <c r="L490" s="937"/>
      <c r="M490" s="937"/>
      <c r="N490" s="937"/>
      <c r="O490" s="937"/>
      <c r="P490" s="937"/>
      <c r="Q490" s="937"/>
      <c r="R490" s="937"/>
      <c r="S490" s="937"/>
      <c r="T490" s="937"/>
      <c r="U490" s="937"/>
      <c r="V490" s="937"/>
      <c r="W490" s="937"/>
      <c r="X490" s="937"/>
      <c r="Y490" s="937"/>
      <c r="Z490" s="937"/>
    </row>
    <row r="491" spans="1:26" ht="15.75" customHeight="1">
      <c r="A491" s="937"/>
      <c r="B491" s="937"/>
      <c r="C491" s="937"/>
      <c r="D491" s="937"/>
      <c r="E491" s="937"/>
      <c r="F491" s="937"/>
      <c r="G491" s="937"/>
      <c r="H491" s="937"/>
      <c r="I491" s="937"/>
      <c r="J491" s="937"/>
      <c r="K491" s="937"/>
      <c r="L491" s="937"/>
      <c r="M491" s="937"/>
      <c r="N491" s="937"/>
      <c r="O491" s="937"/>
      <c r="P491" s="937"/>
      <c r="Q491" s="937"/>
      <c r="R491" s="937"/>
      <c r="S491" s="937"/>
      <c r="T491" s="937"/>
      <c r="U491" s="937"/>
      <c r="V491" s="937"/>
      <c r="W491" s="937"/>
      <c r="X491" s="937"/>
      <c r="Y491" s="937"/>
      <c r="Z491" s="937"/>
    </row>
    <row r="492" spans="1:26" ht="15.75" customHeight="1">
      <c r="A492" s="937"/>
      <c r="B492" s="937"/>
      <c r="C492" s="937"/>
      <c r="D492" s="937"/>
      <c r="E492" s="937"/>
      <c r="F492" s="937"/>
      <c r="G492" s="937"/>
      <c r="H492" s="937"/>
      <c r="I492" s="937"/>
      <c r="J492" s="937"/>
      <c r="K492" s="937"/>
      <c r="L492" s="937"/>
      <c r="M492" s="937"/>
      <c r="N492" s="937"/>
      <c r="O492" s="937"/>
      <c r="P492" s="937"/>
      <c r="Q492" s="937"/>
      <c r="R492" s="937"/>
      <c r="S492" s="937"/>
      <c r="T492" s="937"/>
      <c r="U492" s="937"/>
      <c r="V492" s="937"/>
      <c r="W492" s="937"/>
      <c r="X492" s="937"/>
      <c r="Y492" s="937"/>
      <c r="Z492" s="937"/>
    </row>
    <row r="493" spans="1:26" ht="15.75" customHeight="1">
      <c r="A493" s="937"/>
      <c r="B493" s="937"/>
      <c r="C493" s="937"/>
      <c r="D493" s="937"/>
      <c r="E493" s="937"/>
      <c r="F493" s="937"/>
      <c r="G493" s="937"/>
      <c r="H493" s="937"/>
      <c r="I493" s="937"/>
      <c r="J493" s="937"/>
      <c r="K493" s="937"/>
      <c r="L493" s="937"/>
      <c r="M493" s="937"/>
      <c r="N493" s="937"/>
      <c r="O493" s="937"/>
      <c r="P493" s="937"/>
      <c r="Q493" s="937"/>
      <c r="R493" s="937"/>
      <c r="S493" s="937"/>
      <c r="T493" s="937"/>
      <c r="U493" s="937"/>
      <c r="V493" s="937"/>
      <c r="W493" s="937"/>
      <c r="X493" s="937"/>
      <c r="Y493" s="937"/>
      <c r="Z493" s="937"/>
    </row>
    <row r="494" spans="1:26" ht="15.75" customHeight="1">
      <c r="A494" s="937"/>
      <c r="B494" s="937"/>
      <c r="C494" s="937"/>
      <c r="D494" s="937"/>
      <c r="E494" s="937"/>
      <c r="F494" s="937"/>
      <c r="G494" s="937"/>
      <c r="H494" s="937"/>
      <c r="I494" s="937"/>
      <c r="J494" s="937"/>
      <c r="K494" s="937"/>
      <c r="L494" s="937"/>
      <c r="M494" s="937"/>
      <c r="N494" s="937"/>
      <c r="O494" s="937"/>
      <c r="P494" s="937"/>
      <c r="Q494" s="937"/>
      <c r="R494" s="937"/>
      <c r="S494" s="937"/>
      <c r="T494" s="937"/>
      <c r="U494" s="937"/>
      <c r="V494" s="937"/>
      <c r="W494" s="937"/>
      <c r="X494" s="937"/>
      <c r="Y494" s="937"/>
      <c r="Z494" s="937"/>
    </row>
    <row r="495" spans="1:26" ht="15.75" customHeight="1">
      <c r="A495" s="937"/>
      <c r="B495" s="937"/>
      <c r="C495" s="937"/>
      <c r="D495" s="937"/>
      <c r="E495" s="937"/>
      <c r="F495" s="937"/>
      <c r="G495" s="937"/>
      <c r="H495" s="937"/>
      <c r="I495" s="937"/>
      <c r="J495" s="937"/>
      <c r="K495" s="937"/>
      <c r="L495" s="937"/>
      <c r="M495" s="937"/>
      <c r="N495" s="937"/>
      <c r="O495" s="937"/>
      <c r="P495" s="937"/>
      <c r="Q495" s="937"/>
      <c r="R495" s="937"/>
      <c r="S495" s="937"/>
      <c r="T495" s="937"/>
      <c r="U495" s="937"/>
      <c r="V495" s="937"/>
      <c r="W495" s="937"/>
      <c r="X495" s="937"/>
      <c r="Y495" s="937"/>
      <c r="Z495" s="937"/>
    </row>
    <row r="496" spans="1:26" ht="15.75" customHeight="1">
      <c r="A496" s="937"/>
      <c r="B496" s="937"/>
      <c r="C496" s="937"/>
      <c r="D496" s="937"/>
      <c r="E496" s="937"/>
      <c r="F496" s="937"/>
      <c r="G496" s="937"/>
      <c r="H496" s="937"/>
      <c r="I496" s="937"/>
      <c r="J496" s="937"/>
      <c r="K496" s="937"/>
      <c r="L496" s="937"/>
      <c r="M496" s="937"/>
      <c r="N496" s="937"/>
      <c r="O496" s="937"/>
      <c r="P496" s="937"/>
      <c r="Q496" s="937"/>
      <c r="R496" s="937"/>
      <c r="S496" s="937"/>
      <c r="T496" s="937"/>
      <c r="U496" s="937"/>
      <c r="V496" s="937"/>
      <c r="W496" s="937"/>
      <c r="X496" s="937"/>
      <c r="Y496" s="937"/>
      <c r="Z496" s="937"/>
    </row>
    <row r="497" spans="1:26" ht="15.75" customHeight="1">
      <c r="A497" s="937"/>
      <c r="B497" s="937"/>
      <c r="C497" s="937"/>
      <c r="D497" s="937"/>
      <c r="E497" s="937"/>
      <c r="F497" s="937"/>
      <c r="G497" s="937"/>
      <c r="H497" s="937"/>
      <c r="I497" s="937"/>
      <c r="J497" s="937"/>
      <c r="K497" s="937"/>
      <c r="L497" s="937"/>
      <c r="M497" s="937"/>
      <c r="N497" s="937"/>
      <c r="O497" s="937"/>
      <c r="P497" s="937"/>
      <c r="Q497" s="937"/>
      <c r="R497" s="937"/>
      <c r="S497" s="937"/>
      <c r="T497" s="937"/>
      <c r="U497" s="937"/>
      <c r="V497" s="937"/>
      <c r="W497" s="937"/>
      <c r="X497" s="937"/>
      <c r="Y497" s="937"/>
      <c r="Z497" s="937"/>
    </row>
    <row r="498" spans="1:26" ht="15.75" customHeight="1">
      <c r="A498" s="937"/>
      <c r="B498" s="937"/>
      <c r="C498" s="937"/>
      <c r="D498" s="937"/>
      <c r="E498" s="937"/>
      <c r="F498" s="937"/>
      <c r="G498" s="937"/>
      <c r="H498" s="937"/>
      <c r="I498" s="937"/>
      <c r="J498" s="937"/>
      <c r="K498" s="937"/>
      <c r="L498" s="937"/>
      <c r="M498" s="937"/>
      <c r="N498" s="937"/>
      <c r="O498" s="937"/>
      <c r="P498" s="937"/>
      <c r="Q498" s="937"/>
      <c r="R498" s="937"/>
      <c r="S498" s="937"/>
      <c r="T498" s="937"/>
      <c r="U498" s="937"/>
      <c r="V498" s="937"/>
      <c r="W498" s="937"/>
      <c r="X498" s="937"/>
      <c r="Y498" s="937"/>
      <c r="Z498" s="937"/>
    </row>
    <row r="499" spans="1:26" ht="15.75" customHeight="1">
      <c r="A499" s="937"/>
      <c r="B499" s="937"/>
      <c r="C499" s="937"/>
      <c r="D499" s="937"/>
      <c r="E499" s="937"/>
      <c r="F499" s="937"/>
      <c r="G499" s="937"/>
      <c r="H499" s="937"/>
      <c r="I499" s="937"/>
      <c r="J499" s="937"/>
      <c r="K499" s="937"/>
      <c r="L499" s="937"/>
      <c r="M499" s="937"/>
      <c r="N499" s="937"/>
      <c r="O499" s="937"/>
      <c r="P499" s="937"/>
      <c r="Q499" s="937"/>
      <c r="R499" s="937"/>
      <c r="S499" s="937"/>
      <c r="T499" s="937"/>
      <c r="U499" s="937"/>
      <c r="V499" s="937"/>
      <c r="W499" s="937"/>
      <c r="X499" s="937"/>
      <c r="Y499" s="937"/>
      <c r="Z499" s="937"/>
    </row>
    <row r="500" spans="1:26" ht="15.75" customHeight="1">
      <c r="A500" s="937"/>
      <c r="B500" s="937"/>
      <c r="C500" s="937"/>
      <c r="D500" s="937"/>
      <c r="E500" s="937"/>
      <c r="F500" s="937"/>
      <c r="G500" s="937"/>
      <c r="H500" s="937"/>
      <c r="I500" s="937"/>
      <c r="J500" s="937"/>
      <c r="K500" s="937"/>
      <c r="L500" s="937"/>
      <c r="M500" s="937"/>
      <c r="N500" s="937"/>
      <c r="O500" s="937"/>
      <c r="P500" s="937"/>
      <c r="Q500" s="937"/>
      <c r="R500" s="937"/>
      <c r="S500" s="937"/>
      <c r="T500" s="937"/>
      <c r="U500" s="937"/>
      <c r="V500" s="937"/>
      <c r="W500" s="937"/>
      <c r="X500" s="937"/>
      <c r="Y500" s="937"/>
      <c r="Z500" s="937"/>
    </row>
    <row r="501" spans="1:26" ht="15.75" customHeight="1">
      <c r="A501" s="937"/>
      <c r="B501" s="937"/>
      <c r="C501" s="937"/>
      <c r="D501" s="937"/>
      <c r="E501" s="937"/>
      <c r="F501" s="937"/>
      <c r="G501" s="937"/>
      <c r="H501" s="937"/>
      <c r="I501" s="937"/>
      <c r="J501" s="937"/>
      <c r="K501" s="937"/>
      <c r="L501" s="937"/>
      <c r="M501" s="937"/>
      <c r="N501" s="937"/>
      <c r="O501" s="937"/>
      <c r="P501" s="937"/>
      <c r="Q501" s="937"/>
      <c r="R501" s="937"/>
      <c r="S501" s="937"/>
      <c r="T501" s="937"/>
      <c r="U501" s="937"/>
      <c r="V501" s="937"/>
      <c r="W501" s="937"/>
      <c r="X501" s="937"/>
      <c r="Y501" s="937"/>
      <c r="Z501" s="937"/>
    </row>
    <row r="502" spans="1:26" ht="15.75" customHeight="1">
      <c r="A502" s="937"/>
      <c r="B502" s="937"/>
      <c r="C502" s="937"/>
      <c r="D502" s="937"/>
      <c r="E502" s="937"/>
      <c r="F502" s="937"/>
      <c r="G502" s="937"/>
      <c r="H502" s="937"/>
      <c r="I502" s="937"/>
      <c r="J502" s="937"/>
      <c r="K502" s="937"/>
      <c r="L502" s="937"/>
      <c r="M502" s="937"/>
      <c r="N502" s="937"/>
      <c r="O502" s="937"/>
      <c r="P502" s="937"/>
      <c r="Q502" s="937"/>
      <c r="R502" s="937"/>
      <c r="S502" s="937"/>
      <c r="T502" s="937"/>
      <c r="U502" s="937"/>
      <c r="V502" s="937"/>
      <c r="W502" s="937"/>
      <c r="X502" s="937"/>
      <c r="Y502" s="937"/>
      <c r="Z502" s="937"/>
    </row>
    <row r="503" spans="1:26" ht="15.75" customHeight="1">
      <c r="A503" s="937"/>
      <c r="B503" s="937"/>
      <c r="C503" s="937"/>
      <c r="D503" s="937"/>
      <c r="E503" s="937"/>
      <c r="F503" s="937"/>
      <c r="G503" s="937"/>
      <c r="H503" s="937"/>
      <c r="I503" s="937"/>
      <c r="J503" s="937"/>
      <c r="K503" s="937"/>
      <c r="L503" s="937"/>
      <c r="M503" s="937"/>
      <c r="N503" s="937"/>
      <c r="O503" s="937"/>
      <c r="P503" s="937"/>
      <c r="Q503" s="937"/>
      <c r="R503" s="937"/>
      <c r="S503" s="937"/>
      <c r="T503" s="937"/>
      <c r="U503" s="937"/>
      <c r="V503" s="937"/>
      <c r="W503" s="937"/>
      <c r="X503" s="937"/>
      <c r="Y503" s="937"/>
      <c r="Z503" s="937"/>
    </row>
    <row r="504" spans="1:26" ht="15.75" customHeight="1">
      <c r="A504" s="937"/>
      <c r="B504" s="937"/>
      <c r="C504" s="937"/>
      <c r="D504" s="937"/>
      <c r="E504" s="937"/>
      <c r="F504" s="937"/>
      <c r="G504" s="937"/>
      <c r="H504" s="937"/>
      <c r="I504" s="937"/>
      <c r="J504" s="937"/>
      <c r="K504" s="937"/>
      <c r="L504" s="937"/>
      <c r="M504" s="937"/>
      <c r="N504" s="937"/>
      <c r="O504" s="937"/>
      <c r="P504" s="937"/>
      <c r="Q504" s="937"/>
      <c r="R504" s="937"/>
      <c r="S504" s="937"/>
      <c r="T504" s="937"/>
      <c r="U504" s="937"/>
      <c r="V504" s="937"/>
      <c r="W504" s="937"/>
      <c r="X504" s="937"/>
      <c r="Y504" s="937"/>
      <c r="Z504" s="937"/>
    </row>
    <row r="505" spans="1:26" ht="15.75" customHeight="1">
      <c r="A505" s="937"/>
      <c r="B505" s="937"/>
      <c r="C505" s="937"/>
      <c r="D505" s="937"/>
      <c r="E505" s="937"/>
      <c r="F505" s="937"/>
      <c r="G505" s="937"/>
      <c r="H505" s="937"/>
      <c r="I505" s="937"/>
      <c r="J505" s="937"/>
      <c r="K505" s="937"/>
      <c r="L505" s="937"/>
      <c r="M505" s="937"/>
      <c r="N505" s="937"/>
      <c r="O505" s="937"/>
      <c r="P505" s="937"/>
      <c r="Q505" s="937"/>
      <c r="R505" s="937"/>
      <c r="S505" s="937"/>
      <c r="T505" s="937"/>
      <c r="U505" s="937"/>
      <c r="V505" s="937"/>
      <c r="W505" s="937"/>
      <c r="X505" s="937"/>
      <c r="Y505" s="937"/>
      <c r="Z505" s="937"/>
    </row>
    <row r="506" spans="1:26" ht="15.75" customHeight="1">
      <c r="A506" s="937"/>
      <c r="B506" s="937"/>
      <c r="C506" s="937"/>
      <c r="D506" s="937"/>
      <c r="E506" s="937"/>
      <c r="F506" s="937"/>
      <c r="G506" s="937"/>
      <c r="H506" s="937"/>
      <c r="I506" s="937"/>
      <c r="J506" s="937"/>
      <c r="K506" s="937"/>
      <c r="L506" s="937"/>
      <c r="M506" s="937"/>
      <c r="N506" s="937"/>
      <c r="O506" s="937"/>
      <c r="P506" s="937"/>
      <c r="Q506" s="937"/>
      <c r="R506" s="937"/>
      <c r="S506" s="937"/>
      <c r="T506" s="937"/>
      <c r="U506" s="937"/>
      <c r="V506" s="937"/>
      <c r="W506" s="937"/>
      <c r="X506" s="937"/>
      <c r="Y506" s="937"/>
      <c r="Z506" s="937"/>
    </row>
    <row r="507" spans="1:26" ht="15.75" customHeight="1">
      <c r="A507" s="937"/>
      <c r="B507" s="937"/>
      <c r="C507" s="937"/>
      <c r="D507" s="937"/>
      <c r="E507" s="937"/>
      <c r="F507" s="937"/>
      <c r="G507" s="937"/>
      <c r="H507" s="937"/>
      <c r="I507" s="937"/>
      <c r="J507" s="937"/>
      <c r="K507" s="937"/>
      <c r="L507" s="937"/>
      <c r="M507" s="937"/>
      <c r="N507" s="937"/>
      <c r="O507" s="937"/>
      <c r="P507" s="937"/>
      <c r="Q507" s="937"/>
      <c r="R507" s="937"/>
      <c r="S507" s="937"/>
      <c r="T507" s="937"/>
      <c r="U507" s="937"/>
      <c r="V507" s="937"/>
      <c r="W507" s="937"/>
      <c r="X507" s="937"/>
      <c r="Y507" s="937"/>
      <c r="Z507" s="937"/>
    </row>
    <row r="508" spans="1:26" ht="15.75" customHeight="1">
      <c r="A508" s="937"/>
      <c r="B508" s="937"/>
      <c r="C508" s="937"/>
      <c r="D508" s="937"/>
      <c r="E508" s="937"/>
      <c r="F508" s="937"/>
      <c r="G508" s="937"/>
      <c r="H508" s="937"/>
      <c r="I508" s="937"/>
      <c r="J508" s="937"/>
      <c r="K508" s="937"/>
      <c r="L508" s="937"/>
      <c r="M508" s="937"/>
      <c r="N508" s="937"/>
      <c r="O508" s="937"/>
      <c r="P508" s="937"/>
      <c r="Q508" s="937"/>
      <c r="R508" s="937"/>
      <c r="S508" s="937"/>
      <c r="T508" s="937"/>
      <c r="U508" s="937"/>
      <c r="V508" s="937"/>
      <c r="W508" s="937"/>
      <c r="X508" s="937"/>
      <c r="Y508" s="937"/>
      <c r="Z508" s="937"/>
    </row>
    <row r="509" spans="1:26" ht="15.75" customHeight="1">
      <c r="A509" s="937"/>
      <c r="B509" s="937"/>
      <c r="C509" s="937"/>
      <c r="D509" s="937"/>
      <c r="E509" s="937"/>
      <c r="F509" s="937"/>
      <c r="G509" s="937"/>
      <c r="H509" s="937"/>
      <c r="I509" s="937"/>
      <c r="J509" s="937"/>
      <c r="K509" s="937"/>
      <c r="L509" s="937"/>
      <c r="M509" s="937"/>
      <c r="N509" s="937"/>
      <c r="O509" s="937"/>
      <c r="P509" s="937"/>
      <c r="Q509" s="937"/>
      <c r="R509" s="937"/>
      <c r="S509" s="937"/>
      <c r="T509" s="937"/>
      <c r="U509" s="937"/>
      <c r="V509" s="937"/>
      <c r="W509" s="937"/>
      <c r="X509" s="937"/>
      <c r="Y509" s="937"/>
      <c r="Z509" s="937"/>
    </row>
    <row r="510" spans="1:26" ht="15.75" customHeight="1">
      <c r="A510" s="937"/>
      <c r="B510" s="937"/>
      <c r="C510" s="937"/>
      <c r="D510" s="937"/>
      <c r="E510" s="937"/>
      <c r="F510" s="937"/>
      <c r="G510" s="937"/>
      <c r="H510" s="937"/>
      <c r="I510" s="937"/>
      <c r="J510" s="937"/>
      <c r="K510" s="937"/>
      <c r="L510" s="937"/>
      <c r="M510" s="937"/>
      <c r="N510" s="937"/>
      <c r="O510" s="937"/>
      <c r="P510" s="937"/>
      <c r="Q510" s="937"/>
      <c r="R510" s="937"/>
      <c r="S510" s="937"/>
      <c r="T510" s="937"/>
      <c r="U510" s="937"/>
      <c r="V510" s="937"/>
      <c r="W510" s="937"/>
      <c r="X510" s="937"/>
      <c r="Y510" s="937"/>
      <c r="Z510" s="937"/>
    </row>
    <row r="511" spans="1:26" ht="15.75" customHeight="1">
      <c r="A511" s="937"/>
      <c r="B511" s="937"/>
      <c r="C511" s="937"/>
      <c r="D511" s="937"/>
      <c r="E511" s="937"/>
      <c r="F511" s="937"/>
      <c r="G511" s="937"/>
      <c r="H511" s="937"/>
      <c r="I511" s="937"/>
      <c r="J511" s="937"/>
      <c r="K511" s="937"/>
      <c r="L511" s="937"/>
      <c r="M511" s="937"/>
      <c r="N511" s="937"/>
      <c r="O511" s="937"/>
      <c r="P511" s="937"/>
      <c r="Q511" s="937"/>
      <c r="R511" s="937"/>
      <c r="S511" s="937"/>
      <c r="T511" s="937"/>
      <c r="U511" s="937"/>
      <c r="V511" s="937"/>
      <c r="W511" s="937"/>
      <c r="X511" s="937"/>
      <c r="Y511" s="937"/>
      <c r="Z511" s="937"/>
    </row>
    <row r="512" spans="1:26" ht="15.75" customHeight="1">
      <c r="A512" s="937"/>
      <c r="B512" s="937"/>
      <c r="C512" s="937"/>
      <c r="D512" s="937"/>
      <c r="E512" s="937"/>
      <c r="F512" s="937"/>
      <c r="G512" s="937"/>
      <c r="H512" s="937"/>
      <c r="I512" s="937"/>
      <c r="J512" s="937"/>
      <c r="K512" s="937"/>
      <c r="L512" s="937"/>
      <c r="M512" s="937"/>
      <c r="N512" s="937"/>
      <c r="O512" s="937"/>
      <c r="P512" s="937"/>
      <c r="Q512" s="937"/>
      <c r="R512" s="937"/>
      <c r="S512" s="937"/>
      <c r="T512" s="937"/>
      <c r="U512" s="937"/>
      <c r="V512" s="937"/>
      <c r="W512" s="937"/>
      <c r="X512" s="937"/>
      <c r="Y512" s="937"/>
      <c r="Z512" s="937"/>
    </row>
    <row r="513" spans="1:26" ht="15.75" customHeight="1">
      <c r="A513" s="937"/>
      <c r="B513" s="937"/>
      <c r="C513" s="937"/>
      <c r="D513" s="937"/>
      <c r="E513" s="937"/>
      <c r="F513" s="937"/>
      <c r="G513" s="937"/>
      <c r="H513" s="937"/>
      <c r="I513" s="937"/>
      <c r="J513" s="937"/>
      <c r="K513" s="937"/>
      <c r="L513" s="937"/>
      <c r="M513" s="937"/>
      <c r="N513" s="937"/>
      <c r="O513" s="937"/>
      <c r="P513" s="937"/>
      <c r="Q513" s="937"/>
      <c r="R513" s="937"/>
      <c r="S513" s="937"/>
      <c r="T513" s="937"/>
      <c r="U513" s="937"/>
      <c r="V513" s="937"/>
      <c r="W513" s="937"/>
      <c r="X513" s="937"/>
      <c r="Y513" s="937"/>
      <c r="Z513" s="937"/>
    </row>
    <row r="514" spans="1:26" ht="15.75" customHeight="1">
      <c r="A514" s="937"/>
      <c r="B514" s="937"/>
      <c r="C514" s="937"/>
      <c r="D514" s="937"/>
      <c r="E514" s="937"/>
      <c r="F514" s="937"/>
      <c r="G514" s="937"/>
      <c r="H514" s="937"/>
      <c r="I514" s="937"/>
      <c r="J514" s="937"/>
      <c r="K514" s="937"/>
      <c r="L514" s="937"/>
      <c r="M514" s="937"/>
      <c r="N514" s="937"/>
      <c r="O514" s="937"/>
      <c r="P514" s="937"/>
      <c r="Q514" s="937"/>
      <c r="R514" s="937"/>
      <c r="S514" s="937"/>
      <c r="T514" s="937"/>
      <c r="U514" s="937"/>
      <c r="V514" s="937"/>
      <c r="W514" s="937"/>
      <c r="X514" s="937"/>
      <c r="Y514" s="937"/>
      <c r="Z514" s="937"/>
    </row>
    <row r="515" spans="1:26" ht="15.75" customHeight="1">
      <c r="A515" s="937"/>
      <c r="B515" s="937"/>
      <c r="C515" s="937"/>
      <c r="D515" s="937"/>
      <c r="E515" s="937"/>
      <c r="F515" s="937"/>
      <c r="G515" s="937"/>
      <c r="H515" s="937"/>
      <c r="I515" s="937"/>
      <c r="J515" s="937"/>
      <c r="K515" s="937"/>
      <c r="L515" s="937"/>
      <c r="M515" s="937"/>
      <c r="N515" s="937"/>
      <c r="O515" s="937"/>
      <c r="P515" s="937"/>
      <c r="Q515" s="937"/>
      <c r="R515" s="937"/>
      <c r="S515" s="937"/>
      <c r="T515" s="937"/>
      <c r="U515" s="937"/>
      <c r="V515" s="937"/>
      <c r="W515" s="937"/>
      <c r="X515" s="937"/>
      <c r="Y515" s="937"/>
      <c r="Z515" s="937"/>
    </row>
    <row r="516" spans="1:26" ht="15.75" customHeight="1">
      <c r="A516" s="937"/>
      <c r="B516" s="937"/>
      <c r="C516" s="937"/>
      <c r="D516" s="937"/>
      <c r="E516" s="937"/>
      <c r="F516" s="937"/>
      <c r="G516" s="937"/>
      <c r="H516" s="937"/>
      <c r="I516" s="937"/>
      <c r="J516" s="937"/>
      <c r="K516" s="937"/>
      <c r="L516" s="937"/>
      <c r="M516" s="937"/>
      <c r="N516" s="937"/>
      <c r="O516" s="937"/>
      <c r="P516" s="937"/>
      <c r="Q516" s="937"/>
      <c r="R516" s="937"/>
      <c r="S516" s="937"/>
      <c r="T516" s="937"/>
      <c r="U516" s="937"/>
      <c r="V516" s="937"/>
      <c r="W516" s="937"/>
      <c r="X516" s="937"/>
      <c r="Y516" s="937"/>
      <c r="Z516" s="937"/>
    </row>
    <row r="517" spans="1:26" ht="15.75" customHeight="1">
      <c r="A517" s="937"/>
      <c r="B517" s="937"/>
      <c r="C517" s="937"/>
      <c r="D517" s="937"/>
      <c r="E517" s="937"/>
      <c r="F517" s="937"/>
      <c r="G517" s="937"/>
      <c r="H517" s="937"/>
      <c r="I517" s="937"/>
      <c r="J517" s="937"/>
      <c r="K517" s="937"/>
      <c r="L517" s="937"/>
      <c r="M517" s="937"/>
      <c r="N517" s="937"/>
      <c r="O517" s="937"/>
      <c r="P517" s="937"/>
      <c r="Q517" s="937"/>
      <c r="R517" s="937"/>
      <c r="S517" s="937"/>
      <c r="T517" s="937"/>
      <c r="U517" s="937"/>
      <c r="V517" s="937"/>
      <c r="W517" s="937"/>
      <c r="X517" s="937"/>
      <c r="Y517" s="937"/>
      <c r="Z517" s="937"/>
    </row>
    <row r="518" spans="1:26" ht="15.75" customHeight="1">
      <c r="A518" s="937"/>
      <c r="B518" s="937"/>
      <c r="C518" s="937"/>
      <c r="D518" s="937"/>
      <c r="E518" s="937"/>
      <c r="F518" s="937"/>
      <c r="G518" s="937"/>
      <c r="H518" s="937"/>
      <c r="I518" s="937"/>
      <c r="J518" s="937"/>
      <c r="K518" s="937"/>
      <c r="L518" s="937"/>
      <c r="M518" s="937"/>
      <c r="N518" s="937"/>
      <c r="O518" s="937"/>
      <c r="P518" s="937"/>
      <c r="Q518" s="937"/>
      <c r="R518" s="937"/>
      <c r="S518" s="937"/>
      <c r="T518" s="937"/>
      <c r="U518" s="937"/>
      <c r="V518" s="937"/>
      <c r="W518" s="937"/>
      <c r="X518" s="937"/>
      <c r="Y518" s="937"/>
      <c r="Z518" s="937"/>
    </row>
    <row r="519" spans="1:26" ht="15.75" customHeight="1">
      <c r="A519" s="937"/>
      <c r="B519" s="937"/>
      <c r="C519" s="937"/>
      <c r="D519" s="937"/>
      <c r="E519" s="937"/>
      <c r="F519" s="937"/>
      <c r="G519" s="937"/>
      <c r="H519" s="937"/>
      <c r="I519" s="937"/>
      <c r="J519" s="937"/>
      <c r="K519" s="937"/>
      <c r="L519" s="937"/>
      <c r="M519" s="937"/>
      <c r="N519" s="937"/>
      <c r="O519" s="937"/>
      <c r="P519" s="937"/>
      <c r="Q519" s="937"/>
      <c r="R519" s="937"/>
      <c r="S519" s="937"/>
      <c r="T519" s="937"/>
      <c r="U519" s="937"/>
      <c r="V519" s="937"/>
      <c r="W519" s="937"/>
      <c r="X519" s="937"/>
      <c r="Y519" s="937"/>
      <c r="Z519" s="937"/>
    </row>
    <row r="520" spans="1:26" ht="15.75" customHeight="1">
      <c r="A520" s="937"/>
      <c r="B520" s="937"/>
      <c r="C520" s="937"/>
      <c r="D520" s="937"/>
      <c r="E520" s="937"/>
      <c r="F520" s="937"/>
      <c r="G520" s="937"/>
      <c r="H520" s="937"/>
      <c r="I520" s="937"/>
      <c r="J520" s="937"/>
      <c r="K520" s="937"/>
      <c r="L520" s="937"/>
      <c r="M520" s="937"/>
      <c r="N520" s="937"/>
      <c r="O520" s="937"/>
      <c r="P520" s="937"/>
      <c r="Q520" s="937"/>
      <c r="R520" s="937"/>
      <c r="S520" s="937"/>
      <c r="T520" s="937"/>
      <c r="U520" s="937"/>
      <c r="V520" s="937"/>
      <c r="W520" s="937"/>
      <c r="X520" s="937"/>
      <c r="Y520" s="937"/>
      <c r="Z520" s="937"/>
    </row>
    <row r="521" spans="1:26" ht="15.75" customHeight="1">
      <c r="A521" s="937"/>
      <c r="B521" s="937"/>
      <c r="C521" s="937"/>
      <c r="D521" s="937"/>
      <c r="E521" s="937"/>
      <c r="F521" s="937"/>
      <c r="G521" s="937"/>
      <c r="H521" s="937"/>
      <c r="I521" s="937"/>
      <c r="J521" s="937"/>
      <c r="K521" s="937"/>
      <c r="L521" s="937"/>
      <c r="M521" s="937"/>
      <c r="N521" s="937"/>
      <c r="O521" s="937"/>
      <c r="P521" s="937"/>
      <c r="Q521" s="937"/>
      <c r="R521" s="937"/>
      <c r="S521" s="937"/>
      <c r="T521" s="937"/>
      <c r="U521" s="937"/>
      <c r="V521" s="937"/>
      <c r="W521" s="937"/>
      <c r="X521" s="937"/>
      <c r="Y521" s="937"/>
      <c r="Z521" s="937"/>
    </row>
    <row r="522" spans="1:26" ht="15.75" customHeight="1">
      <c r="A522" s="937"/>
      <c r="B522" s="937"/>
      <c r="C522" s="937"/>
      <c r="D522" s="937"/>
      <c r="E522" s="937"/>
      <c r="F522" s="937"/>
      <c r="G522" s="937"/>
      <c r="H522" s="937"/>
      <c r="I522" s="937"/>
      <c r="J522" s="937"/>
      <c r="K522" s="937"/>
      <c r="L522" s="937"/>
      <c r="M522" s="937"/>
      <c r="N522" s="937"/>
      <c r="O522" s="937"/>
      <c r="P522" s="937"/>
      <c r="Q522" s="937"/>
      <c r="R522" s="937"/>
      <c r="S522" s="937"/>
      <c r="T522" s="937"/>
      <c r="U522" s="937"/>
      <c r="V522" s="937"/>
      <c r="W522" s="937"/>
      <c r="X522" s="937"/>
      <c r="Y522" s="937"/>
      <c r="Z522" s="937"/>
    </row>
    <row r="523" spans="1:26" ht="15.75" customHeight="1">
      <c r="A523" s="937"/>
      <c r="B523" s="937"/>
      <c r="C523" s="937"/>
      <c r="D523" s="937"/>
      <c r="E523" s="937"/>
      <c r="F523" s="937"/>
      <c r="G523" s="937"/>
      <c r="H523" s="937"/>
      <c r="I523" s="937"/>
      <c r="J523" s="937"/>
      <c r="K523" s="937"/>
      <c r="L523" s="937"/>
      <c r="M523" s="937"/>
      <c r="N523" s="937"/>
      <c r="O523" s="937"/>
      <c r="P523" s="937"/>
      <c r="Q523" s="937"/>
      <c r="R523" s="937"/>
      <c r="S523" s="937"/>
      <c r="T523" s="937"/>
      <c r="U523" s="937"/>
      <c r="V523" s="937"/>
      <c r="W523" s="937"/>
      <c r="X523" s="937"/>
      <c r="Y523" s="937"/>
      <c r="Z523" s="937"/>
    </row>
    <row r="524" spans="1:26" ht="15.75" customHeight="1">
      <c r="A524" s="937"/>
      <c r="B524" s="937"/>
      <c r="C524" s="937"/>
      <c r="D524" s="937"/>
      <c r="E524" s="937"/>
      <c r="F524" s="937"/>
      <c r="G524" s="937"/>
      <c r="H524" s="937"/>
      <c r="I524" s="937"/>
      <c r="J524" s="937"/>
      <c r="K524" s="937"/>
      <c r="L524" s="937"/>
      <c r="M524" s="937"/>
      <c r="N524" s="937"/>
      <c r="O524" s="937"/>
      <c r="P524" s="937"/>
      <c r="Q524" s="937"/>
      <c r="R524" s="937"/>
      <c r="S524" s="937"/>
      <c r="T524" s="937"/>
      <c r="U524" s="937"/>
      <c r="V524" s="937"/>
      <c r="W524" s="937"/>
      <c r="X524" s="937"/>
      <c r="Y524" s="937"/>
      <c r="Z524" s="937"/>
    </row>
    <row r="525" spans="1:26" ht="15.75" customHeight="1">
      <c r="A525" s="937"/>
      <c r="B525" s="937"/>
      <c r="C525" s="937"/>
      <c r="D525" s="937"/>
      <c r="E525" s="937"/>
      <c r="F525" s="937"/>
      <c r="G525" s="937"/>
      <c r="H525" s="937"/>
      <c r="I525" s="937"/>
      <c r="J525" s="937"/>
      <c r="K525" s="937"/>
      <c r="L525" s="937"/>
      <c r="M525" s="937"/>
      <c r="N525" s="937"/>
      <c r="O525" s="937"/>
      <c r="P525" s="937"/>
      <c r="Q525" s="937"/>
      <c r="R525" s="937"/>
      <c r="S525" s="937"/>
      <c r="T525" s="937"/>
      <c r="U525" s="937"/>
      <c r="V525" s="937"/>
      <c r="W525" s="937"/>
      <c r="X525" s="937"/>
      <c r="Y525" s="937"/>
      <c r="Z525" s="937"/>
    </row>
    <row r="526" spans="1:26" ht="15.75" customHeight="1">
      <c r="A526" s="937"/>
      <c r="B526" s="937"/>
      <c r="C526" s="937"/>
      <c r="D526" s="937"/>
      <c r="E526" s="937"/>
      <c r="F526" s="937"/>
      <c r="G526" s="937"/>
      <c r="H526" s="937"/>
      <c r="I526" s="937"/>
      <c r="J526" s="937"/>
      <c r="K526" s="937"/>
      <c r="L526" s="937"/>
      <c r="M526" s="937"/>
      <c r="N526" s="937"/>
      <c r="O526" s="937"/>
      <c r="P526" s="937"/>
      <c r="Q526" s="937"/>
      <c r="R526" s="937"/>
      <c r="S526" s="937"/>
      <c r="T526" s="937"/>
      <c r="U526" s="937"/>
      <c r="V526" s="937"/>
      <c r="W526" s="937"/>
      <c r="X526" s="937"/>
      <c r="Y526" s="937"/>
      <c r="Z526" s="937"/>
    </row>
    <row r="527" spans="1:26" ht="15.75" customHeight="1">
      <c r="A527" s="937"/>
      <c r="B527" s="937"/>
      <c r="C527" s="937"/>
      <c r="D527" s="937"/>
      <c r="E527" s="937"/>
      <c r="F527" s="937"/>
      <c r="G527" s="937"/>
      <c r="H527" s="937"/>
      <c r="I527" s="937"/>
      <c r="J527" s="937"/>
      <c r="K527" s="937"/>
      <c r="L527" s="937"/>
      <c r="M527" s="937"/>
      <c r="N527" s="937"/>
      <c r="O527" s="937"/>
      <c r="P527" s="937"/>
      <c r="Q527" s="937"/>
      <c r="R527" s="937"/>
      <c r="S527" s="937"/>
      <c r="T527" s="937"/>
      <c r="U527" s="937"/>
      <c r="V527" s="937"/>
      <c r="W527" s="937"/>
      <c r="X527" s="937"/>
      <c r="Y527" s="937"/>
      <c r="Z527" s="937"/>
    </row>
    <row r="528" spans="1:26" ht="15.75" customHeight="1">
      <c r="A528" s="937"/>
      <c r="B528" s="937"/>
      <c r="C528" s="937"/>
      <c r="D528" s="937"/>
      <c r="E528" s="937"/>
      <c r="F528" s="937"/>
      <c r="G528" s="937"/>
      <c r="H528" s="937"/>
      <c r="I528" s="937"/>
      <c r="J528" s="937"/>
      <c r="K528" s="937"/>
      <c r="L528" s="937"/>
      <c r="M528" s="937"/>
      <c r="N528" s="937"/>
      <c r="O528" s="937"/>
      <c r="P528" s="937"/>
      <c r="Q528" s="937"/>
      <c r="R528" s="937"/>
      <c r="S528" s="937"/>
      <c r="T528" s="937"/>
      <c r="U528" s="937"/>
      <c r="V528" s="937"/>
      <c r="W528" s="937"/>
      <c r="X528" s="937"/>
      <c r="Y528" s="937"/>
      <c r="Z528" s="937"/>
    </row>
    <row r="529" spans="1:26" ht="15.75" customHeight="1">
      <c r="A529" s="937"/>
      <c r="B529" s="937"/>
      <c r="C529" s="937"/>
      <c r="D529" s="937"/>
      <c r="E529" s="937"/>
      <c r="F529" s="937"/>
      <c r="G529" s="937"/>
      <c r="H529" s="937"/>
      <c r="I529" s="937"/>
      <c r="J529" s="937"/>
      <c r="K529" s="937"/>
      <c r="L529" s="937"/>
      <c r="M529" s="937"/>
      <c r="N529" s="937"/>
      <c r="O529" s="937"/>
      <c r="P529" s="937"/>
      <c r="Q529" s="937"/>
      <c r="R529" s="937"/>
      <c r="S529" s="937"/>
      <c r="T529" s="937"/>
      <c r="U529" s="937"/>
      <c r="V529" s="937"/>
      <c r="W529" s="937"/>
      <c r="X529" s="937"/>
      <c r="Y529" s="937"/>
      <c r="Z529" s="937"/>
    </row>
    <row r="530" spans="1:26" ht="15.75" customHeight="1">
      <c r="A530" s="937"/>
      <c r="B530" s="937"/>
      <c r="C530" s="937"/>
      <c r="D530" s="937"/>
      <c r="E530" s="937"/>
      <c r="F530" s="937"/>
      <c r="G530" s="937"/>
      <c r="H530" s="937"/>
      <c r="I530" s="937"/>
      <c r="J530" s="937"/>
      <c r="K530" s="937"/>
      <c r="L530" s="937"/>
      <c r="M530" s="937"/>
      <c r="N530" s="937"/>
      <c r="O530" s="937"/>
      <c r="P530" s="937"/>
      <c r="Q530" s="937"/>
      <c r="R530" s="937"/>
      <c r="S530" s="937"/>
      <c r="T530" s="937"/>
      <c r="U530" s="937"/>
      <c r="V530" s="937"/>
      <c r="W530" s="937"/>
      <c r="X530" s="937"/>
      <c r="Y530" s="937"/>
      <c r="Z530" s="937"/>
    </row>
    <row r="531" spans="1:26" ht="15.75" customHeight="1">
      <c r="A531" s="937"/>
      <c r="B531" s="937"/>
      <c r="C531" s="937"/>
      <c r="D531" s="937"/>
      <c r="E531" s="937"/>
      <c r="F531" s="937"/>
      <c r="G531" s="937"/>
      <c r="H531" s="937"/>
      <c r="I531" s="937"/>
      <c r="J531" s="937"/>
      <c r="K531" s="937"/>
      <c r="L531" s="937"/>
      <c r="M531" s="937"/>
      <c r="N531" s="937"/>
      <c r="O531" s="937"/>
      <c r="P531" s="937"/>
      <c r="Q531" s="937"/>
      <c r="R531" s="937"/>
      <c r="S531" s="937"/>
      <c r="T531" s="937"/>
      <c r="U531" s="937"/>
      <c r="V531" s="937"/>
      <c r="W531" s="937"/>
      <c r="X531" s="937"/>
      <c r="Y531" s="937"/>
      <c r="Z531" s="937"/>
    </row>
    <row r="532" spans="1:26" ht="15.75" customHeight="1">
      <c r="A532" s="937"/>
      <c r="B532" s="937"/>
      <c r="C532" s="937"/>
      <c r="D532" s="937"/>
      <c r="E532" s="937"/>
      <c r="F532" s="937"/>
      <c r="G532" s="937"/>
      <c r="H532" s="937"/>
      <c r="I532" s="937"/>
      <c r="J532" s="937"/>
      <c r="K532" s="937"/>
      <c r="L532" s="937"/>
      <c r="M532" s="937"/>
      <c r="N532" s="937"/>
      <c r="O532" s="937"/>
      <c r="P532" s="937"/>
      <c r="Q532" s="937"/>
      <c r="R532" s="937"/>
      <c r="S532" s="937"/>
      <c r="T532" s="937"/>
      <c r="U532" s="937"/>
      <c r="V532" s="937"/>
      <c r="W532" s="937"/>
      <c r="X532" s="937"/>
      <c r="Y532" s="937"/>
      <c r="Z532" s="937"/>
    </row>
    <row r="533" spans="1:26" ht="15.75" customHeight="1">
      <c r="A533" s="937"/>
      <c r="B533" s="937"/>
      <c r="C533" s="937"/>
      <c r="D533" s="937"/>
      <c r="E533" s="937"/>
      <c r="F533" s="937"/>
      <c r="G533" s="937"/>
      <c r="H533" s="937"/>
      <c r="I533" s="937"/>
      <c r="J533" s="937"/>
      <c r="K533" s="937"/>
      <c r="L533" s="937"/>
      <c r="M533" s="937"/>
      <c r="N533" s="937"/>
      <c r="O533" s="937"/>
      <c r="P533" s="937"/>
      <c r="Q533" s="937"/>
      <c r="R533" s="937"/>
      <c r="S533" s="937"/>
      <c r="T533" s="937"/>
      <c r="U533" s="937"/>
      <c r="V533" s="937"/>
      <c r="W533" s="937"/>
      <c r="X533" s="937"/>
      <c r="Y533" s="937"/>
      <c r="Z533" s="937"/>
    </row>
    <row r="534" spans="1:26" ht="15.75" customHeight="1">
      <c r="A534" s="937"/>
      <c r="B534" s="937"/>
      <c r="C534" s="937"/>
      <c r="D534" s="937"/>
      <c r="E534" s="937"/>
      <c r="F534" s="937"/>
      <c r="G534" s="937"/>
      <c r="H534" s="937"/>
      <c r="I534" s="937"/>
      <c r="J534" s="937"/>
      <c r="K534" s="937"/>
      <c r="L534" s="937"/>
      <c r="M534" s="937"/>
      <c r="N534" s="937"/>
      <c r="O534" s="937"/>
      <c r="P534" s="937"/>
      <c r="Q534" s="937"/>
      <c r="R534" s="937"/>
      <c r="S534" s="937"/>
      <c r="T534" s="937"/>
      <c r="U534" s="937"/>
      <c r="V534" s="937"/>
      <c r="W534" s="937"/>
      <c r="X534" s="937"/>
      <c r="Y534" s="937"/>
      <c r="Z534" s="937"/>
    </row>
    <row r="535" spans="1:26" ht="15.75" customHeight="1">
      <c r="A535" s="937"/>
      <c r="B535" s="937"/>
      <c r="C535" s="937"/>
      <c r="D535" s="937"/>
      <c r="E535" s="937"/>
      <c r="F535" s="937"/>
      <c r="G535" s="937"/>
      <c r="H535" s="937"/>
      <c r="I535" s="937"/>
      <c r="J535" s="937"/>
      <c r="K535" s="937"/>
      <c r="L535" s="937"/>
      <c r="M535" s="937"/>
      <c r="N535" s="937"/>
      <c r="O535" s="937"/>
      <c r="P535" s="937"/>
      <c r="Q535" s="937"/>
      <c r="R535" s="937"/>
      <c r="S535" s="937"/>
      <c r="T535" s="937"/>
      <c r="U535" s="937"/>
      <c r="V535" s="937"/>
      <c r="W535" s="937"/>
      <c r="X535" s="937"/>
      <c r="Y535" s="937"/>
      <c r="Z535" s="937"/>
    </row>
    <row r="536" spans="1:26" ht="15.75" customHeight="1">
      <c r="A536" s="937"/>
      <c r="B536" s="937"/>
      <c r="C536" s="937"/>
      <c r="D536" s="937"/>
      <c r="E536" s="937"/>
      <c r="F536" s="937"/>
      <c r="G536" s="937"/>
      <c r="H536" s="937"/>
      <c r="I536" s="937"/>
      <c r="J536" s="937"/>
      <c r="K536" s="937"/>
      <c r="L536" s="937"/>
      <c r="M536" s="937"/>
      <c r="N536" s="937"/>
      <c r="O536" s="937"/>
      <c r="P536" s="937"/>
      <c r="Q536" s="937"/>
      <c r="R536" s="937"/>
      <c r="S536" s="937"/>
      <c r="T536" s="937"/>
      <c r="U536" s="937"/>
      <c r="V536" s="937"/>
      <c r="W536" s="937"/>
      <c r="X536" s="937"/>
      <c r="Y536" s="937"/>
      <c r="Z536" s="937"/>
    </row>
    <row r="537" spans="1:26" ht="15.75" customHeight="1">
      <c r="A537" s="937"/>
      <c r="B537" s="937"/>
      <c r="C537" s="937"/>
      <c r="D537" s="937"/>
      <c r="E537" s="937"/>
      <c r="F537" s="937"/>
      <c r="G537" s="937"/>
      <c r="H537" s="937"/>
      <c r="I537" s="937"/>
      <c r="J537" s="937"/>
      <c r="K537" s="937"/>
      <c r="L537" s="937"/>
      <c r="M537" s="937"/>
      <c r="N537" s="937"/>
      <c r="O537" s="937"/>
      <c r="P537" s="937"/>
      <c r="Q537" s="937"/>
      <c r="R537" s="937"/>
      <c r="S537" s="937"/>
      <c r="T537" s="937"/>
      <c r="U537" s="937"/>
      <c r="V537" s="937"/>
      <c r="W537" s="937"/>
      <c r="X537" s="937"/>
      <c r="Y537" s="937"/>
      <c r="Z537" s="937"/>
    </row>
    <row r="538" spans="1:26" ht="15.75" customHeight="1">
      <c r="A538" s="937"/>
      <c r="B538" s="937"/>
      <c r="C538" s="937"/>
      <c r="D538" s="937"/>
      <c r="E538" s="937"/>
      <c r="F538" s="937"/>
      <c r="G538" s="937"/>
      <c r="H538" s="937"/>
      <c r="I538" s="937"/>
      <c r="J538" s="937"/>
      <c r="K538" s="937"/>
      <c r="L538" s="937"/>
      <c r="M538" s="937"/>
      <c r="N538" s="937"/>
      <c r="O538" s="937"/>
      <c r="P538" s="937"/>
      <c r="Q538" s="937"/>
      <c r="R538" s="937"/>
      <c r="S538" s="937"/>
      <c r="T538" s="937"/>
      <c r="U538" s="937"/>
      <c r="V538" s="937"/>
      <c r="W538" s="937"/>
      <c r="X538" s="937"/>
      <c r="Y538" s="937"/>
      <c r="Z538" s="937"/>
    </row>
    <row r="539" spans="1:26" ht="15.75" customHeight="1">
      <c r="A539" s="937"/>
      <c r="B539" s="937"/>
      <c r="C539" s="937"/>
      <c r="D539" s="937"/>
      <c r="E539" s="937"/>
      <c r="F539" s="937"/>
      <c r="G539" s="937"/>
      <c r="H539" s="937"/>
      <c r="I539" s="937"/>
      <c r="J539" s="937"/>
      <c r="K539" s="937"/>
      <c r="L539" s="937"/>
      <c r="M539" s="937"/>
      <c r="N539" s="937"/>
      <c r="O539" s="937"/>
      <c r="P539" s="937"/>
      <c r="Q539" s="937"/>
      <c r="R539" s="937"/>
      <c r="S539" s="937"/>
      <c r="T539" s="937"/>
      <c r="U539" s="937"/>
      <c r="V539" s="937"/>
      <c r="W539" s="937"/>
      <c r="X539" s="937"/>
      <c r="Y539" s="937"/>
      <c r="Z539" s="937"/>
    </row>
    <row r="540" spans="1:26" ht="15.75" customHeight="1">
      <c r="A540" s="937"/>
      <c r="B540" s="937"/>
      <c r="C540" s="937"/>
      <c r="D540" s="937"/>
      <c r="E540" s="937"/>
      <c r="F540" s="937"/>
      <c r="G540" s="937"/>
      <c r="H540" s="937"/>
      <c r="I540" s="937"/>
      <c r="J540" s="937"/>
      <c r="K540" s="937"/>
      <c r="L540" s="937"/>
      <c r="M540" s="937"/>
      <c r="N540" s="937"/>
      <c r="O540" s="937"/>
      <c r="P540" s="937"/>
      <c r="Q540" s="937"/>
      <c r="R540" s="937"/>
      <c r="S540" s="937"/>
      <c r="T540" s="937"/>
      <c r="U540" s="937"/>
      <c r="V540" s="937"/>
      <c r="W540" s="937"/>
      <c r="X540" s="937"/>
      <c r="Y540" s="937"/>
      <c r="Z540" s="937"/>
    </row>
    <row r="541" spans="1:26" ht="15.75" customHeight="1">
      <c r="A541" s="937"/>
      <c r="B541" s="937"/>
      <c r="C541" s="937"/>
      <c r="D541" s="937"/>
      <c r="E541" s="937"/>
      <c r="F541" s="937"/>
      <c r="G541" s="937"/>
      <c r="H541" s="937"/>
      <c r="I541" s="937"/>
      <c r="J541" s="937"/>
      <c r="K541" s="937"/>
      <c r="L541" s="937"/>
      <c r="M541" s="937"/>
      <c r="N541" s="937"/>
      <c r="O541" s="937"/>
      <c r="P541" s="937"/>
      <c r="Q541" s="937"/>
      <c r="R541" s="937"/>
      <c r="S541" s="937"/>
      <c r="T541" s="937"/>
      <c r="U541" s="937"/>
      <c r="V541" s="937"/>
      <c r="W541" s="937"/>
      <c r="X541" s="937"/>
      <c r="Y541" s="937"/>
      <c r="Z541" s="937"/>
    </row>
    <row r="542" spans="1:26" ht="15.75" customHeight="1">
      <c r="A542" s="937"/>
      <c r="B542" s="937"/>
      <c r="C542" s="937"/>
      <c r="D542" s="937"/>
      <c r="E542" s="937"/>
      <c r="F542" s="937"/>
      <c r="G542" s="937"/>
      <c r="H542" s="937"/>
      <c r="I542" s="937"/>
      <c r="J542" s="937"/>
      <c r="K542" s="937"/>
      <c r="L542" s="937"/>
      <c r="M542" s="937"/>
      <c r="N542" s="937"/>
      <c r="O542" s="937"/>
      <c r="P542" s="937"/>
      <c r="Q542" s="937"/>
      <c r="R542" s="937"/>
      <c r="S542" s="937"/>
      <c r="T542" s="937"/>
      <c r="U542" s="937"/>
      <c r="V542" s="937"/>
      <c r="W542" s="937"/>
      <c r="X542" s="937"/>
      <c r="Y542" s="937"/>
      <c r="Z542" s="937"/>
    </row>
    <row r="543" spans="1:26" ht="15.75" customHeight="1">
      <c r="A543" s="937"/>
      <c r="B543" s="937"/>
      <c r="C543" s="937"/>
      <c r="D543" s="937"/>
      <c r="E543" s="937"/>
      <c r="F543" s="937"/>
      <c r="G543" s="937"/>
      <c r="H543" s="937"/>
      <c r="I543" s="937"/>
      <c r="J543" s="937"/>
      <c r="K543" s="937"/>
      <c r="L543" s="937"/>
      <c r="M543" s="937"/>
      <c r="N543" s="937"/>
      <c r="O543" s="937"/>
      <c r="P543" s="937"/>
      <c r="Q543" s="937"/>
      <c r="R543" s="937"/>
      <c r="S543" s="937"/>
      <c r="T543" s="937"/>
      <c r="U543" s="937"/>
      <c r="V543" s="937"/>
      <c r="W543" s="937"/>
      <c r="X543" s="937"/>
      <c r="Y543" s="937"/>
      <c r="Z543" s="937"/>
    </row>
    <row r="544" spans="1:26" ht="15.75" customHeight="1">
      <c r="A544" s="937"/>
      <c r="B544" s="937"/>
      <c r="C544" s="937"/>
      <c r="D544" s="937"/>
      <c r="E544" s="937"/>
      <c r="F544" s="937"/>
      <c r="G544" s="937"/>
      <c r="H544" s="937"/>
      <c r="I544" s="937"/>
      <c r="J544" s="937"/>
      <c r="K544" s="937"/>
      <c r="L544" s="937"/>
      <c r="M544" s="937"/>
      <c r="N544" s="937"/>
      <c r="O544" s="937"/>
      <c r="P544" s="937"/>
      <c r="Q544" s="937"/>
      <c r="R544" s="937"/>
      <c r="S544" s="937"/>
      <c r="T544" s="937"/>
      <c r="U544" s="937"/>
      <c r="V544" s="937"/>
      <c r="W544" s="937"/>
      <c r="X544" s="937"/>
      <c r="Y544" s="937"/>
      <c r="Z544" s="937"/>
    </row>
    <row r="545" spans="1:26" ht="15.75" customHeight="1">
      <c r="A545" s="937"/>
      <c r="B545" s="937"/>
      <c r="C545" s="937"/>
      <c r="D545" s="937"/>
      <c r="E545" s="937"/>
      <c r="F545" s="937"/>
      <c r="G545" s="937"/>
      <c r="H545" s="937"/>
      <c r="I545" s="937"/>
      <c r="J545" s="937"/>
      <c r="K545" s="937"/>
      <c r="L545" s="937"/>
      <c r="M545" s="937"/>
      <c r="N545" s="937"/>
      <c r="O545" s="937"/>
      <c r="P545" s="937"/>
      <c r="Q545" s="937"/>
      <c r="R545" s="937"/>
      <c r="S545" s="937"/>
      <c r="T545" s="937"/>
      <c r="U545" s="937"/>
      <c r="V545" s="937"/>
      <c r="W545" s="937"/>
      <c r="X545" s="937"/>
      <c r="Y545" s="937"/>
      <c r="Z545" s="937"/>
    </row>
    <row r="546" spans="1:26" ht="15.75" customHeight="1">
      <c r="A546" s="937"/>
      <c r="B546" s="937"/>
      <c r="C546" s="937"/>
      <c r="D546" s="937"/>
      <c r="E546" s="937"/>
      <c r="F546" s="937"/>
      <c r="G546" s="937"/>
      <c r="H546" s="937"/>
      <c r="I546" s="937"/>
      <c r="J546" s="937"/>
      <c r="K546" s="937"/>
      <c r="L546" s="937"/>
      <c r="M546" s="937"/>
      <c r="N546" s="937"/>
      <c r="O546" s="937"/>
      <c r="P546" s="937"/>
      <c r="Q546" s="937"/>
      <c r="R546" s="937"/>
      <c r="S546" s="937"/>
      <c r="T546" s="937"/>
      <c r="U546" s="937"/>
      <c r="V546" s="937"/>
      <c r="W546" s="937"/>
      <c r="X546" s="937"/>
      <c r="Y546" s="937"/>
      <c r="Z546" s="937"/>
    </row>
    <row r="547" spans="1:26" ht="15.75" customHeight="1">
      <c r="A547" s="937"/>
      <c r="B547" s="937"/>
      <c r="C547" s="937"/>
      <c r="D547" s="937"/>
      <c r="E547" s="937"/>
      <c r="F547" s="937"/>
      <c r="G547" s="937"/>
      <c r="H547" s="937"/>
      <c r="I547" s="937"/>
      <c r="J547" s="937"/>
      <c r="K547" s="937"/>
      <c r="L547" s="937"/>
      <c r="M547" s="937"/>
      <c r="N547" s="937"/>
      <c r="O547" s="937"/>
      <c r="P547" s="937"/>
      <c r="Q547" s="937"/>
      <c r="R547" s="937"/>
      <c r="S547" s="937"/>
      <c r="T547" s="937"/>
      <c r="U547" s="937"/>
      <c r="V547" s="937"/>
      <c r="W547" s="937"/>
      <c r="X547" s="937"/>
      <c r="Y547" s="937"/>
      <c r="Z547" s="937"/>
    </row>
    <row r="548" spans="1:26" ht="15.75" customHeight="1">
      <c r="A548" s="937"/>
      <c r="B548" s="937"/>
      <c r="C548" s="937"/>
      <c r="D548" s="937"/>
      <c r="E548" s="937"/>
      <c r="F548" s="937"/>
      <c r="G548" s="937"/>
      <c r="H548" s="937"/>
      <c r="I548" s="937"/>
      <c r="J548" s="937"/>
      <c r="K548" s="937"/>
      <c r="L548" s="937"/>
      <c r="M548" s="937"/>
      <c r="N548" s="937"/>
      <c r="O548" s="937"/>
      <c r="P548" s="937"/>
      <c r="Q548" s="937"/>
      <c r="R548" s="937"/>
      <c r="S548" s="937"/>
      <c r="T548" s="937"/>
      <c r="U548" s="937"/>
      <c r="V548" s="937"/>
      <c r="W548" s="937"/>
      <c r="X548" s="937"/>
      <c r="Y548" s="937"/>
      <c r="Z548" s="937"/>
    </row>
    <row r="549" spans="1:26" ht="15.75" customHeight="1">
      <c r="A549" s="937"/>
      <c r="B549" s="937"/>
      <c r="C549" s="937"/>
      <c r="D549" s="937"/>
      <c r="E549" s="937"/>
      <c r="F549" s="937"/>
      <c r="G549" s="937"/>
      <c r="H549" s="937"/>
      <c r="I549" s="937"/>
      <c r="J549" s="937"/>
      <c r="K549" s="937"/>
      <c r="L549" s="937"/>
      <c r="M549" s="937"/>
      <c r="N549" s="937"/>
      <c r="O549" s="937"/>
      <c r="P549" s="937"/>
      <c r="Q549" s="937"/>
      <c r="R549" s="937"/>
      <c r="S549" s="937"/>
      <c r="T549" s="937"/>
      <c r="U549" s="937"/>
      <c r="V549" s="937"/>
      <c r="W549" s="937"/>
      <c r="X549" s="937"/>
      <c r="Y549" s="937"/>
      <c r="Z549" s="937"/>
    </row>
    <row r="550" spans="1:26" ht="15.75" customHeight="1">
      <c r="A550" s="937"/>
      <c r="B550" s="937"/>
      <c r="C550" s="937"/>
      <c r="D550" s="937"/>
      <c r="E550" s="937"/>
      <c r="F550" s="937"/>
      <c r="G550" s="937"/>
      <c r="H550" s="937"/>
      <c r="I550" s="937"/>
      <c r="J550" s="937"/>
      <c r="K550" s="937"/>
      <c r="L550" s="937"/>
      <c r="M550" s="937"/>
      <c r="N550" s="937"/>
      <c r="O550" s="937"/>
      <c r="P550" s="937"/>
      <c r="Q550" s="937"/>
      <c r="R550" s="937"/>
      <c r="S550" s="937"/>
      <c r="T550" s="937"/>
      <c r="U550" s="937"/>
      <c r="V550" s="937"/>
      <c r="W550" s="937"/>
      <c r="X550" s="937"/>
      <c r="Y550" s="937"/>
      <c r="Z550" s="937"/>
    </row>
    <row r="551" spans="1:26" ht="15.75" customHeight="1">
      <c r="A551" s="937"/>
      <c r="B551" s="937"/>
      <c r="C551" s="937"/>
      <c r="D551" s="937"/>
      <c r="E551" s="937"/>
      <c r="F551" s="937"/>
      <c r="G551" s="937"/>
      <c r="H551" s="937"/>
      <c r="I551" s="937"/>
      <c r="J551" s="937"/>
      <c r="K551" s="937"/>
      <c r="L551" s="937"/>
      <c r="M551" s="937"/>
      <c r="N551" s="937"/>
      <c r="O551" s="937"/>
      <c r="P551" s="937"/>
      <c r="Q551" s="937"/>
      <c r="R551" s="937"/>
      <c r="S551" s="937"/>
      <c r="T551" s="937"/>
      <c r="U551" s="937"/>
      <c r="V551" s="937"/>
      <c r="W551" s="937"/>
      <c r="X551" s="937"/>
      <c r="Y551" s="937"/>
      <c r="Z551" s="937"/>
    </row>
    <row r="552" spans="1:26" ht="15.75" customHeight="1">
      <c r="A552" s="937"/>
      <c r="B552" s="937"/>
      <c r="C552" s="937"/>
      <c r="D552" s="937"/>
      <c r="E552" s="937"/>
      <c r="F552" s="937"/>
      <c r="G552" s="937"/>
      <c r="H552" s="937"/>
      <c r="I552" s="937"/>
      <c r="J552" s="937"/>
      <c r="K552" s="937"/>
      <c r="L552" s="937"/>
      <c r="M552" s="937"/>
      <c r="N552" s="937"/>
      <c r="O552" s="937"/>
      <c r="P552" s="937"/>
      <c r="Q552" s="937"/>
      <c r="R552" s="937"/>
      <c r="S552" s="937"/>
      <c r="T552" s="937"/>
      <c r="U552" s="937"/>
      <c r="V552" s="937"/>
      <c r="W552" s="937"/>
      <c r="X552" s="937"/>
      <c r="Y552" s="937"/>
      <c r="Z552" s="937"/>
    </row>
    <row r="553" spans="1:26" ht="15.75" customHeight="1">
      <c r="A553" s="937"/>
      <c r="B553" s="937"/>
      <c r="C553" s="937"/>
      <c r="D553" s="937"/>
      <c r="E553" s="937"/>
      <c r="F553" s="937"/>
      <c r="G553" s="937"/>
      <c r="H553" s="937"/>
      <c r="I553" s="937"/>
      <c r="J553" s="937"/>
      <c r="K553" s="937"/>
      <c r="L553" s="937"/>
      <c r="M553" s="937"/>
      <c r="N553" s="937"/>
      <c r="O553" s="937"/>
      <c r="P553" s="937"/>
      <c r="Q553" s="937"/>
      <c r="R553" s="937"/>
      <c r="S553" s="937"/>
      <c r="T553" s="937"/>
      <c r="U553" s="937"/>
      <c r="V553" s="937"/>
      <c r="W553" s="937"/>
      <c r="X553" s="937"/>
      <c r="Y553" s="937"/>
      <c r="Z553" s="937"/>
    </row>
    <row r="554" spans="1:26" ht="15.75" customHeight="1">
      <c r="A554" s="937"/>
      <c r="B554" s="937"/>
      <c r="C554" s="937"/>
      <c r="D554" s="937"/>
      <c r="E554" s="937"/>
      <c r="F554" s="937"/>
      <c r="G554" s="937"/>
      <c r="H554" s="937"/>
      <c r="I554" s="937"/>
      <c r="J554" s="937"/>
      <c r="K554" s="937"/>
      <c r="L554" s="937"/>
      <c r="M554" s="937"/>
      <c r="N554" s="937"/>
      <c r="O554" s="937"/>
      <c r="P554" s="937"/>
      <c r="Q554" s="937"/>
      <c r="R554" s="937"/>
      <c r="S554" s="937"/>
      <c r="T554" s="937"/>
      <c r="U554" s="937"/>
      <c r="V554" s="937"/>
      <c r="W554" s="937"/>
      <c r="X554" s="937"/>
      <c r="Y554" s="937"/>
      <c r="Z554" s="937"/>
    </row>
    <row r="555" spans="1:26" ht="15.75" customHeight="1">
      <c r="A555" s="937"/>
      <c r="B555" s="937"/>
      <c r="C555" s="937"/>
      <c r="D555" s="937"/>
      <c r="E555" s="937"/>
      <c r="F555" s="937"/>
      <c r="G555" s="937"/>
      <c r="H555" s="937"/>
      <c r="I555" s="937"/>
      <c r="J555" s="937"/>
      <c r="K555" s="937"/>
      <c r="L555" s="937"/>
      <c r="M555" s="937"/>
      <c r="N555" s="937"/>
      <c r="O555" s="937"/>
      <c r="P555" s="937"/>
      <c r="Q555" s="937"/>
      <c r="R555" s="937"/>
      <c r="S555" s="937"/>
      <c r="T555" s="937"/>
      <c r="U555" s="937"/>
      <c r="V555" s="937"/>
      <c r="W555" s="937"/>
      <c r="X555" s="937"/>
      <c r="Y555" s="937"/>
      <c r="Z555" s="937"/>
    </row>
    <row r="556" spans="1:26" ht="15.75" customHeight="1">
      <c r="A556" s="937"/>
      <c r="B556" s="937"/>
      <c r="C556" s="937"/>
      <c r="D556" s="937"/>
      <c r="E556" s="937"/>
      <c r="F556" s="937"/>
      <c r="G556" s="937"/>
      <c r="H556" s="937"/>
      <c r="I556" s="937"/>
      <c r="J556" s="937"/>
      <c r="K556" s="937"/>
      <c r="L556" s="937"/>
      <c r="M556" s="937"/>
      <c r="N556" s="937"/>
      <c r="O556" s="937"/>
      <c r="P556" s="937"/>
      <c r="Q556" s="937"/>
      <c r="R556" s="937"/>
      <c r="S556" s="937"/>
      <c r="T556" s="937"/>
      <c r="U556" s="937"/>
      <c r="V556" s="937"/>
      <c r="W556" s="937"/>
      <c r="X556" s="937"/>
      <c r="Y556" s="937"/>
      <c r="Z556" s="937"/>
    </row>
    <row r="557" spans="1:26" ht="15.75" customHeight="1">
      <c r="A557" s="937"/>
      <c r="B557" s="937"/>
      <c r="C557" s="937"/>
      <c r="D557" s="937"/>
      <c r="E557" s="937"/>
      <c r="F557" s="937"/>
      <c r="G557" s="937"/>
      <c r="H557" s="937"/>
      <c r="I557" s="937"/>
      <c r="J557" s="937"/>
      <c r="K557" s="937"/>
      <c r="L557" s="937"/>
      <c r="M557" s="937"/>
      <c r="N557" s="937"/>
      <c r="O557" s="937"/>
      <c r="P557" s="937"/>
      <c r="Q557" s="937"/>
      <c r="R557" s="937"/>
      <c r="S557" s="937"/>
      <c r="T557" s="937"/>
      <c r="U557" s="937"/>
      <c r="V557" s="937"/>
      <c r="W557" s="937"/>
      <c r="X557" s="937"/>
      <c r="Y557" s="937"/>
      <c r="Z557" s="937"/>
    </row>
    <row r="558" spans="1:26" ht="15.75" customHeight="1">
      <c r="A558" s="937"/>
      <c r="B558" s="937"/>
      <c r="C558" s="937"/>
      <c r="D558" s="937"/>
      <c r="E558" s="937"/>
      <c r="F558" s="937"/>
      <c r="G558" s="937"/>
      <c r="H558" s="937"/>
      <c r="I558" s="937"/>
      <c r="J558" s="937"/>
      <c r="K558" s="937"/>
      <c r="L558" s="937"/>
      <c r="M558" s="937"/>
      <c r="N558" s="937"/>
      <c r="O558" s="937"/>
      <c r="P558" s="937"/>
      <c r="Q558" s="937"/>
      <c r="R558" s="937"/>
      <c r="S558" s="937"/>
      <c r="T558" s="937"/>
      <c r="U558" s="937"/>
      <c r="V558" s="937"/>
      <c r="W558" s="937"/>
      <c r="X558" s="937"/>
      <c r="Y558" s="937"/>
      <c r="Z558" s="937"/>
    </row>
    <row r="559" spans="1:26" ht="15.75" customHeight="1">
      <c r="A559" s="937"/>
      <c r="B559" s="937"/>
      <c r="C559" s="937"/>
      <c r="D559" s="937"/>
      <c r="E559" s="937"/>
      <c r="F559" s="937"/>
      <c r="G559" s="937"/>
      <c r="H559" s="937"/>
      <c r="I559" s="937"/>
      <c r="J559" s="937"/>
      <c r="K559" s="937"/>
      <c r="L559" s="937"/>
      <c r="M559" s="937"/>
      <c r="N559" s="937"/>
      <c r="O559" s="937"/>
      <c r="P559" s="937"/>
      <c r="Q559" s="937"/>
      <c r="R559" s="937"/>
      <c r="S559" s="937"/>
      <c r="T559" s="937"/>
      <c r="U559" s="937"/>
      <c r="V559" s="937"/>
      <c r="W559" s="937"/>
      <c r="X559" s="937"/>
      <c r="Y559" s="937"/>
      <c r="Z559" s="937"/>
    </row>
    <row r="560" spans="1:26" ht="15.75" customHeight="1">
      <c r="A560" s="937"/>
      <c r="B560" s="937"/>
      <c r="C560" s="937"/>
      <c r="D560" s="937"/>
      <c r="E560" s="937"/>
      <c r="F560" s="937"/>
      <c r="G560" s="937"/>
      <c r="H560" s="937"/>
      <c r="I560" s="937"/>
      <c r="J560" s="937"/>
      <c r="K560" s="937"/>
      <c r="L560" s="937"/>
      <c r="M560" s="937"/>
      <c r="N560" s="937"/>
      <c r="O560" s="937"/>
      <c r="P560" s="937"/>
      <c r="Q560" s="937"/>
      <c r="R560" s="937"/>
      <c r="S560" s="937"/>
      <c r="T560" s="937"/>
      <c r="U560" s="937"/>
      <c r="V560" s="937"/>
      <c r="W560" s="937"/>
      <c r="X560" s="937"/>
      <c r="Y560" s="937"/>
      <c r="Z560" s="937"/>
    </row>
    <row r="561" spans="1:26" ht="15.75" customHeight="1">
      <c r="A561" s="937"/>
      <c r="B561" s="937"/>
      <c r="C561" s="937"/>
      <c r="D561" s="937"/>
      <c r="E561" s="937"/>
      <c r="F561" s="937"/>
      <c r="G561" s="937"/>
      <c r="H561" s="937"/>
      <c r="I561" s="937"/>
      <c r="J561" s="937"/>
      <c r="K561" s="937"/>
      <c r="L561" s="937"/>
      <c r="M561" s="937"/>
      <c r="N561" s="937"/>
      <c r="O561" s="937"/>
      <c r="P561" s="937"/>
      <c r="Q561" s="937"/>
      <c r="R561" s="937"/>
      <c r="S561" s="937"/>
      <c r="T561" s="937"/>
      <c r="U561" s="937"/>
      <c r="V561" s="937"/>
      <c r="W561" s="937"/>
      <c r="X561" s="937"/>
      <c r="Y561" s="937"/>
      <c r="Z561" s="937"/>
    </row>
    <row r="562" spans="1:26" ht="15.75" customHeight="1">
      <c r="A562" s="937"/>
      <c r="B562" s="937"/>
      <c r="C562" s="937"/>
      <c r="D562" s="937"/>
      <c r="E562" s="937"/>
      <c r="F562" s="937"/>
      <c r="G562" s="937"/>
      <c r="H562" s="937"/>
      <c r="I562" s="937"/>
      <c r="J562" s="937"/>
      <c r="K562" s="937"/>
      <c r="L562" s="937"/>
      <c r="M562" s="937"/>
      <c r="N562" s="937"/>
      <c r="O562" s="937"/>
      <c r="P562" s="937"/>
      <c r="Q562" s="937"/>
      <c r="R562" s="937"/>
      <c r="S562" s="937"/>
      <c r="T562" s="937"/>
      <c r="U562" s="937"/>
      <c r="V562" s="937"/>
      <c r="W562" s="937"/>
      <c r="X562" s="937"/>
      <c r="Y562" s="937"/>
      <c r="Z562" s="937"/>
    </row>
    <row r="563" spans="1:26" ht="15.75" customHeight="1">
      <c r="A563" s="937"/>
      <c r="B563" s="937"/>
      <c r="C563" s="937"/>
      <c r="D563" s="937"/>
      <c r="E563" s="937"/>
      <c r="F563" s="937"/>
      <c r="G563" s="937"/>
      <c r="H563" s="937"/>
      <c r="I563" s="937"/>
      <c r="J563" s="937"/>
      <c r="K563" s="937"/>
      <c r="L563" s="937"/>
      <c r="M563" s="937"/>
      <c r="N563" s="937"/>
      <c r="O563" s="937"/>
      <c r="P563" s="937"/>
      <c r="Q563" s="937"/>
      <c r="R563" s="937"/>
      <c r="S563" s="937"/>
      <c r="T563" s="937"/>
      <c r="U563" s="937"/>
      <c r="V563" s="937"/>
      <c r="W563" s="937"/>
      <c r="X563" s="937"/>
      <c r="Y563" s="937"/>
      <c r="Z563" s="937"/>
    </row>
    <row r="564" spans="1:26" ht="15.75" customHeight="1">
      <c r="A564" s="937"/>
      <c r="B564" s="937"/>
      <c r="C564" s="937"/>
      <c r="D564" s="937"/>
      <c r="E564" s="937"/>
      <c r="F564" s="937"/>
      <c r="G564" s="937"/>
      <c r="H564" s="937"/>
      <c r="I564" s="937"/>
      <c r="J564" s="937"/>
      <c r="K564" s="937"/>
      <c r="L564" s="937"/>
      <c r="M564" s="937"/>
      <c r="N564" s="937"/>
      <c r="O564" s="937"/>
      <c r="P564" s="937"/>
      <c r="Q564" s="937"/>
      <c r="R564" s="937"/>
      <c r="S564" s="937"/>
      <c r="T564" s="937"/>
      <c r="U564" s="937"/>
      <c r="V564" s="937"/>
      <c r="W564" s="937"/>
      <c r="X564" s="937"/>
      <c r="Y564" s="937"/>
      <c r="Z564" s="937"/>
    </row>
    <row r="565" spans="1:26" ht="15.75" customHeight="1">
      <c r="A565" s="937"/>
      <c r="B565" s="937"/>
      <c r="C565" s="937"/>
      <c r="D565" s="937"/>
      <c r="E565" s="937"/>
      <c r="F565" s="937"/>
      <c r="G565" s="937"/>
      <c r="H565" s="937"/>
      <c r="I565" s="937"/>
      <c r="J565" s="937"/>
      <c r="K565" s="937"/>
      <c r="L565" s="937"/>
      <c r="M565" s="937"/>
      <c r="N565" s="937"/>
      <c r="O565" s="937"/>
      <c r="P565" s="937"/>
      <c r="Q565" s="937"/>
      <c r="R565" s="937"/>
      <c r="S565" s="937"/>
      <c r="T565" s="937"/>
      <c r="U565" s="937"/>
      <c r="V565" s="937"/>
      <c r="W565" s="937"/>
      <c r="X565" s="937"/>
      <c r="Y565" s="937"/>
      <c r="Z565" s="937"/>
    </row>
    <row r="566" spans="1:26" ht="15.75" customHeight="1">
      <c r="A566" s="937"/>
      <c r="B566" s="937"/>
      <c r="C566" s="937"/>
      <c r="D566" s="937"/>
      <c r="E566" s="937"/>
      <c r="F566" s="937"/>
      <c r="G566" s="937"/>
      <c r="H566" s="937"/>
      <c r="I566" s="937"/>
      <c r="J566" s="937"/>
      <c r="K566" s="937"/>
      <c r="L566" s="937"/>
      <c r="M566" s="937"/>
      <c r="N566" s="937"/>
      <c r="O566" s="937"/>
      <c r="P566" s="937"/>
      <c r="Q566" s="937"/>
      <c r="R566" s="937"/>
      <c r="S566" s="937"/>
      <c r="T566" s="937"/>
      <c r="U566" s="937"/>
      <c r="V566" s="937"/>
      <c r="W566" s="937"/>
      <c r="X566" s="937"/>
      <c r="Y566" s="937"/>
      <c r="Z566" s="937"/>
    </row>
    <row r="567" spans="1:26" ht="15.75" customHeight="1">
      <c r="A567" s="937"/>
      <c r="B567" s="937"/>
      <c r="C567" s="937"/>
      <c r="D567" s="937"/>
      <c r="E567" s="937"/>
      <c r="F567" s="937"/>
      <c r="G567" s="937"/>
      <c r="H567" s="937"/>
      <c r="I567" s="937"/>
      <c r="J567" s="937"/>
      <c r="K567" s="937"/>
      <c r="L567" s="937"/>
      <c r="M567" s="937"/>
      <c r="N567" s="937"/>
      <c r="O567" s="937"/>
      <c r="P567" s="937"/>
      <c r="Q567" s="937"/>
      <c r="R567" s="937"/>
      <c r="S567" s="937"/>
      <c r="T567" s="937"/>
      <c r="U567" s="937"/>
      <c r="V567" s="937"/>
      <c r="W567" s="937"/>
      <c r="X567" s="937"/>
      <c r="Y567" s="937"/>
      <c r="Z567" s="937"/>
    </row>
    <row r="568" spans="1:26" ht="15.75" customHeight="1">
      <c r="A568" s="937"/>
      <c r="B568" s="937"/>
      <c r="C568" s="937"/>
      <c r="D568" s="937"/>
      <c r="E568" s="937"/>
      <c r="F568" s="937"/>
      <c r="G568" s="937"/>
      <c r="H568" s="937"/>
      <c r="I568" s="937"/>
      <c r="J568" s="937"/>
      <c r="K568" s="937"/>
      <c r="L568" s="937"/>
      <c r="M568" s="937"/>
      <c r="N568" s="937"/>
      <c r="O568" s="937"/>
      <c r="P568" s="937"/>
      <c r="Q568" s="937"/>
      <c r="R568" s="937"/>
      <c r="S568" s="937"/>
      <c r="T568" s="937"/>
      <c r="U568" s="937"/>
      <c r="V568" s="937"/>
      <c r="W568" s="937"/>
      <c r="X568" s="937"/>
      <c r="Y568" s="937"/>
      <c r="Z568" s="937"/>
    </row>
    <row r="569" spans="1:26" ht="15.75" customHeight="1">
      <c r="A569" s="937"/>
      <c r="B569" s="937"/>
      <c r="C569" s="937"/>
      <c r="D569" s="937"/>
      <c r="E569" s="937"/>
      <c r="F569" s="937"/>
      <c r="G569" s="937"/>
      <c r="H569" s="937"/>
      <c r="I569" s="937"/>
      <c r="J569" s="937"/>
      <c r="K569" s="937"/>
      <c r="L569" s="937"/>
      <c r="M569" s="937"/>
      <c r="N569" s="937"/>
      <c r="O569" s="937"/>
      <c r="P569" s="937"/>
      <c r="Q569" s="937"/>
      <c r="R569" s="937"/>
      <c r="S569" s="937"/>
      <c r="T569" s="937"/>
      <c r="U569" s="937"/>
      <c r="V569" s="937"/>
      <c r="W569" s="937"/>
      <c r="X569" s="937"/>
      <c r="Y569" s="937"/>
      <c r="Z569" s="937"/>
    </row>
    <row r="570" spans="1:26" ht="15.75" customHeight="1">
      <c r="A570" s="937"/>
      <c r="B570" s="937"/>
      <c r="C570" s="937"/>
      <c r="D570" s="937"/>
      <c r="E570" s="937"/>
      <c r="F570" s="937"/>
      <c r="G570" s="937"/>
      <c r="H570" s="937"/>
      <c r="I570" s="937"/>
      <c r="J570" s="937"/>
      <c r="K570" s="937"/>
      <c r="L570" s="937"/>
      <c r="M570" s="937"/>
      <c r="N570" s="937"/>
      <c r="O570" s="937"/>
      <c r="P570" s="937"/>
      <c r="Q570" s="937"/>
      <c r="R570" s="937"/>
      <c r="S570" s="937"/>
      <c r="T570" s="937"/>
      <c r="U570" s="937"/>
      <c r="V570" s="937"/>
      <c r="W570" s="937"/>
      <c r="X570" s="937"/>
      <c r="Y570" s="937"/>
      <c r="Z570" s="937"/>
    </row>
    <row r="571" spans="1:26" ht="15.75" customHeight="1">
      <c r="A571" s="937"/>
      <c r="B571" s="937"/>
      <c r="C571" s="937"/>
      <c r="D571" s="937"/>
      <c r="E571" s="937"/>
      <c r="F571" s="937"/>
      <c r="G571" s="937"/>
      <c r="H571" s="937"/>
      <c r="I571" s="937"/>
      <c r="J571" s="937"/>
      <c r="K571" s="937"/>
      <c r="L571" s="937"/>
      <c r="M571" s="937"/>
      <c r="N571" s="937"/>
      <c r="O571" s="937"/>
      <c r="P571" s="937"/>
      <c r="Q571" s="937"/>
      <c r="R571" s="937"/>
      <c r="S571" s="937"/>
      <c r="T571" s="937"/>
      <c r="U571" s="937"/>
      <c r="V571" s="937"/>
      <c r="W571" s="937"/>
      <c r="X571" s="937"/>
      <c r="Y571" s="937"/>
      <c r="Z571" s="937"/>
    </row>
    <row r="572" spans="1:26" ht="15.75" customHeight="1">
      <c r="A572" s="937"/>
      <c r="B572" s="937"/>
      <c r="C572" s="937"/>
      <c r="D572" s="937"/>
      <c r="E572" s="937"/>
      <c r="F572" s="937"/>
      <c r="G572" s="937"/>
      <c r="H572" s="937"/>
      <c r="I572" s="937"/>
      <c r="J572" s="937"/>
      <c r="K572" s="937"/>
      <c r="L572" s="937"/>
      <c r="M572" s="937"/>
      <c r="N572" s="937"/>
      <c r="O572" s="937"/>
      <c r="P572" s="937"/>
      <c r="Q572" s="937"/>
      <c r="R572" s="937"/>
      <c r="S572" s="937"/>
      <c r="T572" s="937"/>
      <c r="U572" s="937"/>
      <c r="V572" s="937"/>
      <c r="W572" s="937"/>
      <c r="X572" s="937"/>
      <c r="Y572" s="937"/>
      <c r="Z572" s="937"/>
    </row>
    <row r="573" spans="1:26" ht="15.75" customHeight="1">
      <c r="A573" s="937"/>
      <c r="B573" s="937"/>
      <c r="C573" s="937"/>
      <c r="D573" s="937"/>
      <c r="E573" s="937"/>
      <c r="F573" s="937"/>
      <c r="G573" s="937"/>
      <c r="H573" s="937"/>
      <c r="I573" s="937"/>
      <c r="J573" s="937"/>
      <c r="K573" s="937"/>
      <c r="L573" s="937"/>
      <c r="M573" s="937"/>
      <c r="N573" s="937"/>
      <c r="O573" s="937"/>
      <c r="P573" s="937"/>
      <c r="Q573" s="937"/>
      <c r="R573" s="937"/>
      <c r="S573" s="937"/>
      <c r="T573" s="937"/>
      <c r="U573" s="937"/>
      <c r="V573" s="937"/>
      <c r="W573" s="937"/>
      <c r="X573" s="937"/>
      <c r="Y573" s="937"/>
      <c r="Z573" s="937"/>
    </row>
    <row r="574" spans="1:26" ht="15.75" customHeight="1">
      <c r="A574" s="937"/>
      <c r="B574" s="937"/>
      <c r="C574" s="937"/>
      <c r="D574" s="937"/>
      <c r="E574" s="937"/>
      <c r="F574" s="937"/>
      <c r="G574" s="937"/>
      <c r="H574" s="937"/>
      <c r="I574" s="937"/>
      <c r="J574" s="937"/>
      <c r="K574" s="937"/>
      <c r="L574" s="937"/>
      <c r="M574" s="937"/>
      <c r="N574" s="937"/>
      <c r="O574" s="937"/>
      <c r="P574" s="937"/>
      <c r="Q574" s="937"/>
      <c r="R574" s="937"/>
      <c r="S574" s="937"/>
      <c r="T574" s="937"/>
      <c r="U574" s="937"/>
      <c r="V574" s="937"/>
      <c r="W574" s="937"/>
      <c r="X574" s="937"/>
      <c r="Y574" s="937"/>
      <c r="Z574" s="937"/>
    </row>
    <row r="575" spans="1:26" ht="15.75" customHeight="1">
      <c r="A575" s="937"/>
      <c r="B575" s="937"/>
      <c r="C575" s="937"/>
      <c r="D575" s="937"/>
      <c r="E575" s="937"/>
      <c r="F575" s="937"/>
      <c r="G575" s="937"/>
      <c r="H575" s="937"/>
      <c r="I575" s="937"/>
      <c r="J575" s="937"/>
      <c r="K575" s="937"/>
      <c r="L575" s="937"/>
      <c r="M575" s="937"/>
      <c r="N575" s="937"/>
      <c r="O575" s="937"/>
      <c r="P575" s="937"/>
      <c r="Q575" s="937"/>
      <c r="R575" s="937"/>
      <c r="S575" s="937"/>
      <c r="T575" s="937"/>
      <c r="U575" s="937"/>
      <c r="V575" s="937"/>
      <c r="W575" s="937"/>
      <c r="X575" s="937"/>
      <c r="Y575" s="937"/>
      <c r="Z575" s="937"/>
    </row>
    <row r="576" spans="1:26" ht="15.75" customHeight="1">
      <c r="A576" s="937"/>
      <c r="B576" s="937"/>
      <c r="C576" s="937"/>
      <c r="D576" s="937"/>
      <c r="E576" s="937"/>
      <c r="F576" s="937"/>
      <c r="G576" s="937"/>
      <c r="H576" s="937"/>
      <c r="I576" s="937"/>
      <c r="J576" s="937"/>
      <c r="K576" s="937"/>
      <c r="L576" s="937"/>
      <c r="M576" s="937"/>
      <c r="N576" s="937"/>
      <c r="O576" s="937"/>
      <c r="P576" s="937"/>
      <c r="Q576" s="937"/>
      <c r="R576" s="937"/>
      <c r="S576" s="937"/>
      <c r="T576" s="937"/>
      <c r="U576" s="937"/>
      <c r="V576" s="937"/>
      <c r="W576" s="937"/>
      <c r="X576" s="937"/>
      <c r="Y576" s="937"/>
      <c r="Z576" s="937"/>
    </row>
    <row r="577" spans="1:26" ht="15.75" customHeight="1">
      <c r="A577" s="937"/>
      <c r="B577" s="937"/>
      <c r="C577" s="937"/>
      <c r="D577" s="937"/>
      <c r="E577" s="937"/>
      <c r="F577" s="937"/>
      <c r="G577" s="937"/>
      <c r="H577" s="937"/>
      <c r="I577" s="937"/>
      <c r="J577" s="937"/>
      <c r="K577" s="937"/>
      <c r="L577" s="937"/>
      <c r="M577" s="937"/>
      <c r="N577" s="937"/>
      <c r="O577" s="937"/>
      <c r="P577" s="937"/>
      <c r="Q577" s="937"/>
      <c r="R577" s="937"/>
      <c r="S577" s="937"/>
      <c r="T577" s="937"/>
      <c r="U577" s="937"/>
      <c r="V577" s="937"/>
      <c r="W577" s="937"/>
      <c r="X577" s="937"/>
      <c r="Y577" s="937"/>
      <c r="Z577" s="937"/>
    </row>
    <row r="578" spans="1:26" ht="15.75" customHeight="1">
      <c r="A578" s="937"/>
      <c r="B578" s="937"/>
      <c r="C578" s="937"/>
      <c r="D578" s="937"/>
      <c r="E578" s="937"/>
      <c r="F578" s="937"/>
      <c r="G578" s="937"/>
      <c r="H578" s="937"/>
      <c r="I578" s="937"/>
      <c r="J578" s="937"/>
      <c r="K578" s="937"/>
      <c r="L578" s="937"/>
      <c r="M578" s="937"/>
      <c r="N578" s="937"/>
      <c r="O578" s="937"/>
      <c r="P578" s="937"/>
      <c r="Q578" s="937"/>
      <c r="R578" s="937"/>
      <c r="S578" s="937"/>
      <c r="T578" s="937"/>
      <c r="U578" s="937"/>
      <c r="V578" s="937"/>
      <c r="W578" s="937"/>
      <c r="X578" s="937"/>
      <c r="Y578" s="937"/>
      <c r="Z578" s="937"/>
    </row>
    <row r="579" spans="1:26" ht="15.75" customHeight="1">
      <c r="A579" s="937"/>
      <c r="B579" s="937"/>
      <c r="C579" s="937"/>
      <c r="D579" s="937"/>
      <c r="E579" s="937"/>
      <c r="F579" s="937"/>
      <c r="G579" s="937"/>
      <c r="H579" s="937"/>
      <c r="I579" s="937"/>
      <c r="J579" s="937"/>
      <c r="K579" s="937"/>
      <c r="L579" s="937"/>
      <c r="M579" s="937"/>
      <c r="N579" s="937"/>
      <c r="O579" s="937"/>
      <c r="P579" s="937"/>
      <c r="Q579" s="937"/>
      <c r="R579" s="937"/>
      <c r="S579" s="937"/>
      <c r="T579" s="937"/>
      <c r="U579" s="937"/>
      <c r="V579" s="937"/>
      <c r="W579" s="937"/>
      <c r="X579" s="937"/>
      <c r="Y579" s="937"/>
      <c r="Z579" s="937"/>
    </row>
    <row r="580" spans="1:26" ht="15.75" customHeight="1">
      <c r="A580" s="937"/>
      <c r="B580" s="937"/>
      <c r="C580" s="937"/>
      <c r="D580" s="937"/>
      <c r="E580" s="937"/>
      <c r="F580" s="937"/>
      <c r="G580" s="937"/>
      <c r="H580" s="937"/>
      <c r="I580" s="937"/>
      <c r="J580" s="937"/>
      <c r="K580" s="937"/>
      <c r="L580" s="937"/>
      <c r="M580" s="937"/>
      <c r="N580" s="937"/>
      <c r="O580" s="937"/>
      <c r="P580" s="937"/>
      <c r="Q580" s="937"/>
      <c r="R580" s="937"/>
      <c r="S580" s="937"/>
      <c r="T580" s="937"/>
      <c r="U580" s="937"/>
      <c r="V580" s="937"/>
      <c r="W580" s="937"/>
      <c r="X580" s="937"/>
      <c r="Y580" s="937"/>
      <c r="Z580" s="937"/>
    </row>
    <row r="581" spans="1:26" ht="15.75" customHeight="1">
      <c r="A581" s="937"/>
      <c r="B581" s="937"/>
      <c r="C581" s="937"/>
      <c r="D581" s="937"/>
      <c r="E581" s="937"/>
      <c r="F581" s="937"/>
      <c r="G581" s="937"/>
      <c r="H581" s="937"/>
      <c r="I581" s="937"/>
      <c r="J581" s="937"/>
      <c r="K581" s="937"/>
      <c r="L581" s="937"/>
      <c r="M581" s="937"/>
      <c r="N581" s="937"/>
      <c r="O581" s="937"/>
      <c r="P581" s="937"/>
      <c r="Q581" s="937"/>
      <c r="R581" s="937"/>
      <c r="S581" s="937"/>
      <c r="T581" s="937"/>
      <c r="U581" s="937"/>
      <c r="V581" s="937"/>
      <c r="W581" s="937"/>
      <c r="X581" s="937"/>
      <c r="Y581" s="937"/>
      <c r="Z581" s="937"/>
    </row>
    <row r="582" spans="1:26" ht="15.75" customHeight="1">
      <c r="A582" s="937"/>
      <c r="B582" s="937"/>
      <c r="C582" s="937"/>
      <c r="D582" s="937"/>
      <c r="E582" s="937"/>
      <c r="F582" s="937"/>
      <c r="G582" s="937"/>
      <c r="H582" s="937"/>
      <c r="I582" s="937"/>
      <c r="J582" s="937"/>
      <c r="K582" s="937"/>
      <c r="L582" s="937"/>
      <c r="M582" s="937"/>
      <c r="N582" s="937"/>
      <c r="O582" s="937"/>
      <c r="P582" s="937"/>
      <c r="Q582" s="937"/>
      <c r="R582" s="937"/>
      <c r="S582" s="937"/>
      <c r="T582" s="937"/>
      <c r="U582" s="937"/>
      <c r="V582" s="937"/>
      <c r="W582" s="937"/>
      <c r="X582" s="937"/>
      <c r="Y582" s="937"/>
      <c r="Z582" s="937"/>
    </row>
    <row r="583" spans="1:26" ht="15.75" customHeight="1">
      <c r="A583" s="937"/>
      <c r="B583" s="937"/>
      <c r="C583" s="937"/>
      <c r="D583" s="937"/>
      <c r="E583" s="937"/>
      <c r="F583" s="937"/>
      <c r="G583" s="937"/>
      <c r="H583" s="937"/>
      <c r="I583" s="937"/>
      <c r="J583" s="937"/>
      <c r="K583" s="937"/>
      <c r="L583" s="937"/>
      <c r="M583" s="937"/>
      <c r="N583" s="937"/>
      <c r="O583" s="937"/>
      <c r="P583" s="937"/>
      <c r="Q583" s="937"/>
      <c r="R583" s="937"/>
      <c r="S583" s="937"/>
      <c r="T583" s="937"/>
      <c r="U583" s="937"/>
      <c r="V583" s="937"/>
      <c r="W583" s="937"/>
      <c r="X583" s="937"/>
      <c r="Y583" s="937"/>
      <c r="Z583" s="937"/>
    </row>
    <row r="584" spans="1:26" ht="15.75" customHeight="1">
      <c r="A584" s="937"/>
      <c r="B584" s="937"/>
      <c r="C584" s="937"/>
      <c r="D584" s="937"/>
      <c r="E584" s="937"/>
      <c r="F584" s="937"/>
      <c r="G584" s="937"/>
      <c r="H584" s="937"/>
      <c r="I584" s="937"/>
      <c r="J584" s="937"/>
      <c r="K584" s="937"/>
      <c r="L584" s="937"/>
      <c r="M584" s="937"/>
      <c r="N584" s="937"/>
      <c r="O584" s="937"/>
      <c r="P584" s="937"/>
      <c r="Q584" s="937"/>
      <c r="R584" s="937"/>
      <c r="S584" s="937"/>
      <c r="T584" s="937"/>
      <c r="U584" s="937"/>
      <c r="V584" s="937"/>
      <c r="W584" s="937"/>
      <c r="X584" s="937"/>
      <c r="Y584" s="937"/>
      <c r="Z584" s="937"/>
    </row>
    <row r="585" spans="1:26" ht="15.75" customHeight="1">
      <c r="A585" s="937"/>
      <c r="B585" s="937"/>
      <c r="C585" s="937"/>
      <c r="D585" s="937"/>
      <c r="E585" s="937"/>
      <c r="F585" s="937"/>
      <c r="G585" s="937"/>
      <c r="H585" s="937"/>
      <c r="I585" s="937"/>
      <c r="J585" s="937"/>
      <c r="K585" s="937"/>
      <c r="L585" s="937"/>
      <c r="M585" s="937"/>
      <c r="N585" s="937"/>
      <c r="O585" s="937"/>
      <c r="P585" s="937"/>
      <c r="Q585" s="937"/>
      <c r="R585" s="937"/>
      <c r="S585" s="937"/>
      <c r="T585" s="937"/>
      <c r="U585" s="937"/>
      <c r="V585" s="937"/>
      <c r="W585" s="937"/>
      <c r="X585" s="937"/>
      <c r="Y585" s="937"/>
      <c r="Z585" s="937"/>
    </row>
    <row r="586" spans="1:26" ht="15.75" customHeight="1">
      <c r="A586" s="937"/>
      <c r="B586" s="937"/>
      <c r="C586" s="937"/>
      <c r="D586" s="937"/>
      <c r="E586" s="937"/>
      <c r="F586" s="937"/>
      <c r="G586" s="937"/>
      <c r="H586" s="937"/>
      <c r="I586" s="937"/>
      <c r="J586" s="937"/>
      <c r="K586" s="937"/>
      <c r="L586" s="937"/>
      <c r="M586" s="937"/>
      <c r="N586" s="937"/>
      <c r="O586" s="937"/>
      <c r="P586" s="937"/>
      <c r="Q586" s="937"/>
      <c r="R586" s="937"/>
      <c r="S586" s="937"/>
      <c r="T586" s="937"/>
      <c r="U586" s="937"/>
      <c r="V586" s="937"/>
      <c r="W586" s="937"/>
      <c r="X586" s="937"/>
      <c r="Y586" s="937"/>
      <c r="Z586" s="937"/>
    </row>
    <row r="587" spans="1:26" ht="15.75" customHeight="1">
      <c r="A587" s="937"/>
      <c r="B587" s="937"/>
      <c r="C587" s="937"/>
      <c r="D587" s="937"/>
      <c r="E587" s="937"/>
      <c r="F587" s="937"/>
      <c r="G587" s="937"/>
      <c r="H587" s="937"/>
      <c r="I587" s="937"/>
      <c r="J587" s="937"/>
      <c r="K587" s="937"/>
      <c r="L587" s="937"/>
      <c r="M587" s="937"/>
      <c r="N587" s="937"/>
      <c r="O587" s="937"/>
      <c r="P587" s="937"/>
      <c r="Q587" s="937"/>
      <c r="R587" s="937"/>
      <c r="S587" s="937"/>
      <c r="T587" s="937"/>
      <c r="U587" s="937"/>
      <c r="V587" s="937"/>
      <c r="W587" s="937"/>
      <c r="X587" s="937"/>
      <c r="Y587" s="937"/>
      <c r="Z587" s="937"/>
    </row>
    <row r="588" spans="1:26" ht="15.75" customHeight="1">
      <c r="A588" s="937"/>
      <c r="B588" s="937"/>
      <c r="C588" s="937"/>
      <c r="D588" s="937"/>
      <c r="E588" s="937"/>
      <c r="F588" s="937"/>
      <c r="G588" s="937"/>
      <c r="H588" s="937"/>
      <c r="I588" s="937"/>
      <c r="J588" s="937"/>
      <c r="K588" s="937"/>
      <c r="L588" s="937"/>
      <c r="M588" s="937"/>
      <c r="N588" s="937"/>
      <c r="O588" s="937"/>
      <c r="P588" s="937"/>
      <c r="Q588" s="937"/>
      <c r="R588" s="937"/>
      <c r="S588" s="937"/>
      <c r="T588" s="937"/>
      <c r="U588" s="937"/>
      <c r="V588" s="937"/>
      <c r="W588" s="937"/>
      <c r="X588" s="937"/>
      <c r="Y588" s="937"/>
      <c r="Z588" s="937"/>
    </row>
    <row r="589" spans="1:26" ht="15.75" customHeight="1">
      <c r="A589" s="937"/>
      <c r="B589" s="937"/>
      <c r="C589" s="937"/>
      <c r="D589" s="937"/>
      <c r="E589" s="937"/>
      <c r="F589" s="937"/>
      <c r="G589" s="937"/>
      <c r="H589" s="937"/>
      <c r="I589" s="937"/>
      <c r="J589" s="937"/>
      <c r="K589" s="937"/>
      <c r="L589" s="937"/>
      <c r="M589" s="937"/>
      <c r="N589" s="937"/>
      <c r="O589" s="937"/>
      <c r="P589" s="937"/>
      <c r="Q589" s="937"/>
      <c r="R589" s="937"/>
      <c r="S589" s="937"/>
      <c r="T589" s="937"/>
      <c r="U589" s="937"/>
      <c r="V589" s="937"/>
      <c r="W589" s="937"/>
      <c r="X589" s="937"/>
      <c r="Y589" s="937"/>
      <c r="Z589" s="937"/>
    </row>
    <row r="590" spans="1:26" ht="15.75" customHeight="1">
      <c r="A590" s="937"/>
      <c r="B590" s="937"/>
      <c r="C590" s="937"/>
      <c r="D590" s="937"/>
      <c r="E590" s="937"/>
      <c r="F590" s="937"/>
      <c r="G590" s="937"/>
      <c r="H590" s="937"/>
      <c r="I590" s="937"/>
      <c r="J590" s="937"/>
      <c r="K590" s="937"/>
      <c r="L590" s="937"/>
      <c r="M590" s="937"/>
      <c r="N590" s="937"/>
      <c r="O590" s="937"/>
      <c r="P590" s="937"/>
      <c r="Q590" s="937"/>
      <c r="R590" s="937"/>
      <c r="S590" s="937"/>
      <c r="T590" s="937"/>
      <c r="U590" s="937"/>
      <c r="V590" s="937"/>
      <c r="W590" s="937"/>
      <c r="X590" s="937"/>
      <c r="Y590" s="937"/>
      <c r="Z590" s="937"/>
    </row>
    <row r="591" spans="1:26" ht="15.75" customHeight="1">
      <c r="A591" s="937"/>
      <c r="B591" s="937"/>
      <c r="C591" s="937"/>
      <c r="D591" s="937"/>
      <c r="E591" s="937"/>
      <c r="F591" s="937"/>
      <c r="G591" s="937"/>
      <c r="H591" s="937"/>
      <c r="I591" s="937"/>
      <c r="J591" s="937"/>
      <c r="K591" s="937"/>
      <c r="L591" s="937"/>
      <c r="M591" s="937"/>
      <c r="N591" s="937"/>
      <c r="O591" s="937"/>
      <c r="P591" s="937"/>
      <c r="Q591" s="937"/>
      <c r="R591" s="937"/>
      <c r="S591" s="937"/>
      <c r="T591" s="937"/>
      <c r="U591" s="937"/>
      <c r="V591" s="937"/>
      <c r="W591" s="937"/>
      <c r="X591" s="937"/>
      <c r="Y591" s="937"/>
      <c r="Z591" s="937"/>
    </row>
    <row r="592" spans="1:26" ht="15.75" customHeight="1">
      <c r="A592" s="937"/>
      <c r="B592" s="937"/>
      <c r="C592" s="937"/>
      <c r="D592" s="937"/>
      <c r="E592" s="937"/>
      <c r="F592" s="937"/>
      <c r="G592" s="937"/>
      <c r="H592" s="937"/>
      <c r="I592" s="937"/>
      <c r="J592" s="937"/>
      <c r="K592" s="937"/>
      <c r="L592" s="937"/>
      <c r="M592" s="937"/>
      <c r="N592" s="937"/>
      <c r="O592" s="937"/>
      <c r="P592" s="937"/>
      <c r="Q592" s="937"/>
      <c r="R592" s="937"/>
      <c r="S592" s="937"/>
      <c r="T592" s="937"/>
      <c r="U592" s="937"/>
      <c r="V592" s="937"/>
      <c r="W592" s="937"/>
      <c r="X592" s="937"/>
      <c r="Y592" s="937"/>
      <c r="Z592" s="937"/>
    </row>
    <row r="593" spans="1:26" ht="15.75" customHeight="1">
      <c r="A593" s="937"/>
      <c r="B593" s="937"/>
      <c r="C593" s="937"/>
      <c r="D593" s="937"/>
      <c r="E593" s="937"/>
      <c r="F593" s="937"/>
      <c r="G593" s="937"/>
      <c r="H593" s="937"/>
      <c r="I593" s="937"/>
      <c r="J593" s="937"/>
      <c r="K593" s="937"/>
      <c r="L593" s="937"/>
      <c r="M593" s="937"/>
      <c r="N593" s="937"/>
      <c r="O593" s="937"/>
      <c r="P593" s="937"/>
      <c r="Q593" s="937"/>
      <c r="R593" s="937"/>
      <c r="S593" s="937"/>
      <c r="T593" s="937"/>
      <c r="U593" s="937"/>
      <c r="V593" s="937"/>
      <c r="W593" s="937"/>
      <c r="X593" s="937"/>
      <c r="Y593" s="937"/>
      <c r="Z593" s="937"/>
    </row>
    <row r="594" spans="1:26" ht="15.75" customHeight="1">
      <c r="A594" s="937"/>
      <c r="B594" s="937"/>
      <c r="C594" s="937"/>
      <c r="D594" s="937"/>
      <c r="E594" s="937"/>
      <c r="F594" s="937"/>
      <c r="G594" s="937"/>
      <c r="H594" s="937"/>
      <c r="I594" s="937"/>
      <c r="J594" s="937"/>
      <c r="K594" s="937"/>
      <c r="L594" s="937"/>
      <c r="M594" s="937"/>
      <c r="N594" s="937"/>
      <c r="O594" s="937"/>
      <c r="P594" s="937"/>
      <c r="Q594" s="937"/>
      <c r="R594" s="937"/>
      <c r="S594" s="937"/>
      <c r="T594" s="937"/>
      <c r="U594" s="937"/>
      <c r="V594" s="937"/>
      <c r="W594" s="937"/>
      <c r="X594" s="937"/>
      <c r="Y594" s="937"/>
      <c r="Z594" s="937"/>
    </row>
    <row r="595" spans="1:26" ht="15.75" customHeight="1">
      <c r="A595" s="937"/>
      <c r="B595" s="937"/>
      <c r="C595" s="937"/>
      <c r="D595" s="937"/>
      <c r="E595" s="937"/>
      <c r="F595" s="937"/>
      <c r="G595" s="937"/>
      <c r="H595" s="937"/>
      <c r="I595" s="937"/>
      <c r="J595" s="937"/>
      <c r="K595" s="937"/>
      <c r="L595" s="937"/>
      <c r="M595" s="937"/>
      <c r="N595" s="937"/>
      <c r="O595" s="937"/>
      <c r="P595" s="937"/>
      <c r="Q595" s="937"/>
      <c r="R595" s="937"/>
      <c r="S595" s="937"/>
      <c r="T595" s="937"/>
      <c r="U595" s="937"/>
      <c r="V595" s="937"/>
      <c r="W595" s="937"/>
      <c r="X595" s="937"/>
      <c r="Y595" s="937"/>
      <c r="Z595" s="937"/>
    </row>
    <row r="596" spans="1:26" ht="15.75" customHeight="1">
      <c r="A596" s="937"/>
      <c r="B596" s="937"/>
      <c r="C596" s="937"/>
      <c r="D596" s="937"/>
      <c r="E596" s="937"/>
      <c r="F596" s="937"/>
      <c r="G596" s="937"/>
      <c r="H596" s="937"/>
      <c r="I596" s="937"/>
      <c r="J596" s="937"/>
      <c r="K596" s="937"/>
      <c r="L596" s="937"/>
      <c r="M596" s="937"/>
      <c r="N596" s="937"/>
      <c r="O596" s="937"/>
      <c r="P596" s="937"/>
      <c r="Q596" s="937"/>
      <c r="R596" s="937"/>
      <c r="S596" s="937"/>
      <c r="T596" s="937"/>
      <c r="U596" s="937"/>
      <c r="V596" s="937"/>
      <c r="W596" s="937"/>
      <c r="X596" s="937"/>
      <c r="Y596" s="937"/>
      <c r="Z596" s="937"/>
    </row>
    <row r="597" spans="1:26" ht="15.75" customHeight="1">
      <c r="A597" s="937"/>
      <c r="B597" s="937"/>
      <c r="C597" s="937"/>
      <c r="D597" s="937"/>
      <c r="E597" s="937"/>
      <c r="F597" s="937"/>
      <c r="G597" s="937"/>
      <c r="H597" s="937"/>
      <c r="I597" s="937"/>
      <c r="J597" s="937"/>
      <c r="K597" s="937"/>
      <c r="L597" s="937"/>
      <c r="M597" s="937"/>
      <c r="N597" s="937"/>
      <c r="O597" s="937"/>
      <c r="P597" s="937"/>
      <c r="Q597" s="937"/>
      <c r="R597" s="937"/>
      <c r="S597" s="937"/>
      <c r="T597" s="937"/>
      <c r="U597" s="937"/>
      <c r="V597" s="937"/>
      <c r="W597" s="937"/>
      <c r="X597" s="937"/>
      <c r="Y597" s="937"/>
      <c r="Z597" s="937"/>
    </row>
    <row r="598" spans="1:26" ht="15.75" customHeight="1">
      <c r="A598" s="937"/>
      <c r="B598" s="937"/>
      <c r="C598" s="937"/>
      <c r="D598" s="937"/>
      <c r="E598" s="937"/>
      <c r="F598" s="937"/>
      <c r="G598" s="937"/>
      <c r="H598" s="937"/>
      <c r="I598" s="937"/>
      <c r="J598" s="937"/>
      <c r="K598" s="937"/>
      <c r="L598" s="937"/>
      <c r="M598" s="937"/>
      <c r="N598" s="937"/>
      <c r="O598" s="937"/>
      <c r="P598" s="937"/>
      <c r="Q598" s="937"/>
      <c r="R598" s="937"/>
      <c r="S598" s="937"/>
      <c r="T598" s="937"/>
      <c r="U598" s="937"/>
      <c r="V598" s="937"/>
      <c r="W598" s="937"/>
      <c r="X598" s="937"/>
      <c r="Y598" s="937"/>
      <c r="Z598" s="937"/>
    </row>
    <row r="599" spans="1:26" ht="15.75" customHeight="1">
      <c r="A599" s="937"/>
      <c r="B599" s="937"/>
      <c r="C599" s="937"/>
      <c r="D599" s="937"/>
      <c r="E599" s="937"/>
      <c r="F599" s="937"/>
      <c r="G599" s="937"/>
      <c r="H599" s="937"/>
      <c r="I599" s="937"/>
      <c r="J599" s="937"/>
      <c r="K599" s="937"/>
      <c r="L599" s="937"/>
      <c r="M599" s="937"/>
      <c r="N599" s="937"/>
      <c r="O599" s="937"/>
      <c r="P599" s="937"/>
      <c r="Q599" s="937"/>
      <c r="R599" s="937"/>
      <c r="S599" s="937"/>
      <c r="T599" s="937"/>
      <c r="U599" s="937"/>
      <c r="V599" s="937"/>
      <c r="W599" s="937"/>
      <c r="X599" s="937"/>
      <c r="Y599" s="937"/>
      <c r="Z599" s="937"/>
    </row>
    <row r="600" spans="1:26" ht="15.75" customHeight="1">
      <c r="A600" s="937"/>
      <c r="B600" s="937"/>
      <c r="C600" s="937"/>
      <c r="D600" s="937"/>
      <c r="E600" s="937"/>
      <c r="F600" s="937"/>
      <c r="G600" s="937"/>
      <c r="H600" s="937"/>
      <c r="I600" s="937"/>
      <c r="J600" s="937"/>
      <c r="K600" s="937"/>
      <c r="L600" s="937"/>
      <c r="M600" s="937"/>
      <c r="N600" s="937"/>
      <c r="O600" s="937"/>
      <c r="P600" s="937"/>
      <c r="Q600" s="937"/>
      <c r="R600" s="937"/>
      <c r="S600" s="937"/>
      <c r="T600" s="937"/>
      <c r="U600" s="937"/>
      <c r="V600" s="937"/>
      <c r="W600" s="937"/>
      <c r="X600" s="937"/>
      <c r="Y600" s="937"/>
      <c r="Z600" s="937"/>
    </row>
    <row r="601" spans="1:26" ht="15.75" customHeight="1">
      <c r="A601" s="937"/>
      <c r="B601" s="937"/>
      <c r="C601" s="937"/>
      <c r="D601" s="937"/>
      <c r="E601" s="937"/>
      <c r="F601" s="937"/>
      <c r="G601" s="937"/>
      <c r="H601" s="937"/>
      <c r="I601" s="937"/>
      <c r="J601" s="937"/>
      <c r="K601" s="937"/>
      <c r="L601" s="937"/>
      <c r="M601" s="937"/>
      <c r="N601" s="937"/>
      <c r="O601" s="937"/>
      <c r="P601" s="937"/>
      <c r="Q601" s="937"/>
      <c r="R601" s="937"/>
      <c r="S601" s="937"/>
      <c r="T601" s="937"/>
      <c r="U601" s="937"/>
      <c r="V601" s="937"/>
      <c r="W601" s="937"/>
      <c r="X601" s="937"/>
      <c r="Y601" s="937"/>
      <c r="Z601" s="937"/>
    </row>
    <row r="602" spans="1:26" ht="15.75" customHeight="1">
      <c r="A602" s="937"/>
      <c r="B602" s="937"/>
      <c r="C602" s="937"/>
      <c r="D602" s="937"/>
      <c r="E602" s="937"/>
      <c r="F602" s="937"/>
      <c r="G602" s="937"/>
      <c r="H602" s="937"/>
      <c r="I602" s="937"/>
      <c r="J602" s="937"/>
      <c r="K602" s="937"/>
      <c r="L602" s="937"/>
      <c r="M602" s="937"/>
      <c r="N602" s="937"/>
      <c r="O602" s="937"/>
      <c r="P602" s="937"/>
      <c r="Q602" s="937"/>
      <c r="R602" s="937"/>
      <c r="S602" s="937"/>
      <c r="T602" s="937"/>
      <c r="U602" s="937"/>
      <c r="V602" s="937"/>
      <c r="W602" s="937"/>
      <c r="X602" s="937"/>
      <c r="Y602" s="937"/>
      <c r="Z602" s="937"/>
    </row>
    <row r="603" spans="1:26" ht="15.75" customHeight="1">
      <c r="A603" s="937"/>
      <c r="B603" s="937"/>
      <c r="C603" s="937"/>
      <c r="D603" s="937"/>
      <c r="E603" s="937"/>
      <c r="F603" s="937"/>
      <c r="G603" s="937"/>
      <c r="H603" s="937"/>
      <c r="I603" s="937"/>
      <c r="J603" s="937"/>
      <c r="K603" s="937"/>
      <c r="L603" s="937"/>
      <c r="M603" s="937"/>
      <c r="N603" s="937"/>
      <c r="O603" s="937"/>
      <c r="P603" s="937"/>
      <c r="Q603" s="937"/>
      <c r="R603" s="937"/>
      <c r="S603" s="937"/>
      <c r="T603" s="937"/>
      <c r="U603" s="937"/>
      <c r="V603" s="937"/>
      <c r="W603" s="937"/>
      <c r="X603" s="937"/>
      <c r="Y603" s="937"/>
      <c r="Z603" s="937"/>
    </row>
    <row r="604" spans="1:26" ht="15.75" customHeight="1">
      <c r="A604" s="937"/>
      <c r="B604" s="937"/>
      <c r="C604" s="937"/>
      <c r="D604" s="937"/>
      <c r="E604" s="937"/>
      <c r="F604" s="937"/>
      <c r="G604" s="937"/>
      <c r="H604" s="937"/>
      <c r="I604" s="937"/>
      <c r="J604" s="937"/>
      <c r="K604" s="937"/>
      <c r="L604" s="937"/>
      <c r="M604" s="937"/>
      <c r="N604" s="937"/>
      <c r="O604" s="937"/>
      <c r="P604" s="937"/>
      <c r="Q604" s="937"/>
      <c r="R604" s="937"/>
      <c r="S604" s="937"/>
      <c r="T604" s="937"/>
      <c r="U604" s="937"/>
      <c r="V604" s="937"/>
      <c r="W604" s="937"/>
      <c r="X604" s="937"/>
      <c r="Y604" s="937"/>
      <c r="Z604" s="937"/>
    </row>
    <row r="605" spans="1:26" ht="15.75" customHeight="1">
      <c r="A605" s="937"/>
      <c r="B605" s="937"/>
      <c r="C605" s="937"/>
      <c r="D605" s="937"/>
      <c r="E605" s="937"/>
      <c r="F605" s="937"/>
      <c r="G605" s="937"/>
      <c r="H605" s="937"/>
      <c r="I605" s="937"/>
      <c r="J605" s="937"/>
      <c r="K605" s="937"/>
      <c r="L605" s="937"/>
      <c r="M605" s="937"/>
      <c r="N605" s="937"/>
      <c r="O605" s="937"/>
      <c r="P605" s="937"/>
      <c r="Q605" s="937"/>
      <c r="R605" s="937"/>
      <c r="S605" s="937"/>
      <c r="T605" s="937"/>
      <c r="U605" s="937"/>
      <c r="V605" s="937"/>
      <c r="W605" s="937"/>
      <c r="X605" s="937"/>
      <c r="Y605" s="937"/>
      <c r="Z605" s="937"/>
    </row>
    <row r="606" spans="1:26" ht="15.75" customHeight="1">
      <c r="A606" s="937"/>
      <c r="B606" s="937"/>
      <c r="C606" s="937"/>
      <c r="D606" s="937"/>
      <c r="E606" s="937"/>
      <c r="F606" s="937"/>
      <c r="G606" s="937"/>
      <c r="H606" s="937"/>
      <c r="I606" s="937"/>
      <c r="J606" s="937"/>
      <c r="K606" s="937"/>
      <c r="L606" s="937"/>
      <c r="M606" s="937"/>
      <c r="N606" s="937"/>
      <c r="O606" s="937"/>
      <c r="P606" s="937"/>
      <c r="Q606" s="937"/>
      <c r="R606" s="937"/>
      <c r="S606" s="937"/>
      <c r="T606" s="937"/>
      <c r="U606" s="937"/>
      <c r="V606" s="937"/>
      <c r="W606" s="937"/>
      <c r="X606" s="937"/>
      <c r="Y606" s="937"/>
      <c r="Z606" s="937"/>
    </row>
    <row r="607" spans="1:26" ht="15.75" customHeight="1">
      <c r="A607" s="937"/>
      <c r="B607" s="937"/>
      <c r="C607" s="937"/>
      <c r="D607" s="937"/>
      <c r="E607" s="937"/>
      <c r="F607" s="937"/>
      <c r="G607" s="937"/>
      <c r="H607" s="937"/>
      <c r="I607" s="937"/>
      <c r="J607" s="937"/>
      <c r="K607" s="937"/>
      <c r="L607" s="937"/>
      <c r="M607" s="937"/>
      <c r="N607" s="937"/>
      <c r="O607" s="937"/>
      <c r="P607" s="937"/>
      <c r="Q607" s="937"/>
      <c r="R607" s="937"/>
      <c r="S607" s="937"/>
      <c r="T607" s="937"/>
      <c r="U607" s="937"/>
      <c r="V607" s="937"/>
      <c r="W607" s="937"/>
      <c r="X607" s="937"/>
      <c r="Y607" s="937"/>
      <c r="Z607" s="937"/>
    </row>
    <row r="608" spans="1:26" ht="15.75" customHeight="1">
      <c r="A608" s="937"/>
      <c r="B608" s="937"/>
      <c r="C608" s="937"/>
      <c r="D608" s="937"/>
      <c r="E608" s="937"/>
      <c r="F608" s="937"/>
      <c r="G608" s="937"/>
      <c r="H608" s="937"/>
      <c r="I608" s="937"/>
      <c r="J608" s="937"/>
      <c r="K608" s="937"/>
      <c r="L608" s="937"/>
      <c r="M608" s="937"/>
      <c r="N608" s="937"/>
      <c r="O608" s="937"/>
      <c r="P608" s="937"/>
      <c r="Q608" s="937"/>
      <c r="R608" s="937"/>
      <c r="S608" s="937"/>
      <c r="T608" s="937"/>
      <c r="U608" s="937"/>
      <c r="V608" s="937"/>
      <c r="W608" s="937"/>
      <c r="X608" s="937"/>
      <c r="Y608" s="937"/>
      <c r="Z608" s="937"/>
    </row>
    <row r="609" spans="1:26" ht="15.75" customHeight="1">
      <c r="A609" s="937"/>
      <c r="B609" s="937"/>
      <c r="C609" s="937"/>
      <c r="D609" s="937"/>
      <c r="E609" s="937"/>
      <c r="F609" s="937"/>
      <c r="G609" s="937"/>
      <c r="H609" s="937"/>
      <c r="I609" s="937"/>
      <c r="J609" s="937"/>
      <c r="K609" s="937"/>
      <c r="L609" s="937"/>
      <c r="M609" s="937"/>
      <c r="N609" s="937"/>
      <c r="O609" s="937"/>
      <c r="P609" s="937"/>
      <c r="Q609" s="937"/>
      <c r="R609" s="937"/>
      <c r="S609" s="937"/>
      <c r="T609" s="937"/>
      <c r="U609" s="937"/>
      <c r="V609" s="937"/>
      <c r="W609" s="937"/>
      <c r="X609" s="937"/>
      <c r="Y609" s="937"/>
      <c r="Z609" s="937"/>
    </row>
    <row r="610" spans="1:26" ht="15.75" customHeight="1">
      <c r="A610" s="937"/>
      <c r="B610" s="937"/>
      <c r="C610" s="937"/>
      <c r="D610" s="937"/>
      <c r="E610" s="937"/>
      <c r="F610" s="937"/>
      <c r="G610" s="937"/>
      <c r="H610" s="937"/>
      <c r="I610" s="937"/>
      <c r="J610" s="937"/>
      <c r="K610" s="937"/>
      <c r="L610" s="937"/>
      <c r="M610" s="937"/>
      <c r="N610" s="937"/>
      <c r="O610" s="937"/>
      <c r="P610" s="937"/>
      <c r="Q610" s="937"/>
      <c r="R610" s="937"/>
      <c r="S610" s="937"/>
      <c r="T610" s="937"/>
      <c r="U610" s="937"/>
      <c r="V610" s="937"/>
      <c r="W610" s="937"/>
      <c r="X610" s="937"/>
      <c r="Y610" s="937"/>
      <c r="Z610" s="937"/>
    </row>
    <row r="611" spans="1:26" ht="15.75" customHeight="1">
      <c r="A611" s="937"/>
      <c r="B611" s="937"/>
      <c r="C611" s="937"/>
      <c r="D611" s="937"/>
      <c r="E611" s="937"/>
      <c r="F611" s="937"/>
      <c r="G611" s="937"/>
      <c r="H611" s="937"/>
      <c r="I611" s="937"/>
      <c r="J611" s="937"/>
      <c r="K611" s="937"/>
      <c r="L611" s="937"/>
      <c r="M611" s="937"/>
      <c r="N611" s="937"/>
      <c r="O611" s="937"/>
      <c r="P611" s="937"/>
      <c r="Q611" s="937"/>
      <c r="R611" s="937"/>
      <c r="S611" s="937"/>
      <c r="T611" s="937"/>
      <c r="U611" s="937"/>
      <c r="V611" s="937"/>
      <c r="W611" s="937"/>
      <c r="X611" s="937"/>
      <c r="Y611" s="937"/>
      <c r="Z611" s="937"/>
    </row>
    <row r="612" spans="1:26" ht="15.75" customHeight="1">
      <c r="A612" s="937"/>
      <c r="B612" s="937"/>
      <c r="C612" s="937"/>
      <c r="D612" s="937"/>
      <c r="E612" s="937"/>
      <c r="F612" s="937"/>
      <c r="G612" s="937"/>
      <c r="H612" s="937"/>
      <c r="I612" s="937"/>
      <c r="J612" s="937"/>
      <c r="K612" s="937"/>
      <c r="L612" s="937"/>
      <c r="M612" s="937"/>
      <c r="N612" s="937"/>
      <c r="O612" s="937"/>
      <c r="P612" s="937"/>
      <c r="Q612" s="937"/>
      <c r="R612" s="937"/>
      <c r="S612" s="937"/>
      <c r="T612" s="937"/>
      <c r="U612" s="937"/>
      <c r="V612" s="937"/>
      <c r="W612" s="937"/>
      <c r="X612" s="937"/>
      <c r="Y612" s="937"/>
      <c r="Z612" s="937"/>
    </row>
    <row r="613" spans="1:26" ht="15.75" customHeight="1">
      <c r="A613" s="937"/>
      <c r="B613" s="937"/>
      <c r="C613" s="937"/>
      <c r="D613" s="937"/>
      <c r="E613" s="937"/>
      <c r="F613" s="937"/>
      <c r="G613" s="937"/>
      <c r="H613" s="937"/>
      <c r="I613" s="937"/>
      <c r="J613" s="937"/>
      <c r="K613" s="937"/>
      <c r="L613" s="937"/>
      <c r="M613" s="937"/>
      <c r="N613" s="937"/>
      <c r="O613" s="937"/>
      <c r="P613" s="937"/>
      <c r="Q613" s="937"/>
      <c r="R613" s="937"/>
      <c r="S613" s="937"/>
      <c r="T613" s="937"/>
      <c r="U613" s="937"/>
      <c r="V613" s="937"/>
      <c r="W613" s="937"/>
      <c r="X613" s="937"/>
      <c r="Y613" s="937"/>
      <c r="Z613" s="937"/>
    </row>
    <row r="614" spans="1:26" ht="15.75" customHeight="1">
      <c r="A614" s="937"/>
      <c r="B614" s="937"/>
      <c r="C614" s="937"/>
      <c r="D614" s="937"/>
      <c r="E614" s="937"/>
      <c r="F614" s="937"/>
      <c r="G614" s="937"/>
      <c r="H614" s="937"/>
      <c r="I614" s="937"/>
      <c r="J614" s="937"/>
      <c r="K614" s="937"/>
      <c r="L614" s="937"/>
      <c r="M614" s="937"/>
      <c r="N614" s="937"/>
      <c r="O614" s="937"/>
      <c r="P614" s="937"/>
      <c r="Q614" s="937"/>
      <c r="R614" s="937"/>
      <c r="S614" s="937"/>
      <c r="T614" s="937"/>
      <c r="U614" s="937"/>
      <c r="V614" s="937"/>
      <c r="W614" s="937"/>
      <c r="X614" s="937"/>
      <c r="Y614" s="937"/>
      <c r="Z614" s="937"/>
    </row>
    <row r="615" spans="1:26" ht="15.75" customHeight="1">
      <c r="A615" s="937"/>
      <c r="B615" s="937"/>
      <c r="C615" s="937"/>
      <c r="D615" s="937"/>
      <c r="E615" s="937"/>
      <c r="F615" s="937"/>
      <c r="G615" s="937"/>
      <c r="H615" s="937"/>
      <c r="I615" s="937"/>
      <c r="J615" s="937"/>
      <c r="K615" s="937"/>
      <c r="L615" s="937"/>
      <c r="M615" s="937"/>
      <c r="N615" s="937"/>
      <c r="O615" s="937"/>
      <c r="P615" s="937"/>
      <c r="Q615" s="937"/>
      <c r="R615" s="937"/>
      <c r="S615" s="937"/>
      <c r="T615" s="937"/>
      <c r="U615" s="937"/>
      <c r="V615" s="937"/>
      <c r="W615" s="937"/>
      <c r="X615" s="937"/>
      <c r="Y615" s="937"/>
      <c r="Z615" s="937"/>
    </row>
    <row r="616" spans="1:26" ht="15.75" customHeight="1">
      <c r="A616" s="937"/>
      <c r="B616" s="937"/>
      <c r="C616" s="937"/>
      <c r="D616" s="937"/>
      <c r="E616" s="937"/>
      <c r="F616" s="937"/>
      <c r="G616" s="937"/>
      <c r="H616" s="937"/>
      <c r="I616" s="937"/>
      <c r="J616" s="937"/>
      <c r="K616" s="937"/>
      <c r="L616" s="937"/>
      <c r="M616" s="937"/>
      <c r="N616" s="937"/>
      <c r="O616" s="937"/>
      <c r="P616" s="937"/>
      <c r="Q616" s="937"/>
      <c r="R616" s="937"/>
      <c r="S616" s="937"/>
      <c r="T616" s="937"/>
      <c r="U616" s="937"/>
      <c r="V616" s="937"/>
      <c r="W616" s="937"/>
      <c r="X616" s="937"/>
      <c r="Y616" s="937"/>
      <c r="Z616" s="937"/>
    </row>
    <row r="617" spans="1:26" ht="15.75" customHeight="1">
      <c r="A617" s="937"/>
      <c r="B617" s="937"/>
      <c r="C617" s="937"/>
      <c r="D617" s="937"/>
      <c r="E617" s="937"/>
      <c r="F617" s="937"/>
      <c r="G617" s="937"/>
      <c r="H617" s="937"/>
      <c r="I617" s="937"/>
      <c r="J617" s="937"/>
      <c r="K617" s="937"/>
      <c r="L617" s="937"/>
      <c r="M617" s="937"/>
      <c r="N617" s="937"/>
      <c r="O617" s="937"/>
      <c r="P617" s="937"/>
      <c r="Q617" s="937"/>
      <c r="R617" s="937"/>
      <c r="S617" s="937"/>
      <c r="T617" s="937"/>
      <c r="U617" s="937"/>
      <c r="V617" s="937"/>
      <c r="W617" s="937"/>
      <c r="X617" s="937"/>
      <c r="Y617" s="937"/>
      <c r="Z617" s="937"/>
    </row>
    <row r="618" spans="1:26" ht="15.75" customHeight="1">
      <c r="A618" s="937"/>
      <c r="B618" s="937"/>
      <c r="C618" s="937"/>
      <c r="D618" s="937"/>
      <c r="E618" s="937"/>
      <c r="F618" s="937"/>
      <c r="G618" s="937"/>
      <c r="H618" s="937"/>
      <c r="I618" s="937"/>
      <c r="J618" s="937"/>
      <c r="K618" s="937"/>
      <c r="L618" s="937"/>
      <c r="M618" s="937"/>
      <c r="N618" s="937"/>
      <c r="O618" s="937"/>
      <c r="P618" s="937"/>
      <c r="Q618" s="937"/>
      <c r="R618" s="937"/>
      <c r="S618" s="937"/>
      <c r="T618" s="937"/>
      <c r="U618" s="937"/>
      <c r="V618" s="937"/>
      <c r="W618" s="937"/>
      <c r="X618" s="937"/>
      <c r="Y618" s="937"/>
      <c r="Z618" s="937"/>
    </row>
    <row r="619" spans="1:26" ht="15.75" customHeight="1">
      <c r="A619" s="937"/>
      <c r="B619" s="937"/>
      <c r="C619" s="937"/>
      <c r="D619" s="937"/>
      <c r="E619" s="937"/>
      <c r="F619" s="937"/>
      <c r="G619" s="937"/>
      <c r="H619" s="937"/>
      <c r="I619" s="937"/>
      <c r="J619" s="937"/>
      <c r="K619" s="937"/>
      <c r="L619" s="937"/>
      <c r="M619" s="937"/>
      <c r="N619" s="937"/>
      <c r="O619" s="937"/>
      <c r="P619" s="937"/>
      <c r="Q619" s="937"/>
      <c r="R619" s="937"/>
      <c r="S619" s="937"/>
      <c r="T619" s="937"/>
      <c r="U619" s="937"/>
      <c r="V619" s="937"/>
      <c r="W619" s="937"/>
      <c r="X619" s="937"/>
      <c r="Y619" s="937"/>
      <c r="Z619" s="937"/>
    </row>
    <row r="620" spans="1:26" ht="15.75" customHeight="1">
      <c r="A620" s="937"/>
      <c r="B620" s="937"/>
      <c r="C620" s="937"/>
      <c r="D620" s="937"/>
      <c r="E620" s="937"/>
      <c r="F620" s="937"/>
      <c r="G620" s="937"/>
      <c r="H620" s="937"/>
      <c r="I620" s="937"/>
      <c r="J620" s="937"/>
      <c r="K620" s="937"/>
      <c r="L620" s="937"/>
      <c r="M620" s="937"/>
      <c r="N620" s="937"/>
      <c r="O620" s="937"/>
      <c r="P620" s="937"/>
      <c r="Q620" s="937"/>
      <c r="R620" s="937"/>
      <c r="S620" s="937"/>
      <c r="T620" s="937"/>
      <c r="U620" s="937"/>
      <c r="V620" s="937"/>
      <c r="W620" s="937"/>
      <c r="X620" s="937"/>
      <c r="Y620" s="937"/>
      <c r="Z620" s="937"/>
    </row>
    <row r="621" spans="1:26" ht="15.75" customHeight="1">
      <c r="A621" s="937"/>
      <c r="B621" s="937"/>
      <c r="C621" s="937"/>
      <c r="D621" s="937"/>
      <c r="E621" s="937"/>
      <c r="F621" s="937"/>
      <c r="G621" s="937"/>
      <c r="H621" s="937"/>
      <c r="I621" s="937"/>
      <c r="J621" s="937"/>
      <c r="K621" s="937"/>
      <c r="L621" s="937"/>
      <c r="M621" s="937"/>
      <c r="N621" s="937"/>
      <c r="O621" s="937"/>
      <c r="P621" s="937"/>
      <c r="Q621" s="937"/>
      <c r="R621" s="937"/>
      <c r="S621" s="937"/>
      <c r="T621" s="937"/>
      <c r="U621" s="937"/>
      <c r="V621" s="937"/>
      <c r="W621" s="937"/>
      <c r="X621" s="937"/>
      <c r="Y621" s="937"/>
      <c r="Z621" s="937"/>
    </row>
    <row r="622" spans="1:26" ht="15.75" customHeight="1">
      <c r="A622" s="937"/>
      <c r="B622" s="937"/>
      <c r="C622" s="937"/>
      <c r="D622" s="937"/>
      <c r="E622" s="937"/>
      <c r="F622" s="937"/>
      <c r="G622" s="937"/>
      <c r="H622" s="937"/>
      <c r="I622" s="937"/>
      <c r="J622" s="937"/>
      <c r="K622" s="937"/>
      <c r="L622" s="937"/>
      <c r="M622" s="937"/>
      <c r="N622" s="937"/>
      <c r="O622" s="937"/>
      <c r="P622" s="937"/>
      <c r="Q622" s="937"/>
      <c r="R622" s="937"/>
      <c r="S622" s="937"/>
      <c r="T622" s="937"/>
      <c r="U622" s="937"/>
      <c r="V622" s="937"/>
      <c r="W622" s="937"/>
      <c r="X622" s="937"/>
      <c r="Y622" s="937"/>
      <c r="Z622" s="937"/>
    </row>
    <row r="623" spans="1:26" ht="15.75" customHeight="1">
      <c r="A623" s="937"/>
      <c r="B623" s="937"/>
      <c r="C623" s="937"/>
      <c r="D623" s="937"/>
      <c r="E623" s="937"/>
      <c r="F623" s="937"/>
      <c r="G623" s="937"/>
      <c r="H623" s="937"/>
      <c r="I623" s="937"/>
      <c r="J623" s="937"/>
      <c r="K623" s="937"/>
      <c r="L623" s="937"/>
      <c r="M623" s="937"/>
      <c r="N623" s="937"/>
      <c r="O623" s="937"/>
      <c r="P623" s="937"/>
      <c r="Q623" s="937"/>
      <c r="R623" s="937"/>
      <c r="S623" s="937"/>
      <c r="T623" s="937"/>
      <c r="U623" s="937"/>
      <c r="V623" s="937"/>
      <c r="W623" s="937"/>
      <c r="X623" s="937"/>
      <c r="Y623" s="937"/>
      <c r="Z623" s="937"/>
    </row>
    <row r="624" spans="1:26" ht="15.75" customHeight="1">
      <c r="A624" s="937"/>
      <c r="B624" s="937"/>
      <c r="C624" s="937"/>
      <c r="D624" s="937"/>
      <c r="E624" s="937"/>
      <c r="F624" s="937"/>
      <c r="G624" s="937"/>
      <c r="H624" s="937"/>
      <c r="I624" s="937"/>
      <c r="J624" s="937"/>
      <c r="K624" s="937"/>
      <c r="L624" s="937"/>
      <c r="M624" s="937"/>
      <c r="N624" s="937"/>
      <c r="O624" s="937"/>
      <c r="P624" s="937"/>
      <c r="Q624" s="937"/>
      <c r="R624" s="937"/>
      <c r="S624" s="937"/>
      <c r="T624" s="937"/>
      <c r="U624" s="937"/>
      <c r="V624" s="937"/>
      <c r="W624" s="937"/>
      <c r="X624" s="937"/>
      <c r="Y624" s="937"/>
      <c r="Z624" s="937"/>
    </row>
    <row r="625" spans="1:26" ht="15.75" customHeight="1">
      <c r="A625" s="937"/>
      <c r="B625" s="937"/>
      <c r="C625" s="937"/>
      <c r="D625" s="937"/>
      <c r="E625" s="937"/>
      <c r="F625" s="937"/>
      <c r="G625" s="937"/>
      <c r="H625" s="937"/>
      <c r="I625" s="937"/>
      <c r="J625" s="937"/>
      <c r="K625" s="937"/>
      <c r="L625" s="937"/>
      <c r="M625" s="937"/>
      <c r="N625" s="937"/>
      <c r="O625" s="937"/>
      <c r="P625" s="937"/>
      <c r="Q625" s="937"/>
      <c r="R625" s="937"/>
      <c r="S625" s="937"/>
      <c r="T625" s="937"/>
      <c r="U625" s="937"/>
      <c r="V625" s="937"/>
      <c r="W625" s="937"/>
      <c r="X625" s="937"/>
      <c r="Y625" s="937"/>
      <c r="Z625" s="937"/>
    </row>
    <row r="626" spans="1:26" ht="15.75" customHeight="1">
      <c r="A626" s="937"/>
      <c r="B626" s="937"/>
      <c r="C626" s="937"/>
      <c r="D626" s="937"/>
      <c r="E626" s="937"/>
      <c r="F626" s="937"/>
      <c r="G626" s="937"/>
      <c r="H626" s="937"/>
      <c r="I626" s="937"/>
      <c r="J626" s="937"/>
      <c r="K626" s="937"/>
      <c r="L626" s="937"/>
      <c r="M626" s="937"/>
      <c r="N626" s="937"/>
      <c r="O626" s="937"/>
      <c r="P626" s="937"/>
      <c r="Q626" s="937"/>
      <c r="R626" s="937"/>
      <c r="S626" s="937"/>
      <c r="T626" s="937"/>
      <c r="U626" s="937"/>
      <c r="V626" s="937"/>
      <c r="W626" s="937"/>
      <c r="X626" s="937"/>
      <c r="Y626" s="937"/>
      <c r="Z626" s="937"/>
    </row>
    <row r="627" spans="1:26" ht="15.75" customHeight="1">
      <c r="A627" s="937"/>
      <c r="B627" s="937"/>
      <c r="C627" s="937"/>
      <c r="D627" s="937"/>
      <c r="E627" s="937"/>
      <c r="F627" s="937"/>
      <c r="G627" s="937"/>
      <c r="H627" s="937"/>
      <c r="I627" s="937"/>
      <c r="J627" s="937"/>
      <c r="K627" s="937"/>
      <c r="L627" s="937"/>
      <c r="M627" s="937"/>
      <c r="N627" s="937"/>
      <c r="O627" s="937"/>
      <c r="P627" s="937"/>
      <c r="Q627" s="937"/>
      <c r="R627" s="937"/>
      <c r="S627" s="937"/>
      <c r="T627" s="937"/>
      <c r="U627" s="937"/>
      <c r="V627" s="937"/>
      <c r="W627" s="937"/>
      <c r="X627" s="937"/>
      <c r="Y627" s="937"/>
      <c r="Z627" s="937"/>
    </row>
    <row r="628" spans="1:26" ht="15.75" customHeight="1">
      <c r="A628" s="937"/>
      <c r="B628" s="937"/>
      <c r="C628" s="937"/>
      <c r="D628" s="937"/>
      <c r="E628" s="937"/>
      <c r="F628" s="937"/>
      <c r="G628" s="937"/>
      <c r="H628" s="937"/>
      <c r="I628" s="937"/>
      <c r="J628" s="937"/>
      <c r="K628" s="937"/>
      <c r="L628" s="937"/>
      <c r="M628" s="937"/>
      <c r="N628" s="937"/>
      <c r="O628" s="937"/>
      <c r="P628" s="937"/>
      <c r="Q628" s="937"/>
      <c r="R628" s="937"/>
      <c r="S628" s="937"/>
      <c r="T628" s="937"/>
      <c r="U628" s="937"/>
      <c r="V628" s="937"/>
      <c r="W628" s="937"/>
      <c r="X628" s="937"/>
      <c r="Y628" s="937"/>
      <c r="Z628" s="937"/>
    </row>
    <row r="629" spans="1:26" ht="15.75" customHeight="1">
      <c r="A629" s="937"/>
      <c r="B629" s="937"/>
      <c r="C629" s="937"/>
      <c r="D629" s="937"/>
      <c r="E629" s="937"/>
      <c r="F629" s="937"/>
      <c r="G629" s="937"/>
      <c r="H629" s="937"/>
      <c r="I629" s="937"/>
      <c r="J629" s="937"/>
      <c r="K629" s="937"/>
      <c r="L629" s="937"/>
      <c r="M629" s="937"/>
      <c r="N629" s="937"/>
      <c r="O629" s="937"/>
      <c r="P629" s="937"/>
      <c r="Q629" s="937"/>
      <c r="R629" s="937"/>
      <c r="S629" s="937"/>
      <c r="T629" s="937"/>
      <c r="U629" s="937"/>
      <c r="V629" s="937"/>
      <c r="W629" s="937"/>
      <c r="X629" s="937"/>
      <c r="Y629" s="937"/>
      <c r="Z629" s="937"/>
    </row>
    <row r="630" spans="1:26" ht="15.75" customHeight="1">
      <c r="A630" s="937"/>
      <c r="B630" s="937"/>
      <c r="C630" s="937"/>
      <c r="D630" s="937"/>
      <c r="E630" s="937"/>
      <c r="F630" s="937"/>
      <c r="G630" s="937"/>
      <c r="H630" s="937"/>
      <c r="I630" s="937"/>
      <c r="J630" s="937"/>
      <c r="K630" s="937"/>
      <c r="L630" s="937"/>
      <c r="M630" s="937"/>
      <c r="N630" s="937"/>
      <c r="O630" s="937"/>
      <c r="P630" s="937"/>
      <c r="Q630" s="937"/>
      <c r="R630" s="937"/>
      <c r="S630" s="937"/>
      <c r="T630" s="937"/>
      <c r="U630" s="937"/>
      <c r="V630" s="937"/>
      <c r="W630" s="937"/>
      <c r="X630" s="937"/>
      <c r="Y630" s="937"/>
      <c r="Z630" s="937"/>
    </row>
    <row r="631" spans="1:26" ht="15.75" customHeight="1">
      <c r="A631" s="937"/>
      <c r="B631" s="937"/>
      <c r="C631" s="937"/>
      <c r="D631" s="937"/>
      <c r="E631" s="937"/>
      <c r="F631" s="937"/>
      <c r="G631" s="937"/>
      <c r="H631" s="937"/>
      <c r="I631" s="937"/>
      <c r="J631" s="937"/>
      <c r="K631" s="937"/>
      <c r="L631" s="937"/>
      <c r="M631" s="937"/>
      <c r="N631" s="937"/>
      <c r="O631" s="937"/>
      <c r="P631" s="937"/>
      <c r="Q631" s="937"/>
      <c r="R631" s="937"/>
      <c r="S631" s="937"/>
      <c r="T631" s="937"/>
      <c r="U631" s="937"/>
      <c r="V631" s="937"/>
      <c r="W631" s="937"/>
      <c r="X631" s="937"/>
      <c r="Y631" s="937"/>
      <c r="Z631" s="937"/>
    </row>
    <row r="632" spans="1:26" ht="15.75" customHeight="1">
      <c r="A632" s="937"/>
      <c r="B632" s="937"/>
      <c r="C632" s="937"/>
      <c r="D632" s="937"/>
      <c r="E632" s="937"/>
      <c r="F632" s="937"/>
      <c r="G632" s="937"/>
      <c r="H632" s="937"/>
      <c r="I632" s="937"/>
      <c r="J632" s="937"/>
      <c r="K632" s="937"/>
      <c r="L632" s="937"/>
      <c r="M632" s="937"/>
      <c r="N632" s="937"/>
      <c r="O632" s="937"/>
      <c r="P632" s="937"/>
      <c r="Q632" s="937"/>
      <c r="R632" s="937"/>
      <c r="S632" s="937"/>
      <c r="T632" s="937"/>
      <c r="U632" s="937"/>
      <c r="V632" s="937"/>
      <c r="W632" s="937"/>
      <c r="X632" s="937"/>
      <c r="Y632" s="937"/>
      <c r="Z632" s="937"/>
    </row>
    <row r="633" spans="1:26" ht="15.75" customHeight="1">
      <c r="A633" s="937"/>
      <c r="B633" s="937"/>
      <c r="C633" s="937"/>
      <c r="D633" s="937"/>
      <c r="E633" s="937"/>
      <c r="F633" s="937"/>
      <c r="G633" s="937"/>
      <c r="H633" s="937"/>
      <c r="I633" s="937"/>
      <c r="J633" s="937"/>
      <c r="K633" s="937"/>
      <c r="L633" s="937"/>
      <c r="M633" s="937"/>
      <c r="N633" s="937"/>
      <c r="O633" s="937"/>
      <c r="P633" s="937"/>
      <c r="Q633" s="937"/>
      <c r="R633" s="937"/>
      <c r="S633" s="937"/>
      <c r="T633" s="937"/>
      <c r="U633" s="937"/>
      <c r="V633" s="937"/>
      <c r="W633" s="937"/>
      <c r="X633" s="937"/>
      <c r="Y633" s="937"/>
      <c r="Z633" s="937"/>
    </row>
    <row r="634" spans="1:26" ht="15.75" customHeight="1">
      <c r="A634" s="937"/>
      <c r="B634" s="937"/>
      <c r="C634" s="937"/>
      <c r="D634" s="937"/>
      <c r="E634" s="937"/>
      <c r="F634" s="937"/>
      <c r="G634" s="937"/>
      <c r="H634" s="937"/>
      <c r="I634" s="937"/>
      <c r="J634" s="937"/>
      <c r="K634" s="937"/>
      <c r="L634" s="937"/>
      <c r="M634" s="937"/>
      <c r="N634" s="937"/>
      <c r="O634" s="937"/>
      <c r="P634" s="937"/>
      <c r="Q634" s="937"/>
      <c r="R634" s="937"/>
      <c r="S634" s="937"/>
      <c r="T634" s="937"/>
      <c r="U634" s="937"/>
      <c r="V634" s="937"/>
      <c r="W634" s="937"/>
      <c r="X634" s="937"/>
      <c r="Y634" s="937"/>
      <c r="Z634" s="937"/>
    </row>
    <row r="635" spans="1:26" ht="15.75" customHeight="1">
      <c r="A635" s="937"/>
      <c r="B635" s="937"/>
      <c r="C635" s="937"/>
      <c r="D635" s="937"/>
      <c r="E635" s="937"/>
      <c r="F635" s="937"/>
      <c r="G635" s="937"/>
      <c r="H635" s="937"/>
      <c r="I635" s="937"/>
      <c r="J635" s="937"/>
      <c r="K635" s="937"/>
      <c r="L635" s="937"/>
      <c r="M635" s="937"/>
      <c r="N635" s="937"/>
      <c r="O635" s="937"/>
      <c r="P635" s="937"/>
      <c r="Q635" s="937"/>
      <c r="R635" s="937"/>
      <c r="S635" s="937"/>
      <c r="T635" s="937"/>
      <c r="U635" s="937"/>
      <c r="V635" s="937"/>
      <c r="W635" s="937"/>
      <c r="X635" s="937"/>
      <c r="Y635" s="937"/>
      <c r="Z635" s="937"/>
    </row>
    <row r="636" spans="1:26" ht="15.75" customHeight="1">
      <c r="A636" s="937"/>
      <c r="B636" s="937"/>
      <c r="C636" s="937"/>
      <c r="D636" s="937"/>
      <c r="E636" s="937"/>
      <c r="F636" s="937"/>
      <c r="G636" s="937"/>
      <c r="H636" s="937"/>
      <c r="I636" s="937"/>
      <c r="J636" s="937"/>
      <c r="K636" s="937"/>
      <c r="L636" s="937"/>
      <c r="M636" s="937"/>
      <c r="N636" s="937"/>
      <c r="O636" s="937"/>
      <c r="P636" s="937"/>
      <c r="Q636" s="937"/>
      <c r="R636" s="937"/>
      <c r="S636" s="937"/>
      <c r="T636" s="937"/>
      <c r="U636" s="937"/>
      <c r="V636" s="937"/>
      <c r="W636" s="937"/>
      <c r="X636" s="937"/>
      <c r="Y636" s="937"/>
      <c r="Z636" s="937"/>
    </row>
    <row r="637" spans="1:26" ht="15.75" customHeight="1">
      <c r="A637" s="937"/>
      <c r="B637" s="937"/>
      <c r="C637" s="937"/>
      <c r="D637" s="937"/>
      <c r="E637" s="937"/>
      <c r="F637" s="937"/>
      <c r="G637" s="937"/>
      <c r="H637" s="937"/>
      <c r="I637" s="937"/>
      <c r="J637" s="937"/>
      <c r="K637" s="937"/>
      <c r="L637" s="937"/>
      <c r="M637" s="937"/>
      <c r="N637" s="937"/>
      <c r="O637" s="937"/>
      <c r="P637" s="937"/>
      <c r="Q637" s="937"/>
      <c r="R637" s="937"/>
      <c r="S637" s="937"/>
      <c r="T637" s="937"/>
      <c r="U637" s="937"/>
      <c r="V637" s="937"/>
      <c r="W637" s="937"/>
      <c r="X637" s="937"/>
      <c r="Y637" s="937"/>
      <c r="Z637" s="937"/>
    </row>
    <row r="638" spans="1:26" ht="15.75" customHeight="1">
      <c r="A638" s="937"/>
      <c r="B638" s="937"/>
      <c r="C638" s="937"/>
      <c r="D638" s="937"/>
      <c r="E638" s="937"/>
      <c r="F638" s="937"/>
      <c r="G638" s="937"/>
      <c r="H638" s="937"/>
      <c r="I638" s="937"/>
      <c r="J638" s="937"/>
      <c r="K638" s="937"/>
      <c r="L638" s="937"/>
      <c r="M638" s="937"/>
      <c r="N638" s="937"/>
      <c r="O638" s="937"/>
      <c r="P638" s="937"/>
      <c r="Q638" s="937"/>
      <c r="R638" s="937"/>
      <c r="S638" s="937"/>
      <c r="T638" s="937"/>
      <c r="U638" s="937"/>
      <c r="V638" s="937"/>
      <c r="W638" s="937"/>
      <c r="X638" s="937"/>
      <c r="Y638" s="937"/>
      <c r="Z638" s="937"/>
    </row>
    <row r="639" spans="1:26" ht="15.75" customHeight="1">
      <c r="A639" s="937"/>
      <c r="B639" s="937"/>
      <c r="C639" s="937"/>
      <c r="D639" s="937"/>
      <c r="E639" s="937"/>
      <c r="F639" s="937"/>
      <c r="G639" s="937"/>
      <c r="H639" s="937"/>
      <c r="I639" s="937"/>
      <c r="J639" s="937"/>
      <c r="K639" s="937"/>
      <c r="L639" s="937"/>
      <c r="M639" s="937"/>
      <c r="N639" s="937"/>
      <c r="O639" s="937"/>
      <c r="P639" s="937"/>
      <c r="Q639" s="937"/>
      <c r="R639" s="937"/>
      <c r="S639" s="937"/>
      <c r="T639" s="937"/>
      <c r="U639" s="937"/>
      <c r="V639" s="937"/>
      <c r="W639" s="937"/>
      <c r="X639" s="937"/>
      <c r="Y639" s="937"/>
      <c r="Z639" s="937"/>
    </row>
    <row r="640" spans="1:26" ht="15.75" customHeight="1">
      <c r="A640" s="937"/>
      <c r="B640" s="937"/>
      <c r="C640" s="937"/>
      <c r="D640" s="937"/>
      <c r="E640" s="937"/>
      <c r="F640" s="937"/>
      <c r="G640" s="937"/>
      <c r="H640" s="937"/>
      <c r="I640" s="937"/>
      <c r="J640" s="937"/>
      <c r="K640" s="937"/>
      <c r="L640" s="937"/>
      <c r="M640" s="937"/>
      <c r="N640" s="937"/>
      <c r="O640" s="937"/>
      <c r="P640" s="937"/>
      <c r="Q640" s="937"/>
      <c r="R640" s="937"/>
      <c r="S640" s="937"/>
      <c r="T640" s="937"/>
      <c r="U640" s="937"/>
      <c r="V640" s="937"/>
      <c r="W640" s="937"/>
      <c r="X640" s="937"/>
      <c r="Y640" s="937"/>
      <c r="Z640" s="937"/>
    </row>
    <row r="641" spans="1:26" ht="15.75" customHeight="1">
      <c r="A641" s="937"/>
      <c r="B641" s="937"/>
      <c r="C641" s="937"/>
      <c r="D641" s="937"/>
      <c r="E641" s="937"/>
      <c r="F641" s="937"/>
      <c r="G641" s="937"/>
      <c r="H641" s="937"/>
      <c r="I641" s="937"/>
      <c r="J641" s="937"/>
      <c r="K641" s="937"/>
      <c r="L641" s="937"/>
      <c r="M641" s="937"/>
      <c r="N641" s="937"/>
      <c r="O641" s="937"/>
      <c r="P641" s="937"/>
      <c r="Q641" s="937"/>
      <c r="R641" s="937"/>
      <c r="S641" s="937"/>
      <c r="T641" s="937"/>
      <c r="U641" s="937"/>
      <c r="V641" s="937"/>
      <c r="W641" s="937"/>
      <c r="X641" s="937"/>
      <c r="Y641" s="937"/>
      <c r="Z641" s="937"/>
    </row>
    <row r="642" spans="1:26" ht="15.75" customHeight="1">
      <c r="A642" s="937"/>
      <c r="B642" s="937"/>
      <c r="C642" s="937"/>
      <c r="D642" s="937"/>
      <c r="E642" s="937"/>
      <c r="F642" s="937"/>
      <c r="G642" s="937"/>
      <c r="H642" s="937"/>
      <c r="I642" s="937"/>
      <c r="J642" s="937"/>
      <c r="K642" s="937"/>
      <c r="L642" s="937"/>
      <c r="M642" s="937"/>
      <c r="N642" s="937"/>
      <c r="O642" s="937"/>
      <c r="P642" s="937"/>
      <c r="Q642" s="937"/>
      <c r="R642" s="937"/>
      <c r="S642" s="937"/>
      <c r="T642" s="937"/>
      <c r="U642" s="937"/>
      <c r="V642" s="937"/>
      <c r="W642" s="937"/>
      <c r="X642" s="937"/>
      <c r="Y642" s="937"/>
      <c r="Z642" s="937"/>
    </row>
    <row r="643" spans="1:26" ht="15.75" customHeight="1">
      <c r="A643" s="937"/>
      <c r="B643" s="937"/>
      <c r="C643" s="937"/>
      <c r="D643" s="937"/>
      <c r="E643" s="937"/>
      <c r="F643" s="937"/>
      <c r="G643" s="937"/>
      <c r="H643" s="937"/>
      <c r="I643" s="937"/>
      <c r="J643" s="937"/>
      <c r="K643" s="937"/>
      <c r="L643" s="937"/>
      <c r="M643" s="937"/>
      <c r="N643" s="937"/>
      <c r="O643" s="937"/>
      <c r="P643" s="937"/>
      <c r="Q643" s="937"/>
      <c r="R643" s="937"/>
      <c r="S643" s="937"/>
      <c r="T643" s="937"/>
      <c r="U643" s="937"/>
      <c r="V643" s="937"/>
      <c r="W643" s="937"/>
      <c r="X643" s="937"/>
      <c r="Y643" s="937"/>
      <c r="Z643" s="937"/>
    </row>
    <row r="644" spans="1:26" ht="15.75" customHeight="1">
      <c r="A644" s="937"/>
      <c r="B644" s="937"/>
      <c r="C644" s="937"/>
      <c r="D644" s="937"/>
      <c r="E644" s="937"/>
      <c r="F644" s="937"/>
      <c r="G644" s="937"/>
      <c r="H644" s="937"/>
      <c r="I644" s="937"/>
      <c r="J644" s="937"/>
      <c r="K644" s="937"/>
      <c r="L644" s="937"/>
      <c r="M644" s="937"/>
      <c r="N644" s="937"/>
      <c r="O644" s="937"/>
      <c r="P644" s="937"/>
      <c r="Q644" s="937"/>
      <c r="R644" s="937"/>
      <c r="S644" s="937"/>
      <c r="T644" s="937"/>
      <c r="U644" s="937"/>
      <c r="V644" s="937"/>
      <c r="W644" s="937"/>
      <c r="X644" s="937"/>
      <c r="Y644" s="937"/>
      <c r="Z644" s="937"/>
    </row>
    <row r="645" spans="1:26" ht="15.75" customHeight="1">
      <c r="A645" s="937"/>
      <c r="B645" s="937"/>
      <c r="C645" s="937"/>
      <c r="D645" s="937"/>
      <c r="E645" s="937"/>
      <c r="F645" s="937"/>
      <c r="G645" s="937"/>
      <c r="H645" s="937"/>
      <c r="I645" s="937"/>
      <c r="J645" s="937"/>
      <c r="K645" s="937"/>
      <c r="L645" s="937"/>
      <c r="M645" s="937"/>
      <c r="N645" s="937"/>
      <c r="O645" s="937"/>
      <c r="P645" s="937"/>
      <c r="Q645" s="937"/>
      <c r="R645" s="937"/>
      <c r="S645" s="937"/>
      <c r="T645" s="937"/>
      <c r="U645" s="937"/>
      <c r="V645" s="937"/>
      <c r="W645" s="937"/>
      <c r="X645" s="937"/>
      <c r="Y645" s="937"/>
      <c r="Z645" s="937"/>
    </row>
    <row r="646" spans="1:26" ht="15.75" customHeight="1">
      <c r="A646" s="937"/>
      <c r="B646" s="937"/>
      <c r="C646" s="937"/>
      <c r="D646" s="937"/>
      <c r="E646" s="937"/>
      <c r="F646" s="937"/>
      <c r="G646" s="937"/>
      <c r="H646" s="937"/>
      <c r="I646" s="937"/>
      <c r="J646" s="937"/>
      <c r="K646" s="937"/>
      <c r="L646" s="937"/>
      <c r="M646" s="937"/>
      <c r="N646" s="937"/>
      <c r="O646" s="937"/>
      <c r="P646" s="937"/>
      <c r="Q646" s="937"/>
      <c r="R646" s="937"/>
      <c r="S646" s="937"/>
      <c r="T646" s="937"/>
      <c r="U646" s="937"/>
      <c r="V646" s="937"/>
      <c r="W646" s="937"/>
      <c r="X646" s="937"/>
      <c r="Y646" s="937"/>
      <c r="Z646" s="937"/>
    </row>
    <row r="647" spans="1:26" ht="15.75" customHeight="1">
      <c r="A647" s="937"/>
      <c r="B647" s="937"/>
      <c r="C647" s="937"/>
      <c r="D647" s="937"/>
      <c r="E647" s="937"/>
      <c r="F647" s="937"/>
      <c r="G647" s="937"/>
      <c r="H647" s="937"/>
      <c r="I647" s="937"/>
      <c r="J647" s="937"/>
      <c r="K647" s="937"/>
      <c r="L647" s="937"/>
      <c r="M647" s="937"/>
      <c r="N647" s="937"/>
      <c r="O647" s="937"/>
      <c r="P647" s="937"/>
      <c r="Q647" s="937"/>
      <c r="R647" s="937"/>
      <c r="S647" s="937"/>
      <c r="T647" s="937"/>
      <c r="U647" s="937"/>
      <c r="V647" s="937"/>
      <c r="W647" s="937"/>
      <c r="X647" s="937"/>
      <c r="Y647" s="937"/>
      <c r="Z647" s="937"/>
    </row>
    <row r="648" spans="1:26" ht="15.75" customHeight="1">
      <c r="A648" s="937"/>
      <c r="B648" s="937"/>
      <c r="C648" s="937"/>
      <c r="D648" s="937"/>
      <c r="E648" s="937"/>
      <c r="F648" s="937"/>
      <c r="G648" s="937"/>
      <c r="H648" s="937"/>
      <c r="I648" s="937"/>
      <c r="J648" s="937"/>
      <c r="K648" s="937"/>
      <c r="L648" s="937"/>
      <c r="M648" s="937"/>
      <c r="N648" s="937"/>
      <c r="O648" s="937"/>
      <c r="P648" s="937"/>
      <c r="Q648" s="937"/>
      <c r="R648" s="937"/>
      <c r="S648" s="937"/>
      <c r="T648" s="937"/>
      <c r="U648" s="937"/>
      <c r="V648" s="937"/>
      <c r="W648" s="937"/>
      <c r="X648" s="937"/>
      <c r="Y648" s="937"/>
      <c r="Z648" s="937"/>
    </row>
    <row r="649" spans="1:26" ht="15.75" customHeight="1">
      <c r="A649" s="937"/>
      <c r="B649" s="937"/>
      <c r="C649" s="937"/>
      <c r="D649" s="937"/>
      <c r="E649" s="937"/>
      <c r="F649" s="937"/>
      <c r="G649" s="937"/>
      <c r="H649" s="937"/>
      <c r="I649" s="937"/>
      <c r="J649" s="937"/>
      <c r="K649" s="937"/>
      <c r="L649" s="937"/>
      <c r="M649" s="937"/>
      <c r="N649" s="937"/>
      <c r="O649" s="937"/>
      <c r="P649" s="937"/>
      <c r="Q649" s="937"/>
      <c r="R649" s="937"/>
      <c r="S649" s="937"/>
      <c r="T649" s="937"/>
      <c r="U649" s="937"/>
      <c r="V649" s="937"/>
      <c r="W649" s="937"/>
      <c r="X649" s="937"/>
      <c r="Y649" s="937"/>
      <c r="Z649" s="937"/>
    </row>
    <row r="650" spans="1:26" ht="15.75" customHeight="1">
      <c r="A650" s="937"/>
      <c r="B650" s="937"/>
      <c r="C650" s="937"/>
      <c r="D650" s="937"/>
      <c r="E650" s="937"/>
      <c r="F650" s="937"/>
      <c r="G650" s="937"/>
      <c r="H650" s="937"/>
      <c r="I650" s="937"/>
      <c r="J650" s="937"/>
      <c r="K650" s="937"/>
      <c r="L650" s="937"/>
      <c r="M650" s="937"/>
      <c r="N650" s="937"/>
      <c r="O650" s="937"/>
      <c r="P650" s="937"/>
      <c r="Q650" s="937"/>
      <c r="R650" s="937"/>
      <c r="S650" s="937"/>
      <c r="T650" s="937"/>
      <c r="U650" s="937"/>
      <c r="V650" s="937"/>
      <c r="W650" s="937"/>
      <c r="X650" s="937"/>
      <c r="Y650" s="937"/>
      <c r="Z650" s="937"/>
    </row>
    <row r="651" spans="1:26" ht="15.75" customHeight="1">
      <c r="A651" s="937"/>
      <c r="B651" s="937"/>
      <c r="C651" s="937"/>
      <c r="D651" s="937"/>
      <c r="E651" s="937"/>
      <c r="F651" s="937"/>
      <c r="G651" s="937"/>
      <c r="H651" s="937"/>
      <c r="I651" s="937"/>
      <c r="J651" s="937"/>
      <c r="K651" s="937"/>
      <c r="L651" s="937"/>
      <c r="M651" s="937"/>
      <c r="N651" s="937"/>
      <c r="O651" s="937"/>
      <c r="P651" s="937"/>
      <c r="Q651" s="937"/>
      <c r="R651" s="937"/>
      <c r="S651" s="937"/>
      <c r="T651" s="937"/>
      <c r="U651" s="937"/>
      <c r="V651" s="937"/>
      <c r="W651" s="937"/>
      <c r="X651" s="937"/>
      <c r="Y651" s="937"/>
      <c r="Z651" s="937"/>
    </row>
    <row r="652" spans="1:26" ht="15.75" customHeight="1">
      <c r="A652" s="937"/>
      <c r="B652" s="937"/>
      <c r="C652" s="937"/>
      <c r="D652" s="937"/>
      <c r="E652" s="937"/>
      <c r="F652" s="937"/>
      <c r="G652" s="937"/>
      <c r="H652" s="937"/>
      <c r="I652" s="937"/>
      <c r="J652" s="937"/>
      <c r="K652" s="937"/>
      <c r="L652" s="937"/>
      <c r="M652" s="937"/>
      <c r="N652" s="937"/>
      <c r="O652" s="937"/>
      <c r="P652" s="937"/>
      <c r="Q652" s="937"/>
      <c r="R652" s="937"/>
      <c r="S652" s="937"/>
      <c r="T652" s="937"/>
      <c r="U652" s="937"/>
      <c r="V652" s="937"/>
      <c r="W652" s="937"/>
      <c r="X652" s="937"/>
      <c r="Y652" s="937"/>
      <c r="Z652" s="937"/>
    </row>
    <row r="653" spans="1:26" ht="15.75" customHeight="1">
      <c r="A653" s="937"/>
      <c r="B653" s="937"/>
      <c r="C653" s="937"/>
      <c r="D653" s="937"/>
      <c r="E653" s="937"/>
      <c r="F653" s="937"/>
      <c r="G653" s="937"/>
      <c r="H653" s="937"/>
      <c r="I653" s="937"/>
      <c r="J653" s="937"/>
      <c r="K653" s="937"/>
      <c r="L653" s="937"/>
      <c r="M653" s="937"/>
      <c r="N653" s="937"/>
      <c r="O653" s="937"/>
      <c r="P653" s="937"/>
      <c r="Q653" s="937"/>
      <c r="R653" s="937"/>
      <c r="S653" s="937"/>
      <c r="T653" s="937"/>
      <c r="U653" s="937"/>
      <c r="V653" s="937"/>
      <c r="W653" s="937"/>
      <c r="X653" s="937"/>
      <c r="Y653" s="937"/>
      <c r="Z653" s="937"/>
    </row>
    <row r="654" spans="1:26" ht="15.75" customHeight="1">
      <c r="A654" s="937"/>
      <c r="B654" s="937"/>
      <c r="C654" s="937"/>
      <c r="D654" s="937"/>
      <c r="E654" s="937"/>
      <c r="F654" s="937"/>
      <c r="G654" s="937"/>
      <c r="H654" s="937"/>
      <c r="I654" s="937"/>
      <c r="J654" s="937"/>
      <c r="K654" s="937"/>
      <c r="L654" s="937"/>
      <c r="M654" s="937"/>
      <c r="N654" s="937"/>
      <c r="O654" s="937"/>
      <c r="P654" s="937"/>
      <c r="Q654" s="937"/>
      <c r="R654" s="937"/>
      <c r="S654" s="937"/>
      <c r="T654" s="937"/>
      <c r="U654" s="937"/>
      <c r="V654" s="937"/>
      <c r="W654" s="937"/>
      <c r="X654" s="937"/>
      <c r="Y654" s="937"/>
      <c r="Z654" s="937"/>
    </row>
    <row r="655" spans="1:26" ht="15.75" customHeight="1">
      <c r="A655" s="937"/>
      <c r="B655" s="937"/>
      <c r="C655" s="937"/>
      <c r="D655" s="937"/>
      <c r="E655" s="937"/>
      <c r="F655" s="937"/>
      <c r="G655" s="937"/>
      <c r="H655" s="937"/>
      <c r="I655" s="937"/>
      <c r="J655" s="937"/>
      <c r="K655" s="937"/>
      <c r="L655" s="937"/>
      <c r="M655" s="937"/>
      <c r="N655" s="937"/>
      <c r="O655" s="937"/>
      <c r="P655" s="937"/>
      <c r="Q655" s="937"/>
      <c r="R655" s="937"/>
      <c r="S655" s="937"/>
      <c r="T655" s="937"/>
      <c r="U655" s="937"/>
      <c r="V655" s="937"/>
      <c r="W655" s="937"/>
      <c r="X655" s="937"/>
      <c r="Y655" s="937"/>
      <c r="Z655" s="937"/>
    </row>
    <row r="656" spans="1:26" ht="15.75" customHeight="1">
      <c r="A656" s="937"/>
      <c r="B656" s="937"/>
      <c r="C656" s="937"/>
      <c r="D656" s="937"/>
      <c r="E656" s="937"/>
      <c r="F656" s="937"/>
      <c r="G656" s="937"/>
      <c r="H656" s="937"/>
      <c r="I656" s="937"/>
      <c r="J656" s="937"/>
      <c r="K656" s="937"/>
      <c r="L656" s="937"/>
      <c r="M656" s="937"/>
      <c r="N656" s="937"/>
      <c r="O656" s="937"/>
      <c r="P656" s="937"/>
      <c r="Q656" s="937"/>
      <c r="R656" s="937"/>
      <c r="S656" s="937"/>
      <c r="T656" s="937"/>
      <c r="U656" s="937"/>
      <c r="V656" s="937"/>
      <c r="W656" s="937"/>
      <c r="X656" s="937"/>
      <c r="Y656" s="937"/>
      <c r="Z656" s="937"/>
    </row>
    <row r="657" spans="1:26" ht="15.75" customHeight="1">
      <c r="A657" s="937"/>
      <c r="B657" s="937"/>
      <c r="C657" s="937"/>
      <c r="D657" s="937"/>
      <c r="E657" s="937"/>
      <c r="F657" s="937"/>
      <c r="G657" s="937"/>
      <c r="H657" s="937"/>
      <c r="I657" s="937"/>
      <c r="J657" s="937"/>
      <c r="K657" s="937"/>
      <c r="L657" s="937"/>
      <c r="M657" s="937"/>
      <c r="N657" s="937"/>
      <c r="O657" s="937"/>
      <c r="P657" s="937"/>
      <c r="Q657" s="937"/>
      <c r="R657" s="937"/>
      <c r="S657" s="937"/>
      <c r="T657" s="937"/>
      <c r="U657" s="937"/>
      <c r="V657" s="937"/>
      <c r="W657" s="937"/>
      <c r="X657" s="937"/>
      <c r="Y657" s="937"/>
      <c r="Z657" s="937"/>
    </row>
    <row r="658" spans="1:26" ht="15.75" customHeight="1">
      <c r="A658" s="937"/>
      <c r="B658" s="937"/>
      <c r="C658" s="937"/>
      <c r="D658" s="937"/>
      <c r="E658" s="937"/>
      <c r="F658" s="937"/>
      <c r="G658" s="937"/>
      <c r="H658" s="937"/>
      <c r="I658" s="937"/>
      <c r="J658" s="937"/>
      <c r="K658" s="937"/>
      <c r="L658" s="937"/>
      <c r="M658" s="937"/>
      <c r="N658" s="937"/>
      <c r="O658" s="937"/>
      <c r="P658" s="937"/>
      <c r="Q658" s="937"/>
      <c r="R658" s="937"/>
      <c r="S658" s="937"/>
      <c r="T658" s="937"/>
      <c r="U658" s="937"/>
      <c r="V658" s="937"/>
      <c r="W658" s="937"/>
      <c r="X658" s="937"/>
      <c r="Y658" s="937"/>
      <c r="Z658" s="937"/>
    </row>
    <row r="659" spans="1:26" ht="15.75" customHeight="1">
      <c r="A659" s="937"/>
      <c r="B659" s="937"/>
      <c r="C659" s="937"/>
      <c r="D659" s="937"/>
      <c r="E659" s="937"/>
      <c r="F659" s="937"/>
      <c r="G659" s="937"/>
      <c r="H659" s="937"/>
      <c r="I659" s="937"/>
      <c r="J659" s="937"/>
      <c r="K659" s="937"/>
      <c r="L659" s="937"/>
      <c r="M659" s="937"/>
      <c r="N659" s="937"/>
      <c r="O659" s="937"/>
      <c r="P659" s="937"/>
      <c r="Q659" s="937"/>
      <c r="R659" s="937"/>
      <c r="S659" s="937"/>
      <c r="T659" s="937"/>
      <c r="U659" s="937"/>
      <c r="V659" s="937"/>
      <c r="W659" s="937"/>
      <c r="X659" s="937"/>
      <c r="Y659" s="937"/>
      <c r="Z659" s="937"/>
    </row>
    <row r="660" spans="1:26" ht="15.75" customHeight="1">
      <c r="A660" s="937"/>
      <c r="B660" s="937"/>
      <c r="C660" s="937"/>
      <c r="D660" s="937"/>
      <c r="E660" s="937"/>
      <c r="F660" s="937"/>
      <c r="G660" s="937"/>
      <c r="H660" s="937"/>
      <c r="I660" s="937"/>
      <c r="J660" s="937"/>
      <c r="K660" s="937"/>
      <c r="L660" s="937"/>
      <c r="M660" s="937"/>
      <c r="N660" s="937"/>
      <c r="O660" s="937"/>
      <c r="P660" s="937"/>
      <c r="Q660" s="937"/>
      <c r="R660" s="937"/>
      <c r="S660" s="937"/>
      <c r="T660" s="937"/>
      <c r="U660" s="937"/>
      <c r="V660" s="937"/>
      <c r="W660" s="937"/>
      <c r="X660" s="937"/>
      <c r="Y660" s="937"/>
      <c r="Z660" s="937"/>
    </row>
    <row r="661" spans="1:26" ht="15.75" customHeight="1">
      <c r="A661" s="937"/>
      <c r="B661" s="937"/>
      <c r="C661" s="937"/>
      <c r="D661" s="937"/>
      <c r="E661" s="937"/>
      <c r="F661" s="937"/>
      <c r="G661" s="937"/>
      <c r="H661" s="937"/>
      <c r="I661" s="937"/>
      <c r="J661" s="937"/>
      <c r="K661" s="937"/>
      <c r="L661" s="937"/>
      <c r="M661" s="937"/>
      <c r="N661" s="937"/>
      <c r="O661" s="937"/>
      <c r="P661" s="937"/>
      <c r="Q661" s="937"/>
      <c r="R661" s="937"/>
      <c r="S661" s="937"/>
      <c r="T661" s="937"/>
      <c r="U661" s="937"/>
      <c r="V661" s="937"/>
      <c r="W661" s="937"/>
      <c r="X661" s="937"/>
      <c r="Y661" s="937"/>
      <c r="Z661" s="937"/>
    </row>
    <row r="662" spans="1:26" ht="15.75" customHeight="1">
      <c r="A662" s="937"/>
      <c r="B662" s="937"/>
      <c r="C662" s="937"/>
      <c r="D662" s="937"/>
      <c r="E662" s="937"/>
      <c r="F662" s="937"/>
      <c r="G662" s="937"/>
      <c r="H662" s="937"/>
      <c r="I662" s="937"/>
      <c r="J662" s="937"/>
      <c r="K662" s="937"/>
      <c r="L662" s="937"/>
      <c r="M662" s="937"/>
      <c r="N662" s="937"/>
      <c r="O662" s="937"/>
      <c r="P662" s="937"/>
      <c r="Q662" s="937"/>
      <c r="R662" s="937"/>
      <c r="S662" s="937"/>
      <c r="T662" s="937"/>
      <c r="U662" s="937"/>
      <c r="V662" s="937"/>
      <c r="W662" s="937"/>
      <c r="X662" s="937"/>
      <c r="Y662" s="937"/>
      <c r="Z662" s="937"/>
    </row>
    <row r="663" spans="1:26" ht="15.75" customHeight="1">
      <c r="A663" s="937"/>
      <c r="B663" s="937"/>
      <c r="C663" s="937"/>
      <c r="D663" s="937"/>
      <c r="E663" s="937"/>
      <c r="F663" s="937"/>
      <c r="G663" s="937"/>
      <c r="H663" s="937"/>
      <c r="I663" s="937"/>
      <c r="J663" s="937"/>
      <c r="K663" s="937"/>
      <c r="L663" s="937"/>
      <c r="M663" s="937"/>
      <c r="N663" s="937"/>
      <c r="O663" s="937"/>
      <c r="P663" s="937"/>
      <c r="Q663" s="937"/>
      <c r="R663" s="937"/>
      <c r="S663" s="937"/>
      <c r="T663" s="937"/>
      <c r="U663" s="937"/>
      <c r="V663" s="937"/>
      <c r="W663" s="937"/>
      <c r="X663" s="937"/>
      <c r="Y663" s="937"/>
      <c r="Z663" s="937"/>
    </row>
    <row r="664" spans="1:26" ht="15.75" customHeight="1">
      <c r="A664" s="937"/>
      <c r="B664" s="937"/>
      <c r="C664" s="937"/>
      <c r="D664" s="937"/>
      <c r="E664" s="937"/>
      <c r="F664" s="937"/>
      <c r="G664" s="937"/>
      <c r="H664" s="937"/>
      <c r="I664" s="937"/>
      <c r="J664" s="937"/>
      <c r="K664" s="937"/>
      <c r="L664" s="937"/>
      <c r="M664" s="937"/>
      <c r="N664" s="937"/>
      <c r="O664" s="937"/>
      <c r="P664" s="937"/>
      <c r="Q664" s="937"/>
      <c r="R664" s="937"/>
      <c r="S664" s="937"/>
      <c r="T664" s="937"/>
      <c r="U664" s="937"/>
      <c r="V664" s="937"/>
      <c r="W664" s="937"/>
      <c r="X664" s="937"/>
      <c r="Y664" s="937"/>
      <c r="Z664" s="937"/>
    </row>
    <row r="665" spans="1:26" ht="15.75" customHeight="1">
      <c r="A665" s="937"/>
      <c r="B665" s="937"/>
      <c r="C665" s="937"/>
      <c r="D665" s="937"/>
      <c r="E665" s="937"/>
      <c r="F665" s="937"/>
      <c r="G665" s="937"/>
      <c r="H665" s="937"/>
      <c r="I665" s="937"/>
      <c r="J665" s="937"/>
      <c r="K665" s="937"/>
      <c r="L665" s="937"/>
      <c r="M665" s="937"/>
      <c r="N665" s="937"/>
      <c r="O665" s="937"/>
      <c r="P665" s="937"/>
      <c r="Q665" s="937"/>
      <c r="R665" s="937"/>
      <c r="S665" s="937"/>
      <c r="T665" s="937"/>
      <c r="U665" s="937"/>
      <c r="V665" s="937"/>
      <c r="W665" s="937"/>
      <c r="X665" s="937"/>
      <c r="Y665" s="937"/>
      <c r="Z665" s="937"/>
    </row>
    <row r="666" spans="1:26" ht="15.75" customHeight="1">
      <c r="A666" s="937"/>
      <c r="B666" s="937"/>
      <c r="C666" s="937"/>
      <c r="D666" s="937"/>
      <c r="E666" s="937"/>
      <c r="F666" s="937"/>
      <c r="G666" s="937"/>
      <c r="H666" s="937"/>
      <c r="I666" s="937"/>
      <c r="J666" s="937"/>
      <c r="K666" s="937"/>
      <c r="L666" s="937"/>
      <c r="M666" s="937"/>
      <c r="N666" s="937"/>
      <c r="O666" s="937"/>
      <c r="P666" s="937"/>
      <c r="Q666" s="937"/>
      <c r="R666" s="937"/>
      <c r="S666" s="937"/>
      <c r="T666" s="937"/>
      <c r="U666" s="937"/>
      <c r="V666" s="937"/>
      <c r="W666" s="937"/>
      <c r="X666" s="937"/>
      <c r="Y666" s="937"/>
      <c r="Z666" s="937"/>
    </row>
    <row r="667" spans="1:26" ht="15.75" customHeight="1">
      <c r="A667" s="937"/>
      <c r="B667" s="937"/>
      <c r="C667" s="937"/>
      <c r="D667" s="937"/>
      <c r="E667" s="937"/>
      <c r="F667" s="937"/>
      <c r="G667" s="937"/>
      <c r="H667" s="937"/>
      <c r="I667" s="937"/>
      <c r="J667" s="937"/>
      <c r="K667" s="937"/>
      <c r="L667" s="937"/>
      <c r="M667" s="937"/>
      <c r="N667" s="937"/>
      <c r="O667" s="937"/>
      <c r="P667" s="937"/>
      <c r="Q667" s="937"/>
      <c r="R667" s="937"/>
      <c r="S667" s="937"/>
      <c r="T667" s="937"/>
      <c r="U667" s="937"/>
      <c r="V667" s="937"/>
      <c r="W667" s="937"/>
      <c r="X667" s="937"/>
      <c r="Y667" s="937"/>
      <c r="Z667" s="937"/>
    </row>
    <row r="668" spans="1:26" ht="15.75" customHeight="1">
      <c r="A668" s="937"/>
      <c r="B668" s="937"/>
      <c r="C668" s="937"/>
      <c r="D668" s="937"/>
      <c r="E668" s="937"/>
      <c r="F668" s="937"/>
      <c r="G668" s="937"/>
      <c r="H668" s="937"/>
      <c r="I668" s="937"/>
      <c r="J668" s="937"/>
      <c r="K668" s="937"/>
      <c r="L668" s="937"/>
      <c r="M668" s="937"/>
      <c r="N668" s="937"/>
      <c r="O668" s="937"/>
      <c r="P668" s="937"/>
      <c r="Q668" s="937"/>
      <c r="R668" s="937"/>
      <c r="S668" s="937"/>
      <c r="T668" s="937"/>
      <c r="U668" s="937"/>
      <c r="V668" s="937"/>
      <c r="W668" s="937"/>
      <c r="X668" s="937"/>
      <c r="Y668" s="937"/>
      <c r="Z668" s="937"/>
    </row>
    <row r="669" spans="1:26" ht="15.75" customHeight="1">
      <c r="A669" s="937"/>
      <c r="B669" s="937"/>
      <c r="C669" s="937"/>
      <c r="D669" s="937"/>
      <c r="E669" s="937"/>
      <c r="F669" s="937"/>
      <c r="G669" s="937"/>
      <c r="H669" s="937"/>
      <c r="I669" s="937"/>
      <c r="J669" s="937"/>
      <c r="K669" s="937"/>
      <c r="L669" s="937"/>
      <c r="M669" s="937"/>
      <c r="N669" s="937"/>
      <c r="O669" s="937"/>
      <c r="P669" s="937"/>
      <c r="Q669" s="937"/>
      <c r="R669" s="937"/>
      <c r="S669" s="937"/>
      <c r="T669" s="937"/>
      <c r="U669" s="937"/>
      <c r="V669" s="937"/>
      <c r="W669" s="937"/>
      <c r="X669" s="937"/>
      <c r="Y669" s="937"/>
      <c r="Z669" s="937"/>
    </row>
    <row r="670" spans="1:26" ht="15.75" customHeight="1">
      <c r="A670" s="937"/>
      <c r="B670" s="937"/>
      <c r="C670" s="937"/>
      <c r="D670" s="937"/>
      <c r="E670" s="937"/>
      <c r="F670" s="937"/>
      <c r="G670" s="937"/>
      <c r="H670" s="937"/>
      <c r="I670" s="937"/>
      <c r="J670" s="937"/>
      <c r="K670" s="937"/>
      <c r="L670" s="937"/>
      <c r="M670" s="937"/>
      <c r="N670" s="937"/>
      <c r="O670" s="937"/>
      <c r="P670" s="937"/>
      <c r="Q670" s="937"/>
      <c r="R670" s="937"/>
      <c r="S670" s="937"/>
      <c r="T670" s="937"/>
      <c r="U670" s="937"/>
      <c r="V670" s="937"/>
      <c r="W670" s="937"/>
      <c r="X670" s="937"/>
      <c r="Y670" s="937"/>
      <c r="Z670" s="937"/>
    </row>
    <row r="671" spans="1:26" ht="15.75" customHeight="1">
      <c r="A671" s="937"/>
      <c r="B671" s="937"/>
      <c r="C671" s="937"/>
      <c r="D671" s="937"/>
      <c r="E671" s="937"/>
      <c r="F671" s="937"/>
      <c r="G671" s="937"/>
      <c r="H671" s="937"/>
      <c r="I671" s="937"/>
      <c r="J671" s="937"/>
      <c r="K671" s="937"/>
      <c r="L671" s="937"/>
      <c r="M671" s="937"/>
      <c r="N671" s="937"/>
      <c r="O671" s="937"/>
      <c r="P671" s="937"/>
      <c r="Q671" s="937"/>
      <c r="R671" s="937"/>
      <c r="S671" s="937"/>
      <c r="T671" s="937"/>
      <c r="U671" s="937"/>
      <c r="V671" s="937"/>
      <c r="W671" s="937"/>
      <c r="X671" s="937"/>
      <c r="Y671" s="937"/>
      <c r="Z671" s="937"/>
    </row>
    <row r="672" spans="1:26" ht="15.75" customHeight="1">
      <c r="A672" s="937"/>
      <c r="B672" s="937"/>
      <c r="C672" s="937"/>
      <c r="D672" s="937"/>
      <c r="E672" s="937"/>
      <c r="F672" s="937"/>
      <c r="G672" s="937"/>
      <c r="H672" s="937"/>
      <c r="I672" s="937"/>
      <c r="J672" s="937"/>
      <c r="K672" s="937"/>
      <c r="L672" s="937"/>
      <c r="M672" s="937"/>
      <c r="N672" s="937"/>
      <c r="O672" s="937"/>
      <c r="P672" s="937"/>
      <c r="Q672" s="937"/>
      <c r="R672" s="937"/>
      <c r="S672" s="937"/>
      <c r="T672" s="937"/>
      <c r="U672" s="937"/>
      <c r="V672" s="937"/>
      <c r="W672" s="937"/>
      <c r="X672" s="937"/>
      <c r="Y672" s="937"/>
      <c r="Z672" s="937"/>
    </row>
    <row r="673" spans="1:26" ht="15.75" customHeight="1">
      <c r="A673" s="937"/>
      <c r="B673" s="937"/>
      <c r="C673" s="937"/>
      <c r="D673" s="937"/>
      <c r="E673" s="937"/>
      <c r="F673" s="937"/>
      <c r="G673" s="937"/>
      <c r="H673" s="937"/>
      <c r="I673" s="937"/>
      <c r="J673" s="937"/>
      <c r="K673" s="937"/>
      <c r="L673" s="937"/>
      <c r="M673" s="937"/>
      <c r="N673" s="937"/>
      <c r="O673" s="937"/>
      <c r="P673" s="937"/>
      <c r="Q673" s="937"/>
      <c r="R673" s="937"/>
      <c r="S673" s="937"/>
      <c r="T673" s="937"/>
      <c r="U673" s="937"/>
      <c r="V673" s="937"/>
      <c r="W673" s="937"/>
      <c r="X673" s="937"/>
      <c r="Y673" s="937"/>
      <c r="Z673" s="937"/>
    </row>
    <row r="674" spans="1:26" ht="15.75" customHeight="1">
      <c r="A674" s="937"/>
      <c r="B674" s="937"/>
      <c r="C674" s="937"/>
      <c r="D674" s="937"/>
      <c r="E674" s="937"/>
      <c r="F674" s="937"/>
      <c r="G674" s="937"/>
      <c r="H674" s="937"/>
      <c r="I674" s="937"/>
      <c r="J674" s="937"/>
      <c r="K674" s="937"/>
      <c r="L674" s="937"/>
      <c r="M674" s="937"/>
      <c r="N674" s="937"/>
      <c r="O674" s="937"/>
      <c r="P674" s="937"/>
      <c r="Q674" s="937"/>
      <c r="R674" s="937"/>
      <c r="S674" s="937"/>
      <c r="T674" s="937"/>
      <c r="U674" s="937"/>
      <c r="V674" s="937"/>
      <c r="W674" s="937"/>
      <c r="X674" s="937"/>
      <c r="Y674" s="937"/>
      <c r="Z674" s="937"/>
    </row>
    <row r="675" spans="1:26" ht="15.75" customHeight="1">
      <c r="A675" s="937"/>
      <c r="B675" s="937"/>
      <c r="C675" s="937"/>
      <c r="D675" s="937"/>
      <c r="E675" s="937"/>
      <c r="F675" s="937"/>
      <c r="G675" s="937"/>
      <c r="H675" s="937"/>
      <c r="I675" s="937"/>
      <c r="J675" s="937"/>
      <c r="K675" s="937"/>
      <c r="L675" s="937"/>
      <c r="M675" s="937"/>
      <c r="N675" s="937"/>
      <c r="O675" s="937"/>
      <c r="P675" s="937"/>
      <c r="Q675" s="937"/>
      <c r="R675" s="937"/>
      <c r="S675" s="937"/>
      <c r="T675" s="937"/>
      <c r="U675" s="937"/>
      <c r="V675" s="937"/>
      <c r="W675" s="937"/>
      <c r="X675" s="937"/>
      <c r="Y675" s="937"/>
      <c r="Z675" s="937"/>
    </row>
    <row r="676" spans="1:26" ht="15.75" customHeight="1">
      <c r="A676" s="937"/>
      <c r="B676" s="937"/>
      <c r="C676" s="937"/>
      <c r="D676" s="937"/>
      <c r="E676" s="937"/>
      <c r="F676" s="937"/>
      <c r="G676" s="937"/>
      <c r="H676" s="937"/>
      <c r="I676" s="937"/>
      <c r="J676" s="937"/>
      <c r="K676" s="937"/>
      <c r="L676" s="937"/>
      <c r="M676" s="937"/>
      <c r="N676" s="937"/>
      <c r="O676" s="937"/>
      <c r="P676" s="937"/>
      <c r="Q676" s="937"/>
      <c r="R676" s="937"/>
      <c r="S676" s="937"/>
      <c r="T676" s="937"/>
      <c r="U676" s="937"/>
      <c r="V676" s="937"/>
      <c r="W676" s="937"/>
      <c r="X676" s="937"/>
      <c r="Y676" s="937"/>
      <c r="Z676" s="937"/>
    </row>
    <row r="677" spans="1:26" ht="15.75" customHeight="1">
      <c r="A677" s="937"/>
      <c r="B677" s="937"/>
      <c r="C677" s="937"/>
      <c r="D677" s="937"/>
      <c r="E677" s="937"/>
      <c r="F677" s="937"/>
      <c r="G677" s="937"/>
      <c r="H677" s="937"/>
      <c r="I677" s="937"/>
      <c r="J677" s="937"/>
      <c r="K677" s="937"/>
      <c r="L677" s="937"/>
      <c r="M677" s="937"/>
      <c r="N677" s="937"/>
      <c r="O677" s="937"/>
      <c r="P677" s="937"/>
      <c r="Q677" s="937"/>
      <c r="R677" s="937"/>
      <c r="S677" s="937"/>
      <c r="T677" s="937"/>
      <c r="U677" s="937"/>
      <c r="V677" s="937"/>
      <c r="W677" s="937"/>
      <c r="X677" s="937"/>
      <c r="Y677" s="937"/>
      <c r="Z677" s="937"/>
    </row>
    <row r="678" spans="1:26" ht="15.75" customHeight="1">
      <c r="A678" s="937"/>
      <c r="B678" s="937"/>
      <c r="C678" s="937"/>
      <c r="D678" s="937"/>
      <c r="E678" s="937"/>
      <c r="F678" s="937"/>
      <c r="G678" s="937"/>
      <c r="H678" s="937"/>
      <c r="I678" s="937"/>
      <c r="J678" s="937"/>
      <c r="K678" s="937"/>
      <c r="L678" s="937"/>
      <c r="M678" s="937"/>
      <c r="N678" s="937"/>
      <c r="O678" s="937"/>
      <c r="P678" s="937"/>
      <c r="Q678" s="937"/>
      <c r="R678" s="937"/>
      <c r="S678" s="937"/>
      <c r="T678" s="937"/>
      <c r="U678" s="937"/>
      <c r="V678" s="937"/>
      <c r="W678" s="937"/>
      <c r="X678" s="937"/>
      <c r="Y678" s="937"/>
      <c r="Z678" s="937"/>
    </row>
    <row r="679" spans="1:26" ht="15.75" customHeight="1">
      <c r="A679" s="937"/>
      <c r="B679" s="937"/>
      <c r="C679" s="937"/>
      <c r="D679" s="937"/>
      <c r="E679" s="937"/>
      <c r="F679" s="937"/>
      <c r="G679" s="937"/>
      <c r="H679" s="937"/>
      <c r="I679" s="937"/>
      <c r="J679" s="937"/>
      <c r="K679" s="937"/>
      <c r="L679" s="937"/>
      <c r="M679" s="937"/>
      <c r="N679" s="937"/>
      <c r="O679" s="937"/>
      <c r="P679" s="937"/>
      <c r="Q679" s="937"/>
      <c r="R679" s="937"/>
      <c r="S679" s="937"/>
      <c r="T679" s="937"/>
      <c r="U679" s="937"/>
      <c r="V679" s="937"/>
      <c r="W679" s="937"/>
      <c r="X679" s="937"/>
      <c r="Y679" s="937"/>
      <c r="Z679" s="937"/>
    </row>
    <row r="680" spans="1:26" ht="15.75" customHeight="1">
      <c r="A680" s="937"/>
      <c r="B680" s="937"/>
      <c r="C680" s="937"/>
      <c r="D680" s="937"/>
      <c r="E680" s="937"/>
      <c r="F680" s="937"/>
      <c r="G680" s="937"/>
      <c r="H680" s="937"/>
      <c r="I680" s="937"/>
      <c r="J680" s="937"/>
      <c r="K680" s="937"/>
      <c r="L680" s="937"/>
      <c r="M680" s="937"/>
      <c r="N680" s="937"/>
      <c r="O680" s="937"/>
      <c r="P680" s="937"/>
      <c r="Q680" s="937"/>
      <c r="R680" s="937"/>
      <c r="S680" s="937"/>
      <c r="T680" s="937"/>
      <c r="U680" s="937"/>
      <c r="V680" s="937"/>
      <c r="W680" s="937"/>
      <c r="X680" s="937"/>
      <c r="Y680" s="937"/>
      <c r="Z680" s="937"/>
    </row>
    <row r="681" spans="1:26" ht="15.75" customHeight="1">
      <c r="A681" s="937"/>
      <c r="B681" s="937"/>
      <c r="C681" s="937"/>
      <c r="D681" s="937"/>
      <c r="E681" s="937"/>
      <c r="F681" s="937"/>
      <c r="G681" s="937"/>
      <c r="H681" s="937"/>
      <c r="I681" s="937"/>
      <c r="J681" s="937"/>
      <c r="K681" s="937"/>
      <c r="L681" s="937"/>
      <c r="M681" s="937"/>
      <c r="N681" s="937"/>
      <c r="O681" s="937"/>
      <c r="P681" s="937"/>
      <c r="Q681" s="937"/>
      <c r="R681" s="937"/>
      <c r="S681" s="937"/>
      <c r="T681" s="937"/>
      <c r="U681" s="937"/>
      <c r="V681" s="937"/>
      <c r="W681" s="937"/>
      <c r="X681" s="937"/>
      <c r="Y681" s="937"/>
      <c r="Z681" s="937"/>
    </row>
    <row r="682" spans="1:26" ht="15.75" customHeight="1">
      <c r="A682" s="937"/>
      <c r="B682" s="937"/>
      <c r="C682" s="937"/>
      <c r="D682" s="937"/>
      <c r="E682" s="937"/>
      <c r="F682" s="937"/>
      <c r="G682" s="937"/>
      <c r="H682" s="937"/>
      <c r="I682" s="937"/>
      <c r="J682" s="937"/>
      <c r="K682" s="937"/>
      <c r="L682" s="937"/>
      <c r="M682" s="937"/>
      <c r="N682" s="937"/>
      <c r="O682" s="937"/>
      <c r="P682" s="937"/>
      <c r="Q682" s="937"/>
      <c r="R682" s="937"/>
      <c r="S682" s="937"/>
      <c r="T682" s="937"/>
      <c r="U682" s="937"/>
      <c r="V682" s="937"/>
      <c r="W682" s="937"/>
      <c r="X682" s="937"/>
      <c r="Y682" s="937"/>
      <c r="Z682" s="937"/>
    </row>
    <row r="683" spans="1:26" ht="15.75" customHeight="1">
      <c r="A683" s="937"/>
      <c r="B683" s="937"/>
      <c r="C683" s="937"/>
      <c r="D683" s="937"/>
      <c r="E683" s="937"/>
      <c r="F683" s="937"/>
      <c r="G683" s="937"/>
      <c r="H683" s="937"/>
      <c r="I683" s="937"/>
      <c r="J683" s="937"/>
      <c r="K683" s="937"/>
      <c r="L683" s="937"/>
      <c r="M683" s="937"/>
      <c r="N683" s="937"/>
      <c r="O683" s="937"/>
      <c r="P683" s="937"/>
      <c r="Q683" s="937"/>
      <c r="R683" s="937"/>
      <c r="S683" s="937"/>
      <c r="T683" s="937"/>
      <c r="U683" s="937"/>
      <c r="V683" s="937"/>
      <c r="W683" s="937"/>
      <c r="X683" s="937"/>
      <c r="Y683" s="937"/>
      <c r="Z683" s="937"/>
    </row>
    <row r="684" spans="1:26" ht="15.75" customHeight="1">
      <c r="A684" s="937"/>
      <c r="B684" s="937"/>
      <c r="C684" s="937"/>
      <c r="D684" s="937"/>
      <c r="E684" s="937"/>
      <c r="F684" s="937"/>
      <c r="G684" s="937"/>
      <c r="H684" s="937"/>
      <c r="I684" s="937"/>
      <c r="J684" s="937"/>
      <c r="K684" s="937"/>
      <c r="L684" s="937"/>
      <c r="M684" s="937"/>
      <c r="N684" s="937"/>
      <c r="O684" s="937"/>
      <c r="P684" s="937"/>
      <c r="Q684" s="937"/>
      <c r="R684" s="937"/>
      <c r="S684" s="937"/>
      <c r="T684" s="937"/>
      <c r="U684" s="937"/>
      <c r="V684" s="937"/>
      <c r="W684" s="937"/>
      <c r="X684" s="937"/>
      <c r="Y684" s="937"/>
      <c r="Z684" s="937"/>
    </row>
    <row r="685" spans="1:26" ht="15.75" customHeight="1">
      <c r="A685" s="937"/>
      <c r="B685" s="937"/>
      <c r="C685" s="937"/>
      <c r="D685" s="937"/>
      <c r="E685" s="937"/>
      <c r="F685" s="937"/>
      <c r="G685" s="937"/>
      <c r="H685" s="937"/>
      <c r="I685" s="937"/>
      <c r="J685" s="937"/>
      <c r="K685" s="937"/>
      <c r="L685" s="937"/>
      <c r="M685" s="937"/>
      <c r="N685" s="937"/>
      <c r="O685" s="937"/>
      <c r="P685" s="937"/>
      <c r="Q685" s="937"/>
      <c r="R685" s="937"/>
      <c r="S685" s="937"/>
      <c r="T685" s="937"/>
      <c r="U685" s="937"/>
      <c r="V685" s="937"/>
      <c r="W685" s="937"/>
      <c r="X685" s="937"/>
      <c r="Y685" s="937"/>
      <c r="Z685" s="937"/>
    </row>
    <row r="686" spans="1:26" ht="15.75" customHeight="1">
      <c r="A686" s="937"/>
      <c r="B686" s="937"/>
      <c r="C686" s="937"/>
      <c r="D686" s="937"/>
      <c r="E686" s="937"/>
      <c r="F686" s="937"/>
      <c r="G686" s="937"/>
      <c r="H686" s="937"/>
      <c r="I686" s="937"/>
      <c r="J686" s="937"/>
      <c r="K686" s="937"/>
      <c r="L686" s="937"/>
      <c r="M686" s="937"/>
      <c r="N686" s="937"/>
      <c r="O686" s="937"/>
      <c r="P686" s="937"/>
      <c r="Q686" s="937"/>
      <c r="R686" s="937"/>
      <c r="S686" s="937"/>
      <c r="T686" s="937"/>
      <c r="U686" s="937"/>
      <c r="V686" s="937"/>
      <c r="W686" s="937"/>
      <c r="X686" s="937"/>
      <c r="Y686" s="937"/>
      <c r="Z686" s="937"/>
    </row>
    <row r="687" spans="1:26" ht="15.75" customHeight="1">
      <c r="A687" s="937"/>
      <c r="B687" s="937"/>
      <c r="C687" s="937"/>
      <c r="D687" s="937"/>
      <c r="E687" s="937"/>
      <c r="F687" s="937"/>
      <c r="G687" s="937"/>
      <c r="H687" s="937"/>
      <c r="I687" s="937"/>
      <c r="J687" s="937"/>
      <c r="K687" s="937"/>
      <c r="L687" s="937"/>
      <c r="M687" s="937"/>
      <c r="N687" s="937"/>
      <c r="O687" s="937"/>
      <c r="P687" s="937"/>
      <c r="Q687" s="937"/>
      <c r="R687" s="937"/>
      <c r="S687" s="937"/>
      <c r="T687" s="937"/>
      <c r="U687" s="937"/>
      <c r="V687" s="937"/>
      <c r="W687" s="937"/>
      <c r="X687" s="937"/>
      <c r="Y687" s="937"/>
      <c r="Z687" s="937"/>
    </row>
    <row r="688" spans="1:26" ht="15.75" customHeight="1">
      <c r="A688" s="937"/>
      <c r="B688" s="937"/>
      <c r="C688" s="937"/>
      <c r="D688" s="937"/>
      <c r="E688" s="937"/>
      <c r="F688" s="937"/>
      <c r="G688" s="937"/>
      <c r="H688" s="937"/>
      <c r="I688" s="937"/>
      <c r="J688" s="937"/>
      <c r="K688" s="937"/>
      <c r="L688" s="937"/>
      <c r="M688" s="937"/>
      <c r="N688" s="937"/>
      <c r="O688" s="937"/>
      <c r="P688" s="937"/>
      <c r="Q688" s="937"/>
      <c r="R688" s="937"/>
      <c r="S688" s="937"/>
      <c r="T688" s="937"/>
      <c r="U688" s="937"/>
      <c r="V688" s="937"/>
      <c r="W688" s="937"/>
      <c r="X688" s="937"/>
      <c r="Y688" s="937"/>
      <c r="Z688" s="937"/>
    </row>
    <row r="689" spans="1:26" ht="15.75" customHeight="1">
      <c r="A689" s="937"/>
      <c r="B689" s="937"/>
      <c r="C689" s="937"/>
      <c r="D689" s="937"/>
      <c r="E689" s="937"/>
      <c r="F689" s="937"/>
      <c r="G689" s="937"/>
      <c r="H689" s="937"/>
      <c r="I689" s="937"/>
      <c r="J689" s="937"/>
      <c r="K689" s="937"/>
      <c r="L689" s="937"/>
      <c r="M689" s="937"/>
      <c r="N689" s="937"/>
      <c r="O689" s="937"/>
      <c r="P689" s="937"/>
      <c r="Q689" s="937"/>
      <c r="R689" s="937"/>
      <c r="S689" s="937"/>
      <c r="T689" s="937"/>
      <c r="U689" s="937"/>
      <c r="V689" s="937"/>
      <c r="W689" s="937"/>
      <c r="X689" s="937"/>
      <c r="Y689" s="937"/>
      <c r="Z689" s="937"/>
    </row>
    <row r="690" spans="1:26" ht="15.75" customHeight="1">
      <c r="A690" s="937"/>
      <c r="B690" s="937"/>
      <c r="C690" s="937"/>
      <c r="D690" s="937"/>
      <c r="E690" s="937"/>
      <c r="F690" s="937"/>
      <c r="G690" s="937"/>
      <c r="H690" s="937"/>
      <c r="I690" s="937"/>
      <c r="J690" s="937"/>
      <c r="K690" s="937"/>
      <c r="L690" s="937"/>
      <c r="M690" s="937"/>
      <c r="N690" s="937"/>
      <c r="O690" s="937"/>
      <c r="P690" s="937"/>
      <c r="Q690" s="937"/>
      <c r="R690" s="937"/>
      <c r="S690" s="937"/>
      <c r="T690" s="937"/>
      <c r="U690" s="937"/>
      <c r="V690" s="937"/>
      <c r="W690" s="937"/>
      <c r="X690" s="937"/>
      <c r="Y690" s="937"/>
      <c r="Z690" s="937"/>
    </row>
    <row r="691" spans="1:26" ht="15.75" customHeight="1">
      <c r="A691" s="937"/>
      <c r="B691" s="937"/>
      <c r="C691" s="937"/>
      <c r="D691" s="937"/>
      <c r="E691" s="937"/>
      <c r="F691" s="937"/>
      <c r="G691" s="937"/>
      <c r="H691" s="937"/>
      <c r="I691" s="937"/>
      <c r="J691" s="937"/>
      <c r="K691" s="937"/>
      <c r="L691" s="937"/>
      <c r="M691" s="937"/>
      <c r="N691" s="937"/>
      <c r="O691" s="937"/>
      <c r="P691" s="937"/>
      <c r="Q691" s="937"/>
      <c r="R691" s="937"/>
      <c r="S691" s="937"/>
      <c r="T691" s="937"/>
      <c r="U691" s="937"/>
      <c r="V691" s="937"/>
      <c r="W691" s="937"/>
      <c r="X691" s="937"/>
      <c r="Y691" s="937"/>
      <c r="Z691" s="937"/>
    </row>
    <row r="692" spans="1:26" ht="15.75" customHeight="1">
      <c r="A692" s="937"/>
      <c r="B692" s="937"/>
      <c r="C692" s="937"/>
      <c r="D692" s="937"/>
      <c r="E692" s="937"/>
      <c r="F692" s="937"/>
      <c r="G692" s="937"/>
      <c r="H692" s="937"/>
      <c r="I692" s="937"/>
      <c r="J692" s="937"/>
      <c r="K692" s="937"/>
      <c r="L692" s="937"/>
      <c r="M692" s="937"/>
      <c r="N692" s="937"/>
      <c r="O692" s="937"/>
      <c r="P692" s="937"/>
      <c r="Q692" s="937"/>
      <c r="R692" s="937"/>
      <c r="S692" s="937"/>
      <c r="T692" s="937"/>
      <c r="U692" s="937"/>
      <c r="V692" s="937"/>
      <c r="W692" s="937"/>
      <c r="X692" s="937"/>
      <c r="Y692" s="937"/>
      <c r="Z692" s="937"/>
    </row>
    <row r="693" spans="1:26" ht="15.75" customHeight="1">
      <c r="A693" s="937"/>
      <c r="B693" s="937"/>
      <c r="C693" s="937"/>
      <c r="D693" s="937"/>
      <c r="E693" s="937"/>
      <c r="F693" s="937"/>
      <c r="G693" s="937"/>
      <c r="H693" s="937"/>
      <c r="I693" s="937"/>
      <c r="J693" s="937"/>
      <c r="K693" s="937"/>
      <c r="L693" s="937"/>
      <c r="M693" s="937"/>
      <c r="N693" s="937"/>
      <c r="O693" s="937"/>
      <c r="P693" s="937"/>
      <c r="Q693" s="937"/>
      <c r="R693" s="937"/>
      <c r="S693" s="937"/>
      <c r="T693" s="937"/>
      <c r="U693" s="937"/>
      <c r="V693" s="937"/>
      <c r="W693" s="937"/>
      <c r="X693" s="937"/>
      <c r="Y693" s="937"/>
      <c r="Z693" s="937"/>
    </row>
    <row r="694" spans="1:26" ht="15.75" customHeight="1">
      <c r="A694" s="937"/>
      <c r="B694" s="937"/>
      <c r="C694" s="937"/>
      <c r="D694" s="937"/>
      <c r="E694" s="937"/>
      <c r="F694" s="937"/>
      <c r="G694" s="937"/>
      <c r="H694" s="937"/>
      <c r="I694" s="937"/>
      <c r="J694" s="937"/>
      <c r="K694" s="937"/>
      <c r="L694" s="937"/>
      <c r="M694" s="937"/>
      <c r="N694" s="937"/>
      <c r="O694" s="937"/>
      <c r="P694" s="937"/>
      <c r="Q694" s="937"/>
      <c r="R694" s="937"/>
      <c r="S694" s="937"/>
      <c r="T694" s="937"/>
      <c r="U694" s="937"/>
      <c r="V694" s="937"/>
      <c r="W694" s="937"/>
      <c r="X694" s="937"/>
      <c r="Y694" s="937"/>
      <c r="Z694" s="937"/>
    </row>
    <row r="695" spans="1:26" ht="15.75" customHeight="1">
      <c r="A695" s="937"/>
      <c r="B695" s="937"/>
      <c r="C695" s="937"/>
      <c r="D695" s="937"/>
      <c r="E695" s="937"/>
      <c r="F695" s="937"/>
      <c r="G695" s="937"/>
      <c r="H695" s="937"/>
      <c r="I695" s="937"/>
      <c r="J695" s="937"/>
      <c r="K695" s="937"/>
      <c r="L695" s="937"/>
      <c r="M695" s="937"/>
      <c r="N695" s="937"/>
      <c r="O695" s="937"/>
      <c r="P695" s="937"/>
      <c r="Q695" s="937"/>
      <c r="R695" s="937"/>
      <c r="S695" s="937"/>
      <c r="T695" s="937"/>
      <c r="U695" s="937"/>
      <c r="V695" s="937"/>
      <c r="W695" s="937"/>
      <c r="X695" s="937"/>
      <c r="Y695" s="937"/>
      <c r="Z695" s="937"/>
    </row>
    <row r="696" spans="1:26" ht="15.75" customHeight="1">
      <c r="A696" s="937"/>
      <c r="B696" s="937"/>
      <c r="C696" s="937"/>
      <c r="D696" s="937"/>
      <c r="E696" s="937"/>
      <c r="F696" s="937"/>
      <c r="G696" s="937"/>
      <c r="H696" s="937"/>
      <c r="I696" s="937"/>
      <c r="J696" s="937"/>
      <c r="K696" s="937"/>
      <c r="L696" s="937"/>
      <c r="M696" s="937"/>
      <c r="N696" s="937"/>
      <c r="O696" s="937"/>
      <c r="P696" s="937"/>
      <c r="Q696" s="937"/>
      <c r="R696" s="937"/>
      <c r="S696" s="937"/>
      <c r="T696" s="937"/>
      <c r="U696" s="937"/>
      <c r="V696" s="937"/>
      <c r="W696" s="937"/>
      <c r="X696" s="937"/>
      <c r="Y696" s="937"/>
      <c r="Z696" s="937"/>
    </row>
    <row r="697" spans="1:26" ht="15.75" customHeight="1">
      <c r="A697" s="937"/>
      <c r="B697" s="937"/>
      <c r="C697" s="937"/>
      <c r="D697" s="937"/>
      <c r="E697" s="937"/>
      <c r="F697" s="937"/>
      <c r="G697" s="937"/>
      <c r="H697" s="937"/>
      <c r="I697" s="937"/>
      <c r="J697" s="937"/>
      <c r="K697" s="937"/>
      <c r="L697" s="937"/>
      <c r="M697" s="937"/>
      <c r="N697" s="937"/>
      <c r="O697" s="937"/>
      <c r="P697" s="937"/>
      <c r="Q697" s="937"/>
      <c r="R697" s="937"/>
      <c r="S697" s="937"/>
      <c r="T697" s="937"/>
      <c r="U697" s="937"/>
      <c r="V697" s="937"/>
      <c r="W697" s="937"/>
      <c r="X697" s="937"/>
      <c r="Y697" s="937"/>
      <c r="Z697" s="937"/>
    </row>
    <row r="698" spans="1:26" ht="15.75" customHeight="1">
      <c r="A698" s="937"/>
      <c r="B698" s="937"/>
      <c r="C698" s="937"/>
      <c r="D698" s="937"/>
      <c r="E698" s="937"/>
      <c r="F698" s="937"/>
      <c r="G698" s="937"/>
      <c r="H698" s="937"/>
      <c r="I698" s="937"/>
      <c r="J698" s="937"/>
      <c r="K698" s="937"/>
      <c r="L698" s="937"/>
      <c r="M698" s="937"/>
      <c r="N698" s="937"/>
      <c r="O698" s="937"/>
      <c r="P698" s="937"/>
      <c r="Q698" s="937"/>
      <c r="R698" s="937"/>
      <c r="S698" s="937"/>
      <c r="T698" s="937"/>
      <c r="U698" s="937"/>
      <c r="V698" s="937"/>
      <c r="W698" s="937"/>
      <c r="X698" s="937"/>
      <c r="Y698" s="937"/>
      <c r="Z698" s="937"/>
    </row>
    <row r="699" spans="1:26" ht="15.75" customHeight="1">
      <c r="A699" s="937"/>
      <c r="B699" s="937"/>
      <c r="C699" s="937"/>
      <c r="D699" s="937"/>
      <c r="E699" s="937"/>
      <c r="F699" s="937"/>
      <c r="G699" s="937"/>
      <c r="H699" s="937"/>
      <c r="I699" s="937"/>
      <c r="J699" s="937"/>
      <c r="K699" s="937"/>
      <c r="L699" s="937"/>
      <c r="M699" s="937"/>
      <c r="N699" s="937"/>
      <c r="O699" s="937"/>
      <c r="P699" s="937"/>
      <c r="Q699" s="937"/>
      <c r="R699" s="937"/>
      <c r="S699" s="937"/>
      <c r="T699" s="937"/>
      <c r="U699" s="937"/>
      <c r="V699" s="937"/>
      <c r="W699" s="937"/>
      <c r="X699" s="937"/>
      <c r="Y699" s="937"/>
      <c r="Z699" s="937"/>
    </row>
    <row r="700" spans="1:26" ht="15.75" customHeight="1">
      <c r="A700" s="937"/>
      <c r="B700" s="937"/>
      <c r="C700" s="937"/>
      <c r="D700" s="937"/>
      <c r="E700" s="937"/>
      <c r="F700" s="937"/>
      <c r="G700" s="937"/>
      <c r="H700" s="937"/>
      <c r="I700" s="937"/>
      <c r="J700" s="937"/>
      <c r="K700" s="937"/>
      <c r="L700" s="937"/>
      <c r="M700" s="937"/>
      <c r="N700" s="937"/>
      <c r="O700" s="937"/>
      <c r="P700" s="937"/>
      <c r="Q700" s="937"/>
      <c r="R700" s="937"/>
      <c r="S700" s="937"/>
      <c r="T700" s="937"/>
      <c r="U700" s="937"/>
      <c r="V700" s="937"/>
      <c r="W700" s="937"/>
      <c r="X700" s="937"/>
      <c r="Y700" s="937"/>
      <c r="Z700" s="937"/>
    </row>
    <row r="701" spans="1:26" ht="15.75" customHeight="1">
      <c r="A701" s="937"/>
      <c r="B701" s="937"/>
      <c r="C701" s="937"/>
      <c r="D701" s="937"/>
      <c r="E701" s="937"/>
      <c r="F701" s="937"/>
      <c r="G701" s="937"/>
      <c r="H701" s="937"/>
      <c r="I701" s="937"/>
      <c r="J701" s="937"/>
      <c r="K701" s="937"/>
      <c r="L701" s="937"/>
      <c r="M701" s="937"/>
      <c r="N701" s="937"/>
      <c r="O701" s="937"/>
      <c r="P701" s="937"/>
      <c r="Q701" s="937"/>
      <c r="R701" s="937"/>
      <c r="S701" s="937"/>
      <c r="T701" s="937"/>
      <c r="U701" s="937"/>
      <c r="V701" s="937"/>
      <c r="W701" s="937"/>
      <c r="X701" s="937"/>
      <c r="Y701" s="937"/>
      <c r="Z701" s="937"/>
    </row>
    <row r="702" spans="1:26" ht="15.75" customHeight="1">
      <c r="A702" s="937"/>
      <c r="B702" s="937"/>
      <c r="C702" s="937"/>
      <c r="D702" s="937"/>
      <c r="E702" s="937"/>
      <c r="F702" s="937"/>
      <c r="G702" s="937"/>
      <c r="H702" s="937"/>
      <c r="I702" s="937"/>
      <c r="J702" s="937"/>
      <c r="K702" s="937"/>
      <c r="L702" s="937"/>
      <c r="M702" s="937"/>
      <c r="N702" s="937"/>
      <c r="O702" s="937"/>
      <c r="P702" s="937"/>
      <c r="Q702" s="937"/>
      <c r="R702" s="937"/>
      <c r="S702" s="937"/>
      <c r="T702" s="937"/>
      <c r="U702" s="937"/>
      <c r="V702" s="937"/>
      <c r="W702" s="937"/>
      <c r="X702" s="937"/>
      <c r="Y702" s="937"/>
      <c r="Z702" s="937"/>
    </row>
    <row r="703" spans="1:26" ht="15.75" customHeight="1">
      <c r="A703" s="937"/>
      <c r="B703" s="937"/>
      <c r="C703" s="937"/>
      <c r="D703" s="937"/>
      <c r="E703" s="937"/>
      <c r="F703" s="937"/>
      <c r="G703" s="937"/>
      <c r="H703" s="937"/>
      <c r="I703" s="937"/>
      <c r="J703" s="937"/>
      <c r="K703" s="937"/>
      <c r="L703" s="937"/>
      <c r="M703" s="937"/>
      <c r="N703" s="937"/>
      <c r="O703" s="937"/>
      <c r="P703" s="937"/>
      <c r="Q703" s="937"/>
      <c r="R703" s="937"/>
      <c r="S703" s="937"/>
      <c r="T703" s="937"/>
      <c r="U703" s="937"/>
      <c r="V703" s="937"/>
      <c r="W703" s="937"/>
      <c r="X703" s="937"/>
      <c r="Y703" s="937"/>
      <c r="Z703" s="937"/>
    </row>
    <row r="704" spans="1:26" ht="15.75" customHeight="1">
      <c r="A704" s="937"/>
      <c r="B704" s="937"/>
      <c r="C704" s="937"/>
      <c r="D704" s="937"/>
      <c r="E704" s="937"/>
      <c r="F704" s="937"/>
      <c r="G704" s="937"/>
      <c r="H704" s="937"/>
      <c r="I704" s="937"/>
      <c r="J704" s="937"/>
      <c r="K704" s="937"/>
      <c r="L704" s="937"/>
      <c r="M704" s="937"/>
      <c r="N704" s="937"/>
      <c r="O704" s="937"/>
      <c r="P704" s="937"/>
      <c r="Q704" s="937"/>
      <c r="R704" s="937"/>
      <c r="S704" s="937"/>
      <c r="T704" s="937"/>
      <c r="U704" s="937"/>
      <c r="V704" s="937"/>
      <c r="W704" s="937"/>
      <c r="X704" s="937"/>
      <c r="Y704" s="937"/>
      <c r="Z704" s="937"/>
    </row>
    <row r="705" spans="1:26" ht="15.75" customHeight="1">
      <c r="A705" s="937"/>
      <c r="B705" s="937"/>
      <c r="C705" s="937"/>
      <c r="D705" s="937"/>
      <c r="E705" s="937"/>
      <c r="F705" s="937"/>
      <c r="G705" s="937"/>
      <c r="H705" s="937"/>
      <c r="I705" s="937"/>
      <c r="J705" s="937"/>
      <c r="K705" s="937"/>
      <c r="L705" s="937"/>
      <c r="M705" s="937"/>
      <c r="N705" s="937"/>
      <c r="O705" s="937"/>
      <c r="P705" s="937"/>
      <c r="Q705" s="937"/>
      <c r="R705" s="937"/>
      <c r="S705" s="937"/>
      <c r="T705" s="937"/>
      <c r="U705" s="937"/>
      <c r="V705" s="937"/>
      <c r="W705" s="937"/>
      <c r="X705" s="937"/>
      <c r="Y705" s="937"/>
      <c r="Z705" s="937"/>
    </row>
    <row r="706" spans="1:26" ht="15.75" customHeight="1">
      <c r="A706" s="937"/>
      <c r="B706" s="937"/>
      <c r="C706" s="937"/>
      <c r="D706" s="937"/>
      <c r="E706" s="937"/>
      <c r="F706" s="937"/>
      <c r="G706" s="937"/>
      <c r="H706" s="937"/>
      <c r="I706" s="937"/>
      <c r="J706" s="937"/>
      <c r="K706" s="937"/>
      <c r="L706" s="937"/>
      <c r="M706" s="937"/>
      <c r="N706" s="937"/>
      <c r="O706" s="937"/>
      <c r="P706" s="937"/>
      <c r="Q706" s="937"/>
      <c r="R706" s="937"/>
      <c r="S706" s="937"/>
      <c r="T706" s="937"/>
      <c r="U706" s="937"/>
      <c r="V706" s="937"/>
      <c r="W706" s="937"/>
      <c r="X706" s="937"/>
      <c r="Y706" s="937"/>
      <c r="Z706" s="937"/>
    </row>
    <row r="707" spans="1:26" ht="15.75" customHeight="1">
      <c r="A707" s="937"/>
      <c r="B707" s="937"/>
      <c r="C707" s="937"/>
      <c r="D707" s="937"/>
      <c r="E707" s="937"/>
      <c r="F707" s="937"/>
      <c r="G707" s="937"/>
      <c r="H707" s="937"/>
      <c r="I707" s="937"/>
      <c r="J707" s="937"/>
      <c r="K707" s="937"/>
      <c r="L707" s="937"/>
      <c r="M707" s="937"/>
      <c r="N707" s="937"/>
      <c r="O707" s="937"/>
      <c r="P707" s="937"/>
      <c r="Q707" s="937"/>
      <c r="R707" s="937"/>
      <c r="S707" s="937"/>
      <c r="T707" s="937"/>
      <c r="U707" s="937"/>
      <c r="V707" s="937"/>
      <c r="W707" s="937"/>
      <c r="X707" s="937"/>
      <c r="Y707" s="937"/>
      <c r="Z707" s="937"/>
    </row>
    <row r="708" spans="1:26" ht="15.75" customHeight="1">
      <c r="A708" s="937"/>
      <c r="B708" s="937"/>
      <c r="C708" s="937"/>
      <c r="D708" s="937"/>
      <c r="E708" s="937"/>
      <c r="F708" s="937"/>
      <c r="G708" s="937"/>
      <c r="H708" s="937"/>
      <c r="I708" s="937"/>
      <c r="J708" s="937"/>
      <c r="K708" s="937"/>
      <c r="L708" s="937"/>
      <c r="M708" s="937"/>
      <c r="N708" s="937"/>
      <c r="O708" s="937"/>
      <c r="P708" s="937"/>
      <c r="Q708" s="937"/>
      <c r="R708" s="937"/>
      <c r="S708" s="937"/>
      <c r="T708" s="937"/>
      <c r="U708" s="937"/>
      <c r="V708" s="937"/>
      <c r="W708" s="937"/>
      <c r="X708" s="937"/>
      <c r="Y708" s="937"/>
      <c r="Z708" s="937"/>
    </row>
    <row r="709" spans="1:26" ht="15.75" customHeight="1">
      <c r="A709" s="937"/>
      <c r="B709" s="937"/>
      <c r="C709" s="937"/>
      <c r="D709" s="937"/>
      <c r="E709" s="937"/>
      <c r="F709" s="937"/>
      <c r="G709" s="937"/>
      <c r="H709" s="937"/>
      <c r="I709" s="937"/>
      <c r="J709" s="937"/>
      <c r="K709" s="937"/>
      <c r="L709" s="937"/>
      <c r="M709" s="937"/>
      <c r="N709" s="937"/>
      <c r="O709" s="937"/>
      <c r="P709" s="937"/>
      <c r="Q709" s="937"/>
      <c r="R709" s="937"/>
      <c r="S709" s="937"/>
      <c r="T709" s="937"/>
      <c r="U709" s="937"/>
      <c r="V709" s="937"/>
      <c r="W709" s="937"/>
      <c r="X709" s="937"/>
      <c r="Y709" s="937"/>
      <c r="Z709" s="937"/>
    </row>
    <row r="710" spans="1:26" ht="15.75" customHeight="1">
      <c r="A710" s="937"/>
      <c r="B710" s="937"/>
      <c r="C710" s="937"/>
      <c r="D710" s="937"/>
      <c r="E710" s="937"/>
      <c r="F710" s="937"/>
      <c r="G710" s="937"/>
      <c r="H710" s="937"/>
      <c r="I710" s="937"/>
      <c r="J710" s="937"/>
      <c r="K710" s="937"/>
      <c r="L710" s="937"/>
      <c r="M710" s="937"/>
      <c r="N710" s="937"/>
      <c r="O710" s="937"/>
      <c r="P710" s="937"/>
      <c r="Q710" s="937"/>
      <c r="R710" s="937"/>
      <c r="S710" s="937"/>
      <c r="T710" s="937"/>
      <c r="U710" s="937"/>
      <c r="V710" s="937"/>
      <c r="W710" s="937"/>
      <c r="X710" s="937"/>
      <c r="Y710" s="937"/>
      <c r="Z710" s="937"/>
    </row>
    <row r="711" spans="1:26" ht="15.75" customHeight="1">
      <c r="A711" s="937"/>
      <c r="B711" s="937"/>
      <c r="C711" s="937"/>
      <c r="D711" s="937"/>
      <c r="E711" s="937"/>
      <c r="F711" s="937"/>
      <c r="G711" s="937"/>
      <c r="H711" s="937"/>
      <c r="I711" s="937"/>
      <c r="J711" s="937"/>
      <c r="K711" s="937"/>
      <c r="L711" s="937"/>
      <c r="M711" s="937"/>
      <c r="N711" s="937"/>
      <c r="O711" s="937"/>
      <c r="P711" s="937"/>
      <c r="Q711" s="937"/>
      <c r="R711" s="937"/>
      <c r="S711" s="937"/>
      <c r="T711" s="937"/>
      <c r="U711" s="937"/>
      <c r="V711" s="937"/>
      <c r="W711" s="937"/>
      <c r="X711" s="937"/>
      <c r="Y711" s="937"/>
      <c r="Z711" s="937"/>
    </row>
    <row r="712" spans="1:26" ht="15.75" customHeight="1">
      <c r="A712" s="937"/>
      <c r="B712" s="937"/>
      <c r="C712" s="937"/>
      <c r="D712" s="937"/>
      <c r="E712" s="937"/>
      <c r="F712" s="937"/>
      <c r="G712" s="937"/>
      <c r="H712" s="937"/>
      <c r="I712" s="937"/>
      <c r="J712" s="937"/>
      <c r="K712" s="937"/>
      <c r="L712" s="937"/>
      <c r="M712" s="937"/>
      <c r="N712" s="937"/>
      <c r="O712" s="937"/>
      <c r="P712" s="937"/>
      <c r="Q712" s="937"/>
      <c r="R712" s="937"/>
      <c r="S712" s="937"/>
      <c r="T712" s="937"/>
      <c r="U712" s="937"/>
      <c r="V712" s="937"/>
      <c r="W712" s="937"/>
      <c r="X712" s="937"/>
      <c r="Y712" s="937"/>
      <c r="Z712" s="937"/>
    </row>
    <row r="713" spans="1:26" ht="15.75" customHeight="1">
      <c r="A713" s="937"/>
      <c r="B713" s="937"/>
      <c r="C713" s="937"/>
      <c r="D713" s="937"/>
      <c r="E713" s="937"/>
      <c r="F713" s="937"/>
      <c r="G713" s="937"/>
      <c r="H713" s="937"/>
      <c r="I713" s="937"/>
      <c r="J713" s="937"/>
      <c r="K713" s="937"/>
      <c r="L713" s="937"/>
      <c r="M713" s="937"/>
      <c r="N713" s="937"/>
      <c r="O713" s="937"/>
      <c r="P713" s="937"/>
      <c r="Q713" s="937"/>
      <c r="R713" s="937"/>
      <c r="S713" s="937"/>
      <c r="T713" s="937"/>
      <c r="U713" s="937"/>
      <c r="V713" s="937"/>
      <c r="W713" s="937"/>
      <c r="X713" s="937"/>
      <c r="Y713" s="937"/>
      <c r="Z713" s="937"/>
    </row>
    <row r="714" spans="1:26" ht="15.75" customHeight="1">
      <c r="A714" s="937"/>
      <c r="B714" s="937"/>
      <c r="C714" s="937"/>
      <c r="D714" s="937"/>
      <c r="E714" s="937"/>
      <c r="F714" s="937"/>
      <c r="G714" s="937"/>
      <c r="H714" s="937"/>
      <c r="I714" s="937"/>
      <c r="J714" s="937"/>
      <c r="K714" s="937"/>
      <c r="L714" s="937"/>
      <c r="M714" s="937"/>
      <c r="N714" s="937"/>
      <c r="O714" s="937"/>
      <c r="P714" s="937"/>
      <c r="Q714" s="937"/>
      <c r="R714" s="937"/>
      <c r="S714" s="937"/>
      <c r="T714" s="937"/>
      <c r="U714" s="937"/>
      <c r="V714" s="937"/>
      <c r="W714" s="937"/>
      <c r="X714" s="937"/>
      <c r="Y714" s="937"/>
      <c r="Z714" s="937"/>
    </row>
    <row r="715" spans="1:26" ht="15.75" customHeight="1">
      <c r="A715" s="937"/>
      <c r="B715" s="937"/>
      <c r="C715" s="937"/>
      <c r="D715" s="937"/>
      <c r="E715" s="937"/>
      <c r="F715" s="937"/>
      <c r="G715" s="937"/>
      <c r="H715" s="937"/>
      <c r="I715" s="937"/>
      <c r="J715" s="937"/>
      <c r="K715" s="937"/>
      <c r="L715" s="937"/>
      <c r="M715" s="937"/>
      <c r="N715" s="937"/>
      <c r="O715" s="937"/>
      <c r="P715" s="937"/>
      <c r="Q715" s="937"/>
      <c r="R715" s="937"/>
      <c r="S715" s="937"/>
      <c r="T715" s="937"/>
      <c r="U715" s="937"/>
      <c r="V715" s="937"/>
      <c r="W715" s="937"/>
      <c r="X715" s="937"/>
      <c r="Y715" s="937"/>
      <c r="Z715" s="937"/>
    </row>
    <row r="716" spans="1:26" ht="15.75" customHeight="1">
      <c r="A716" s="937"/>
      <c r="B716" s="937"/>
      <c r="C716" s="937"/>
      <c r="D716" s="937"/>
      <c r="E716" s="937"/>
      <c r="F716" s="937"/>
      <c r="G716" s="937"/>
      <c r="H716" s="937"/>
      <c r="I716" s="937"/>
      <c r="J716" s="937"/>
      <c r="K716" s="937"/>
      <c r="L716" s="937"/>
      <c r="M716" s="937"/>
      <c r="N716" s="937"/>
      <c r="O716" s="937"/>
      <c r="P716" s="937"/>
      <c r="Q716" s="937"/>
      <c r="R716" s="937"/>
      <c r="S716" s="937"/>
      <c r="T716" s="937"/>
      <c r="U716" s="937"/>
      <c r="V716" s="937"/>
      <c r="W716" s="937"/>
      <c r="X716" s="937"/>
      <c r="Y716" s="937"/>
      <c r="Z716" s="937"/>
    </row>
    <row r="717" spans="1:26" ht="15.75" customHeight="1">
      <c r="A717" s="937"/>
      <c r="B717" s="937"/>
      <c r="C717" s="937"/>
      <c r="D717" s="937"/>
      <c r="E717" s="937"/>
      <c r="F717" s="937"/>
      <c r="G717" s="937"/>
      <c r="H717" s="937"/>
      <c r="I717" s="937"/>
      <c r="J717" s="937"/>
      <c r="K717" s="937"/>
      <c r="L717" s="937"/>
      <c r="M717" s="937"/>
      <c r="N717" s="937"/>
      <c r="O717" s="937"/>
      <c r="P717" s="937"/>
      <c r="Q717" s="937"/>
      <c r="R717" s="937"/>
      <c r="S717" s="937"/>
      <c r="T717" s="937"/>
      <c r="U717" s="937"/>
      <c r="V717" s="937"/>
      <c r="W717" s="937"/>
      <c r="X717" s="937"/>
      <c r="Y717" s="937"/>
      <c r="Z717" s="937"/>
    </row>
    <row r="718" spans="1:26" ht="15.75" customHeight="1">
      <c r="A718" s="937"/>
      <c r="B718" s="937"/>
      <c r="C718" s="937"/>
      <c r="D718" s="937"/>
      <c r="E718" s="937"/>
      <c r="F718" s="937"/>
      <c r="G718" s="937"/>
      <c r="H718" s="937"/>
      <c r="I718" s="937"/>
      <c r="J718" s="937"/>
      <c r="K718" s="937"/>
      <c r="L718" s="937"/>
      <c r="M718" s="937"/>
      <c r="N718" s="937"/>
      <c r="O718" s="937"/>
      <c r="P718" s="937"/>
      <c r="Q718" s="937"/>
      <c r="R718" s="937"/>
      <c r="S718" s="937"/>
      <c r="T718" s="937"/>
      <c r="U718" s="937"/>
      <c r="V718" s="937"/>
      <c r="W718" s="937"/>
      <c r="X718" s="937"/>
      <c r="Y718" s="937"/>
      <c r="Z718" s="937"/>
    </row>
    <row r="719" spans="1:26" ht="15.75" customHeight="1">
      <c r="A719" s="937"/>
      <c r="B719" s="937"/>
      <c r="C719" s="937"/>
      <c r="D719" s="937"/>
      <c r="E719" s="937"/>
      <c r="F719" s="937"/>
      <c r="G719" s="937"/>
      <c r="H719" s="937"/>
      <c r="I719" s="937"/>
      <c r="J719" s="937"/>
      <c r="K719" s="937"/>
      <c r="L719" s="937"/>
      <c r="M719" s="937"/>
      <c r="N719" s="937"/>
      <c r="O719" s="937"/>
      <c r="P719" s="937"/>
      <c r="Q719" s="937"/>
      <c r="R719" s="937"/>
      <c r="S719" s="937"/>
      <c r="T719" s="937"/>
      <c r="U719" s="937"/>
      <c r="V719" s="937"/>
      <c r="W719" s="937"/>
      <c r="X719" s="937"/>
      <c r="Y719" s="937"/>
      <c r="Z719" s="937"/>
    </row>
    <row r="720" spans="1:26" ht="15.75" customHeight="1">
      <c r="A720" s="937"/>
      <c r="B720" s="937"/>
      <c r="C720" s="937"/>
      <c r="D720" s="937"/>
      <c r="E720" s="937"/>
      <c r="F720" s="937"/>
      <c r="G720" s="937"/>
      <c r="H720" s="937"/>
      <c r="I720" s="937"/>
      <c r="J720" s="937"/>
      <c r="K720" s="937"/>
      <c r="L720" s="937"/>
      <c r="M720" s="937"/>
      <c r="N720" s="937"/>
      <c r="O720" s="937"/>
      <c r="P720" s="937"/>
      <c r="Q720" s="937"/>
      <c r="R720" s="937"/>
      <c r="S720" s="937"/>
      <c r="T720" s="937"/>
      <c r="U720" s="937"/>
      <c r="V720" s="937"/>
      <c r="W720" s="937"/>
      <c r="X720" s="937"/>
      <c r="Y720" s="937"/>
      <c r="Z720" s="937"/>
    </row>
    <row r="721" spans="1:26" ht="15.75" customHeight="1">
      <c r="A721" s="937"/>
      <c r="B721" s="937"/>
      <c r="C721" s="937"/>
      <c r="D721" s="937"/>
      <c r="E721" s="937"/>
      <c r="F721" s="937"/>
      <c r="G721" s="937"/>
      <c r="H721" s="937"/>
      <c r="I721" s="937"/>
      <c r="J721" s="937"/>
      <c r="K721" s="937"/>
      <c r="L721" s="937"/>
      <c r="M721" s="937"/>
      <c r="N721" s="937"/>
      <c r="O721" s="937"/>
      <c r="P721" s="937"/>
      <c r="Q721" s="937"/>
      <c r="R721" s="937"/>
      <c r="S721" s="937"/>
      <c r="T721" s="937"/>
      <c r="U721" s="937"/>
      <c r="V721" s="937"/>
      <c r="W721" s="937"/>
      <c r="X721" s="937"/>
      <c r="Y721" s="937"/>
      <c r="Z721" s="937"/>
    </row>
    <row r="722" spans="1:26" ht="15.75" customHeight="1">
      <c r="A722" s="937"/>
      <c r="B722" s="937"/>
      <c r="C722" s="937"/>
      <c r="D722" s="937"/>
      <c r="E722" s="937"/>
      <c r="F722" s="937"/>
      <c r="G722" s="937"/>
      <c r="H722" s="937"/>
      <c r="I722" s="937"/>
      <c r="J722" s="937"/>
      <c r="K722" s="937"/>
      <c r="L722" s="937"/>
      <c r="M722" s="937"/>
      <c r="N722" s="937"/>
      <c r="O722" s="937"/>
      <c r="P722" s="937"/>
      <c r="Q722" s="937"/>
      <c r="R722" s="937"/>
      <c r="S722" s="937"/>
      <c r="T722" s="937"/>
      <c r="U722" s="937"/>
      <c r="V722" s="937"/>
      <c r="W722" s="937"/>
      <c r="X722" s="937"/>
      <c r="Y722" s="937"/>
      <c r="Z722" s="937"/>
    </row>
    <row r="723" spans="1:26" ht="15.75" customHeight="1">
      <c r="A723" s="937"/>
      <c r="B723" s="937"/>
      <c r="C723" s="937"/>
      <c r="D723" s="937"/>
      <c r="E723" s="937"/>
      <c r="F723" s="937"/>
      <c r="G723" s="937"/>
      <c r="H723" s="937"/>
      <c r="I723" s="937"/>
      <c r="J723" s="937"/>
      <c r="K723" s="937"/>
      <c r="L723" s="937"/>
      <c r="M723" s="937"/>
      <c r="N723" s="937"/>
      <c r="O723" s="937"/>
      <c r="P723" s="937"/>
      <c r="Q723" s="937"/>
      <c r="R723" s="937"/>
      <c r="S723" s="937"/>
      <c r="T723" s="937"/>
      <c r="U723" s="937"/>
      <c r="V723" s="937"/>
      <c r="W723" s="937"/>
      <c r="X723" s="937"/>
      <c r="Y723" s="937"/>
      <c r="Z723" s="937"/>
    </row>
    <row r="724" spans="1:26" ht="15.75" customHeight="1">
      <c r="A724" s="937"/>
      <c r="B724" s="937"/>
      <c r="C724" s="937"/>
      <c r="D724" s="937"/>
      <c r="E724" s="937"/>
      <c r="F724" s="937"/>
      <c r="G724" s="937"/>
      <c r="H724" s="937"/>
      <c r="I724" s="937"/>
      <c r="J724" s="937"/>
      <c r="K724" s="937"/>
      <c r="L724" s="937"/>
      <c r="M724" s="937"/>
      <c r="N724" s="937"/>
      <c r="O724" s="937"/>
      <c r="P724" s="937"/>
      <c r="Q724" s="937"/>
      <c r="R724" s="937"/>
      <c r="S724" s="937"/>
      <c r="T724" s="937"/>
      <c r="U724" s="937"/>
      <c r="V724" s="937"/>
      <c r="W724" s="937"/>
      <c r="X724" s="937"/>
      <c r="Y724" s="937"/>
      <c r="Z724" s="937"/>
    </row>
    <row r="725" spans="1:26" ht="15.75" customHeight="1">
      <c r="A725" s="937"/>
      <c r="B725" s="937"/>
      <c r="C725" s="937"/>
      <c r="D725" s="937"/>
      <c r="E725" s="937"/>
      <c r="F725" s="937"/>
      <c r="G725" s="937"/>
      <c r="H725" s="937"/>
      <c r="I725" s="937"/>
      <c r="J725" s="937"/>
      <c r="K725" s="937"/>
      <c r="L725" s="937"/>
      <c r="M725" s="937"/>
      <c r="N725" s="937"/>
      <c r="O725" s="937"/>
      <c r="P725" s="937"/>
      <c r="Q725" s="937"/>
      <c r="R725" s="937"/>
      <c r="S725" s="937"/>
      <c r="T725" s="937"/>
      <c r="U725" s="937"/>
      <c r="V725" s="937"/>
      <c r="W725" s="937"/>
      <c r="X725" s="937"/>
      <c r="Y725" s="937"/>
      <c r="Z725" s="937"/>
    </row>
    <row r="726" spans="1:26" ht="15.75" customHeight="1">
      <c r="A726" s="937"/>
      <c r="B726" s="937"/>
      <c r="C726" s="937"/>
      <c r="D726" s="937"/>
      <c r="E726" s="937"/>
      <c r="F726" s="937"/>
      <c r="G726" s="937"/>
      <c r="H726" s="937"/>
      <c r="I726" s="937"/>
      <c r="J726" s="937"/>
      <c r="K726" s="937"/>
      <c r="L726" s="937"/>
      <c r="M726" s="937"/>
      <c r="N726" s="937"/>
      <c r="O726" s="937"/>
      <c r="P726" s="937"/>
      <c r="Q726" s="937"/>
      <c r="R726" s="937"/>
      <c r="S726" s="937"/>
      <c r="T726" s="937"/>
      <c r="U726" s="937"/>
      <c r="V726" s="937"/>
      <c r="W726" s="937"/>
      <c r="X726" s="937"/>
      <c r="Y726" s="937"/>
      <c r="Z726" s="937"/>
    </row>
    <row r="727" spans="1:26" ht="15.75" customHeight="1">
      <c r="A727" s="937"/>
      <c r="B727" s="937"/>
      <c r="C727" s="937"/>
      <c r="D727" s="937"/>
      <c r="E727" s="937"/>
      <c r="F727" s="937"/>
      <c r="G727" s="937"/>
      <c r="H727" s="937"/>
      <c r="I727" s="937"/>
      <c r="J727" s="937"/>
      <c r="K727" s="937"/>
      <c r="L727" s="937"/>
      <c r="M727" s="937"/>
      <c r="N727" s="937"/>
      <c r="O727" s="937"/>
      <c r="P727" s="937"/>
      <c r="Q727" s="937"/>
      <c r="R727" s="937"/>
      <c r="S727" s="937"/>
      <c r="T727" s="937"/>
      <c r="U727" s="937"/>
      <c r="V727" s="937"/>
      <c r="W727" s="937"/>
      <c r="X727" s="937"/>
      <c r="Y727" s="937"/>
      <c r="Z727" s="937"/>
    </row>
    <row r="728" spans="1:26" ht="15.75" customHeight="1">
      <c r="A728" s="937"/>
      <c r="B728" s="937"/>
      <c r="C728" s="937"/>
      <c r="D728" s="937"/>
      <c r="E728" s="937"/>
      <c r="F728" s="937"/>
      <c r="G728" s="937"/>
      <c r="H728" s="937"/>
      <c r="I728" s="937"/>
      <c r="J728" s="937"/>
      <c r="K728" s="937"/>
      <c r="L728" s="937"/>
      <c r="M728" s="937"/>
      <c r="N728" s="937"/>
      <c r="O728" s="937"/>
      <c r="P728" s="937"/>
      <c r="Q728" s="937"/>
      <c r="R728" s="937"/>
      <c r="S728" s="937"/>
      <c r="T728" s="937"/>
      <c r="U728" s="937"/>
      <c r="V728" s="937"/>
      <c r="W728" s="937"/>
      <c r="X728" s="937"/>
      <c r="Y728" s="937"/>
      <c r="Z728" s="937"/>
    </row>
    <row r="729" spans="1:26" ht="15.75" customHeight="1">
      <c r="A729" s="937"/>
      <c r="B729" s="937"/>
      <c r="C729" s="937"/>
      <c r="D729" s="937"/>
      <c r="E729" s="937"/>
      <c r="F729" s="937"/>
      <c r="G729" s="937"/>
      <c r="H729" s="937"/>
      <c r="I729" s="937"/>
      <c r="J729" s="937"/>
      <c r="K729" s="937"/>
      <c r="L729" s="937"/>
      <c r="M729" s="937"/>
      <c r="N729" s="937"/>
      <c r="O729" s="937"/>
      <c r="P729" s="937"/>
      <c r="Q729" s="937"/>
      <c r="R729" s="937"/>
      <c r="S729" s="937"/>
      <c r="T729" s="937"/>
      <c r="U729" s="937"/>
      <c r="V729" s="937"/>
      <c r="W729" s="937"/>
      <c r="X729" s="937"/>
      <c r="Y729" s="937"/>
      <c r="Z729" s="937"/>
    </row>
    <row r="730" spans="1:26" ht="15.75" customHeight="1">
      <c r="A730" s="937"/>
      <c r="B730" s="937"/>
      <c r="C730" s="937"/>
      <c r="D730" s="937"/>
      <c r="E730" s="937"/>
      <c r="F730" s="937"/>
      <c r="G730" s="937"/>
      <c r="H730" s="937"/>
      <c r="I730" s="937"/>
      <c r="J730" s="937"/>
      <c r="K730" s="937"/>
      <c r="L730" s="937"/>
      <c r="M730" s="937"/>
      <c r="N730" s="937"/>
      <c r="O730" s="937"/>
      <c r="P730" s="937"/>
      <c r="Q730" s="937"/>
      <c r="R730" s="937"/>
      <c r="S730" s="937"/>
      <c r="T730" s="937"/>
      <c r="U730" s="937"/>
      <c r="V730" s="937"/>
      <c r="W730" s="937"/>
      <c r="X730" s="937"/>
      <c r="Y730" s="937"/>
      <c r="Z730" s="937"/>
    </row>
    <row r="731" spans="1:26" ht="15.75" customHeight="1">
      <c r="A731" s="937"/>
      <c r="B731" s="937"/>
      <c r="C731" s="937"/>
      <c r="D731" s="937"/>
      <c r="E731" s="937"/>
      <c r="F731" s="937"/>
      <c r="G731" s="937"/>
      <c r="H731" s="937"/>
      <c r="I731" s="937"/>
      <c r="J731" s="937"/>
      <c r="K731" s="937"/>
      <c r="L731" s="937"/>
      <c r="M731" s="937"/>
      <c r="N731" s="937"/>
      <c r="O731" s="937"/>
      <c r="P731" s="937"/>
      <c r="Q731" s="937"/>
      <c r="R731" s="937"/>
      <c r="S731" s="937"/>
      <c r="T731" s="937"/>
      <c r="U731" s="937"/>
      <c r="V731" s="937"/>
      <c r="W731" s="937"/>
      <c r="X731" s="937"/>
      <c r="Y731" s="937"/>
      <c r="Z731" s="937"/>
    </row>
    <row r="732" spans="1:26" ht="15.75" customHeight="1">
      <c r="A732" s="937"/>
      <c r="B732" s="937"/>
      <c r="C732" s="937"/>
      <c r="D732" s="937"/>
      <c r="E732" s="937"/>
      <c r="F732" s="937"/>
      <c r="G732" s="937"/>
      <c r="H732" s="937"/>
      <c r="I732" s="937"/>
      <c r="J732" s="937"/>
      <c r="K732" s="937"/>
      <c r="L732" s="937"/>
      <c r="M732" s="937"/>
      <c r="N732" s="937"/>
      <c r="O732" s="937"/>
      <c r="P732" s="937"/>
      <c r="Q732" s="937"/>
      <c r="R732" s="937"/>
      <c r="S732" s="937"/>
      <c r="T732" s="937"/>
      <c r="U732" s="937"/>
      <c r="V732" s="937"/>
      <c r="W732" s="937"/>
      <c r="X732" s="937"/>
      <c r="Y732" s="937"/>
      <c r="Z732" s="937"/>
    </row>
    <row r="733" spans="1:26" ht="15.75" customHeight="1">
      <c r="A733" s="937"/>
      <c r="B733" s="937"/>
      <c r="C733" s="937"/>
      <c r="D733" s="937"/>
      <c r="E733" s="937"/>
      <c r="F733" s="937"/>
      <c r="G733" s="937"/>
      <c r="H733" s="937"/>
      <c r="I733" s="937"/>
      <c r="J733" s="937"/>
      <c r="K733" s="937"/>
      <c r="L733" s="937"/>
      <c r="M733" s="937"/>
      <c r="N733" s="937"/>
      <c r="O733" s="937"/>
      <c r="P733" s="937"/>
      <c r="Q733" s="937"/>
      <c r="R733" s="937"/>
      <c r="S733" s="937"/>
      <c r="T733" s="937"/>
      <c r="U733" s="937"/>
      <c r="V733" s="937"/>
      <c r="W733" s="937"/>
      <c r="X733" s="937"/>
      <c r="Y733" s="937"/>
      <c r="Z733" s="937"/>
    </row>
    <row r="734" spans="1:26" ht="15.75" customHeight="1">
      <c r="A734" s="937"/>
      <c r="B734" s="937"/>
      <c r="C734" s="937"/>
      <c r="D734" s="937"/>
      <c r="E734" s="937"/>
      <c r="F734" s="937"/>
      <c r="G734" s="937"/>
      <c r="H734" s="937"/>
      <c r="I734" s="937"/>
      <c r="J734" s="937"/>
      <c r="K734" s="937"/>
      <c r="L734" s="937"/>
      <c r="M734" s="937"/>
      <c r="N734" s="937"/>
      <c r="O734" s="937"/>
      <c r="P734" s="937"/>
      <c r="Q734" s="937"/>
      <c r="R734" s="937"/>
      <c r="S734" s="937"/>
      <c r="T734" s="937"/>
      <c r="U734" s="937"/>
      <c r="V734" s="937"/>
      <c r="W734" s="937"/>
      <c r="X734" s="937"/>
      <c r="Y734" s="937"/>
      <c r="Z734" s="937"/>
    </row>
    <row r="735" spans="1:26" ht="15.75" customHeight="1">
      <c r="A735" s="937"/>
      <c r="B735" s="937"/>
      <c r="C735" s="937"/>
      <c r="D735" s="937"/>
      <c r="E735" s="937"/>
      <c r="F735" s="937"/>
      <c r="G735" s="937"/>
      <c r="H735" s="937"/>
      <c r="I735" s="937"/>
      <c r="J735" s="937"/>
      <c r="K735" s="937"/>
      <c r="L735" s="937"/>
      <c r="M735" s="937"/>
      <c r="N735" s="937"/>
      <c r="O735" s="937"/>
      <c r="P735" s="937"/>
      <c r="Q735" s="937"/>
      <c r="R735" s="937"/>
      <c r="S735" s="937"/>
      <c r="T735" s="937"/>
      <c r="U735" s="937"/>
      <c r="V735" s="937"/>
      <c r="W735" s="937"/>
      <c r="X735" s="937"/>
      <c r="Y735" s="937"/>
      <c r="Z735" s="937"/>
    </row>
    <row r="736" spans="1:26" ht="15.75" customHeight="1">
      <c r="A736" s="937"/>
      <c r="B736" s="937"/>
      <c r="C736" s="937"/>
      <c r="D736" s="937"/>
      <c r="E736" s="937"/>
      <c r="F736" s="937"/>
      <c r="G736" s="937"/>
      <c r="H736" s="937"/>
      <c r="I736" s="937"/>
      <c r="J736" s="937"/>
      <c r="K736" s="937"/>
      <c r="L736" s="937"/>
      <c r="M736" s="937"/>
      <c r="N736" s="937"/>
      <c r="O736" s="937"/>
      <c r="P736" s="937"/>
      <c r="Q736" s="937"/>
      <c r="R736" s="937"/>
      <c r="S736" s="937"/>
      <c r="T736" s="937"/>
      <c r="U736" s="937"/>
      <c r="V736" s="937"/>
      <c r="W736" s="937"/>
      <c r="X736" s="937"/>
      <c r="Y736" s="937"/>
      <c r="Z736" s="937"/>
    </row>
    <row r="737" spans="1:26" ht="15.75" customHeight="1">
      <c r="A737" s="937"/>
      <c r="B737" s="937"/>
      <c r="C737" s="937"/>
      <c r="D737" s="937"/>
      <c r="E737" s="937"/>
      <c r="F737" s="937"/>
      <c r="G737" s="937"/>
      <c r="H737" s="937"/>
      <c r="I737" s="937"/>
      <c r="J737" s="937"/>
      <c r="K737" s="937"/>
      <c r="L737" s="937"/>
      <c r="M737" s="937"/>
      <c r="N737" s="937"/>
      <c r="O737" s="937"/>
      <c r="P737" s="937"/>
      <c r="Q737" s="937"/>
      <c r="R737" s="937"/>
      <c r="S737" s="937"/>
      <c r="T737" s="937"/>
      <c r="U737" s="937"/>
      <c r="V737" s="937"/>
      <c r="W737" s="937"/>
      <c r="X737" s="937"/>
      <c r="Y737" s="937"/>
      <c r="Z737" s="937"/>
    </row>
    <row r="738" spans="1:26" ht="15.75" customHeight="1">
      <c r="A738" s="937"/>
      <c r="B738" s="937"/>
      <c r="C738" s="937"/>
      <c r="D738" s="937"/>
      <c r="E738" s="937"/>
      <c r="F738" s="937"/>
      <c r="G738" s="937"/>
      <c r="H738" s="937"/>
      <c r="I738" s="937"/>
      <c r="J738" s="937"/>
      <c r="K738" s="937"/>
      <c r="L738" s="937"/>
      <c r="M738" s="937"/>
      <c r="N738" s="937"/>
      <c r="O738" s="937"/>
      <c r="P738" s="937"/>
      <c r="Q738" s="937"/>
      <c r="R738" s="937"/>
      <c r="S738" s="937"/>
      <c r="T738" s="937"/>
      <c r="U738" s="937"/>
      <c r="V738" s="937"/>
      <c r="W738" s="937"/>
      <c r="X738" s="937"/>
      <c r="Y738" s="937"/>
      <c r="Z738" s="937"/>
    </row>
    <row r="739" spans="1:26" ht="15.75" customHeight="1">
      <c r="A739" s="937"/>
      <c r="B739" s="937"/>
      <c r="C739" s="937"/>
      <c r="D739" s="937"/>
      <c r="E739" s="937"/>
      <c r="F739" s="937"/>
      <c r="G739" s="937"/>
      <c r="H739" s="937"/>
      <c r="I739" s="937"/>
      <c r="J739" s="937"/>
      <c r="K739" s="937"/>
      <c r="L739" s="937"/>
      <c r="M739" s="937"/>
      <c r="N739" s="937"/>
      <c r="O739" s="937"/>
      <c r="P739" s="937"/>
      <c r="Q739" s="937"/>
      <c r="R739" s="937"/>
      <c r="S739" s="937"/>
      <c r="T739" s="937"/>
      <c r="U739" s="937"/>
      <c r="V739" s="937"/>
      <c r="W739" s="937"/>
      <c r="X739" s="937"/>
      <c r="Y739" s="937"/>
      <c r="Z739" s="937"/>
    </row>
    <row r="740" spans="1:26" ht="15.75" customHeight="1">
      <c r="A740" s="937"/>
      <c r="B740" s="937"/>
      <c r="C740" s="937"/>
      <c r="D740" s="937"/>
      <c r="E740" s="937"/>
      <c r="F740" s="937"/>
      <c r="G740" s="937"/>
      <c r="H740" s="937"/>
      <c r="I740" s="937"/>
      <c r="J740" s="937"/>
      <c r="K740" s="937"/>
      <c r="L740" s="937"/>
      <c r="M740" s="937"/>
      <c r="N740" s="937"/>
      <c r="O740" s="937"/>
      <c r="P740" s="937"/>
      <c r="Q740" s="937"/>
      <c r="R740" s="937"/>
      <c r="S740" s="937"/>
      <c r="T740" s="937"/>
      <c r="U740" s="937"/>
      <c r="V740" s="937"/>
      <c r="W740" s="937"/>
      <c r="X740" s="937"/>
      <c r="Y740" s="937"/>
      <c r="Z740" s="937"/>
    </row>
    <row r="741" spans="1:26" ht="15.75" customHeight="1">
      <c r="A741" s="937"/>
      <c r="B741" s="937"/>
      <c r="C741" s="937"/>
      <c r="D741" s="937"/>
      <c r="E741" s="937"/>
      <c r="F741" s="937"/>
      <c r="G741" s="937"/>
      <c r="H741" s="937"/>
      <c r="I741" s="937"/>
      <c r="J741" s="937"/>
      <c r="K741" s="937"/>
      <c r="L741" s="937"/>
      <c r="M741" s="937"/>
      <c r="N741" s="937"/>
      <c r="O741" s="937"/>
      <c r="P741" s="937"/>
      <c r="Q741" s="937"/>
      <c r="R741" s="937"/>
      <c r="S741" s="937"/>
      <c r="T741" s="937"/>
      <c r="U741" s="937"/>
      <c r="V741" s="937"/>
      <c r="W741" s="937"/>
      <c r="X741" s="937"/>
      <c r="Y741" s="937"/>
      <c r="Z741" s="937"/>
    </row>
    <row r="742" spans="1:26" ht="15.75" customHeight="1">
      <c r="A742" s="937"/>
      <c r="B742" s="937"/>
      <c r="C742" s="937"/>
      <c r="D742" s="937"/>
      <c r="E742" s="937"/>
      <c r="F742" s="937"/>
      <c r="G742" s="937"/>
      <c r="H742" s="937"/>
      <c r="I742" s="937"/>
      <c r="J742" s="937"/>
      <c r="K742" s="937"/>
      <c r="L742" s="937"/>
      <c r="M742" s="937"/>
      <c r="N742" s="937"/>
      <c r="O742" s="937"/>
      <c r="P742" s="937"/>
      <c r="Q742" s="937"/>
      <c r="R742" s="937"/>
      <c r="S742" s="937"/>
      <c r="T742" s="937"/>
      <c r="U742" s="937"/>
      <c r="V742" s="937"/>
      <c r="W742" s="937"/>
      <c r="X742" s="937"/>
      <c r="Y742" s="937"/>
      <c r="Z742" s="937"/>
    </row>
    <row r="743" spans="1:26" ht="15.75" customHeight="1">
      <c r="A743" s="937"/>
      <c r="B743" s="937"/>
      <c r="C743" s="937"/>
      <c r="D743" s="937"/>
      <c r="E743" s="937"/>
      <c r="F743" s="937"/>
      <c r="G743" s="937"/>
      <c r="H743" s="937"/>
      <c r="I743" s="937"/>
      <c r="J743" s="937"/>
      <c r="K743" s="937"/>
      <c r="L743" s="937"/>
      <c r="M743" s="937"/>
      <c r="N743" s="937"/>
      <c r="O743" s="937"/>
      <c r="P743" s="937"/>
      <c r="Q743" s="937"/>
      <c r="R743" s="937"/>
      <c r="S743" s="937"/>
      <c r="T743" s="937"/>
      <c r="U743" s="937"/>
      <c r="V743" s="937"/>
      <c r="W743" s="937"/>
      <c r="X743" s="937"/>
      <c r="Y743" s="937"/>
      <c r="Z743" s="937"/>
    </row>
    <row r="744" spans="1:26" ht="15.75" customHeight="1">
      <c r="A744" s="937"/>
      <c r="B744" s="937"/>
      <c r="C744" s="937"/>
      <c r="D744" s="937"/>
      <c r="E744" s="937"/>
      <c r="F744" s="937"/>
      <c r="G744" s="937"/>
      <c r="H744" s="937"/>
      <c r="I744" s="937"/>
      <c r="J744" s="937"/>
      <c r="K744" s="937"/>
      <c r="L744" s="937"/>
      <c r="M744" s="937"/>
      <c r="N744" s="937"/>
      <c r="O744" s="937"/>
      <c r="P744" s="937"/>
      <c r="Q744" s="937"/>
      <c r="R744" s="937"/>
      <c r="S744" s="937"/>
      <c r="T744" s="937"/>
      <c r="U744" s="937"/>
      <c r="V744" s="937"/>
      <c r="W744" s="937"/>
      <c r="X744" s="937"/>
      <c r="Y744" s="937"/>
      <c r="Z744" s="937"/>
    </row>
    <row r="745" spans="1:26" ht="15.75" customHeight="1">
      <c r="A745" s="937"/>
      <c r="B745" s="937"/>
      <c r="C745" s="937"/>
      <c r="D745" s="937"/>
      <c r="E745" s="937"/>
      <c r="F745" s="937"/>
      <c r="G745" s="937"/>
      <c r="H745" s="937"/>
      <c r="I745" s="937"/>
      <c r="J745" s="937"/>
      <c r="K745" s="937"/>
      <c r="L745" s="937"/>
      <c r="M745" s="937"/>
      <c r="N745" s="937"/>
      <c r="O745" s="937"/>
      <c r="P745" s="937"/>
      <c r="Q745" s="937"/>
      <c r="R745" s="937"/>
      <c r="S745" s="937"/>
      <c r="T745" s="937"/>
      <c r="U745" s="937"/>
      <c r="V745" s="937"/>
      <c r="W745" s="937"/>
      <c r="X745" s="937"/>
      <c r="Y745" s="937"/>
      <c r="Z745" s="937"/>
    </row>
    <row r="746" spans="1:26" ht="15.75" customHeight="1">
      <c r="A746" s="937"/>
      <c r="B746" s="937"/>
      <c r="C746" s="937"/>
      <c r="D746" s="937"/>
      <c r="E746" s="937"/>
      <c r="F746" s="937"/>
      <c r="G746" s="937"/>
      <c r="H746" s="937"/>
      <c r="I746" s="937"/>
      <c r="J746" s="937"/>
      <c r="K746" s="937"/>
      <c r="L746" s="937"/>
      <c r="M746" s="937"/>
      <c r="N746" s="937"/>
      <c r="O746" s="937"/>
      <c r="P746" s="937"/>
      <c r="Q746" s="937"/>
      <c r="R746" s="937"/>
      <c r="S746" s="937"/>
      <c r="T746" s="937"/>
      <c r="U746" s="937"/>
      <c r="V746" s="937"/>
      <c r="W746" s="937"/>
      <c r="X746" s="937"/>
      <c r="Y746" s="937"/>
      <c r="Z746" s="937"/>
    </row>
    <row r="747" spans="1:26" ht="15.75" customHeight="1">
      <c r="A747" s="937"/>
      <c r="B747" s="937"/>
      <c r="C747" s="937"/>
      <c r="D747" s="937"/>
      <c r="E747" s="937"/>
      <c r="F747" s="937"/>
      <c r="G747" s="937"/>
      <c r="H747" s="937"/>
      <c r="I747" s="937"/>
      <c r="J747" s="937"/>
      <c r="K747" s="937"/>
      <c r="L747" s="937"/>
      <c r="M747" s="937"/>
      <c r="N747" s="937"/>
      <c r="O747" s="937"/>
      <c r="P747" s="937"/>
      <c r="Q747" s="937"/>
      <c r="R747" s="937"/>
      <c r="S747" s="937"/>
      <c r="T747" s="937"/>
      <c r="U747" s="937"/>
      <c r="V747" s="937"/>
      <c r="W747" s="937"/>
      <c r="X747" s="937"/>
      <c r="Y747" s="937"/>
      <c r="Z747" s="937"/>
    </row>
    <row r="748" spans="1:26" ht="15.75" customHeight="1">
      <c r="A748" s="937"/>
      <c r="B748" s="937"/>
      <c r="C748" s="937"/>
      <c r="D748" s="937"/>
      <c r="E748" s="937"/>
      <c r="F748" s="937"/>
      <c r="G748" s="937"/>
      <c r="H748" s="937"/>
      <c r="I748" s="937"/>
      <c r="J748" s="937"/>
      <c r="K748" s="937"/>
      <c r="L748" s="937"/>
      <c r="M748" s="937"/>
      <c r="N748" s="937"/>
      <c r="O748" s="937"/>
      <c r="P748" s="937"/>
      <c r="Q748" s="937"/>
      <c r="R748" s="937"/>
      <c r="S748" s="937"/>
      <c r="T748" s="937"/>
      <c r="U748" s="937"/>
      <c r="V748" s="937"/>
      <c r="W748" s="937"/>
      <c r="X748" s="937"/>
      <c r="Y748" s="937"/>
      <c r="Z748" s="937"/>
    </row>
    <row r="749" spans="1:26" ht="15.75" customHeight="1">
      <c r="A749" s="937"/>
      <c r="B749" s="937"/>
      <c r="C749" s="937"/>
      <c r="D749" s="937"/>
      <c r="E749" s="937"/>
      <c r="F749" s="937"/>
      <c r="G749" s="937"/>
      <c r="H749" s="937"/>
      <c r="I749" s="937"/>
      <c r="J749" s="937"/>
      <c r="K749" s="937"/>
      <c r="L749" s="937"/>
      <c r="M749" s="937"/>
      <c r="N749" s="937"/>
      <c r="O749" s="937"/>
      <c r="P749" s="937"/>
      <c r="Q749" s="937"/>
      <c r="R749" s="937"/>
      <c r="S749" s="937"/>
      <c r="T749" s="937"/>
      <c r="U749" s="937"/>
      <c r="V749" s="937"/>
      <c r="W749" s="937"/>
      <c r="X749" s="937"/>
      <c r="Y749" s="937"/>
      <c r="Z749" s="937"/>
    </row>
    <row r="750" spans="1:26" ht="15.75" customHeight="1">
      <c r="A750" s="937"/>
      <c r="B750" s="937"/>
      <c r="C750" s="937"/>
      <c r="D750" s="937"/>
      <c r="E750" s="937"/>
      <c r="F750" s="937"/>
      <c r="G750" s="937"/>
      <c r="H750" s="937"/>
      <c r="I750" s="937"/>
      <c r="J750" s="937"/>
      <c r="K750" s="937"/>
      <c r="L750" s="937"/>
      <c r="M750" s="937"/>
      <c r="N750" s="937"/>
      <c r="O750" s="937"/>
      <c r="P750" s="937"/>
      <c r="Q750" s="937"/>
      <c r="R750" s="937"/>
      <c r="S750" s="937"/>
      <c r="T750" s="937"/>
      <c r="U750" s="937"/>
      <c r="V750" s="937"/>
      <c r="W750" s="937"/>
      <c r="X750" s="937"/>
      <c r="Y750" s="937"/>
      <c r="Z750" s="937"/>
    </row>
    <row r="751" spans="1:26" ht="15.75" customHeight="1">
      <c r="A751" s="937"/>
      <c r="B751" s="937"/>
      <c r="C751" s="937"/>
      <c r="D751" s="937"/>
      <c r="E751" s="937"/>
      <c r="F751" s="937"/>
      <c r="G751" s="937"/>
      <c r="H751" s="937"/>
      <c r="I751" s="937"/>
      <c r="J751" s="937"/>
      <c r="K751" s="937"/>
      <c r="L751" s="937"/>
      <c r="M751" s="937"/>
      <c r="N751" s="937"/>
      <c r="O751" s="937"/>
      <c r="P751" s="937"/>
      <c r="Q751" s="937"/>
      <c r="R751" s="937"/>
      <c r="S751" s="937"/>
      <c r="T751" s="937"/>
      <c r="U751" s="937"/>
      <c r="V751" s="937"/>
      <c r="W751" s="937"/>
      <c r="X751" s="937"/>
      <c r="Y751" s="937"/>
      <c r="Z751" s="937"/>
    </row>
    <row r="752" spans="1:26" ht="15.75" customHeight="1">
      <c r="A752" s="937"/>
      <c r="B752" s="937"/>
      <c r="C752" s="937"/>
      <c r="D752" s="937"/>
      <c r="E752" s="937"/>
      <c r="F752" s="937"/>
      <c r="G752" s="937"/>
      <c r="H752" s="937"/>
      <c r="I752" s="937"/>
      <c r="J752" s="937"/>
      <c r="K752" s="937"/>
      <c r="L752" s="937"/>
      <c r="M752" s="937"/>
      <c r="N752" s="937"/>
      <c r="O752" s="937"/>
      <c r="P752" s="937"/>
      <c r="Q752" s="937"/>
      <c r="R752" s="937"/>
      <c r="S752" s="937"/>
      <c r="T752" s="937"/>
      <c r="U752" s="937"/>
      <c r="V752" s="937"/>
      <c r="W752" s="937"/>
      <c r="X752" s="937"/>
      <c r="Y752" s="937"/>
      <c r="Z752" s="937"/>
    </row>
    <row r="753" spans="1:26" ht="15.75" customHeight="1">
      <c r="A753" s="937"/>
      <c r="B753" s="937"/>
      <c r="C753" s="937"/>
      <c r="D753" s="937"/>
      <c r="E753" s="937"/>
      <c r="F753" s="937"/>
      <c r="G753" s="937"/>
      <c r="H753" s="937"/>
      <c r="I753" s="937"/>
      <c r="J753" s="937"/>
      <c r="K753" s="937"/>
      <c r="L753" s="937"/>
      <c r="M753" s="937"/>
      <c r="N753" s="937"/>
      <c r="O753" s="937"/>
      <c r="P753" s="937"/>
      <c r="Q753" s="937"/>
      <c r="R753" s="937"/>
      <c r="S753" s="937"/>
      <c r="T753" s="937"/>
      <c r="U753" s="937"/>
      <c r="V753" s="937"/>
      <c r="W753" s="937"/>
      <c r="X753" s="937"/>
      <c r="Y753" s="937"/>
      <c r="Z753" s="937"/>
    </row>
    <row r="754" spans="1:26" ht="15.75" customHeight="1">
      <c r="A754" s="937"/>
      <c r="B754" s="937"/>
      <c r="C754" s="937"/>
      <c r="D754" s="937"/>
      <c r="E754" s="937"/>
      <c r="F754" s="937"/>
      <c r="G754" s="937"/>
      <c r="H754" s="937"/>
      <c r="I754" s="937"/>
      <c r="J754" s="937"/>
      <c r="K754" s="937"/>
      <c r="L754" s="937"/>
      <c r="M754" s="937"/>
      <c r="N754" s="937"/>
      <c r="O754" s="937"/>
      <c r="P754" s="937"/>
      <c r="Q754" s="937"/>
      <c r="R754" s="937"/>
      <c r="S754" s="937"/>
      <c r="T754" s="937"/>
      <c r="U754" s="937"/>
      <c r="V754" s="937"/>
      <c r="W754" s="937"/>
      <c r="X754" s="937"/>
      <c r="Y754" s="937"/>
      <c r="Z754" s="937"/>
    </row>
    <row r="755" spans="1:26" ht="15.75" customHeight="1">
      <c r="A755" s="937"/>
      <c r="B755" s="937"/>
      <c r="C755" s="937"/>
      <c r="D755" s="937"/>
      <c r="E755" s="937"/>
      <c r="F755" s="937"/>
      <c r="G755" s="937"/>
      <c r="H755" s="937"/>
      <c r="I755" s="937"/>
      <c r="J755" s="937"/>
      <c r="K755" s="937"/>
      <c r="L755" s="937"/>
      <c r="M755" s="937"/>
      <c r="N755" s="937"/>
      <c r="O755" s="937"/>
      <c r="P755" s="937"/>
      <c r="Q755" s="937"/>
      <c r="R755" s="937"/>
      <c r="S755" s="937"/>
      <c r="T755" s="937"/>
      <c r="U755" s="937"/>
      <c r="V755" s="937"/>
      <c r="W755" s="937"/>
      <c r="X755" s="937"/>
      <c r="Y755" s="937"/>
      <c r="Z755" s="937"/>
    </row>
    <row r="756" spans="1:26" ht="15.75" customHeight="1">
      <c r="A756" s="937"/>
      <c r="B756" s="937"/>
      <c r="C756" s="937"/>
      <c r="D756" s="937"/>
      <c r="E756" s="937"/>
      <c r="F756" s="937"/>
      <c r="G756" s="937"/>
      <c r="H756" s="937"/>
      <c r="I756" s="937"/>
      <c r="J756" s="937"/>
      <c r="K756" s="937"/>
      <c r="L756" s="937"/>
      <c r="M756" s="937"/>
      <c r="N756" s="937"/>
      <c r="O756" s="937"/>
      <c r="P756" s="937"/>
      <c r="Q756" s="937"/>
      <c r="R756" s="937"/>
      <c r="S756" s="937"/>
      <c r="T756" s="937"/>
      <c r="U756" s="937"/>
      <c r="V756" s="937"/>
      <c r="W756" s="937"/>
      <c r="X756" s="937"/>
      <c r="Y756" s="937"/>
      <c r="Z756" s="937"/>
    </row>
    <row r="757" spans="1:26" ht="15.75" customHeight="1">
      <c r="A757" s="937"/>
      <c r="B757" s="937"/>
      <c r="C757" s="937"/>
      <c r="D757" s="937"/>
      <c r="E757" s="937"/>
      <c r="F757" s="937"/>
      <c r="G757" s="937"/>
      <c r="H757" s="937"/>
      <c r="I757" s="937"/>
      <c r="J757" s="937"/>
      <c r="K757" s="937"/>
      <c r="L757" s="937"/>
      <c r="M757" s="937"/>
      <c r="N757" s="937"/>
      <c r="O757" s="937"/>
      <c r="P757" s="937"/>
      <c r="Q757" s="937"/>
      <c r="R757" s="937"/>
      <c r="S757" s="937"/>
      <c r="T757" s="937"/>
      <c r="U757" s="937"/>
      <c r="V757" s="937"/>
      <c r="W757" s="937"/>
      <c r="X757" s="937"/>
      <c r="Y757" s="937"/>
      <c r="Z757" s="937"/>
    </row>
    <row r="758" spans="1:26" ht="15.75" customHeight="1">
      <c r="A758" s="937"/>
      <c r="B758" s="937"/>
      <c r="C758" s="937"/>
      <c r="D758" s="937"/>
      <c r="E758" s="937"/>
      <c r="F758" s="937"/>
      <c r="G758" s="937"/>
      <c r="H758" s="937"/>
      <c r="I758" s="937"/>
      <c r="J758" s="937"/>
      <c r="K758" s="937"/>
      <c r="L758" s="937"/>
      <c r="M758" s="937"/>
      <c r="N758" s="937"/>
      <c r="O758" s="937"/>
      <c r="P758" s="937"/>
      <c r="Q758" s="937"/>
      <c r="R758" s="937"/>
      <c r="S758" s="937"/>
      <c r="T758" s="937"/>
      <c r="U758" s="937"/>
      <c r="V758" s="937"/>
      <c r="W758" s="937"/>
      <c r="X758" s="937"/>
      <c r="Y758" s="937"/>
      <c r="Z758" s="937"/>
    </row>
    <row r="759" spans="1:26" ht="15.75" customHeight="1">
      <c r="A759" s="937"/>
      <c r="B759" s="937"/>
      <c r="C759" s="937"/>
      <c r="D759" s="937"/>
      <c r="E759" s="937"/>
      <c r="F759" s="937"/>
      <c r="G759" s="937"/>
      <c r="H759" s="937"/>
      <c r="I759" s="937"/>
      <c r="J759" s="937"/>
      <c r="K759" s="937"/>
      <c r="L759" s="937"/>
      <c r="M759" s="937"/>
      <c r="N759" s="937"/>
      <c r="O759" s="937"/>
      <c r="P759" s="937"/>
      <c r="Q759" s="937"/>
      <c r="R759" s="937"/>
      <c r="S759" s="937"/>
      <c r="T759" s="937"/>
      <c r="U759" s="937"/>
      <c r="V759" s="937"/>
      <c r="W759" s="937"/>
      <c r="X759" s="937"/>
      <c r="Y759" s="937"/>
      <c r="Z759" s="937"/>
    </row>
    <row r="760" spans="1:26" ht="15.75" customHeight="1">
      <c r="A760" s="937"/>
      <c r="B760" s="937"/>
      <c r="C760" s="937"/>
      <c r="D760" s="937"/>
      <c r="E760" s="937"/>
      <c r="F760" s="937"/>
      <c r="G760" s="937"/>
      <c r="H760" s="937"/>
      <c r="I760" s="937"/>
      <c r="J760" s="937"/>
      <c r="K760" s="937"/>
      <c r="L760" s="937"/>
      <c r="M760" s="937"/>
      <c r="N760" s="937"/>
      <c r="O760" s="937"/>
      <c r="P760" s="937"/>
      <c r="Q760" s="937"/>
      <c r="R760" s="937"/>
      <c r="S760" s="937"/>
      <c r="T760" s="937"/>
      <c r="U760" s="937"/>
      <c r="V760" s="937"/>
      <c r="W760" s="937"/>
      <c r="X760" s="937"/>
      <c r="Y760" s="937"/>
      <c r="Z760" s="937"/>
    </row>
    <row r="761" spans="1:26" ht="15.75" customHeight="1">
      <c r="A761" s="937"/>
      <c r="B761" s="937"/>
      <c r="C761" s="937"/>
      <c r="D761" s="937"/>
      <c r="E761" s="937"/>
      <c r="F761" s="937"/>
      <c r="G761" s="937"/>
      <c r="H761" s="937"/>
      <c r="I761" s="937"/>
      <c r="J761" s="937"/>
      <c r="K761" s="937"/>
      <c r="L761" s="937"/>
      <c r="M761" s="937"/>
      <c r="N761" s="937"/>
      <c r="O761" s="937"/>
      <c r="P761" s="937"/>
      <c r="Q761" s="937"/>
      <c r="R761" s="937"/>
      <c r="S761" s="937"/>
      <c r="T761" s="937"/>
      <c r="U761" s="937"/>
      <c r="V761" s="937"/>
      <c r="W761" s="937"/>
      <c r="X761" s="937"/>
      <c r="Y761" s="937"/>
      <c r="Z761" s="937"/>
    </row>
    <row r="762" spans="1:26" ht="15.75" customHeight="1">
      <c r="A762" s="937"/>
      <c r="B762" s="937"/>
      <c r="C762" s="937"/>
      <c r="D762" s="937"/>
      <c r="E762" s="937"/>
      <c r="F762" s="937"/>
      <c r="G762" s="937"/>
      <c r="H762" s="937"/>
      <c r="I762" s="937"/>
      <c r="J762" s="937"/>
      <c r="K762" s="937"/>
      <c r="L762" s="937"/>
      <c r="M762" s="937"/>
      <c r="N762" s="937"/>
      <c r="O762" s="937"/>
      <c r="P762" s="937"/>
      <c r="Q762" s="937"/>
      <c r="R762" s="937"/>
      <c r="S762" s="937"/>
      <c r="T762" s="937"/>
      <c r="U762" s="937"/>
      <c r="V762" s="937"/>
      <c r="W762" s="937"/>
      <c r="X762" s="937"/>
      <c r="Y762" s="937"/>
      <c r="Z762" s="937"/>
    </row>
    <row r="763" spans="1:26" ht="15.75" customHeight="1">
      <c r="A763" s="937"/>
      <c r="B763" s="937"/>
      <c r="C763" s="937"/>
      <c r="D763" s="937"/>
      <c r="E763" s="937"/>
      <c r="F763" s="937"/>
      <c r="G763" s="937"/>
      <c r="H763" s="937"/>
      <c r="I763" s="937"/>
      <c r="J763" s="937"/>
      <c r="K763" s="937"/>
      <c r="L763" s="937"/>
      <c r="M763" s="937"/>
      <c r="N763" s="937"/>
      <c r="O763" s="937"/>
      <c r="P763" s="937"/>
      <c r="Q763" s="937"/>
      <c r="R763" s="937"/>
      <c r="S763" s="937"/>
      <c r="T763" s="937"/>
      <c r="U763" s="937"/>
      <c r="V763" s="937"/>
      <c r="W763" s="937"/>
      <c r="X763" s="937"/>
      <c r="Y763" s="937"/>
      <c r="Z763" s="937"/>
    </row>
    <row r="764" spans="1:26" ht="15.75" customHeight="1">
      <c r="A764" s="937"/>
      <c r="B764" s="937"/>
      <c r="C764" s="937"/>
      <c r="D764" s="937"/>
      <c r="E764" s="937"/>
      <c r="F764" s="937"/>
      <c r="G764" s="937"/>
      <c r="H764" s="937"/>
      <c r="I764" s="937"/>
      <c r="J764" s="937"/>
      <c r="K764" s="937"/>
      <c r="L764" s="937"/>
      <c r="M764" s="937"/>
      <c r="N764" s="937"/>
      <c r="O764" s="937"/>
      <c r="P764" s="937"/>
      <c r="Q764" s="937"/>
      <c r="R764" s="937"/>
      <c r="S764" s="937"/>
      <c r="T764" s="937"/>
      <c r="U764" s="937"/>
      <c r="V764" s="937"/>
      <c r="W764" s="937"/>
      <c r="X764" s="937"/>
      <c r="Y764" s="937"/>
      <c r="Z764" s="937"/>
    </row>
    <row r="765" spans="1:26" ht="15.75" customHeight="1">
      <c r="A765" s="937"/>
      <c r="B765" s="937"/>
      <c r="C765" s="937"/>
      <c r="D765" s="937"/>
      <c r="E765" s="937"/>
      <c r="F765" s="937"/>
      <c r="G765" s="937"/>
      <c r="H765" s="937"/>
      <c r="I765" s="937"/>
      <c r="J765" s="937"/>
      <c r="K765" s="937"/>
      <c r="L765" s="937"/>
      <c r="M765" s="937"/>
      <c r="N765" s="937"/>
      <c r="O765" s="937"/>
      <c r="P765" s="937"/>
      <c r="Q765" s="937"/>
      <c r="R765" s="937"/>
      <c r="S765" s="937"/>
      <c r="T765" s="937"/>
      <c r="U765" s="937"/>
      <c r="V765" s="937"/>
      <c r="W765" s="937"/>
      <c r="X765" s="937"/>
      <c r="Y765" s="937"/>
      <c r="Z765" s="937"/>
    </row>
    <row r="766" spans="1:26" ht="15.75" customHeight="1">
      <c r="A766" s="937"/>
      <c r="B766" s="937"/>
      <c r="C766" s="937"/>
      <c r="D766" s="937"/>
      <c r="E766" s="937"/>
      <c r="F766" s="937"/>
      <c r="G766" s="937"/>
      <c r="H766" s="937"/>
      <c r="I766" s="937"/>
      <c r="J766" s="937"/>
      <c r="K766" s="937"/>
      <c r="L766" s="937"/>
      <c r="M766" s="937"/>
      <c r="N766" s="937"/>
      <c r="O766" s="937"/>
      <c r="P766" s="937"/>
      <c r="Q766" s="937"/>
      <c r="R766" s="937"/>
      <c r="S766" s="937"/>
      <c r="T766" s="937"/>
      <c r="U766" s="937"/>
      <c r="V766" s="937"/>
      <c r="W766" s="937"/>
      <c r="X766" s="937"/>
      <c r="Y766" s="937"/>
      <c r="Z766" s="937"/>
    </row>
    <row r="767" spans="1:26" ht="15.75" customHeight="1">
      <c r="A767" s="937"/>
      <c r="B767" s="937"/>
      <c r="C767" s="937"/>
      <c r="D767" s="937"/>
      <c r="E767" s="937"/>
      <c r="F767" s="937"/>
      <c r="G767" s="937"/>
      <c r="H767" s="937"/>
      <c r="I767" s="937"/>
      <c r="J767" s="937"/>
      <c r="K767" s="937"/>
      <c r="L767" s="937"/>
      <c r="M767" s="937"/>
      <c r="N767" s="937"/>
      <c r="O767" s="937"/>
      <c r="P767" s="937"/>
      <c r="Q767" s="937"/>
      <c r="R767" s="937"/>
      <c r="S767" s="937"/>
      <c r="T767" s="937"/>
      <c r="U767" s="937"/>
      <c r="V767" s="937"/>
      <c r="W767" s="937"/>
      <c r="X767" s="937"/>
      <c r="Y767" s="937"/>
      <c r="Z767" s="937"/>
    </row>
    <row r="768" spans="1:26" ht="15.75" customHeight="1">
      <c r="A768" s="937"/>
      <c r="B768" s="937"/>
      <c r="C768" s="937"/>
      <c r="D768" s="937"/>
      <c r="E768" s="937"/>
      <c r="F768" s="937"/>
      <c r="G768" s="937"/>
      <c r="H768" s="937"/>
      <c r="I768" s="937"/>
      <c r="J768" s="937"/>
      <c r="K768" s="937"/>
      <c r="L768" s="937"/>
      <c r="M768" s="937"/>
      <c r="N768" s="937"/>
      <c r="O768" s="937"/>
      <c r="P768" s="937"/>
      <c r="Q768" s="937"/>
      <c r="R768" s="937"/>
      <c r="S768" s="937"/>
      <c r="T768" s="937"/>
      <c r="U768" s="937"/>
      <c r="V768" s="937"/>
      <c r="W768" s="937"/>
      <c r="X768" s="937"/>
      <c r="Y768" s="937"/>
      <c r="Z768" s="937"/>
    </row>
    <row r="769" spans="1:26" ht="15.75" customHeight="1">
      <c r="A769" s="937"/>
      <c r="B769" s="937"/>
      <c r="C769" s="937"/>
      <c r="D769" s="937"/>
      <c r="E769" s="937"/>
      <c r="F769" s="937"/>
      <c r="G769" s="937"/>
      <c r="H769" s="937"/>
      <c r="I769" s="937"/>
      <c r="J769" s="937"/>
      <c r="K769" s="937"/>
      <c r="L769" s="937"/>
      <c r="M769" s="937"/>
      <c r="N769" s="937"/>
      <c r="O769" s="937"/>
      <c r="P769" s="937"/>
      <c r="Q769" s="937"/>
      <c r="R769" s="937"/>
      <c r="S769" s="937"/>
      <c r="T769" s="937"/>
      <c r="U769" s="937"/>
      <c r="V769" s="937"/>
      <c r="W769" s="937"/>
      <c r="X769" s="937"/>
      <c r="Y769" s="937"/>
      <c r="Z769" s="937"/>
    </row>
    <row r="770" spans="1:26" ht="15.75" customHeight="1">
      <c r="A770" s="937"/>
      <c r="B770" s="937"/>
      <c r="C770" s="937"/>
      <c r="D770" s="937"/>
      <c r="E770" s="937"/>
      <c r="F770" s="937"/>
      <c r="G770" s="937"/>
      <c r="H770" s="937"/>
      <c r="I770" s="937"/>
      <c r="J770" s="937"/>
      <c r="K770" s="937"/>
      <c r="L770" s="937"/>
      <c r="M770" s="937"/>
      <c r="N770" s="937"/>
      <c r="O770" s="937"/>
      <c r="P770" s="937"/>
      <c r="Q770" s="937"/>
      <c r="R770" s="937"/>
      <c r="S770" s="937"/>
      <c r="T770" s="937"/>
      <c r="U770" s="937"/>
      <c r="V770" s="937"/>
      <c r="W770" s="937"/>
      <c r="X770" s="937"/>
      <c r="Y770" s="937"/>
      <c r="Z770" s="937"/>
    </row>
    <row r="771" spans="1:26" ht="15.75" customHeight="1">
      <c r="A771" s="937"/>
      <c r="B771" s="937"/>
      <c r="C771" s="937"/>
      <c r="D771" s="937"/>
      <c r="E771" s="937"/>
      <c r="F771" s="937"/>
      <c r="G771" s="937"/>
      <c r="H771" s="937"/>
      <c r="I771" s="937"/>
      <c r="J771" s="937"/>
      <c r="K771" s="937"/>
      <c r="L771" s="937"/>
      <c r="M771" s="937"/>
      <c r="N771" s="937"/>
      <c r="O771" s="937"/>
      <c r="P771" s="937"/>
      <c r="Q771" s="937"/>
      <c r="R771" s="937"/>
      <c r="S771" s="937"/>
      <c r="T771" s="937"/>
      <c r="U771" s="937"/>
      <c r="V771" s="937"/>
      <c r="W771" s="937"/>
      <c r="X771" s="937"/>
      <c r="Y771" s="937"/>
      <c r="Z771" s="937"/>
    </row>
    <row r="772" spans="1:26" ht="15.75" customHeight="1">
      <c r="A772" s="937"/>
      <c r="B772" s="937"/>
      <c r="C772" s="937"/>
      <c r="D772" s="937"/>
      <c r="E772" s="937"/>
      <c r="F772" s="937"/>
      <c r="G772" s="937"/>
      <c r="H772" s="937"/>
      <c r="I772" s="937"/>
      <c r="J772" s="937"/>
      <c r="K772" s="937"/>
      <c r="L772" s="937"/>
      <c r="M772" s="937"/>
      <c r="N772" s="937"/>
      <c r="O772" s="937"/>
      <c r="P772" s="937"/>
      <c r="Q772" s="937"/>
      <c r="R772" s="937"/>
      <c r="S772" s="937"/>
      <c r="T772" s="937"/>
      <c r="U772" s="937"/>
      <c r="V772" s="937"/>
      <c r="W772" s="937"/>
      <c r="X772" s="937"/>
      <c r="Y772" s="937"/>
      <c r="Z772" s="937"/>
    </row>
    <row r="773" spans="1:26" ht="15.75" customHeight="1">
      <c r="A773" s="937"/>
      <c r="B773" s="937"/>
      <c r="C773" s="937"/>
      <c r="D773" s="937"/>
      <c r="E773" s="937"/>
      <c r="F773" s="937"/>
      <c r="G773" s="937"/>
      <c r="H773" s="937"/>
      <c r="I773" s="937"/>
      <c r="J773" s="937"/>
      <c r="K773" s="937"/>
      <c r="L773" s="937"/>
      <c r="M773" s="937"/>
      <c r="N773" s="937"/>
      <c r="O773" s="937"/>
      <c r="P773" s="937"/>
      <c r="Q773" s="937"/>
      <c r="R773" s="937"/>
      <c r="S773" s="937"/>
      <c r="T773" s="937"/>
      <c r="U773" s="937"/>
      <c r="V773" s="937"/>
      <c r="W773" s="937"/>
      <c r="X773" s="937"/>
      <c r="Y773" s="937"/>
      <c r="Z773" s="937"/>
    </row>
    <row r="774" spans="1:26" ht="15.75" customHeight="1">
      <c r="A774" s="937"/>
      <c r="B774" s="937"/>
      <c r="C774" s="937"/>
      <c r="D774" s="937"/>
      <c r="E774" s="937"/>
      <c r="F774" s="937"/>
      <c r="G774" s="937"/>
      <c r="H774" s="937"/>
      <c r="I774" s="937"/>
      <c r="J774" s="937"/>
      <c r="K774" s="937"/>
      <c r="L774" s="937"/>
      <c r="M774" s="937"/>
      <c r="N774" s="937"/>
      <c r="O774" s="937"/>
      <c r="P774" s="937"/>
      <c r="Q774" s="937"/>
      <c r="R774" s="937"/>
      <c r="S774" s="937"/>
      <c r="T774" s="937"/>
      <c r="U774" s="937"/>
      <c r="V774" s="937"/>
      <c r="W774" s="937"/>
      <c r="X774" s="937"/>
      <c r="Y774" s="937"/>
      <c r="Z774" s="937"/>
    </row>
    <row r="775" spans="1:26" ht="15.75" customHeight="1">
      <c r="A775" s="937"/>
      <c r="B775" s="937"/>
      <c r="C775" s="937"/>
      <c r="D775" s="937"/>
      <c r="E775" s="937"/>
      <c r="F775" s="937"/>
      <c r="G775" s="937"/>
      <c r="H775" s="937"/>
      <c r="I775" s="937"/>
      <c r="J775" s="937"/>
      <c r="K775" s="937"/>
      <c r="L775" s="937"/>
      <c r="M775" s="937"/>
      <c r="N775" s="937"/>
      <c r="O775" s="937"/>
      <c r="P775" s="937"/>
      <c r="Q775" s="937"/>
      <c r="R775" s="937"/>
      <c r="S775" s="937"/>
      <c r="T775" s="937"/>
      <c r="U775" s="937"/>
      <c r="V775" s="937"/>
      <c r="W775" s="937"/>
      <c r="X775" s="937"/>
      <c r="Y775" s="937"/>
      <c r="Z775" s="937"/>
    </row>
    <row r="776" spans="1:26" ht="15.75" customHeight="1">
      <c r="A776" s="937"/>
      <c r="B776" s="937"/>
      <c r="C776" s="937"/>
      <c r="D776" s="937"/>
      <c r="E776" s="937"/>
      <c r="F776" s="937"/>
      <c r="G776" s="937"/>
      <c r="H776" s="937"/>
      <c r="I776" s="937"/>
      <c r="J776" s="937"/>
      <c r="K776" s="937"/>
      <c r="L776" s="937"/>
      <c r="M776" s="937"/>
      <c r="N776" s="937"/>
      <c r="O776" s="937"/>
      <c r="P776" s="937"/>
      <c r="Q776" s="937"/>
      <c r="R776" s="937"/>
      <c r="S776" s="937"/>
      <c r="T776" s="937"/>
      <c r="U776" s="937"/>
      <c r="V776" s="937"/>
      <c r="W776" s="937"/>
      <c r="X776" s="937"/>
      <c r="Y776" s="937"/>
      <c r="Z776" s="937"/>
    </row>
    <row r="777" spans="1:26" ht="15.75" customHeight="1">
      <c r="A777" s="937"/>
      <c r="B777" s="937"/>
      <c r="C777" s="937"/>
      <c r="D777" s="937"/>
      <c r="E777" s="937"/>
      <c r="F777" s="937"/>
      <c r="G777" s="937"/>
      <c r="H777" s="937"/>
      <c r="I777" s="937"/>
      <c r="J777" s="937"/>
      <c r="K777" s="937"/>
      <c r="L777" s="937"/>
      <c r="M777" s="937"/>
      <c r="N777" s="937"/>
      <c r="O777" s="937"/>
      <c r="P777" s="937"/>
      <c r="Q777" s="937"/>
      <c r="R777" s="937"/>
      <c r="S777" s="937"/>
      <c r="T777" s="937"/>
      <c r="U777" s="937"/>
      <c r="V777" s="937"/>
      <c r="W777" s="937"/>
      <c r="X777" s="937"/>
      <c r="Y777" s="937"/>
      <c r="Z777" s="937"/>
    </row>
    <row r="778" spans="1:26" ht="15.75" customHeight="1">
      <c r="A778" s="937"/>
      <c r="B778" s="937"/>
      <c r="C778" s="937"/>
      <c r="D778" s="937"/>
      <c r="E778" s="937"/>
      <c r="F778" s="937"/>
      <c r="G778" s="937"/>
      <c r="H778" s="937"/>
      <c r="I778" s="937"/>
      <c r="J778" s="937"/>
      <c r="K778" s="937"/>
      <c r="L778" s="937"/>
      <c r="M778" s="937"/>
      <c r="N778" s="937"/>
      <c r="O778" s="937"/>
      <c r="P778" s="937"/>
      <c r="Q778" s="937"/>
      <c r="R778" s="937"/>
      <c r="S778" s="937"/>
      <c r="T778" s="937"/>
      <c r="U778" s="937"/>
      <c r="V778" s="937"/>
      <c r="W778" s="937"/>
      <c r="X778" s="937"/>
      <c r="Y778" s="937"/>
      <c r="Z778" s="937"/>
    </row>
    <row r="779" spans="1:26" ht="15.75" customHeight="1">
      <c r="A779" s="937"/>
      <c r="B779" s="937"/>
      <c r="C779" s="937"/>
      <c r="D779" s="937"/>
      <c r="E779" s="937"/>
      <c r="F779" s="937"/>
      <c r="G779" s="937"/>
      <c r="H779" s="937"/>
      <c r="I779" s="937"/>
      <c r="J779" s="937"/>
      <c r="K779" s="937"/>
      <c r="L779" s="937"/>
      <c r="M779" s="937"/>
      <c r="N779" s="937"/>
      <c r="O779" s="937"/>
      <c r="P779" s="937"/>
      <c r="Q779" s="937"/>
      <c r="R779" s="937"/>
      <c r="S779" s="937"/>
      <c r="T779" s="937"/>
      <c r="U779" s="937"/>
      <c r="V779" s="937"/>
      <c r="W779" s="937"/>
      <c r="X779" s="937"/>
      <c r="Y779" s="937"/>
      <c r="Z779" s="937"/>
    </row>
    <row r="780" spans="1:26" ht="15.75" customHeight="1">
      <c r="A780" s="937"/>
      <c r="B780" s="937"/>
      <c r="C780" s="937"/>
      <c r="D780" s="937"/>
      <c r="E780" s="937"/>
      <c r="F780" s="937"/>
      <c r="G780" s="937"/>
      <c r="H780" s="937"/>
      <c r="I780" s="937"/>
      <c r="J780" s="937"/>
      <c r="K780" s="937"/>
      <c r="L780" s="937"/>
      <c r="M780" s="937"/>
      <c r="N780" s="937"/>
      <c r="O780" s="937"/>
      <c r="P780" s="937"/>
      <c r="Q780" s="937"/>
      <c r="R780" s="937"/>
      <c r="S780" s="937"/>
      <c r="T780" s="937"/>
      <c r="U780" s="937"/>
      <c r="V780" s="937"/>
      <c r="W780" s="937"/>
      <c r="X780" s="937"/>
      <c r="Y780" s="937"/>
      <c r="Z780" s="937"/>
    </row>
    <row r="781" spans="1:26" ht="15.75" customHeight="1">
      <c r="A781" s="937"/>
      <c r="B781" s="937"/>
      <c r="C781" s="937"/>
      <c r="D781" s="937"/>
      <c r="E781" s="937"/>
      <c r="F781" s="937"/>
      <c r="G781" s="937"/>
      <c r="H781" s="937"/>
      <c r="I781" s="937"/>
      <c r="J781" s="937"/>
      <c r="K781" s="937"/>
      <c r="L781" s="937"/>
      <c r="M781" s="937"/>
      <c r="N781" s="937"/>
      <c r="O781" s="937"/>
      <c r="P781" s="937"/>
      <c r="Q781" s="937"/>
      <c r="R781" s="937"/>
      <c r="S781" s="937"/>
      <c r="T781" s="937"/>
      <c r="U781" s="937"/>
      <c r="V781" s="937"/>
      <c r="W781" s="937"/>
      <c r="X781" s="937"/>
      <c r="Y781" s="937"/>
      <c r="Z781" s="937"/>
    </row>
    <row r="782" spans="1:26" ht="15.75" customHeight="1">
      <c r="A782" s="937"/>
      <c r="B782" s="937"/>
      <c r="C782" s="937"/>
      <c r="D782" s="937"/>
      <c r="E782" s="937"/>
      <c r="F782" s="937"/>
      <c r="G782" s="937"/>
      <c r="H782" s="937"/>
      <c r="I782" s="937"/>
      <c r="J782" s="937"/>
      <c r="K782" s="937"/>
      <c r="L782" s="937"/>
      <c r="M782" s="937"/>
      <c r="N782" s="937"/>
      <c r="O782" s="937"/>
      <c r="P782" s="937"/>
      <c r="Q782" s="937"/>
      <c r="R782" s="937"/>
      <c r="S782" s="937"/>
      <c r="T782" s="937"/>
      <c r="U782" s="937"/>
      <c r="V782" s="937"/>
      <c r="W782" s="937"/>
      <c r="X782" s="937"/>
      <c r="Y782" s="937"/>
      <c r="Z782" s="937"/>
    </row>
    <row r="783" spans="1:26" ht="15.75" customHeight="1">
      <c r="A783" s="937"/>
      <c r="B783" s="937"/>
      <c r="C783" s="937"/>
      <c r="D783" s="937"/>
      <c r="E783" s="937"/>
      <c r="F783" s="937"/>
      <c r="G783" s="937"/>
      <c r="H783" s="937"/>
      <c r="I783" s="937"/>
      <c r="J783" s="937"/>
      <c r="K783" s="937"/>
      <c r="L783" s="937"/>
      <c r="M783" s="937"/>
      <c r="N783" s="937"/>
      <c r="O783" s="937"/>
      <c r="P783" s="937"/>
      <c r="Q783" s="937"/>
      <c r="R783" s="937"/>
      <c r="S783" s="937"/>
      <c r="T783" s="937"/>
      <c r="U783" s="937"/>
      <c r="V783" s="937"/>
      <c r="W783" s="937"/>
      <c r="X783" s="937"/>
      <c r="Y783" s="937"/>
      <c r="Z783" s="937"/>
    </row>
    <row r="784" spans="1:26" ht="15.75" customHeight="1">
      <c r="A784" s="937"/>
      <c r="B784" s="937"/>
      <c r="C784" s="937"/>
      <c r="D784" s="937"/>
      <c r="E784" s="937"/>
      <c r="F784" s="937"/>
      <c r="G784" s="937"/>
      <c r="H784" s="937"/>
      <c r="I784" s="937"/>
      <c r="J784" s="937"/>
      <c r="K784" s="937"/>
      <c r="L784" s="937"/>
      <c r="M784" s="937"/>
      <c r="N784" s="937"/>
      <c r="O784" s="937"/>
      <c r="P784" s="937"/>
      <c r="Q784" s="937"/>
      <c r="R784" s="937"/>
      <c r="S784" s="937"/>
      <c r="T784" s="937"/>
      <c r="U784" s="937"/>
      <c r="V784" s="937"/>
      <c r="W784" s="937"/>
      <c r="X784" s="937"/>
      <c r="Y784" s="937"/>
      <c r="Z784" s="937"/>
    </row>
    <row r="785" spans="1:26" ht="15.75" customHeight="1">
      <c r="A785" s="937"/>
      <c r="B785" s="937"/>
      <c r="C785" s="937"/>
      <c r="D785" s="937"/>
      <c r="E785" s="937"/>
      <c r="F785" s="937"/>
      <c r="G785" s="937"/>
      <c r="H785" s="937"/>
      <c r="I785" s="937"/>
      <c r="J785" s="937"/>
      <c r="K785" s="937"/>
      <c r="L785" s="937"/>
      <c r="M785" s="937"/>
      <c r="N785" s="937"/>
      <c r="O785" s="937"/>
      <c r="P785" s="937"/>
      <c r="Q785" s="937"/>
      <c r="R785" s="937"/>
      <c r="S785" s="937"/>
      <c r="T785" s="937"/>
      <c r="U785" s="937"/>
      <c r="V785" s="937"/>
      <c r="W785" s="937"/>
      <c r="X785" s="937"/>
      <c r="Y785" s="937"/>
      <c r="Z785" s="937"/>
    </row>
    <row r="786" spans="1:26" ht="15.75" customHeight="1">
      <c r="A786" s="937"/>
      <c r="B786" s="937"/>
      <c r="C786" s="937"/>
      <c r="D786" s="937"/>
      <c r="E786" s="937"/>
      <c r="F786" s="937"/>
      <c r="G786" s="937"/>
      <c r="H786" s="937"/>
      <c r="I786" s="937"/>
      <c r="J786" s="937"/>
      <c r="K786" s="937"/>
      <c r="L786" s="937"/>
      <c r="M786" s="937"/>
      <c r="N786" s="937"/>
      <c r="O786" s="937"/>
      <c r="P786" s="937"/>
      <c r="Q786" s="937"/>
      <c r="R786" s="937"/>
      <c r="S786" s="937"/>
      <c r="T786" s="937"/>
      <c r="U786" s="937"/>
      <c r="V786" s="937"/>
      <c r="W786" s="937"/>
      <c r="X786" s="937"/>
      <c r="Y786" s="937"/>
      <c r="Z786" s="937"/>
    </row>
    <row r="787" spans="1:26" ht="15.75" customHeight="1">
      <c r="A787" s="937"/>
      <c r="B787" s="937"/>
      <c r="C787" s="937"/>
      <c r="D787" s="937"/>
      <c r="E787" s="937"/>
      <c r="F787" s="937"/>
      <c r="G787" s="937"/>
      <c r="H787" s="937"/>
      <c r="I787" s="937"/>
      <c r="J787" s="937"/>
      <c r="K787" s="937"/>
      <c r="L787" s="937"/>
      <c r="M787" s="937"/>
      <c r="N787" s="937"/>
      <c r="O787" s="937"/>
      <c r="P787" s="937"/>
      <c r="Q787" s="937"/>
      <c r="R787" s="937"/>
      <c r="S787" s="937"/>
      <c r="T787" s="937"/>
      <c r="U787" s="937"/>
      <c r="V787" s="937"/>
      <c r="W787" s="937"/>
      <c r="X787" s="937"/>
      <c r="Y787" s="937"/>
      <c r="Z787" s="937"/>
    </row>
    <row r="788" spans="1:26" ht="15.75" customHeight="1">
      <c r="A788" s="937"/>
      <c r="B788" s="937"/>
      <c r="C788" s="937"/>
      <c r="D788" s="937"/>
      <c r="E788" s="937"/>
      <c r="F788" s="937"/>
      <c r="G788" s="937"/>
      <c r="H788" s="937"/>
      <c r="I788" s="937"/>
      <c r="J788" s="937"/>
      <c r="K788" s="937"/>
      <c r="L788" s="937"/>
      <c r="M788" s="937"/>
      <c r="N788" s="937"/>
      <c r="O788" s="937"/>
      <c r="P788" s="937"/>
      <c r="Q788" s="937"/>
      <c r="R788" s="937"/>
      <c r="S788" s="937"/>
      <c r="T788" s="937"/>
      <c r="U788" s="937"/>
      <c r="V788" s="937"/>
      <c r="W788" s="937"/>
      <c r="X788" s="937"/>
      <c r="Y788" s="937"/>
      <c r="Z788" s="937"/>
    </row>
    <row r="789" spans="1:26" ht="15.75" customHeight="1">
      <c r="A789" s="937"/>
      <c r="B789" s="937"/>
      <c r="C789" s="937"/>
      <c r="D789" s="937"/>
      <c r="E789" s="937"/>
      <c r="F789" s="937"/>
      <c r="G789" s="937"/>
      <c r="H789" s="937"/>
      <c r="I789" s="937"/>
      <c r="J789" s="937"/>
      <c r="K789" s="937"/>
      <c r="L789" s="937"/>
      <c r="M789" s="937"/>
      <c r="N789" s="937"/>
      <c r="O789" s="937"/>
      <c r="P789" s="937"/>
      <c r="Q789" s="937"/>
      <c r="R789" s="937"/>
      <c r="S789" s="937"/>
      <c r="T789" s="937"/>
      <c r="U789" s="937"/>
      <c r="V789" s="937"/>
      <c r="W789" s="937"/>
      <c r="X789" s="937"/>
      <c r="Y789" s="937"/>
      <c r="Z789" s="937"/>
    </row>
    <row r="790" spans="1:26" ht="15.75" customHeight="1">
      <c r="A790" s="937"/>
      <c r="B790" s="937"/>
      <c r="C790" s="937"/>
      <c r="D790" s="937"/>
      <c r="E790" s="937"/>
      <c r="F790" s="937"/>
      <c r="G790" s="937"/>
      <c r="H790" s="937"/>
      <c r="I790" s="937"/>
      <c r="J790" s="937"/>
      <c r="K790" s="937"/>
      <c r="L790" s="937"/>
      <c r="M790" s="937"/>
      <c r="N790" s="937"/>
      <c r="O790" s="937"/>
      <c r="P790" s="937"/>
      <c r="Q790" s="937"/>
      <c r="R790" s="937"/>
      <c r="S790" s="937"/>
      <c r="T790" s="937"/>
      <c r="U790" s="937"/>
      <c r="V790" s="937"/>
      <c r="W790" s="937"/>
      <c r="X790" s="937"/>
      <c r="Y790" s="937"/>
      <c r="Z790" s="937"/>
    </row>
    <row r="791" spans="1:26" ht="15.75" customHeight="1">
      <c r="A791" s="937"/>
      <c r="B791" s="937"/>
      <c r="C791" s="937"/>
      <c r="D791" s="937"/>
      <c r="E791" s="937"/>
      <c r="F791" s="937"/>
      <c r="G791" s="937"/>
      <c r="H791" s="937"/>
      <c r="I791" s="937"/>
      <c r="J791" s="937"/>
      <c r="K791" s="937"/>
      <c r="L791" s="937"/>
      <c r="M791" s="937"/>
      <c r="N791" s="937"/>
      <c r="O791" s="937"/>
      <c r="P791" s="937"/>
      <c r="Q791" s="937"/>
      <c r="R791" s="937"/>
      <c r="S791" s="937"/>
      <c r="T791" s="937"/>
      <c r="U791" s="937"/>
      <c r="V791" s="937"/>
      <c r="W791" s="937"/>
      <c r="X791" s="937"/>
      <c r="Y791" s="937"/>
      <c r="Z791" s="937"/>
    </row>
    <row r="792" spans="1:26" ht="15.75" customHeight="1">
      <c r="A792" s="937"/>
      <c r="B792" s="937"/>
      <c r="C792" s="937"/>
      <c r="D792" s="937"/>
      <c r="E792" s="937"/>
      <c r="F792" s="937"/>
      <c r="G792" s="937"/>
      <c r="H792" s="937"/>
      <c r="I792" s="937"/>
      <c r="J792" s="937"/>
      <c r="K792" s="937"/>
      <c r="L792" s="937"/>
      <c r="M792" s="937"/>
      <c r="N792" s="937"/>
      <c r="O792" s="937"/>
      <c r="P792" s="937"/>
      <c r="Q792" s="937"/>
      <c r="R792" s="937"/>
      <c r="S792" s="937"/>
      <c r="T792" s="937"/>
      <c r="U792" s="937"/>
      <c r="V792" s="937"/>
      <c r="W792" s="937"/>
      <c r="X792" s="937"/>
      <c r="Y792" s="937"/>
      <c r="Z792" s="937"/>
    </row>
    <row r="793" spans="1:26" ht="15.75" customHeight="1">
      <c r="A793" s="937"/>
      <c r="B793" s="937"/>
      <c r="C793" s="937"/>
      <c r="D793" s="937"/>
      <c r="E793" s="937"/>
      <c r="F793" s="937"/>
      <c r="G793" s="937"/>
      <c r="H793" s="937"/>
      <c r="I793" s="937"/>
      <c r="J793" s="937"/>
      <c r="K793" s="937"/>
      <c r="L793" s="937"/>
      <c r="M793" s="937"/>
      <c r="N793" s="937"/>
      <c r="O793" s="937"/>
      <c r="P793" s="937"/>
      <c r="Q793" s="937"/>
      <c r="R793" s="937"/>
      <c r="S793" s="937"/>
      <c r="T793" s="937"/>
      <c r="U793" s="937"/>
      <c r="V793" s="937"/>
      <c r="W793" s="937"/>
      <c r="X793" s="937"/>
      <c r="Y793" s="937"/>
      <c r="Z793" s="937"/>
    </row>
    <row r="794" spans="1:26" ht="15.75" customHeight="1">
      <c r="A794" s="937"/>
      <c r="B794" s="937"/>
      <c r="C794" s="937"/>
      <c r="D794" s="937"/>
      <c r="E794" s="937"/>
      <c r="F794" s="937"/>
      <c r="G794" s="937"/>
      <c r="H794" s="937"/>
      <c r="I794" s="937"/>
      <c r="J794" s="937"/>
      <c r="K794" s="937"/>
      <c r="L794" s="937"/>
      <c r="M794" s="937"/>
      <c r="N794" s="937"/>
      <c r="O794" s="937"/>
      <c r="P794" s="937"/>
      <c r="Q794" s="937"/>
      <c r="R794" s="937"/>
      <c r="S794" s="937"/>
      <c r="T794" s="937"/>
      <c r="U794" s="937"/>
      <c r="V794" s="937"/>
      <c r="W794" s="937"/>
      <c r="X794" s="937"/>
      <c r="Y794" s="937"/>
      <c r="Z794" s="937"/>
    </row>
    <row r="795" spans="1:26" ht="15.75" customHeight="1">
      <c r="A795" s="937"/>
      <c r="B795" s="937"/>
      <c r="C795" s="937"/>
      <c r="D795" s="937"/>
      <c r="E795" s="937"/>
      <c r="F795" s="937"/>
      <c r="G795" s="937"/>
      <c r="H795" s="937"/>
      <c r="I795" s="937"/>
      <c r="J795" s="937"/>
      <c r="K795" s="937"/>
      <c r="L795" s="937"/>
      <c r="M795" s="937"/>
      <c r="N795" s="937"/>
      <c r="O795" s="937"/>
      <c r="P795" s="937"/>
      <c r="Q795" s="937"/>
      <c r="R795" s="937"/>
      <c r="S795" s="937"/>
      <c r="T795" s="937"/>
      <c r="U795" s="937"/>
      <c r="V795" s="937"/>
      <c r="W795" s="937"/>
      <c r="X795" s="937"/>
      <c r="Y795" s="937"/>
      <c r="Z795" s="937"/>
    </row>
    <row r="796" spans="1:26" ht="15.75" customHeight="1">
      <c r="A796" s="937"/>
      <c r="B796" s="937"/>
      <c r="C796" s="937"/>
      <c r="D796" s="937"/>
      <c r="E796" s="937"/>
      <c r="F796" s="937"/>
      <c r="G796" s="937"/>
      <c r="H796" s="937"/>
      <c r="I796" s="937"/>
      <c r="J796" s="937"/>
      <c r="K796" s="937"/>
      <c r="L796" s="937"/>
      <c r="M796" s="937"/>
      <c r="N796" s="937"/>
      <c r="O796" s="937"/>
      <c r="P796" s="937"/>
      <c r="Q796" s="937"/>
      <c r="R796" s="937"/>
      <c r="S796" s="937"/>
      <c r="T796" s="937"/>
      <c r="U796" s="937"/>
      <c r="V796" s="937"/>
      <c r="W796" s="937"/>
      <c r="X796" s="937"/>
      <c r="Y796" s="937"/>
      <c r="Z796" s="937"/>
    </row>
    <row r="797" spans="1:26" ht="15.75" customHeight="1">
      <c r="A797" s="937"/>
      <c r="B797" s="937"/>
      <c r="C797" s="937"/>
      <c r="D797" s="937"/>
      <c r="E797" s="937"/>
      <c r="F797" s="937"/>
      <c r="G797" s="937"/>
      <c r="H797" s="937"/>
      <c r="I797" s="937"/>
      <c r="J797" s="937"/>
      <c r="K797" s="937"/>
      <c r="L797" s="937"/>
      <c r="M797" s="937"/>
      <c r="N797" s="937"/>
      <c r="O797" s="937"/>
      <c r="P797" s="937"/>
      <c r="Q797" s="937"/>
      <c r="R797" s="937"/>
      <c r="S797" s="937"/>
      <c r="T797" s="937"/>
      <c r="U797" s="937"/>
      <c r="V797" s="937"/>
      <c r="W797" s="937"/>
      <c r="X797" s="937"/>
      <c r="Y797" s="937"/>
      <c r="Z797" s="937"/>
    </row>
    <row r="798" spans="1:26" ht="15.75" customHeight="1">
      <c r="A798" s="937"/>
      <c r="B798" s="937"/>
      <c r="C798" s="937"/>
      <c r="D798" s="937"/>
      <c r="E798" s="937"/>
      <c r="F798" s="937"/>
      <c r="G798" s="937"/>
      <c r="H798" s="937"/>
      <c r="I798" s="937"/>
      <c r="J798" s="937"/>
      <c r="K798" s="937"/>
      <c r="L798" s="937"/>
      <c r="M798" s="937"/>
      <c r="N798" s="937"/>
      <c r="O798" s="937"/>
      <c r="P798" s="937"/>
      <c r="Q798" s="937"/>
      <c r="R798" s="937"/>
      <c r="S798" s="937"/>
      <c r="T798" s="937"/>
      <c r="U798" s="937"/>
      <c r="V798" s="937"/>
      <c r="W798" s="937"/>
      <c r="X798" s="937"/>
      <c r="Y798" s="937"/>
      <c r="Z798" s="937"/>
    </row>
    <row r="799" spans="1:26" ht="15.75" customHeight="1">
      <c r="A799" s="937"/>
      <c r="B799" s="937"/>
      <c r="C799" s="937"/>
      <c r="D799" s="937"/>
      <c r="E799" s="937"/>
      <c r="F799" s="937"/>
      <c r="G799" s="937"/>
      <c r="H799" s="937"/>
      <c r="I799" s="937"/>
      <c r="J799" s="937"/>
      <c r="K799" s="937"/>
      <c r="L799" s="937"/>
      <c r="M799" s="937"/>
      <c r="N799" s="937"/>
      <c r="O799" s="937"/>
      <c r="P799" s="937"/>
      <c r="Q799" s="937"/>
      <c r="R799" s="937"/>
      <c r="S799" s="937"/>
      <c r="T799" s="937"/>
      <c r="U799" s="937"/>
      <c r="V799" s="937"/>
      <c r="W799" s="937"/>
      <c r="X799" s="937"/>
      <c r="Y799" s="937"/>
      <c r="Z799" s="937"/>
    </row>
    <row r="800" spans="1:26" ht="15.75" customHeight="1">
      <c r="A800" s="937"/>
      <c r="B800" s="937"/>
      <c r="C800" s="937"/>
      <c r="D800" s="937"/>
      <c r="E800" s="937"/>
      <c r="F800" s="937"/>
      <c r="G800" s="937"/>
      <c r="H800" s="937"/>
      <c r="I800" s="937"/>
      <c r="J800" s="937"/>
      <c r="K800" s="937"/>
      <c r="L800" s="937"/>
      <c r="M800" s="937"/>
      <c r="N800" s="937"/>
      <c r="O800" s="937"/>
      <c r="P800" s="937"/>
      <c r="Q800" s="937"/>
      <c r="R800" s="937"/>
      <c r="S800" s="937"/>
      <c r="T800" s="937"/>
      <c r="U800" s="937"/>
      <c r="V800" s="937"/>
      <c r="W800" s="937"/>
      <c r="X800" s="937"/>
      <c r="Y800" s="937"/>
      <c r="Z800" s="937"/>
    </row>
    <row r="801" spans="1:26" ht="15.75" customHeight="1">
      <c r="A801" s="937"/>
      <c r="B801" s="937"/>
      <c r="C801" s="937"/>
      <c r="D801" s="937"/>
      <c r="E801" s="937"/>
      <c r="F801" s="937"/>
      <c r="G801" s="937"/>
      <c r="H801" s="937"/>
      <c r="I801" s="937"/>
      <c r="J801" s="937"/>
      <c r="K801" s="937"/>
      <c r="L801" s="937"/>
      <c r="M801" s="937"/>
      <c r="N801" s="937"/>
      <c r="O801" s="937"/>
      <c r="P801" s="937"/>
      <c r="Q801" s="937"/>
      <c r="R801" s="937"/>
      <c r="S801" s="937"/>
      <c r="T801" s="937"/>
      <c r="U801" s="937"/>
      <c r="V801" s="937"/>
      <c r="W801" s="937"/>
      <c r="X801" s="937"/>
      <c r="Y801" s="937"/>
      <c r="Z801" s="937"/>
    </row>
    <row r="802" spans="1:26" ht="15.75" customHeight="1">
      <c r="A802" s="937"/>
      <c r="B802" s="937"/>
      <c r="C802" s="937"/>
      <c r="D802" s="937"/>
      <c r="E802" s="937"/>
      <c r="F802" s="937"/>
      <c r="G802" s="937"/>
      <c r="H802" s="937"/>
      <c r="I802" s="937"/>
      <c r="J802" s="937"/>
      <c r="K802" s="937"/>
      <c r="L802" s="937"/>
      <c r="M802" s="937"/>
      <c r="N802" s="937"/>
      <c r="O802" s="937"/>
      <c r="P802" s="937"/>
      <c r="Q802" s="937"/>
      <c r="R802" s="937"/>
      <c r="S802" s="937"/>
      <c r="T802" s="937"/>
      <c r="U802" s="937"/>
      <c r="V802" s="937"/>
      <c r="W802" s="937"/>
      <c r="X802" s="937"/>
      <c r="Y802" s="937"/>
      <c r="Z802" s="937"/>
    </row>
    <row r="803" spans="1:26" ht="15.75" customHeight="1">
      <c r="A803" s="937"/>
      <c r="B803" s="937"/>
      <c r="C803" s="937"/>
      <c r="D803" s="937"/>
      <c r="E803" s="937"/>
      <c r="F803" s="937"/>
      <c r="G803" s="937"/>
      <c r="H803" s="937"/>
      <c r="I803" s="937"/>
      <c r="J803" s="937"/>
      <c r="K803" s="937"/>
      <c r="L803" s="937"/>
      <c r="M803" s="937"/>
      <c r="N803" s="937"/>
      <c r="O803" s="937"/>
      <c r="P803" s="937"/>
      <c r="Q803" s="937"/>
      <c r="R803" s="937"/>
      <c r="S803" s="937"/>
      <c r="T803" s="937"/>
      <c r="U803" s="937"/>
      <c r="V803" s="937"/>
      <c r="W803" s="937"/>
      <c r="X803" s="937"/>
      <c r="Y803" s="937"/>
      <c r="Z803" s="937"/>
    </row>
    <row r="804" spans="1:26" ht="15.75" customHeight="1">
      <c r="A804" s="937"/>
      <c r="B804" s="937"/>
      <c r="C804" s="937"/>
      <c r="D804" s="937"/>
      <c r="E804" s="937"/>
      <c r="F804" s="937"/>
      <c r="G804" s="937"/>
      <c r="H804" s="937"/>
      <c r="I804" s="937"/>
      <c r="J804" s="937"/>
      <c r="K804" s="937"/>
      <c r="L804" s="937"/>
      <c r="M804" s="937"/>
      <c r="N804" s="937"/>
      <c r="O804" s="937"/>
      <c r="P804" s="937"/>
      <c r="Q804" s="937"/>
      <c r="R804" s="937"/>
      <c r="S804" s="937"/>
      <c r="T804" s="937"/>
      <c r="U804" s="937"/>
      <c r="V804" s="937"/>
      <c r="W804" s="937"/>
      <c r="X804" s="937"/>
      <c r="Y804" s="937"/>
      <c r="Z804" s="937"/>
    </row>
    <row r="805" spans="1:26" ht="15.75" customHeight="1">
      <c r="A805" s="937"/>
      <c r="B805" s="937"/>
      <c r="C805" s="937"/>
      <c r="D805" s="937"/>
      <c r="E805" s="937"/>
      <c r="F805" s="937"/>
      <c r="G805" s="937"/>
      <c r="H805" s="937"/>
      <c r="I805" s="937"/>
      <c r="J805" s="937"/>
      <c r="K805" s="937"/>
      <c r="L805" s="937"/>
      <c r="M805" s="937"/>
      <c r="N805" s="937"/>
      <c r="O805" s="937"/>
      <c r="P805" s="937"/>
      <c r="Q805" s="937"/>
      <c r="R805" s="937"/>
      <c r="S805" s="937"/>
      <c r="T805" s="937"/>
      <c r="U805" s="937"/>
      <c r="V805" s="937"/>
      <c r="W805" s="937"/>
      <c r="X805" s="937"/>
      <c r="Y805" s="937"/>
      <c r="Z805" s="937"/>
    </row>
    <row r="806" spans="1:26" ht="15.75" customHeight="1">
      <c r="A806" s="937"/>
      <c r="B806" s="937"/>
      <c r="C806" s="937"/>
      <c r="D806" s="937"/>
      <c r="E806" s="937"/>
      <c r="F806" s="937"/>
      <c r="G806" s="937"/>
      <c r="H806" s="937"/>
      <c r="I806" s="937"/>
      <c r="J806" s="937"/>
      <c r="K806" s="937"/>
      <c r="L806" s="937"/>
      <c r="M806" s="937"/>
      <c r="N806" s="937"/>
      <c r="O806" s="937"/>
      <c r="P806" s="937"/>
      <c r="Q806" s="937"/>
      <c r="R806" s="937"/>
      <c r="S806" s="937"/>
      <c r="T806" s="937"/>
      <c r="U806" s="937"/>
      <c r="V806" s="937"/>
      <c r="W806" s="937"/>
      <c r="X806" s="937"/>
      <c r="Y806" s="937"/>
      <c r="Z806" s="937"/>
    </row>
    <row r="807" spans="1:26" ht="15.75" customHeight="1">
      <c r="A807" s="937"/>
      <c r="B807" s="937"/>
      <c r="C807" s="937"/>
      <c r="D807" s="937"/>
      <c r="E807" s="937"/>
      <c r="F807" s="937"/>
      <c r="G807" s="937"/>
      <c r="H807" s="937"/>
      <c r="I807" s="937"/>
      <c r="J807" s="937"/>
      <c r="K807" s="937"/>
      <c r="L807" s="937"/>
      <c r="M807" s="937"/>
      <c r="N807" s="937"/>
      <c r="O807" s="937"/>
      <c r="P807" s="937"/>
      <c r="Q807" s="937"/>
      <c r="R807" s="937"/>
      <c r="S807" s="937"/>
      <c r="T807" s="937"/>
      <c r="U807" s="937"/>
      <c r="V807" s="937"/>
      <c r="W807" s="937"/>
      <c r="X807" s="937"/>
      <c r="Y807" s="937"/>
      <c r="Z807" s="937"/>
    </row>
    <row r="808" spans="1:26" ht="15.75" customHeight="1">
      <c r="A808" s="937"/>
      <c r="B808" s="937"/>
      <c r="C808" s="937"/>
      <c r="D808" s="937"/>
      <c r="E808" s="937"/>
      <c r="F808" s="937"/>
      <c r="G808" s="937"/>
      <c r="H808" s="937"/>
      <c r="I808" s="937"/>
      <c r="J808" s="937"/>
      <c r="K808" s="937"/>
      <c r="L808" s="937"/>
      <c r="M808" s="937"/>
      <c r="N808" s="937"/>
      <c r="O808" s="937"/>
      <c r="P808" s="937"/>
      <c r="Q808" s="937"/>
      <c r="R808" s="937"/>
      <c r="S808" s="937"/>
      <c r="T808" s="937"/>
      <c r="U808" s="937"/>
      <c r="V808" s="937"/>
      <c r="W808" s="937"/>
      <c r="X808" s="937"/>
      <c r="Y808" s="937"/>
      <c r="Z808" s="937"/>
    </row>
    <row r="809" spans="1:26" ht="15.75" customHeight="1">
      <c r="A809" s="937"/>
      <c r="B809" s="937"/>
      <c r="C809" s="937"/>
      <c r="D809" s="937"/>
      <c r="E809" s="937"/>
      <c r="F809" s="937"/>
      <c r="G809" s="937"/>
      <c r="H809" s="937"/>
      <c r="I809" s="937"/>
      <c r="J809" s="937"/>
      <c r="K809" s="937"/>
      <c r="L809" s="937"/>
      <c r="M809" s="937"/>
      <c r="N809" s="937"/>
      <c r="O809" s="937"/>
      <c r="P809" s="937"/>
      <c r="Q809" s="937"/>
      <c r="R809" s="937"/>
      <c r="S809" s="937"/>
      <c r="T809" s="937"/>
      <c r="U809" s="937"/>
      <c r="V809" s="937"/>
      <c r="W809" s="937"/>
      <c r="X809" s="937"/>
      <c r="Y809" s="937"/>
      <c r="Z809" s="937"/>
    </row>
    <row r="810" spans="1:26" ht="15.75" customHeight="1">
      <c r="A810" s="937"/>
      <c r="B810" s="937"/>
      <c r="C810" s="937"/>
      <c r="D810" s="937"/>
      <c r="E810" s="937"/>
      <c r="F810" s="937"/>
      <c r="G810" s="937"/>
      <c r="H810" s="937"/>
      <c r="I810" s="937"/>
      <c r="J810" s="937"/>
      <c r="K810" s="937"/>
      <c r="L810" s="937"/>
      <c r="M810" s="937"/>
      <c r="N810" s="937"/>
      <c r="O810" s="937"/>
      <c r="P810" s="937"/>
      <c r="Q810" s="937"/>
      <c r="R810" s="937"/>
      <c r="S810" s="937"/>
      <c r="T810" s="937"/>
      <c r="U810" s="937"/>
      <c r="V810" s="937"/>
      <c r="W810" s="937"/>
      <c r="X810" s="937"/>
      <c r="Y810" s="937"/>
      <c r="Z810" s="937"/>
    </row>
    <row r="811" spans="1:26" ht="15.75" customHeight="1">
      <c r="A811" s="937"/>
      <c r="B811" s="937"/>
      <c r="C811" s="937"/>
      <c r="D811" s="937"/>
      <c r="E811" s="937"/>
      <c r="F811" s="937"/>
      <c r="G811" s="937"/>
      <c r="H811" s="937"/>
      <c r="I811" s="937"/>
      <c r="J811" s="937"/>
      <c r="K811" s="937"/>
      <c r="L811" s="937"/>
      <c r="M811" s="937"/>
      <c r="N811" s="937"/>
      <c r="O811" s="937"/>
      <c r="P811" s="937"/>
      <c r="Q811" s="937"/>
      <c r="R811" s="937"/>
      <c r="S811" s="937"/>
      <c r="T811" s="937"/>
      <c r="U811" s="937"/>
      <c r="V811" s="937"/>
      <c r="W811" s="937"/>
      <c r="X811" s="937"/>
      <c r="Y811" s="937"/>
      <c r="Z811" s="937"/>
    </row>
    <row r="812" spans="1:26" ht="15.75" customHeight="1">
      <c r="A812" s="937"/>
      <c r="B812" s="937"/>
      <c r="C812" s="937"/>
      <c r="D812" s="937"/>
      <c r="E812" s="937"/>
      <c r="F812" s="937"/>
      <c r="G812" s="937"/>
      <c r="H812" s="937"/>
      <c r="I812" s="937"/>
      <c r="J812" s="937"/>
      <c r="K812" s="937"/>
      <c r="L812" s="937"/>
      <c r="M812" s="937"/>
      <c r="N812" s="937"/>
      <c r="O812" s="937"/>
      <c r="P812" s="937"/>
      <c r="Q812" s="937"/>
      <c r="R812" s="937"/>
      <c r="S812" s="937"/>
      <c r="T812" s="937"/>
      <c r="U812" s="937"/>
      <c r="V812" s="937"/>
      <c r="W812" s="937"/>
      <c r="X812" s="937"/>
      <c r="Y812" s="937"/>
      <c r="Z812" s="937"/>
    </row>
    <row r="813" spans="1:26" ht="15.75" customHeight="1">
      <c r="A813" s="937"/>
      <c r="B813" s="937"/>
      <c r="C813" s="937"/>
      <c r="D813" s="937"/>
      <c r="E813" s="937"/>
      <c r="F813" s="937"/>
      <c r="G813" s="937"/>
      <c r="H813" s="937"/>
      <c r="I813" s="937"/>
      <c r="J813" s="937"/>
      <c r="K813" s="937"/>
      <c r="L813" s="937"/>
      <c r="M813" s="937"/>
      <c r="N813" s="937"/>
      <c r="O813" s="937"/>
      <c r="P813" s="937"/>
      <c r="Q813" s="937"/>
      <c r="R813" s="937"/>
      <c r="S813" s="937"/>
      <c r="T813" s="937"/>
      <c r="U813" s="937"/>
      <c r="V813" s="937"/>
      <c r="W813" s="937"/>
      <c r="X813" s="937"/>
      <c r="Y813" s="937"/>
      <c r="Z813" s="937"/>
    </row>
    <row r="814" spans="1:26" ht="15.75" customHeight="1">
      <c r="A814" s="937"/>
      <c r="B814" s="937"/>
      <c r="C814" s="937"/>
      <c r="D814" s="937"/>
      <c r="E814" s="937"/>
      <c r="F814" s="937"/>
      <c r="G814" s="937"/>
      <c r="H814" s="937"/>
      <c r="I814" s="937"/>
      <c r="J814" s="937"/>
      <c r="K814" s="937"/>
      <c r="L814" s="937"/>
      <c r="M814" s="937"/>
      <c r="N814" s="937"/>
      <c r="O814" s="937"/>
      <c r="P814" s="937"/>
      <c r="Q814" s="937"/>
      <c r="R814" s="937"/>
      <c r="S814" s="937"/>
      <c r="T814" s="937"/>
      <c r="U814" s="937"/>
      <c r="V814" s="937"/>
      <c r="W814" s="937"/>
      <c r="X814" s="937"/>
      <c r="Y814" s="937"/>
      <c r="Z814" s="937"/>
    </row>
    <row r="815" spans="1:26" ht="15.75" customHeight="1">
      <c r="A815" s="937"/>
      <c r="B815" s="937"/>
      <c r="C815" s="937"/>
      <c r="D815" s="937"/>
      <c r="E815" s="937"/>
      <c r="F815" s="937"/>
      <c r="G815" s="937"/>
      <c r="H815" s="937"/>
      <c r="I815" s="937"/>
      <c r="J815" s="937"/>
      <c r="K815" s="937"/>
      <c r="L815" s="937"/>
      <c r="M815" s="937"/>
      <c r="N815" s="937"/>
      <c r="O815" s="937"/>
      <c r="P815" s="937"/>
      <c r="Q815" s="937"/>
      <c r="R815" s="937"/>
      <c r="S815" s="937"/>
      <c r="T815" s="937"/>
      <c r="U815" s="937"/>
      <c r="V815" s="937"/>
      <c r="W815" s="937"/>
      <c r="X815" s="937"/>
      <c r="Y815" s="937"/>
      <c r="Z815" s="937"/>
    </row>
    <row r="816" spans="1:26" ht="15.75" customHeight="1">
      <c r="A816" s="937"/>
      <c r="B816" s="937"/>
      <c r="C816" s="937"/>
      <c r="D816" s="937"/>
      <c r="E816" s="937"/>
      <c r="F816" s="937"/>
      <c r="G816" s="937"/>
      <c r="H816" s="937"/>
      <c r="I816" s="937"/>
      <c r="J816" s="937"/>
      <c r="K816" s="937"/>
      <c r="L816" s="937"/>
      <c r="M816" s="937"/>
      <c r="N816" s="937"/>
      <c r="O816" s="937"/>
      <c r="P816" s="937"/>
      <c r="Q816" s="937"/>
      <c r="R816" s="937"/>
      <c r="S816" s="937"/>
      <c r="T816" s="937"/>
      <c r="U816" s="937"/>
      <c r="V816" s="937"/>
      <c r="W816" s="937"/>
      <c r="X816" s="937"/>
      <c r="Y816" s="937"/>
      <c r="Z816" s="937"/>
    </row>
    <row r="817" spans="1:26" ht="15.75" customHeight="1">
      <c r="A817" s="937"/>
      <c r="B817" s="937"/>
      <c r="C817" s="937"/>
      <c r="D817" s="937"/>
      <c r="E817" s="937"/>
      <c r="F817" s="937"/>
      <c r="G817" s="937"/>
      <c r="H817" s="937"/>
      <c r="I817" s="937"/>
      <c r="J817" s="937"/>
      <c r="K817" s="937"/>
      <c r="L817" s="937"/>
      <c r="M817" s="937"/>
      <c r="N817" s="937"/>
      <c r="O817" s="937"/>
      <c r="P817" s="937"/>
      <c r="Q817" s="937"/>
      <c r="R817" s="937"/>
      <c r="S817" s="937"/>
      <c r="T817" s="937"/>
      <c r="U817" s="937"/>
      <c r="V817" s="937"/>
      <c r="W817" s="937"/>
      <c r="X817" s="937"/>
      <c r="Y817" s="937"/>
      <c r="Z817" s="937"/>
    </row>
    <row r="818" spans="1:26" ht="15.75" customHeight="1">
      <c r="A818" s="937"/>
      <c r="B818" s="937"/>
      <c r="C818" s="937"/>
      <c r="D818" s="937"/>
      <c r="E818" s="937"/>
      <c r="F818" s="937"/>
      <c r="G818" s="937"/>
      <c r="H818" s="937"/>
      <c r="I818" s="937"/>
      <c r="J818" s="937"/>
      <c r="K818" s="937"/>
      <c r="L818" s="937"/>
      <c r="M818" s="937"/>
      <c r="N818" s="937"/>
      <c r="O818" s="937"/>
      <c r="P818" s="937"/>
      <c r="Q818" s="937"/>
      <c r="R818" s="937"/>
      <c r="S818" s="937"/>
      <c r="T818" s="937"/>
      <c r="U818" s="937"/>
      <c r="V818" s="937"/>
      <c r="W818" s="937"/>
      <c r="X818" s="937"/>
      <c r="Y818" s="937"/>
      <c r="Z818" s="937"/>
    </row>
    <row r="819" spans="1:26" ht="15.75" customHeight="1">
      <c r="A819" s="937"/>
      <c r="B819" s="937"/>
      <c r="C819" s="937"/>
      <c r="D819" s="937"/>
      <c r="E819" s="937"/>
      <c r="F819" s="937"/>
      <c r="G819" s="937"/>
      <c r="H819" s="937"/>
      <c r="I819" s="937"/>
      <c r="J819" s="937"/>
      <c r="K819" s="937"/>
      <c r="L819" s="937"/>
      <c r="M819" s="937"/>
      <c r="N819" s="937"/>
      <c r="O819" s="937"/>
      <c r="P819" s="937"/>
      <c r="Q819" s="937"/>
      <c r="R819" s="937"/>
      <c r="S819" s="937"/>
      <c r="T819" s="937"/>
      <c r="U819" s="937"/>
      <c r="V819" s="937"/>
      <c r="W819" s="937"/>
      <c r="X819" s="937"/>
      <c r="Y819" s="937"/>
      <c r="Z819" s="937"/>
    </row>
    <row r="820" spans="1:26" ht="15.75" customHeight="1">
      <c r="A820" s="937"/>
      <c r="B820" s="937"/>
      <c r="C820" s="937"/>
      <c r="D820" s="937"/>
      <c r="E820" s="937"/>
      <c r="F820" s="937"/>
      <c r="G820" s="937"/>
      <c r="H820" s="937"/>
      <c r="I820" s="937"/>
      <c r="J820" s="937"/>
      <c r="K820" s="937"/>
      <c r="L820" s="937"/>
      <c r="M820" s="937"/>
      <c r="N820" s="937"/>
      <c r="O820" s="937"/>
      <c r="P820" s="937"/>
      <c r="Q820" s="937"/>
      <c r="R820" s="937"/>
      <c r="S820" s="937"/>
      <c r="T820" s="937"/>
      <c r="U820" s="937"/>
      <c r="V820" s="937"/>
      <c r="W820" s="937"/>
      <c r="X820" s="937"/>
      <c r="Y820" s="937"/>
      <c r="Z820" s="937"/>
    </row>
    <row r="821" spans="1:26" ht="15.75" customHeight="1">
      <c r="A821" s="937"/>
      <c r="B821" s="937"/>
      <c r="C821" s="937"/>
      <c r="D821" s="937"/>
      <c r="E821" s="937"/>
      <c r="F821" s="937"/>
      <c r="G821" s="937"/>
      <c r="H821" s="937"/>
      <c r="I821" s="937"/>
      <c r="J821" s="937"/>
      <c r="K821" s="937"/>
      <c r="L821" s="937"/>
      <c r="M821" s="937"/>
      <c r="N821" s="937"/>
      <c r="O821" s="937"/>
      <c r="P821" s="937"/>
      <c r="Q821" s="937"/>
      <c r="R821" s="937"/>
      <c r="S821" s="937"/>
      <c r="T821" s="937"/>
      <c r="U821" s="937"/>
      <c r="V821" s="937"/>
      <c r="W821" s="937"/>
      <c r="X821" s="937"/>
      <c r="Y821" s="937"/>
      <c r="Z821" s="937"/>
    </row>
    <row r="822" spans="1:26" ht="15.75" customHeight="1">
      <c r="A822" s="937"/>
      <c r="B822" s="937"/>
      <c r="C822" s="937"/>
      <c r="D822" s="937"/>
      <c r="E822" s="937"/>
      <c r="F822" s="937"/>
      <c r="G822" s="937"/>
      <c r="H822" s="937"/>
      <c r="I822" s="937"/>
      <c r="J822" s="937"/>
      <c r="K822" s="937"/>
      <c r="L822" s="937"/>
      <c r="M822" s="937"/>
      <c r="N822" s="937"/>
      <c r="O822" s="937"/>
      <c r="P822" s="937"/>
      <c r="Q822" s="937"/>
      <c r="R822" s="937"/>
      <c r="S822" s="937"/>
      <c r="T822" s="937"/>
      <c r="U822" s="937"/>
      <c r="V822" s="937"/>
      <c r="W822" s="937"/>
      <c r="X822" s="937"/>
      <c r="Y822" s="937"/>
      <c r="Z822" s="937"/>
    </row>
    <row r="823" spans="1:26" ht="15.75" customHeight="1">
      <c r="A823" s="937"/>
      <c r="B823" s="937"/>
      <c r="C823" s="937"/>
      <c r="D823" s="937"/>
      <c r="E823" s="937"/>
      <c r="F823" s="937"/>
      <c r="G823" s="937"/>
      <c r="H823" s="937"/>
      <c r="I823" s="937"/>
      <c r="J823" s="937"/>
      <c r="K823" s="937"/>
      <c r="L823" s="937"/>
      <c r="M823" s="937"/>
      <c r="N823" s="937"/>
      <c r="O823" s="937"/>
      <c r="P823" s="937"/>
      <c r="Q823" s="937"/>
      <c r="R823" s="937"/>
      <c r="S823" s="937"/>
      <c r="T823" s="937"/>
      <c r="U823" s="937"/>
      <c r="V823" s="937"/>
      <c r="W823" s="937"/>
      <c r="X823" s="937"/>
      <c r="Y823" s="937"/>
      <c r="Z823" s="937"/>
    </row>
    <row r="824" spans="1:26" ht="15.75" customHeight="1">
      <c r="A824" s="937"/>
      <c r="B824" s="937"/>
      <c r="C824" s="937"/>
      <c r="D824" s="937"/>
      <c r="E824" s="937"/>
      <c r="F824" s="937"/>
      <c r="G824" s="937"/>
      <c r="H824" s="937"/>
      <c r="I824" s="937"/>
      <c r="J824" s="937"/>
      <c r="K824" s="937"/>
      <c r="L824" s="937"/>
      <c r="M824" s="937"/>
      <c r="N824" s="937"/>
      <c r="O824" s="937"/>
      <c r="P824" s="937"/>
      <c r="Q824" s="937"/>
      <c r="R824" s="937"/>
      <c r="S824" s="937"/>
      <c r="T824" s="937"/>
      <c r="U824" s="937"/>
      <c r="V824" s="937"/>
      <c r="W824" s="937"/>
      <c r="X824" s="937"/>
      <c r="Y824" s="937"/>
      <c r="Z824" s="937"/>
    </row>
    <row r="825" spans="1:26" ht="15.75" customHeight="1">
      <c r="A825" s="937"/>
      <c r="B825" s="937"/>
      <c r="C825" s="937"/>
      <c r="D825" s="937"/>
      <c r="E825" s="937"/>
      <c r="F825" s="937"/>
      <c r="G825" s="937"/>
      <c r="H825" s="937"/>
      <c r="I825" s="937"/>
      <c r="J825" s="937"/>
      <c r="K825" s="937"/>
      <c r="L825" s="937"/>
      <c r="M825" s="937"/>
      <c r="N825" s="937"/>
      <c r="O825" s="937"/>
      <c r="P825" s="937"/>
      <c r="Q825" s="937"/>
      <c r="R825" s="937"/>
      <c r="S825" s="937"/>
      <c r="T825" s="937"/>
      <c r="U825" s="937"/>
      <c r="V825" s="937"/>
      <c r="W825" s="937"/>
      <c r="X825" s="937"/>
      <c r="Y825" s="937"/>
      <c r="Z825" s="937"/>
    </row>
    <row r="826" spans="1:26" ht="15.75" customHeight="1">
      <c r="A826" s="937"/>
      <c r="B826" s="937"/>
      <c r="C826" s="937"/>
      <c r="D826" s="937"/>
      <c r="E826" s="937"/>
      <c r="F826" s="937"/>
      <c r="G826" s="937"/>
      <c r="H826" s="937"/>
      <c r="I826" s="937"/>
      <c r="J826" s="937"/>
      <c r="K826" s="937"/>
      <c r="L826" s="937"/>
      <c r="M826" s="937"/>
      <c r="N826" s="937"/>
      <c r="O826" s="937"/>
      <c r="P826" s="937"/>
      <c r="Q826" s="937"/>
      <c r="R826" s="937"/>
      <c r="S826" s="937"/>
      <c r="T826" s="937"/>
      <c r="U826" s="937"/>
      <c r="V826" s="937"/>
      <c r="W826" s="937"/>
      <c r="X826" s="937"/>
      <c r="Y826" s="937"/>
      <c r="Z826" s="937"/>
    </row>
    <row r="827" spans="1:26" ht="15.75" customHeight="1">
      <c r="A827" s="937"/>
      <c r="B827" s="937"/>
      <c r="C827" s="937"/>
      <c r="D827" s="937"/>
      <c r="E827" s="937"/>
      <c r="F827" s="937"/>
      <c r="G827" s="937"/>
      <c r="H827" s="937"/>
      <c r="I827" s="937"/>
      <c r="J827" s="937"/>
      <c r="K827" s="937"/>
      <c r="L827" s="937"/>
      <c r="M827" s="937"/>
      <c r="N827" s="937"/>
      <c r="O827" s="937"/>
      <c r="P827" s="937"/>
      <c r="Q827" s="937"/>
      <c r="R827" s="937"/>
      <c r="S827" s="937"/>
      <c r="T827" s="937"/>
      <c r="U827" s="937"/>
      <c r="V827" s="937"/>
      <c r="W827" s="937"/>
      <c r="X827" s="937"/>
      <c r="Y827" s="937"/>
      <c r="Z827" s="937"/>
    </row>
    <row r="828" spans="1:26" ht="15.75" customHeight="1">
      <c r="A828" s="937"/>
      <c r="B828" s="937"/>
      <c r="C828" s="937"/>
      <c r="D828" s="937"/>
      <c r="E828" s="937"/>
      <c r="F828" s="937"/>
      <c r="G828" s="937"/>
      <c r="H828" s="937"/>
      <c r="I828" s="937"/>
      <c r="J828" s="937"/>
      <c r="K828" s="937"/>
      <c r="L828" s="937"/>
      <c r="M828" s="937"/>
      <c r="N828" s="937"/>
      <c r="O828" s="937"/>
      <c r="P828" s="937"/>
      <c r="Q828" s="937"/>
      <c r="R828" s="937"/>
      <c r="S828" s="937"/>
      <c r="T828" s="937"/>
      <c r="U828" s="937"/>
      <c r="V828" s="937"/>
      <c r="W828" s="937"/>
      <c r="X828" s="937"/>
      <c r="Y828" s="937"/>
      <c r="Z828" s="937"/>
    </row>
    <row r="829" spans="1:26" ht="15.75" customHeight="1">
      <c r="A829" s="937"/>
      <c r="B829" s="937"/>
      <c r="C829" s="937"/>
      <c r="D829" s="937"/>
      <c r="E829" s="937"/>
      <c r="F829" s="937"/>
      <c r="G829" s="937"/>
      <c r="H829" s="937"/>
      <c r="I829" s="937"/>
      <c r="J829" s="937"/>
      <c r="K829" s="937"/>
      <c r="L829" s="937"/>
      <c r="M829" s="937"/>
      <c r="N829" s="937"/>
      <c r="O829" s="937"/>
      <c r="P829" s="937"/>
      <c r="Q829" s="937"/>
      <c r="R829" s="937"/>
      <c r="S829" s="937"/>
      <c r="T829" s="937"/>
      <c r="U829" s="937"/>
      <c r="V829" s="937"/>
      <c r="W829" s="937"/>
      <c r="X829" s="937"/>
      <c r="Y829" s="937"/>
      <c r="Z829" s="937"/>
    </row>
    <row r="830" spans="1:26" ht="15.75" customHeight="1">
      <c r="A830" s="937"/>
      <c r="B830" s="937"/>
      <c r="C830" s="937"/>
      <c r="D830" s="937"/>
      <c r="E830" s="937"/>
      <c r="F830" s="937"/>
      <c r="G830" s="937"/>
      <c r="H830" s="937"/>
      <c r="I830" s="937"/>
      <c r="J830" s="937"/>
      <c r="K830" s="937"/>
      <c r="L830" s="937"/>
      <c r="M830" s="937"/>
      <c r="N830" s="937"/>
      <c r="O830" s="937"/>
      <c r="P830" s="937"/>
      <c r="Q830" s="937"/>
      <c r="R830" s="937"/>
      <c r="S830" s="937"/>
      <c r="T830" s="937"/>
      <c r="U830" s="937"/>
      <c r="V830" s="937"/>
      <c r="W830" s="937"/>
      <c r="X830" s="937"/>
      <c r="Y830" s="937"/>
      <c r="Z830" s="937"/>
    </row>
    <row r="831" spans="1:26" ht="15.75" customHeight="1">
      <c r="A831" s="937"/>
      <c r="B831" s="937"/>
      <c r="C831" s="937"/>
      <c r="D831" s="937"/>
      <c r="E831" s="937"/>
      <c r="F831" s="937"/>
      <c r="G831" s="937"/>
      <c r="H831" s="937"/>
      <c r="I831" s="937"/>
      <c r="J831" s="937"/>
      <c r="K831" s="937"/>
      <c r="L831" s="937"/>
      <c r="M831" s="937"/>
      <c r="N831" s="937"/>
      <c r="O831" s="937"/>
      <c r="P831" s="937"/>
      <c r="Q831" s="937"/>
      <c r="R831" s="937"/>
      <c r="S831" s="937"/>
      <c r="T831" s="937"/>
      <c r="U831" s="937"/>
      <c r="V831" s="937"/>
      <c r="W831" s="937"/>
      <c r="X831" s="937"/>
      <c r="Y831" s="937"/>
      <c r="Z831" s="937"/>
    </row>
    <row r="832" spans="1:26" ht="15.75" customHeight="1">
      <c r="A832" s="937"/>
      <c r="B832" s="937"/>
      <c r="C832" s="937"/>
      <c r="D832" s="937"/>
      <c r="E832" s="937"/>
      <c r="F832" s="937"/>
      <c r="G832" s="937"/>
      <c r="H832" s="937"/>
      <c r="I832" s="937"/>
      <c r="J832" s="937"/>
      <c r="K832" s="937"/>
      <c r="L832" s="937"/>
      <c r="M832" s="937"/>
      <c r="N832" s="937"/>
      <c r="O832" s="937"/>
      <c r="P832" s="937"/>
      <c r="Q832" s="937"/>
      <c r="R832" s="937"/>
      <c r="S832" s="937"/>
      <c r="T832" s="937"/>
      <c r="U832" s="937"/>
      <c r="V832" s="937"/>
      <c r="W832" s="937"/>
      <c r="X832" s="937"/>
      <c r="Y832" s="937"/>
      <c r="Z832" s="937"/>
    </row>
    <row r="833" spans="1:26" ht="15.75" customHeight="1">
      <c r="A833" s="937"/>
      <c r="B833" s="937"/>
      <c r="C833" s="937"/>
      <c r="D833" s="937"/>
      <c r="E833" s="937"/>
      <c r="F833" s="937"/>
      <c r="G833" s="937"/>
      <c r="H833" s="937"/>
      <c r="I833" s="937"/>
      <c r="J833" s="937"/>
      <c r="K833" s="937"/>
      <c r="L833" s="937"/>
      <c r="M833" s="937"/>
      <c r="N833" s="937"/>
      <c r="O833" s="937"/>
      <c r="P833" s="937"/>
      <c r="Q833" s="937"/>
      <c r="R833" s="937"/>
      <c r="S833" s="937"/>
      <c r="T833" s="937"/>
      <c r="U833" s="937"/>
      <c r="V833" s="937"/>
      <c r="W833" s="937"/>
      <c r="X833" s="937"/>
      <c r="Y833" s="937"/>
      <c r="Z833" s="937"/>
    </row>
    <row r="834" spans="1:26" ht="15.75" customHeight="1">
      <c r="A834" s="937"/>
      <c r="B834" s="937"/>
      <c r="C834" s="937"/>
      <c r="D834" s="937"/>
      <c r="E834" s="937"/>
      <c r="F834" s="937"/>
      <c r="G834" s="937"/>
      <c r="H834" s="937"/>
      <c r="I834" s="937"/>
      <c r="J834" s="937"/>
      <c r="K834" s="937"/>
      <c r="L834" s="937"/>
      <c r="M834" s="937"/>
      <c r="N834" s="937"/>
      <c r="O834" s="937"/>
      <c r="P834" s="937"/>
      <c r="Q834" s="937"/>
      <c r="R834" s="937"/>
      <c r="S834" s="937"/>
      <c r="T834" s="937"/>
      <c r="U834" s="937"/>
      <c r="V834" s="937"/>
      <c r="W834" s="937"/>
      <c r="X834" s="937"/>
      <c r="Y834" s="937"/>
      <c r="Z834" s="937"/>
    </row>
    <row r="835" spans="1:26" ht="15.75" customHeight="1">
      <c r="A835" s="937"/>
      <c r="B835" s="937"/>
      <c r="C835" s="937"/>
      <c r="D835" s="937"/>
      <c r="E835" s="937"/>
      <c r="F835" s="937"/>
      <c r="G835" s="937"/>
      <c r="H835" s="937"/>
      <c r="I835" s="937"/>
      <c r="J835" s="937"/>
      <c r="K835" s="937"/>
      <c r="L835" s="937"/>
      <c r="M835" s="937"/>
      <c r="N835" s="937"/>
      <c r="O835" s="937"/>
      <c r="P835" s="937"/>
      <c r="Q835" s="937"/>
      <c r="R835" s="937"/>
      <c r="S835" s="937"/>
      <c r="T835" s="937"/>
      <c r="U835" s="937"/>
      <c r="V835" s="937"/>
      <c r="W835" s="937"/>
      <c r="X835" s="937"/>
      <c r="Y835" s="937"/>
      <c r="Z835" s="937"/>
    </row>
    <row r="836" spans="1:26" ht="15.75" customHeight="1">
      <c r="A836" s="937"/>
      <c r="B836" s="937"/>
      <c r="C836" s="937"/>
      <c r="D836" s="937"/>
      <c r="E836" s="937"/>
      <c r="F836" s="937"/>
      <c r="G836" s="937"/>
      <c r="H836" s="937"/>
      <c r="I836" s="937"/>
      <c r="J836" s="937"/>
      <c r="K836" s="937"/>
      <c r="L836" s="937"/>
      <c r="M836" s="937"/>
      <c r="N836" s="937"/>
      <c r="O836" s="937"/>
      <c r="P836" s="937"/>
      <c r="Q836" s="937"/>
      <c r="R836" s="937"/>
      <c r="S836" s="937"/>
      <c r="T836" s="937"/>
      <c r="U836" s="937"/>
      <c r="V836" s="937"/>
      <c r="W836" s="937"/>
      <c r="X836" s="937"/>
      <c r="Y836" s="937"/>
      <c r="Z836" s="937"/>
    </row>
    <row r="837" spans="1:26" ht="15.75" customHeight="1">
      <c r="A837" s="937"/>
      <c r="B837" s="937"/>
      <c r="C837" s="937"/>
      <c r="D837" s="937"/>
      <c r="E837" s="937"/>
      <c r="F837" s="937"/>
      <c r="G837" s="937"/>
      <c r="H837" s="937"/>
      <c r="I837" s="937"/>
      <c r="J837" s="937"/>
      <c r="K837" s="937"/>
      <c r="L837" s="937"/>
      <c r="M837" s="937"/>
      <c r="N837" s="937"/>
      <c r="O837" s="937"/>
      <c r="P837" s="937"/>
      <c r="Q837" s="937"/>
      <c r="R837" s="937"/>
      <c r="S837" s="937"/>
      <c r="T837" s="937"/>
      <c r="U837" s="937"/>
      <c r="V837" s="937"/>
      <c r="W837" s="937"/>
      <c r="X837" s="937"/>
      <c r="Y837" s="937"/>
      <c r="Z837" s="937"/>
    </row>
    <row r="838" spans="1:26" ht="15.75" customHeight="1">
      <c r="A838" s="937"/>
      <c r="B838" s="937"/>
      <c r="C838" s="937"/>
      <c r="D838" s="937"/>
      <c r="E838" s="937"/>
      <c r="F838" s="937"/>
      <c r="G838" s="937"/>
      <c r="H838" s="937"/>
      <c r="I838" s="937"/>
      <c r="J838" s="937"/>
      <c r="K838" s="937"/>
      <c r="L838" s="937"/>
      <c r="M838" s="937"/>
      <c r="N838" s="937"/>
      <c r="O838" s="937"/>
      <c r="P838" s="937"/>
      <c r="Q838" s="937"/>
      <c r="R838" s="937"/>
      <c r="S838" s="937"/>
      <c r="T838" s="937"/>
      <c r="U838" s="937"/>
      <c r="V838" s="937"/>
      <c r="W838" s="937"/>
      <c r="X838" s="937"/>
      <c r="Y838" s="937"/>
      <c r="Z838" s="937"/>
    </row>
    <row r="839" spans="1:26" ht="15.75" customHeight="1">
      <c r="A839" s="937"/>
      <c r="B839" s="937"/>
      <c r="C839" s="937"/>
      <c r="D839" s="937"/>
      <c r="E839" s="937"/>
      <c r="F839" s="937"/>
      <c r="G839" s="937"/>
      <c r="H839" s="937"/>
      <c r="I839" s="937"/>
      <c r="J839" s="937"/>
      <c r="K839" s="937"/>
      <c r="L839" s="937"/>
      <c r="M839" s="937"/>
      <c r="N839" s="937"/>
      <c r="O839" s="937"/>
      <c r="P839" s="937"/>
      <c r="Q839" s="937"/>
      <c r="R839" s="937"/>
      <c r="S839" s="937"/>
      <c r="T839" s="937"/>
      <c r="U839" s="937"/>
      <c r="V839" s="937"/>
      <c r="W839" s="937"/>
      <c r="X839" s="937"/>
      <c r="Y839" s="937"/>
      <c r="Z839" s="937"/>
    </row>
    <row r="840" spans="1:26" ht="15.75" customHeight="1">
      <c r="A840" s="937"/>
      <c r="B840" s="937"/>
      <c r="C840" s="937"/>
      <c r="D840" s="937"/>
      <c r="E840" s="937"/>
      <c r="F840" s="937"/>
      <c r="G840" s="937"/>
      <c r="H840" s="937"/>
      <c r="I840" s="937"/>
      <c r="J840" s="937"/>
      <c r="K840" s="937"/>
      <c r="L840" s="937"/>
      <c r="M840" s="937"/>
      <c r="N840" s="937"/>
      <c r="O840" s="937"/>
      <c r="P840" s="937"/>
      <c r="Q840" s="937"/>
      <c r="R840" s="937"/>
      <c r="S840" s="937"/>
      <c r="T840" s="937"/>
      <c r="U840" s="937"/>
      <c r="V840" s="937"/>
      <c r="W840" s="937"/>
      <c r="X840" s="937"/>
      <c r="Y840" s="937"/>
      <c r="Z840" s="937"/>
    </row>
    <row r="841" spans="1:26" ht="15.75" customHeight="1">
      <c r="A841" s="937"/>
      <c r="B841" s="937"/>
      <c r="C841" s="937"/>
      <c r="D841" s="937"/>
      <c r="E841" s="937"/>
      <c r="F841" s="937"/>
      <c r="G841" s="937"/>
      <c r="H841" s="937"/>
      <c r="I841" s="937"/>
      <c r="J841" s="937"/>
      <c r="K841" s="937"/>
      <c r="L841" s="937"/>
      <c r="M841" s="937"/>
      <c r="N841" s="937"/>
      <c r="O841" s="937"/>
      <c r="P841" s="937"/>
      <c r="Q841" s="937"/>
      <c r="R841" s="937"/>
      <c r="S841" s="937"/>
      <c r="T841" s="937"/>
      <c r="U841" s="937"/>
      <c r="V841" s="937"/>
      <c r="W841" s="937"/>
      <c r="X841" s="937"/>
      <c r="Y841" s="937"/>
      <c r="Z841" s="937"/>
    </row>
    <row r="842" spans="1:26" ht="15.75" customHeight="1">
      <c r="A842" s="937"/>
      <c r="B842" s="937"/>
      <c r="C842" s="937"/>
      <c r="D842" s="937"/>
      <c r="E842" s="937"/>
      <c r="F842" s="937"/>
      <c r="G842" s="937"/>
      <c r="H842" s="937"/>
      <c r="I842" s="937"/>
      <c r="J842" s="937"/>
      <c r="K842" s="937"/>
      <c r="L842" s="937"/>
      <c r="M842" s="937"/>
      <c r="N842" s="937"/>
      <c r="O842" s="937"/>
      <c r="P842" s="937"/>
      <c r="Q842" s="937"/>
      <c r="R842" s="937"/>
      <c r="S842" s="937"/>
      <c r="T842" s="937"/>
      <c r="U842" s="937"/>
      <c r="V842" s="937"/>
      <c r="W842" s="937"/>
      <c r="X842" s="937"/>
      <c r="Y842" s="937"/>
      <c r="Z842" s="937"/>
    </row>
    <row r="843" spans="1:26" ht="15.75" customHeight="1">
      <c r="A843" s="937"/>
      <c r="B843" s="937"/>
      <c r="C843" s="937"/>
      <c r="D843" s="937"/>
      <c r="E843" s="937"/>
      <c r="F843" s="937"/>
      <c r="G843" s="937"/>
      <c r="H843" s="937"/>
      <c r="I843" s="937"/>
      <c r="J843" s="937"/>
      <c r="K843" s="937"/>
      <c r="L843" s="937"/>
      <c r="M843" s="937"/>
      <c r="N843" s="937"/>
      <c r="O843" s="937"/>
      <c r="P843" s="937"/>
      <c r="Q843" s="937"/>
      <c r="R843" s="937"/>
      <c r="S843" s="937"/>
      <c r="T843" s="937"/>
      <c r="U843" s="937"/>
      <c r="V843" s="937"/>
      <c r="W843" s="937"/>
      <c r="X843" s="937"/>
      <c r="Y843" s="937"/>
      <c r="Z843" s="937"/>
    </row>
    <row r="844" spans="1:26" ht="15.75" customHeight="1">
      <c r="A844" s="937"/>
      <c r="B844" s="937"/>
      <c r="C844" s="937"/>
      <c r="D844" s="937"/>
      <c r="E844" s="937"/>
      <c r="F844" s="937"/>
      <c r="G844" s="937"/>
      <c r="H844" s="937"/>
      <c r="I844" s="937"/>
      <c r="J844" s="937"/>
      <c r="K844" s="937"/>
      <c r="L844" s="937"/>
      <c r="M844" s="937"/>
      <c r="N844" s="937"/>
      <c r="O844" s="937"/>
      <c r="P844" s="937"/>
      <c r="Q844" s="937"/>
      <c r="R844" s="937"/>
      <c r="S844" s="937"/>
      <c r="T844" s="937"/>
      <c r="U844" s="937"/>
      <c r="V844" s="937"/>
      <c r="W844" s="937"/>
      <c r="X844" s="937"/>
      <c r="Y844" s="937"/>
      <c r="Z844" s="937"/>
    </row>
    <row r="845" spans="1:26" ht="15.75" customHeight="1">
      <c r="A845" s="937"/>
      <c r="B845" s="937"/>
      <c r="C845" s="937"/>
      <c r="D845" s="937"/>
      <c r="E845" s="937"/>
      <c r="F845" s="937"/>
      <c r="G845" s="937"/>
      <c r="H845" s="937"/>
      <c r="I845" s="937"/>
      <c r="J845" s="937"/>
      <c r="K845" s="937"/>
      <c r="L845" s="937"/>
      <c r="M845" s="937"/>
      <c r="N845" s="937"/>
      <c r="O845" s="937"/>
      <c r="P845" s="937"/>
      <c r="Q845" s="937"/>
      <c r="R845" s="937"/>
      <c r="S845" s="937"/>
      <c r="T845" s="937"/>
      <c r="U845" s="937"/>
      <c r="V845" s="937"/>
      <c r="W845" s="937"/>
      <c r="X845" s="937"/>
      <c r="Y845" s="937"/>
      <c r="Z845" s="937"/>
    </row>
    <row r="846" spans="1:26" ht="15.75" customHeight="1">
      <c r="A846" s="937"/>
      <c r="B846" s="937"/>
      <c r="C846" s="937"/>
      <c r="D846" s="937"/>
      <c r="E846" s="937"/>
      <c r="F846" s="937"/>
      <c r="G846" s="937"/>
      <c r="H846" s="937"/>
      <c r="I846" s="937"/>
      <c r="J846" s="937"/>
      <c r="K846" s="937"/>
      <c r="L846" s="937"/>
      <c r="M846" s="937"/>
      <c r="N846" s="937"/>
      <c r="O846" s="937"/>
      <c r="P846" s="937"/>
      <c r="Q846" s="937"/>
      <c r="R846" s="937"/>
      <c r="S846" s="937"/>
      <c r="T846" s="937"/>
      <c r="U846" s="937"/>
      <c r="V846" s="937"/>
      <c r="W846" s="937"/>
      <c r="X846" s="937"/>
      <c r="Y846" s="937"/>
      <c r="Z846" s="937"/>
    </row>
    <row r="847" spans="1:26" ht="15.75" customHeight="1">
      <c r="A847" s="937"/>
      <c r="B847" s="937"/>
      <c r="C847" s="937"/>
      <c r="D847" s="937"/>
      <c r="E847" s="937"/>
      <c r="F847" s="937"/>
      <c r="G847" s="937"/>
      <c r="H847" s="937"/>
      <c r="I847" s="937"/>
      <c r="J847" s="937"/>
      <c r="K847" s="937"/>
      <c r="L847" s="937"/>
      <c r="M847" s="937"/>
      <c r="N847" s="937"/>
      <c r="O847" s="937"/>
      <c r="P847" s="937"/>
      <c r="Q847" s="937"/>
      <c r="R847" s="937"/>
      <c r="S847" s="937"/>
      <c r="T847" s="937"/>
      <c r="U847" s="937"/>
      <c r="V847" s="937"/>
      <c r="W847" s="937"/>
      <c r="X847" s="937"/>
      <c r="Y847" s="937"/>
      <c r="Z847" s="937"/>
    </row>
    <row r="848" spans="1:26" ht="15.75" customHeight="1">
      <c r="A848" s="937"/>
      <c r="B848" s="937"/>
      <c r="C848" s="937"/>
      <c r="D848" s="937"/>
      <c r="E848" s="937"/>
      <c r="F848" s="937"/>
      <c r="G848" s="937"/>
      <c r="H848" s="937"/>
      <c r="I848" s="937"/>
      <c r="J848" s="937"/>
      <c r="K848" s="937"/>
      <c r="L848" s="937"/>
      <c r="M848" s="937"/>
      <c r="N848" s="937"/>
      <c r="O848" s="937"/>
      <c r="P848" s="937"/>
      <c r="Q848" s="937"/>
      <c r="R848" s="937"/>
      <c r="S848" s="937"/>
      <c r="T848" s="937"/>
      <c r="U848" s="937"/>
      <c r="V848" s="937"/>
      <c r="W848" s="937"/>
      <c r="X848" s="937"/>
      <c r="Y848" s="937"/>
      <c r="Z848" s="937"/>
    </row>
    <row r="849" spans="1:26" ht="15.75" customHeight="1">
      <c r="A849" s="937"/>
      <c r="B849" s="937"/>
      <c r="C849" s="937"/>
      <c r="D849" s="937"/>
      <c r="E849" s="937"/>
      <c r="F849" s="937"/>
      <c r="G849" s="937"/>
      <c r="H849" s="937"/>
      <c r="I849" s="937"/>
      <c r="J849" s="937"/>
      <c r="K849" s="937"/>
      <c r="L849" s="937"/>
      <c r="M849" s="937"/>
      <c r="N849" s="937"/>
      <c r="O849" s="937"/>
      <c r="P849" s="937"/>
      <c r="Q849" s="937"/>
      <c r="R849" s="937"/>
      <c r="S849" s="937"/>
      <c r="T849" s="937"/>
      <c r="U849" s="937"/>
      <c r="V849" s="937"/>
      <c r="W849" s="937"/>
      <c r="X849" s="937"/>
      <c r="Y849" s="937"/>
      <c r="Z849" s="937"/>
    </row>
    <row r="850" spans="1:26" ht="15.75" customHeight="1">
      <c r="A850" s="937"/>
      <c r="B850" s="937"/>
      <c r="C850" s="937"/>
      <c r="D850" s="937"/>
      <c r="E850" s="937"/>
      <c r="F850" s="937"/>
      <c r="G850" s="937"/>
      <c r="H850" s="937"/>
      <c r="I850" s="937"/>
      <c r="J850" s="937"/>
      <c r="K850" s="937"/>
      <c r="L850" s="937"/>
      <c r="M850" s="937"/>
      <c r="N850" s="937"/>
      <c r="O850" s="937"/>
      <c r="P850" s="937"/>
      <c r="Q850" s="937"/>
      <c r="R850" s="937"/>
      <c r="S850" s="937"/>
      <c r="T850" s="937"/>
      <c r="U850" s="937"/>
      <c r="V850" s="937"/>
      <c r="W850" s="937"/>
      <c r="X850" s="937"/>
      <c r="Y850" s="937"/>
      <c r="Z850" s="937"/>
    </row>
    <row r="851" spans="1:26" ht="15.75" customHeight="1">
      <c r="A851" s="937"/>
      <c r="B851" s="937"/>
      <c r="C851" s="937"/>
      <c r="D851" s="937"/>
      <c r="E851" s="937"/>
      <c r="F851" s="937"/>
      <c r="G851" s="937"/>
      <c r="H851" s="937"/>
      <c r="I851" s="937"/>
      <c r="J851" s="937"/>
      <c r="K851" s="937"/>
      <c r="L851" s="937"/>
      <c r="M851" s="937"/>
      <c r="N851" s="937"/>
      <c r="O851" s="937"/>
      <c r="P851" s="937"/>
      <c r="Q851" s="937"/>
      <c r="R851" s="937"/>
      <c r="S851" s="937"/>
      <c r="T851" s="937"/>
      <c r="U851" s="937"/>
      <c r="V851" s="937"/>
      <c r="W851" s="937"/>
      <c r="X851" s="937"/>
      <c r="Y851" s="937"/>
      <c r="Z851" s="937"/>
    </row>
    <row r="852" spans="1:26" ht="15.75" customHeight="1">
      <c r="A852" s="937"/>
      <c r="B852" s="937"/>
      <c r="C852" s="937"/>
      <c r="D852" s="937"/>
      <c r="E852" s="937"/>
      <c r="F852" s="937"/>
      <c r="G852" s="937"/>
      <c r="H852" s="937"/>
      <c r="I852" s="937"/>
      <c r="J852" s="937"/>
      <c r="K852" s="937"/>
      <c r="L852" s="937"/>
      <c r="M852" s="937"/>
      <c r="N852" s="937"/>
      <c r="O852" s="937"/>
      <c r="P852" s="937"/>
      <c r="Q852" s="937"/>
      <c r="R852" s="937"/>
      <c r="S852" s="937"/>
      <c r="T852" s="937"/>
      <c r="U852" s="937"/>
      <c r="V852" s="937"/>
      <c r="W852" s="937"/>
      <c r="X852" s="937"/>
      <c r="Y852" s="937"/>
      <c r="Z852" s="937"/>
    </row>
    <row r="853" spans="1:26" ht="15.75" customHeight="1">
      <c r="A853" s="937"/>
      <c r="B853" s="937"/>
      <c r="C853" s="937"/>
      <c r="D853" s="937"/>
      <c r="E853" s="937"/>
      <c r="F853" s="937"/>
      <c r="G853" s="937"/>
      <c r="H853" s="937"/>
      <c r="I853" s="937"/>
      <c r="J853" s="937"/>
      <c r="K853" s="937"/>
      <c r="L853" s="937"/>
      <c r="M853" s="937"/>
      <c r="N853" s="937"/>
      <c r="O853" s="937"/>
      <c r="P853" s="937"/>
      <c r="Q853" s="937"/>
      <c r="R853" s="937"/>
      <c r="S853" s="937"/>
      <c r="T853" s="937"/>
      <c r="U853" s="937"/>
      <c r="V853" s="937"/>
      <c r="W853" s="937"/>
      <c r="X853" s="937"/>
      <c r="Y853" s="937"/>
      <c r="Z853" s="937"/>
    </row>
    <row r="854" spans="1:26" ht="15.75" customHeight="1">
      <c r="A854" s="937"/>
      <c r="B854" s="937"/>
      <c r="C854" s="937"/>
      <c r="D854" s="937"/>
      <c r="E854" s="937"/>
      <c r="F854" s="937"/>
      <c r="G854" s="937"/>
      <c r="H854" s="937"/>
      <c r="I854" s="937"/>
      <c r="J854" s="937"/>
      <c r="K854" s="937"/>
      <c r="L854" s="937"/>
      <c r="M854" s="937"/>
      <c r="N854" s="937"/>
      <c r="O854" s="937"/>
      <c r="P854" s="937"/>
      <c r="Q854" s="937"/>
      <c r="R854" s="937"/>
      <c r="S854" s="937"/>
      <c r="T854" s="937"/>
      <c r="U854" s="937"/>
      <c r="V854" s="937"/>
      <c r="W854" s="937"/>
      <c r="X854" s="937"/>
      <c r="Y854" s="937"/>
      <c r="Z854" s="937"/>
    </row>
    <row r="855" spans="1:26" ht="15.75" customHeight="1">
      <c r="A855" s="937"/>
      <c r="B855" s="937"/>
      <c r="C855" s="937"/>
      <c r="D855" s="937"/>
      <c r="E855" s="937"/>
      <c r="F855" s="937"/>
      <c r="G855" s="937"/>
      <c r="H855" s="937"/>
      <c r="I855" s="937"/>
      <c r="J855" s="937"/>
      <c r="K855" s="937"/>
      <c r="L855" s="937"/>
      <c r="M855" s="937"/>
      <c r="N855" s="937"/>
      <c r="O855" s="937"/>
      <c r="P855" s="937"/>
      <c r="Q855" s="937"/>
      <c r="R855" s="937"/>
      <c r="S855" s="937"/>
      <c r="T855" s="937"/>
      <c r="U855" s="937"/>
      <c r="V855" s="937"/>
      <c r="W855" s="937"/>
      <c r="X855" s="937"/>
      <c r="Y855" s="937"/>
      <c r="Z855" s="937"/>
    </row>
    <row r="856" spans="1:26" ht="15.75" customHeight="1">
      <c r="A856" s="937"/>
      <c r="B856" s="937"/>
      <c r="C856" s="937"/>
      <c r="D856" s="937"/>
      <c r="E856" s="937"/>
      <c r="F856" s="937"/>
      <c r="G856" s="937"/>
      <c r="H856" s="937"/>
      <c r="I856" s="937"/>
      <c r="J856" s="937"/>
      <c r="K856" s="937"/>
      <c r="L856" s="937"/>
      <c r="M856" s="937"/>
      <c r="N856" s="937"/>
      <c r="O856" s="937"/>
      <c r="P856" s="937"/>
      <c r="Q856" s="937"/>
      <c r="R856" s="937"/>
      <c r="S856" s="937"/>
      <c r="T856" s="937"/>
      <c r="U856" s="937"/>
      <c r="V856" s="937"/>
      <c r="W856" s="937"/>
      <c r="X856" s="937"/>
      <c r="Y856" s="937"/>
      <c r="Z856" s="937"/>
    </row>
    <row r="857" spans="1:26" ht="15.75" customHeight="1">
      <c r="A857" s="937"/>
      <c r="B857" s="937"/>
      <c r="C857" s="937"/>
      <c r="D857" s="937"/>
      <c r="E857" s="937"/>
      <c r="F857" s="937"/>
      <c r="G857" s="937"/>
      <c r="H857" s="937"/>
      <c r="I857" s="937"/>
      <c r="J857" s="937"/>
      <c r="K857" s="937"/>
      <c r="L857" s="937"/>
      <c r="M857" s="937"/>
      <c r="N857" s="937"/>
      <c r="O857" s="937"/>
      <c r="P857" s="937"/>
      <c r="Q857" s="937"/>
      <c r="R857" s="937"/>
      <c r="S857" s="937"/>
      <c r="T857" s="937"/>
      <c r="U857" s="937"/>
      <c r="V857" s="937"/>
      <c r="W857" s="937"/>
      <c r="X857" s="937"/>
      <c r="Y857" s="937"/>
      <c r="Z857" s="937"/>
    </row>
    <row r="858" spans="1:26" ht="15.75" customHeight="1">
      <c r="A858" s="937"/>
      <c r="B858" s="937"/>
      <c r="C858" s="937"/>
      <c r="D858" s="937"/>
      <c r="E858" s="937"/>
      <c r="F858" s="937"/>
      <c r="G858" s="937"/>
      <c r="H858" s="937"/>
      <c r="I858" s="937"/>
      <c r="J858" s="937"/>
      <c r="K858" s="937"/>
      <c r="L858" s="937"/>
      <c r="M858" s="937"/>
      <c r="N858" s="937"/>
      <c r="O858" s="937"/>
      <c r="P858" s="937"/>
      <c r="Q858" s="937"/>
      <c r="R858" s="937"/>
      <c r="S858" s="937"/>
      <c r="T858" s="937"/>
      <c r="U858" s="937"/>
      <c r="V858" s="937"/>
      <c r="W858" s="937"/>
      <c r="X858" s="937"/>
      <c r="Y858" s="937"/>
      <c r="Z858" s="937"/>
    </row>
    <row r="859" spans="1:26" ht="15.75" customHeight="1">
      <c r="A859" s="937"/>
      <c r="B859" s="937"/>
      <c r="C859" s="937"/>
      <c r="D859" s="937"/>
      <c r="E859" s="937"/>
      <c r="F859" s="937"/>
      <c r="G859" s="937"/>
      <c r="H859" s="937"/>
      <c r="I859" s="937"/>
      <c r="J859" s="937"/>
      <c r="K859" s="937"/>
      <c r="L859" s="937"/>
      <c r="M859" s="937"/>
      <c r="N859" s="937"/>
      <c r="O859" s="937"/>
      <c r="P859" s="937"/>
      <c r="Q859" s="937"/>
      <c r="R859" s="937"/>
      <c r="S859" s="937"/>
      <c r="T859" s="937"/>
      <c r="U859" s="937"/>
      <c r="V859" s="937"/>
      <c r="W859" s="937"/>
      <c r="X859" s="937"/>
      <c r="Y859" s="937"/>
      <c r="Z859" s="937"/>
    </row>
    <row r="860" spans="1:26" ht="15.75" customHeight="1">
      <c r="A860" s="937"/>
      <c r="B860" s="937"/>
      <c r="C860" s="937"/>
      <c r="D860" s="937"/>
      <c r="E860" s="937"/>
      <c r="F860" s="937"/>
      <c r="G860" s="937"/>
      <c r="H860" s="937"/>
      <c r="I860" s="937"/>
      <c r="J860" s="937"/>
      <c r="K860" s="937"/>
      <c r="L860" s="937"/>
      <c r="M860" s="937"/>
      <c r="N860" s="937"/>
      <c r="O860" s="937"/>
      <c r="P860" s="937"/>
      <c r="Q860" s="937"/>
      <c r="R860" s="937"/>
      <c r="S860" s="937"/>
      <c r="T860" s="937"/>
      <c r="U860" s="937"/>
      <c r="V860" s="937"/>
      <c r="W860" s="937"/>
      <c r="X860" s="937"/>
      <c r="Y860" s="937"/>
      <c r="Z860" s="937"/>
    </row>
    <row r="861" spans="1:26" ht="15.75" customHeight="1">
      <c r="A861" s="937"/>
      <c r="B861" s="937"/>
      <c r="C861" s="937"/>
      <c r="D861" s="937"/>
      <c r="E861" s="937"/>
      <c r="F861" s="937"/>
      <c r="G861" s="937"/>
      <c r="H861" s="937"/>
      <c r="I861" s="937"/>
      <c r="J861" s="937"/>
      <c r="K861" s="937"/>
      <c r="L861" s="937"/>
      <c r="M861" s="937"/>
      <c r="N861" s="937"/>
      <c r="O861" s="937"/>
      <c r="P861" s="937"/>
      <c r="Q861" s="937"/>
      <c r="R861" s="937"/>
      <c r="S861" s="937"/>
      <c r="T861" s="937"/>
      <c r="U861" s="937"/>
      <c r="V861" s="937"/>
      <c r="W861" s="937"/>
      <c r="X861" s="937"/>
      <c r="Y861" s="937"/>
      <c r="Z861" s="937"/>
    </row>
    <row r="862" spans="1:26" ht="15.75" customHeight="1">
      <c r="A862" s="937"/>
      <c r="B862" s="937"/>
      <c r="C862" s="937"/>
      <c r="D862" s="937"/>
      <c r="E862" s="937"/>
      <c r="F862" s="937"/>
      <c r="G862" s="937"/>
      <c r="H862" s="937"/>
      <c r="I862" s="937"/>
      <c r="J862" s="937"/>
      <c r="K862" s="937"/>
      <c r="L862" s="937"/>
      <c r="M862" s="937"/>
      <c r="N862" s="937"/>
      <c r="O862" s="937"/>
      <c r="P862" s="937"/>
      <c r="Q862" s="937"/>
      <c r="R862" s="937"/>
      <c r="S862" s="937"/>
      <c r="T862" s="937"/>
      <c r="U862" s="937"/>
      <c r="V862" s="937"/>
      <c r="W862" s="937"/>
      <c r="X862" s="937"/>
      <c r="Y862" s="937"/>
      <c r="Z862" s="937"/>
    </row>
    <row r="863" spans="1:26" ht="15.75" customHeight="1">
      <c r="A863" s="937"/>
      <c r="B863" s="937"/>
      <c r="C863" s="937"/>
      <c r="D863" s="937"/>
      <c r="E863" s="937"/>
      <c r="F863" s="937"/>
      <c r="G863" s="937"/>
      <c r="H863" s="937"/>
      <c r="I863" s="937"/>
      <c r="J863" s="937"/>
      <c r="K863" s="937"/>
      <c r="L863" s="937"/>
      <c r="M863" s="937"/>
      <c r="N863" s="937"/>
      <c r="O863" s="937"/>
      <c r="P863" s="937"/>
      <c r="Q863" s="937"/>
      <c r="R863" s="937"/>
      <c r="S863" s="937"/>
      <c r="T863" s="937"/>
      <c r="U863" s="937"/>
      <c r="V863" s="937"/>
      <c r="W863" s="937"/>
      <c r="X863" s="937"/>
      <c r="Y863" s="937"/>
      <c r="Z863" s="937"/>
    </row>
    <row r="864" spans="1:26" ht="15.75" customHeight="1">
      <c r="A864" s="937"/>
      <c r="B864" s="937"/>
      <c r="C864" s="937"/>
      <c r="D864" s="937"/>
      <c r="E864" s="937"/>
      <c r="F864" s="937"/>
      <c r="G864" s="937"/>
      <c r="H864" s="937"/>
      <c r="I864" s="937"/>
      <c r="J864" s="937"/>
      <c r="K864" s="937"/>
      <c r="L864" s="937"/>
      <c r="M864" s="937"/>
      <c r="N864" s="937"/>
      <c r="O864" s="937"/>
      <c r="P864" s="937"/>
      <c r="Q864" s="937"/>
      <c r="R864" s="937"/>
      <c r="S864" s="937"/>
      <c r="T864" s="937"/>
      <c r="U864" s="937"/>
      <c r="V864" s="937"/>
      <c r="W864" s="937"/>
      <c r="X864" s="937"/>
      <c r="Y864" s="937"/>
      <c r="Z864" s="937"/>
    </row>
    <row r="865" spans="1:26" ht="15.75" customHeight="1">
      <c r="A865" s="937"/>
      <c r="B865" s="937"/>
      <c r="C865" s="937"/>
      <c r="D865" s="937"/>
      <c r="E865" s="937"/>
      <c r="F865" s="937"/>
      <c r="G865" s="937"/>
      <c r="H865" s="937"/>
      <c r="I865" s="937"/>
      <c r="J865" s="937"/>
      <c r="K865" s="937"/>
      <c r="L865" s="937"/>
      <c r="M865" s="937"/>
      <c r="N865" s="937"/>
      <c r="O865" s="937"/>
      <c r="P865" s="937"/>
      <c r="Q865" s="937"/>
      <c r="R865" s="937"/>
      <c r="S865" s="937"/>
      <c r="T865" s="937"/>
      <c r="U865" s="937"/>
      <c r="V865" s="937"/>
      <c r="W865" s="937"/>
      <c r="X865" s="937"/>
      <c r="Y865" s="937"/>
      <c r="Z865" s="937"/>
    </row>
    <row r="866" spans="1:26" ht="15.75" customHeight="1">
      <c r="A866" s="937"/>
      <c r="B866" s="937"/>
      <c r="C866" s="937"/>
      <c r="D866" s="937"/>
      <c r="E866" s="937"/>
      <c r="F866" s="937"/>
      <c r="G866" s="937"/>
      <c r="H866" s="937"/>
      <c r="I866" s="937"/>
      <c r="J866" s="937"/>
      <c r="K866" s="937"/>
      <c r="L866" s="937"/>
      <c r="M866" s="937"/>
      <c r="N866" s="937"/>
      <c r="O866" s="937"/>
      <c r="P866" s="937"/>
      <c r="Q866" s="937"/>
      <c r="R866" s="937"/>
      <c r="S866" s="937"/>
      <c r="T866" s="937"/>
      <c r="U866" s="937"/>
      <c r="V866" s="937"/>
      <c r="W866" s="937"/>
      <c r="X866" s="937"/>
      <c r="Y866" s="937"/>
      <c r="Z866" s="937"/>
    </row>
    <row r="867" spans="1:26" ht="15.75" customHeight="1">
      <c r="A867" s="937"/>
      <c r="B867" s="937"/>
      <c r="C867" s="937"/>
      <c r="D867" s="937"/>
      <c r="E867" s="937"/>
      <c r="F867" s="937"/>
      <c r="G867" s="937"/>
      <c r="H867" s="937"/>
      <c r="I867" s="937"/>
      <c r="J867" s="937"/>
      <c r="K867" s="937"/>
      <c r="L867" s="937"/>
      <c r="M867" s="937"/>
      <c r="N867" s="937"/>
      <c r="O867" s="937"/>
      <c r="P867" s="937"/>
      <c r="Q867" s="937"/>
      <c r="R867" s="937"/>
      <c r="S867" s="937"/>
      <c r="T867" s="937"/>
      <c r="U867" s="937"/>
      <c r="V867" s="937"/>
      <c r="W867" s="937"/>
      <c r="X867" s="937"/>
      <c r="Y867" s="937"/>
      <c r="Z867" s="937"/>
    </row>
    <row r="868" spans="1:26" ht="15.75" customHeight="1">
      <c r="A868" s="937"/>
      <c r="B868" s="937"/>
      <c r="C868" s="937"/>
      <c r="D868" s="937"/>
      <c r="E868" s="937"/>
      <c r="F868" s="937"/>
      <c r="G868" s="937"/>
      <c r="H868" s="937"/>
      <c r="I868" s="937"/>
      <c r="J868" s="937"/>
      <c r="K868" s="937"/>
      <c r="L868" s="937"/>
      <c r="M868" s="937"/>
      <c r="N868" s="937"/>
      <c r="O868" s="937"/>
      <c r="P868" s="937"/>
      <c r="Q868" s="937"/>
      <c r="R868" s="937"/>
      <c r="S868" s="937"/>
      <c r="T868" s="937"/>
      <c r="U868" s="937"/>
      <c r="V868" s="937"/>
      <c r="W868" s="937"/>
      <c r="X868" s="937"/>
      <c r="Y868" s="937"/>
      <c r="Z868" s="937"/>
    </row>
    <row r="869" spans="1:26" ht="15.75" customHeight="1">
      <c r="A869" s="937"/>
      <c r="B869" s="937"/>
      <c r="C869" s="937"/>
      <c r="D869" s="937"/>
      <c r="E869" s="937"/>
      <c r="F869" s="937"/>
      <c r="G869" s="937"/>
      <c r="H869" s="937"/>
      <c r="I869" s="937"/>
      <c r="J869" s="937"/>
      <c r="K869" s="937"/>
      <c r="L869" s="937"/>
      <c r="M869" s="937"/>
      <c r="N869" s="937"/>
      <c r="O869" s="937"/>
      <c r="P869" s="937"/>
      <c r="Q869" s="937"/>
      <c r="R869" s="937"/>
      <c r="S869" s="937"/>
      <c r="T869" s="937"/>
      <c r="U869" s="937"/>
      <c r="V869" s="937"/>
      <c r="W869" s="937"/>
      <c r="X869" s="937"/>
      <c r="Y869" s="937"/>
      <c r="Z869" s="937"/>
    </row>
    <row r="870" spans="1:26" ht="15.75" customHeight="1">
      <c r="A870" s="937"/>
      <c r="B870" s="937"/>
      <c r="C870" s="937"/>
      <c r="D870" s="937"/>
      <c r="E870" s="937"/>
      <c r="F870" s="937"/>
      <c r="G870" s="937"/>
      <c r="H870" s="937"/>
      <c r="I870" s="937"/>
      <c r="J870" s="937"/>
      <c r="K870" s="937"/>
      <c r="L870" s="937"/>
      <c r="M870" s="937"/>
      <c r="N870" s="937"/>
      <c r="O870" s="937"/>
      <c r="P870" s="937"/>
      <c r="Q870" s="937"/>
      <c r="R870" s="937"/>
      <c r="S870" s="937"/>
      <c r="T870" s="937"/>
      <c r="U870" s="937"/>
      <c r="V870" s="937"/>
      <c r="W870" s="937"/>
      <c r="X870" s="937"/>
      <c r="Y870" s="937"/>
      <c r="Z870" s="937"/>
    </row>
    <row r="871" spans="1:26" ht="15.75" customHeight="1">
      <c r="A871" s="937"/>
      <c r="B871" s="937"/>
      <c r="C871" s="937"/>
      <c r="D871" s="937"/>
      <c r="E871" s="937"/>
      <c r="F871" s="937"/>
      <c r="G871" s="937"/>
      <c r="H871" s="937"/>
      <c r="I871" s="937"/>
      <c r="J871" s="937"/>
      <c r="K871" s="937"/>
      <c r="L871" s="937"/>
      <c r="M871" s="937"/>
      <c r="N871" s="937"/>
      <c r="O871" s="937"/>
      <c r="P871" s="937"/>
      <c r="Q871" s="937"/>
      <c r="R871" s="937"/>
      <c r="S871" s="937"/>
      <c r="T871" s="937"/>
      <c r="U871" s="937"/>
      <c r="V871" s="937"/>
      <c r="W871" s="937"/>
      <c r="X871" s="937"/>
      <c r="Y871" s="937"/>
      <c r="Z871" s="937"/>
    </row>
    <row r="872" spans="1:26" ht="15.75" customHeight="1">
      <c r="A872" s="937"/>
      <c r="B872" s="937"/>
      <c r="C872" s="937"/>
      <c r="D872" s="937"/>
      <c r="E872" s="937"/>
      <c r="F872" s="937"/>
      <c r="G872" s="937"/>
      <c r="H872" s="937"/>
      <c r="I872" s="937"/>
      <c r="J872" s="937"/>
      <c r="K872" s="937"/>
      <c r="L872" s="937"/>
      <c r="M872" s="937"/>
      <c r="N872" s="937"/>
      <c r="O872" s="937"/>
      <c r="P872" s="937"/>
      <c r="Q872" s="937"/>
      <c r="R872" s="937"/>
      <c r="S872" s="937"/>
      <c r="T872" s="937"/>
      <c r="U872" s="937"/>
      <c r="V872" s="937"/>
      <c r="W872" s="937"/>
      <c r="X872" s="937"/>
      <c r="Y872" s="937"/>
      <c r="Z872" s="937"/>
    </row>
    <row r="873" spans="1:26" ht="15.75" customHeight="1">
      <c r="A873" s="937"/>
      <c r="B873" s="937"/>
      <c r="C873" s="937"/>
      <c r="D873" s="937"/>
      <c r="E873" s="937"/>
      <c r="F873" s="937"/>
      <c r="G873" s="937"/>
      <c r="H873" s="937"/>
      <c r="I873" s="937"/>
      <c r="J873" s="937"/>
      <c r="K873" s="937"/>
      <c r="L873" s="937"/>
      <c r="M873" s="937"/>
      <c r="N873" s="937"/>
      <c r="O873" s="937"/>
      <c r="P873" s="937"/>
      <c r="Q873" s="937"/>
      <c r="R873" s="937"/>
      <c r="S873" s="937"/>
      <c r="T873" s="937"/>
      <c r="U873" s="937"/>
      <c r="V873" s="937"/>
      <c r="W873" s="937"/>
      <c r="X873" s="937"/>
      <c r="Y873" s="937"/>
      <c r="Z873" s="937"/>
    </row>
    <row r="874" spans="1:26" ht="15.75" customHeight="1">
      <c r="A874" s="937"/>
      <c r="B874" s="937"/>
      <c r="C874" s="937"/>
      <c r="D874" s="937"/>
      <c r="E874" s="937"/>
      <c r="F874" s="937"/>
      <c r="G874" s="937"/>
      <c r="H874" s="937"/>
      <c r="I874" s="937"/>
      <c r="J874" s="937"/>
      <c r="K874" s="937"/>
      <c r="L874" s="937"/>
      <c r="M874" s="937"/>
      <c r="N874" s="937"/>
      <c r="O874" s="937"/>
      <c r="P874" s="937"/>
      <c r="Q874" s="937"/>
      <c r="R874" s="937"/>
      <c r="S874" s="937"/>
      <c r="T874" s="937"/>
      <c r="U874" s="937"/>
      <c r="V874" s="937"/>
      <c r="W874" s="937"/>
      <c r="X874" s="937"/>
      <c r="Y874" s="937"/>
      <c r="Z874" s="937"/>
    </row>
    <row r="875" spans="1:26" ht="15.75" customHeight="1">
      <c r="A875" s="937"/>
      <c r="B875" s="937"/>
      <c r="C875" s="937"/>
      <c r="D875" s="937"/>
      <c r="E875" s="937"/>
      <c r="F875" s="937"/>
      <c r="G875" s="937"/>
      <c r="H875" s="937"/>
      <c r="I875" s="937"/>
      <c r="J875" s="937"/>
      <c r="K875" s="937"/>
      <c r="L875" s="937"/>
      <c r="M875" s="937"/>
      <c r="N875" s="937"/>
      <c r="O875" s="937"/>
      <c r="P875" s="937"/>
      <c r="Q875" s="937"/>
      <c r="R875" s="937"/>
      <c r="S875" s="937"/>
      <c r="T875" s="937"/>
      <c r="U875" s="937"/>
      <c r="V875" s="937"/>
      <c r="W875" s="937"/>
      <c r="X875" s="937"/>
      <c r="Y875" s="937"/>
      <c r="Z875" s="937"/>
    </row>
    <row r="876" spans="1:26" ht="15.75" customHeight="1">
      <c r="A876" s="937"/>
      <c r="B876" s="937"/>
      <c r="C876" s="937"/>
      <c r="D876" s="937"/>
      <c r="E876" s="937"/>
      <c r="F876" s="937"/>
      <c r="G876" s="937"/>
      <c r="H876" s="937"/>
      <c r="I876" s="937"/>
      <c r="J876" s="937"/>
      <c r="K876" s="937"/>
      <c r="L876" s="937"/>
      <c r="M876" s="937"/>
      <c r="N876" s="937"/>
      <c r="O876" s="937"/>
      <c r="P876" s="937"/>
      <c r="Q876" s="937"/>
      <c r="R876" s="937"/>
      <c r="S876" s="937"/>
      <c r="T876" s="937"/>
      <c r="U876" s="937"/>
      <c r="V876" s="937"/>
      <c r="W876" s="937"/>
      <c r="X876" s="937"/>
      <c r="Y876" s="937"/>
      <c r="Z876" s="937"/>
    </row>
    <row r="877" spans="1:26" ht="15.75" customHeight="1">
      <c r="A877" s="937"/>
      <c r="B877" s="937"/>
      <c r="C877" s="937"/>
      <c r="D877" s="937"/>
      <c r="E877" s="937"/>
      <c r="F877" s="937"/>
      <c r="G877" s="937"/>
      <c r="H877" s="937"/>
      <c r="I877" s="937"/>
      <c r="J877" s="937"/>
      <c r="K877" s="937"/>
      <c r="L877" s="937"/>
      <c r="M877" s="937"/>
      <c r="N877" s="937"/>
      <c r="O877" s="937"/>
      <c r="P877" s="937"/>
      <c r="Q877" s="937"/>
      <c r="R877" s="937"/>
      <c r="S877" s="937"/>
      <c r="T877" s="937"/>
      <c r="U877" s="937"/>
      <c r="V877" s="937"/>
      <c r="W877" s="937"/>
      <c r="X877" s="937"/>
      <c r="Y877" s="937"/>
      <c r="Z877" s="937"/>
    </row>
    <row r="878" spans="1:26" ht="15.75" customHeight="1">
      <c r="A878" s="937"/>
      <c r="B878" s="937"/>
      <c r="C878" s="937"/>
      <c r="D878" s="937"/>
      <c r="E878" s="937"/>
      <c r="F878" s="937"/>
      <c r="G878" s="937"/>
      <c r="H878" s="937"/>
      <c r="I878" s="937"/>
      <c r="J878" s="937"/>
      <c r="K878" s="937"/>
      <c r="L878" s="937"/>
      <c r="M878" s="937"/>
      <c r="N878" s="937"/>
      <c r="O878" s="937"/>
      <c r="P878" s="937"/>
      <c r="Q878" s="937"/>
      <c r="R878" s="937"/>
      <c r="S878" s="937"/>
      <c r="T878" s="937"/>
      <c r="U878" s="937"/>
      <c r="V878" s="937"/>
      <c r="W878" s="937"/>
      <c r="X878" s="937"/>
      <c r="Y878" s="937"/>
      <c r="Z878" s="937"/>
    </row>
    <row r="879" spans="1:26" ht="15.75" customHeight="1">
      <c r="A879" s="937"/>
      <c r="B879" s="937"/>
      <c r="C879" s="937"/>
      <c r="D879" s="937"/>
      <c r="E879" s="937"/>
      <c r="F879" s="937"/>
      <c r="G879" s="937"/>
      <c r="H879" s="937"/>
      <c r="I879" s="937"/>
      <c r="J879" s="937"/>
      <c r="K879" s="937"/>
      <c r="L879" s="937"/>
      <c r="M879" s="937"/>
      <c r="N879" s="937"/>
      <c r="O879" s="937"/>
      <c r="P879" s="937"/>
      <c r="Q879" s="937"/>
      <c r="R879" s="937"/>
      <c r="S879" s="937"/>
      <c r="T879" s="937"/>
      <c r="U879" s="937"/>
      <c r="V879" s="937"/>
      <c r="W879" s="937"/>
      <c r="X879" s="937"/>
      <c r="Y879" s="937"/>
      <c r="Z879" s="937"/>
    </row>
    <row r="880" spans="1:26" ht="15.75" customHeight="1">
      <c r="A880" s="937"/>
      <c r="B880" s="937"/>
      <c r="C880" s="937"/>
      <c r="D880" s="937"/>
      <c r="E880" s="937"/>
      <c r="F880" s="937"/>
      <c r="G880" s="937"/>
      <c r="H880" s="937"/>
      <c r="I880" s="937"/>
      <c r="J880" s="937"/>
      <c r="K880" s="937"/>
      <c r="L880" s="937"/>
      <c r="M880" s="937"/>
      <c r="N880" s="937"/>
      <c r="O880" s="937"/>
      <c r="P880" s="937"/>
      <c r="Q880" s="937"/>
      <c r="R880" s="937"/>
      <c r="S880" s="937"/>
      <c r="T880" s="937"/>
      <c r="U880" s="937"/>
      <c r="V880" s="937"/>
      <c r="W880" s="937"/>
      <c r="X880" s="937"/>
      <c r="Y880" s="937"/>
      <c r="Z880" s="937"/>
    </row>
    <row r="881" spans="1:26" ht="15.75" customHeight="1">
      <c r="A881" s="937"/>
      <c r="B881" s="937"/>
      <c r="C881" s="937"/>
      <c r="D881" s="937"/>
      <c r="E881" s="937"/>
      <c r="F881" s="937"/>
      <c r="G881" s="937"/>
      <c r="H881" s="937"/>
      <c r="I881" s="937"/>
      <c r="J881" s="937"/>
      <c r="K881" s="937"/>
      <c r="L881" s="937"/>
      <c r="M881" s="937"/>
      <c r="N881" s="937"/>
      <c r="O881" s="937"/>
      <c r="P881" s="937"/>
      <c r="Q881" s="937"/>
      <c r="R881" s="937"/>
      <c r="S881" s="937"/>
      <c r="T881" s="937"/>
      <c r="U881" s="937"/>
      <c r="V881" s="937"/>
      <c r="W881" s="937"/>
      <c r="X881" s="937"/>
      <c r="Y881" s="937"/>
      <c r="Z881" s="937"/>
    </row>
    <row r="882" spans="1:26" ht="15.75" customHeight="1">
      <c r="A882" s="937"/>
      <c r="B882" s="937"/>
      <c r="C882" s="937"/>
      <c r="D882" s="937"/>
      <c r="E882" s="937"/>
      <c r="F882" s="937"/>
      <c r="G882" s="937"/>
      <c r="H882" s="937"/>
      <c r="I882" s="937"/>
      <c r="J882" s="937"/>
      <c r="K882" s="937"/>
      <c r="L882" s="937"/>
      <c r="M882" s="937"/>
      <c r="N882" s="937"/>
      <c r="O882" s="937"/>
      <c r="P882" s="937"/>
      <c r="Q882" s="937"/>
      <c r="R882" s="937"/>
      <c r="S882" s="937"/>
      <c r="T882" s="937"/>
      <c r="U882" s="937"/>
      <c r="V882" s="937"/>
      <c r="W882" s="937"/>
      <c r="X882" s="937"/>
      <c r="Y882" s="937"/>
      <c r="Z882" s="937"/>
    </row>
    <row r="883" spans="1:26" ht="15.75" customHeight="1">
      <c r="A883" s="937"/>
      <c r="B883" s="937"/>
      <c r="C883" s="937"/>
      <c r="D883" s="937"/>
      <c r="E883" s="937"/>
      <c r="F883" s="937"/>
      <c r="G883" s="937"/>
      <c r="H883" s="937"/>
      <c r="I883" s="937"/>
      <c r="J883" s="937"/>
      <c r="K883" s="937"/>
      <c r="L883" s="937"/>
      <c r="M883" s="937"/>
      <c r="N883" s="937"/>
      <c r="O883" s="937"/>
      <c r="P883" s="937"/>
      <c r="Q883" s="937"/>
      <c r="R883" s="937"/>
      <c r="S883" s="937"/>
      <c r="T883" s="937"/>
      <c r="U883" s="937"/>
      <c r="V883" s="937"/>
      <c r="W883" s="937"/>
      <c r="X883" s="937"/>
      <c r="Y883" s="937"/>
      <c r="Z883" s="937"/>
    </row>
    <row r="884" spans="1:26" ht="15.75" customHeight="1">
      <c r="A884" s="937"/>
      <c r="B884" s="937"/>
      <c r="C884" s="937"/>
      <c r="D884" s="937"/>
      <c r="E884" s="937"/>
      <c r="F884" s="937"/>
      <c r="G884" s="937"/>
      <c r="H884" s="937"/>
      <c r="I884" s="937"/>
      <c r="J884" s="937"/>
      <c r="K884" s="937"/>
      <c r="L884" s="937"/>
      <c r="M884" s="937"/>
      <c r="N884" s="937"/>
      <c r="O884" s="937"/>
      <c r="P884" s="937"/>
      <c r="Q884" s="937"/>
      <c r="R884" s="937"/>
      <c r="S884" s="937"/>
      <c r="T884" s="937"/>
      <c r="U884" s="937"/>
      <c r="V884" s="937"/>
      <c r="W884" s="937"/>
      <c r="X884" s="937"/>
      <c r="Y884" s="937"/>
      <c r="Z884" s="937"/>
    </row>
    <row r="885" spans="1:26" ht="15.75" customHeight="1">
      <c r="A885" s="937"/>
      <c r="B885" s="937"/>
      <c r="C885" s="937"/>
      <c r="D885" s="937"/>
      <c r="E885" s="937"/>
      <c r="F885" s="937"/>
      <c r="G885" s="937"/>
      <c r="H885" s="937"/>
      <c r="I885" s="937"/>
      <c r="J885" s="937"/>
      <c r="K885" s="937"/>
      <c r="L885" s="937"/>
      <c r="M885" s="937"/>
      <c r="N885" s="937"/>
      <c r="O885" s="937"/>
      <c r="P885" s="937"/>
      <c r="Q885" s="937"/>
      <c r="R885" s="937"/>
      <c r="S885" s="937"/>
      <c r="T885" s="937"/>
      <c r="U885" s="937"/>
      <c r="V885" s="937"/>
      <c r="W885" s="937"/>
      <c r="X885" s="937"/>
      <c r="Y885" s="937"/>
      <c r="Z885" s="937"/>
    </row>
    <row r="886" spans="1:26" ht="15.75" customHeight="1">
      <c r="A886" s="937"/>
      <c r="B886" s="937"/>
      <c r="C886" s="937"/>
      <c r="D886" s="937"/>
      <c r="E886" s="937"/>
      <c r="F886" s="937"/>
      <c r="G886" s="937"/>
      <c r="H886" s="937"/>
      <c r="I886" s="937"/>
      <c r="J886" s="937"/>
      <c r="K886" s="937"/>
      <c r="L886" s="937"/>
      <c r="M886" s="937"/>
      <c r="N886" s="937"/>
      <c r="O886" s="937"/>
      <c r="P886" s="937"/>
      <c r="Q886" s="937"/>
      <c r="R886" s="937"/>
      <c r="S886" s="937"/>
      <c r="T886" s="937"/>
      <c r="U886" s="937"/>
      <c r="V886" s="937"/>
      <c r="W886" s="937"/>
      <c r="X886" s="937"/>
      <c r="Y886" s="937"/>
      <c r="Z886" s="937"/>
    </row>
    <row r="887" spans="1:26" ht="15.75" customHeight="1">
      <c r="A887" s="937"/>
      <c r="B887" s="937"/>
      <c r="C887" s="937"/>
      <c r="D887" s="937"/>
      <c r="E887" s="937"/>
      <c r="F887" s="937"/>
      <c r="G887" s="937"/>
      <c r="H887" s="937"/>
      <c r="I887" s="937"/>
      <c r="J887" s="937"/>
      <c r="K887" s="937"/>
      <c r="L887" s="937"/>
      <c r="M887" s="937"/>
      <c r="N887" s="937"/>
      <c r="O887" s="937"/>
      <c r="P887" s="937"/>
      <c r="Q887" s="937"/>
      <c r="R887" s="937"/>
      <c r="S887" s="937"/>
      <c r="T887" s="937"/>
      <c r="U887" s="937"/>
      <c r="V887" s="937"/>
      <c r="W887" s="937"/>
      <c r="X887" s="937"/>
      <c r="Y887" s="937"/>
      <c r="Z887" s="937"/>
    </row>
    <row r="888" spans="1:26" ht="15.75" customHeight="1">
      <c r="A888" s="937"/>
      <c r="B888" s="937"/>
      <c r="C888" s="937"/>
      <c r="D888" s="937"/>
      <c r="E888" s="937"/>
      <c r="F888" s="937"/>
      <c r="G888" s="937"/>
      <c r="H888" s="937"/>
      <c r="I888" s="937"/>
      <c r="J888" s="937"/>
      <c r="K888" s="937"/>
      <c r="L888" s="937"/>
      <c r="M888" s="937"/>
      <c r="N888" s="937"/>
      <c r="O888" s="937"/>
      <c r="P888" s="937"/>
      <c r="Q888" s="937"/>
      <c r="R888" s="937"/>
      <c r="S888" s="937"/>
      <c r="T888" s="937"/>
      <c r="U888" s="937"/>
      <c r="V888" s="937"/>
      <c r="W888" s="937"/>
      <c r="X888" s="937"/>
      <c r="Y888" s="937"/>
      <c r="Z888" s="937"/>
    </row>
    <row r="889" spans="1:26" ht="15.75" customHeight="1">
      <c r="A889" s="937"/>
      <c r="B889" s="937"/>
      <c r="C889" s="937"/>
      <c r="D889" s="937"/>
      <c r="E889" s="937"/>
      <c r="F889" s="937"/>
      <c r="G889" s="937"/>
      <c r="H889" s="937"/>
      <c r="I889" s="937"/>
      <c r="J889" s="937"/>
      <c r="K889" s="937"/>
      <c r="L889" s="937"/>
      <c r="M889" s="937"/>
      <c r="N889" s="937"/>
      <c r="O889" s="937"/>
      <c r="P889" s="937"/>
      <c r="Q889" s="937"/>
      <c r="R889" s="937"/>
      <c r="S889" s="937"/>
      <c r="T889" s="937"/>
      <c r="U889" s="937"/>
      <c r="V889" s="937"/>
      <c r="W889" s="937"/>
      <c r="X889" s="937"/>
      <c r="Y889" s="937"/>
      <c r="Z889" s="937"/>
    </row>
    <row r="890" spans="1:26" ht="15.75" customHeight="1">
      <c r="A890" s="937"/>
      <c r="B890" s="937"/>
      <c r="C890" s="937"/>
      <c r="D890" s="937"/>
      <c r="E890" s="937"/>
      <c r="F890" s="937"/>
      <c r="G890" s="937"/>
      <c r="H890" s="937"/>
      <c r="I890" s="937"/>
      <c r="J890" s="937"/>
      <c r="K890" s="937"/>
      <c r="L890" s="937"/>
      <c r="M890" s="937"/>
      <c r="N890" s="937"/>
      <c r="O890" s="937"/>
      <c r="P890" s="937"/>
      <c r="Q890" s="937"/>
      <c r="R890" s="937"/>
      <c r="S890" s="937"/>
      <c r="T890" s="937"/>
      <c r="U890" s="937"/>
      <c r="V890" s="937"/>
      <c r="W890" s="937"/>
      <c r="X890" s="937"/>
      <c r="Y890" s="937"/>
      <c r="Z890" s="937"/>
    </row>
    <row r="891" spans="1:26" ht="15.75" customHeight="1">
      <c r="A891" s="937"/>
      <c r="B891" s="937"/>
      <c r="C891" s="937"/>
      <c r="D891" s="937"/>
      <c r="E891" s="937"/>
      <c r="F891" s="937"/>
      <c r="G891" s="937"/>
      <c r="H891" s="937"/>
      <c r="I891" s="937"/>
      <c r="J891" s="937"/>
      <c r="K891" s="937"/>
      <c r="L891" s="937"/>
      <c r="M891" s="937"/>
      <c r="N891" s="937"/>
      <c r="O891" s="937"/>
      <c r="P891" s="937"/>
      <c r="Q891" s="937"/>
      <c r="R891" s="937"/>
      <c r="S891" s="937"/>
      <c r="T891" s="937"/>
      <c r="U891" s="937"/>
      <c r="V891" s="937"/>
      <c r="W891" s="937"/>
      <c r="X891" s="937"/>
      <c r="Y891" s="937"/>
      <c r="Z891" s="937"/>
    </row>
    <row r="892" spans="1:26" ht="15.75" customHeight="1">
      <c r="A892" s="937"/>
      <c r="B892" s="937"/>
      <c r="C892" s="937"/>
      <c r="D892" s="937"/>
      <c r="E892" s="937"/>
      <c r="F892" s="937"/>
      <c r="G892" s="937"/>
      <c r="H892" s="937"/>
      <c r="I892" s="937"/>
      <c r="J892" s="937"/>
      <c r="K892" s="937"/>
      <c r="L892" s="937"/>
      <c r="M892" s="937"/>
      <c r="N892" s="937"/>
      <c r="O892" s="937"/>
      <c r="P892" s="937"/>
      <c r="Q892" s="937"/>
      <c r="R892" s="937"/>
      <c r="S892" s="937"/>
      <c r="T892" s="937"/>
      <c r="U892" s="937"/>
      <c r="V892" s="937"/>
      <c r="W892" s="937"/>
      <c r="X892" s="937"/>
      <c r="Y892" s="937"/>
      <c r="Z892" s="937"/>
    </row>
    <row r="893" spans="1:26" ht="15.75" customHeight="1">
      <c r="A893" s="937"/>
      <c r="B893" s="937"/>
      <c r="C893" s="937"/>
      <c r="D893" s="937"/>
      <c r="E893" s="937"/>
      <c r="F893" s="937"/>
      <c r="G893" s="937"/>
      <c r="H893" s="937"/>
      <c r="I893" s="937"/>
      <c r="J893" s="937"/>
      <c r="K893" s="937"/>
      <c r="L893" s="937"/>
      <c r="M893" s="937"/>
      <c r="N893" s="937"/>
      <c r="O893" s="937"/>
      <c r="P893" s="937"/>
      <c r="Q893" s="937"/>
      <c r="R893" s="937"/>
      <c r="S893" s="937"/>
      <c r="T893" s="937"/>
      <c r="U893" s="937"/>
      <c r="V893" s="937"/>
      <c r="W893" s="937"/>
      <c r="X893" s="937"/>
      <c r="Y893" s="937"/>
      <c r="Z893" s="937"/>
    </row>
    <row r="894" spans="1:26" ht="15.75" customHeight="1">
      <c r="A894" s="937"/>
      <c r="B894" s="937"/>
      <c r="C894" s="937"/>
      <c r="D894" s="937"/>
      <c r="E894" s="937"/>
      <c r="F894" s="937"/>
      <c r="G894" s="937"/>
      <c r="H894" s="937"/>
      <c r="I894" s="937"/>
      <c r="J894" s="937"/>
      <c r="K894" s="937"/>
      <c r="L894" s="937"/>
      <c r="M894" s="937"/>
      <c r="N894" s="937"/>
      <c r="O894" s="937"/>
      <c r="P894" s="937"/>
      <c r="Q894" s="937"/>
      <c r="R894" s="937"/>
      <c r="S894" s="937"/>
      <c r="T894" s="937"/>
      <c r="U894" s="937"/>
      <c r="V894" s="937"/>
      <c r="W894" s="937"/>
      <c r="X894" s="937"/>
      <c r="Y894" s="937"/>
      <c r="Z894" s="937"/>
    </row>
    <row r="895" spans="1:26" ht="15.75" customHeight="1">
      <c r="A895" s="937"/>
      <c r="B895" s="937"/>
      <c r="C895" s="937"/>
      <c r="D895" s="937"/>
      <c r="E895" s="937"/>
      <c r="F895" s="937"/>
      <c r="G895" s="937"/>
      <c r="H895" s="937"/>
      <c r="I895" s="937"/>
      <c r="J895" s="937"/>
      <c r="K895" s="937"/>
      <c r="L895" s="937"/>
      <c r="M895" s="937"/>
      <c r="N895" s="937"/>
      <c r="O895" s="937"/>
      <c r="P895" s="937"/>
      <c r="Q895" s="937"/>
      <c r="R895" s="937"/>
      <c r="S895" s="937"/>
      <c r="T895" s="937"/>
      <c r="U895" s="937"/>
      <c r="V895" s="937"/>
      <c r="W895" s="937"/>
      <c r="X895" s="937"/>
      <c r="Y895" s="937"/>
      <c r="Z895" s="937"/>
    </row>
    <row r="896" spans="1:26" ht="15.75" customHeight="1">
      <c r="A896" s="937"/>
      <c r="B896" s="937"/>
      <c r="C896" s="937"/>
      <c r="D896" s="937"/>
      <c r="E896" s="937"/>
      <c r="F896" s="937"/>
      <c r="G896" s="937"/>
      <c r="H896" s="937"/>
      <c r="I896" s="937"/>
      <c r="J896" s="937"/>
      <c r="K896" s="937"/>
      <c r="L896" s="937"/>
      <c r="M896" s="937"/>
      <c r="N896" s="937"/>
      <c r="O896" s="937"/>
      <c r="P896" s="937"/>
      <c r="Q896" s="937"/>
      <c r="R896" s="937"/>
      <c r="S896" s="937"/>
      <c r="T896" s="937"/>
      <c r="U896" s="937"/>
      <c r="V896" s="937"/>
      <c r="W896" s="937"/>
      <c r="X896" s="937"/>
      <c r="Y896" s="937"/>
      <c r="Z896" s="937"/>
    </row>
    <row r="897" spans="1:26" ht="15.75" customHeight="1">
      <c r="A897" s="937"/>
      <c r="B897" s="937"/>
      <c r="C897" s="937"/>
      <c r="D897" s="937"/>
      <c r="E897" s="937"/>
      <c r="F897" s="937"/>
      <c r="G897" s="937"/>
      <c r="H897" s="937"/>
      <c r="I897" s="937"/>
      <c r="J897" s="937"/>
      <c r="K897" s="937"/>
      <c r="L897" s="937"/>
      <c r="M897" s="937"/>
      <c r="N897" s="937"/>
      <c r="O897" s="937"/>
      <c r="P897" s="937"/>
      <c r="Q897" s="937"/>
      <c r="R897" s="937"/>
      <c r="S897" s="937"/>
      <c r="T897" s="937"/>
      <c r="U897" s="937"/>
      <c r="V897" s="937"/>
      <c r="W897" s="937"/>
      <c r="X897" s="937"/>
      <c r="Y897" s="937"/>
      <c r="Z897" s="937"/>
    </row>
    <row r="898" spans="1:26" ht="15.75" customHeight="1">
      <c r="A898" s="937"/>
      <c r="B898" s="937"/>
      <c r="C898" s="937"/>
      <c r="D898" s="937"/>
      <c r="E898" s="937"/>
      <c r="F898" s="937"/>
      <c r="G898" s="937"/>
      <c r="H898" s="937"/>
      <c r="I898" s="937"/>
      <c r="J898" s="937"/>
      <c r="K898" s="937"/>
      <c r="L898" s="937"/>
      <c r="M898" s="937"/>
      <c r="N898" s="937"/>
      <c r="O898" s="937"/>
      <c r="P898" s="937"/>
      <c r="Q898" s="937"/>
      <c r="R898" s="937"/>
      <c r="S898" s="937"/>
      <c r="T898" s="937"/>
      <c r="U898" s="937"/>
      <c r="V898" s="937"/>
      <c r="W898" s="937"/>
      <c r="X898" s="937"/>
      <c r="Y898" s="937"/>
      <c r="Z898" s="937"/>
    </row>
    <row r="899" spans="1:26" ht="15.75" customHeight="1">
      <c r="A899" s="937"/>
      <c r="B899" s="937"/>
      <c r="C899" s="937"/>
      <c r="D899" s="937"/>
      <c r="E899" s="937"/>
      <c r="F899" s="937"/>
      <c r="G899" s="937"/>
      <c r="H899" s="937"/>
      <c r="I899" s="937"/>
      <c r="J899" s="937"/>
      <c r="K899" s="937"/>
      <c r="L899" s="937"/>
      <c r="M899" s="937"/>
      <c r="N899" s="937"/>
      <c r="O899" s="937"/>
      <c r="P899" s="937"/>
      <c r="Q899" s="937"/>
      <c r="R899" s="937"/>
      <c r="S899" s="937"/>
      <c r="T899" s="937"/>
      <c r="U899" s="937"/>
      <c r="V899" s="937"/>
      <c r="W899" s="937"/>
      <c r="X899" s="937"/>
      <c r="Y899" s="937"/>
      <c r="Z899" s="937"/>
    </row>
    <row r="900" spans="1:26" ht="15.75" customHeight="1">
      <c r="A900" s="937"/>
      <c r="B900" s="937"/>
      <c r="C900" s="937"/>
      <c r="D900" s="937"/>
      <c r="E900" s="937"/>
      <c r="F900" s="937"/>
      <c r="G900" s="937"/>
      <c r="H900" s="937"/>
      <c r="I900" s="937"/>
      <c r="J900" s="937"/>
      <c r="K900" s="937"/>
      <c r="L900" s="937"/>
      <c r="M900" s="937"/>
      <c r="N900" s="937"/>
      <c r="O900" s="937"/>
      <c r="P900" s="937"/>
      <c r="Q900" s="937"/>
      <c r="R900" s="937"/>
      <c r="S900" s="937"/>
      <c r="T900" s="937"/>
      <c r="U900" s="937"/>
      <c r="V900" s="937"/>
      <c r="W900" s="937"/>
      <c r="X900" s="937"/>
      <c r="Y900" s="937"/>
      <c r="Z900" s="937"/>
    </row>
    <row r="901" spans="1:26" ht="15.75" customHeight="1">
      <c r="A901" s="937"/>
      <c r="B901" s="937"/>
      <c r="C901" s="937"/>
      <c r="D901" s="937"/>
      <c r="E901" s="937"/>
      <c r="F901" s="937"/>
      <c r="G901" s="937"/>
      <c r="H901" s="937"/>
      <c r="I901" s="937"/>
      <c r="J901" s="937"/>
      <c r="K901" s="937"/>
      <c r="L901" s="937"/>
      <c r="M901" s="937"/>
      <c r="N901" s="937"/>
      <c r="O901" s="937"/>
      <c r="P901" s="937"/>
      <c r="Q901" s="937"/>
      <c r="R901" s="937"/>
      <c r="S901" s="937"/>
      <c r="T901" s="937"/>
      <c r="U901" s="937"/>
      <c r="V901" s="937"/>
      <c r="W901" s="937"/>
      <c r="X901" s="937"/>
      <c r="Y901" s="937"/>
      <c r="Z901" s="937"/>
    </row>
    <row r="902" spans="1:26" ht="15.75" customHeight="1">
      <c r="A902" s="937"/>
      <c r="B902" s="937"/>
      <c r="C902" s="937"/>
      <c r="D902" s="937"/>
      <c r="E902" s="937"/>
      <c r="F902" s="937"/>
      <c r="G902" s="937"/>
      <c r="H902" s="937"/>
      <c r="I902" s="937"/>
      <c r="J902" s="937"/>
      <c r="K902" s="937"/>
      <c r="L902" s="937"/>
      <c r="M902" s="937"/>
      <c r="N902" s="937"/>
      <c r="O902" s="937"/>
      <c r="P902" s="937"/>
      <c r="Q902" s="937"/>
      <c r="R902" s="937"/>
      <c r="S902" s="937"/>
      <c r="T902" s="937"/>
      <c r="U902" s="937"/>
      <c r="V902" s="937"/>
      <c r="W902" s="937"/>
      <c r="X902" s="937"/>
      <c r="Y902" s="937"/>
      <c r="Z902" s="937"/>
    </row>
    <row r="903" spans="1:26" ht="15.75" customHeight="1">
      <c r="A903" s="937"/>
      <c r="B903" s="937"/>
      <c r="C903" s="937"/>
      <c r="D903" s="937"/>
      <c r="E903" s="937"/>
      <c r="F903" s="937"/>
      <c r="G903" s="937"/>
      <c r="H903" s="937"/>
      <c r="I903" s="937"/>
      <c r="J903" s="937"/>
      <c r="K903" s="937"/>
      <c r="L903" s="937"/>
      <c r="M903" s="937"/>
      <c r="N903" s="937"/>
      <c r="O903" s="937"/>
      <c r="P903" s="937"/>
      <c r="Q903" s="937"/>
      <c r="R903" s="937"/>
      <c r="S903" s="937"/>
      <c r="T903" s="937"/>
      <c r="U903" s="937"/>
      <c r="V903" s="937"/>
      <c r="W903" s="937"/>
      <c r="X903" s="937"/>
      <c r="Y903" s="937"/>
      <c r="Z903" s="937"/>
    </row>
    <row r="904" spans="1:26" ht="15.75" customHeight="1">
      <c r="A904" s="937"/>
      <c r="B904" s="937"/>
      <c r="C904" s="937"/>
      <c r="D904" s="937"/>
      <c r="E904" s="937"/>
      <c r="F904" s="937"/>
      <c r="G904" s="937"/>
      <c r="H904" s="937"/>
      <c r="I904" s="937"/>
      <c r="J904" s="937"/>
      <c r="K904" s="937"/>
      <c r="L904" s="937"/>
      <c r="M904" s="937"/>
      <c r="N904" s="937"/>
      <c r="O904" s="937"/>
      <c r="P904" s="937"/>
      <c r="Q904" s="937"/>
      <c r="R904" s="937"/>
      <c r="S904" s="937"/>
      <c r="T904" s="937"/>
      <c r="U904" s="937"/>
      <c r="V904" s="937"/>
      <c r="W904" s="937"/>
      <c r="X904" s="937"/>
      <c r="Y904" s="937"/>
      <c r="Z904" s="937"/>
    </row>
    <row r="905" spans="1:26" ht="15.75" customHeight="1">
      <c r="A905" s="937"/>
      <c r="B905" s="937"/>
      <c r="C905" s="937"/>
      <c r="D905" s="937"/>
      <c r="E905" s="937"/>
      <c r="F905" s="937"/>
      <c r="G905" s="937"/>
      <c r="H905" s="937"/>
      <c r="I905" s="937"/>
      <c r="J905" s="937"/>
      <c r="K905" s="937"/>
      <c r="L905" s="937"/>
      <c r="M905" s="937"/>
      <c r="N905" s="937"/>
      <c r="O905" s="937"/>
      <c r="P905" s="937"/>
      <c r="Q905" s="937"/>
      <c r="R905" s="937"/>
      <c r="S905" s="937"/>
      <c r="T905" s="937"/>
      <c r="U905" s="937"/>
      <c r="V905" s="937"/>
      <c r="W905" s="937"/>
      <c r="X905" s="937"/>
      <c r="Y905" s="937"/>
      <c r="Z905" s="937"/>
    </row>
    <row r="906" spans="1:26" ht="15.75" customHeight="1">
      <c r="A906" s="937"/>
      <c r="B906" s="937"/>
      <c r="C906" s="937"/>
      <c r="D906" s="937"/>
      <c r="E906" s="937"/>
      <c r="F906" s="937"/>
      <c r="G906" s="937"/>
      <c r="H906" s="937"/>
      <c r="I906" s="937"/>
      <c r="J906" s="937"/>
      <c r="K906" s="937"/>
      <c r="L906" s="937"/>
      <c r="M906" s="937"/>
      <c r="N906" s="937"/>
      <c r="O906" s="937"/>
      <c r="P906" s="937"/>
      <c r="Q906" s="937"/>
      <c r="R906" s="937"/>
      <c r="S906" s="937"/>
      <c r="T906" s="937"/>
      <c r="U906" s="937"/>
      <c r="V906" s="937"/>
      <c r="W906" s="937"/>
      <c r="X906" s="937"/>
      <c r="Y906" s="937"/>
      <c r="Z906" s="937"/>
    </row>
    <row r="907" spans="1:26" ht="15.75" customHeight="1">
      <c r="A907" s="937"/>
      <c r="B907" s="937"/>
      <c r="C907" s="937"/>
      <c r="D907" s="937"/>
      <c r="E907" s="937"/>
      <c r="F907" s="937"/>
      <c r="G907" s="937"/>
      <c r="H907" s="937"/>
      <c r="I907" s="937"/>
      <c r="J907" s="937"/>
      <c r="K907" s="937"/>
      <c r="L907" s="937"/>
      <c r="M907" s="937"/>
      <c r="N907" s="937"/>
      <c r="O907" s="937"/>
      <c r="P907" s="937"/>
      <c r="Q907" s="937"/>
      <c r="R907" s="937"/>
      <c r="S907" s="937"/>
      <c r="T907" s="937"/>
      <c r="U907" s="937"/>
      <c r="V907" s="937"/>
      <c r="W907" s="937"/>
      <c r="X907" s="937"/>
      <c r="Y907" s="937"/>
      <c r="Z907" s="937"/>
    </row>
    <row r="908" spans="1:26" ht="15.75" customHeight="1">
      <c r="A908" s="937"/>
      <c r="B908" s="937"/>
      <c r="C908" s="937"/>
      <c r="D908" s="937"/>
      <c r="E908" s="937"/>
      <c r="F908" s="937"/>
      <c r="G908" s="937"/>
      <c r="H908" s="937"/>
      <c r="I908" s="937"/>
      <c r="J908" s="937"/>
      <c r="K908" s="937"/>
      <c r="L908" s="937"/>
      <c r="M908" s="937"/>
      <c r="N908" s="937"/>
      <c r="O908" s="937"/>
      <c r="P908" s="937"/>
      <c r="Q908" s="937"/>
      <c r="R908" s="937"/>
      <c r="S908" s="937"/>
      <c r="T908" s="937"/>
      <c r="U908" s="937"/>
      <c r="V908" s="937"/>
      <c r="W908" s="937"/>
      <c r="X908" s="937"/>
      <c r="Y908" s="937"/>
      <c r="Z908" s="937"/>
    </row>
    <row r="909" spans="1:26" ht="15.75" customHeight="1">
      <c r="A909" s="937"/>
      <c r="B909" s="937"/>
      <c r="C909" s="937"/>
      <c r="D909" s="937"/>
      <c r="E909" s="937"/>
      <c r="F909" s="937"/>
      <c r="G909" s="937"/>
      <c r="H909" s="937"/>
      <c r="I909" s="937"/>
      <c r="J909" s="937"/>
      <c r="K909" s="937"/>
      <c r="L909" s="937"/>
      <c r="M909" s="937"/>
      <c r="N909" s="937"/>
      <c r="O909" s="937"/>
      <c r="P909" s="937"/>
      <c r="Q909" s="937"/>
      <c r="R909" s="937"/>
      <c r="S909" s="937"/>
      <c r="T909" s="937"/>
      <c r="U909" s="937"/>
      <c r="V909" s="937"/>
      <c r="W909" s="937"/>
      <c r="X909" s="937"/>
      <c r="Y909" s="937"/>
      <c r="Z909" s="937"/>
    </row>
    <row r="910" spans="1:26" ht="15.75" customHeight="1">
      <c r="A910" s="937"/>
      <c r="B910" s="937"/>
      <c r="C910" s="937"/>
      <c r="D910" s="937"/>
      <c r="E910" s="937"/>
      <c r="F910" s="937"/>
      <c r="G910" s="937"/>
      <c r="H910" s="937"/>
      <c r="I910" s="937"/>
      <c r="J910" s="937"/>
      <c r="K910" s="937"/>
      <c r="L910" s="937"/>
      <c r="M910" s="937"/>
      <c r="N910" s="937"/>
      <c r="O910" s="937"/>
      <c r="P910" s="937"/>
      <c r="Q910" s="937"/>
      <c r="R910" s="937"/>
      <c r="S910" s="937"/>
      <c r="T910" s="937"/>
      <c r="U910" s="937"/>
      <c r="V910" s="937"/>
      <c r="W910" s="937"/>
      <c r="X910" s="937"/>
      <c r="Y910" s="937"/>
      <c r="Z910" s="937"/>
    </row>
    <row r="911" spans="1:26" ht="15.75" customHeight="1">
      <c r="A911" s="937"/>
      <c r="B911" s="937"/>
      <c r="C911" s="937"/>
      <c r="D911" s="937"/>
      <c r="E911" s="937"/>
      <c r="F911" s="937"/>
      <c r="G911" s="937"/>
      <c r="H911" s="937"/>
      <c r="I911" s="937"/>
      <c r="J911" s="937"/>
      <c r="K911" s="937"/>
      <c r="L911" s="937"/>
      <c r="M911" s="937"/>
      <c r="N911" s="937"/>
      <c r="O911" s="937"/>
      <c r="P911" s="937"/>
      <c r="Q911" s="937"/>
      <c r="R911" s="937"/>
      <c r="S911" s="937"/>
      <c r="T911" s="937"/>
      <c r="U911" s="937"/>
      <c r="V911" s="937"/>
      <c r="W911" s="937"/>
      <c r="X911" s="937"/>
      <c r="Y911" s="937"/>
      <c r="Z911" s="937"/>
    </row>
    <row r="912" spans="1:26" ht="15.75" customHeight="1">
      <c r="A912" s="937"/>
      <c r="B912" s="937"/>
      <c r="C912" s="937"/>
      <c r="D912" s="937"/>
      <c r="E912" s="937"/>
      <c r="F912" s="937"/>
      <c r="G912" s="937"/>
      <c r="H912" s="937"/>
      <c r="I912" s="937"/>
      <c r="J912" s="937"/>
      <c r="K912" s="937"/>
      <c r="L912" s="937"/>
      <c r="M912" s="937"/>
      <c r="N912" s="937"/>
      <c r="O912" s="937"/>
      <c r="P912" s="937"/>
      <c r="Q912" s="937"/>
      <c r="R912" s="937"/>
      <c r="S912" s="937"/>
      <c r="T912" s="937"/>
      <c r="U912" s="937"/>
      <c r="V912" s="937"/>
      <c r="W912" s="937"/>
      <c r="X912" s="937"/>
      <c r="Y912" s="937"/>
      <c r="Z912" s="937"/>
    </row>
    <row r="913" spans="1:26" ht="15.75" customHeight="1">
      <c r="A913" s="937"/>
      <c r="B913" s="937"/>
      <c r="C913" s="937"/>
      <c r="D913" s="937"/>
      <c r="E913" s="937"/>
      <c r="F913" s="937"/>
      <c r="G913" s="937"/>
      <c r="H913" s="937"/>
      <c r="I913" s="937"/>
      <c r="J913" s="937"/>
      <c r="K913" s="937"/>
      <c r="L913" s="937"/>
      <c r="M913" s="937"/>
      <c r="N913" s="937"/>
      <c r="O913" s="937"/>
      <c r="P913" s="937"/>
      <c r="Q913" s="937"/>
      <c r="R913" s="937"/>
      <c r="S913" s="937"/>
      <c r="T913" s="937"/>
      <c r="U913" s="937"/>
      <c r="V913" s="937"/>
      <c r="W913" s="937"/>
      <c r="X913" s="937"/>
      <c r="Y913" s="937"/>
      <c r="Z913" s="937"/>
    </row>
    <row r="914" spans="1:26" ht="15.75" customHeight="1">
      <c r="A914" s="937"/>
      <c r="B914" s="937"/>
      <c r="C914" s="937"/>
      <c r="D914" s="937"/>
      <c r="E914" s="937"/>
      <c r="F914" s="937"/>
      <c r="G914" s="937"/>
      <c r="H914" s="937"/>
      <c r="I914" s="937"/>
      <c r="J914" s="937"/>
      <c r="K914" s="937"/>
      <c r="L914" s="937"/>
      <c r="M914" s="937"/>
      <c r="N914" s="937"/>
      <c r="O914" s="937"/>
      <c r="P914" s="937"/>
      <c r="Q914" s="937"/>
      <c r="R914" s="937"/>
      <c r="S914" s="937"/>
      <c r="T914" s="937"/>
      <c r="U914" s="937"/>
      <c r="V914" s="937"/>
      <c r="W914" s="937"/>
      <c r="X914" s="937"/>
      <c r="Y914" s="937"/>
      <c r="Z914" s="937"/>
    </row>
    <row r="915" spans="1:26" ht="15.75" customHeight="1">
      <c r="A915" s="937"/>
      <c r="B915" s="937"/>
      <c r="C915" s="937"/>
      <c r="D915" s="937"/>
      <c r="E915" s="937"/>
      <c r="F915" s="937"/>
      <c r="G915" s="937"/>
      <c r="H915" s="937"/>
      <c r="I915" s="937"/>
      <c r="J915" s="937"/>
      <c r="K915" s="937"/>
      <c r="L915" s="937"/>
      <c r="M915" s="937"/>
      <c r="N915" s="937"/>
      <c r="O915" s="937"/>
      <c r="P915" s="937"/>
      <c r="Q915" s="937"/>
      <c r="R915" s="937"/>
      <c r="S915" s="937"/>
      <c r="T915" s="937"/>
      <c r="U915" s="937"/>
      <c r="V915" s="937"/>
      <c r="W915" s="937"/>
      <c r="X915" s="937"/>
      <c r="Y915" s="937"/>
      <c r="Z915" s="937"/>
    </row>
    <row r="916" spans="1:26" ht="15.75" customHeight="1">
      <c r="A916" s="937"/>
      <c r="B916" s="937"/>
      <c r="C916" s="937"/>
      <c r="D916" s="937"/>
      <c r="E916" s="937"/>
      <c r="F916" s="937"/>
      <c r="G916" s="937"/>
      <c r="H916" s="937"/>
      <c r="I916" s="937"/>
      <c r="J916" s="937"/>
      <c r="K916" s="937"/>
      <c r="L916" s="937"/>
      <c r="M916" s="937"/>
      <c r="N916" s="937"/>
      <c r="O916" s="937"/>
      <c r="P916" s="937"/>
      <c r="Q916" s="937"/>
      <c r="R916" s="937"/>
      <c r="S916" s="937"/>
      <c r="T916" s="937"/>
      <c r="U916" s="937"/>
      <c r="V916" s="937"/>
      <c r="W916" s="937"/>
      <c r="X916" s="937"/>
      <c r="Y916" s="937"/>
      <c r="Z916" s="937"/>
    </row>
    <row r="917" spans="1:26" ht="15.75" customHeight="1">
      <c r="A917" s="937"/>
      <c r="B917" s="937"/>
      <c r="C917" s="937"/>
      <c r="D917" s="937"/>
      <c r="E917" s="937"/>
      <c r="F917" s="937"/>
      <c r="G917" s="937"/>
      <c r="H917" s="937"/>
      <c r="I917" s="937"/>
      <c r="J917" s="937"/>
      <c r="K917" s="937"/>
      <c r="L917" s="937"/>
      <c r="M917" s="937"/>
      <c r="N917" s="937"/>
      <c r="O917" s="937"/>
      <c r="P917" s="937"/>
      <c r="Q917" s="937"/>
      <c r="R917" s="937"/>
      <c r="S917" s="937"/>
      <c r="T917" s="937"/>
      <c r="U917" s="937"/>
      <c r="V917" s="937"/>
      <c r="W917" s="937"/>
      <c r="X917" s="937"/>
      <c r="Y917" s="937"/>
      <c r="Z917" s="937"/>
    </row>
    <row r="918" spans="1:26" ht="15.75" customHeight="1">
      <c r="A918" s="937"/>
      <c r="B918" s="937"/>
      <c r="C918" s="937"/>
      <c r="D918" s="937"/>
      <c r="E918" s="937"/>
      <c r="F918" s="937"/>
      <c r="G918" s="937"/>
      <c r="H918" s="937"/>
      <c r="I918" s="937"/>
      <c r="J918" s="937"/>
      <c r="K918" s="937"/>
      <c r="L918" s="937"/>
      <c r="M918" s="937"/>
      <c r="N918" s="937"/>
      <c r="O918" s="937"/>
      <c r="P918" s="937"/>
      <c r="Q918" s="937"/>
      <c r="R918" s="937"/>
      <c r="S918" s="937"/>
      <c r="T918" s="937"/>
      <c r="U918" s="937"/>
      <c r="V918" s="937"/>
      <c r="W918" s="937"/>
      <c r="X918" s="937"/>
      <c r="Y918" s="937"/>
      <c r="Z918" s="937"/>
    </row>
    <row r="919" spans="1:26" ht="15.75" customHeight="1">
      <c r="A919" s="937"/>
      <c r="B919" s="937"/>
      <c r="C919" s="937"/>
      <c r="D919" s="937"/>
      <c r="E919" s="937"/>
      <c r="F919" s="937"/>
      <c r="G919" s="937"/>
      <c r="H919" s="937"/>
      <c r="I919" s="937"/>
      <c r="J919" s="937"/>
      <c r="K919" s="937"/>
      <c r="L919" s="937"/>
      <c r="M919" s="937"/>
      <c r="N919" s="937"/>
      <c r="O919" s="937"/>
      <c r="P919" s="937"/>
      <c r="Q919" s="937"/>
      <c r="R919" s="937"/>
      <c r="S919" s="937"/>
      <c r="T919" s="937"/>
      <c r="U919" s="937"/>
      <c r="V919" s="937"/>
      <c r="W919" s="937"/>
      <c r="X919" s="937"/>
      <c r="Y919" s="937"/>
      <c r="Z919" s="937"/>
    </row>
    <row r="920" spans="1:26" ht="15.75" customHeight="1">
      <c r="A920" s="937"/>
      <c r="B920" s="937"/>
      <c r="C920" s="937"/>
      <c r="D920" s="937"/>
      <c r="E920" s="937"/>
      <c r="F920" s="937"/>
      <c r="G920" s="937"/>
      <c r="H920" s="937"/>
      <c r="I920" s="937"/>
      <c r="J920" s="937"/>
      <c r="K920" s="937"/>
      <c r="L920" s="937"/>
      <c r="M920" s="937"/>
      <c r="N920" s="937"/>
      <c r="O920" s="937"/>
      <c r="P920" s="937"/>
      <c r="Q920" s="937"/>
      <c r="R920" s="937"/>
      <c r="S920" s="937"/>
      <c r="T920" s="937"/>
      <c r="U920" s="937"/>
      <c r="V920" s="937"/>
      <c r="W920" s="937"/>
      <c r="X920" s="937"/>
      <c r="Y920" s="937"/>
      <c r="Z920" s="937"/>
    </row>
    <row r="921" spans="1:26" ht="15.75" customHeight="1">
      <c r="A921" s="937"/>
      <c r="B921" s="937"/>
      <c r="C921" s="937"/>
      <c r="D921" s="937"/>
      <c r="E921" s="937"/>
      <c r="F921" s="937"/>
      <c r="G921" s="937"/>
      <c r="H921" s="937"/>
      <c r="I921" s="937"/>
      <c r="J921" s="937"/>
      <c r="K921" s="937"/>
      <c r="L921" s="937"/>
      <c r="M921" s="937"/>
      <c r="N921" s="937"/>
      <c r="O921" s="937"/>
      <c r="P921" s="937"/>
      <c r="Q921" s="937"/>
      <c r="R921" s="937"/>
      <c r="S921" s="937"/>
      <c r="T921" s="937"/>
      <c r="U921" s="937"/>
      <c r="V921" s="937"/>
      <c r="W921" s="937"/>
      <c r="X921" s="937"/>
      <c r="Y921" s="937"/>
      <c r="Z921" s="937"/>
    </row>
    <row r="922" spans="1:26" ht="15.75" customHeight="1">
      <c r="A922" s="937"/>
      <c r="B922" s="937"/>
      <c r="C922" s="937"/>
      <c r="D922" s="937"/>
      <c r="E922" s="937"/>
      <c r="F922" s="937"/>
      <c r="G922" s="937"/>
      <c r="H922" s="937"/>
      <c r="I922" s="937"/>
      <c r="J922" s="937"/>
      <c r="K922" s="937"/>
      <c r="L922" s="937"/>
      <c r="M922" s="937"/>
      <c r="N922" s="937"/>
      <c r="O922" s="937"/>
      <c r="P922" s="937"/>
      <c r="Q922" s="937"/>
      <c r="R922" s="937"/>
      <c r="S922" s="937"/>
      <c r="T922" s="937"/>
      <c r="U922" s="937"/>
      <c r="V922" s="937"/>
      <c r="W922" s="937"/>
      <c r="X922" s="937"/>
      <c r="Y922" s="937"/>
      <c r="Z922" s="937"/>
    </row>
    <row r="923" spans="1:26" ht="15.75" customHeight="1">
      <c r="A923" s="937"/>
      <c r="B923" s="937"/>
      <c r="C923" s="937"/>
      <c r="D923" s="937"/>
      <c r="E923" s="937"/>
      <c r="F923" s="937"/>
      <c r="G923" s="937"/>
      <c r="H923" s="937"/>
      <c r="I923" s="937"/>
      <c r="J923" s="937"/>
      <c r="K923" s="937"/>
      <c r="L923" s="937"/>
      <c r="M923" s="937"/>
      <c r="N923" s="937"/>
      <c r="O923" s="937"/>
      <c r="P923" s="937"/>
      <c r="Q923" s="937"/>
      <c r="R923" s="937"/>
      <c r="S923" s="937"/>
      <c r="T923" s="937"/>
      <c r="U923" s="937"/>
      <c r="V923" s="937"/>
      <c r="W923" s="937"/>
      <c r="X923" s="937"/>
      <c r="Y923" s="937"/>
      <c r="Z923" s="937"/>
    </row>
    <row r="924" spans="1:26" ht="15.75" customHeight="1">
      <c r="A924" s="937"/>
      <c r="B924" s="937"/>
      <c r="C924" s="937"/>
      <c r="D924" s="937"/>
      <c r="E924" s="937"/>
      <c r="F924" s="937"/>
      <c r="G924" s="937"/>
      <c r="H924" s="937"/>
      <c r="I924" s="937"/>
      <c r="J924" s="937"/>
      <c r="K924" s="937"/>
      <c r="L924" s="937"/>
      <c r="M924" s="937"/>
      <c r="N924" s="937"/>
      <c r="O924" s="937"/>
      <c r="P924" s="937"/>
      <c r="Q924" s="937"/>
      <c r="R924" s="937"/>
      <c r="S924" s="937"/>
      <c r="T924" s="937"/>
      <c r="U924" s="937"/>
      <c r="V924" s="937"/>
      <c r="W924" s="937"/>
      <c r="X924" s="937"/>
      <c r="Y924" s="937"/>
      <c r="Z924" s="937"/>
    </row>
    <row r="925" spans="1:26" ht="15.75" customHeight="1">
      <c r="A925" s="937"/>
      <c r="B925" s="937"/>
      <c r="C925" s="937"/>
      <c r="D925" s="937"/>
      <c r="E925" s="937"/>
      <c r="F925" s="937"/>
      <c r="G925" s="937"/>
      <c r="H925" s="937"/>
      <c r="I925" s="937"/>
      <c r="J925" s="937"/>
      <c r="K925" s="937"/>
      <c r="L925" s="937"/>
      <c r="M925" s="937"/>
      <c r="N925" s="937"/>
      <c r="O925" s="937"/>
      <c r="P925" s="937"/>
      <c r="Q925" s="937"/>
      <c r="R925" s="937"/>
      <c r="S925" s="937"/>
      <c r="T925" s="937"/>
      <c r="U925" s="937"/>
      <c r="V925" s="937"/>
      <c r="W925" s="937"/>
      <c r="X925" s="937"/>
      <c r="Y925" s="937"/>
      <c r="Z925" s="937"/>
    </row>
    <row r="926" spans="1:26" ht="15.75" customHeight="1">
      <c r="A926" s="937"/>
      <c r="B926" s="937"/>
      <c r="C926" s="937"/>
      <c r="D926" s="937"/>
      <c r="E926" s="937"/>
      <c r="F926" s="937"/>
      <c r="G926" s="937"/>
      <c r="H926" s="937"/>
      <c r="I926" s="937"/>
      <c r="J926" s="937"/>
      <c r="K926" s="937"/>
      <c r="L926" s="937"/>
      <c r="M926" s="937"/>
      <c r="N926" s="937"/>
      <c r="O926" s="937"/>
      <c r="P926" s="937"/>
      <c r="Q926" s="937"/>
      <c r="R926" s="937"/>
      <c r="S926" s="937"/>
      <c r="T926" s="937"/>
      <c r="U926" s="937"/>
      <c r="V926" s="937"/>
      <c r="W926" s="937"/>
      <c r="X926" s="937"/>
      <c r="Y926" s="937"/>
      <c r="Z926" s="937"/>
    </row>
    <row r="927" spans="1:26" ht="15.75" customHeight="1">
      <c r="A927" s="937"/>
      <c r="B927" s="937"/>
      <c r="C927" s="937"/>
      <c r="D927" s="937"/>
      <c r="E927" s="937"/>
      <c r="F927" s="937"/>
      <c r="G927" s="937"/>
      <c r="H927" s="937"/>
      <c r="I927" s="937"/>
      <c r="J927" s="937"/>
      <c r="K927" s="937"/>
      <c r="L927" s="937"/>
      <c r="M927" s="937"/>
      <c r="N927" s="937"/>
      <c r="O927" s="937"/>
      <c r="P927" s="937"/>
      <c r="Q927" s="937"/>
      <c r="R927" s="937"/>
      <c r="S927" s="937"/>
      <c r="T927" s="937"/>
      <c r="U927" s="937"/>
      <c r="V927" s="937"/>
      <c r="W927" s="937"/>
      <c r="X927" s="937"/>
      <c r="Y927" s="937"/>
      <c r="Z927" s="937"/>
    </row>
    <row r="928" spans="1:26" ht="15.75" customHeight="1">
      <c r="A928" s="937"/>
      <c r="B928" s="937"/>
      <c r="C928" s="937"/>
      <c r="D928" s="937"/>
      <c r="E928" s="937"/>
      <c r="F928" s="937"/>
      <c r="G928" s="937"/>
      <c r="H928" s="937"/>
      <c r="I928" s="937"/>
      <c r="J928" s="937"/>
      <c r="K928" s="937"/>
      <c r="L928" s="937"/>
      <c r="M928" s="937"/>
      <c r="N928" s="937"/>
      <c r="O928" s="937"/>
      <c r="P928" s="937"/>
      <c r="Q928" s="937"/>
      <c r="R928" s="937"/>
      <c r="S928" s="937"/>
      <c r="T928" s="937"/>
      <c r="U928" s="937"/>
      <c r="V928" s="937"/>
      <c r="W928" s="937"/>
      <c r="X928" s="937"/>
      <c r="Y928" s="937"/>
      <c r="Z928" s="937"/>
    </row>
    <row r="929" spans="1:26" ht="15.75" customHeight="1">
      <c r="A929" s="937"/>
      <c r="B929" s="937"/>
      <c r="C929" s="937"/>
      <c r="D929" s="937"/>
      <c r="E929" s="937"/>
      <c r="F929" s="937"/>
      <c r="G929" s="937"/>
      <c r="H929" s="937"/>
      <c r="I929" s="937"/>
      <c r="J929" s="937"/>
      <c r="K929" s="937"/>
      <c r="L929" s="937"/>
      <c r="M929" s="937"/>
      <c r="N929" s="937"/>
      <c r="O929" s="937"/>
      <c r="P929" s="937"/>
      <c r="Q929" s="937"/>
      <c r="R929" s="937"/>
      <c r="S929" s="937"/>
      <c r="T929" s="937"/>
      <c r="U929" s="937"/>
      <c r="V929" s="937"/>
      <c r="W929" s="937"/>
      <c r="X929" s="937"/>
      <c r="Y929" s="937"/>
      <c r="Z929" s="937"/>
    </row>
    <row r="930" spans="1:26" ht="15.75" customHeight="1">
      <c r="A930" s="937"/>
      <c r="B930" s="937"/>
      <c r="C930" s="937"/>
      <c r="D930" s="937"/>
      <c r="E930" s="937"/>
      <c r="F930" s="937"/>
      <c r="G930" s="937"/>
      <c r="H930" s="937"/>
      <c r="I930" s="937"/>
      <c r="J930" s="937"/>
      <c r="K930" s="937"/>
      <c r="L930" s="937"/>
      <c r="M930" s="937"/>
      <c r="N930" s="937"/>
      <c r="O930" s="937"/>
      <c r="P930" s="937"/>
      <c r="Q930" s="937"/>
      <c r="R930" s="937"/>
      <c r="S930" s="937"/>
      <c r="T930" s="937"/>
      <c r="U930" s="937"/>
      <c r="V930" s="937"/>
      <c r="W930" s="937"/>
      <c r="X930" s="937"/>
      <c r="Y930" s="937"/>
      <c r="Z930" s="937"/>
    </row>
    <row r="931" spans="1:26" ht="15.75" customHeight="1">
      <c r="A931" s="937"/>
      <c r="B931" s="937"/>
      <c r="C931" s="937"/>
      <c r="D931" s="937"/>
      <c r="E931" s="937"/>
      <c r="F931" s="937"/>
      <c r="G931" s="937"/>
      <c r="H931" s="937"/>
      <c r="I931" s="937"/>
      <c r="J931" s="937"/>
      <c r="K931" s="937"/>
      <c r="L931" s="937"/>
      <c r="M931" s="937"/>
      <c r="N931" s="937"/>
      <c r="O931" s="937"/>
      <c r="P931" s="937"/>
      <c r="Q931" s="937"/>
      <c r="R931" s="937"/>
      <c r="S931" s="937"/>
      <c r="T931" s="937"/>
      <c r="U931" s="937"/>
      <c r="V931" s="937"/>
      <c r="W931" s="937"/>
      <c r="X931" s="937"/>
      <c r="Y931" s="937"/>
      <c r="Z931" s="937"/>
    </row>
    <row r="932" spans="1:26" ht="15.75" customHeight="1">
      <c r="A932" s="937"/>
      <c r="B932" s="937"/>
      <c r="C932" s="937"/>
      <c r="D932" s="937"/>
      <c r="E932" s="937"/>
      <c r="F932" s="937"/>
      <c r="G932" s="937"/>
      <c r="H932" s="937"/>
      <c r="I932" s="937"/>
      <c r="J932" s="937"/>
      <c r="K932" s="937"/>
      <c r="L932" s="937"/>
      <c r="M932" s="937"/>
      <c r="N932" s="937"/>
      <c r="O932" s="937"/>
      <c r="P932" s="937"/>
      <c r="Q932" s="937"/>
      <c r="R932" s="937"/>
      <c r="S932" s="937"/>
      <c r="T932" s="937"/>
      <c r="U932" s="937"/>
      <c r="V932" s="937"/>
      <c r="W932" s="937"/>
      <c r="X932" s="937"/>
      <c r="Y932" s="937"/>
      <c r="Z932" s="937"/>
    </row>
    <row r="933" spans="1:26" ht="15.75" customHeight="1">
      <c r="A933" s="937"/>
      <c r="B933" s="937"/>
      <c r="C933" s="937"/>
      <c r="D933" s="937"/>
      <c r="E933" s="937"/>
      <c r="F933" s="937"/>
      <c r="G933" s="937"/>
      <c r="H933" s="937"/>
      <c r="I933" s="937"/>
      <c r="J933" s="937"/>
      <c r="K933" s="937"/>
      <c r="L933" s="937"/>
      <c r="M933" s="937"/>
      <c r="N933" s="937"/>
      <c r="O933" s="937"/>
      <c r="P933" s="937"/>
      <c r="Q933" s="937"/>
      <c r="R933" s="937"/>
      <c r="S933" s="937"/>
      <c r="T933" s="937"/>
      <c r="U933" s="937"/>
      <c r="V933" s="937"/>
      <c r="W933" s="937"/>
      <c r="X933" s="937"/>
      <c r="Y933" s="937"/>
      <c r="Z933" s="937"/>
    </row>
    <row r="934" spans="1:26" ht="15.75" customHeight="1">
      <c r="A934" s="937"/>
      <c r="B934" s="937"/>
      <c r="C934" s="937"/>
      <c r="D934" s="937"/>
      <c r="E934" s="937"/>
      <c r="F934" s="937"/>
      <c r="G934" s="937"/>
      <c r="H934" s="937"/>
      <c r="I934" s="937"/>
      <c r="J934" s="937"/>
      <c r="K934" s="937"/>
      <c r="L934" s="937"/>
      <c r="M934" s="937"/>
      <c r="N934" s="937"/>
      <c r="O934" s="937"/>
      <c r="P934" s="937"/>
      <c r="Q934" s="937"/>
      <c r="R934" s="937"/>
      <c r="S934" s="937"/>
      <c r="T934" s="937"/>
      <c r="U934" s="937"/>
      <c r="V934" s="937"/>
      <c r="W934" s="937"/>
      <c r="X934" s="937"/>
      <c r="Y934" s="937"/>
      <c r="Z934" s="937"/>
    </row>
    <row r="935" spans="1:26" ht="15.75" customHeight="1">
      <c r="A935" s="937"/>
      <c r="B935" s="937"/>
      <c r="C935" s="937"/>
      <c r="D935" s="937"/>
      <c r="E935" s="937"/>
      <c r="F935" s="937"/>
      <c r="G935" s="937"/>
      <c r="H935" s="937"/>
      <c r="I935" s="937"/>
      <c r="J935" s="937"/>
      <c r="K935" s="937"/>
      <c r="L935" s="937"/>
      <c r="M935" s="937"/>
      <c r="N935" s="937"/>
      <c r="O935" s="937"/>
      <c r="P935" s="937"/>
      <c r="Q935" s="937"/>
      <c r="R935" s="937"/>
      <c r="S935" s="937"/>
      <c r="T935" s="937"/>
      <c r="U935" s="937"/>
      <c r="V935" s="937"/>
      <c r="W935" s="937"/>
      <c r="X935" s="937"/>
      <c r="Y935" s="937"/>
      <c r="Z935" s="937"/>
    </row>
    <row r="936" spans="1:26" ht="15.75" customHeight="1">
      <c r="A936" s="937"/>
      <c r="B936" s="937"/>
      <c r="C936" s="937"/>
      <c r="D936" s="937"/>
      <c r="E936" s="937"/>
      <c r="F936" s="937"/>
      <c r="G936" s="937"/>
      <c r="H936" s="937"/>
      <c r="I936" s="937"/>
      <c r="J936" s="937"/>
      <c r="K936" s="937"/>
      <c r="L936" s="937"/>
      <c r="M936" s="937"/>
      <c r="N936" s="937"/>
      <c r="O936" s="937"/>
      <c r="P936" s="937"/>
      <c r="Q936" s="937"/>
      <c r="R936" s="937"/>
      <c r="S936" s="937"/>
      <c r="T936" s="937"/>
      <c r="U936" s="937"/>
      <c r="V936" s="937"/>
      <c r="W936" s="937"/>
      <c r="X936" s="937"/>
      <c r="Y936" s="937"/>
      <c r="Z936" s="937"/>
    </row>
    <row r="937" spans="1:26" ht="15.75" customHeight="1">
      <c r="A937" s="937"/>
      <c r="B937" s="937"/>
      <c r="C937" s="937"/>
      <c r="D937" s="937"/>
      <c r="E937" s="937"/>
      <c r="F937" s="937"/>
      <c r="G937" s="937"/>
      <c r="H937" s="937"/>
      <c r="I937" s="937"/>
      <c r="J937" s="937"/>
      <c r="K937" s="937"/>
      <c r="L937" s="937"/>
      <c r="M937" s="937"/>
      <c r="N937" s="937"/>
      <c r="O937" s="937"/>
      <c r="P937" s="937"/>
      <c r="Q937" s="937"/>
      <c r="R937" s="937"/>
      <c r="S937" s="937"/>
      <c r="T937" s="937"/>
      <c r="U937" s="937"/>
      <c r="V937" s="937"/>
      <c r="W937" s="937"/>
      <c r="X937" s="937"/>
      <c r="Y937" s="937"/>
      <c r="Z937" s="937"/>
    </row>
    <row r="938" spans="1:26" ht="15.75" customHeight="1">
      <c r="A938" s="937"/>
      <c r="B938" s="937"/>
      <c r="C938" s="937"/>
      <c r="D938" s="937"/>
      <c r="E938" s="937"/>
      <c r="F938" s="937"/>
      <c r="G938" s="937"/>
      <c r="H938" s="937"/>
      <c r="I938" s="937"/>
      <c r="J938" s="937"/>
      <c r="K938" s="937"/>
      <c r="L938" s="937"/>
      <c r="M938" s="937"/>
      <c r="N938" s="937"/>
      <c r="O938" s="937"/>
      <c r="P938" s="937"/>
      <c r="Q938" s="937"/>
      <c r="R938" s="937"/>
      <c r="S938" s="937"/>
      <c r="T938" s="937"/>
      <c r="U938" s="937"/>
      <c r="V938" s="937"/>
      <c r="W938" s="937"/>
      <c r="X938" s="937"/>
      <c r="Y938" s="937"/>
      <c r="Z938" s="937"/>
    </row>
    <row r="939" spans="1:26" ht="15.75" customHeight="1">
      <c r="A939" s="937"/>
      <c r="B939" s="937"/>
      <c r="C939" s="937"/>
      <c r="D939" s="937"/>
      <c r="E939" s="937"/>
      <c r="F939" s="937"/>
      <c r="G939" s="937"/>
      <c r="H939" s="937"/>
      <c r="I939" s="937"/>
      <c r="J939" s="937"/>
      <c r="K939" s="937"/>
      <c r="L939" s="937"/>
      <c r="M939" s="937"/>
      <c r="N939" s="937"/>
      <c r="O939" s="937"/>
      <c r="P939" s="937"/>
      <c r="Q939" s="937"/>
      <c r="R939" s="937"/>
      <c r="S939" s="937"/>
      <c r="T939" s="937"/>
      <c r="U939" s="937"/>
      <c r="V939" s="937"/>
      <c r="W939" s="937"/>
      <c r="X939" s="937"/>
      <c r="Y939" s="937"/>
      <c r="Z939" s="937"/>
    </row>
    <row r="940" spans="1:26" ht="15.75" customHeight="1">
      <c r="A940" s="937"/>
      <c r="B940" s="937"/>
      <c r="C940" s="937"/>
      <c r="D940" s="937"/>
      <c r="E940" s="937"/>
      <c r="F940" s="937"/>
      <c r="G940" s="937"/>
      <c r="H940" s="937"/>
      <c r="I940" s="937"/>
      <c r="J940" s="937"/>
      <c r="K940" s="937"/>
      <c r="L940" s="937"/>
      <c r="M940" s="937"/>
      <c r="N940" s="937"/>
      <c r="O940" s="937"/>
      <c r="P940" s="937"/>
      <c r="Q940" s="937"/>
      <c r="R940" s="937"/>
      <c r="S940" s="937"/>
      <c r="T940" s="937"/>
      <c r="U940" s="937"/>
      <c r="V940" s="937"/>
      <c r="W940" s="937"/>
      <c r="X940" s="937"/>
      <c r="Y940" s="937"/>
      <c r="Z940" s="937"/>
    </row>
    <row r="941" spans="1:26" ht="15.75" customHeight="1">
      <c r="A941" s="937"/>
      <c r="B941" s="937"/>
      <c r="C941" s="937"/>
      <c r="D941" s="937"/>
      <c r="E941" s="937"/>
      <c r="F941" s="937"/>
      <c r="G941" s="937"/>
      <c r="H941" s="937"/>
      <c r="I941" s="937"/>
      <c r="J941" s="937"/>
      <c r="K941" s="937"/>
      <c r="L941" s="937"/>
      <c r="M941" s="937"/>
      <c r="N941" s="937"/>
      <c r="O941" s="937"/>
      <c r="P941" s="937"/>
      <c r="Q941" s="937"/>
      <c r="R941" s="937"/>
      <c r="S941" s="937"/>
      <c r="T941" s="937"/>
      <c r="U941" s="937"/>
      <c r="V941" s="937"/>
      <c r="W941" s="937"/>
      <c r="X941" s="937"/>
      <c r="Y941" s="937"/>
      <c r="Z941" s="937"/>
    </row>
    <row r="942" spans="1:26" ht="15.75" customHeight="1">
      <c r="A942" s="937"/>
      <c r="B942" s="937"/>
      <c r="C942" s="937"/>
      <c r="D942" s="937"/>
      <c r="E942" s="937"/>
      <c r="F942" s="937"/>
      <c r="G942" s="937"/>
      <c r="H942" s="937"/>
      <c r="I942" s="937"/>
      <c r="J942" s="937"/>
      <c r="K942" s="937"/>
      <c r="L942" s="937"/>
      <c r="M942" s="937"/>
      <c r="N942" s="937"/>
      <c r="O942" s="937"/>
      <c r="P942" s="937"/>
      <c r="Q942" s="937"/>
      <c r="R942" s="937"/>
      <c r="S942" s="937"/>
      <c r="T942" s="937"/>
      <c r="U942" s="937"/>
      <c r="V942" s="937"/>
      <c r="W942" s="937"/>
      <c r="X942" s="937"/>
      <c r="Y942" s="937"/>
      <c r="Z942" s="937"/>
    </row>
    <row r="943" spans="1:26" ht="15.75" customHeight="1">
      <c r="A943" s="937"/>
      <c r="B943" s="937"/>
      <c r="C943" s="937"/>
      <c r="D943" s="937"/>
      <c r="E943" s="937"/>
      <c r="F943" s="937"/>
      <c r="G943" s="937"/>
      <c r="H943" s="937"/>
      <c r="I943" s="937"/>
      <c r="J943" s="937"/>
      <c r="K943" s="937"/>
      <c r="L943" s="937"/>
      <c r="M943" s="937"/>
      <c r="N943" s="937"/>
      <c r="O943" s="937"/>
      <c r="P943" s="937"/>
      <c r="Q943" s="937"/>
      <c r="R943" s="937"/>
      <c r="S943" s="937"/>
      <c r="T943" s="937"/>
      <c r="U943" s="937"/>
      <c r="V943" s="937"/>
      <c r="W943" s="937"/>
      <c r="X943" s="937"/>
      <c r="Y943" s="937"/>
      <c r="Z943" s="937"/>
    </row>
    <row r="944" spans="1:26" ht="15.75" customHeight="1">
      <c r="A944" s="937"/>
      <c r="B944" s="937"/>
      <c r="C944" s="937"/>
      <c r="D944" s="937"/>
      <c r="E944" s="937"/>
      <c r="F944" s="937"/>
      <c r="G944" s="937"/>
      <c r="H944" s="937"/>
      <c r="I944" s="937"/>
      <c r="J944" s="937"/>
      <c r="K944" s="937"/>
      <c r="L944" s="937"/>
      <c r="M944" s="937"/>
      <c r="N944" s="937"/>
      <c r="O944" s="937"/>
      <c r="P944" s="937"/>
      <c r="Q944" s="937"/>
      <c r="R944" s="937"/>
      <c r="S944" s="937"/>
      <c r="T944" s="937"/>
      <c r="U944" s="937"/>
      <c r="V944" s="937"/>
      <c r="W944" s="937"/>
      <c r="X944" s="937"/>
      <c r="Y944" s="937"/>
      <c r="Z944" s="937"/>
    </row>
    <row r="945" spans="1:26" ht="15.75" customHeight="1">
      <c r="A945" s="937"/>
      <c r="B945" s="937"/>
      <c r="C945" s="937"/>
      <c r="D945" s="937"/>
      <c r="E945" s="937"/>
      <c r="F945" s="937"/>
      <c r="G945" s="937"/>
      <c r="H945" s="937"/>
      <c r="I945" s="937"/>
      <c r="J945" s="937"/>
      <c r="K945" s="937"/>
      <c r="L945" s="937"/>
      <c r="M945" s="937"/>
      <c r="N945" s="937"/>
      <c r="O945" s="937"/>
      <c r="P945" s="937"/>
      <c r="Q945" s="937"/>
      <c r="R945" s="937"/>
      <c r="S945" s="937"/>
      <c r="T945" s="937"/>
      <c r="U945" s="937"/>
      <c r="V945" s="937"/>
      <c r="W945" s="937"/>
      <c r="X945" s="937"/>
      <c r="Y945" s="937"/>
      <c r="Z945" s="937"/>
    </row>
    <row r="946" spans="1:26" ht="15.75" customHeight="1">
      <c r="A946" s="937"/>
      <c r="B946" s="937"/>
      <c r="C946" s="937"/>
      <c r="D946" s="937"/>
      <c r="E946" s="937"/>
      <c r="F946" s="937"/>
      <c r="G946" s="937"/>
      <c r="H946" s="937"/>
      <c r="I946" s="937"/>
      <c r="J946" s="937"/>
      <c r="K946" s="937"/>
      <c r="L946" s="937"/>
      <c r="M946" s="937"/>
      <c r="N946" s="937"/>
      <c r="O946" s="937"/>
      <c r="P946" s="937"/>
      <c r="Q946" s="937"/>
      <c r="R946" s="937"/>
      <c r="S946" s="937"/>
      <c r="T946" s="937"/>
      <c r="U946" s="937"/>
      <c r="V946" s="937"/>
      <c r="W946" s="937"/>
      <c r="X946" s="937"/>
      <c r="Y946" s="937"/>
      <c r="Z946" s="937"/>
    </row>
    <row r="947" spans="1:26" ht="15.75" customHeight="1">
      <c r="A947" s="937"/>
      <c r="B947" s="937"/>
      <c r="C947" s="937"/>
      <c r="D947" s="937"/>
      <c r="E947" s="937"/>
      <c r="F947" s="937"/>
      <c r="G947" s="937"/>
      <c r="H947" s="937"/>
      <c r="I947" s="937"/>
      <c r="J947" s="937"/>
      <c r="K947" s="937"/>
      <c r="L947" s="937"/>
      <c r="M947" s="937"/>
      <c r="N947" s="937"/>
      <c r="O947" s="937"/>
      <c r="P947" s="937"/>
      <c r="Q947" s="937"/>
      <c r="R947" s="937"/>
      <c r="S947" s="937"/>
      <c r="T947" s="937"/>
      <c r="U947" s="937"/>
      <c r="V947" s="937"/>
      <c r="W947" s="937"/>
      <c r="X947" s="937"/>
      <c r="Y947" s="937"/>
      <c r="Z947" s="937"/>
    </row>
    <row r="948" spans="1:26" ht="15.75" customHeight="1">
      <c r="A948" s="937"/>
      <c r="B948" s="937"/>
      <c r="C948" s="937"/>
      <c r="D948" s="937"/>
      <c r="E948" s="937"/>
      <c r="F948" s="937"/>
      <c r="G948" s="937"/>
      <c r="H948" s="937"/>
      <c r="I948" s="937"/>
      <c r="J948" s="937"/>
      <c r="K948" s="937"/>
      <c r="L948" s="937"/>
      <c r="M948" s="937"/>
      <c r="N948" s="937"/>
      <c r="O948" s="937"/>
      <c r="P948" s="937"/>
      <c r="Q948" s="937"/>
      <c r="R948" s="937"/>
      <c r="S948" s="937"/>
      <c r="T948" s="937"/>
      <c r="U948" s="937"/>
      <c r="V948" s="937"/>
      <c r="W948" s="937"/>
      <c r="X948" s="937"/>
      <c r="Y948" s="937"/>
      <c r="Z948" s="937"/>
    </row>
    <row r="949" spans="1:26" ht="15.75" customHeight="1">
      <c r="A949" s="937"/>
      <c r="B949" s="937"/>
      <c r="C949" s="937"/>
      <c r="D949" s="937"/>
      <c r="E949" s="937"/>
      <c r="F949" s="937"/>
      <c r="G949" s="937"/>
      <c r="H949" s="937"/>
      <c r="I949" s="937"/>
      <c r="J949" s="937"/>
      <c r="K949" s="937"/>
      <c r="L949" s="937"/>
      <c r="M949" s="937"/>
      <c r="N949" s="937"/>
      <c r="O949" s="937"/>
      <c r="P949" s="937"/>
      <c r="Q949" s="937"/>
      <c r="R949" s="937"/>
      <c r="S949" s="937"/>
      <c r="T949" s="937"/>
      <c r="U949" s="937"/>
      <c r="V949" s="937"/>
      <c r="W949" s="937"/>
      <c r="X949" s="937"/>
      <c r="Y949" s="937"/>
      <c r="Z949" s="937"/>
    </row>
    <row r="950" spans="1:26" ht="15.75" customHeight="1">
      <c r="A950" s="937"/>
      <c r="B950" s="937"/>
      <c r="C950" s="937"/>
      <c r="D950" s="937"/>
      <c r="E950" s="937"/>
      <c r="F950" s="937"/>
      <c r="G950" s="937"/>
      <c r="H950" s="937"/>
      <c r="I950" s="937"/>
      <c r="J950" s="937"/>
      <c r="K950" s="937"/>
      <c r="L950" s="937"/>
      <c r="M950" s="937"/>
      <c r="N950" s="937"/>
      <c r="O950" s="937"/>
      <c r="P950" s="937"/>
      <c r="Q950" s="937"/>
      <c r="R950" s="937"/>
      <c r="S950" s="937"/>
      <c r="T950" s="937"/>
      <c r="U950" s="937"/>
      <c r="V950" s="937"/>
      <c r="W950" s="937"/>
      <c r="X950" s="937"/>
      <c r="Y950" s="937"/>
      <c r="Z950" s="937"/>
    </row>
    <row r="951" spans="1:26" ht="15.75" customHeight="1">
      <c r="A951" s="937"/>
      <c r="B951" s="937"/>
      <c r="C951" s="937"/>
      <c r="D951" s="937"/>
      <c r="E951" s="937"/>
      <c r="F951" s="937"/>
      <c r="G951" s="937"/>
      <c r="H951" s="937"/>
      <c r="I951" s="937"/>
      <c r="J951" s="937"/>
      <c r="K951" s="937"/>
      <c r="L951" s="937"/>
      <c r="M951" s="937"/>
      <c r="N951" s="937"/>
      <c r="O951" s="937"/>
      <c r="P951" s="937"/>
      <c r="Q951" s="937"/>
      <c r="R951" s="937"/>
      <c r="S951" s="937"/>
      <c r="T951" s="937"/>
      <c r="U951" s="937"/>
      <c r="V951" s="937"/>
      <c r="W951" s="937"/>
      <c r="X951" s="937"/>
      <c r="Y951" s="937"/>
      <c r="Z951" s="937"/>
    </row>
    <row r="952" spans="1:26" ht="15.75" customHeight="1">
      <c r="A952" s="937"/>
      <c r="B952" s="937"/>
      <c r="C952" s="937"/>
      <c r="D952" s="937"/>
      <c r="E952" s="937"/>
      <c r="F952" s="937"/>
      <c r="G952" s="937"/>
      <c r="H952" s="937"/>
      <c r="I952" s="937"/>
      <c r="J952" s="937"/>
      <c r="K952" s="937"/>
      <c r="L952" s="937"/>
      <c r="M952" s="937"/>
      <c r="N952" s="937"/>
      <c r="O952" s="937"/>
      <c r="P952" s="937"/>
      <c r="Q952" s="937"/>
      <c r="R952" s="937"/>
      <c r="S952" s="937"/>
      <c r="T952" s="937"/>
      <c r="U952" s="937"/>
      <c r="V952" s="937"/>
      <c r="W952" s="937"/>
      <c r="X952" s="937"/>
      <c r="Y952" s="937"/>
      <c r="Z952" s="937"/>
    </row>
    <row r="953" spans="1:26" ht="15.75" customHeight="1">
      <c r="A953" s="937"/>
      <c r="B953" s="937"/>
      <c r="C953" s="937"/>
      <c r="D953" s="937"/>
      <c r="E953" s="937"/>
      <c r="F953" s="937"/>
      <c r="G953" s="937"/>
      <c r="H953" s="937"/>
      <c r="I953" s="937"/>
      <c r="J953" s="937"/>
      <c r="K953" s="937"/>
      <c r="L953" s="937"/>
      <c r="M953" s="937"/>
      <c r="N953" s="937"/>
      <c r="O953" s="937"/>
      <c r="P953" s="937"/>
      <c r="Q953" s="937"/>
      <c r="R953" s="937"/>
      <c r="S953" s="937"/>
      <c r="T953" s="937"/>
      <c r="U953" s="937"/>
      <c r="V953" s="937"/>
      <c r="W953" s="937"/>
      <c r="X953" s="937"/>
      <c r="Y953" s="937"/>
      <c r="Z953" s="937"/>
    </row>
    <row r="954" spans="1:26" ht="15.75" customHeight="1">
      <c r="A954" s="937"/>
      <c r="B954" s="937"/>
      <c r="C954" s="937"/>
      <c r="D954" s="937"/>
      <c r="E954" s="937"/>
      <c r="F954" s="937"/>
      <c r="G954" s="937"/>
      <c r="H954" s="937"/>
      <c r="I954" s="937"/>
      <c r="J954" s="937"/>
      <c r="K954" s="937"/>
      <c r="L954" s="937"/>
      <c r="M954" s="937"/>
      <c r="N954" s="937"/>
      <c r="O954" s="937"/>
      <c r="P954" s="937"/>
      <c r="Q954" s="937"/>
      <c r="R954" s="937"/>
      <c r="S954" s="937"/>
      <c r="T954" s="937"/>
      <c r="U954" s="937"/>
      <c r="V954" s="937"/>
      <c r="W954" s="937"/>
      <c r="X954" s="937"/>
      <c r="Y954" s="937"/>
      <c r="Z954" s="937"/>
    </row>
    <row r="955" spans="1:26" ht="15.75" customHeight="1">
      <c r="A955" s="937"/>
      <c r="B955" s="937"/>
      <c r="C955" s="937"/>
      <c r="D955" s="937"/>
      <c r="E955" s="937"/>
      <c r="F955" s="937"/>
      <c r="G955" s="937"/>
      <c r="H955" s="937"/>
      <c r="I955" s="937"/>
      <c r="J955" s="937"/>
      <c r="K955" s="937"/>
      <c r="L955" s="937"/>
      <c r="M955" s="937"/>
      <c r="N955" s="937"/>
      <c r="O955" s="937"/>
      <c r="P955" s="937"/>
      <c r="Q955" s="937"/>
      <c r="R955" s="937"/>
      <c r="S955" s="937"/>
      <c r="T955" s="937"/>
      <c r="U955" s="937"/>
      <c r="V955" s="937"/>
      <c r="W955" s="937"/>
      <c r="X955" s="937"/>
      <c r="Y955" s="937"/>
      <c r="Z955" s="937"/>
    </row>
    <row r="956" spans="1:26" ht="15.75" customHeight="1">
      <c r="A956" s="937"/>
      <c r="B956" s="937"/>
      <c r="C956" s="937"/>
      <c r="D956" s="937"/>
      <c r="E956" s="937"/>
      <c r="F956" s="937"/>
      <c r="G956" s="937"/>
      <c r="H956" s="937"/>
      <c r="I956" s="937"/>
      <c r="J956" s="937"/>
      <c r="K956" s="937"/>
      <c r="L956" s="937"/>
      <c r="M956" s="937"/>
      <c r="N956" s="937"/>
      <c r="O956" s="937"/>
      <c r="P956" s="937"/>
      <c r="Q956" s="937"/>
      <c r="R956" s="937"/>
      <c r="S956" s="937"/>
      <c r="T956" s="937"/>
      <c r="U956" s="937"/>
      <c r="V956" s="937"/>
      <c r="W956" s="937"/>
      <c r="X956" s="937"/>
      <c r="Y956" s="937"/>
      <c r="Z956" s="937"/>
    </row>
    <row r="957" spans="1:26" ht="15.75" customHeight="1">
      <c r="A957" s="937"/>
      <c r="B957" s="937"/>
      <c r="C957" s="937"/>
      <c r="D957" s="937"/>
      <c r="E957" s="937"/>
      <c r="F957" s="937"/>
      <c r="G957" s="937"/>
      <c r="H957" s="937"/>
      <c r="I957" s="937"/>
      <c r="J957" s="937"/>
      <c r="K957" s="937"/>
      <c r="L957" s="937"/>
      <c r="M957" s="937"/>
      <c r="N957" s="937"/>
      <c r="O957" s="937"/>
      <c r="P957" s="937"/>
      <c r="Q957" s="937"/>
      <c r="R957" s="937"/>
      <c r="S957" s="937"/>
      <c r="T957" s="937"/>
      <c r="U957" s="937"/>
      <c r="V957" s="937"/>
      <c r="W957" s="937"/>
      <c r="X957" s="937"/>
      <c r="Y957" s="937"/>
      <c r="Z957" s="937"/>
    </row>
    <row r="958" spans="1:26" ht="15.75" customHeight="1">
      <c r="A958" s="937"/>
      <c r="B958" s="937"/>
      <c r="C958" s="937"/>
      <c r="D958" s="937"/>
      <c r="E958" s="937"/>
      <c r="F958" s="937"/>
      <c r="G958" s="937"/>
      <c r="H958" s="937"/>
      <c r="I958" s="937"/>
      <c r="J958" s="937"/>
      <c r="K958" s="937"/>
      <c r="L958" s="937"/>
      <c r="M958" s="937"/>
      <c r="N958" s="937"/>
      <c r="O958" s="937"/>
      <c r="P958" s="937"/>
      <c r="Q958" s="937"/>
      <c r="R958" s="937"/>
      <c r="S958" s="937"/>
      <c r="T958" s="937"/>
      <c r="U958" s="937"/>
      <c r="V958" s="937"/>
      <c r="W958" s="937"/>
      <c r="X958" s="937"/>
      <c r="Y958" s="937"/>
      <c r="Z958" s="937"/>
    </row>
    <row r="959" spans="1:26" ht="15.75" customHeight="1">
      <c r="A959" s="937"/>
      <c r="B959" s="937"/>
      <c r="C959" s="937"/>
      <c r="D959" s="937"/>
      <c r="E959" s="937"/>
      <c r="F959" s="937"/>
      <c r="G959" s="937"/>
      <c r="H959" s="937"/>
      <c r="I959" s="937"/>
      <c r="J959" s="937"/>
      <c r="K959" s="937"/>
      <c r="L959" s="937"/>
      <c r="M959" s="937"/>
      <c r="N959" s="937"/>
      <c r="O959" s="937"/>
      <c r="P959" s="937"/>
      <c r="Q959" s="937"/>
      <c r="R959" s="937"/>
      <c r="S959" s="937"/>
      <c r="T959" s="937"/>
      <c r="U959" s="937"/>
      <c r="V959" s="937"/>
      <c r="W959" s="937"/>
      <c r="X959" s="937"/>
      <c r="Y959" s="937"/>
      <c r="Z959" s="937"/>
    </row>
    <row r="960" spans="1:26" ht="15.75" customHeight="1">
      <c r="A960" s="937"/>
      <c r="B960" s="937"/>
      <c r="C960" s="937"/>
      <c r="D960" s="937"/>
      <c r="E960" s="937"/>
      <c r="F960" s="937"/>
      <c r="G960" s="937"/>
      <c r="H960" s="937"/>
      <c r="I960" s="937"/>
      <c r="J960" s="937"/>
      <c r="K960" s="937"/>
      <c r="L960" s="937"/>
      <c r="M960" s="937"/>
      <c r="N960" s="937"/>
      <c r="O960" s="937"/>
      <c r="P960" s="937"/>
      <c r="Q960" s="937"/>
      <c r="R960" s="937"/>
      <c r="S960" s="937"/>
      <c r="T960" s="937"/>
      <c r="U960" s="937"/>
      <c r="V960" s="937"/>
      <c r="W960" s="937"/>
      <c r="X960" s="937"/>
      <c r="Y960" s="937"/>
      <c r="Z960" s="937"/>
    </row>
    <row r="961" spans="1:26" ht="15.75" customHeight="1">
      <c r="A961" s="937"/>
      <c r="B961" s="937"/>
      <c r="C961" s="937"/>
      <c r="D961" s="937"/>
      <c r="E961" s="937"/>
      <c r="F961" s="937"/>
      <c r="G961" s="937"/>
      <c r="H961" s="937"/>
      <c r="I961" s="937"/>
      <c r="J961" s="937"/>
      <c r="K961" s="937"/>
      <c r="L961" s="937"/>
      <c r="M961" s="937"/>
      <c r="N961" s="937"/>
      <c r="O961" s="937"/>
      <c r="P961" s="937"/>
      <c r="Q961" s="937"/>
      <c r="R961" s="937"/>
      <c r="S961" s="937"/>
      <c r="T961" s="937"/>
      <c r="U961" s="937"/>
      <c r="V961" s="937"/>
      <c r="W961" s="937"/>
      <c r="X961" s="937"/>
      <c r="Y961" s="937"/>
      <c r="Z961" s="937"/>
    </row>
    <row r="962" spans="1:26" ht="15.75" customHeight="1">
      <c r="A962" s="937"/>
      <c r="B962" s="937"/>
      <c r="C962" s="937"/>
      <c r="D962" s="937"/>
      <c r="E962" s="937"/>
      <c r="F962" s="937"/>
      <c r="G962" s="937"/>
      <c r="H962" s="937"/>
      <c r="I962" s="937"/>
      <c r="J962" s="937"/>
      <c r="K962" s="937"/>
      <c r="L962" s="937"/>
      <c r="M962" s="937"/>
      <c r="N962" s="937"/>
      <c r="O962" s="937"/>
      <c r="P962" s="937"/>
      <c r="Q962" s="937"/>
      <c r="R962" s="937"/>
      <c r="S962" s="937"/>
      <c r="T962" s="937"/>
      <c r="U962" s="937"/>
      <c r="V962" s="937"/>
      <c r="W962" s="937"/>
      <c r="X962" s="937"/>
      <c r="Y962" s="937"/>
      <c r="Z962" s="937"/>
    </row>
    <row r="963" spans="1:26" ht="15.75" customHeight="1">
      <c r="A963" s="937"/>
      <c r="B963" s="937"/>
      <c r="C963" s="937"/>
      <c r="D963" s="937"/>
      <c r="E963" s="937"/>
      <c r="F963" s="937"/>
      <c r="G963" s="937"/>
      <c r="H963" s="937"/>
      <c r="I963" s="937"/>
      <c r="J963" s="937"/>
      <c r="K963" s="937"/>
      <c r="L963" s="937"/>
      <c r="M963" s="937"/>
      <c r="N963" s="937"/>
      <c r="O963" s="937"/>
      <c r="P963" s="937"/>
      <c r="Q963" s="937"/>
      <c r="R963" s="937"/>
      <c r="S963" s="937"/>
      <c r="T963" s="937"/>
      <c r="U963" s="937"/>
      <c r="V963" s="937"/>
      <c r="W963" s="937"/>
      <c r="X963" s="937"/>
      <c r="Y963" s="937"/>
      <c r="Z963" s="937"/>
    </row>
    <row r="964" spans="1:26" ht="15.75" customHeight="1">
      <c r="A964" s="937"/>
      <c r="B964" s="937"/>
      <c r="C964" s="937"/>
      <c r="D964" s="937"/>
      <c r="E964" s="937"/>
      <c r="F964" s="937"/>
      <c r="G964" s="937"/>
      <c r="H964" s="937"/>
      <c r="I964" s="937"/>
      <c r="J964" s="937"/>
      <c r="K964" s="937"/>
      <c r="L964" s="937"/>
      <c r="M964" s="937"/>
      <c r="N964" s="937"/>
      <c r="O964" s="937"/>
      <c r="P964" s="937"/>
      <c r="Q964" s="937"/>
      <c r="R964" s="937"/>
      <c r="S964" s="937"/>
      <c r="T964" s="937"/>
      <c r="U964" s="937"/>
      <c r="V964" s="937"/>
      <c r="W964" s="937"/>
      <c r="X964" s="937"/>
      <c r="Y964" s="937"/>
      <c r="Z964" s="937"/>
    </row>
    <row r="965" spans="1:26" ht="15.75" customHeight="1">
      <c r="A965" s="937"/>
      <c r="B965" s="937"/>
      <c r="C965" s="937"/>
      <c r="D965" s="937"/>
      <c r="E965" s="937"/>
      <c r="F965" s="937"/>
      <c r="G965" s="937"/>
      <c r="H965" s="937"/>
      <c r="I965" s="937"/>
      <c r="J965" s="937"/>
      <c r="K965" s="937"/>
      <c r="L965" s="937"/>
      <c r="M965" s="937"/>
      <c r="N965" s="937"/>
      <c r="O965" s="937"/>
      <c r="P965" s="937"/>
      <c r="Q965" s="937"/>
      <c r="R965" s="937"/>
      <c r="S965" s="937"/>
      <c r="T965" s="937"/>
      <c r="U965" s="937"/>
      <c r="V965" s="937"/>
      <c r="W965" s="937"/>
      <c r="X965" s="937"/>
      <c r="Y965" s="937"/>
      <c r="Z965" s="937"/>
    </row>
    <row r="966" spans="1:26" ht="15.75" customHeight="1">
      <c r="A966" s="937"/>
      <c r="B966" s="937"/>
      <c r="C966" s="937"/>
      <c r="D966" s="937"/>
      <c r="E966" s="937"/>
      <c r="F966" s="937"/>
      <c r="G966" s="937"/>
      <c r="H966" s="937"/>
      <c r="I966" s="937"/>
      <c r="J966" s="937"/>
      <c r="K966" s="937"/>
      <c r="L966" s="937"/>
      <c r="M966" s="937"/>
      <c r="N966" s="937"/>
      <c r="O966" s="937"/>
      <c r="P966" s="937"/>
      <c r="Q966" s="937"/>
      <c r="R966" s="937"/>
      <c r="S966" s="937"/>
      <c r="T966" s="937"/>
      <c r="U966" s="937"/>
      <c r="V966" s="937"/>
      <c r="W966" s="937"/>
      <c r="X966" s="937"/>
      <c r="Y966" s="937"/>
      <c r="Z966" s="937"/>
    </row>
    <row r="967" spans="1:26" ht="15.75" customHeight="1">
      <c r="A967" s="937"/>
      <c r="B967" s="937"/>
      <c r="C967" s="937"/>
      <c r="D967" s="937"/>
      <c r="E967" s="937"/>
      <c r="F967" s="937"/>
      <c r="G967" s="937"/>
      <c r="H967" s="937"/>
      <c r="I967" s="937"/>
      <c r="J967" s="937"/>
      <c r="K967" s="937"/>
      <c r="L967" s="937"/>
      <c r="M967" s="937"/>
      <c r="N967" s="937"/>
      <c r="O967" s="937"/>
      <c r="P967" s="937"/>
      <c r="Q967" s="937"/>
      <c r="R967" s="937"/>
      <c r="S967" s="937"/>
      <c r="T967" s="937"/>
      <c r="U967" s="937"/>
      <c r="V967" s="937"/>
      <c r="W967" s="937"/>
      <c r="X967" s="937"/>
      <c r="Y967" s="937"/>
      <c r="Z967" s="937"/>
    </row>
    <row r="968" spans="1:26" ht="15.75" customHeight="1">
      <c r="A968" s="937"/>
      <c r="B968" s="937"/>
      <c r="C968" s="937"/>
      <c r="D968" s="937"/>
      <c r="E968" s="937"/>
      <c r="F968" s="937"/>
      <c r="G968" s="937"/>
      <c r="H968" s="937"/>
      <c r="I968" s="937"/>
      <c r="J968" s="937"/>
      <c r="K968" s="937"/>
      <c r="L968" s="937"/>
      <c r="M968" s="937"/>
      <c r="N968" s="937"/>
      <c r="O968" s="937"/>
      <c r="P968" s="937"/>
      <c r="Q968" s="937"/>
      <c r="R968" s="937"/>
      <c r="S968" s="937"/>
      <c r="T968" s="937"/>
      <c r="U968" s="937"/>
      <c r="V968" s="937"/>
      <c r="W968" s="937"/>
      <c r="X968" s="937"/>
      <c r="Y968" s="937"/>
      <c r="Z968" s="937"/>
    </row>
    <row r="969" spans="1:26" ht="15.75" customHeight="1">
      <c r="A969" s="937"/>
      <c r="B969" s="937"/>
      <c r="C969" s="937"/>
      <c r="D969" s="937"/>
      <c r="E969" s="937"/>
      <c r="F969" s="937"/>
      <c r="G969" s="937"/>
      <c r="H969" s="937"/>
      <c r="I969" s="937"/>
      <c r="J969" s="937"/>
      <c r="K969" s="937"/>
      <c r="L969" s="937"/>
      <c r="M969" s="937"/>
      <c r="N969" s="937"/>
      <c r="O969" s="937"/>
      <c r="P969" s="937"/>
      <c r="Q969" s="937"/>
      <c r="R969" s="937"/>
      <c r="S969" s="937"/>
      <c r="T969" s="937"/>
      <c r="U969" s="937"/>
      <c r="V969" s="937"/>
      <c r="W969" s="937"/>
      <c r="X969" s="937"/>
      <c r="Y969" s="937"/>
      <c r="Z969" s="937"/>
    </row>
    <row r="970" spans="1:26" ht="15.75" customHeight="1">
      <c r="A970" s="937"/>
      <c r="B970" s="937"/>
      <c r="C970" s="937"/>
      <c r="D970" s="937"/>
      <c r="E970" s="937"/>
      <c r="F970" s="937"/>
      <c r="G970" s="937"/>
      <c r="H970" s="937"/>
      <c r="I970" s="937"/>
      <c r="J970" s="937"/>
      <c r="K970" s="937"/>
      <c r="L970" s="937"/>
      <c r="M970" s="937"/>
      <c r="N970" s="937"/>
      <c r="O970" s="937"/>
      <c r="P970" s="937"/>
      <c r="Q970" s="937"/>
      <c r="R970" s="937"/>
      <c r="S970" s="937"/>
      <c r="T970" s="937"/>
      <c r="U970" s="937"/>
      <c r="V970" s="937"/>
      <c r="W970" s="937"/>
      <c r="X970" s="937"/>
      <c r="Y970" s="937"/>
      <c r="Z970" s="937"/>
    </row>
    <row r="971" spans="1:26" ht="15.75" customHeight="1">
      <c r="A971" s="937"/>
      <c r="B971" s="937"/>
      <c r="C971" s="937"/>
      <c r="D971" s="937"/>
      <c r="E971" s="937"/>
      <c r="F971" s="937"/>
      <c r="G971" s="937"/>
      <c r="H971" s="937"/>
      <c r="I971" s="937"/>
      <c r="J971" s="937"/>
      <c r="K971" s="937"/>
      <c r="L971" s="937"/>
      <c r="M971" s="937"/>
      <c r="N971" s="937"/>
      <c r="O971" s="937"/>
      <c r="P971" s="937"/>
      <c r="Q971" s="937"/>
      <c r="R971" s="937"/>
      <c r="S971" s="937"/>
      <c r="T971" s="937"/>
      <c r="U971" s="937"/>
      <c r="V971" s="937"/>
      <c r="W971" s="937"/>
      <c r="X971" s="937"/>
      <c r="Y971" s="937"/>
      <c r="Z971" s="937"/>
    </row>
    <row r="972" spans="1:26" ht="15.75" customHeight="1">
      <c r="A972" s="937"/>
      <c r="B972" s="937"/>
      <c r="C972" s="937"/>
      <c r="D972" s="937"/>
      <c r="E972" s="937"/>
      <c r="F972" s="937"/>
      <c r="G972" s="937"/>
      <c r="H972" s="937"/>
      <c r="I972" s="937"/>
      <c r="J972" s="937"/>
      <c r="K972" s="937"/>
      <c r="L972" s="937"/>
      <c r="M972" s="937"/>
      <c r="N972" s="937"/>
      <c r="O972" s="937"/>
      <c r="P972" s="937"/>
      <c r="Q972" s="937"/>
      <c r="R972" s="937"/>
      <c r="S972" s="937"/>
      <c r="T972" s="937"/>
      <c r="U972" s="937"/>
      <c r="V972" s="937"/>
      <c r="W972" s="937"/>
      <c r="X972" s="937"/>
      <c r="Y972" s="937"/>
      <c r="Z972" s="937"/>
    </row>
    <row r="973" spans="1:26" ht="15.75" customHeight="1">
      <c r="A973" s="937"/>
      <c r="B973" s="937"/>
      <c r="C973" s="937"/>
      <c r="D973" s="937"/>
      <c r="E973" s="937"/>
      <c r="F973" s="937"/>
      <c r="G973" s="937"/>
      <c r="H973" s="937"/>
      <c r="I973" s="937"/>
      <c r="J973" s="937"/>
      <c r="K973" s="937"/>
      <c r="L973" s="937"/>
      <c r="M973" s="937"/>
      <c r="N973" s="937"/>
      <c r="O973" s="937"/>
      <c r="P973" s="937"/>
      <c r="Q973" s="937"/>
      <c r="R973" s="937"/>
      <c r="S973" s="937"/>
      <c r="T973" s="937"/>
      <c r="U973" s="937"/>
      <c r="V973" s="937"/>
      <c r="W973" s="937"/>
      <c r="X973" s="937"/>
      <c r="Y973" s="937"/>
      <c r="Z973" s="937"/>
    </row>
    <row r="974" spans="1:26" ht="15.75" customHeight="1">
      <c r="A974" s="937"/>
      <c r="B974" s="937"/>
      <c r="C974" s="937"/>
      <c r="D974" s="937"/>
      <c r="E974" s="937"/>
      <c r="F974" s="937"/>
      <c r="G974" s="937"/>
      <c r="H974" s="937"/>
      <c r="I974" s="937"/>
      <c r="J974" s="937"/>
      <c r="K974" s="937"/>
      <c r="L974" s="937"/>
      <c r="M974" s="937"/>
      <c r="N974" s="937"/>
      <c r="O974" s="937"/>
      <c r="P974" s="937"/>
      <c r="Q974" s="937"/>
      <c r="R974" s="937"/>
      <c r="S974" s="937"/>
      <c r="T974" s="937"/>
      <c r="U974" s="937"/>
      <c r="V974" s="937"/>
      <c r="W974" s="937"/>
      <c r="X974" s="937"/>
      <c r="Y974" s="937"/>
      <c r="Z974" s="937"/>
    </row>
    <row r="975" spans="1:26" ht="15.75" customHeight="1">
      <c r="A975" s="937"/>
      <c r="B975" s="937"/>
      <c r="C975" s="937"/>
      <c r="D975" s="937"/>
      <c r="E975" s="937"/>
      <c r="F975" s="937"/>
      <c r="G975" s="937"/>
      <c r="H975" s="937"/>
      <c r="I975" s="937"/>
      <c r="J975" s="937"/>
      <c r="K975" s="937"/>
      <c r="L975" s="937"/>
      <c r="M975" s="937"/>
      <c r="N975" s="937"/>
      <c r="O975" s="937"/>
      <c r="P975" s="937"/>
      <c r="Q975" s="937"/>
      <c r="R975" s="937"/>
      <c r="S975" s="937"/>
      <c r="T975" s="937"/>
      <c r="U975" s="937"/>
      <c r="V975" s="937"/>
      <c r="W975" s="937"/>
      <c r="X975" s="937"/>
      <c r="Y975" s="937"/>
      <c r="Z975" s="937"/>
    </row>
    <row r="976" spans="1:26" ht="15.75" customHeight="1">
      <c r="A976" s="937"/>
      <c r="B976" s="937"/>
      <c r="C976" s="937"/>
      <c r="D976" s="937"/>
      <c r="E976" s="937"/>
      <c r="F976" s="937"/>
      <c r="G976" s="937"/>
      <c r="H976" s="937"/>
      <c r="I976" s="937"/>
      <c r="J976" s="937"/>
      <c r="K976" s="937"/>
      <c r="L976" s="937"/>
      <c r="M976" s="937"/>
      <c r="N976" s="937"/>
      <c r="O976" s="937"/>
      <c r="P976" s="937"/>
      <c r="Q976" s="937"/>
      <c r="R976" s="937"/>
      <c r="S976" s="937"/>
      <c r="T976" s="937"/>
      <c r="U976" s="937"/>
      <c r="V976" s="937"/>
      <c r="W976" s="937"/>
      <c r="X976" s="937"/>
      <c r="Y976" s="937"/>
      <c r="Z976" s="937"/>
    </row>
    <row r="977" spans="1:26" ht="15.75" customHeight="1">
      <c r="A977" s="937"/>
      <c r="B977" s="937"/>
      <c r="C977" s="937"/>
      <c r="D977" s="937"/>
      <c r="E977" s="937"/>
      <c r="F977" s="937"/>
      <c r="G977" s="937"/>
      <c r="H977" s="937"/>
      <c r="I977" s="937"/>
      <c r="J977" s="937"/>
      <c r="K977" s="937"/>
      <c r="L977" s="937"/>
      <c r="M977" s="937"/>
      <c r="N977" s="937"/>
      <c r="O977" s="937"/>
      <c r="P977" s="937"/>
      <c r="Q977" s="937"/>
      <c r="R977" s="937"/>
      <c r="S977" s="937"/>
      <c r="T977" s="937"/>
      <c r="U977" s="937"/>
      <c r="V977" s="937"/>
      <c r="W977" s="937"/>
      <c r="X977" s="937"/>
      <c r="Y977" s="937"/>
      <c r="Z977" s="937"/>
    </row>
    <row r="978" spans="1:26" ht="15.75" customHeight="1">
      <c r="A978" s="937"/>
      <c r="B978" s="937"/>
      <c r="C978" s="937"/>
      <c r="D978" s="937"/>
      <c r="E978" s="937"/>
      <c r="F978" s="937"/>
      <c r="G978" s="937"/>
      <c r="H978" s="937"/>
      <c r="I978" s="937"/>
      <c r="J978" s="937"/>
      <c r="K978" s="937"/>
      <c r="L978" s="937"/>
      <c r="M978" s="937"/>
      <c r="N978" s="937"/>
      <c r="O978" s="937"/>
      <c r="P978" s="937"/>
      <c r="Q978" s="937"/>
      <c r="R978" s="937"/>
      <c r="S978" s="937"/>
      <c r="T978" s="937"/>
      <c r="U978" s="937"/>
      <c r="V978" s="937"/>
      <c r="W978" s="937"/>
      <c r="X978" s="937"/>
      <c r="Y978" s="937"/>
      <c r="Z978" s="937"/>
    </row>
    <row r="979" spans="1:26" ht="15.75" customHeight="1">
      <c r="A979" s="937"/>
      <c r="B979" s="937"/>
      <c r="C979" s="937"/>
      <c r="D979" s="937"/>
      <c r="E979" s="937"/>
      <c r="F979" s="937"/>
      <c r="G979" s="937"/>
      <c r="H979" s="937"/>
      <c r="I979" s="937"/>
      <c r="J979" s="937"/>
      <c r="K979" s="937"/>
      <c r="L979" s="937"/>
      <c r="M979" s="937"/>
      <c r="N979" s="937"/>
      <c r="O979" s="937"/>
      <c r="P979" s="937"/>
      <c r="Q979" s="937"/>
      <c r="R979" s="937"/>
      <c r="S979" s="937"/>
      <c r="T979" s="937"/>
      <c r="U979" s="937"/>
      <c r="V979" s="937"/>
      <c r="W979" s="937"/>
      <c r="X979" s="937"/>
      <c r="Y979" s="937"/>
      <c r="Z979" s="937"/>
    </row>
    <row r="980" spans="1:26" ht="15.75" customHeight="1">
      <c r="A980" s="937"/>
      <c r="B980" s="937"/>
      <c r="C980" s="937"/>
      <c r="D980" s="937"/>
      <c r="E980" s="937"/>
      <c r="F980" s="937"/>
      <c r="G980" s="937"/>
      <c r="H980" s="937"/>
      <c r="I980" s="937"/>
      <c r="J980" s="937"/>
      <c r="K980" s="937"/>
      <c r="L980" s="937"/>
      <c r="M980" s="937"/>
      <c r="N980" s="937"/>
      <c r="O980" s="937"/>
      <c r="P980" s="937"/>
      <c r="Q980" s="937"/>
      <c r="R980" s="937"/>
      <c r="S980" s="937"/>
      <c r="T980" s="937"/>
      <c r="U980" s="937"/>
      <c r="V980" s="937"/>
      <c r="W980" s="937"/>
      <c r="X980" s="937"/>
      <c r="Y980" s="937"/>
      <c r="Z980" s="937"/>
    </row>
    <row r="981" spans="1:26" ht="15.75" customHeight="1">
      <c r="A981" s="937"/>
      <c r="B981" s="937"/>
      <c r="C981" s="937"/>
      <c r="D981" s="937"/>
      <c r="E981" s="937"/>
      <c r="F981" s="937"/>
      <c r="G981" s="937"/>
      <c r="H981" s="937"/>
      <c r="I981" s="937"/>
      <c r="J981" s="937"/>
      <c r="K981" s="937"/>
      <c r="L981" s="937"/>
      <c r="M981" s="937"/>
      <c r="N981" s="937"/>
      <c r="O981" s="937"/>
      <c r="P981" s="937"/>
      <c r="Q981" s="937"/>
      <c r="R981" s="937"/>
      <c r="S981" s="937"/>
      <c r="T981" s="937"/>
      <c r="U981" s="937"/>
      <c r="V981" s="937"/>
      <c r="W981" s="937"/>
      <c r="X981" s="937"/>
      <c r="Y981" s="937"/>
      <c r="Z981" s="937"/>
    </row>
    <row r="982" spans="1:26" ht="15.75" customHeight="1">
      <c r="A982" s="937"/>
      <c r="B982" s="937"/>
      <c r="C982" s="937"/>
      <c r="D982" s="937"/>
      <c r="E982" s="937"/>
      <c r="F982" s="937"/>
      <c r="G982" s="937"/>
      <c r="H982" s="937"/>
      <c r="I982" s="937"/>
      <c r="J982" s="937"/>
      <c r="K982" s="937"/>
      <c r="L982" s="937"/>
      <c r="M982" s="937"/>
      <c r="N982" s="937"/>
      <c r="O982" s="937"/>
      <c r="P982" s="937"/>
      <c r="Q982" s="937"/>
      <c r="R982" s="937"/>
      <c r="S982" s="937"/>
      <c r="T982" s="937"/>
      <c r="U982" s="937"/>
      <c r="V982" s="937"/>
      <c r="W982" s="937"/>
      <c r="X982" s="937"/>
      <c r="Y982" s="937"/>
      <c r="Z982" s="937"/>
    </row>
    <row r="983" spans="1:26" ht="15.75" customHeight="1">
      <c r="A983" s="937"/>
      <c r="B983" s="937"/>
      <c r="C983" s="937"/>
      <c r="D983" s="937"/>
      <c r="E983" s="937"/>
      <c r="F983" s="937"/>
      <c r="G983" s="937"/>
      <c r="H983" s="937"/>
      <c r="I983" s="937"/>
      <c r="J983" s="937"/>
      <c r="K983" s="937"/>
      <c r="L983" s="937"/>
      <c r="M983" s="937"/>
      <c r="N983" s="937"/>
      <c r="O983" s="937"/>
      <c r="P983" s="937"/>
      <c r="Q983" s="937"/>
      <c r="R983" s="937"/>
      <c r="S983" s="937"/>
      <c r="T983" s="937"/>
      <c r="U983" s="937"/>
      <c r="V983" s="937"/>
      <c r="W983" s="937"/>
      <c r="X983" s="937"/>
      <c r="Y983" s="937"/>
      <c r="Z983" s="937"/>
    </row>
    <row r="984" spans="1:26" ht="15.75" customHeight="1">
      <c r="A984" s="937"/>
      <c r="B984" s="937"/>
      <c r="C984" s="937"/>
      <c r="D984" s="937"/>
      <c r="E984" s="937"/>
      <c r="F984" s="937"/>
      <c r="G984" s="937"/>
      <c r="H984" s="937"/>
      <c r="I984" s="937"/>
      <c r="J984" s="937"/>
      <c r="K984" s="937"/>
      <c r="L984" s="937"/>
      <c r="M984" s="937"/>
      <c r="N984" s="937"/>
      <c r="O984" s="937"/>
      <c r="P984" s="937"/>
      <c r="Q984" s="937"/>
      <c r="R984" s="937"/>
      <c r="S984" s="937"/>
      <c r="T984" s="937"/>
      <c r="U984" s="937"/>
      <c r="V984" s="937"/>
      <c r="W984" s="937"/>
      <c r="X984" s="937"/>
      <c r="Y984" s="937"/>
      <c r="Z984" s="937"/>
    </row>
    <row r="985" spans="1:26" ht="15.75" customHeight="1">
      <c r="A985" s="937"/>
      <c r="B985" s="937"/>
      <c r="C985" s="937"/>
      <c r="D985" s="937"/>
      <c r="E985" s="937"/>
      <c r="F985" s="937"/>
      <c r="G985" s="937"/>
      <c r="H985" s="937"/>
      <c r="I985" s="937"/>
      <c r="J985" s="937"/>
      <c r="K985" s="937"/>
      <c r="L985" s="937"/>
      <c r="M985" s="937"/>
      <c r="N985" s="937"/>
      <c r="O985" s="937"/>
      <c r="P985" s="937"/>
      <c r="Q985" s="937"/>
      <c r="R985" s="937"/>
      <c r="S985" s="937"/>
      <c r="T985" s="937"/>
      <c r="U985" s="937"/>
      <c r="V985" s="937"/>
      <c r="W985" s="937"/>
      <c r="X985" s="937"/>
      <c r="Y985" s="937"/>
      <c r="Z985" s="937"/>
    </row>
    <row r="986" spans="1:26" ht="15.75" customHeight="1">
      <c r="A986" s="937"/>
      <c r="B986" s="937"/>
      <c r="C986" s="937"/>
      <c r="D986" s="937"/>
      <c r="E986" s="937"/>
      <c r="F986" s="937"/>
      <c r="G986" s="937"/>
      <c r="H986" s="937"/>
      <c r="I986" s="937"/>
      <c r="J986" s="937"/>
      <c r="K986" s="937"/>
      <c r="L986" s="937"/>
      <c r="M986" s="937"/>
      <c r="N986" s="937"/>
      <c r="O986" s="937"/>
      <c r="P986" s="937"/>
      <c r="Q986" s="937"/>
      <c r="R986" s="937"/>
      <c r="S986" s="937"/>
      <c r="T986" s="937"/>
      <c r="U986" s="937"/>
      <c r="V986" s="937"/>
      <c r="W986" s="937"/>
      <c r="X986" s="937"/>
      <c r="Y986" s="937"/>
      <c r="Z986" s="937"/>
    </row>
    <row r="987" spans="1:26" ht="15.75" customHeight="1">
      <c r="A987" s="937"/>
      <c r="B987" s="937"/>
      <c r="C987" s="937"/>
      <c r="D987" s="937"/>
      <c r="E987" s="937"/>
      <c r="F987" s="937"/>
      <c r="G987" s="937"/>
      <c r="H987" s="937"/>
      <c r="I987" s="937"/>
      <c r="J987" s="937"/>
      <c r="K987" s="937"/>
      <c r="L987" s="937"/>
      <c r="M987" s="937"/>
      <c r="N987" s="937"/>
      <c r="O987" s="937"/>
      <c r="P987" s="937"/>
      <c r="Q987" s="937"/>
      <c r="R987" s="937"/>
      <c r="S987" s="937"/>
      <c r="T987" s="937"/>
      <c r="U987" s="937"/>
      <c r="V987" s="937"/>
      <c r="W987" s="937"/>
      <c r="X987" s="937"/>
      <c r="Y987" s="937"/>
      <c r="Z987" s="937"/>
    </row>
    <row r="988" spans="1:26" ht="15.75" customHeight="1">
      <c r="A988" s="937"/>
      <c r="B988" s="937"/>
      <c r="C988" s="937"/>
      <c r="D988" s="937"/>
      <c r="E988" s="937"/>
      <c r="F988" s="937"/>
      <c r="G988" s="937"/>
      <c r="H988" s="937"/>
      <c r="I988" s="937"/>
      <c r="J988" s="937"/>
      <c r="K988" s="937"/>
      <c r="L988" s="937"/>
      <c r="M988" s="937"/>
      <c r="N988" s="937"/>
      <c r="O988" s="937"/>
      <c r="P988" s="937"/>
      <c r="Q988" s="937"/>
      <c r="R988" s="937"/>
      <c r="S988" s="937"/>
      <c r="T988" s="937"/>
      <c r="U988" s="937"/>
      <c r="V988" s="937"/>
      <c r="W988" s="937"/>
      <c r="X988" s="937"/>
      <c r="Y988" s="937"/>
      <c r="Z988" s="937"/>
    </row>
    <row r="989" spans="1:26" ht="15.75" customHeight="1">
      <c r="A989" s="937"/>
      <c r="B989" s="937"/>
      <c r="C989" s="937"/>
      <c r="D989" s="937"/>
      <c r="E989" s="937"/>
      <c r="F989" s="937"/>
      <c r="G989" s="937"/>
      <c r="H989" s="937"/>
      <c r="I989" s="937"/>
      <c r="J989" s="937"/>
      <c r="K989" s="937"/>
      <c r="L989" s="937"/>
      <c r="M989" s="937"/>
      <c r="N989" s="937"/>
      <c r="O989" s="937"/>
      <c r="P989" s="937"/>
      <c r="Q989" s="937"/>
      <c r="R989" s="937"/>
      <c r="S989" s="937"/>
      <c r="T989" s="937"/>
      <c r="U989" s="937"/>
      <c r="V989" s="937"/>
      <c r="W989" s="937"/>
      <c r="X989" s="937"/>
      <c r="Y989" s="937"/>
      <c r="Z989" s="937"/>
    </row>
    <row r="990" spans="1:26" ht="15.75" customHeight="1">
      <c r="A990" s="937"/>
      <c r="B990" s="937"/>
      <c r="C990" s="937"/>
      <c r="D990" s="937"/>
      <c r="E990" s="937"/>
      <c r="F990" s="937"/>
      <c r="G990" s="937"/>
      <c r="H990" s="937"/>
      <c r="I990" s="937"/>
      <c r="J990" s="937"/>
      <c r="K990" s="937"/>
      <c r="L990" s="937"/>
      <c r="M990" s="937"/>
      <c r="N990" s="937"/>
      <c r="O990" s="937"/>
      <c r="P990" s="937"/>
      <c r="Q990" s="937"/>
      <c r="R990" s="937"/>
      <c r="S990" s="937"/>
      <c r="T990" s="937"/>
      <c r="U990" s="937"/>
      <c r="V990" s="937"/>
      <c r="W990" s="937"/>
      <c r="X990" s="937"/>
      <c r="Y990" s="937"/>
      <c r="Z990" s="937"/>
    </row>
    <row r="991" spans="1:26" ht="15.75" customHeight="1">
      <c r="A991" s="937"/>
      <c r="B991" s="937"/>
      <c r="C991" s="937"/>
      <c r="D991" s="937"/>
      <c r="E991" s="937"/>
      <c r="F991" s="937"/>
      <c r="G991" s="937"/>
      <c r="H991" s="937"/>
      <c r="I991" s="937"/>
      <c r="J991" s="937"/>
      <c r="K991" s="937"/>
      <c r="L991" s="937"/>
      <c r="M991" s="937"/>
      <c r="N991" s="937"/>
      <c r="O991" s="937"/>
      <c r="P991" s="937"/>
      <c r="Q991" s="937"/>
      <c r="R991" s="937"/>
      <c r="S991" s="937"/>
      <c r="T991" s="937"/>
      <c r="U991" s="937"/>
      <c r="V991" s="937"/>
      <c r="W991" s="937"/>
      <c r="X991" s="937"/>
      <c r="Y991" s="937"/>
      <c r="Z991" s="937"/>
    </row>
    <row r="992" spans="1:26" ht="15.75" customHeight="1">
      <c r="A992" s="937"/>
      <c r="B992" s="937"/>
      <c r="C992" s="937"/>
      <c r="D992" s="937"/>
      <c r="E992" s="937"/>
      <c r="F992" s="937"/>
      <c r="G992" s="937"/>
      <c r="H992" s="937"/>
      <c r="I992" s="937"/>
      <c r="J992" s="937"/>
      <c r="K992" s="937"/>
      <c r="L992" s="937"/>
      <c r="M992" s="937"/>
      <c r="N992" s="937"/>
      <c r="O992" s="937"/>
      <c r="P992" s="937"/>
      <c r="Q992" s="937"/>
      <c r="R992" s="937"/>
      <c r="S992" s="937"/>
      <c r="T992" s="937"/>
      <c r="U992" s="937"/>
      <c r="V992" s="937"/>
      <c r="W992" s="937"/>
      <c r="X992" s="937"/>
      <c r="Y992" s="937"/>
      <c r="Z992" s="937"/>
    </row>
    <row r="993" spans="1:26" ht="15.75" customHeight="1">
      <c r="A993" s="937"/>
      <c r="B993" s="937"/>
      <c r="C993" s="937"/>
      <c r="D993" s="937"/>
      <c r="E993" s="937"/>
      <c r="F993" s="937"/>
      <c r="G993" s="937"/>
      <c r="H993" s="937"/>
      <c r="I993" s="937"/>
      <c r="J993" s="937"/>
      <c r="K993" s="937"/>
      <c r="L993" s="937"/>
      <c r="M993" s="937"/>
      <c r="N993" s="937"/>
      <c r="O993" s="937"/>
      <c r="P993" s="937"/>
      <c r="Q993" s="937"/>
      <c r="R993" s="937"/>
      <c r="S993" s="937"/>
      <c r="T993" s="937"/>
      <c r="U993" s="937"/>
      <c r="V993" s="937"/>
      <c r="W993" s="937"/>
      <c r="X993" s="937"/>
      <c r="Y993" s="937"/>
      <c r="Z993" s="937"/>
    </row>
    <row r="994" spans="1:26" ht="15.75" customHeight="1">
      <c r="A994" s="937"/>
      <c r="B994" s="937"/>
      <c r="C994" s="937"/>
      <c r="D994" s="937"/>
      <c r="E994" s="937"/>
      <c r="F994" s="937"/>
      <c r="G994" s="937"/>
      <c r="H994" s="937"/>
      <c r="I994" s="937"/>
      <c r="J994" s="937"/>
      <c r="K994" s="937"/>
      <c r="L994" s="937"/>
      <c r="M994" s="937"/>
      <c r="N994" s="937"/>
      <c r="O994" s="937"/>
      <c r="P994" s="937"/>
      <c r="Q994" s="937"/>
      <c r="R994" s="937"/>
      <c r="S994" s="937"/>
      <c r="T994" s="937"/>
      <c r="U994" s="937"/>
      <c r="V994" s="937"/>
      <c r="W994" s="937"/>
      <c r="X994" s="937"/>
      <c r="Y994" s="937"/>
      <c r="Z994" s="937"/>
    </row>
    <row r="995" spans="1:26" ht="15.75" customHeight="1">
      <c r="A995" s="937"/>
      <c r="B995" s="937"/>
      <c r="C995" s="937"/>
      <c r="D995" s="937"/>
      <c r="E995" s="937"/>
      <c r="F995" s="937"/>
      <c r="G995" s="937"/>
      <c r="H995" s="937"/>
      <c r="I995" s="937"/>
      <c r="J995" s="937"/>
      <c r="K995" s="937"/>
      <c r="L995" s="937"/>
      <c r="M995" s="937"/>
      <c r="N995" s="937"/>
      <c r="O995" s="937"/>
      <c r="P995" s="937"/>
      <c r="Q995" s="937"/>
      <c r="R995" s="937"/>
      <c r="S995" s="937"/>
      <c r="T995" s="937"/>
      <c r="U995" s="937"/>
      <c r="V995" s="937"/>
      <c r="W995" s="937"/>
      <c r="X995" s="937"/>
      <c r="Y995" s="937"/>
      <c r="Z995" s="937"/>
    </row>
    <row r="996" spans="1:26" ht="15.75" customHeight="1">
      <c r="A996" s="937"/>
      <c r="B996" s="937"/>
      <c r="C996" s="937"/>
      <c r="D996" s="937"/>
      <c r="E996" s="937"/>
      <c r="F996" s="937"/>
      <c r="G996" s="937"/>
      <c r="H996" s="937"/>
      <c r="I996" s="937"/>
      <c r="J996" s="937"/>
      <c r="K996" s="937"/>
      <c r="L996" s="937"/>
      <c r="M996" s="937"/>
      <c r="N996" s="937"/>
      <c r="O996" s="937"/>
      <c r="P996" s="937"/>
      <c r="Q996" s="937"/>
      <c r="R996" s="937"/>
      <c r="S996" s="937"/>
      <c r="T996" s="937"/>
      <c r="U996" s="937"/>
      <c r="V996" s="937"/>
      <c r="W996" s="937"/>
      <c r="X996" s="937"/>
      <c r="Y996" s="937"/>
      <c r="Z996" s="937"/>
    </row>
    <row r="997" spans="1:26" ht="15.75" customHeight="1">
      <c r="A997" s="937"/>
      <c r="B997" s="937"/>
      <c r="C997" s="937"/>
      <c r="D997" s="937"/>
      <c r="E997" s="937"/>
      <c r="F997" s="937"/>
      <c r="G997" s="937"/>
      <c r="H997" s="937"/>
      <c r="I997" s="937"/>
      <c r="J997" s="937"/>
      <c r="K997" s="937"/>
      <c r="L997" s="937"/>
      <c r="M997" s="937"/>
      <c r="N997" s="937"/>
      <c r="O997" s="937"/>
      <c r="P997" s="937"/>
      <c r="Q997" s="937"/>
      <c r="R997" s="937"/>
      <c r="S997" s="937"/>
      <c r="T997" s="937"/>
      <c r="U997" s="937"/>
      <c r="V997" s="937"/>
      <c r="W997" s="937"/>
      <c r="X997" s="937"/>
      <c r="Y997" s="937"/>
      <c r="Z997" s="937"/>
    </row>
    <row r="998" spans="1:26" ht="15.75" customHeight="1">
      <c r="A998" s="937"/>
      <c r="B998" s="937"/>
      <c r="C998" s="937"/>
      <c r="D998" s="937"/>
      <c r="E998" s="937"/>
      <c r="F998" s="937"/>
      <c r="G998" s="937"/>
      <c r="H998" s="937"/>
      <c r="I998" s="937"/>
      <c r="J998" s="937"/>
      <c r="K998" s="937"/>
      <c r="L998" s="937"/>
      <c r="M998" s="937"/>
      <c r="N998" s="937"/>
      <c r="O998" s="937"/>
      <c r="P998" s="937"/>
      <c r="Q998" s="937"/>
      <c r="R998" s="937"/>
      <c r="S998" s="937"/>
      <c r="T998" s="937"/>
      <c r="U998" s="937"/>
      <c r="V998" s="937"/>
      <c r="W998" s="937"/>
      <c r="X998" s="937"/>
      <c r="Y998" s="937"/>
      <c r="Z998" s="937"/>
    </row>
    <row r="999" spans="1:26" ht="15.75" customHeight="1">
      <c r="A999" s="937"/>
      <c r="B999" s="937"/>
      <c r="C999" s="937"/>
      <c r="D999" s="937"/>
      <c r="E999" s="937"/>
      <c r="F999" s="937"/>
      <c r="G999" s="937"/>
      <c r="H999" s="937"/>
      <c r="I999" s="937"/>
      <c r="J999" s="937"/>
      <c r="K999" s="937"/>
      <c r="L999" s="937"/>
      <c r="M999" s="937"/>
      <c r="N999" s="937"/>
      <c r="O999" s="937"/>
      <c r="P999" s="937"/>
      <c r="Q999" s="937"/>
      <c r="R999" s="937"/>
      <c r="S999" s="937"/>
      <c r="T999" s="937"/>
      <c r="U999" s="937"/>
      <c r="V999" s="937"/>
      <c r="W999" s="937"/>
      <c r="X999" s="937"/>
      <c r="Y999" s="937"/>
      <c r="Z999" s="937"/>
    </row>
    <row r="1000" spans="1:26" ht="15.75" customHeight="1">
      <c r="A1000" s="937"/>
      <c r="B1000" s="937"/>
      <c r="C1000" s="937"/>
      <c r="D1000" s="937"/>
      <c r="E1000" s="937"/>
      <c r="F1000" s="937"/>
      <c r="G1000" s="937"/>
      <c r="H1000" s="937"/>
      <c r="I1000" s="937"/>
      <c r="J1000" s="937"/>
      <c r="K1000" s="937"/>
      <c r="L1000" s="937"/>
      <c r="M1000" s="937"/>
      <c r="N1000" s="937"/>
      <c r="O1000" s="937"/>
      <c r="P1000" s="937"/>
      <c r="Q1000" s="937"/>
      <c r="R1000" s="937"/>
      <c r="S1000" s="937"/>
      <c r="T1000" s="937"/>
      <c r="U1000" s="937"/>
      <c r="V1000" s="937"/>
      <c r="W1000" s="937"/>
      <c r="X1000" s="937"/>
      <c r="Y1000" s="937"/>
      <c r="Z1000" s="937"/>
    </row>
    <row r="1001" spans="1:26" ht="15.75" customHeight="1">
      <c r="A1001" s="937"/>
      <c r="B1001" s="937"/>
      <c r="C1001" s="937"/>
      <c r="D1001" s="937"/>
      <c r="E1001" s="937"/>
      <c r="F1001" s="937"/>
      <c r="G1001" s="937"/>
      <c r="H1001" s="937"/>
      <c r="I1001" s="937"/>
      <c r="J1001" s="937"/>
      <c r="K1001" s="937"/>
      <c r="L1001" s="937"/>
      <c r="M1001" s="937"/>
      <c r="N1001" s="937"/>
      <c r="O1001" s="937"/>
      <c r="P1001" s="937"/>
      <c r="Q1001" s="937"/>
      <c r="R1001" s="937"/>
      <c r="S1001" s="937"/>
      <c r="T1001" s="937"/>
      <c r="U1001" s="937"/>
      <c r="V1001" s="937"/>
      <c r="W1001" s="937"/>
      <c r="X1001" s="937"/>
      <c r="Y1001" s="937"/>
      <c r="Z1001" s="937"/>
    </row>
    <row r="1002" spans="1:26" ht="15.75" customHeight="1">
      <c r="A1002" s="937"/>
      <c r="B1002" s="937"/>
      <c r="C1002" s="937"/>
      <c r="D1002" s="937"/>
      <c r="E1002" s="937"/>
      <c r="F1002" s="937"/>
      <c r="G1002" s="937"/>
      <c r="H1002" s="937"/>
      <c r="I1002" s="937"/>
      <c r="J1002" s="937"/>
      <c r="K1002" s="937"/>
      <c r="L1002" s="937"/>
      <c r="M1002" s="937"/>
      <c r="N1002" s="937"/>
      <c r="O1002" s="937"/>
      <c r="P1002" s="937"/>
      <c r="Q1002" s="937"/>
      <c r="R1002" s="937"/>
      <c r="S1002" s="937"/>
      <c r="T1002" s="937"/>
      <c r="U1002" s="937"/>
      <c r="V1002" s="937"/>
      <c r="W1002" s="937"/>
      <c r="X1002" s="937"/>
      <c r="Y1002" s="937"/>
      <c r="Z1002" s="937"/>
    </row>
    <row r="1003" spans="1:26" ht="15.75" customHeight="1">
      <c r="A1003" s="937"/>
      <c r="B1003" s="937"/>
      <c r="C1003" s="937"/>
      <c r="D1003" s="937"/>
      <c r="E1003" s="937"/>
      <c r="F1003" s="937"/>
      <c r="G1003" s="937"/>
      <c r="H1003" s="937"/>
      <c r="I1003" s="937"/>
      <c r="J1003" s="937"/>
      <c r="K1003" s="937"/>
      <c r="L1003" s="937"/>
      <c r="M1003" s="937"/>
      <c r="N1003" s="937"/>
      <c r="O1003" s="937"/>
      <c r="P1003" s="937"/>
      <c r="Q1003" s="937"/>
      <c r="R1003" s="937"/>
      <c r="S1003" s="937"/>
      <c r="T1003" s="937"/>
      <c r="U1003" s="937"/>
      <c r="V1003" s="937"/>
      <c r="W1003" s="937"/>
      <c r="X1003" s="937"/>
      <c r="Y1003" s="937"/>
      <c r="Z1003" s="937"/>
    </row>
    <row r="1004" spans="1:26" ht="15.75" customHeight="1">
      <c r="A1004" s="937"/>
      <c r="B1004" s="937"/>
      <c r="C1004" s="937"/>
      <c r="D1004" s="937"/>
      <c r="E1004" s="937"/>
      <c r="F1004" s="937"/>
      <c r="G1004" s="937"/>
      <c r="H1004" s="937"/>
      <c r="I1004" s="937"/>
      <c r="J1004" s="937"/>
      <c r="K1004" s="937"/>
      <c r="L1004" s="937"/>
      <c r="M1004" s="937"/>
      <c r="N1004" s="937"/>
      <c r="O1004" s="937"/>
      <c r="P1004" s="937"/>
      <c r="Q1004" s="937"/>
      <c r="R1004" s="937"/>
      <c r="S1004" s="937"/>
      <c r="T1004" s="937"/>
      <c r="U1004" s="937"/>
      <c r="V1004" s="937"/>
      <c r="W1004" s="937"/>
      <c r="X1004" s="937"/>
      <c r="Y1004" s="937"/>
      <c r="Z1004" s="937"/>
    </row>
    <row r="1005" spans="1:26" ht="15.75" customHeight="1">
      <c r="A1005" s="937"/>
      <c r="B1005" s="937"/>
      <c r="C1005" s="937"/>
      <c r="D1005" s="937"/>
      <c r="E1005" s="937"/>
      <c r="F1005" s="937"/>
      <c r="G1005" s="937"/>
      <c r="H1005" s="937"/>
      <c r="I1005" s="937"/>
      <c r="J1005" s="937"/>
      <c r="K1005" s="937"/>
      <c r="L1005" s="937"/>
      <c r="M1005" s="937"/>
      <c r="N1005" s="937"/>
      <c r="O1005" s="937"/>
      <c r="P1005" s="937"/>
      <c r="Q1005" s="937"/>
      <c r="R1005" s="937"/>
      <c r="S1005" s="937"/>
      <c r="T1005" s="937"/>
      <c r="U1005" s="937"/>
      <c r="V1005" s="937"/>
      <c r="W1005" s="937"/>
      <c r="X1005" s="937"/>
      <c r="Y1005" s="937"/>
      <c r="Z1005" s="937"/>
    </row>
    <row r="1006" spans="1:26" ht="15.75" customHeight="1">
      <c r="A1006" s="937"/>
      <c r="B1006" s="937"/>
      <c r="C1006" s="937"/>
      <c r="D1006" s="937"/>
      <c r="E1006" s="937"/>
      <c r="F1006" s="937"/>
      <c r="G1006" s="937"/>
      <c r="H1006" s="937"/>
      <c r="I1006" s="937"/>
      <c r="J1006" s="937"/>
      <c r="K1006" s="937"/>
      <c r="L1006" s="937"/>
      <c r="M1006" s="937"/>
      <c r="N1006" s="937"/>
      <c r="O1006" s="937"/>
      <c r="P1006" s="937"/>
      <c r="Q1006" s="937"/>
      <c r="R1006" s="937"/>
      <c r="S1006" s="937"/>
      <c r="T1006" s="937"/>
      <c r="U1006" s="937"/>
      <c r="V1006" s="937"/>
      <c r="W1006" s="937"/>
      <c r="X1006" s="937"/>
      <c r="Y1006" s="937"/>
      <c r="Z1006" s="937"/>
    </row>
    <row r="1007" spans="1:26" ht="15.75" customHeight="1">
      <c r="A1007" s="937"/>
      <c r="B1007" s="937"/>
      <c r="C1007" s="937"/>
      <c r="D1007" s="937"/>
      <c r="E1007" s="937"/>
      <c r="F1007" s="937"/>
      <c r="G1007" s="937"/>
      <c r="H1007" s="937"/>
      <c r="I1007" s="937"/>
      <c r="J1007" s="937"/>
      <c r="K1007" s="937"/>
      <c r="L1007" s="937"/>
      <c r="M1007" s="937"/>
      <c r="N1007" s="937"/>
      <c r="O1007" s="937"/>
      <c r="P1007" s="937"/>
      <c r="Q1007" s="937"/>
      <c r="R1007" s="937"/>
      <c r="S1007" s="937"/>
      <c r="T1007" s="937"/>
      <c r="U1007" s="937"/>
      <c r="V1007" s="937"/>
      <c r="W1007" s="937"/>
      <c r="X1007" s="937"/>
      <c r="Y1007" s="937"/>
      <c r="Z1007" s="937"/>
    </row>
    <row r="1008" spans="1:26" ht="15.75" customHeight="1">
      <c r="A1008" s="937"/>
      <c r="B1008" s="937"/>
      <c r="C1008" s="937"/>
      <c r="D1008" s="937"/>
      <c r="E1008" s="937"/>
      <c r="F1008" s="937"/>
      <c r="G1008" s="937"/>
      <c r="H1008" s="937"/>
      <c r="I1008" s="937"/>
      <c r="J1008" s="937"/>
      <c r="K1008" s="937"/>
      <c r="L1008" s="937"/>
      <c r="M1008" s="937"/>
      <c r="N1008" s="937"/>
      <c r="O1008" s="937"/>
      <c r="P1008" s="937"/>
      <c r="Q1008" s="937"/>
      <c r="R1008" s="937"/>
      <c r="S1008" s="937"/>
      <c r="T1008" s="937"/>
      <c r="U1008" s="937"/>
      <c r="V1008" s="937"/>
      <c r="W1008" s="937"/>
      <c r="X1008" s="937"/>
      <c r="Y1008" s="937"/>
      <c r="Z1008" s="937"/>
    </row>
    <row r="1009" spans="1:26" ht="15.75" customHeight="1">
      <c r="A1009" s="937"/>
      <c r="B1009" s="937"/>
      <c r="C1009" s="937"/>
      <c r="D1009" s="937"/>
      <c r="E1009" s="937"/>
      <c r="F1009" s="937"/>
      <c r="G1009" s="937"/>
      <c r="H1009" s="937"/>
      <c r="I1009" s="937"/>
      <c r="J1009" s="937"/>
      <c r="K1009" s="937"/>
      <c r="L1009" s="937"/>
      <c r="M1009" s="937"/>
      <c r="N1009" s="937"/>
      <c r="O1009" s="937"/>
      <c r="P1009" s="937"/>
      <c r="Q1009" s="937"/>
      <c r="R1009" s="937"/>
      <c r="S1009" s="937"/>
      <c r="T1009" s="937"/>
      <c r="U1009" s="937"/>
      <c r="V1009" s="937"/>
      <c r="W1009" s="937"/>
      <c r="X1009" s="937"/>
      <c r="Y1009" s="937"/>
      <c r="Z1009" s="937"/>
    </row>
    <row r="1010" spans="1:26" ht="15.75" customHeight="1">
      <c r="A1010" s="937"/>
      <c r="B1010" s="937"/>
      <c r="C1010" s="937"/>
      <c r="D1010" s="937"/>
      <c r="E1010" s="937"/>
      <c r="F1010" s="937"/>
      <c r="G1010" s="937"/>
      <c r="H1010" s="937"/>
      <c r="I1010" s="937"/>
      <c r="J1010" s="937"/>
      <c r="K1010" s="937"/>
      <c r="L1010" s="937"/>
      <c r="M1010" s="937"/>
      <c r="N1010" s="937"/>
      <c r="O1010" s="937"/>
      <c r="P1010" s="937"/>
      <c r="Q1010" s="937"/>
      <c r="R1010" s="937"/>
      <c r="S1010" s="937"/>
      <c r="T1010" s="937"/>
      <c r="U1010" s="937"/>
      <c r="V1010" s="937"/>
      <c r="W1010" s="937"/>
      <c r="X1010" s="937"/>
      <c r="Y1010" s="937"/>
      <c r="Z1010" s="937"/>
    </row>
    <row r="1011" spans="1:26" ht="15.75" customHeight="1">
      <c r="A1011" s="937"/>
      <c r="B1011" s="937"/>
      <c r="C1011" s="937"/>
      <c r="D1011" s="937"/>
      <c r="E1011" s="937"/>
      <c r="F1011" s="937"/>
      <c r="G1011" s="937"/>
      <c r="H1011" s="937"/>
      <c r="I1011" s="937"/>
      <c r="J1011" s="937"/>
      <c r="K1011" s="937"/>
      <c r="L1011" s="937"/>
      <c r="M1011" s="937"/>
      <c r="N1011" s="937"/>
      <c r="O1011" s="937"/>
      <c r="P1011" s="937"/>
      <c r="Q1011" s="937"/>
      <c r="R1011" s="937"/>
      <c r="S1011" s="937"/>
      <c r="T1011" s="937"/>
      <c r="U1011" s="937"/>
      <c r="V1011" s="937"/>
      <c r="W1011" s="937"/>
      <c r="X1011" s="937"/>
      <c r="Y1011" s="937"/>
      <c r="Z1011" s="937"/>
    </row>
    <row r="1012" spans="1:26" ht="15.75" customHeight="1">
      <c r="A1012" s="937"/>
      <c r="B1012" s="937"/>
      <c r="C1012" s="937"/>
      <c r="D1012" s="937"/>
      <c r="E1012" s="937"/>
      <c r="F1012" s="937"/>
      <c r="G1012" s="937"/>
      <c r="H1012" s="937"/>
      <c r="I1012" s="937"/>
      <c r="J1012" s="937"/>
      <c r="K1012" s="937"/>
      <c r="L1012" s="937"/>
      <c r="M1012" s="937"/>
      <c r="N1012" s="937"/>
      <c r="O1012" s="937"/>
      <c r="P1012" s="937"/>
      <c r="Q1012" s="937"/>
      <c r="R1012" s="937"/>
      <c r="S1012" s="937"/>
      <c r="T1012" s="937"/>
      <c r="U1012" s="937"/>
      <c r="V1012" s="937"/>
      <c r="W1012" s="937"/>
      <c r="X1012" s="937"/>
      <c r="Y1012" s="937"/>
      <c r="Z1012" s="937"/>
    </row>
    <row r="1013" spans="1:26" ht="15.75" customHeight="1">
      <c r="A1013" s="937"/>
      <c r="B1013" s="937"/>
      <c r="C1013" s="937"/>
      <c r="D1013" s="937"/>
      <c r="E1013" s="937"/>
      <c r="F1013" s="937"/>
      <c r="G1013" s="937"/>
      <c r="H1013" s="937"/>
      <c r="I1013" s="937"/>
      <c r="J1013" s="937"/>
      <c r="K1013" s="937"/>
      <c r="L1013" s="937"/>
      <c r="M1013" s="937"/>
      <c r="N1013" s="937"/>
      <c r="O1013" s="937"/>
      <c r="P1013" s="937"/>
      <c r="Q1013" s="937"/>
      <c r="R1013" s="937"/>
      <c r="S1013" s="937"/>
      <c r="T1013" s="937"/>
      <c r="U1013" s="937"/>
      <c r="V1013" s="937"/>
      <c r="W1013" s="937"/>
      <c r="X1013" s="937"/>
      <c r="Y1013" s="937"/>
      <c r="Z1013" s="937"/>
    </row>
    <row r="1014" spans="1:26" ht="15.75" customHeight="1">
      <c r="A1014" s="937"/>
      <c r="B1014" s="937"/>
      <c r="C1014" s="937"/>
      <c r="D1014" s="937"/>
      <c r="E1014" s="937"/>
      <c r="F1014" s="937"/>
      <c r="G1014" s="937"/>
      <c r="H1014" s="937"/>
      <c r="I1014" s="937"/>
      <c r="J1014" s="937"/>
      <c r="K1014" s="937"/>
      <c r="L1014" s="937"/>
      <c r="M1014" s="937"/>
      <c r="N1014" s="937"/>
      <c r="O1014" s="937"/>
      <c r="P1014" s="937"/>
      <c r="Q1014" s="937"/>
      <c r="R1014" s="937"/>
      <c r="S1014" s="937"/>
      <c r="T1014" s="937"/>
      <c r="U1014" s="937"/>
      <c r="V1014" s="937"/>
      <c r="W1014" s="937"/>
      <c r="X1014" s="937"/>
      <c r="Y1014" s="937"/>
      <c r="Z1014" s="937"/>
    </row>
    <row r="1015" spans="1:26" ht="15.75" customHeight="1">
      <c r="A1015" s="937"/>
      <c r="B1015" s="937"/>
      <c r="C1015" s="937"/>
      <c r="D1015" s="937"/>
      <c r="E1015" s="937"/>
      <c r="F1015" s="937"/>
      <c r="G1015" s="937"/>
      <c r="H1015" s="937"/>
      <c r="I1015" s="937"/>
      <c r="J1015" s="937"/>
      <c r="K1015" s="937"/>
      <c r="L1015" s="937"/>
      <c r="M1015" s="937"/>
      <c r="N1015" s="937"/>
      <c r="O1015" s="937"/>
      <c r="P1015" s="937"/>
      <c r="Q1015" s="937"/>
      <c r="R1015" s="937"/>
      <c r="S1015" s="937"/>
      <c r="T1015" s="937"/>
      <c r="U1015" s="937"/>
      <c r="V1015" s="937"/>
      <c r="W1015" s="937"/>
      <c r="X1015" s="937"/>
      <c r="Y1015" s="937"/>
      <c r="Z1015" s="937"/>
    </row>
    <row r="1016" spans="1:26" ht="15.75" customHeight="1">
      <c r="A1016" s="937"/>
      <c r="B1016" s="937"/>
      <c r="C1016" s="937"/>
      <c r="D1016" s="937"/>
      <c r="E1016" s="937"/>
      <c r="F1016" s="937"/>
      <c r="G1016" s="937"/>
      <c r="H1016" s="937"/>
      <c r="I1016" s="937"/>
      <c r="J1016" s="937"/>
      <c r="K1016" s="937"/>
      <c r="L1016" s="937"/>
      <c r="M1016" s="937"/>
      <c r="N1016" s="937"/>
      <c r="O1016" s="937"/>
      <c r="P1016" s="937"/>
      <c r="Q1016" s="937"/>
      <c r="R1016" s="937"/>
      <c r="S1016" s="937"/>
      <c r="T1016" s="937"/>
      <c r="U1016" s="937"/>
      <c r="V1016" s="937"/>
      <c r="W1016" s="937"/>
      <c r="X1016" s="937"/>
      <c r="Y1016" s="937"/>
      <c r="Z1016" s="937"/>
    </row>
    <row r="1017" spans="1:26" ht="15.75" customHeight="1">
      <c r="A1017" s="937"/>
      <c r="B1017" s="937"/>
      <c r="C1017" s="937"/>
      <c r="D1017" s="937"/>
      <c r="E1017" s="937"/>
      <c r="F1017" s="937"/>
      <c r="G1017" s="937"/>
      <c r="H1017" s="937"/>
      <c r="I1017" s="937"/>
      <c r="J1017" s="937"/>
      <c r="K1017" s="937"/>
      <c r="L1017" s="937"/>
      <c r="M1017" s="937"/>
      <c r="N1017" s="937"/>
      <c r="O1017" s="937"/>
      <c r="P1017" s="937"/>
      <c r="Q1017" s="937"/>
      <c r="R1017" s="937"/>
      <c r="S1017" s="937"/>
      <c r="T1017" s="937"/>
      <c r="U1017" s="937"/>
      <c r="V1017" s="937"/>
      <c r="W1017" s="937"/>
      <c r="X1017" s="937"/>
      <c r="Y1017" s="937"/>
      <c r="Z1017" s="937"/>
    </row>
    <row r="1018" spans="1:26" ht="15.75" customHeight="1">
      <c r="A1018" s="937"/>
      <c r="B1018" s="937"/>
      <c r="C1018" s="937"/>
      <c r="D1018" s="937"/>
      <c r="E1018" s="937"/>
      <c r="F1018" s="937"/>
      <c r="G1018" s="937"/>
      <c r="H1018" s="937"/>
      <c r="I1018" s="937"/>
      <c r="J1018" s="937"/>
      <c r="K1018" s="937"/>
      <c r="L1018" s="937"/>
      <c r="M1018" s="937"/>
      <c r="N1018" s="937"/>
      <c r="O1018" s="937"/>
      <c r="P1018" s="937"/>
      <c r="Q1018" s="937"/>
      <c r="R1018" s="937"/>
      <c r="S1018" s="937"/>
      <c r="T1018" s="937"/>
      <c r="U1018" s="937"/>
      <c r="V1018" s="937"/>
      <c r="W1018" s="937"/>
      <c r="X1018" s="937"/>
      <c r="Y1018" s="937"/>
      <c r="Z1018" s="937"/>
    </row>
    <row r="1019" spans="1:26" ht="15.75" customHeight="1">
      <c r="A1019" s="937"/>
      <c r="B1019" s="937"/>
      <c r="C1019" s="937"/>
      <c r="D1019" s="937"/>
      <c r="E1019" s="937"/>
      <c r="F1019" s="937"/>
      <c r="G1019" s="937"/>
      <c r="H1019" s="937"/>
      <c r="I1019" s="937"/>
      <c r="J1019" s="937"/>
      <c r="K1019" s="937"/>
      <c r="L1019" s="937"/>
      <c r="M1019" s="937"/>
      <c r="N1019" s="937"/>
      <c r="O1019" s="937"/>
      <c r="P1019" s="937"/>
      <c r="Q1019" s="937"/>
      <c r="R1019" s="937"/>
      <c r="S1019" s="937"/>
      <c r="T1019" s="937"/>
      <c r="U1019" s="937"/>
      <c r="V1019" s="937"/>
      <c r="W1019" s="937"/>
      <c r="X1019" s="937"/>
      <c r="Y1019" s="937"/>
      <c r="Z1019" s="937"/>
    </row>
    <row r="1020" spans="1:26" ht="15.75" customHeight="1">
      <c r="A1020" s="937"/>
      <c r="B1020" s="937"/>
      <c r="C1020" s="937"/>
      <c r="D1020" s="937"/>
      <c r="E1020" s="937"/>
      <c r="F1020" s="937"/>
      <c r="G1020" s="937"/>
      <c r="H1020" s="937"/>
      <c r="I1020" s="937"/>
      <c r="J1020" s="937"/>
      <c r="K1020" s="937"/>
      <c r="L1020" s="937"/>
      <c r="M1020" s="937"/>
      <c r="N1020" s="937"/>
      <c r="O1020" s="937"/>
      <c r="P1020" s="937"/>
      <c r="Q1020" s="937"/>
      <c r="R1020" s="937"/>
      <c r="S1020" s="937"/>
      <c r="T1020" s="937"/>
      <c r="U1020" s="937"/>
      <c r="V1020" s="937"/>
      <c r="W1020" s="937"/>
      <c r="X1020" s="937"/>
      <c r="Y1020" s="937"/>
      <c r="Z1020" s="937"/>
    </row>
    <row r="1021" spans="1:26" ht="15.75" customHeight="1">
      <c r="A1021" s="937"/>
      <c r="B1021" s="937"/>
      <c r="C1021" s="937"/>
      <c r="D1021" s="937"/>
      <c r="E1021" s="937"/>
      <c r="F1021" s="937"/>
      <c r="G1021" s="937"/>
      <c r="H1021" s="937"/>
      <c r="I1021" s="937"/>
      <c r="J1021" s="937"/>
      <c r="K1021" s="937"/>
      <c r="L1021" s="937"/>
      <c r="M1021" s="937"/>
      <c r="N1021" s="937"/>
      <c r="O1021" s="937"/>
      <c r="P1021" s="937"/>
      <c r="Q1021" s="937"/>
      <c r="R1021" s="937"/>
      <c r="S1021" s="937"/>
      <c r="T1021" s="937"/>
      <c r="U1021" s="937"/>
      <c r="V1021" s="937"/>
      <c r="W1021" s="937"/>
      <c r="X1021" s="937"/>
      <c r="Y1021" s="937"/>
      <c r="Z1021" s="937"/>
    </row>
    <row r="1022" spans="1:26" ht="15.75" customHeight="1">
      <c r="A1022" s="937"/>
      <c r="B1022" s="937"/>
      <c r="C1022" s="937"/>
      <c r="D1022" s="937"/>
      <c r="E1022" s="937"/>
      <c r="F1022" s="937"/>
      <c r="G1022" s="937"/>
      <c r="H1022" s="937"/>
      <c r="I1022" s="937"/>
      <c r="J1022" s="937"/>
      <c r="K1022" s="937"/>
      <c r="L1022" s="937"/>
      <c r="M1022" s="937"/>
      <c r="N1022" s="937"/>
      <c r="O1022" s="937"/>
      <c r="P1022" s="937"/>
      <c r="Q1022" s="937"/>
      <c r="R1022" s="937"/>
      <c r="S1022" s="937"/>
      <c r="T1022" s="937"/>
      <c r="U1022" s="937"/>
      <c r="V1022" s="937"/>
      <c r="W1022" s="937"/>
      <c r="X1022" s="937"/>
      <c r="Y1022" s="937"/>
      <c r="Z1022" s="937"/>
    </row>
    <row r="1023" spans="1:26" ht="15.75" customHeight="1">
      <c r="A1023" s="937"/>
      <c r="B1023" s="937"/>
      <c r="C1023" s="937"/>
      <c r="D1023" s="937"/>
      <c r="E1023" s="937"/>
      <c r="F1023" s="937"/>
      <c r="G1023" s="937"/>
      <c r="H1023" s="937"/>
      <c r="I1023" s="937"/>
      <c r="J1023" s="937"/>
      <c r="K1023" s="937"/>
      <c r="L1023" s="937"/>
      <c r="M1023" s="937"/>
      <c r="N1023" s="937"/>
      <c r="O1023" s="937"/>
      <c r="P1023" s="937"/>
      <c r="Q1023" s="937"/>
      <c r="R1023" s="937"/>
      <c r="S1023" s="937"/>
      <c r="T1023" s="937"/>
      <c r="U1023" s="937"/>
      <c r="V1023" s="937"/>
      <c r="W1023" s="937"/>
      <c r="X1023" s="937"/>
      <c r="Y1023" s="937"/>
      <c r="Z1023" s="937"/>
    </row>
    <row r="1024" spans="1:26" ht="15.75" customHeight="1">
      <c r="A1024" s="937"/>
      <c r="B1024" s="937"/>
      <c r="C1024" s="937"/>
      <c r="D1024" s="937"/>
      <c r="E1024" s="937"/>
      <c r="F1024" s="937"/>
      <c r="G1024" s="937"/>
      <c r="H1024" s="937"/>
      <c r="I1024" s="937"/>
      <c r="J1024" s="937"/>
      <c r="K1024" s="937"/>
      <c r="L1024" s="937"/>
      <c r="M1024" s="937"/>
      <c r="N1024" s="937"/>
      <c r="O1024" s="937"/>
      <c r="P1024" s="937"/>
      <c r="Q1024" s="937"/>
      <c r="R1024" s="937"/>
      <c r="S1024" s="937"/>
      <c r="T1024" s="937"/>
      <c r="U1024" s="937"/>
      <c r="V1024" s="937"/>
      <c r="W1024" s="937"/>
      <c r="X1024" s="937"/>
      <c r="Y1024" s="937"/>
      <c r="Z1024" s="937"/>
    </row>
    <row r="1025" spans="1:26" ht="15.75" customHeight="1">
      <c r="A1025" s="937"/>
      <c r="B1025" s="937"/>
      <c r="C1025" s="937"/>
      <c r="D1025" s="937"/>
      <c r="E1025" s="937"/>
      <c r="F1025" s="937"/>
      <c r="G1025" s="937"/>
      <c r="H1025" s="937"/>
      <c r="I1025" s="937"/>
      <c r="J1025" s="937"/>
      <c r="K1025" s="937"/>
      <c r="L1025" s="937"/>
      <c r="M1025" s="937"/>
      <c r="N1025" s="937"/>
      <c r="O1025" s="937"/>
      <c r="P1025" s="937"/>
      <c r="Q1025" s="937"/>
      <c r="R1025" s="937"/>
      <c r="S1025" s="937"/>
      <c r="T1025" s="937"/>
      <c r="U1025" s="937"/>
      <c r="V1025" s="937"/>
      <c r="W1025" s="937"/>
      <c r="X1025" s="937"/>
      <c r="Y1025" s="937"/>
      <c r="Z1025" s="937"/>
    </row>
    <row r="1026" spans="1:26" ht="15.75" customHeight="1">
      <c r="A1026" s="937"/>
      <c r="B1026" s="937"/>
      <c r="C1026" s="937"/>
      <c r="D1026" s="937"/>
      <c r="E1026" s="937"/>
      <c r="F1026" s="937"/>
      <c r="G1026" s="937"/>
      <c r="H1026" s="937"/>
      <c r="I1026" s="937"/>
      <c r="J1026" s="937"/>
      <c r="K1026" s="937"/>
      <c r="L1026" s="937"/>
      <c r="M1026" s="937"/>
      <c r="N1026" s="937"/>
      <c r="O1026" s="937"/>
      <c r="P1026" s="937"/>
      <c r="Q1026" s="937"/>
      <c r="R1026" s="937"/>
      <c r="S1026" s="937"/>
      <c r="T1026" s="937"/>
      <c r="U1026" s="937"/>
      <c r="V1026" s="937"/>
      <c r="W1026" s="937"/>
      <c r="X1026" s="937"/>
      <c r="Y1026" s="937"/>
      <c r="Z1026" s="937"/>
    </row>
    <row r="1027" spans="1:26" ht="15.75" customHeight="1">
      <c r="A1027" s="937"/>
      <c r="B1027" s="937"/>
      <c r="C1027" s="937"/>
      <c r="D1027" s="937"/>
      <c r="E1027" s="937"/>
      <c r="F1027" s="937"/>
      <c r="G1027" s="937"/>
      <c r="H1027" s="937"/>
      <c r="I1027" s="937"/>
      <c r="J1027" s="937"/>
      <c r="K1027" s="937"/>
      <c r="L1027" s="937"/>
      <c r="M1027" s="937"/>
      <c r="N1027" s="937"/>
      <c r="O1027" s="937"/>
      <c r="P1027" s="937"/>
      <c r="Q1027" s="937"/>
      <c r="R1027" s="937"/>
      <c r="S1027" s="937"/>
      <c r="T1027" s="937"/>
      <c r="U1027" s="937"/>
      <c r="V1027" s="937"/>
      <c r="W1027" s="937"/>
      <c r="X1027" s="937"/>
      <c r="Y1027" s="937"/>
      <c r="Z1027" s="937"/>
    </row>
    <row r="1028" spans="1:26" ht="15.75" customHeight="1">
      <c r="A1028" s="937"/>
      <c r="B1028" s="937"/>
      <c r="C1028" s="937"/>
      <c r="D1028" s="937"/>
      <c r="E1028" s="937"/>
      <c r="F1028" s="937"/>
      <c r="G1028" s="937"/>
      <c r="H1028" s="937"/>
      <c r="I1028" s="937"/>
      <c r="J1028" s="937"/>
      <c r="K1028" s="937"/>
      <c r="L1028" s="937"/>
      <c r="M1028" s="937"/>
      <c r="N1028" s="937"/>
      <c r="O1028" s="937"/>
      <c r="P1028" s="937"/>
      <c r="Q1028" s="937"/>
      <c r="R1028" s="937"/>
      <c r="S1028" s="937"/>
      <c r="T1028" s="937"/>
      <c r="U1028" s="937"/>
      <c r="V1028" s="937"/>
      <c r="W1028" s="937"/>
      <c r="X1028" s="937"/>
      <c r="Y1028" s="937"/>
      <c r="Z1028" s="937"/>
    </row>
    <row r="1029" spans="1:26" ht="15.75" customHeight="1">
      <c r="A1029" s="937"/>
      <c r="B1029" s="937"/>
      <c r="C1029" s="937"/>
      <c r="D1029" s="937"/>
      <c r="E1029" s="937"/>
      <c r="F1029" s="937"/>
      <c r="G1029" s="937"/>
      <c r="H1029" s="937"/>
      <c r="I1029" s="937"/>
      <c r="J1029" s="937"/>
      <c r="K1029" s="937"/>
      <c r="L1029" s="937"/>
      <c r="M1029" s="937"/>
      <c r="N1029" s="937"/>
      <c r="O1029" s="937"/>
      <c r="P1029" s="937"/>
      <c r="Q1029" s="937"/>
      <c r="R1029" s="937"/>
      <c r="S1029" s="937"/>
      <c r="T1029" s="937"/>
      <c r="U1029" s="937"/>
      <c r="V1029" s="937"/>
      <c r="W1029" s="937"/>
      <c r="X1029" s="937"/>
      <c r="Y1029" s="937"/>
      <c r="Z1029" s="937"/>
    </row>
    <row r="1030" spans="1:26" ht="15.75" customHeight="1">
      <c r="A1030" s="937"/>
      <c r="B1030" s="937"/>
      <c r="C1030" s="937"/>
      <c r="D1030" s="937"/>
      <c r="E1030" s="937"/>
      <c r="F1030" s="937"/>
      <c r="G1030" s="937"/>
      <c r="H1030" s="937"/>
      <c r="I1030" s="937"/>
      <c r="J1030" s="937"/>
      <c r="K1030" s="937"/>
      <c r="L1030" s="937"/>
      <c r="M1030" s="937"/>
      <c r="N1030" s="937"/>
      <c r="O1030" s="937"/>
      <c r="P1030" s="937"/>
      <c r="Q1030" s="937"/>
      <c r="R1030" s="937"/>
      <c r="S1030" s="937"/>
      <c r="T1030" s="937"/>
      <c r="U1030" s="937"/>
      <c r="V1030" s="937"/>
      <c r="W1030" s="937"/>
      <c r="X1030" s="937"/>
      <c r="Y1030" s="937"/>
      <c r="Z1030" s="937"/>
    </row>
    <row r="1031" spans="1:26" ht="15.75" customHeight="1">
      <c r="A1031" s="937"/>
      <c r="B1031" s="937"/>
      <c r="C1031" s="937"/>
      <c r="D1031" s="937"/>
      <c r="E1031" s="937"/>
      <c r="F1031" s="937"/>
      <c r="G1031" s="937"/>
      <c r="H1031" s="937"/>
      <c r="I1031" s="937"/>
      <c r="J1031" s="937"/>
      <c r="K1031" s="937"/>
      <c r="L1031" s="937"/>
      <c r="M1031" s="937"/>
      <c r="N1031" s="937"/>
      <c r="O1031" s="937"/>
      <c r="P1031" s="937"/>
      <c r="Q1031" s="937"/>
      <c r="R1031" s="937"/>
      <c r="S1031" s="937"/>
      <c r="T1031" s="937"/>
      <c r="U1031" s="937"/>
      <c r="V1031" s="937"/>
      <c r="W1031" s="937"/>
      <c r="X1031" s="937"/>
      <c r="Y1031" s="937"/>
      <c r="Z1031" s="937"/>
    </row>
    <row r="1032" spans="1:26" ht="15.75" customHeight="1">
      <c r="A1032" s="937"/>
      <c r="B1032" s="937"/>
      <c r="C1032" s="937"/>
      <c r="D1032" s="937"/>
      <c r="E1032" s="937"/>
      <c r="F1032" s="937"/>
      <c r="G1032" s="937"/>
      <c r="H1032" s="937"/>
      <c r="I1032" s="937"/>
      <c r="J1032" s="937"/>
      <c r="K1032" s="937"/>
      <c r="L1032" s="937"/>
      <c r="M1032" s="937"/>
      <c r="N1032" s="937"/>
      <c r="O1032" s="937"/>
      <c r="P1032" s="937"/>
      <c r="Q1032" s="937"/>
      <c r="R1032" s="937"/>
      <c r="S1032" s="937"/>
      <c r="T1032" s="937"/>
      <c r="U1032" s="937"/>
      <c r="V1032" s="937"/>
      <c r="W1032" s="937"/>
      <c r="X1032" s="937"/>
      <c r="Y1032" s="937"/>
      <c r="Z1032" s="937"/>
    </row>
    <row r="1033" spans="1:26" ht="15.75" customHeight="1">
      <c r="A1033" s="937"/>
      <c r="B1033" s="937"/>
      <c r="C1033" s="937"/>
      <c r="D1033" s="937"/>
      <c r="E1033" s="937"/>
      <c r="F1033" s="937"/>
      <c r="G1033" s="937"/>
      <c r="H1033" s="937"/>
      <c r="I1033" s="937"/>
      <c r="J1033" s="937"/>
      <c r="K1033" s="937"/>
      <c r="L1033" s="937"/>
      <c r="M1033" s="937"/>
      <c r="N1033" s="937"/>
      <c r="O1033" s="937"/>
      <c r="P1033" s="937"/>
      <c r="Q1033" s="937"/>
      <c r="R1033" s="937"/>
      <c r="S1033" s="937"/>
      <c r="T1033" s="937"/>
      <c r="U1033" s="937"/>
      <c r="V1033" s="937"/>
      <c r="W1033" s="937"/>
      <c r="X1033" s="937"/>
      <c r="Y1033" s="937"/>
      <c r="Z1033" s="937"/>
    </row>
    <row r="1034" spans="1:26" ht="15.75" customHeight="1">
      <c r="A1034" s="937"/>
      <c r="B1034" s="937"/>
      <c r="C1034" s="937"/>
      <c r="D1034" s="937"/>
      <c r="E1034" s="937"/>
      <c r="F1034" s="937"/>
      <c r="G1034" s="937"/>
      <c r="H1034" s="937"/>
      <c r="I1034" s="937"/>
      <c r="J1034" s="937"/>
      <c r="K1034" s="937"/>
      <c r="L1034" s="937"/>
      <c r="M1034" s="937"/>
      <c r="N1034" s="937"/>
      <c r="O1034" s="937"/>
      <c r="P1034" s="937"/>
      <c r="Q1034" s="937"/>
      <c r="R1034" s="937"/>
      <c r="S1034" s="937"/>
      <c r="T1034" s="937"/>
      <c r="U1034" s="937"/>
      <c r="V1034" s="937"/>
      <c r="W1034" s="937"/>
      <c r="X1034" s="937"/>
      <c r="Y1034" s="937"/>
      <c r="Z1034" s="937"/>
    </row>
    <row r="1035" spans="1:26" ht="15.75" customHeight="1">
      <c r="A1035" s="937"/>
      <c r="B1035" s="937"/>
      <c r="C1035" s="937"/>
      <c r="D1035" s="937"/>
      <c r="E1035" s="937"/>
      <c r="F1035" s="937"/>
      <c r="G1035" s="937"/>
      <c r="H1035" s="937"/>
      <c r="I1035" s="937"/>
      <c r="J1035" s="937"/>
      <c r="K1035" s="937"/>
      <c r="L1035" s="937"/>
      <c r="M1035" s="937"/>
      <c r="N1035" s="937"/>
      <c r="O1035" s="937"/>
      <c r="P1035" s="937"/>
      <c r="Q1035" s="937"/>
      <c r="R1035" s="937"/>
      <c r="S1035" s="937"/>
      <c r="T1035" s="937"/>
      <c r="U1035" s="937"/>
      <c r="V1035" s="937"/>
      <c r="W1035" s="937"/>
      <c r="X1035" s="937"/>
      <c r="Y1035" s="937"/>
      <c r="Z1035" s="937"/>
    </row>
    <row r="1036" spans="1:26" ht="15.75" customHeight="1">
      <c r="A1036" s="937"/>
      <c r="B1036" s="937"/>
      <c r="C1036" s="937"/>
      <c r="D1036" s="937"/>
      <c r="E1036" s="937"/>
      <c r="F1036" s="937"/>
      <c r="G1036" s="937"/>
      <c r="H1036" s="937"/>
      <c r="I1036" s="937"/>
      <c r="J1036" s="937"/>
      <c r="K1036" s="937"/>
      <c r="L1036" s="937"/>
      <c r="M1036" s="937"/>
      <c r="N1036" s="937"/>
      <c r="O1036" s="937"/>
      <c r="P1036" s="937"/>
      <c r="Q1036" s="937"/>
      <c r="R1036" s="937"/>
      <c r="S1036" s="937"/>
      <c r="T1036" s="937"/>
      <c r="U1036" s="937"/>
      <c r="V1036" s="937"/>
      <c r="W1036" s="937"/>
      <c r="X1036" s="937"/>
      <c r="Y1036" s="937"/>
      <c r="Z1036" s="937"/>
    </row>
    <row r="1037" spans="1:26" ht="15.75" customHeight="1">
      <c r="A1037" s="937"/>
      <c r="B1037" s="937"/>
      <c r="C1037" s="937"/>
      <c r="D1037" s="937"/>
      <c r="E1037" s="937"/>
      <c r="F1037" s="937"/>
      <c r="G1037" s="937"/>
      <c r="H1037" s="937"/>
      <c r="I1037" s="937"/>
      <c r="J1037" s="937"/>
      <c r="K1037" s="937"/>
      <c r="L1037" s="937"/>
      <c r="M1037" s="937"/>
      <c r="N1037" s="937"/>
      <c r="O1037" s="937"/>
      <c r="P1037" s="937"/>
      <c r="Q1037" s="937"/>
      <c r="R1037" s="937"/>
      <c r="S1037" s="937"/>
      <c r="T1037" s="937"/>
      <c r="U1037" s="937"/>
      <c r="V1037" s="937"/>
      <c r="W1037" s="937"/>
      <c r="X1037" s="937"/>
      <c r="Y1037" s="937"/>
      <c r="Z1037" s="937"/>
    </row>
    <row r="1038" spans="1:26" ht="15.75" customHeight="1">
      <c r="A1038" s="937"/>
      <c r="B1038" s="937"/>
      <c r="C1038" s="937"/>
      <c r="D1038" s="937"/>
      <c r="E1038" s="937"/>
      <c r="F1038" s="937"/>
      <c r="G1038" s="937"/>
      <c r="H1038" s="937"/>
      <c r="I1038" s="937"/>
      <c r="J1038" s="937"/>
      <c r="K1038" s="937"/>
      <c r="L1038" s="937"/>
      <c r="M1038" s="937"/>
      <c r="N1038" s="937"/>
      <c r="O1038" s="937"/>
      <c r="P1038" s="937"/>
      <c r="Q1038" s="937"/>
      <c r="R1038" s="937"/>
      <c r="S1038" s="937"/>
      <c r="T1038" s="937"/>
      <c r="U1038" s="937"/>
      <c r="V1038" s="937"/>
      <c r="W1038" s="937"/>
      <c r="X1038" s="937"/>
      <c r="Y1038" s="937"/>
      <c r="Z1038" s="937"/>
    </row>
    <row r="1039" spans="1:26" ht="15.75" customHeight="1">
      <c r="A1039" s="937"/>
      <c r="B1039" s="937"/>
      <c r="C1039" s="937"/>
      <c r="D1039" s="937"/>
      <c r="E1039" s="937"/>
      <c r="F1039" s="937"/>
      <c r="G1039" s="937"/>
      <c r="H1039" s="937"/>
      <c r="I1039" s="937"/>
      <c r="J1039" s="937"/>
      <c r="K1039" s="937"/>
      <c r="L1039" s="937"/>
      <c r="M1039" s="937"/>
      <c r="N1039" s="937"/>
      <c r="O1039" s="937"/>
      <c r="P1039" s="937"/>
      <c r="Q1039" s="937"/>
      <c r="R1039" s="937"/>
      <c r="S1039" s="937"/>
      <c r="T1039" s="937"/>
      <c r="U1039" s="937"/>
      <c r="V1039" s="937"/>
      <c r="W1039" s="937"/>
      <c r="X1039" s="937"/>
      <c r="Y1039" s="937"/>
      <c r="Z1039" s="937"/>
    </row>
    <row r="1040" spans="1:26" ht="15.75" customHeight="1">
      <c r="A1040" s="937"/>
      <c r="B1040" s="937"/>
      <c r="C1040" s="937"/>
      <c r="D1040" s="937"/>
      <c r="E1040" s="937"/>
      <c r="F1040" s="937"/>
      <c r="G1040" s="937"/>
      <c r="H1040" s="937"/>
      <c r="I1040" s="937"/>
      <c r="J1040" s="937"/>
      <c r="K1040" s="937"/>
      <c r="L1040" s="937"/>
      <c r="M1040" s="937"/>
      <c r="N1040" s="937"/>
      <c r="O1040" s="937"/>
      <c r="P1040" s="937"/>
      <c r="Q1040" s="937"/>
      <c r="R1040" s="937"/>
      <c r="S1040" s="937"/>
      <c r="T1040" s="937"/>
      <c r="U1040" s="937"/>
      <c r="V1040" s="937"/>
      <c r="W1040" s="937"/>
      <c r="X1040" s="937"/>
      <c r="Y1040" s="937"/>
      <c r="Z1040" s="937"/>
    </row>
    <row r="1041" spans="1:26" ht="15.75" customHeight="1">
      <c r="A1041" s="937"/>
      <c r="B1041" s="937"/>
      <c r="C1041" s="937"/>
      <c r="D1041" s="937"/>
      <c r="E1041" s="937"/>
      <c r="F1041" s="937"/>
      <c r="G1041" s="937"/>
      <c r="H1041" s="937"/>
      <c r="I1041" s="937"/>
      <c r="J1041" s="937"/>
      <c r="K1041" s="937"/>
      <c r="L1041" s="937"/>
      <c r="M1041" s="937"/>
      <c r="N1041" s="937"/>
      <c r="O1041" s="937"/>
      <c r="P1041" s="937"/>
      <c r="Q1041" s="937"/>
      <c r="R1041" s="937"/>
      <c r="S1041" s="937"/>
      <c r="T1041" s="937"/>
      <c r="U1041" s="937"/>
      <c r="V1041" s="937"/>
      <c r="W1041" s="937"/>
      <c r="X1041" s="937"/>
      <c r="Y1041" s="937"/>
      <c r="Z1041" s="937"/>
    </row>
    <row r="1042" spans="1:26" ht="15.75" customHeight="1">
      <c r="A1042" s="937"/>
      <c r="B1042" s="937"/>
      <c r="C1042" s="937"/>
      <c r="D1042" s="937"/>
      <c r="E1042" s="937"/>
      <c r="F1042" s="937"/>
      <c r="G1042" s="937"/>
      <c r="H1042" s="937"/>
      <c r="I1042" s="937"/>
      <c r="J1042" s="937"/>
      <c r="K1042" s="937"/>
      <c r="L1042" s="937"/>
      <c r="M1042" s="937"/>
      <c r="N1042" s="937"/>
      <c r="O1042" s="937"/>
      <c r="P1042" s="937"/>
      <c r="Q1042" s="937"/>
      <c r="R1042" s="937"/>
      <c r="S1042" s="937"/>
      <c r="T1042" s="937"/>
      <c r="U1042" s="937"/>
      <c r="V1042" s="937"/>
      <c r="W1042" s="937"/>
      <c r="X1042" s="937"/>
      <c r="Y1042" s="937"/>
      <c r="Z1042" s="937"/>
    </row>
    <row r="1043" spans="1:26" ht="15.75" customHeight="1">
      <c r="A1043" s="937"/>
      <c r="B1043" s="937"/>
      <c r="C1043" s="937"/>
      <c r="D1043" s="937"/>
      <c r="E1043" s="937"/>
      <c r="F1043" s="937"/>
      <c r="G1043" s="937"/>
      <c r="H1043" s="937"/>
      <c r="I1043" s="937"/>
      <c r="J1043" s="937"/>
      <c r="K1043" s="937"/>
      <c r="L1043" s="937"/>
      <c r="M1043" s="937"/>
      <c r="N1043" s="937"/>
      <c r="O1043" s="937"/>
      <c r="P1043" s="937"/>
      <c r="Q1043" s="937"/>
      <c r="R1043" s="937"/>
      <c r="S1043" s="937"/>
      <c r="T1043" s="937"/>
      <c r="U1043" s="937"/>
      <c r="V1043" s="937"/>
      <c r="W1043" s="937"/>
      <c r="X1043" s="937"/>
      <c r="Y1043" s="937"/>
      <c r="Z1043" s="937"/>
    </row>
    <row r="1044" spans="1:26" ht="15.75" customHeight="1">
      <c r="A1044" s="937"/>
      <c r="B1044" s="937"/>
      <c r="C1044" s="937"/>
      <c r="D1044" s="937"/>
      <c r="E1044" s="937"/>
      <c r="F1044" s="937"/>
      <c r="G1044" s="937"/>
      <c r="H1044" s="937"/>
      <c r="I1044" s="937"/>
      <c r="J1044" s="937"/>
      <c r="K1044" s="937"/>
      <c r="L1044" s="937"/>
      <c r="M1044" s="937"/>
      <c r="N1044" s="937"/>
      <c r="O1044" s="937"/>
      <c r="P1044" s="937"/>
      <c r="Q1044" s="937"/>
      <c r="R1044" s="937"/>
      <c r="S1044" s="937"/>
      <c r="T1044" s="937"/>
      <c r="U1044" s="937"/>
      <c r="V1044" s="937"/>
      <c r="W1044" s="937"/>
      <c r="X1044" s="937"/>
      <c r="Y1044" s="937"/>
      <c r="Z1044" s="937"/>
    </row>
    <row r="1045" spans="1:26" ht="15.75" customHeight="1">
      <c r="A1045" s="937"/>
      <c r="B1045" s="937"/>
      <c r="C1045" s="937"/>
      <c r="D1045" s="937"/>
      <c r="E1045" s="937"/>
      <c r="F1045" s="937"/>
      <c r="G1045" s="937"/>
      <c r="H1045" s="937"/>
      <c r="I1045" s="937"/>
      <c r="J1045" s="937"/>
      <c r="K1045" s="937"/>
      <c r="L1045" s="937"/>
      <c r="M1045" s="937"/>
      <c r="N1045" s="937"/>
      <c r="O1045" s="937"/>
      <c r="P1045" s="937"/>
      <c r="Q1045" s="937"/>
      <c r="R1045" s="937"/>
      <c r="S1045" s="937"/>
      <c r="T1045" s="937"/>
      <c r="U1045" s="937"/>
      <c r="V1045" s="937"/>
      <c r="W1045" s="937"/>
      <c r="X1045" s="937"/>
      <c r="Y1045" s="937"/>
      <c r="Z1045" s="937"/>
    </row>
    <row r="1046" spans="1:26" ht="15.75" customHeight="1">
      <c r="A1046" s="937"/>
      <c r="B1046" s="937"/>
      <c r="C1046" s="937"/>
      <c r="D1046" s="937"/>
      <c r="E1046" s="937"/>
      <c r="F1046" s="937"/>
      <c r="G1046" s="937"/>
      <c r="H1046" s="937"/>
      <c r="I1046" s="937"/>
      <c r="J1046" s="937"/>
      <c r="K1046" s="937"/>
      <c r="L1046" s="937"/>
      <c r="M1046" s="937"/>
      <c r="N1046" s="937"/>
      <c r="O1046" s="937"/>
      <c r="P1046" s="937"/>
      <c r="Q1046" s="937"/>
      <c r="R1046" s="937"/>
      <c r="S1046" s="937"/>
      <c r="T1046" s="937"/>
      <c r="U1046" s="937"/>
      <c r="V1046" s="937"/>
      <c r="W1046" s="937"/>
      <c r="X1046" s="937"/>
      <c r="Y1046" s="937"/>
      <c r="Z1046" s="937"/>
    </row>
    <row r="1047" spans="1:26" ht="15.75" customHeight="1">
      <c r="A1047" s="937"/>
      <c r="B1047" s="937"/>
      <c r="C1047" s="937"/>
      <c r="D1047" s="937"/>
      <c r="E1047" s="937"/>
      <c r="F1047" s="937"/>
      <c r="G1047" s="937"/>
      <c r="H1047" s="937"/>
      <c r="I1047" s="937"/>
      <c r="J1047" s="937"/>
      <c r="K1047" s="937"/>
      <c r="L1047" s="937"/>
      <c r="M1047" s="937"/>
      <c r="N1047" s="937"/>
      <c r="O1047" s="937"/>
      <c r="P1047" s="937"/>
      <c r="Q1047" s="937"/>
      <c r="R1047" s="937"/>
      <c r="S1047" s="937"/>
      <c r="T1047" s="937"/>
      <c r="U1047" s="937"/>
      <c r="V1047" s="937"/>
      <c r="W1047" s="937"/>
      <c r="X1047" s="937"/>
      <c r="Y1047" s="937"/>
      <c r="Z1047" s="937"/>
    </row>
    <row r="1048" spans="1:26" ht="15.75" customHeight="1">
      <c r="A1048" s="937"/>
      <c r="B1048" s="937"/>
      <c r="C1048" s="937"/>
      <c r="D1048" s="937"/>
      <c r="E1048" s="937"/>
      <c r="F1048" s="937"/>
      <c r="G1048" s="937"/>
      <c r="H1048" s="937"/>
      <c r="I1048" s="937"/>
      <c r="J1048" s="937"/>
      <c r="K1048" s="937"/>
      <c r="L1048" s="937"/>
      <c r="M1048" s="937"/>
      <c r="N1048" s="937"/>
      <c r="O1048" s="937"/>
      <c r="P1048" s="937"/>
      <c r="Q1048" s="937"/>
      <c r="R1048" s="937"/>
      <c r="S1048" s="937"/>
      <c r="T1048" s="937"/>
      <c r="U1048" s="937"/>
      <c r="V1048" s="937"/>
      <c r="W1048" s="937"/>
      <c r="X1048" s="937"/>
      <c r="Y1048" s="937"/>
      <c r="Z1048" s="937"/>
    </row>
    <row r="1049" spans="1:26" ht="15.75" customHeight="1">
      <c r="A1049" s="937"/>
      <c r="B1049" s="937"/>
      <c r="C1049" s="937"/>
      <c r="D1049" s="937"/>
      <c r="E1049" s="937"/>
      <c r="F1049" s="937"/>
      <c r="G1049" s="937"/>
      <c r="H1049" s="937"/>
      <c r="I1049" s="937"/>
      <c r="J1049" s="937"/>
      <c r="K1049" s="937"/>
      <c r="L1049" s="937"/>
      <c r="M1049" s="937"/>
      <c r="N1049" s="937"/>
      <c r="O1049" s="937"/>
      <c r="P1049" s="937"/>
      <c r="Q1049" s="937"/>
      <c r="R1049" s="937"/>
      <c r="S1049" s="937"/>
      <c r="T1049" s="937"/>
      <c r="U1049" s="937"/>
      <c r="V1049" s="937"/>
      <c r="W1049" s="937"/>
      <c r="X1049" s="937"/>
      <c r="Y1049" s="937"/>
      <c r="Z1049" s="937"/>
    </row>
    <row r="1050" spans="1:26" ht="15.75" customHeight="1">
      <c r="A1050" s="937"/>
      <c r="B1050" s="937"/>
      <c r="C1050" s="937"/>
      <c r="D1050" s="937"/>
      <c r="E1050" s="937"/>
      <c r="F1050" s="937"/>
      <c r="G1050" s="937"/>
      <c r="H1050" s="937"/>
      <c r="I1050" s="937"/>
      <c r="J1050" s="937"/>
      <c r="K1050" s="937"/>
      <c r="L1050" s="937"/>
      <c r="M1050" s="937"/>
      <c r="N1050" s="937"/>
      <c r="O1050" s="937"/>
      <c r="P1050" s="937"/>
      <c r="Q1050" s="937"/>
      <c r="R1050" s="937"/>
      <c r="S1050" s="937"/>
      <c r="T1050" s="937"/>
      <c r="U1050" s="937"/>
      <c r="V1050" s="937"/>
      <c r="W1050" s="937"/>
      <c r="X1050" s="937"/>
      <c r="Y1050" s="937"/>
      <c r="Z1050" s="937"/>
    </row>
    <row r="1051" spans="1:26" ht="15.75" customHeight="1">
      <c r="A1051" s="937"/>
      <c r="B1051" s="937"/>
      <c r="C1051" s="937"/>
      <c r="D1051" s="937"/>
      <c r="E1051" s="937"/>
      <c r="F1051" s="937"/>
      <c r="G1051" s="937"/>
      <c r="H1051" s="937"/>
      <c r="I1051" s="937"/>
      <c r="J1051" s="937"/>
      <c r="K1051" s="937"/>
      <c r="L1051" s="937"/>
      <c r="M1051" s="937"/>
      <c r="N1051" s="937"/>
      <c r="O1051" s="937"/>
      <c r="P1051" s="937"/>
      <c r="Q1051" s="937"/>
      <c r="R1051" s="937"/>
      <c r="S1051" s="937"/>
      <c r="T1051" s="937"/>
      <c r="U1051" s="937"/>
      <c r="V1051" s="937"/>
      <c r="W1051" s="937"/>
      <c r="X1051" s="937"/>
      <c r="Y1051" s="937"/>
      <c r="Z1051" s="937"/>
    </row>
    <row r="1052" spans="1:26" ht="15.75" customHeight="1">
      <c r="A1052" s="937"/>
      <c r="B1052" s="937"/>
      <c r="C1052" s="937"/>
      <c r="D1052" s="937"/>
      <c r="E1052" s="937"/>
      <c r="F1052" s="937"/>
      <c r="G1052" s="937"/>
      <c r="H1052" s="937"/>
      <c r="I1052" s="937"/>
      <c r="J1052" s="937"/>
      <c r="K1052" s="937"/>
      <c r="L1052" s="937"/>
      <c r="M1052" s="937"/>
      <c r="N1052" s="937"/>
      <c r="O1052" s="937"/>
      <c r="P1052" s="937"/>
      <c r="Q1052" s="937"/>
      <c r="R1052" s="937"/>
      <c r="S1052" s="937"/>
      <c r="T1052" s="937"/>
      <c r="U1052" s="937"/>
      <c r="V1052" s="937"/>
      <c r="W1052" s="937"/>
      <c r="X1052" s="937"/>
      <c r="Y1052" s="937"/>
      <c r="Z1052" s="937"/>
    </row>
    <row r="1053" spans="1:26" ht="15.75" customHeight="1">
      <c r="A1053" s="937"/>
      <c r="B1053" s="937"/>
      <c r="C1053" s="937"/>
      <c r="D1053" s="937"/>
      <c r="E1053" s="937"/>
      <c r="F1053" s="937"/>
      <c r="G1053" s="937"/>
      <c r="H1053" s="937"/>
      <c r="I1053" s="937"/>
      <c r="J1053" s="937"/>
      <c r="K1053" s="937"/>
      <c r="L1053" s="937"/>
      <c r="M1053" s="937"/>
      <c r="N1053" s="937"/>
      <c r="O1053" s="937"/>
      <c r="P1053" s="937"/>
      <c r="Q1053" s="937"/>
      <c r="R1053" s="937"/>
      <c r="S1053" s="937"/>
      <c r="T1053" s="937"/>
      <c r="U1053" s="937"/>
      <c r="V1053" s="937"/>
      <c r="W1053" s="937"/>
      <c r="X1053" s="937"/>
      <c r="Y1053" s="937"/>
      <c r="Z1053" s="937"/>
    </row>
    <row r="1054" spans="1:26" ht="15.75" customHeight="1">
      <c r="A1054" s="937"/>
      <c r="B1054" s="937"/>
      <c r="C1054" s="937"/>
      <c r="D1054" s="937"/>
      <c r="E1054" s="937"/>
      <c r="F1054" s="937"/>
      <c r="G1054" s="937"/>
      <c r="H1054" s="937"/>
      <c r="I1054" s="937"/>
      <c r="J1054" s="937"/>
      <c r="K1054" s="937"/>
      <c r="L1054" s="937"/>
      <c r="M1054" s="937"/>
      <c r="N1054" s="937"/>
      <c r="O1054" s="937"/>
      <c r="P1054" s="937"/>
      <c r="Q1054" s="937"/>
      <c r="R1054" s="937"/>
      <c r="S1054" s="937"/>
      <c r="T1054" s="937"/>
      <c r="U1054" s="937"/>
      <c r="V1054" s="937"/>
      <c r="W1054" s="937"/>
      <c r="X1054" s="937"/>
      <c r="Y1054" s="937"/>
      <c r="Z1054" s="937"/>
    </row>
    <row r="1055" spans="1:26" ht="15.75" customHeight="1">
      <c r="A1055" s="937"/>
      <c r="B1055" s="937"/>
      <c r="C1055" s="937"/>
      <c r="D1055" s="937"/>
      <c r="E1055" s="937"/>
      <c r="F1055" s="937"/>
      <c r="G1055" s="937"/>
      <c r="H1055" s="937"/>
      <c r="I1055" s="937"/>
      <c r="J1055" s="937"/>
      <c r="K1055" s="937"/>
      <c r="L1055" s="937"/>
      <c r="M1055" s="937"/>
      <c r="N1055" s="937"/>
      <c r="O1055" s="937"/>
      <c r="P1055" s="937"/>
      <c r="Q1055" s="937"/>
      <c r="R1055" s="937"/>
      <c r="S1055" s="937"/>
      <c r="T1055" s="937"/>
      <c r="U1055" s="937"/>
      <c r="V1055" s="937"/>
      <c r="W1055" s="937"/>
      <c r="X1055" s="937"/>
      <c r="Y1055" s="937"/>
      <c r="Z1055" s="937"/>
    </row>
    <row r="1056" spans="1:26" ht="15.75" customHeight="1">
      <c r="A1056" s="937"/>
      <c r="B1056" s="937"/>
      <c r="C1056" s="937"/>
      <c r="D1056" s="937"/>
      <c r="E1056" s="937"/>
      <c r="F1056" s="937"/>
      <c r="G1056" s="937"/>
      <c r="H1056" s="937"/>
      <c r="I1056" s="937"/>
      <c r="J1056" s="937"/>
      <c r="K1056" s="937"/>
      <c r="L1056" s="937"/>
      <c r="M1056" s="937"/>
      <c r="N1056" s="937"/>
      <c r="O1056" s="937"/>
      <c r="P1056" s="937"/>
      <c r="Q1056" s="937"/>
      <c r="R1056" s="937"/>
      <c r="S1056" s="937"/>
      <c r="T1056" s="937"/>
      <c r="U1056" s="937"/>
      <c r="V1056" s="937"/>
      <c r="W1056" s="937"/>
      <c r="X1056" s="937"/>
      <c r="Y1056" s="937"/>
      <c r="Z1056" s="937"/>
    </row>
    <row r="1057" spans="1:26" ht="15.75" customHeight="1">
      <c r="A1057" s="937"/>
      <c r="B1057" s="937"/>
      <c r="C1057" s="937"/>
      <c r="D1057" s="937"/>
      <c r="E1057" s="937"/>
      <c r="F1057" s="937"/>
      <c r="G1057" s="937"/>
      <c r="H1057" s="937"/>
      <c r="I1057" s="937"/>
      <c r="J1057" s="937"/>
      <c r="K1057" s="937"/>
      <c r="L1057" s="937"/>
      <c r="M1057" s="937"/>
      <c r="N1057" s="937"/>
      <c r="O1057" s="937"/>
      <c r="P1057" s="937"/>
      <c r="Q1057" s="937"/>
      <c r="R1057" s="937"/>
      <c r="S1057" s="937"/>
      <c r="T1057" s="937"/>
      <c r="U1057" s="937"/>
      <c r="V1057" s="937"/>
      <c r="W1057" s="937"/>
      <c r="X1057" s="937"/>
      <c r="Y1057" s="937"/>
      <c r="Z1057" s="937"/>
    </row>
    <row r="1058" spans="1:26" ht="15.75" customHeight="1">
      <c r="A1058" s="937"/>
      <c r="B1058" s="937"/>
      <c r="C1058" s="937"/>
      <c r="D1058" s="937"/>
      <c r="E1058" s="937"/>
      <c r="F1058" s="937"/>
      <c r="G1058" s="937"/>
      <c r="H1058" s="937"/>
      <c r="I1058" s="937"/>
      <c r="J1058" s="937"/>
      <c r="K1058" s="937"/>
      <c r="L1058" s="937"/>
      <c r="M1058" s="937"/>
      <c r="N1058" s="937"/>
      <c r="O1058" s="937"/>
      <c r="P1058" s="937"/>
      <c r="Q1058" s="937"/>
      <c r="R1058" s="937"/>
      <c r="S1058" s="937"/>
      <c r="T1058" s="937"/>
      <c r="U1058" s="937"/>
      <c r="V1058" s="937"/>
      <c r="W1058" s="937"/>
      <c r="X1058" s="937"/>
      <c r="Y1058" s="937"/>
      <c r="Z1058" s="937"/>
    </row>
    <row r="1059" spans="1:26" ht="15.75" customHeight="1">
      <c r="A1059" s="937"/>
      <c r="B1059" s="937"/>
      <c r="C1059" s="937"/>
      <c r="D1059" s="937"/>
      <c r="E1059" s="937"/>
      <c r="F1059" s="937"/>
      <c r="G1059" s="937"/>
      <c r="H1059" s="937"/>
      <c r="I1059" s="937"/>
      <c r="J1059" s="937"/>
      <c r="K1059" s="937"/>
      <c r="L1059" s="937"/>
      <c r="M1059" s="937"/>
      <c r="N1059" s="937"/>
      <c r="O1059" s="937"/>
      <c r="P1059" s="937"/>
      <c r="Q1059" s="937"/>
      <c r="R1059" s="937"/>
      <c r="S1059" s="937"/>
      <c r="T1059" s="937"/>
      <c r="U1059" s="937"/>
      <c r="V1059" s="937"/>
      <c r="W1059" s="937"/>
      <c r="X1059" s="937"/>
      <c r="Y1059" s="937"/>
      <c r="Z1059" s="937"/>
    </row>
    <row r="1060" spans="1:26" ht="15.75" customHeight="1">
      <c r="A1060" s="937"/>
      <c r="B1060" s="937"/>
      <c r="C1060" s="937"/>
      <c r="D1060" s="937"/>
      <c r="E1060" s="937"/>
      <c r="F1060" s="937"/>
      <c r="G1060" s="937"/>
      <c r="H1060" s="937"/>
      <c r="I1060" s="937"/>
      <c r="J1060" s="937"/>
      <c r="K1060" s="937"/>
      <c r="L1060" s="937"/>
      <c r="M1060" s="937"/>
      <c r="N1060" s="937"/>
      <c r="O1060" s="937"/>
      <c r="P1060" s="937"/>
      <c r="Q1060" s="937"/>
      <c r="R1060" s="937"/>
      <c r="S1060" s="937"/>
      <c r="T1060" s="937"/>
      <c r="U1060" s="937"/>
      <c r="V1060" s="937"/>
      <c r="W1060" s="937"/>
      <c r="X1060" s="937"/>
      <c r="Y1060" s="937"/>
      <c r="Z1060" s="937"/>
    </row>
    <row r="1061" spans="1:26" ht="15.75" customHeight="1">
      <c r="A1061" s="937"/>
      <c r="B1061" s="937"/>
      <c r="C1061" s="937"/>
      <c r="D1061" s="937"/>
      <c r="E1061" s="937"/>
      <c r="F1061" s="937"/>
      <c r="G1061" s="937"/>
      <c r="H1061" s="937"/>
      <c r="I1061" s="937"/>
      <c r="J1061" s="937"/>
      <c r="K1061" s="937"/>
      <c r="L1061" s="937"/>
      <c r="M1061" s="937"/>
      <c r="N1061" s="937"/>
      <c r="O1061" s="937"/>
      <c r="P1061" s="937"/>
      <c r="Q1061" s="937"/>
      <c r="R1061" s="937"/>
      <c r="S1061" s="937"/>
      <c r="T1061" s="937"/>
      <c r="U1061" s="937"/>
      <c r="V1061" s="937"/>
      <c r="W1061" s="937"/>
      <c r="X1061" s="937"/>
      <c r="Y1061" s="937"/>
      <c r="Z1061" s="937"/>
    </row>
    <row r="1062" spans="1:26" ht="15.75" customHeight="1">
      <c r="A1062" s="937"/>
      <c r="B1062" s="937"/>
      <c r="C1062" s="937"/>
      <c r="D1062" s="937"/>
      <c r="E1062" s="937"/>
      <c r="F1062" s="937"/>
      <c r="G1062" s="937"/>
      <c r="H1062" s="937"/>
      <c r="I1062" s="937"/>
      <c r="J1062" s="937"/>
      <c r="K1062" s="937"/>
      <c r="L1062" s="937"/>
      <c r="M1062" s="937"/>
      <c r="N1062" s="937"/>
      <c r="O1062" s="937"/>
      <c r="P1062" s="937"/>
      <c r="Q1062" s="937"/>
      <c r="R1062" s="937"/>
      <c r="S1062" s="937"/>
      <c r="T1062" s="937"/>
      <c r="U1062" s="937"/>
      <c r="V1062" s="937"/>
      <c r="W1062" s="937"/>
      <c r="X1062" s="937"/>
      <c r="Y1062" s="937"/>
      <c r="Z1062" s="937"/>
    </row>
    <row r="1063" spans="1:26" ht="15.75" customHeight="1">
      <c r="A1063" s="937"/>
      <c r="B1063" s="937"/>
      <c r="C1063" s="937"/>
      <c r="D1063" s="937"/>
      <c r="E1063" s="937"/>
      <c r="F1063" s="937"/>
      <c r="G1063" s="937"/>
      <c r="H1063" s="937"/>
      <c r="I1063" s="937"/>
      <c r="J1063" s="937"/>
      <c r="K1063" s="937"/>
      <c r="L1063" s="937"/>
      <c r="M1063" s="937"/>
      <c r="N1063" s="937"/>
      <c r="O1063" s="937"/>
      <c r="P1063" s="937"/>
      <c r="Q1063" s="937"/>
      <c r="R1063" s="937"/>
      <c r="S1063" s="937"/>
      <c r="T1063" s="937"/>
      <c r="U1063" s="937"/>
      <c r="V1063" s="937"/>
      <c r="W1063" s="937"/>
      <c r="X1063" s="937"/>
      <c r="Y1063" s="937"/>
      <c r="Z1063" s="937"/>
    </row>
    <row r="1064" spans="1:26" ht="15.75" customHeight="1">
      <c r="A1064" s="937"/>
      <c r="B1064" s="937"/>
      <c r="C1064" s="937"/>
      <c r="D1064" s="937"/>
      <c r="E1064" s="937"/>
      <c r="F1064" s="937"/>
      <c r="G1064" s="937"/>
      <c r="H1064" s="937"/>
      <c r="I1064" s="937"/>
      <c r="J1064" s="937"/>
      <c r="K1064" s="937"/>
      <c r="L1064" s="937"/>
      <c r="M1064" s="937"/>
      <c r="N1064" s="937"/>
      <c r="O1064" s="937"/>
      <c r="P1064" s="937"/>
      <c r="Q1064" s="937"/>
      <c r="R1064" s="937"/>
      <c r="S1064" s="937"/>
      <c r="T1064" s="937"/>
      <c r="U1064" s="937"/>
      <c r="V1064" s="937"/>
      <c r="W1064" s="937"/>
      <c r="X1064" s="937"/>
      <c r="Y1064" s="937"/>
      <c r="Z1064" s="937"/>
    </row>
    <row r="1065" spans="1:26" ht="15.75" customHeight="1">
      <c r="A1065" s="937"/>
      <c r="B1065" s="937"/>
      <c r="C1065" s="937"/>
      <c r="D1065" s="937"/>
      <c r="E1065" s="937"/>
      <c r="F1065" s="937"/>
      <c r="G1065" s="937"/>
      <c r="H1065" s="937"/>
      <c r="I1065" s="937"/>
      <c r="J1065" s="937"/>
      <c r="K1065" s="937"/>
      <c r="L1065" s="937"/>
      <c r="M1065" s="937"/>
      <c r="N1065" s="937"/>
      <c r="O1065" s="937"/>
      <c r="P1065" s="937"/>
      <c r="Q1065" s="937"/>
      <c r="R1065" s="937"/>
      <c r="S1065" s="937"/>
      <c r="T1065" s="937"/>
      <c r="U1065" s="937"/>
      <c r="V1065" s="937"/>
      <c r="W1065" s="937"/>
      <c r="X1065" s="937"/>
      <c r="Y1065" s="937"/>
      <c r="Z1065" s="937"/>
    </row>
    <row r="1066" spans="1:26" ht="15.75" customHeight="1">
      <c r="A1066" s="937"/>
      <c r="B1066" s="937"/>
      <c r="C1066" s="937"/>
      <c r="D1066" s="937"/>
      <c r="E1066" s="937"/>
      <c r="F1066" s="937"/>
      <c r="G1066" s="937"/>
      <c r="H1066" s="937"/>
      <c r="I1066" s="937"/>
      <c r="J1066" s="937"/>
      <c r="K1066" s="937"/>
      <c r="L1066" s="937"/>
      <c r="M1066" s="937"/>
      <c r="N1066" s="937"/>
      <c r="O1066" s="937"/>
      <c r="P1066" s="937"/>
      <c r="Q1066" s="937"/>
      <c r="R1066" s="937"/>
      <c r="S1066" s="937"/>
      <c r="T1066" s="937"/>
      <c r="U1066" s="937"/>
      <c r="V1066" s="937"/>
      <c r="W1066" s="937"/>
      <c r="X1066" s="937"/>
      <c r="Y1066" s="937"/>
      <c r="Z1066" s="937"/>
    </row>
    <row r="1067" spans="1:26" ht="15.75" customHeight="1">
      <c r="A1067" s="937"/>
      <c r="B1067" s="937"/>
      <c r="C1067" s="937"/>
      <c r="D1067" s="937"/>
      <c r="E1067" s="937"/>
      <c r="F1067" s="937"/>
      <c r="G1067" s="937"/>
      <c r="H1067" s="937"/>
      <c r="I1067" s="937"/>
      <c r="J1067" s="937"/>
      <c r="K1067" s="937"/>
      <c r="L1067" s="937"/>
      <c r="M1067" s="937"/>
      <c r="N1067" s="937"/>
      <c r="O1067" s="937"/>
      <c r="P1067" s="937"/>
      <c r="Q1067" s="937"/>
      <c r="R1067" s="937"/>
      <c r="S1067" s="937"/>
      <c r="T1067" s="937"/>
      <c r="U1067" s="937"/>
      <c r="V1067" s="937"/>
      <c r="W1067" s="937"/>
      <c r="X1067" s="937"/>
      <c r="Y1067" s="937"/>
      <c r="Z1067" s="937"/>
    </row>
    <row r="1068" spans="1:26" ht="15.75" customHeight="1">
      <c r="A1068" s="937"/>
      <c r="B1068" s="937"/>
      <c r="C1068" s="937"/>
      <c r="D1068" s="937"/>
      <c r="E1068" s="937"/>
      <c r="F1068" s="937"/>
      <c r="G1068" s="937"/>
      <c r="H1068" s="937"/>
      <c r="I1068" s="937"/>
      <c r="J1068" s="937"/>
      <c r="K1068" s="937"/>
      <c r="L1068" s="937"/>
      <c r="M1068" s="937"/>
      <c r="N1068" s="937"/>
      <c r="O1068" s="937"/>
      <c r="P1068" s="937"/>
      <c r="Q1068" s="937"/>
      <c r="R1068" s="937"/>
      <c r="S1068" s="937"/>
      <c r="T1068" s="937"/>
      <c r="U1068" s="937"/>
      <c r="V1068" s="937"/>
      <c r="W1068" s="937"/>
      <c r="X1068" s="937"/>
      <c r="Y1068" s="937"/>
      <c r="Z1068" s="937"/>
    </row>
    <row r="1069" spans="1:26" ht="15.75" customHeight="1">
      <c r="A1069" s="937"/>
      <c r="B1069" s="937"/>
      <c r="C1069" s="937"/>
      <c r="D1069" s="937"/>
      <c r="E1069" s="937"/>
      <c r="F1069" s="937"/>
      <c r="G1069" s="937"/>
      <c r="H1069" s="937"/>
      <c r="I1069" s="937"/>
      <c r="J1069" s="937"/>
      <c r="K1069" s="937"/>
      <c r="L1069" s="937"/>
      <c r="M1069" s="937"/>
      <c r="N1069" s="937"/>
      <c r="O1069" s="937"/>
      <c r="P1069" s="937"/>
      <c r="Q1069" s="937"/>
      <c r="R1069" s="937"/>
      <c r="S1069" s="937"/>
      <c r="T1069" s="937"/>
      <c r="U1069" s="937"/>
      <c r="V1069" s="937"/>
      <c r="W1069" s="937"/>
      <c r="X1069" s="937"/>
      <c r="Y1069" s="937"/>
      <c r="Z1069" s="937"/>
    </row>
    <row r="1070" spans="1:26" ht="15.75" customHeight="1">
      <c r="A1070" s="937"/>
      <c r="B1070" s="937"/>
      <c r="C1070" s="937"/>
      <c r="D1070" s="937"/>
      <c r="E1070" s="937"/>
      <c r="F1070" s="937"/>
      <c r="G1070" s="937"/>
      <c r="H1070" s="937"/>
      <c r="I1070" s="937"/>
      <c r="J1070" s="937"/>
      <c r="K1070" s="937"/>
      <c r="L1070" s="937"/>
      <c r="M1070" s="937"/>
      <c r="N1070" s="937"/>
      <c r="O1070" s="937"/>
      <c r="P1070" s="937"/>
      <c r="Q1070" s="937"/>
      <c r="R1070" s="937"/>
      <c r="S1070" s="937"/>
      <c r="T1070" s="937"/>
      <c r="U1070" s="937"/>
      <c r="V1070" s="937"/>
      <c r="W1070" s="937"/>
      <c r="X1070" s="937"/>
      <c r="Y1070" s="937"/>
      <c r="Z1070" s="937"/>
    </row>
    <row r="1071" spans="1:26" ht="15.75" customHeight="1">
      <c r="A1071" s="937"/>
      <c r="B1071" s="937"/>
      <c r="C1071" s="937"/>
      <c r="D1071" s="937"/>
      <c r="E1071" s="937"/>
      <c r="F1071" s="937"/>
      <c r="G1071" s="937"/>
      <c r="H1071" s="937"/>
      <c r="I1071" s="937"/>
      <c r="J1071" s="937"/>
      <c r="K1071" s="937"/>
      <c r="L1071" s="937"/>
      <c r="M1071" s="937"/>
      <c r="N1071" s="937"/>
      <c r="O1071" s="937"/>
      <c r="P1071" s="937"/>
      <c r="Q1071" s="937"/>
      <c r="R1071" s="937"/>
      <c r="S1071" s="937"/>
      <c r="T1071" s="937"/>
      <c r="U1071" s="937"/>
      <c r="V1071" s="937"/>
      <c r="W1071" s="937"/>
      <c r="X1071" s="937"/>
      <c r="Y1071" s="937"/>
      <c r="Z1071" s="937"/>
    </row>
    <row r="1072" spans="1:26" ht="15.75" customHeight="1">
      <c r="A1072" s="937"/>
      <c r="B1072" s="937"/>
      <c r="C1072" s="937"/>
      <c r="D1072" s="937"/>
      <c r="E1072" s="937"/>
      <c r="F1072" s="937"/>
      <c r="G1072" s="937"/>
      <c r="H1072" s="937"/>
      <c r="I1072" s="937"/>
      <c r="J1072" s="937"/>
      <c r="K1072" s="937"/>
      <c r="L1072" s="937"/>
      <c r="M1072" s="937"/>
      <c r="N1072" s="937"/>
      <c r="O1072" s="937"/>
      <c r="P1072" s="937"/>
      <c r="Q1072" s="937"/>
      <c r="R1072" s="937"/>
      <c r="S1072" s="937"/>
      <c r="T1072" s="937"/>
      <c r="U1072" s="937"/>
      <c r="V1072" s="937"/>
      <c r="W1072" s="937"/>
      <c r="X1072" s="937"/>
      <c r="Y1072" s="937"/>
      <c r="Z1072" s="937"/>
    </row>
    <row r="1073" spans="1:26" ht="15.75" customHeight="1">
      <c r="A1073" s="937"/>
      <c r="B1073" s="937"/>
      <c r="C1073" s="937"/>
      <c r="D1073" s="937"/>
      <c r="E1073" s="937"/>
      <c r="F1073" s="937"/>
      <c r="G1073" s="937"/>
      <c r="H1073" s="937"/>
      <c r="I1073" s="937"/>
      <c r="J1073" s="937"/>
      <c r="K1073" s="937"/>
      <c r="L1073" s="937"/>
      <c r="M1073" s="937"/>
      <c r="N1073" s="937"/>
      <c r="O1073" s="937"/>
      <c r="P1073" s="937"/>
      <c r="Q1073" s="937"/>
      <c r="R1073" s="937"/>
      <c r="S1073" s="937"/>
      <c r="T1073" s="937"/>
      <c r="U1073" s="937"/>
      <c r="V1073" s="937"/>
      <c r="W1073" s="937"/>
      <c r="X1073" s="937"/>
      <c r="Y1073" s="937"/>
      <c r="Z1073" s="937"/>
    </row>
    <row r="1074" spans="1:26" ht="15.75" customHeight="1">
      <c r="A1074" s="937"/>
      <c r="B1074" s="937"/>
      <c r="C1074" s="937"/>
      <c r="D1074" s="937"/>
      <c r="E1074" s="937"/>
      <c r="F1074" s="937"/>
      <c r="G1074" s="937"/>
      <c r="H1074" s="937"/>
      <c r="I1074" s="937"/>
      <c r="J1074" s="937"/>
      <c r="K1074" s="937"/>
      <c r="L1074" s="937"/>
      <c r="M1074" s="937"/>
      <c r="N1074" s="937"/>
      <c r="O1074" s="937"/>
      <c r="P1074" s="937"/>
      <c r="Q1074" s="937"/>
      <c r="R1074" s="937"/>
      <c r="S1074" s="937"/>
      <c r="T1074" s="937"/>
      <c r="U1074" s="937"/>
      <c r="V1074" s="937"/>
      <c r="W1074" s="937"/>
      <c r="X1074" s="937"/>
      <c r="Y1074" s="937"/>
      <c r="Z1074" s="937"/>
    </row>
    <row r="1075" spans="1:26" ht="15.75" customHeight="1">
      <c r="A1075" s="937"/>
      <c r="B1075" s="937"/>
      <c r="C1075" s="937"/>
      <c r="D1075" s="937"/>
      <c r="E1075" s="937"/>
      <c r="F1075" s="937"/>
      <c r="G1075" s="937"/>
      <c r="H1075" s="937"/>
      <c r="I1075" s="937"/>
      <c r="J1075" s="937"/>
      <c r="K1075" s="937"/>
      <c r="L1075" s="937"/>
      <c r="M1075" s="937"/>
      <c r="N1075" s="937"/>
      <c r="O1075" s="937"/>
      <c r="P1075" s="937"/>
      <c r="Q1075" s="937"/>
      <c r="R1075" s="937"/>
      <c r="S1075" s="937"/>
      <c r="T1075" s="937"/>
      <c r="U1075" s="937"/>
      <c r="V1075" s="937"/>
      <c r="W1075" s="937"/>
      <c r="X1075" s="937"/>
      <c r="Y1075" s="937"/>
      <c r="Z1075" s="937"/>
    </row>
    <row r="1076" spans="1:26" ht="15.75" customHeight="1">
      <c r="A1076" s="937"/>
      <c r="B1076" s="937"/>
      <c r="C1076" s="937"/>
      <c r="D1076" s="937"/>
      <c r="E1076" s="937"/>
      <c r="F1076" s="937"/>
      <c r="G1076" s="937"/>
      <c r="H1076" s="937"/>
      <c r="I1076" s="937"/>
      <c r="J1076" s="937"/>
      <c r="K1076" s="937"/>
      <c r="L1076" s="937"/>
      <c r="M1076" s="937"/>
      <c r="N1076" s="937"/>
      <c r="O1076" s="937"/>
      <c r="P1076" s="937"/>
      <c r="Q1076" s="937"/>
      <c r="R1076" s="937"/>
      <c r="S1076" s="937"/>
      <c r="T1076" s="937"/>
      <c r="U1076" s="937"/>
      <c r="V1076" s="937"/>
      <c r="W1076" s="937"/>
      <c r="X1076" s="937"/>
      <c r="Y1076" s="937"/>
      <c r="Z1076" s="937"/>
    </row>
    <row r="1077" spans="1:26" ht="15.75" customHeight="1">
      <c r="A1077" s="937"/>
      <c r="B1077" s="937"/>
      <c r="C1077" s="937"/>
      <c r="D1077" s="937"/>
      <c r="E1077" s="937"/>
      <c r="F1077" s="937"/>
      <c r="G1077" s="937"/>
      <c r="H1077" s="937"/>
      <c r="I1077" s="937"/>
      <c r="J1077" s="937"/>
      <c r="K1077" s="937"/>
      <c r="L1077" s="937"/>
      <c r="M1077" s="937"/>
      <c r="N1077" s="937"/>
      <c r="O1077" s="937"/>
      <c r="P1077" s="937"/>
      <c r="Q1077" s="937"/>
      <c r="R1077" s="937"/>
      <c r="S1077" s="937"/>
      <c r="T1077" s="937"/>
      <c r="U1077" s="937"/>
      <c r="V1077" s="937"/>
      <c r="W1077" s="937"/>
      <c r="X1077" s="937"/>
      <c r="Y1077" s="937"/>
      <c r="Z1077" s="937"/>
    </row>
    <row r="1078" spans="1:26" ht="15.75" customHeight="1">
      <c r="A1078" s="937"/>
      <c r="B1078" s="937"/>
      <c r="C1078" s="937"/>
      <c r="D1078" s="937"/>
      <c r="E1078" s="937"/>
      <c r="F1078" s="937"/>
      <c r="G1078" s="937"/>
      <c r="H1078" s="937"/>
      <c r="I1078" s="937"/>
      <c r="J1078" s="937"/>
      <c r="K1078" s="937"/>
      <c r="L1078" s="937"/>
      <c r="M1078" s="937"/>
      <c r="N1078" s="937"/>
      <c r="O1078" s="937"/>
      <c r="P1078" s="937"/>
      <c r="Q1078" s="937"/>
      <c r="R1078" s="937"/>
      <c r="S1078" s="937"/>
      <c r="T1078" s="937"/>
      <c r="U1078" s="937"/>
      <c r="V1078" s="937"/>
      <c r="W1078" s="937"/>
      <c r="X1078" s="937"/>
      <c r="Y1078" s="937"/>
      <c r="Z1078" s="937"/>
    </row>
  </sheetData>
  <autoFilter ref="A96:Z249" xr:uid="{00000000-0009-0000-0000-000005000000}"/>
  <conditionalFormatting sqref="F249">
    <cfRule type="cellIs" dxfId="10" priority="1" operator="greaterThanOrEqual">
      <formula>0.4</formula>
    </cfRule>
    <cfRule type="cellIs" dxfId="9" priority="2" operator="between">
      <formula>0.35</formula>
      <formula>0.3999</formula>
    </cfRule>
    <cfRule type="cellIs" dxfId="8" priority="3" operator="between">
      <formula>0.3</formula>
      <formula>0.3499</formula>
    </cfRule>
    <cfRule type="cellIs" dxfId="7" priority="4" operator="lessThan">
      <formula>0.3</formula>
    </cfRule>
  </conditionalFormatting>
  <conditionalFormatting sqref="K4:K6 J5:J12 I7:I11 K12 G239:G247">
    <cfRule type="cellIs" dxfId="6" priority="5" stopIfTrue="1" operator="lessThan">
      <formula>0</formula>
    </cfRule>
  </conditionalFormatting>
  <dataValidations count="14">
    <dataValidation type="list" allowBlank="1" showErrorMessage="1" sqref="E15:E89 E216" xr:uid="{00000000-0002-0000-0500-000000000000}">
      <formula1>"MT,MTcod,MTCoach,ET,ETcod,ETCoach,ST,STcod,STCoach,T,Tcod,TCoach,HTS,STS,TS"</formula1>
    </dataValidation>
    <dataValidation type="list" allowBlank="1" sqref="J246" xr:uid="{00000000-0002-0000-0500-000001000000}">
      <formula1>"Bruno,Davide Z."</formula1>
    </dataValidation>
    <dataValidation type="list" allowBlank="1" sqref="E7" xr:uid="{00000000-0002-0000-0500-000002000000}">
      <formula1>$M$2:$M$54</formula1>
    </dataValidation>
    <dataValidation type="list" allowBlank="1" showErrorMessage="1" sqref="B233:B234" xr:uid="{00000000-0002-0000-0500-000003000000}">
      <formula1>"Corsi,Ricavi da Spese Fatturate al Cliente"</formula1>
    </dataValidation>
    <dataValidation type="list" allowBlank="1" showErrorMessage="1" sqref="I3" xr:uid="{00000000-0002-0000-0500-000004000000}">
      <formula1>"Finanziato,Autofinanziato"</formula1>
    </dataValidation>
    <dataValidation type="list" allowBlank="1" showErrorMessage="1" sqref="B94" xr:uid="{00000000-0002-0000-0500-000005000000}">
      <formula1>"Royalties"</formula1>
    </dataValidation>
    <dataValidation type="list" allowBlank="1" showErrorMessage="1" sqref="C15:C89 C94 C97:C211 C216 C219:C228 C233:C234" xr:uid="{00000000-0002-0000-0500-000006000000}">
      <formula1>"blackship,Master in Vendita"</formula1>
    </dataValidation>
    <dataValidation type="list" allowBlank="1" showErrorMessage="1" sqref="D97:D211 F216" xr:uid="{00000000-0002-0000-0500-000007000000}">
      <formula1>"x"</formula1>
    </dataValidation>
    <dataValidation type="list" allowBlank="1" showErrorMessage="1" sqref="B216 B219:B228" xr:uid="{00000000-0002-0000-0500-000008000000}">
      <formula1>"Provvigioni"</formula1>
    </dataValidation>
    <dataValidation type="list" allowBlank="1" sqref="E8" xr:uid="{00000000-0002-0000-0500-000009000000}">
      <formula1>$N$2:$N$23</formula1>
    </dataValidation>
    <dataValidation type="list" allowBlank="1" showErrorMessage="1" sqref="B97:B211" xr:uid="{00000000-0002-0000-0500-00000A000000}">
      <formula1>"Rimborsi Spese,Sale &amp; Hotel,Service,Manuali &amp; Materiali,Gadget,Furgone &amp; Facchino"</formula1>
    </dataValidation>
    <dataValidation type="list" allowBlank="1" showErrorMessage="1" sqref="K10" xr:uid="{00000000-0002-0000-0500-00000B000000}">
      <formula1>$O$2:$O$19</formula1>
    </dataValidation>
    <dataValidation type="list" allowBlank="1" showErrorMessage="1" sqref="K3" xr:uid="{00000000-0002-0000-0500-00000C000000}">
      <formula1>"Incluse,Escluse"</formula1>
    </dataValidation>
    <dataValidation type="list" allowBlank="1" showErrorMessage="1" sqref="B15:B89" xr:uid="{00000000-0002-0000-0500-00000D000000}">
      <formula1>"Docenze e Assistenze"</formula1>
    </dataValidation>
  </dataValidations>
  <pageMargins left="0.75" right="0.75" top="1" bottom="1"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130"/>
  <sheetViews>
    <sheetView workbookViewId="0"/>
  </sheetViews>
  <sheetFormatPr defaultColWidth="14.42578125" defaultRowHeight="15" customHeight="1" outlineLevelRow="1"/>
  <cols>
    <col min="1" max="1" width="4.140625" customWidth="1"/>
    <col min="2" max="2" width="20.7109375" customWidth="1"/>
    <col min="4" max="4" width="36.42578125" customWidth="1"/>
    <col min="5" max="5" width="12.85546875" customWidth="1"/>
    <col min="6" max="6" width="16.140625" customWidth="1"/>
    <col min="7" max="7" width="37.28515625" customWidth="1"/>
    <col min="8" max="8" width="30.7109375" customWidth="1"/>
    <col min="9" max="9" width="26.28515625" customWidth="1"/>
    <col min="10" max="10" width="10.7109375" customWidth="1"/>
    <col min="11" max="11" width="12.7109375" customWidth="1"/>
    <col min="12" max="12" width="15.7109375" customWidth="1"/>
    <col min="13" max="16" width="22.42578125" customWidth="1"/>
    <col min="17" max="26" width="8.7109375" customWidth="1"/>
  </cols>
  <sheetData>
    <row r="1" spans="1:26" ht="12.75" customHeight="1">
      <c r="A1" s="1030"/>
      <c r="B1" s="1030"/>
      <c r="C1" s="1030"/>
      <c r="D1" s="1031" t="s">
        <v>3333</v>
      </c>
      <c r="E1" s="1031"/>
      <c r="F1" s="1031"/>
      <c r="G1" s="1031"/>
      <c r="H1" s="1031"/>
      <c r="I1" s="1032"/>
      <c r="J1" s="1031"/>
      <c r="K1" s="1033"/>
      <c r="L1" s="1030"/>
      <c r="M1" s="1030" t="s">
        <v>3334</v>
      </c>
      <c r="N1" s="1030" t="s">
        <v>3335</v>
      </c>
      <c r="O1" s="1030" t="s">
        <v>3336</v>
      </c>
      <c r="P1" s="1030" t="s">
        <v>3337</v>
      </c>
      <c r="Q1" s="1030"/>
      <c r="R1" s="1030"/>
      <c r="S1" s="1030"/>
      <c r="T1" s="1030"/>
      <c r="U1" s="1030"/>
      <c r="V1" s="1030"/>
      <c r="W1" s="1030"/>
      <c r="X1" s="1030"/>
      <c r="Y1" s="1030"/>
      <c r="Z1" s="1030"/>
    </row>
    <row r="2" spans="1:26" ht="30.75" customHeight="1">
      <c r="A2" s="1030"/>
      <c r="B2" s="1030"/>
      <c r="C2" s="1030"/>
      <c r="D2" s="1034" t="s">
        <v>3338</v>
      </c>
      <c r="E2" s="1035" t="s">
        <v>117</v>
      </c>
      <c r="F2" s="1036" t="s">
        <v>3339</v>
      </c>
      <c r="G2" s="1459" t="s">
        <v>4755</v>
      </c>
      <c r="H2" s="1036" t="s">
        <v>3341</v>
      </c>
      <c r="I2" s="1037" t="s">
        <v>3342</v>
      </c>
      <c r="J2" s="1038" t="s">
        <v>3343</v>
      </c>
      <c r="K2" s="1037">
        <v>298635</v>
      </c>
      <c r="L2" s="1039"/>
      <c r="M2" s="1030" t="s">
        <v>3344</v>
      </c>
      <c r="N2" s="1030" t="s">
        <v>3345</v>
      </c>
      <c r="O2" s="1030" t="s">
        <v>998</v>
      </c>
      <c r="P2" s="1030" t="s">
        <v>998</v>
      </c>
      <c r="Q2" s="1030"/>
      <c r="R2" s="1030"/>
      <c r="S2" s="1030"/>
      <c r="T2" s="1030"/>
      <c r="U2" s="1030"/>
      <c r="V2" s="1030"/>
      <c r="W2" s="1030"/>
      <c r="X2" s="1030"/>
      <c r="Y2" s="1030"/>
      <c r="Z2" s="1030"/>
    </row>
    <row r="3" spans="1:26" ht="12.75" customHeight="1">
      <c r="A3" s="1030"/>
      <c r="B3" s="1030"/>
      <c r="C3" s="1030"/>
      <c r="D3" s="1034" t="s">
        <v>3347</v>
      </c>
      <c r="E3" s="1035">
        <v>11</v>
      </c>
      <c r="F3" s="1034" t="s">
        <v>3348</v>
      </c>
      <c r="G3" s="1035" t="s">
        <v>4702</v>
      </c>
      <c r="H3" s="1038" t="s">
        <v>3350</v>
      </c>
      <c r="I3" s="1037" t="s">
        <v>3351</v>
      </c>
      <c r="J3" s="1038" t="s">
        <v>3352</v>
      </c>
      <c r="K3" s="1037" t="s">
        <v>3353</v>
      </c>
      <c r="L3" s="1039"/>
      <c r="M3" s="1030" t="s">
        <v>690</v>
      </c>
      <c r="N3" s="1030" t="s">
        <v>3354</v>
      </c>
      <c r="O3" s="1030" t="s">
        <v>3356</v>
      </c>
      <c r="P3" s="1030" t="s">
        <v>3356</v>
      </c>
      <c r="Q3" s="1030"/>
      <c r="R3" s="1030"/>
      <c r="S3" s="1030"/>
      <c r="T3" s="1030"/>
      <c r="U3" s="1030"/>
      <c r="V3" s="1030"/>
      <c r="W3" s="1030"/>
      <c r="X3" s="1030"/>
      <c r="Y3" s="1030"/>
      <c r="Z3" s="1030"/>
    </row>
    <row r="4" spans="1:26" ht="12.75" customHeight="1">
      <c r="A4" s="1030"/>
      <c r="B4" s="1030"/>
      <c r="C4" s="1030"/>
      <c r="D4" s="1039"/>
      <c r="E4" s="1030"/>
      <c r="F4" s="1039"/>
      <c r="G4" s="1039"/>
      <c r="H4" s="1030"/>
      <c r="I4" s="1041"/>
      <c r="J4" s="1038" t="s">
        <v>3355</v>
      </c>
      <c r="K4" s="1042" t="str">
        <f>IF(E3=0,"",IF(K2/E3&lt;2500,"C",IF(K2/E3&lt;4000,"B","A")))</f>
        <v>A</v>
      </c>
      <c r="L4" s="1039"/>
      <c r="M4" s="1030" t="s">
        <v>117</v>
      </c>
      <c r="N4" s="1030" t="s">
        <v>998</v>
      </c>
      <c r="O4" s="1030" t="s">
        <v>1077</v>
      </c>
      <c r="P4" s="1030" t="s">
        <v>3357</v>
      </c>
      <c r="Q4" s="1030"/>
      <c r="R4" s="1030"/>
      <c r="S4" s="1030"/>
      <c r="T4" s="1030"/>
      <c r="U4" s="1030"/>
      <c r="V4" s="1030"/>
      <c r="W4" s="1030"/>
      <c r="X4" s="1030"/>
      <c r="Y4" s="1030"/>
      <c r="Z4" s="1030"/>
    </row>
    <row r="5" spans="1:26" ht="12.75" customHeight="1">
      <c r="A5" s="1030"/>
      <c r="B5" s="1030"/>
      <c r="C5" s="1030"/>
      <c r="D5" s="1039"/>
      <c r="E5" s="1030"/>
      <c r="F5" s="1039"/>
      <c r="G5" s="1039"/>
      <c r="H5" s="1030"/>
      <c r="I5" s="1041"/>
      <c r="J5" s="1043"/>
      <c r="K5" s="1044"/>
      <c r="L5" s="1039"/>
      <c r="M5" s="1030" t="s">
        <v>998</v>
      </c>
      <c r="N5" s="1030" t="s">
        <v>3356</v>
      </c>
      <c r="O5" s="1030" t="s">
        <v>976</v>
      </c>
      <c r="P5" s="1030" t="s">
        <v>1077</v>
      </c>
      <c r="Q5" s="1030"/>
      <c r="R5" s="1030"/>
      <c r="S5" s="1030"/>
      <c r="T5" s="1030"/>
      <c r="U5" s="1030"/>
      <c r="V5" s="1030"/>
      <c r="W5" s="1030"/>
      <c r="X5" s="1030"/>
      <c r="Y5" s="1030"/>
      <c r="Z5" s="1030"/>
    </row>
    <row r="6" spans="1:26" ht="12.75" customHeight="1">
      <c r="A6" s="1030"/>
      <c r="B6" s="1030"/>
      <c r="C6" s="1030"/>
      <c r="D6" s="1039"/>
      <c r="E6" s="1030"/>
      <c r="F6" s="1039"/>
      <c r="G6" s="1039"/>
      <c r="H6" s="1030"/>
      <c r="I6" s="1041"/>
      <c r="J6" s="1045" t="s">
        <v>3358</v>
      </c>
      <c r="K6" s="1045" t="s">
        <v>3359</v>
      </c>
      <c r="L6" s="1039"/>
      <c r="M6" s="1030" t="s">
        <v>3356</v>
      </c>
      <c r="N6" s="1030" t="s">
        <v>1077</v>
      </c>
      <c r="O6" s="1030" t="s">
        <v>1388</v>
      </c>
      <c r="P6" s="1030" t="s">
        <v>976</v>
      </c>
      <c r="Q6" s="1030"/>
      <c r="R6" s="1030"/>
      <c r="S6" s="1030"/>
      <c r="T6" s="1030"/>
      <c r="U6" s="1030"/>
      <c r="V6" s="1030"/>
      <c r="W6" s="1030"/>
      <c r="X6" s="1030"/>
      <c r="Y6" s="1030"/>
      <c r="Z6" s="1030"/>
    </row>
    <row r="7" spans="1:26" ht="26.25" customHeight="1">
      <c r="A7" s="1030"/>
      <c r="B7" s="1030"/>
      <c r="C7" s="1030"/>
      <c r="D7" s="1046" t="s">
        <v>3360</v>
      </c>
      <c r="E7" s="1035"/>
      <c r="F7" s="1035"/>
      <c r="G7" s="1047"/>
      <c r="H7" s="1047"/>
      <c r="I7" s="1048" t="s">
        <v>3361</v>
      </c>
      <c r="J7" s="1049">
        <v>0</v>
      </c>
      <c r="K7" s="1050" t="str">
        <f t="shared" ref="K7:K8" si="0">IF(E7=0,"-",E7)</f>
        <v>-</v>
      </c>
      <c r="L7" s="1030"/>
      <c r="M7" s="1030" t="s">
        <v>3357</v>
      </c>
      <c r="N7" s="1030" t="s">
        <v>976</v>
      </c>
      <c r="O7" s="1030" t="s">
        <v>2642</v>
      </c>
      <c r="P7" s="1030" t="s">
        <v>1388</v>
      </c>
      <c r="Q7" s="1030"/>
      <c r="R7" s="1030"/>
      <c r="S7" s="1030"/>
      <c r="T7" s="1030"/>
      <c r="U7" s="1030"/>
      <c r="V7" s="1030"/>
      <c r="W7" s="1030"/>
      <c r="X7" s="1030"/>
      <c r="Y7" s="1030"/>
      <c r="Z7" s="1030"/>
    </row>
    <row r="8" spans="1:26" ht="12.75" customHeight="1">
      <c r="A8" s="1030"/>
      <c r="B8" s="1030"/>
      <c r="C8" s="1030"/>
      <c r="D8" s="1046" t="s">
        <v>3362</v>
      </c>
      <c r="E8" s="1035"/>
      <c r="F8" s="1035"/>
      <c r="G8" s="1047"/>
      <c r="H8" s="1047"/>
      <c r="I8" s="1038" t="s">
        <v>3363</v>
      </c>
      <c r="J8" s="1049">
        <v>0</v>
      </c>
      <c r="K8" s="1050" t="str">
        <f t="shared" si="0"/>
        <v>-</v>
      </c>
      <c r="L8" s="1030"/>
      <c r="M8" s="1030" t="s">
        <v>1077</v>
      </c>
      <c r="N8" s="1030" t="s">
        <v>1388</v>
      </c>
      <c r="O8" s="1030" t="s">
        <v>3366</v>
      </c>
      <c r="P8" s="1030" t="s">
        <v>2642</v>
      </c>
      <c r="Q8" s="1030"/>
      <c r="R8" s="1030"/>
      <c r="S8" s="1030"/>
      <c r="T8" s="1030"/>
      <c r="U8" s="1030"/>
      <c r="V8" s="1030"/>
      <c r="W8" s="1030"/>
      <c r="X8" s="1030"/>
      <c r="Y8" s="1030"/>
      <c r="Z8" s="1030"/>
    </row>
    <row r="9" spans="1:26" ht="12.75" customHeight="1">
      <c r="A9" s="1030"/>
      <c r="B9" s="1030"/>
      <c r="C9" s="1030"/>
      <c r="D9" s="1051"/>
      <c r="E9" s="1051"/>
      <c r="F9" s="1034"/>
      <c r="G9" s="1047"/>
      <c r="H9" s="1047"/>
      <c r="I9" s="1038" t="s">
        <v>3365</v>
      </c>
      <c r="J9" s="1049">
        <v>0</v>
      </c>
      <c r="K9" s="1050" t="str">
        <f>IF(E8=0,"-",E8)</f>
        <v>-</v>
      </c>
      <c r="L9" s="1030"/>
      <c r="M9" s="1030" t="s">
        <v>976</v>
      </c>
      <c r="N9" s="1030" t="s">
        <v>2642</v>
      </c>
      <c r="O9" s="1030" t="s">
        <v>3368</v>
      </c>
      <c r="P9" s="1030" t="s">
        <v>3366</v>
      </c>
      <c r="Q9" s="1030"/>
      <c r="R9" s="1030"/>
      <c r="S9" s="1030"/>
      <c r="T9" s="1030"/>
      <c r="U9" s="1030"/>
      <c r="V9" s="1030"/>
      <c r="W9" s="1030"/>
      <c r="X9" s="1030"/>
      <c r="Y9" s="1030"/>
      <c r="Z9" s="1030"/>
    </row>
    <row r="10" spans="1:26" ht="12.75" customHeight="1">
      <c r="A10" s="1030"/>
      <c r="B10" s="1030"/>
      <c r="C10" s="1030"/>
      <c r="D10" s="1051"/>
      <c r="E10" s="1051"/>
      <c r="F10" s="1034"/>
      <c r="G10" s="1047"/>
      <c r="H10" s="1052"/>
      <c r="I10" s="1038" t="s">
        <v>3367</v>
      </c>
      <c r="J10" s="1049">
        <v>0</v>
      </c>
      <c r="K10" s="1053"/>
      <c r="L10" s="1030"/>
      <c r="M10" s="1030" t="s">
        <v>1388</v>
      </c>
      <c r="N10" s="1030" t="s">
        <v>3366</v>
      </c>
      <c r="O10" s="1030" t="s">
        <v>3370</v>
      </c>
      <c r="P10" s="1030" t="s">
        <v>3368</v>
      </c>
      <c r="Q10" s="1030"/>
      <c r="R10" s="1030"/>
      <c r="S10" s="1030"/>
      <c r="T10" s="1030"/>
      <c r="U10" s="1030"/>
      <c r="V10" s="1030"/>
      <c r="W10" s="1030"/>
      <c r="X10" s="1030"/>
      <c r="Y10" s="1030"/>
      <c r="Z10" s="1030"/>
    </row>
    <row r="11" spans="1:26" ht="12.75" customHeight="1">
      <c r="A11" s="1030"/>
      <c r="B11" s="1030"/>
      <c r="C11" s="1030"/>
      <c r="D11" s="1051"/>
      <c r="E11" s="1051"/>
      <c r="F11" s="1034"/>
      <c r="G11" s="1047"/>
      <c r="H11" s="1052"/>
      <c r="I11" s="1038" t="s">
        <v>3369</v>
      </c>
      <c r="J11" s="1049"/>
      <c r="K11" s="1054" t="s">
        <v>118</v>
      </c>
      <c r="L11" s="1030"/>
      <c r="M11" s="1030" t="s">
        <v>2642</v>
      </c>
      <c r="N11" s="1030" t="s">
        <v>3370</v>
      </c>
      <c r="O11" s="1030" t="s">
        <v>2940</v>
      </c>
      <c r="P11" s="1030" t="s">
        <v>3370</v>
      </c>
      <c r="Q11" s="1030"/>
      <c r="R11" s="1030"/>
      <c r="S11" s="1030"/>
      <c r="T11" s="1030"/>
      <c r="U11" s="1030"/>
      <c r="V11" s="1030"/>
      <c r="W11" s="1030"/>
      <c r="X11" s="1030"/>
      <c r="Y11" s="1030"/>
      <c r="Z11" s="1030"/>
    </row>
    <row r="12" spans="1:26" ht="12.75" customHeight="1">
      <c r="A12" s="1030"/>
      <c r="B12" s="1030"/>
      <c r="C12" s="1030"/>
      <c r="D12" s="1055"/>
      <c r="E12" s="1056"/>
      <c r="F12" s="1055"/>
      <c r="G12" s="1055"/>
      <c r="H12" s="1056"/>
      <c r="I12" s="1057"/>
      <c r="J12" s="1058"/>
      <c r="K12" s="1059"/>
      <c r="L12" s="1039"/>
      <c r="M12" s="1030" t="s">
        <v>3366</v>
      </c>
      <c r="N12" s="1030" t="s">
        <v>2940</v>
      </c>
      <c r="O12" s="1030" t="s">
        <v>3372</v>
      </c>
      <c r="P12" s="1030" t="s">
        <v>2940</v>
      </c>
      <c r="Q12" s="1030"/>
      <c r="R12" s="1030"/>
      <c r="S12" s="1030"/>
      <c r="T12" s="1030"/>
      <c r="U12" s="1030"/>
      <c r="V12" s="1030"/>
      <c r="W12" s="1030"/>
      <c r="X12" s="1030"/>
      <c r="Y12" s="1030"/>
      <c r="Z12" s="1030"/>
    </row>
    <row r="13" spans="1:26" ht="12.75" customHeight="1">
      <c r="A13" s="1060"/>
      <c r="B13" s="1030"/>
      <c r="C13" s="1030"/>
      <c r="D13" s="1031" t="s">
        <v>3371</v>
      </c>
      <c r="E13" s="1031"/>
      <c r="F13" s="1031"/>
      <c r="G13" s="1031"/>
      <c r="H13" s="1031"/>
      <c r="I13" s="1032"/>
      <c r="J13" s="1031"/>
      <c r="K13" s="1033"/>
      <c r="L13" s="1030"/>
      <c r="M13" s="1030" t="s">
        <v>3368</v>
      </c>
      <c r="N13" s="1030" t="s">
        <v>3372</v>
      </c>
      <c r="O13" s="1030" t="s">
        <v>2667</v>
      </c>
      <c r="P13" s="1030" t="s">
        <v>3372</v>
      </c>
      <c r="Q13" s="1030"/>
      <c r="R13" s="1030"/>
      <c r="S13" s="1030"/>
      <c r="T13" s="1030"/>
      <c r="U13" s="1030"/>
      <c r="V13" s="1030"/>
      <c r="W13" s="1030"/>
      <c r="X13" s="1030"/>
      <c r="Y13" s="1030"/>
      <c r="Z13" s="1030"/>
    </row>
    <row r="14" spans="1:26" ht="12.75" customHeight="1">
      <c r="A14" s="1061"/>
      <c r="B14" s="1062" t="s">
        <v>3373</v>
      </c>
      <c r="C14" s="1063" t="s">
        <v>3374</v>
      </c>
      <c r="D14" s="1064" t="s">
        <v>3375</v>
      </c>
      <c r="E14" s="1064" t="s">
        <v>3376</v>
      </c>
      <c r="F14" s="1064" t="s">
        <v>3377</v>
      </c>
      <c r="G14" s="1064" t="s">
        <v>3378</v>
      </c>
      <c r="H14" s="1064" t="s">
        <v>3377</v>
      </c>
      <c r="I14" s="1064" t="s">
        <v>3379</v>
      </c>
      <c r="J14" s="1064" t="s">
        <v>3380</v>
      </c>
      <c r="K14" s="1065" t="s">
        <v>3381</v>
      </c>
      <c r="L14" s="1030"/>
      <c r="M14" s="1030" t="s">
        <v>3370</v>
      </c>
      <c r="N14" s="1030" t="s">
        <v>2667</v>
      </c>
      <c r="O14" s="1030" t="s">
        <v>3387</v>
      </c>
      <c r="P14" s="1030" t="s">
        <v>2667</v>
      </c>
      <c r="Q14" s="1030"/>
      <c r="R14" s="1030"/>
      <c r="S14" s="1030"/>
      <c r="T14" s="1030"/>
      <c r="U14" s="1030"/>
      <c r="V14" s="1030"/>
      <c r="W14" s="1030"/>
      <c r="X14" s="1030"/>
      <c r="Y14" s="1030"/>
      <c r="Z14" s="1030"/>
    </row>
    <row r="15" spans="1:26" ht="12.75" customHeight="1">
      <c r="A15" s="1061">
        <v>1</v>
      </c>
      <c r="B15" s="1051" t="s">
        <v>3382</v>
      </c>
      <c r="C15" s="1066" t="s">
        <v>3342</v>
      </c>
      <c r="D15" s="1035" t="s">
        <v>3145</v>
      </c>
      <c r="E15" s="1035" t="s">
        <v>4703</v>
      </c>
      <c r="F15" s="1073" t="s">
        <v>3384</v>
      </c>
      <c r="G15" s="1068">
        <f t="shared" ref="G15:G38" si="1">IF(E15="MT",800,IF(E15="ET",600,IF(E15="ST",400,IF(E15="T",300,IF(E15="HTS",200,IF(E15="STS",150,IF(E15="TS",100,))))))+IF(E15="MTcod",600,IF(E15="ETcod",450,IF(E15="STcod",350,IF(E15="Tcod",250,)))+IF(E15="MTCoach",800,IF(E15="ETCoach",600,IF(E15="STCoach",400,IF(E15="TCoach",300,))))))</f>
        <v>800</v>
      </c>
      <c r="H15" s="1035" t="s">
        <v>4756</v>
      </c>
      <c r="I15" s="1070">
        <v>3</v>
      </c>
      <c r="J15" s="1071"/>
      <c r="K15" s="1068">
        <f t="shared" ref="K15:K24" si="2">I15*(G15)+J15</f>
        <v>2400</v>
      </c>
      <c r="L15" s="1064" t="s">
        <v>3386</v>
      </c>
      <c r="M15" s="1030" t="s">
        <v>2940</v>
      </c>
      <c r="N15" s="1030" t="s">
        <v>3387</v>
      </c>
      <c r="O15" s="1030" t="s">
        <v>2689</v>
      </c>
      <c r="P15" s="1030" t="s">
        <v>3391</v>
      </c>
      <c r="Q15" s="1030"/>
      <c r="R15" s="1030"/>
      <c r="S15" s="1030"/>
      <c r="T15" s="1030"/>
      <c r="U15" s="1030"/>
      <c r="V15" s="1030"/>
      <c r="W15" s="1030"/>
      <c r="X15" s="1030"/>
      <c r="Y15" s="1030"/>
      <c r="Z15" s="1030"/>
    </row>
    <row r="16" spans="1:26" ht="12.75" customHeight="1">
      <c r="A16" s="1061">
        <f t="shared" ref="A16:A75" si="3">A15+1</f>
        <v>2</v>
      </c>
      <c r="B16" s="1051" t="s">
        <v>3382</v>
      </c>
      <c r="C16" s="1066" t="s">
        <v>3342</v>
      </c>
      <c r="D16" s="1035" t="s">
        <v>998</v>
      </c>
      <c r="E16" s="1035" t="s">
        <v>3388</v>
      </c>
      <c r="F16" s="1073" t="s">
        <v>3384</v>
      </c>
      <c r="G16" s="1068">
        <f t="shared" si="1"/>
        <v>200</v>
      </c>
      <c r="H16" s="1035" t="s">
        <v>4756</v>
      </c>
      <c r="I16" s="1070">
        <v>3.5</v>
      </c>
      <c r="J16" s="1071"/>
      <c r="K16" s="1068">
        <f t="shared" si="2"/>
        <v>700</v>
      </c>
      <c r="L16" s="1064" t="s">
        <v>3389</v>
      </c>
      <c r="M16" s="1030" t="s">
        <v>3372</v>
      </c>
      <c r="N16" s="1030" t="s">
        <v>2689</v>
      </c>
      <c r="O16" s="1030" t="s">
        <v>3145</v>
      </c>
      <c r="P16" s="1030" t="s">
        <v>3396</v>
      </c>
      <c r="Q16" s="1030"/>
      <c r="R16" s="1030"/>
      <c r="S16" s="1030"/>
      <c r="T16" s="1030"/>
      <c r="U16" s="1030"/>
      <c r="V16" s="1030"/>
      <c r="W16" s="1030"/>
      <c r="X16" s="1030"/>
      <c r="Y16" s="1030"/>
      <c r="Z16" s="1030"/>
    </row>
    <row r="17" spans="1:26" ht="12.75" customHeight="1">
      <c r="A17" s="1061">
        <f t="shared" si="3"/>
        <v>3</v>
      </c>
      <c r="B17" s="1051" t="s">
        <v>3382</v>
      </c>
      <c r="C17" s="1066" t="s">
        <v>3342</v>
      </c>
      <c r="D17" s="1035" t="s">
        <v>3356</v>
      </c>
      <c r="E17" s="1035" t="s">
        <v>3388</v>
      </c>
      <c r="F17" s="1073" t="s">
        <v>3384</v>
      </c>
      <c r="G17" s="1068">
        <f t="shared" si="1"/>
        <v>200</v>
      </c>
      <c r="H17" s="1035" t="s">
        <v>4756</v>
      </c>
      <c r="I17" s="1070">
        <v>3</v>
      </c>
      <c r="J17" s="1071"/>
      <c r="K17" s="1068">
        <f t="shared" si="2"/>
        <v>600</v>
      </c>
      <c r="L17" s="1064" t="s">
        <v>3390</v>
      </c>
      <c r="M17" s="1030" t="s">
        <v>2667</v>
      </c>
      <c r="N17" s="1030" t="s">
        <v>3145</v>
      </c>
      <c r="O17" s="1030" t="s">
        <v>3395</v>
      </c>
      <c r="P17" s="1030" t="s">
        <v>3399</v>
      </c>
      <c r="Q17" s="1030"/>
      <c r="R17" s="1030"/>
      <c r="S17" s="1030"/>
      <c r="T17" s="1030"/>
      <c r="U17" s="1030"/>
      <c r="V17" s="1030"/>
      <c r="W17" s="1030"/>
      <c r="X17" s="1030"/>
      <c r="Y17" s="1030"/>
      <c r="Z17" s="1030"/>
    </row>
    <row r="18" spans="1:26" ht="12.75" customHeight="1">
      <c r="A18" s="1061">
        <f t="shared" si="3"/>
        <v>4</v>
      </c>
      <c r="B18" s="1051" t="s">
        <v>3382</v>
      </c>
      <c r="C18" s="1066" t="s">
        <v>3342</v>
      </c>
      <c r="D18" s="1035" t="s">
        <v>3357</v>
      </c>
      <c r="E18" s="1035" t="s">
        <v>3409</v>
      </c>
      <c r="F18" s="1073" t="s">
        <v>3384</v>
      </c>
      <c r="G18" s="1068">
        <f t="shared" si="1"/>
        <v>150</v>
      </c>
      <c r="H18" s="1035" t="s">
        <v>4756</v>
      </c>
      <c r="I18" s="1070">
        <v>0</v>
      </c>
      <c r="J18" s="1071"/>
      <c r="K18" s="1068">
        <f t="shared" si="2"/>
        <v>0</v>
      </c>
      <c r="L18" s="1064" t="s">
        <v>3394</v>
      </c>
      <c r="M18" s="1030" t="s">
        <v>3391</v>
      </c>
      <c r="N18" s="1030" t="s">
        <v>3395</v>
      </c>
      <c r="O18" s="1030" t="s">
        <v>2802</v>
      </c>
      <c r="P18" s="1030" t="s">
        <v>3387</v>
      </c>
      <c r="Q18" s="1030"/>
      <c r="R18" s="1030"/>
      <c r="S18" s="1030"/>
      <c r="T18" s="1030"/>
      <c r="U18" s="1030"/>
      <c r="V18" s="1030"/>
      <c r="W18" s="1030"/>
      <c r="X18" s="1030"/>
      <c r="Y18" s="1030"/>
      <c r="Z18" s="1030"/>
    </row>
    <row r="19" spans="1:26" ht="12.75" customHeight="1">
      <c r="A19" s="1061">
        <f t="shared" si="3"/>
        <v>5</v>
      </c>
      <c r="B19" s="1051" t="s">
        <v>3382</v>
      </c>
      <c r="C19" s="1066" t="s">
        <v>3342</v>
      </c>
      <c r="D19" s="1035" t="s">
        <v>1077</v>
      </c>
      <c r="E19" s="1035" t="s">
        <v>3388</v>
      </c>
      <c r="F19" s="1073" t="s">
        <v>3384</v>
      </c>
      <c r="G19" s="1068">
        <f t="shared" si="1"/>
        <v>200</v>
      </c>
      <c r="H19" s="1035" t="s">
        <v>4756</v>
      </c>
      <c r="I19" s="1070">
        <v>3</v>
      </c>
      <c r="J19" s="1071"/>
      <c r="K19" s="1068">
        <f t="shared" si="2"/>
        <v>600</v>
      </c>
      <c r="L19" s="1064" t="s">
        <v>3397</v>
      </c>
      <c r="M19" s="1030" t="s">
        <v>3402</v>
      </c>
      <c r="N19" s="1030" t="s">
        <v>3398</v>
      </c>
      <c r="O19" s="1030" t="s">
        <v>3403</v>
      </c>
      <c r="P19" s="1030" t="s">
        <v>2689</v>
      </c>
      <c r="Q19" s="1030"/>
      <c r="R19" s="1030"/>
      <c r="S19" s="1030"/>
      <c r="T19" s="1030"/>
      <c r="U19" s="1030"/>
      <c r="V19" s="1030"/>
      <c r="W19" s="1030"/>
      <c r="X19" s="1030"/>
      <c r="Y19" s="1030"/>
      <c r="Z19" s="1030"/>
    </row>
    <row r="20" spans="1:26" ht="12.75" customHeight="1">
      <c r="A20" s="1061">
        <f t="shared" si="3"/>
        <v>6</v>
      </c>
      <c r="B20" s="1051" t="s">
        <v>3382</v>
      </c>
      <c r="C20" s="1066" t="s">
        <v>3342</v>
      </c>
      <c r="D20" s="1035" t="s">
        <v>976</v>
      </c>
      <c r="E20" s="1035" t="s">
        <v>3388</v>
      </c>
      <c r="F20" s="1073" t="s">
        <v>3384</v>
      </c>
      <c r="G20" s="1068">
        <f t="shared" si="1"/>
        <v>200</v>
      </c>
      <c r="H20" s="1035" t="s">
        <v>4756</v>
      </c>
      <c r="I20" s="1070">
        <v>3.5</v>
      </c>
      <c r="J20" s="1071"/>
      <c r="K20" s="1068">
        <f t="shared" si="2"/>
        <v>700</v>
      </c>
      <c r="L20" s="1466"/>
      <c r="M20" s="1030" t="s">
        <v>3396</v>
      </c>
      <c r="N20" s="1030" t="s">
        <v>2802</v>
      </c>
      <c r="O20" s="1030"/>
      <c r="P20" s="1030" t="s">
        <v>3145</v>
      </c>
      <c r="Q20" s="1030"/>
      <c r="R20" s="1030"/>
      <c r="S20" s="1030"/>
      <c r="T20" s="1030"/>
      <c r="U20" s="1030"/>
      <c r="V20" s="1030"/>
      <c r="W20" s="1030"/>
      <c r="X20" s="1030"/>
      <c r="Y20" s="1030"/>
      <c r="Z20" s="1030"/>
    </row>
    <row r="21" spans="1:26" ht="12.75" customHeight="1">
      <c r="A21" s="1061">
        <f t="shared" si="3"/>
        <v>7</v>
      </c>
      <c r="B21" s="1051" t="s">
        <v>3382</v>
      </c>
      <c r="C21" s="1066" t="s">
        <v>3342</v>
      </c>
      <c r="D21" s="1035" t="s">
        <v>1388</v>
      </c>
      <c r="E21" s="1035" t="s">
        <v>3388</v>
      </c>
      <c r="F21" s="1073" t="s">
        <v>3384</v>
      </c>
      <c r="G21" s="1068">
        <f t="shared" si="1"/>
        <v>200</v>
      </c>
      <c r="H21" s="1035" t="s">
        <v>4756</v>
      </c>
      <c r="I21" s="1070">
        <v>3</v>
      </c>
      <c r="J21" s="1071"/>
      <c r="K21" s="1068">
        <f t="shared" si="2"/>
        <v>600</v>
      </c>
      <c r="L21" s="1466"/>
      <c r="M21" s="1030" t="s">
        <v>3399</v>
      </c>
      <c r="N21" s="1030" t="s">
        <v>3403</v>
      </c>
      <c r="O21" s="1030"/>
      <c r="P21" s="1030" t="s">
        <v>3395</v>
      </c>
      <c r="Q21" s="1030"/>
      <c r="R21" s="1030"/>
      <c r="S21" s="1030"/>
      <c r="T21" s="1030"/>
      <c r="U21" s="1030"/>
      <c r="V21" s="1030"/>
      <c r="W21" s="1030"/>
      <c r="X21" s="1030"/>
      <c r="Y21" s="1030"/>
      <c r="Z21" s="1030"/>
    </row>
    <row r="22" spans="1:26" ht="12.75" customHeight="1">
      <c r="A22" s="1061">
        <f t="shared" si="3"/>
        <v>8</v>
      </c>
      <c r="B22" s="1051" t="s">
        <v>3382</v>
      </c>
      <c r="C22" s="1066" t="s">
        <v>3342</v>
      </c>
      <c r="D22" s="1035" t="s">
        <v>2642</v>
      </c>
      <c r="E22" s="1035" t="s">
        <v>3388</v>
      </c>
      <c r="F22" s="1073" t="s">
        <v>3384</v>
      </c>
      <c r="G22" s="1068">
        <f t="shared" si="1"/>
        <v>200</v>
      </c>
      <c r="H22" s="1035" t="s">
        <v>4756</v>
      </c>
      <c r="I22" s="1070">
        <v>3.5</v>
      </c>
      <c r="J22" s="1071"/>
      <c r="K22" s="1068">
        <f t="shared" si="2"/>
        <v>700</v>
      </c>
      <c r="L22" s="1466"/>
      <c r="M22" s="1030" t="s">
        <v>3387</v>
      </c>
      <c r="N22" s="1030"/>
      <c r="O22" s="1030"/>
      <c r="P22" s="1030" t="s">
        <v>3398</v>
      </c>
      <c r="Q22" s="1030"/>
      <c r="R22" s="1030"/>
      <c r="S22" s="1030"/>
      <c r="T22" s="1030"/>
      <c r="U22" s="1030"/>
      <c r="V22" s="1030"/>
      <c r="W22" s="1030"/>
      <c r="X22" s="1030"/>
      <c r="Y22" s="1030"/>
      <c r="Z22" s="1030"/>
    </row>
    <row r="23" spans="1:26" ht="12.75" customHeight="1">
      <c r="A23" s="1061">
        <f t="shared" si="3"/>
        <v>9</v>
      </c>
      <c r="B23" s="1051" t="s">
        <v>3382</v>
      </c>
      <c r="C23" s="1066" t="s">
        <v>3342</v>
      </c>
      <c r="D23" s="1035" t="s">
        <v>3366</v>
      </c>
      <c r="E23" s="1035" t="s">
        <v>3388</v>
      </c>
      <c r="F23" s="1073" t="s">
        <v>3384</v>
      </c>
      <c r="G23" s="1068">
        <f t="shared" si="1"/>
        <v>200</v>
      </c>
      <c r="H23" s="1035" t="s">
        <v>4756</v>
      </c>
      <c r="I23" s="1070">
        <v>4</v>
      </c>
      <c r="J23" s="1071"/>
      <c r="K23" s="1068">
        <f t="shared" si="2"/>
        <v>800</v>
      </c>
      <c r="L23" s="1466"/>
      <c r="M23" s="1030" t="s">
        <v>2689</v>
      </c>
      <c r="N23" s="1030"/>
      <c r="O23" s="1030"/>
      <c r="P23" s="1030" t="s">
        <v>3405</v>
      </c>
      <c r="Q23" s="1030"/>
      <c r="R23" s="1030"/>
      <c r="S23" s="1030"/>
      <c r="T23" s="1030"/>
      <c r="U23" s="1030"/>
      <c r="V23" s="1030"/>
      <c r="W23" s="1030"/>
      <c r="X23" s="1030"/>
      <c r="Y23" s="1030"/>
      <c r="Z23" s="1030"/>
    </row>
    <row r="24" spans="1:26" ht="12.75" customHeight="1">
      <c r="A24" s="1061">
        <f t="shared" si="3"/>
        <v>10</v>
      </c>
      <c r="B24" s="1051" t="s">
        <v>3382</v>
      </c>
      <c r="C24" s="1066" t="s">
        <v>3342</v>
      </c>
      <c r="D24" s="1035" t="s">
        <v>3370</v>
      </c>
      <c r="E24" s="1035" t="s">
        <v>3388</v>
      </c>
      <c r="F24" s="1073" t="s">
        <v>3384</v>
      </c>
      <c r="G24" s="1068">
        <f t="shared" si="1"/>
        <v>200</v>
      </c>
      <c r="H24" s="1035" t="s">
        <v>4756</v>
      </c>
      <c r="I24" s="1070">
        <v>3</v>
      </c>
      <c r="J24" s="1071"/>
      <c r="K24" s="1068">
        <f t="shared" si="2"/>
        <v>600</v>
      </c>
      <c r="L24" s="1466"/>
      <c r="M24" s="1030" t="s">
        <v>3145</v>
      </c>
      <c r="N24" s="1040"/>
      <c r="O24" s="1030"/>
      <c r="P24" s="1030" t="s">
        <v>3401</v>
      </c>
      <c r="Q24" s="1030"/>
      <c r="R24" s="1030"/>
      <c r="S24" s="1030"/>
      <c r="T24" s="1030"/>
      <c r="U24" s="1030"/>
      <c r="V24" s="1030"/>
      <c r="W24" s="1030"/>
      <c r="X24" s="1030"/>
      <c r="Y24" s="1030"/>
      <c r="Z24" s="1030"/>
    </row>
    <row r="25" spans="1:26" ht="12.75" customHeight="1" outlineLevel="1">
      <c r="A25" s="1061">
        <f t="shared" si="3"/>
        <v>11</v>
      </c>
      <c r="B25" s="1051" t="s">
        <v>3382</v>
      </c>
      <c r="C25" s="1066" t="s">
        <v>3342</v>
      </c>
      <c r="D25" s="1035" t="s">
        <v>4757</v>
      </c>
      <c r="E25" s="1035" t="s">
        <v>3393</v>
      </c>
      <c r="F25" s="1073" t="s">
        <v>3384</v>
      </c>
      <c r="G25" s="1068">
        <f t="shared" si="1"/>
        <v>100</v>
      </c>
      <c r="H25" s="1035" t="s">
        <v>4756</v>
      </c>
      <c r="I25" s="1070">
        <v>0</v>
      </c>
      <c r="J25" s="1071"/>
      <c r="K25" s="1075">
        <v>0</v>
      </c>
      <c r="L25" s="1030"/>
      <c r="M25" s="1030" t="s">
        <v>3395</v>
      </c>
      <c r="N25" s="1040"/>
      <c r="O25" s="1030"/>
      <c r="P25" s="1030" t="s">
        <v>2802</v>
      </c>
      <c r="Q25" s="1030"/>
      <c r="R25" s="1030"/>
      <c r="S25" s="1030"/>
      <c r="T25" s="1030"/>
      <c r="U25" s="1030"/>
      <c r="V25" s="1030"/>
      <c r="W25" s="1030"/>
      <c r="X25" s="1030"/>
      <c r="Y25" s="1030"/>
      <c r="Z25" s="1030"/>
    </row>
    <row r="26" spans="1:26" ht="12.75" customHeight="1" outlineLevel="1">
      <c r="A26" s="1061">
        <f t="shared" si="3"/>
        <v>12</v>
      </c>
      <c r="B26" s="1051" t="s">
        <v>3382</v>
      </c>
      <c r="C26" s="1066" t="s">
        <v>3342</v>
      </c>
      <c r="D26" s="1035" t="s">
        <v>2940</v>
      </c>
      <c r="E26" s="1035" t="s">
        <v>3388</v>
      </c>
      <c r="F26" s="1073" t="s">
        <v>3384</v>
      </c>
      <c r="G26" s="1068">
        <f t="shared" si="1"/>
        <v>200</v>
      </c>
      <c r="H26" s="1035" t="s">
        <v>4756</v>
      </c>
      <c r="I26" s="1070">
        <v>0</v>
      </c>
      <c r="J26" s="1071"/>
      <c r="K26" s="1068">
        <f t="shared" ref="K26:K51" si="4">I26*(G26)+J26</f>
        <v>0</v>
      </c>
      <c r="L26" s="1030"/>
      <c r="M26" s="1030" t="s">
        <v>3398</v>
      </c>
      <c r="N26" s="1030"/>
      <c r="O26" s="1030"/>
      <c r="P26" s="1030" t="s">
        <v>3407</v>
      </c>
      <c r="Q26" s="1030"/>
      <c r="R26" s="1030"/>
      <c r="S26" s="1030"/>
      <c r="T26" s="1030"/>
      <c r="U26" s="1030"/>
      <c r="V26" s="1030"/>
      <c r="W26" s="1030"/>
      <c r="X26" s="1030"/>
      <c r="Y26" s="1030"/>
      <c r="Z26" s="1030"/>
    </row>
    <row r="27" spans="1:26" ht="12.75" customHeight="1" outlineLevel="1">
      <c r="A27" s="1061">
        <f t="shared" si="3"/>
        <v>13</v>
      </c>
      <c r="B27" s="1051" t="s">
        <v>3382</v>
      </c>
      <c r="C27" s="1066" t="s">
        <v>3342</v>
      </c>
      <c r="D27" s="1035" t="s">
        <v>3372</v>
      </c>
      <c r="E27" s="1035" t="s">
        <v>3388</v>
      </c>
      <c r="F27" s="1073" t="s">
        <v>3384</v>
      </c>
      <c r="G27" s="1068">
        <f t="shared" si="1"/>
        <v>200</v>
      </c>
      <c r="H27" s="1035" t="s">
        <v>4756</v>
      </c>
      <c r="I27" s="1070">
        <v>0</v>
      </c>
      <c r="J27" s="1071"/>
      <c r="K27" s="1068">
        <f t="shared" si="4"/>
        <v>0</v>
      </c>
      <c r="L27" s="1030"/>
      <c r="M27" s="1030" t="s">
        <v>3405</v>
      </c>
      <c r="N27" s="1040"/>
      <c r="O27" s="1030"/>
      <c r="P27" s="1030" t="s">
        <v>3403</v>
      </c>
      <c r="Q27" s="1030"/>
      <c r="R27" s="1030"/>
      <c r="S27" s="1030"/>
      <c r="T27" s="1030"/>
      <c r="U27" s="1030"/>
      <c r="V27" s="1030"/>
      <c r="W27" s="1030"/>
      <c r="X27" s="1030"/>
      <c r="Y27" s="1030"/>
      <c r="Z27" s="1030"/>
    </row>
    <row r="28" spans="1:26" ht="12.75" customHeight="1" outlineLevel="1">
      <c r="A28" s="1061">
        <f t="shared" si="3"/>
        <v>14</v>
      </c>
      <c r="B28" s="1051" t="s">
        <v>3382</v>
      </c>
      <c r="C28" s="1066" t="s">
        <v>3342</v>
      </c>
      <c r="D28" s="1035" t="s">
        <v>2667</v>
      </c>
      <c r="E28" s="1035" t="s">
        <v>3388</v>
      </c>
      <c r="F28" s="1073" t="s">
        <v>3384</v>
      </c>
      <c r="G28" s="1068">
        <f t="shared" si="1"/>
        <v>200</v>
      </c>
      <c r="H28" s="1035" t="s">
        <v>4756</v>
      </c>
      <c r="I28" s="1070">
        <v>3.5</v>
      </c>
      <c r="J28" s="1071"/>
      <c r="K28" s="1068">
        <f t="shared" si="4"/>
        <v>700</v>
      </c>
      <c r="L28" s="1030"/>
      <c r="M28" s="1030" t="s">
        <v>3401</v>
      </c>
      <c r="N28" s="1040"/>
      <c r="O28" s="1030"/>
      <c r="P28" s="1030"/>
      <c r="Q28" s="1030"/>
      <c r="R28" s="1030"/>
      <c r="S28" s="1030"/>
      <c r="T28" s="1030"/>
      <c r="U28" s="1030"/>
      <c r="V28" s="1030"/>
      <c r="W28" s="1030"/>
      <c r="X28" s="1030"/>
      <c r="Y28" s="1030"/>
      <c r="Z28" s="1030"/>
    </row>
    <row r="29" spans="1:26" ht="12.75" customHeight="1" outlineLevel="1">
      <c r="A29" s="1061">
        <f t="shared" si="3"/>
        <v>15</v>
      </c>
      <c r="B29" s="1051" t="s">
        <v>3382</v>
      </c>
      <c r="C29" s="1066" t="s">
        <v>3342</v>
      </c>
      <c r="D29" s="1035" t="s">
        <v>3391</v>
      </c>
      <c r="E29" s="1035" t="s">
        <v>3409</v>
      </c>
      <c r="F29" s="1073" t="s">
        <v>3384</v>
      </c>
      <c r="G29" s="1068">
        <f t="shared" si="1"/>
        <v>150</v>
      </c>
      <c r="H29" s="1035" t="s">
        <v>4756</v>
      </c>
      <c r="I29" s="1070">
        <v>3.5</v>
      </c>
      <c r="J29" s="1071"/>
      <c r="K29" s="1068">
        <f t="shared" si="4"/>
        <v>525</v>
      </c>
      <c r="L29" s="1030"/>
      <c r="M29" s="1030" t="s">
        <v>2802</v>
      </c>
      <c r="N29" s="1030"/>
      <c r="O29" s="1030"/>
      <c r="P29" s="1030"/>
      <c r="Q29" s="1030"/>
      <c r="R29" s="1030"/>
      <c r="S29" s="1030"/>
      <c r="T29" s="1030"/>
      <c r="U29" s="1030"/>
      <c r="V29" s="1030"/>
      <c r="W29" s="1030"/>
      <c r="X29" s="1030"/>
      <c r="Y29" s="1030"/>
      <c r="Z29" s="1030"/>
    </row>
    <row r="30" spans="1:26" ht="12.75" customHeight="1" outlineLevel="1">
      <c r="A30" s="1061">
        <f t="shared" si="3"/>
        <v>16</v>
      </c>
      <c r="B30" s="1051" t="s">
        <v>3382</v>
      </c>
      <c r="C30" s="1066" t="s">
        <v>3342</v>
      </c>
      <c r="D30" s="1035" t="s">
        <v>3396</v>
      </c>
      <c r="E30" s="1035" t="s">
        <v>3409</v>
      </c>
      <c r="F30" s="1073" t="s">
        <v>3384</v>
      </c>
      <c r="G30" s="1068">
        <f t="shared" si="1"/>
        <v>150</v>
      </c>
      <c r="H30" s="1035" t="s">
        <v>4756</v>
      </c>
      <c r="I30" s="1070">
        <v>3.5</v>
      </c>
      <c r="J30" s="1071"/>
      <c r="K30" s="1068">
        <f t="shared" si="4"/>
        <v>525</v>
      </c>
      <c r="L30" s="1030"/>
      <c r="M30" s="1030" t="s">
        <v>3407</v>
      </c>
      <c r="N30" s="1030"/>
      <c r="O30" s="1030"/>
      <c r="P30" s="1030"/>
      <c r="Q30" s="1030"/>
      <c r="R30" s="1030"/>
      <c r="S30" s="1030"/>
      <c r="T30" s="1030"/>
      <c r="U30" s="1030"/>
      <c r="V30" s="1030"/>
      <c r="W30" s="1030"/>
      <c r="X30" s="1030"/>
      <c r="Y30" s="1030"/>
      <c r="Z30" s="1030"/>
    </row>
    <row r="31" spans="1:26" ht="12.75" customHeight="1" outlineLevel="1">
      <c r="A31" s="1061">
        <f t="shared" si="3"/>
        <v>17</v>
      </c>
      <c r="B31" s="1051" t="s">
        <v>3382</v>
      </c>
      <c r="C31" s="1066" t="s">
        <v>3342</v>
      </c>
      <c r="D31" s="1035" t="s">
        <v>3399</v>
      </c>
      <c r="E31" s="1035" t="s">
        <v>3393</v>
      </c>
      <c r="F31" s="1073" t="s">
        <v>3384</v>
      </c>
      <c r="G31" s="1068">
        <f t="shared" si="1"/>
        <v>100</v>
      </c>
      <c r="H31" s="1035" t="s">
        <v>4756</v>
      </c>
      <c r="I31" s="1070">
        <v>4</v>
      </c>
      <c r="J31" s="1071"/>
      <c r="K31" s="1068">
        <f t="shared" si="4"/>
        <v>400</v>
      </c>
      <c r="L31" s="1030"/>
      <c r="M31" s="1030" t="s">
        <v>3403</v>
      </c>
      <c r="N31" s="1030"/>
      <c r="O31" s="1030"/>
      <c r="P31" s="1030"/>
      <c r="Q31" s="1030"/>
      <c r="R31" s="1030"/>
      <c r="S31" s="1030"/>
      <c r="T31" s="1030"/>
      <c r="U31" s="1030"/>
      <c r="V31" s="1030"/>
      <c r="W31" s="1030"/>
      <c r="X31" s="1030"/>
      <c r="Y31" s="1030"/>
      <c r="Z31" s="1030"/>
    </row>
    <row r="32" spans="1:26" ht="12.75" customHeight="1" outlineLevel="1">
      <c r="A32" s="1061">
        <f t="shared" si="3"/>
        <v>18</v>
      </c>
      <c r="B32" s="1051" t="s">
        <v>3382</v>
      </c>
      <c r="C32" s="1066" t="s">
        <v>3342</v>
      </c>
      <c r="D32" s="1035" t="s">
        <v>3387</v>
      </c>
      <c r="E32" s="1035" t="s">
        <v>3388</v>
      </c>
      <c r="F32" s="1073" t="s">
        <v>3384</v>
      </c>
      <c r="G32" s="1068">
        <f t="shared" si="1"/>
        <v>200</v>
      </c>
      <c r="H32" s="1035" t="s">
        <v>4756</v>
      </c>
      <c r="I32" s="1070">
        <v>3</v>
      </c>
      <c r="J32" s="1071"/>
      <c r="K32" s="1068">
        <f t="shared" si="4"/>
        <v>600</v>
      </c>
      <c r="L32" s="1030"/>
      <c r="M32" s="1040"/>
      <c r="N32" s="1030"/>
      <c r="O32" s="1039"/>
      <c r="P32" s="1039"/>
      <c r="Q32" s="1039"/>
      <c r="R32" s="1039"/>
      <c r="S32" s="1039"/>
      <c r="T32" s="1039"/>
      <c r="U32" s="1039"/>
      <c r="V32" s="1039"/>
      <c r="W32" s="1039"/>
      <c r="X32" s="1039"/>
      <c r="Y32" s="1039"/>
      <c r="Z32" s="1039"/>
    </row>
    <row r="33" spans="1:26" ht="12.75" customHeight="1" outlineLevel="1">
      <c r="A33" s="1061">
        <f t="shared" si="3"/>
        <v>19</v>
      </c>
      <c r="B33" s="1051" t="s">
        <v>3382</v>
      </c>
      <c r="C33" s="1066" t="s">
        <v>3342</v>
      </c>
      <c r="D33" s="1035" t="s">
        <v>2689</v>
      </c>
      <c r="E33" s="1035" t="s">
        <v>3388</v>
      </c>
      <c r="F33" s="1073" t="s">
        <v>3384</v>
      </c>
      <c r="G33" s="1068">
        <f t="shared" si="1"/>
        <v>200</v>
      </c>
      <c r="H33" s="1035" t="s">
        <v>4756</v>
      </c>
      <c r="I33" s="1070">
        <v>3</v>
      </c>
      <c r="J33" s="1071"/>
      <c r="K33" s="1068">
        <f t="shared" si="4"/>
        <v>600</v>
      </c>
      <c r="L33" s="1030"/>
      <c r="M33" s="1030"/>
      <c r="N33" s="1030"/>
      <c r="O33" s="1039"/>
      <c r="P33" s="1039"/>
      <c r="Q33" s="1039"/>
      <c r="R33" s="1039"/>
      <c r="S33" s="1039"/>
      <c r="T33" s="1039"/>
      <c r="U33" s="1039"/>
      <c r="V33" s="1039"/>
      <c r="W33" s="1039"/>
      <c r="X33" s="1039"/>
      <c r="Y33" s="1039"/>
      <c r="Z33" s="1039"/>
    </row>
    <row r="34" spans="1:26" ht="12.75" customHeight="1" outlineLevel="1">
      <c r="A34" s="1061">
        <f t="shared" si="3"/>
        <v>20</v>
      </c>
      <c r="B34" s="1051" t="s">
        <v>3382</v>
      </c>
      <c r="C34" s="1066" t="s">
        <v>3342</v>
      </c>
      <c r="D34" s="1035" t="s">
        <v>3404</v>
      </c>
      <c r="E34" s="1035" t="s">
        <v>3393</v>
      </c>
      <c r="F34" s="1073" t="s">
        <v>3384</v>
      </c>
      <c r="G34" s="1068">
        <f t="shared" si="1"/>
        <v>100</v>
      </c>
      <c r="H34" s="1035" t="s">
        <v>4756</v>
      </c>
      <c r="I34" s="1070">
        <v>0</v>
      </c>
      <c r="J34" s="1071"/>
      <c r="K34" s="1068">
        <f t="shared" si="4"/>
        <v>0</v>
      </c>
      <c r="L34" s="1030"/>
      <c r="M34" s="1030"/>
      <c r="N34" s="1030"/>
      <c r="O34" s="1030"/>
      <c r="P34" s="1030"/>
      <c r="Q34" s="1030"/>
      <c r="R34" s="1030"/>
      <c r="S34" s="1030"/>
      <c r="T34" s="1030"/>
      <c r="U34" s="1030"/>
      <c r="V34" s="1030"/>
      <c r="W34" s="1030"/>
      <c r="X34" s="1030"/>
      <c r="Y34" s="1030"/>
      <c r="Z34" s="1030"/>
    </row>
    <row r="35" spans="1:26" ht="12.75" customHeight="1" outlineLevel="1">
      <c r="A35" s="1061">
        <f t="shared" si="3"/>
        <v>21</v>
      </c>
      <c r="B35" s="1051" t="s">
        <v>3382</v>
      </c>
      <c r="C35" s="1066" t="s">
        <v>3342</v>
      </c>
      <c r="D35" s="1035" t="s">
        <v>3395</v>
      </c>
      <c r="E35" s="1035" t="s">
        <v>3388</v>
      </c>
      <c r="F35" s="1073" t="s">
        <v>3384</v>
      </c>
      <c r="G35" s="1068">
        <f t="shared" si="1"/>
        <v>200</v>
      </c>
      <c r="H35" s="1035" t="s">
        <v>4756</v>
      </c>
      <c r="I35" s="1070">
        <v>3</v>
      </c>
      <c r="J35" s="1071"/>
      <c r="K35" s="1068">
        <f t="shared" si="4"/>
        <v>600</v>
      </c>
      <c r="L35" s="1030"/>
      <c r="M35" s="1030"/>
      <c r="N35" s="1030"/>
      <c r="O35" s="1030"/>
      <c r="P35" s="1030"/>
      <c r="Q35" s="1030"/>
      <c r="R35" s="1030"/>
      <c r="S35" s="1030"/>
      <c r="T35" s="1030"/>
      <c r="U35" s="1030"/>
      <c r="V35" s="1030"/>
      <c r="W35" s="1030"/>
      <c r="X35" s="1030"/>
      <c r="Y35" s="1030"/>
      <c r="Z35" s="1030"/>
    </row>
    <row r="36" spans="1:26" ht="12.75" customHeight="1" outlineLevel="1">
      <c r="A36" s="1061">
        <f t="shared" si="3"/>
        <v>22</v>
      </c>
      <c r="B36" s="1051" t="s">
        <v>3382</v>
      </c>
      <c r="C36" s="1066" t="s">
        <v>3342</v>
      </c>
      <c r="D36" s="1035" t="s">
        <v>3398</v>
      </c>
      <c r="E36" s="1035" t="s">
        <v>3393</v>
      </c>
      <c r="F36" s="1073" t="s">
        <v>3384</v>
      </c>
      <c r="G36" s="1068">
        <f t="shared" si="1"/>
        <v>100</v>
      </c>
      <c r="H36" s="1035" t="s">
        <v>4756</v>
      </c>
      <c r="I36" s="1070">
        <v>0</v>
      </c>
      <c r="J36" s="1071"/>
      <c r="K36" s="1068">
        <f t="shared" si="4"/>
        <v>0</v>
      </c>
      <c r="L36" s="1030"/>
      <c r="M36" s="1040"/>
      <c r="N36" s="1030"/>
      <c r="O36" s="1039"/>
      <c r="P36" s="1039"/>
      <c r="Q36" s="1039"/>
      <c r="R36" s="1039"/>
      <c r="S36" s="1039"/>
      <c r="T36" s="1039"/>
      <c r="U36" s="1039"/>
      <c r="V36" s="1039"/>
      <c r="W36" s="1039"/>
      <c r="X36" s="1039"/>
      <c r="Y36" s="1039"/>
      <c r="Z36" s="1039"/>
    </row>
    <row r="37" spans="1:26" ht="12.75" customHeight="1" outlineLevel="1">
      <c r="A37" s="1061">
        <f t="shared" si="3"/>
        <v>23</v>
      </c>
      <c r="B37" s="1051" t="s">
        <v>3382</v>
      </c>
      <c r="C37" s="1066" t="s">
        <v>3342</v>
      </c>
      <c r="D37" s="1035" t="s">
        <v>3405</v>
      </c>
      <c r="E37" s="1035" t="s">
        <v>3388</v>
      </c>
      <c r="F37" s="1073" t="s">
        <v>3384</v>
      </c>
      <c r="G37" s="1068">
        <f t="shared" si="1"/>
        <v>200</v>
      </c>
      <c r="H37" s="1035" t="s">
        <v>4756</v>
      </c>
      <c r="I37" s="1070">
        <v>4</v>
      </c>
      <c r="J37" s="1071"/>
      <c r="K37" s="1068">
        <f t="shared" si="4"/>
        <v>800</v>
      </c>
      <c r="L37" s="1030"/>
      <c r="M37" s="1030"/>
      <c r="N37" s="1030"/>
      <c r="O37" s="1039"/>
      <c r="P37" s="1039"/>
      <c r="Q37" s="1039"/>
      <c r="R37" s="1039"/>
      <c r="S37" s="1039"/>
      <c r="T37" s="1039"/>
      <c r="U37" s="1039"/>
      <c r="V37" s="1039"/>
      <c r="W37" s="1039"/>
      <c r="X37" s="1039"/>
      <c r="Y37" s="1039"/>
      <c r="Z37" s="1039"/>
    </row>
    <row r="38" spans="1:26" ht="12.75" customHeight="1" outlineLevel="1">
      <c r="A38" s="1061">
        <f t="shared" si="3"/>
        <v>24</v>
      </c>
      <c r="B38" s="1051" t="s">
        <v>3382</v>
      </c>
      <c r="C38" s="1066" t="s">
        <v>3342</v>
      </c>
      <c r="D38" s="1035" t="s">
        <v>3401</v>
      </c>
      <c r="E38" s="1035" t="s">
        <v>3393</v>
      </c>
      <c r="F38" s="1073" t="s">
        <v>3384</v>
      </c>
      <c r="G38" s="1068">
        <f t="shared" si="1"/>
        <v>100</v>
      </c>
      <c r="H38" s="1035" t="s">
        <v>4756</v>
      </c>
      <c r="I38" s="1070">
        <v>0</v>
      </c>
      <c r="J38" s="1071"/>
      <c r="K38" s="1068">
        <f t="shared" si="4"/>
        <v>0</v>
      </c>
      <c r="L38" s="1030"/>
      <c r="M38" s="1030"/>
      <c r="N38" s="1030"/>
      <c r="O38" s="1030"/>
      <c r="P38" s="1030"/>
      <c r="Q38" s="1030"/>
      <c r="R38" s="1030"/>
      <c r="S38" s="1030"/>
      <c r="T38" s="1030"/>
      <c r="U38" s="1030"/>
      <c r="V38" s="1030"/>
      <c r="W38" s="1030"/>
      <c r="X38" s="1030"/>
      <c r="Y38" s="1030"/>
      <c r="Z38" s="1030"/>
    </row>
    <row r="39" spans="1:26" ht="12.75" customHeight="1" outlineLevel="1">
      <c r="A39" s="1061">
        <f t="shared" si="3"/>
        <v>25</v>
      </c>
      <c r="B39" s="1051" t="s">
        <v>3382</v>
      </c>
      <c r="C39" s="1066" t="s">
        <v>3342</v>
      </c>
      <c r="D39" s="1035" t="s">
        <v>3400</v>
      </c>
      <c r="E39" s="1035" t="s">
        <v>3393</v>
      </c>
      <c r="F39" s="1073" t="s">
        <v>3384</v>
      </c>
      <c r="G39" s="1075">
        <v>100</v>
      </c>
      <c r="H39" s="1035" t="s">
        <v>4756</v>
      </c>
      <c r="I39" s="1070">
        <v>3</v>
      </c>
      <c r="J39" s="1071"/>
      <c r="K39" s="1068">
        <f t="shared" si="4"/>
        <v>300</v>
      </c>
      <c r="L39" s="1030"/>
      <c r="M39" s="1040"/>
      <c r="N39" s="1030"/>
      <c r="O39" s="1039"/>
      <c r="P39" s="1039"/>
      <c r="Q39" s="1039"/>
      <c r="R39" s="1039"/>
      <c r="S39" s="1039"/>
      <c r="T39" s="1039"/>
      <c r="U39" s="1039"/>
      <c r="V39" s="1039"/>
      <c r="W39" s="1039"/>
      <c r="X39" s="1039"/>
      <c r="Y39" s="1039"/>
      <c r="Z39" s="1039"/>
    </row>
    <row r="40" spans="1:26" ht="12.75" customHeight="1" outlineLevel="1">
      <c r="A40" s="1061">
        <f t="shared" si="3"/>
        <v>26</v>
      </c>
      <c r="B40" s="1051" t="s">
        <v>3382</v>
      </c>
      <c r="C40" s="1066" t="s">
        <v>3342</v>
      </c>
      <c r="D40" s="1035" t="s">
        <v>2802</v>
      </c>
      <c r="E40" s="1035" t="s">
        <v>3388</v>
      </c>
      <c r="F40" s="1073" t="s">
        <v>3384</v>
      </c>
      <c r="G40" s="1068">
        <f t="shared" ref="G40:G65" si="5">IF(E40="MT",800,IF(E40="ET",600,IF(E40="ST",400,IF(E40="T",300,IF(E40="HTS",200,IF(E40="STS",150,IF(E40="TS",100,))))))+IF(E40="MTcod",600,IF(E40="ETcod",450,IF(E40="STcod",350,IF(E40="Tcod",250,)))+IF(E40="MTCoach",800,IF(E40="ETCoach",600,IF(E40="STCoach",400,IF(E40="TCoach",300,))))))</f>
        <v>200</v>
      </c>
      <c r="H40" s="1035" t="s">
        <v>4756</v>
      </c>
      <c r="I40" s="1070">
        <v>4</v>
      </c>
      <c r="J40" s="1071"/>
      <c r="K40" s="1068">
        <f t="shared" si="4"/>
        <v>800</v>
      </c>
      <c r="L40" s="1030"/>
      <c r="M40" s="1040"/>
      <c r="N40" s="1030"/>
      <c r="O40" s="1039"/>
      <c r="P40" s="1039"/>
      <c r="Q40" s="1039"/>
      <c r="R40" s="1039"/>
      <c r="S40" s="1039"/>
      <c r="T40" s="1039"/>
      <c r="U40" s="1039"/>
      <c r="V40" s="1039"/>
      <c r="W40" s="1039"/>
      <c r="X40" s="1039"/>
      <c r="Y40" s="1039"/>
      <c r="Z40" s="1039"/>
    </row>
    <row r="41" spans="1:26" ht="12.75" customHeight="1" outlineLevel="1">
      <c r="A41" s="1061">
        <f t="shared" si="3"/>
        <v>27</v>
      </c>
      <c r="B41" s="1051" t="s">
        <v>3382</v>
      </c>
      <c r="C41" s="1066" t="s">
        <v>3342</v>
      </c>
      <c r="D41" s="1035" t="s">
        <v>3407</v>
      </c>
      <c r="E41" s="1035" t="s">
        <v>3393</v>
      </c>
      <c r="F41" s="1073" t="s">
        <v>3384</v>
      </c>
      <c r="G41" s="1068">
        <f t="shared" si="5"/>
        <v>100</v>
      </c>
      <c r="H41" s="1035" t="s">
        <v>4756</v>
      </c>
      <c r="I41" s="1070">
        <v>0.5</v>
      </c>
      <c r="J41" s="1071"/>
      <c r="K41" s="1068">
        <f t="shared" si="4"/>
        <v>50</v>
      </c>
      <c r="L41" s="1030"/>
      <c r="M41" s="1030"/>
      <c r="N41" s="1030"/>
      <c r="O41" s="1030"/>
      <c r="P41" s="1030"/>
      <c r="Q41" s="1030"/>
      <c r="R41" s="1030"/>
      <c r="S41" s="1030"/>
      <c r="T41" s="1030"/>
      <c r="U41" s="1030"/>
      <c r="V41" s="1030"/>
      <c r="W41" s="1030"/>
      <c r="X41" s="1030"/>
      <c r="Y41" s="1030"/>
      <c r="Z41" s="1030"/>
    </row>
    <row r="42" spans="1:26" ht="12.75" customHeight="1" outlineLevel="1">
      <c r="A42" s="1061">
        <f t="shared" si="3"/>
        <v>28</v>
      </c>
      <c r="B42" s="1051" t="s">
        <v>3382</v>
      </c>
      <c r="C42" s="1066" t="s">
        <v>3342</v>
      </c>
      <c r="D42" s="1074" t="s">
        <v>3145</v>
      </c>
      <c r="E42" s="1035" t="s">
        <v>4703</v>
      </c>
      <c r="F42" s="1073" t="s">
        <v>3410</v>
      </c>
      <c r="G42" s="1068">
        <f t="shared" si="5"/>
        <v>800</v>
      </c>
      <c r="H42" s="1035" t="s">
        <v>4758</v>
      </c>
      <c r="I42" s="1070">
        <v>3</v>
      </c>
      <c r="J42" s="1071"/>
      <c r="K42" s="1068">
        <f t="shared" si="4"/>
        <v>2400</v>
      </c>
      <c r="L42" s="1030"/>
      <c r="M42" s="1030"/>
      <c r="N42" s="1030"/>
      <c r="O42" s="1030"/>
      <c r="P42" s="1030"/>
      <c r="Q42" s="1030"/>
      <c r="R42" s="1030"/>
      <c r="S42" s="1030"/>
      <c r="T42" s="1030"/>
      <c r="U42" s="1030"/>
      <c r="V42" s="1030"/>
      <c r="W42" s="1030"/>
      <c r="X42" s="1030"/>
      <c r="Y42" s="1030"/>
      <c r="Z42" s="1030"/>
    </row>
    <row r="43" spans="1:26" ht="12.75" customHeight="1" outlineLevel="1">
      <c r="A43" s="1061">
        <f t="shared" si="3"/>
        <v>29</v>
      </c>
      <c r="B43" s="1051" t="s">
        <v>3382</v>
      </c>
      <c r="C43" s="1066" t="s">
        <v>3342</v>
      </c>
      <c r="D43" s="1035" t="s">
        <v>998</v>
      </c>
      <c r="E43" s="1035" t="s">
        <v>3388</v>
      </c>
      <c r="F43" s="1073" t="s">
        <v>3410</v>
      </c>
      <c r="G43" s="1068">
        <f t="shared" si="5"/>
        <v>200</v>
      </c>
      <c r="H43" s="1035" t="s">
        <v>4758</v>
      </c>
      <c r="I43" s="1070">
        <v>0</v>
      </c>
      <c r="J43" s="1071"/>
      <c r="K43" s="1068">
        <f t="shared" si="4"/>
        <v>0</v>
      </c>
      <c r="L43" s="1030"/>
      <c r="M43" s="1030"/>
      <c r="N43" s="1030"/>
      <c r="O43" s="1030"/>
      <c r="P43" s="1030"/>
      <c r="Q43" s="1030"/>
      <c r="R43" s="1030"/>
      <c r="S43" s="1030"/>
      <c r="T43" s="1030"/>
      <c r="U43" s="1030"/>
      <c r="V43" s="1030"/>
      <c r="W43" s="1030"/>
      <c r="X43" s="1030"/>
      <c r="Y43" s="1030"/>
      <c r="Z43" s="1030"/>
    </row>
    <row r="44" spans="1:26" ht="12.75" customHeight="1" outlineLevel="1">
      <c r="A44" s="1061">
        <f t="shared" si="3"/>
        <v>30</v>
      </c>
      <c r="B44" s="1051" t="s">
        <v>3382</v>
      </c>
      <c r="C44" s="1066" t="s">
        <v>3342</v>
      </c>
      <c r="D44" s="1035" t="s">
        <v>3356</v>
      </c>
      <c r="E44" s="1035" t="s">
        <v>3388</v>
      </c>
      <c r="F44" s="1073" t="s">
        <v>3410</v>
      </c>
      <c r="G44" s="1068">
        <f t="shared" si="5"/>
        <v>200</v>
      </c>
      <c r="H44" s="1035" t="s">
        <v>4758</v>
      </c>
      <c r="I44" s="1070">
        <v>3</v>
      </c>
      <c r="J44" s="1071"/>
      <c r="K44" s="1068">
        <f t="shared" si="4"/>
        <v>600</v>
      </c>
      <c r="L44" s="1030"/>
      <c r="M44" s="1030"/>
      <c r="N44" s="1030"/>
      <c r="O44" s="1030"/>
      <c r="P44" s="1030"/>
      <c r="Q44" s="1030"/>
      <c r="R44" s="1030"/>
      <c r="S44" s="1030"/>
      <c r="T44" s="1030"/>
      <c r="U44" s="1030"/>
      <c r="V44" s="1030"/>
      <c r="W44" s="1030"/>
      <c r="X44" s="1030"/>
      <c r="Y44" s="1030"/>
      <c r="Z44" s="1030"/>
    </row>
    <row r="45" spans="1:26" ht="12.75" customHeight="1" outlineLevel="1">
      <c r="A45" s="1061">
        <f t="shared" si="3"/>
        <v>31</v>
      </c>
      <c r="B45" s="1051" t="s">
        <v>3382</v>
      </c>
      <c r="C45" s="1066" t="s">
        <v>3342</v>
      </c>
      <c r="D45" s="1035" t="s">
        <v>3357</v>
      </c>
      <c r="E45" s="1035" t="s">
        <v>3409</v>
      </c>
      <c r="F45" s="1073" t="s">
        <v>3410</v>
      </c>
      <c r="G45" s="1068">
        <f t="shared" si="5"/>
        <v>150</v>
      </c>
      <c r="H45" s="1035" t="s">
        <v>4758</v>
      </c>
      <c r="I45" s="1070">
        <v>3</v>
      </c>
      <c r="J45" s="1071"/>
      <c r="K45" s="1068">
        <f t="shared" si="4"/>
        <v>450</v>
      </c>
      <c r="L45" s="1030"/>
      <c r="M45" s="1040"/>
      <c r="N45" s="1030"/>
      <c r="O45" s="1039"/>
      <c r="P45" s="1039"/>
      <c r="Q45" s="1039"/>
      <c r="R45" s="1039"/>
      <c r="S45" s="1039"/>
      <c r="T45" s="1039"/>
      <c r="U45" s="1039"/>
      <c r="V45" s="1039"/>
      <c r="W45" s="1039"/>
      <c r="X45" s="1039"/>
      <c r="Y45" s="1039"/>
      <c r="Z45" s="1039"/>
    </row>
    <row r="46" spans="1:26" ht="12.75" customHeight="1" outlineLevel="1">
      <c r="A46" s="1061">
        <f t="shared" si="3"/>
        <v>32</v>
      </c>
      <c r="B46" s="1051" t="s">
        <v>3382</v>
      </c>
      <c r="C46" s="1066" t="s">
        <v>3342</v>
      </c>
      <c r="D46" s="1035" t="s">
        <v>1077</v>
      </c>
      <c r="E46" s="1035" t="s">
        <v>3388</v>
      </c>
      <c r="F46" s="1073" t="s">
        <v>3410</v>
      </c>
      <c r="G46" s="1068">
        <f t="shared" si="5"/>
        <v>200</v>
      </c>
      <c r="H46" s="1035" t="s">
        <v>4758</v>
      </c>
      <c r="I46" s="1070">
        <v>3</v>
      </c>
      <c r="J46" s="1071"/>
      <c r="K46" s="1068">
        <f t="shared" si="4"/>
        <v>600</v>
      </c>
      <c r="L46" s="1030"/>
      <c r="M46" s="1030"/>
      <c r="N46" s="1030"/>
      <c r="O46" s="1039"/>
      <c r="P46" s="1039"/>
      <c r="Q46" s="1039"/>
      <c r="R46" s="1039"/>
      <c r="S46" s="1039"/>
      <c r="T46" s="1039"/>
      <c r="U46" s="1039"/>
      <c r="V46" s="1039"/>
      <c r="W46" s="1039"/>
      <c r="X46" s="1039"/>
      <c r="Y46" s="1039"/>
      <c r="Z46" s="1039"/>
    </row>
    <row r="47" spans="1:26" ht="12.75" customHeight="1" outlineLevel="1">
      <c r="A47" s="1061">
        <f t="shared" si="3"/>
        <v>33</v>
      </c>
      <c r="B47" s="1051" t="s">
        <v>3382</v>
      </c>
      <c r="C47" s="1066" t="s">
        <v>3342</v>
      </c>
      <c r="D47" s="1035" t="s">
        <v>976</v>
      </c>
      <c r="E47" s="1035" t="s">
        <v>3388</v>
      </c>
      <c r="F47" s="1073" t="s">
        <v>3410</v>
      </c>
      <c r="G47" s="1068">
        <f t="shared" si="5"/>
        <v>200</v>
      </c>
      <c r="H47" s="1035" t="s">
        <v>4758</v>
      </c>
      <c r="I47" s="1070">
        <v>3.5</v>
      </c>
      <c r="J47" s="1071"/>
      <c r="K47" s="1068">
        <f t="shared" si="4"/>
        <v>700</v>
      </c>
      <c r="L47" s="1030"/>
      <c r="M47" s="1030"/>
      <c r="N47" s="1030"/>
      <c r="O47" s="1030"/>
      <c r="P47" s="1030"/>
      <c r="Q47" s="1030"/>
      <c r="R47" s="1030"/>
      <c r="S47" s="1030"/>
      <c r="T47" s="1030"/>
      <c r="U47" s="1030"/>
      <c r="V47" s="1030"/>
      <c r="W47" s="1030"/>
      <c r="X47" s="1030"/>
      <c r="Y47" s="1030"/>
      <c r="Z47" s="1030"/>
    </row>
    <row r="48" spans="1:26" ht="12.75" customHeight="1" outlineLevel="1">
      <c r="A48" s="1061">
        <f t="shared" si="3"/>
        <v>34</v>
      </c>
      <c r="B48" s="1051" t="s">
        <v>3382</v>
      </c>
      <c r="C48" s="1066" t="s">
        <v>3342</v>
      </c>
      <c r="D48" s="1035" t="s">
        <v>1388</v>
      </c>
      <c r="E48" s="1035" t="s">
        <v>3388</v>
      </c>
      <c r="F48" s="1073" t="s">
        <v>3410</v>
      </c>
      <c r="G48" s="1068">
        <f t="shared" si="5"/>
        <v>200</v>
      </c>
      <c r="H48" s="1035" t="s">
        <v>4758</v>
      </c>
      <c r="I48" s="1070">
        <v>4</v>
      </c>
      <c r="J48" s="1071"/>
      <c r="K48" s="1068">
        <f t="shared" si="4"/>
        <v>800</v>
      </c>
      <c r="L48" s="1030"/>
      <c r="M48" s="1040"/>
      <c r="N48" s="1030"/>
      <c r="O48" s="1039"/>
      <c r="P48" s="1039"/>
      <c r="Q48" s="1039"/>
      <c r="R48" s="1039"/>
      <c r="S48" s="1039"/>
      <c r="T48" s="1039"/>
      <c r="U48" s="1039"/>
      <c r="V48" s="1039"/>
      <c r="W48" s="1039"/>
      <c r="X48" s="1039"/>
      <c r="Y48" s="1039"/>
      <c r="Z48" s="1039"/>
    </row>
    <row r="49" spans="1:26" ht="12.75" customHeight="1" outlineLevel="1">
      <c r="A49" s="1061">
        <f t="shared" si="3"/>
        <v>35</v>
      </c>
      <c r="B49" s="1051" t="s">
        <v>3382</v>
      </c>
      <c r="C49" s="1066" t="s">
        <v>3342</v>
      </c>
      <c r="D49" s="1035" t="s">
        <v>2642</v>
      </c>
      <c r="E49" s="1035" t="s">
        <v>3388</v>
      </c>
      <c r="F49" s="1073" t="s">
        <v>3410</v>
      </c>
      <c r="G49" s="1068">
        <f t="shared" si="5"/>
        <v>200</v>
      </c>
      <c r="H49" s="1035" t="s">
        <v>4758</v>
      </c>
      <c r="I49" s="1070">
        <v>3.5</v>
      </c>
      <c r="J49" s="1071"/>
      <c r="K49" s="1068">
        <f t="shared" si="4"/>
        <v>700</v>
      </c>
      <c r="L49" s="1030"/>
      <c r="M49" s="1030"/>
      <c r="N49" s="1030"/>
      <c r="O49" s="1039"/>
      <c r="P49" s="1039"/>
      <c r="Q49" s="1039"/>
      <c r="R49" s="1039"/>
      <c r="S49" s="1039"/>
      <c r="T49" s="1039"/>
      <c r="U49" s="1039"/>
      <c r="V49" s="1039"/>
      <c r="W49" s="1039"/>
      <c r="X49" s="1039"/>
      <c r="Y49" s="1039"/>
      <c r="Z49" s="1039"/>
    </row>
    <row r="50" spans="1:26" ht="12.75" customHeight="1" outlineLevel="1">
      <c r="A50" s="1061">
        <f t="shared" si="3"/>
        <v>36</v>
      </c>
      <c r="B50" s="1051" t="s">
        <v>3382</v>
      </c>
      <c r="C50" s="1066" t="s">
        <v>3342</v>
      </c>
      <c r="D50" s="1035" t="s">
        <v>3366</v>
      </c>
      <c r="E50" s="1035" t="s">
        <v>3388</v>
      </c>
      <c r="F50" s="1073" t="s">
        <v>3410</v>
      </c>
      <c r="G50" s="1068">
        <f t="shared" si="5"/>
        <v>200</v>
      </c>
      <c r="H50" s="1035" t="s">
        <v>4758</v>
      </c>
      <c r="I50" s="1070">
        <v>4</v>
      </c>
      <c r="J50" s="1071"/>
      <c r="K50" s="1068">
        <f t="shared" si="4"/>
        <v>800</v>
      </c>
      <c r="L50" s="1030"/>
      <c r="M50" s="1030"/>
      <c r="N50" s="1030"/>
      <c r="O50" s="1030"/>
      <c r="P50" s="1030"/>
      <c r="Q50" s="1030"/>
      <c r="R50" s="1030"/>
      <c r="S50" s="1030"/>
      <c r="T50" s="1030"/>
      <c r="U50" s="1030"/>
      <c r="V50" s="1030"/>
      <c r="W50" s="1030"/>
      <c r="X50" s="1030"/>
      <c r="Y50" s="1030"/>
      <c r="Z50" s="1030"/>
    </row>
    <row r="51" spans="1:26" ht="12.75" customHeight="1" outlineLevel="1">
      <c r="A51" s="1061">
        <f t="shared" si="3"/>
        <v>37</v>
      </c>
      <c r="B51" s="1051" t="s">
        <v>3382</v>
      </c>
      <c r="C51" s="1066" t="s">
        <v>3342</v>
      </c>
      <c r="D51" s="1035" t="s">
        <v>3370</v>
      </c>
      <c r="E51" s="1035" t="s">
        <v>3388</v>
      </c>
      <c r="F51" s="1073" t="s">
        <v>3410</v>
      </c>
      <c r="G51" s="1068">
        <f t="shared" si="5"/>
        <v>200</v>
      </c>
      <c r="H51" s="1035" t="s">
        <v>4758</v>
      </c>
      <c r="I51" s="1070">
        <v>0</v>
      </c>
      <c r="J51" s="1071"/>
      <c r="K51" s="1068">
        <f t="shared" si="4"/>
        <v>0</v>
      </c>
      <c r="L51" s="1030"/>
      <c r="M51" s="1040"/>
      <c r="N51" s="1030"/>
      <c r="O51" s="1039"/>
      <c r="P51" s="1039"/>
      <c r="Q51" s="1039"/>
      <c r="R51" s="1039"/>
      <c r="S51" s="1039"/>
      <c r="T51" s="1039"/>
      <c r="U51" s="1039"/>
      <c r="V51" s="1039"/>
      <c r="W51" s="1039"/>
      <c r="X51" s="1039"/>
      <c r="Y51" s="1039"/>
      <c r="Z51" s="1039"/>
    </row>
    <row r="52" spans="1:26" ht="12.75" customHeight="1" outlineLevel="1">
      <c r="A52" s="1061">
        <f t="shared" si="3"/>
        <v>38</v>
      </c>
      <c r="B52" s="1051" t="s">
        <v>3382</v>
      </c>
      <c r="C52" s="1066" t="s">
        <v>3342</v>
      </c>
      <c r="D52" s="1035" t="s">
        <v>4757</v>
      </c>
      <c r="E52" s="1035" t="s">
        <v>3393</v>
      </c>
      <c r="F52" s="1073" t="s">
        <v>3410</v>
      </c>
      <c r="G52" s="1068">
        <f t="shared" si="5"/>
        <v>100</v>
      </c>
      <c r="H52" s="1035" t="s">
        <v>4758</v>
      </c>
      <c r="I52" s="1070">
        <v>0</v>
      </c>
      <c r="J52" s="1071"/>
      <c r="K52" s="1075">
        <v>0</v>
      </c>
      <c r="L52" s="1030"/>
      <c r="M52" s="1030"/>
      <c r="N52" s="1030"/>
      <c r="O52" s="1030"/>
      <c r="P52" s="1030"/>
      <c r="Q52" s="1030"/>
      <c r="R52" s="1030"/>
      <c r="S52" s="1030"/>
      <c r="T52" s="1030"/>
      <c r="U52" s="1030"/>
      <c r="V52" s="1030"/>
      <c r="W52" s="1030"/>
      <c r="X52" s="1030"/>
      <c r="Y52" s="1030"/>
      <c r="Z52" s="1030"/>
    </row>
    <row r="53" spans="1:26" ht="12.75" customHeight="1" outlineLevel="1">
      <c r="A53" s="1061">
        <f t="shared" si="3"/>
        <v>39</v>
      </c>
      <c r="B53" s="1051" t="s">
        <v>3382</v>
      </c>
      <c r="C53" s="1066" t="s">
        <v>3342</v>
      </c>
      <c r="D53" s="1035" t="s">
        <v>2940</v>
      </c>
      <c r="E53" s="1035" t="s">
        <v>3388</v>
      </c>
      <c r="F53" s="1073" t="s">
        <v>3410</v>
      </c>
      <c r="G53" s="1068">
        <f t="shared" si="5"/>
        <v>200</v>
      </c>
      <c r="H53" s="1035" t="s">
        <v>4758</v>
      </c>
      <c r="I53" s="1070">
        <v>3</v>
      </c>
      <c r="J53" s="1071"/>
      <c r="K53" s="1068">
        <f t="shared" ref="K53:K125" si="6">I53*(G53)+J53</f>
        <v>600</v>
      </c>
      <c r="L53" s="1030"/>
      <c r="M53" s="1030"/>
      <c r="N53" s="1030"/>
      <c r="O53" s="1030"/>
      <c r="P53" s="1030"/>
      <c r="Q53" s="1030"/>
      <c r="R53" s="1030"/>
      <c r="S53" s="1030"/>
      <c r="T53" s="1030"/>
      <c r="U53" s="1030"/>
      <c r="V53" s="1030"/>
      <c r="W53" s="1030"/>
      <c r="X53" s="1030"/>
      <c r="Y53" s="1030"/>
      <c r="Z53" s="1030"/>
    </row>
    <row r="54" spans="1:26" ht="12.75" customHeight="1" outlineLevel="1">
      <c r="A54" s="1061">
        <f t="shared" si="3"/>
        <v>40</v>
      </c>
      <c r="B54" s="1051" t="s">
        <v>3382</v>
      </c>
      <c r="C54" s="1066" t="s">
        <v>3342</v>
      </c>
      <c r="D54" s="1035" t="s">
        <v>3372</v>
      </c>
      <c r="E54" s="1035" t="s">
        <v>3388</v>
      </c>
      <c r="F54" s="1073" t="s">
        <v>3410</v>
      </c>
      <c r="G54" s="1068">
        <f t="shared" si="5"/>
        <v>200</v>
      </c>
      <c r="H54" s="1035" t="s">
        <v>4758</v>
      </c>
      <c r="I54" s="1070">
        <v>0</v>
      </c>
      <c r="J54" s="1071"/>
      <c r="K54" s="1068">
        <f t="shared" si="6"/>
        <v>0</v>
      </c>
      <c r="L54" s="1030"/>
      <c r="M54" s="1030"/>
      <c r="N54" s="1030"/>
      <c r="O54" s="1030"/>
      <c r="P54" s="1030"/>
      <c r="Q54" s="1030"/>
      <c r="R54" s="1030"/>
      <c r="S54" s="1030"/>
      <c r="T54" s="1030"/>
      <c r="U54" s="1030"/>
      <c r="V54" s="1030"/>
      <c r="W54" s="1030"/>
      <c r="X54" s="1030"/>
      <c r="Y54" s="1030"/>
      <c r="Z54" s="1030"/>
    </row>
    <row r="55" spans="1:26" ht="12.75" customHeight="1" outlineLevel="1">
      <c r="A55" s="1061">
        <f t="shared" si="3"/>
        <v>41</v>
      </c>
      <c r="B55" s="1051" t="s">
        <v>3382</v>
      </c>
      <c r="C55" s="1066" t="s">
        <v>3342</v>
      </c>
      <c r="D55" s="1035" t="s">
        <v>2667</v>
      </c>
      <c r="E55" s="1035" t="s">
        <v>3388</v>
      </c>
      <c r="F55" s="1073" t="s">
        <v>3410</v>
      </c>
      <c r="G55" s="1068">
        <f t="shared" si="5"/>
        <v>200</v>
      </c>
      <c r="H55" s="1035" t="s">
        <v>4758</v>
      </c>
      <c r="I55" s="1070">
        <v>3</v>
      </c>
      <c r="J55" s="1071"/>
      <c r="K55" s="1068">
        <f t="shared" si="6"/>
        <v>600</v>
      </c>
      <c r="L55" s="1030"/>
      <c r="M55" s="1030"/>
      <c r="N55" s="1030"/>
      <c r="O55" s="1030"/>
      <c r="P55" s="1030"/>
      <c r="Q55" s="1030"/>
      <c r="R55" s="1030"/>
      <c r="S55" s="1030"/>
      <c r="T55" s="1030"/>
      <c r="U55" s="1030"/>
      <c r="V55" s="1030"/>
      <c r="W55" s="1030"/>
      <c r="X55" s="1030"/>
      <c r="Y55" s="1030"/>
      <c r="Z55" s="1030"/>
    </row>
    <row r="56" spans="1:26" ht="12.75" customHeight="1" outlineLevel="1">
      <c r="A56" s="1061">
        <f t="shared" si="3"/>
        <v>42</v>
      </c>
      <c r="B56" s="1051" t="s">
        <v>3382</v>
      </c>
      <c r="C56" s="1066" t="s">
        <v>3342</v>
      </c>
      <c r="D56" s="1035" t="s">
        <v>3391</v>
      </c>
      <c r="E56" s="1035" t="s">
        <v>3409</v>
      </c>
      <c r="F56" s="1073" t="s">
        <v>3410</v>
      </c>
      <c r="G56" s="1068">
        <f t="shared" si="5"/>
        <v>150</v>
      </c>
      <c r="H56" s="1035" t="s">
        <v>4758</v>
      </c>
      <c r="I56" s="1070">
        <v>0</v>
      </c>
      <c r="J56" s="1071"/>
      <c r="K56" s="1068">
        <f t="shared" si="6"/>
        <v>0</v>
      </c>
      <c r="L56" s="1030"/>
      <c r="M56" s="1030"/>
      <c r="N56" s="1030"/>
      <c r="O56" s="1030"/>
      <c r="P56" s="1030"/>
      <c r="Q56" s="1030"/>
      <c r="R56" s="1030"/>
      <c r="S56" s="1030"/>
      <c r="T56" s="1030"/>
      <c r="U56" s="1030"/>
      <c r="V56" s="1030"/>
      <c r="W56" s="1030"/>
      <c r="X56" s="1030"/>
      <c r="Y56" s="1030"/>
      <c r="Z56" s="1030"/>
    </row>
    <row r="57" spans="1:26" ht="12.75" customHeight="1" outlineLevel="1">
      <c r="A57" s="1061">
        <f t="shared" si="3"/>
        <v>43</v>
      </c>
      <c r="B57" s="1051" t="s">
        <v>3382</v>
      </c>
      <c r="C57" s="1066" t="s">
        <v>3342</v>
      </c>
      <c r="D57" s="1035" t="s">
        <v>3396</v>
      </c>
      <c r="E57" s="1035" t="s">
        <v>3409</v>
      </c>
      <c r="F57" s="1073" t="s">
        <v>3410</v>
      </c>
      <c r="G57" s="1068">
        <f t="shared" si="5"/>
        <v>150</v>
      </c>
      <c r="H57" s="1035" t="s">
        <v>4758</v>
      </c>
      <c r="I57" s="1070">
        <v>4</v>
      </c>
      <c r="J57" s="1071"/>
      <c r="K57" s="1068">
        <f t="shared" si="6"/>
        <v>600</v>
      </c>
      <c r="L57" s="1030"/>
      <c r="M57" s="1040"/>
      <c r="N57" s="1030"/>
      <c r="O57" s="1039"/>
      <c r="P57" s="1039"/>
      <c r="Q57" s="1039"/>
      <c r="R57" s="1039"/>
      <c r="S57" s="1039"/>
      <c r="T57" s="1039"/>
      <c r="U57" s="1039"/>
      <c r="V57" s="1039"/>
      <c r="W57" s="1039"/>
      <c r="X57" s="1039"/>
      <c r="Y57" s="1039"/>
      <c r="Z57" s="1039"/>
    </row>
    <row r="58" spans="1:26" ht="12.75" customHeight="1" outlineLevel="1">
      <c r="A58" s="1061">
        <f t="shared" si="3"/>
        <v>44</v>
      </c>
      <c r="B58" s="1051" t="s">
        <v>3382</v>
      </c>
      <c r="C58" s="1066" t="s">
        <v>3342</v>
      </c>
      <c r="D58" s="1035" t="s">
        <v>3399</v>
      </c>
      <c r="E58" s="1035" t="s">
        <v>3393</v>
      </c>
      <c r="F58" s="1073" t="s">
        <v>3410</v>
      </c>
      <c r="G58" s="1068">
        <f t="shared" si="5"/>
        <v>100</v>
      </c>
      <c r="H58" s="1035" t="s">
        <v>4758</v>
      </c>
      <c r="I58" s="1070">
        <v>4</v>
      </c>
      <c r="J58" s="1071"/>
      <c r="K58" s="1068">
        <f t="shared" si="6"/>
        <v>400</v>
      </c>
      <c r="L58" s="1030"/>
      <c r="M58" s="1030"/>
      <c r="N58" s="1030"/>
      <c r="O58" s="1039"/>
      <c r="P58" s="1039"/>
      <c r="Q58" s="1039"/>
      <c r="R58" s="1039"/>
      <c r="S58" s="1039"/>
      <c r="T58" s="1039"/>
      <c r="U58" s="1039"/>
      <c r="V58" s="1039"/>
      <c r="W58" s="1039"/>
      <c r="X58" s="1039"/>
      <c r="Y58" s="1039"/>
      <c r="Z58" s="1039"/>
    </row>
    <row r="59" spans="1:26" ht="12.75" customHeight="1" outlineLevel="1">
      <c r="A59" s="1061">
        <f t="shared" si="3"/>
        <v>45</v>
      </c>
      <c r="B59" s="1051" t="s">
        <v>3382</v>
      </c>
      <c r="C59" s="1066" t="s">
        <v>3342</v>
      </c>
      <c r="D59" s="1035" t="s">
        <v>3387</v>
      </c>
      <c r="E59" s="1035" t="s">
        <v>3388</v>
      </c>
      <c r="F59" s="1073" t="s">
        <v>3410</v>
      </c>
      <c r="G59" s="1068">
        <f t="shared" si="5"/>
        <v>200</v>
      </c>
      <c r="H59" s="1035" t="s">
        <v>4758</v>
      </c>
      <c r="I59" s="1070">
        <v>3.5</v>
      </c>
      <c r="J59" s="1071"/>
      <c r="K59" s="1068">
        <f t="shared" si="6"/>
        <v>700</v>
      </c>
      <c r="L59" s="1030"/>
      <c r="M59" s="1030"/>
      <c r="N59" s="1030"/>
      <c r="O59" s="1030"/>
      <c r="P59" s="1030"/>
      <c r="Q59" s="1030"/>
      <c r="R59" s="1030"/>
      <c r="S59" s="1030"/>
      <c r="T59" s="1030"/>
      <c r="U59" s="1030"/>
      <c r="V59" s="1030"/>
      <c r="W59" s="1030"/>
      <c r="X59" s="1030"/>
      <c r="Y59" s="1030"/>
      <c r="Z59" s="1030"/>
    </row>
    <row r="60" spans="1:26" ht="12.75" customHeight="1" outlineLevel="1">
      <c r="A60" s="1061">
        <f t="shared" si="3"/>
        <v>46</v>
      </c>
      <c r="B60" s="1051" t="s">
        <v>3382</v>
      </c>
      <c r="C60" s="1066" t="s">
        <v>3342</v>
      </c>
      <c r="D60" s="1035" t="s">
        <v>3404</v>
      </c>
      <c r="E60" s="1035" t="s">
        <v>3393</v>
      </c>
      <c r="F60" s="1073" t="s">
        <v>3410</v>
      </c>
      <c r="G60" s="1068">
        <f t="shared" si="5"/>
        <v>100</v>
      </c>
      <c r="H60" s="1035" t="s">
        <v>4758</v>
      </c>
      <c r="I60" s="1070">
        <v>0</v>
      </c>
      <c r="J60" s="1071"/>
      <c r="K60" s="1068">
        <f t="shared" si="6"/>
        <v>0</v>
      </c>
      <c r="L60" s="1030"/>
      <c r="M60" s="1040"/>
      <c r="N60" s="1030"/>
      <c r="O60" s="1039"/>
      <c r="P60" s="1039"/>
      <c r="Q60" s="1039"/>
      <c r="R60" s="1039"/>
      <c r="S60" s="1039"/>
      <c r="T60" s="1039"/>
      <c r="U60" s="1039"/>
      <c r="V60" s="1039"/>
      <c r="W60" s="1039"/>
      <c r="X60" s="1039"/>
      <c r="Y60" s="1039"/>
      <c r="Z60" s="1039"/>
    </row>
    <row r="61" spans="1:26" ht="12.75" customHeight="1" outlineLevel="1">
      <c r="A61" s="1061">
        <f t="shared" si="3"/>
        <v>47</v>
      </c>
      <c r="B61" s="1051" t="s">
        <v>3382</v>
      </c>
      <c r="C61" s="1066" t="s">
        <v>3342</v>
      </c>
      <c r="D61" s="1035" t="s">
        <v>2689</v>
      </c>
      <c r="E61" s="1035" t="s">
        <v>3388</v>
      </c>
      <c r="F61" s="1073" t="s">
        <v>3410</v>
      </c>
      <c r="G61" s="1068">
        <f t="shared" si="5"/>
        <v>200</v>
      </c>
      <c r="H61" s="1035" t="s">
        <v>4758</v>
      </c>
      <c r="I61" s="1070">
        <v>3</v>
      </c>
      <c r="J61" s="1071"/>
      <c r="K61" s="1068">
        <f t="shared" si="6"/>
        <v>600</v>
      </c>
      <c r="L61" s="1030"/>
      <c r="M61" s="1040"/>
      <c r="N61" s="1030"/>
      <c r="O61" s="1039"/>
      <c r="P61" s="1039"/>
      <c r="Q61" s="1039"/>
      <c r="R61" s="1039"/>
      <c r="S61" s="1039"/>
      <c r="T61" s="1039"/>
      <c r="U61" s="1039"/>
      <c r="V61" s="1039"/>
      <c r="W61" s="1039"/>
      <c r="X61" s="1039"/>
      <c r="Y61" s="1039"/>
      <c r="Z61" s="1039"/>
    </row>
    <row r="62" spans="1:26" ht="12.75" customHeight="1" outlineLevel="1">
      <c r="A62" s="1061">
        <f t="shared" si="3"/>
        <v>48</v>
      </c>
      <c r="B62" s="1051" t="s">
        <v>3382</v>
      </c>
      <c r="C62" s="1066" t="s">
        <v>3342</v>
      </c>
      <c r="D62" s="1035" t="s">
        <v>3395</v>
      </c>
      <c r="E62" s="1035" t="s">
        <v>3388</v>
      </c>
      <c r="F62" s="1073" t="s">
        <v>3410</v>
      </c>
      <c r="G62" s="1068">
        <f t="shared" si="5"/>
        <v>200</v>
      </c>
      <c r="H62" s="1035" t="s">
        <v>4758</v>
      </c>
      <c r="I62" s="1070">
        <v>3</v>
      </c>
      <c r="J62" s="1071"/>
      <c r="K62" s="1068">
        <f t="shared" si="6"/>
        <v>600</v>
      </c>
      <c r="L62" s="1030"/>
      <c r="M62" s="1030"/>
      <c r="N62" s="1030"/>
      <c r="O62" s="1039"/>
      <c r="P62" s="1039"/>
      <c r="Q62" s="1039"/>
      <c r="R62" s="1039"/>
      <c r="S62" s="1039"/>
      <c r="T62" s="1039"/>
      <c r="U62" s="1039"/>
      <c r="V62" s="1039"/>
      <c r="W62" s="1039"/>
      <c r="X62" s="1039"/>
      <c r="Y62" s="1039"/>
      <c r="Z62" s="1039"/>
    </row>
    <row r="63" spans="1:26" ht="12.75" customHeight="1" outlineLevel="1">
      <c r="A63" s="1061">
        <f t="shared" si="3"/>
        <v>49</v>
      </c>
      <c r="B63" s="1051" t="s">
        <v>3382</v>
      </c>
      <c r="C63" s="1066" t="s">
        <v>3342</v>
      </c>
      <c r="D63" s="1035" t="s">
        <v>3398</v>
      </c>
      <c r="E63" s="1035" t="s">
        <v>3393</v>
      </c>
      <c r="F63" s="1073" t="s">
        <v>3410</v>
      </c>
      <c r="G63" s="1068">
        <f t="shared" si="5"/>
        <v>100</v>
      </c>
      <c r="H63" s="1035" t="s">
        <v>4758</v>
      </c>
      <c r="I63" s="1070">
        <v>0</v>
      </c>
      <c r="J63" s="1071"/>
      <c r="K63" s="1068">
        <f t="shared" si="6"/>
        <v>0</v>
      </c>
      <c r="L63" s="1030"/>
      <c r="M63" s="1030"/>
      <c r="N63" s="1030"/>
      <c r="O63" s="1030"/>
      <c r="P63" s="1030"/>
      <c r="Q63" s="1030"/>
      <c r="R63" s="1030"/>
      <c r="S63" s="1030"/>
      <c r="T63" s="1030"/>
      <c r="U63" s="1030"/>
      <c r="V63" s="1030"/>
      <c r="W63" s="1030"/>
      <c r="X63" s="1030"/>
      <c r="Y63" s="1030"/>
      <c r="Z63" s="1030"/>
    </row>
    <row r="64" spans="1:26" ht="12.75" customHeight="1" outlineLevel="1">
      <c r="A64" s="1061">
        <f t="shared" si="3"/>
        <v>50</v>
      </c>
      <c r="B64" s="1051" t="s">
        <v>3382</v>
      </c>
      <c r="C64" s="1066" t="s">
        <v>3342</v>
      </c>
      <c r="D64" s="1035" t="s">
        <v>3405</v>
      </c>
      <c r="E64" s="1035" t="s">
        <v>3388</v>
      </c>
      <c r="F64" s="1073" t="s">
        <v>3410</v>
      </c>
      <c r="G64" s="1068">
        <f t="shared" si="5"/>
        <v>200</v>
      </c>
      <c r="H64" s="1035" t="s">
        <v>4758</v>
      </c>
      <c r="I64" s="1070">
        <v>3.5</v>
      </c>
      <c r="J64" s="1071"/>
      <c r="K64" s="1068">
        <f t="shared" si="6"/>
        <v>700</v>
      </c>
      <c r="L64" s="1030"/>
      <c r="M64" s="1040"/>
      <c r="N64" s="1030"/>
      <c r="O64" s="1039"/>
      <c r="P64" s="1039"/>
      <c r="Q64" s="1039"/>
      <c r="R64" s="1039"/>
      <c r="S64" s="1039"/>
      <c r="T64" s="1039"/>
      <c r="U64" s="1039"/>
      <c r="V64" s="1039"/>
      <c r="W64" s="1039"/>
      <c r="X64" s="1039"/>
      <c r="Y64" s="1039"/>
      <c r="Z64" s="1039"/>
    </row>
    <row r="65" spans="1:26" ht="12.75" customHeight="1" outlineLevel="1">
      <c r="A65" s="1061">
        <f t="shared" si="3"/>
        <v>51</v>
      </c>
      <c r="B65" s="1051" t="s">
        <v>3382</v>
      </c>
      <c r="C65" s="1066" t="s">
        <v>3342</v>
      </c>
      <c r="D65" s="1035" t="s">
        <v>3401</v>
      </c>
      <c r="E65" s="1035" t="s">
        <v>3393</v>
      </c>
      <c r="F65" s="1073" t="s">
        <v>3410</v>
      </c>
      <c r="G65" s="1068">
        <f t="shared" si="5"/>
        <v>100</v>
      </c>
      <c r="H65" s="1035" t="s">
        <v>4758</v>
      </c>
      <c r="I65" s="1070">
        <v>0</v>
      </c>
      <c r="J65" s="1071"/>
      <c r="K65" s="1068">
        <f t="shared" si="6"/>
        <v>0</v>
      </c>
      <c r="L65" s="1030"/>
      <c r="M65" s="1030"/>
      <c r="N65" s="1030"/>
      <c r="O65" s="1030"/>
      <c r="P65" s="1030"/>
      <c r="Q65" s="1030"/>
      <c r="R65" s="1030"/>
      <c r="S65" s="1030"/>
      <c r="T65" s="1030"/>
      <c r="U65" s="1030"/>
      <c r="V65" s="1030"/>
      <c r="W65" s="1030"/>
      <c r="X65" s="1030"/>
      <c r="Y65" s="1030"/>
      <c r="Z65" s="1030"/>
    </row>
    <row r="66" spans="1:26" ht="12.75" customHeight="1" outlineLevel="1">
      <c r="A66" s="1061">
        <f t="shared" si="3"/>
        <v>52</v>
      </c>
      <c r="B66" s="1051" t="s">
        <v>3382</v>
      </c>
      <c r="C66" s="1066" t="s">
        <v>3342</v>
      </c>
      <c r="D66" s="1035" t="s">
        <v>3400</v>
      </c>
      <c r="E66" s="1035" t="s">
        <v>3393</v>
      </c>
      <c r="F66" s="1073" t="s">
        <v>3410</v>
      </c>
      <c r="G66" s="1075">
        <v>100</v>
      </c>
      <c r="H66" s="1035" t="s">
        <v>4758</v>
      </c>
      <c r="I66" s="1070">
        <v>3.5</v>
      </c>
      <c r="J66" s="1071"/>
      <c r="K66" s="1068">
        <f t="shared" si="6"/>
        <v>350</v>
      </c>
      <c r="L66" s="1030"/>
      <c r="M66" s="1040"/>
      <c r="N66" s="1030"/>
      <c r="O66" s="1039"/>
      <c r="P66" s="1039"/>
      <c r="Q66" s="1039"/>
      <c r="R66" s="1039"/>
      <c r="S66" s="1039"/>
      <c r="T66" s="1039"/>
      <c r="U66" s="1039"/>
      <c r="V66" s="1039"/>
      <c r="W66" s="1039"/>
      <c r="X66" s="1039"/>
      <c r="Y66" s="1039"/>
      <c r="Z66" s="1039"/>
    </row>
    <row r="67" spans="1:26" ht="12.75" customHeight="1" outlineLevel="1">
      <c r="A67" s="1061">
        <f t="shared" si="3"/>
        <v>53</v>
      </c>
      <c r="B67" s="1051" t="s">
        <v>3382</v>
      </c>
      <c r="C67" s="1066" t="s">
        <v>3342</v>
      </c>
      <c r="D67" s="1035" t="s">
        <v>2802</v>
      </c>
      <c r="E67" s="1035" t="s">
        <v>3388</v>
      </c>
      <c r="F67" s="1073" t="s">
        <v>3410</v>
      </c>
      <c r="G67" s="1068">
        <f t="shared" ref="G67:G69" si="7">IF(E67="MT",800,IF(E67="ET",600,IF(E67="ST",400,IF(E67="T",300,IF(E67="HTS",200,IF(E67="STS",150,IF(E67="TS",100,))))))+IF(E67="MTcod",600,IF(E67="ETcod",450,IF(E67="STcod",350,IF(E67="Tcod",250,)))+IF(E67="MTCoach",800,IF(E67="ETCoach",600,IF(E67="STCoach",400,IF(E67="TCoach",300,))))))</f>
        <v>200</v>
      </c>
      <c r="H67" s="1035" t="s">
        <v>4758</v>
      </c>
      <c r="I67" s="1070">
        <v>3.5</v>
      </c>
      <c r="J67" s="1071"/>
      <c r="K67" s="1068">
        <f t="shared" si="6"/>
        <v>700</v>
      </c>
      <c r="L67" s="1030"/>
      <c r="M67" s="1030"/>
      <c r="N67" s="1030"/>
      <c r="O67" s="1030"/>
      <c r="P67" s="1030"/>
      <c r="Q67" s="1030"/>
      <c r="R67" s="1030"/>
      <c r="S67" s="1030"/>
      <c r="T67" s="1030"/>
      <c r="U67" s="1030"/>
      <c r="V67" s="1030"/>
      <c r="W67" s="1030"/>
      <c r="X67" s="1030"/>
      <c r="Y67" s="1030"/>
      <c r="Z67" s="1030"/>
    </row>
    <row r="68" spans="1:26" ht="12.75" customHeight="1" outlineLevel="1">
      <c r="A68" s="1061">
        <f t="shared" si="3"/>
        <v>54</v>
      </c>
      <c r="B68" s="1051" t="s">
        <v>3382</v>
      </c>
      <c r="C68" s="1066" t="s">
        <v>3342</v>
      </c>
      <c r="D68" s="1035" t="s">
        <v>3407</v>
      </c>
      <c r="E68" s="1035" t="s">
        <v>3393</v>
      </c>
      <c r="F68" s="1073" t="s">
        <v>3410</v>
      </c>
      <c r="G68" s="1068">
        <f t="shared" si="7"/>
        <v>100</v>
      </c>
      <c r="H68" s="1035" t="s">
        <v>4758</v>
      </c>
      <c r="I68" s="1070">
        <v>0</v>
      </c>
      <c r="J68" s="1071"/>
      <c r="K68" s="1068">
        <f t="shared" si="6"/>
        <v>0</v>
      </c>
      <c r="L68" s="1030"/>
      <c r="M68" s="1030"/>
      <c r="N68" s="1030"/>
      <c r="O68" s="1030"/>
      <c r="P68" s="1030"/>
      <c r="Q68" s="1030"/>
      <c r="R68" s="1030"/>
      <c r="S68" s="1030"/>
      <c r="T68" s="1030"/>
      <c r="U68" s="1030"/>
      <c r="V68" s="1030"/>
      <c r="W68" s="1030"/>
      <c r="X68" s="1030"/>
      <c r="Y68" s="1030"/>
      <c r="Z68" s="1030"/>
    </row>
    <row r="69" spans="1:26" ht="12.75" customHeight="1" outlineLevel="1">
      <c r="A69" s="1061">
        <f t="shared" si="3"/>
        <v>55</v>
      </c>
      <c r="B69" s="1051" t="s">
        <v>3382</v>
      </c>
      <c r="C69" s="1066" t="s">
        <v>3342</v>
      </c>
      <c r="D69" s="1074" t="s">
        <v>3145</v>
      </c>
      <c r="E69" s="1035" t="s">
        <v>4703</v>
      </c>
      <c r="F69" s="1073" t="s">
        <v>3414</v>
      </c>
      <c r="G69" s="1068">
        <f t="shared" si="7"/>
        <v>800</v>
      </c>
      <c r="H69" s="1035" t="s">
        <v>4759</v>
      </c>
      <c r="I69" s="1070">
        <v>2</v>
      </c>
      <c r="J69" s="1071"/>
      <c r="K69" s="1068">
        <f t="shared" si="6"/>
        <v>1600</v>
      </c>
      <c r="L69" s="1030"/>
      <c r="M69" s="1030"/>
      <c r="N69" s="1030"/>
      <c r="O69" s="1030"/>
      <c r="P69" s="1030"/>
      <c r="Q69" s="1030"/>
      <c r="R69" s="1030"/>
      <c r="S69" s="1030"/>
      <c r="T69" s="1030"/>
      <c r="U69" s="1030"/>
      <c r="V69" s="1030"/>
      <c r="W69" s="1030"/>
      <c r="X69" s="1030"/>
      <c r="Y69" s="1030"/>
      <c r="Z69" s="1030"/>
    </row>
    <row r="70" spans="1:26" ht="12.75" customHeight="1" outlineLevel="1">
      <c r="A70" s="1061">
        <f t="shared" si="3"/>
        <v>56</v>
      </c>
      <c r="B70" s="1051" t="s">
        <v>3382</v>
      </c>
      <c r="C70" s="1066" t="s">
        <v>3342</v>
      </c>
      <c r="D70" s="1035" t="s">
        <v>3346</v>
      </c>
      <c r="E70" s="1035" t="s">
        <v>3393</v>
      </c>
      <c r="F70" s="1073" t="s">
        <v>3414</v>
      </c>
      <c r="G70" s="1075">
        <v>100</v>
      </c>
      <c r="H70" s="1035" t="s">
        <v>4759</v>
      </c>
      <c r="I70" s="1070">
        <v>0</v>
      </c>
      <c r="J70" s="1071"/>
      <c r="K70" s="1068">
        <f t="shared" si="6"/>
        <v>0</v>
      </c>
      <c r="L70" s="1030"/>
      <c r="M70" s="1040"/>
      <c r="N70" s="1030"/>
      <c r="O70" s="1039"/>
      <c r="P70" s="1039"/>
      <c r="Q70" s="1039"/>
      <c r="R70" s="1039"/>
      <c r="S70" s="1039"/>
      <c r="T70" s="1039"/>
      <c r="U70" s="1039"/>
      <c r="V70" s="1039"/>
      <c r="W70" s="1039"/>
      <c r="X70" s="1039"/>
      <c r="Y70" s="1039"/>
      <c r="Z70" s="1039"/>
    </row>
    <row r="71" spans="1:26" ht="12.75" customHeight="1" outlineLevel="1">
      <c r="A71" s="1061">
        <f t="shared" si="3"/>
        <v>57</v>
      </c>
      <c r="B71" s="1051" t="s">
        <v>3382</v>
      </c>
      <c r="C71" s="1066" t="s">
        <v>3342</v>
      </c>
      <c r="D71" s="1035" t="s">
        <v>998</v>
      </c>
      <c r="E71" s="1035" t="s">
        <v>3388</v>
      </c>
      <c r="F71" s="1073" t="s">
        <v>3414</v>
      </c>
      <c r="G71" s="1068">
        <f t="shared" ref="G71:G75" si="8">IF(E71="MT",800,IF(E71="ET",600,IF(E71="ST",400,IF(E71="T",300,IF(E71="HTS",200,IF(E71="STS",150,IF(E71="TS",100,))))))+IF(E71="MTcod",600,IF(E71="ETcod",450,IF(E71="STcod",350,IF(E71="Tcod",250,)))+IF(E71="MTCoach",800,IF(E71="ETCoach",600,IF(E71="STCoach",400,IF(E71="TCoach",300,))))))</f>
        <v>200</v>
      </c>
      <c r="H71" s="1035" t="s">
        <v>4759</v>
      </c>
      <c r="I71" s="1070">
        <v>0</v>
      </c>
      <c r="J71" s="1071"/>
      <c r="K71" s="1068">
        <f t="shared" si="6"/>
        <v>0</v>
      </c>
      <c r="L71" s="1030"/>
      <c r="M71" s="1030"/>
      <c r="N71" s="1030"/>
      <c r="O71" s="1030"/>
      <c r="P71" s="1030"/>
      <c r="Q71" s="1030"/>
      <c r="R71" s="1030"/>
      <c r="S71" s="1030"/>
      <c r="T71" s="1030"/>
      <c r="U71" s="1030"/>
      <c r="V71" s="1030"/>
      <c r="W71" s="1030"/>
      <c r="X71" s="1030"/>
      <c r="Y71" s="1030"/>
      <c r="Z71" s="1030"/>
    </row>
    <row r="72" spans="1:26" ht="12.75" customHeight="1" outlineLevel="1">
      <c r="A72" s="1061">
        <f t="shared" si="3"/>
        <v>58</v>
      </c>
      <c r="B72" s="1051" t="s">
        <v>3382</v>
      </c>
      <c r="C72" s="1066" t="s">
        <v>3342</v>
      </c>
      <c r="D72" s="1035" t="s">
        <v>3356</v>
      </c>
      <c r="E72" s="1035" t="s">
        <v>3388</v>
      </c>
      <c r="F72" s="1073" t="s">
        <v>3414</v>
      </c>
      <c r="G72" s="1068">
        <f t="shared" si="8"/>
        <v>200</v>
      </c>
      <c r="H72" s="1035" t="s">
        <v>4759</v>
      </c>
      <c r="I72" s="1070">
        <v>2</v>
      </c>
      <c r="J72" s="1071"/>
      <c r="K72" s="1068">
        <f t="shared" si="6"/>
        <v>400</v>
      </c>
      <c r="L72" s="1030"/>
      <c r="M72" s="1030"/>
      <c r="N72" s="1030"/>
      <c r="O72" s="1030"/>
      <c r="P72" s="1030"/>
      <c r="Q72" s="1030"/>
      <c r="R72" s="1030"/>
      <c r="S72" s="1030"/>
      <c r="T72" s="1030"/>
      <c r="U72" s="1030"/>
      <c r="V72" s="1030"/>
      <c r="W72" s="1030"/>
      <c r="X72" s="1030"/>
      <c r="Y72" s="1030"/>
      <c r="Z72" s="1030"/>
    </row>
    <row r="73" spans="1:26" ht="12.75" customHeight="1" outlineLevel="1">
      <c r="A73" s="1061">
        <f t="shared" si="3"/>
        <v>59</v>
      </c>
      <c r="B73" s="1051" t="s">
        <v>3382</v>
      </c>
      <c r="C73" s="1066" t="s">
        <v>3342</v>
      </c>
      <c r="D73" s="1035" t="s">
        <v>3357</v>
      </c>
      <c r="E73" s="1035" t="s">
        <v>3409</v>
      </c>
      <c r="F73" s="1073" t="s">
        <v>3414</v>
      </c>
      <c r="G73" s="1068">
        <f t="shared" si="8"/>
        <v>150</v>
      </c>
      <c r="H73" s="1035" t="s">
        <v>4759</v>
      </c>
      <c r="I73" s="1070">
        <v>0</v>
      </c>
      <c r="J73" s="1071"/>
      <c r="K73" s="1068">
        <f t="shared" si="6"/>
        <v>0</v>
      </c>
      <c r="L73" s="1030"/>
      <c r="M73" s="1030"/>
      <c r="N73" s="1030"/>
      <c r="O73" s="1030"/>
      <c r="P73" s="1030"/>
      <c r="Q73" s="1030"/>
      <c r="R73" s="1030"/>
      <c r="S73" s="1030"/>
      <c r="T73" s="1030"/>
      <c r="U73" s="1030"/>
      <c r="V73" s="1030"/>
      <c r="W73" s="1030"/>
      <c r="X73" s="1030"/>
      <c r="Y73" s="1030"/>
      <c r="Z73" s="1030"/>
    </row>
    <row r="74" spans="1:26" ht="12.75" customHeight="1" outlineLevel="1">
      <c r="A74" s="1061">
        <f t="shared" si="3"/>
        <v>60</v>
      </c>
      <c r="B74" s="1051" t="s">
        <v>3382</v>
      </c>
      <c r="C74" s="1066" t="s">
        <v>3342</v>
      </c>
      <c r="D74" s="1035" t="s">
        <v>1077</v>
      </c>
      <c r="E74" s="1035" t="s">
        <v>3388</v>
      </c>
      <c r="F74" s="1073" t="s">
        <v>3414</v>
      </c>
      <c r="G74" s="1068">
        <f t="shared" si="8"/>
        <v>200</v>
      </c>
      <c r="H74" s="1035" t="s">
        <v>4759</v>
      </c>
      <c r="I74" s="1070">
        <v>2.5</v>
      </c>
      <c r="J74" s="1071"/>
      <c r="K74" s="1068">
        <f t="shared" si="6"/>
        <v>500</v>
      </c>
      <c r="L74" s="1030"/>
      <c r="M74" s="1030"/>
      <c r="N74" s="1030"/>
      <c r="O74" s="1030"/>
      <c r="P74" s="1030"/>
      <c r="Q74" s="1030"/>
      <c r="R74" s="1030"/>
      <c r="S74" s="1030"/>
      <c r="T74" s="1030"/>
      <c r="U74" s="1030"/>
      <c r="V74" s="1030"/>
      <c r="W74" s="1030"/>
      <c r="X74" s="1030"/>
      <c r="Y74" s="1030"/>
      <c r="Z74" s="1030"/>
    </row>
    <row r="75" spans="1:26" ht="12.75" customHeight="1" outlineLevel="1">
      <c r="A75" s="1061">
        <f t="shared" si="3"/>
        <v>61</v>
      </c>
      <c r="B75" s="1051" t="s">
        <v>3382</v>
      </c>
      <c r="C75" s="1066" t="s">
        <v>3342</v>
      </c>
      <c r="D75" s="1035" t="s">
        <v>976</v>
      </c>
      <c r="E75" s="1035" t="s">
        <v>3388</v>
      </c>
      <c r="F75" s="1073" t="s">
        <v>3414</v>
      </c>
      <c r="G75" s="1068">
        <f t="shared" si="8"/>
        <v>200</v>
      </c>
      <c r="H75" s="1035" t="s">
        <v>4759</v>
      </c>
      <c r="I75" s="1070">
        <v>2</v>
      </c>
      <c r="J75" s="1071"/>
      <c r="K75" s="1068">
        <f t="shared" si="6"/>
        <v>400</v>
      </c>
      <c r="L75" s="1030"/>
      <c r="M75" s="1030"/>
      <c r="N75" s="1030"/>
      <c r="O75" s="1030"/>
      <c r="P75" s="1030"/>
      <c r="Q75" s="1030"/>
      <c r="R75" s="1030"/>
      <c r="S75" s="1030"/>
      <c r="T75" s="1030"/>
      <c r="U75" s="1030"/>
      <c r="V75" s="1030"/>
      <c r="W75" s="1030"/>
      <c r="X75" s="1030"/>
      <c r="Y75" s="1030"/>
      <c r="Z75" s="1030"/>
    </row>
    <row r="76" spans="1:26" ht="12.75" customHeight="1" outlineLevel="1">
      <c r="A76" s="1061"/>
      <c r="B76" s="1051" t="s">
        <v>3382</v>
      </c>
      <c r="C76" s="1066" t="s">
        <v>3342</v>
      </c>
      <c r="D76" s="1035" t="s">
        <v>4760</v>
      </c>
      <c r="E76" s="1035" t="s">
        <v>3393</v>
      </c>
      <c r="F76" s="1073" t="s">
        <v>3414</v>
      </c>
      <c r="G76" s="1075">
        <v>100</v>
      </c>
      <c r="H76" s="1035" t="s">
        <v>4759</v>
      </c>
      <c r="I76" s="1070">
        <v>2.5</v>
      </c>
      <c r="J76" s="1071"/>
      <c r="K76" s="1068">
        <f t="shared" si="6"/>
        <v>250</v>
      </c>
      <c r="L76" s="1030"/>
      <c r="M76" s="1030"/>
      <c r="N76" s="1030"/>
      <c r="O76" s="1030"/>
      <c r="P76" s="1030"/>
      <c r="Q76" s="1030"/>
      <c r="R76" s="1030"/>
      <c r="S76" s="1030"/>
      <c r="T76" s="1030"/>
      <c r="U76" s="1030"/>
      <c r="V76" s="1030"/>
      <c r="W76" s="1030"/>
      <c r="X76" s="1030"/>
      <c r="Y76" s="1030"/>
      <c r="Z76" s="1030"/>
    </row>
    <row r="77" spans="1:26" ht="12.75" customHeight="1" outlineLevel="1">
      <c r="A77" s="1061">
        <f>A75+1</f>
        <v>62</v>
      </c>
      <c r="B77" s="1051" t="s">
        <v>3382</v>
      </c>
      <c r="C77" s="1066" t="s">
        <v>3342</v>
      </c>
      <c r="D77" s="1035" t="s">
        <v>1388</v>
      </c>
      <c r="E77" s="1035" t="s">
        <v>3388</v>
      </c>
      <c r="F77" s="1073" t="s">
        <v>3414</v>
      </c>
      <c r="G77" s="1068">
        <f t="shared" ref="G77:G93" si="9">IF(E77="MT",800,IF(E77="ET",600,IF(E77="ST",400,IF(E77="T",300,IF(E77="HTS",200,IF(E77="STS",150,IF(E77="TS",100,))))))+IF(E77="MTcod",600,IF(E77="ETcod",450,IF(E77="STcod",350,IF(E77="Tcod",250,)))+IF(E77="MTCoach",800,IF(E77="ETCoach",600,IF(E77="STCoach",400,IF(E77="TCoach",300,))))))</f>
        <v>200</v>
      </c>
      <c r="H77" s="1035" t="s">
        <v>4759</v>
      </c>
      <c r="I77" s="1070">
        <v>0</v>
      </c>
      <c r="J77" s="1071"/>
      <c r="K77" s="1068">
        <f t="shared" si="6"/>
        <v>0</v>
      </c>
      <c r="L77" s="1030"/>
      <c r="M77" s="1030"/>
      <c r="N77" s="1030"/>
      <c r="O77" s="1030"/>
      <c r="P77" s="1030"/>
      <c r="Q77" s="1030"/>
      <c r="R77" s="1030"/>
      <c r="S77" s="1030"/>
      <c r="T77" s="1030"/>
      <c r="U77" s="1030"/>
      <c r="V77" s="1030"/>
      <c r="W77" s="1030"/>
      <c r="X77" s="1030"/>
      <c r="Y77" s="1030"/>
      <c r="Z77" s="1030"/>
    </row>
    <row r="78" spans="1:26" ht="12.75" customHeight="1" outlineLevel="1">
      <c r="A78" s="1061">
        <f t="shared" ref="A78:A125" si="10">A77+1</f>
        <v>63</v>
      </c>
      <c r="B78" s="1051" t="s">
        <v>3382</v>
      </c>
      <c r="C78" s="1066" t="s">
        <v>3342</v>
      </c>
      <c r="D78" s="1035" t="s">
        <v>2642</v>
      </c>
      <c r="E78" s="1035" t="s">
        <v>3388</v>
      </c>
      <c r="F78" s="1073" t="s">
        <v>3414</v>
      </c>
      <c r="G78" s="1068">
        <f t="shared" si="9"/>
        <v>200</v>
      </c>
      <c r="H78" s="1035" t="s">
        <v>4759</v>
      </c>
      <c r="I78" s="1070">
        <v>2.5</v>
      </c>
      <c r="J78" s="1071"/>
      <c r="K78" s="1068">
        <f t="shared" si="6"/>
        <v>500</v>
      </c>
      <c r="L78" s="1030"/>
      <c r="M78" s="1030"/>
      <c r="N78" s="1030"/>
      <c r="O78" s="1030"/>
      <c r="P78" s="1030"/>
      <c r="Q78" s="1030"/>
      <c r="R78" s="1030"/>
      <c r="S78" s="1030"/>
      <c r="T78" s="1030"/>
      <c r="U78" s="1030"/>
      <c r="V78" s="1030"/>
      <c r="W78" s="1030"/>
      <c r="X78" s="1030"/>
      <c r="Y78" s="1030"/>
      <c r="Z78" s="1030"/>
    </row>
    <row r="79" spans="1:26" ht="12.75" customHeight="1" outlineLevel="1">
      <c r="A79" s="1061">
        <f t="shared" si="10"/>
        <v>64</v>
      </c>
      <c r="B79" s="1051" t="s">
        <v>3382</v>
      </c>
      <c r="C79" s="1066" t="s">
        <v>3342</v>
      </c>
      <c r="D79" s="1035" t="s">
        <v>3366</v>
      </c>
      <c r="E79" s="1035" t="s">
        <v>3388</v>
      </c>
      <c r="F79" s="1073" t="s">
        <v>3414</v>
      </c>
      <c r="G79" s="1068">
        <f t="shared" si="9"/>
        <v>200</v>
      </c>
      <c r="H79" s="1035" t="s">
        <v>4759</v>
      </c>
      <c r="I79" s="1070">
        <v>2</v>
      </c>
      <c r="J79" s="1071"/>
      <c r="K79" s="1068">
        <f t="shared" si="6"/>
        <v>400</v>
      </c>
      <c r="L79" s="1030"/>
      <c r="M79" s="1030"/>
      <c r="N79" s="1030"/>
      <c r="O79" s="1030"/>
      <c r="P79" s="1030"/>
      <c r="Q79" s="1030"/>
      <c r="R79" s="1030"/>
      <c r="S79" s="1030"/>
      <c r="T79" s="1030"/>
      <c r="U79" s="1030"/>
      <c r="V79" s="1030"/>
      <c r="W79" s="1030"/>
      <c r="X79" s="1030"/>
      <c r="Y79" s="1030"/>
      <c r="Z79" s="1030"/>
    </row>
    <row r="80" spans="1:26" ht="12.75" customHeight="1" outlineLevel="1">
      <c r="A80" s="1061">
        <f t="shared" si="10"/>
        <v>65</v>
      </c>
      <c r="B80" s="1051" t="s">
        <v>3382</v>
      </c>
      <c r="C80" s="1066" t="s">
        <v>3342</v>
      </c>
      <c r="D80" s="1035" t="s">
        <v>3370</v>
      </c>
      <c r="E80" s="1035" t="s">
        <v>3388</v>
      </c>
      <c r="F80" s="1073" t="s">
        <v>3414</v>
      </c>
      <c r="G80" s="1068">
        <f t="shared" si="9"/>
        <v>200</v>
      </c>
      <c r="H80" s="1035" t="s">
        <v>4759</v>
      </c>
      <c r="I80" s="1070">
        <v>0</v>
      </c>
      <c r="J80" s="1071"/>
      <c r="K80" s="1068">
        <f t="shared" si="6"/>
        <v>0</v>
      </c>
      <c r="L80" s="1030"/>
      <c r="M80" s="1030"/>
      <c r="N80" s="1030"/>
      <c r="O80" s="1030"/>
      <c r="P80" s="1030"/>
      <c r="Q80" s="1030"/>
      <c r="R80" s="1030"/>
      <c r="S80" s="1030"/>
      <c r="T80" s="1030"/>
      <c r="U80" s="1030"/>
      <c r="V80" s="1030"/>
      <c r="W80" s="1030"/>
      <c r="X80" s="1030"/>
      <c r="Y80" s="1030"/>
      <c r="Z80" s="1030"/>
    </row>
    <row r="81" spans="1:26" ht="12.75" customHeight="1" outlineLevel="1">
      <c r="A81" s="1061">
        <f t="shared" si="10"/>
        <v>66</v>
      </c>
      <c r="B81" s="1051" t="s">
        <v>3382</v>
      </c>
      <c r="C81" s="1066" t="s">
        <v>3342</v>
      </c>
      <c r="D81" s="1035" t="s">
        <v>2940</v>
      </c>
      <c r="E81" s="1035" t="s">
        <v>3388</v>
      </c>
      <c r="F81" s="1073" t="s">
        <v>3414</v>
      </c>
      <c r="G81" s="1068">
        <f t="shared" si="9"/>
        <v>200</v>
      </c>
      <c r="H81" s="1035" t="s">
        <v>4759</v>
      </c>
      <c r="I81" s="1070">
        <v>0</v>
      </c>
      <c r="J81" s="1071"/>
      <c r="K81" s="1068">
        <f t="shared" si="6"/>
        <v>0</v>
      </c>
      <c r="L81" s="1030"/>
      <c r="M81" s="1030"/>
      <c r="N81" s="1030"/>
      <c r="O81" s="1030"/>
      <c r="P81" s="1030"/>
      <c r="Q81" s="1030"/>
      <c r="R81" s="1030"/>
      <c r="S81" s="1030"/>
      <c r="T81" s="1030"/>
      <c r="U81" s="1030"/>
      <c r="V81" s="1030"/>
      <c r="W81" s="1030"/>
      <c r="X81" s="1030"/>
      <c r="Y81" s="1030"/>
      <c r="Z81" s="1030"/>
    </row>
    <row r="82" spans="1:26" ht="12.75" customHeight="1" outlineLevel="1">
      <c r="A82" s="1061">
        <f t="shared" si="10"/>
        <v>67</v>
      </c>
      <c r="B82" s="1051" t="s">
        <v>3382</v>
      </c>
      <c r="C82" s="1066" t="s">
        <v>3342</v>
      </c>
      <c r="D82" s="1035" t="s">
        <v>3372</v>
      </c>
      <c r="E82" s="1035" t="s">
        <v>3388</v>
      </c>
      <c r="F82" s="1073" t="s">
        <v>3414</v>
      </c>
      <c r="G82" s="1068">
        <f t="shared" si="9"/>
        <v>200</v>
      </c>
      <c r="H82" s="1035" t="s">
        <v>4759</v>
      </c>
      <c r="I82" s="1070">
        <v>0</v>
      </c>
      <c r="J82" s="1071"/>
      <c r="K82" s="1068">
        <f t="shared" si="6"/>
        <v>0</v>
      </c>
      <c r="L82" s="1030"/>
      <c r="M82" s="1030"/>
      <c r="N82" s="1030"/>
      <c r="O82" s="1030"/>
      <c r="P82" s="1030"/>
      <c r="Q82" s="1030"/>
      <c r="R82" s="1030"/>
      <c r="S82" s="1030"/>
      <c r="T82" s="1030"/>
      <c r="U82" s="1030"/>
      <c r="V82" s="1030"/>
      <c r="W82" s="1030"/>
      <c r="X82" s="1030"/>
      <c r="Y82" s="1030"/>
      <c r="Z82" s="1030"/>
    </row>
    <row r="83" spans="1:26" ht="12.75" customHeight="1" outlineLevel="1">
      <c r="A83" s="1061">
        <f t="shared" si="10"/>
        <v>68</v>
      </c>
      <c r="B83" s="1051" t="s">
        <v>3382</v>
      </c>
      <c r="C83" s="1066" t="s">
        <v>3342</v>
      </c>
      <c r="D83" s="1035" t="s">
        <v>2667</v>
      </c>
      <c r="E83" s="1035" t="s">
        <v>3388</v>
      </c>
      <c r="F83" s="1073" t="s">
        <v>3414</v>
      </c>
      <c r="G83" s="1068">
        <f t="shared" si="9"/>
        <v>200</v>
      </c>
      <c r="H83" s="1035" t="s">
        <v>4759</v>
      </c>
      <c r="I83" s="1070">
        <v>2.5</v>
      </c>
      <c r="J83" s="1071"/>
      <c r="K83" s="1068">
        <f t="shared" si="6"/>
        <v>500</v>
      </c>
      <c r="L83" s="1030"/>
      <c r="M83" s="1030"/>
      <c r="N83" s="1030"/>
      <c r="O83" s="1030"/>
      <c r="P83" s="1030"/>
      <c r="Q83" s="1030"/>
      <c r="R83" s="1030"/>
      <c r="S83" s="1030"/>
      <c r="T83" s="1030"/>
      <c r="U83" s="1030"/>
      <c r="V83" s="1030"/>
      <c r="W83" s="1030"/>
      <c r="X83" s="1030"/>
      <c r="Y83" s="1030"/>
      <c r="Z83" s="1030"/>
    </row>
    <row r="84" spans="1:26" ht="12.75" customHeight="1" outlineLevel="1">
      <c r="A84" s="1061">
        <f t="shared" si="10"/>
        <v>69</v>
      </c>
      <c r="B84" s="1051" t="s">
        <v>3382</v>
      </c>
      <c r="C84" s="1066" t="s">
        <v>3342</v>
      </c>
      <c r="D84" s="1035" t="s">
        <v>3391</v>
      </c>
      <c r="E84" s="1035" t="s">
        <v>3409</v>
      </c>
      <c r="F84" s="1073" t="s">
        <v>3414</v>
      </c>
      <c r="G84" s="1068">
        <f t="shared" si="9"/>
        <v>150</v>
      </c>
      <c r="H84" s="1035" t="s">
        <v>4759</v>
      </c>
      <c r="I84" s="1070">
        <v>2.5</v>
      </c>
      <c r="J84" s="1071"/>
      <c r="K84" s="1068">
        <f t="shared" si="6"/>
        <v>375</v>
      </c>
      <c r="L84" s="1030"/>
      <c r="M84" s="1030"/>
      <c r="N84" s="1030"/>
      <c r="O84" s="1030"/>
      <c r="P84" s="1030"/>
      <c r="Q84" s="1030"/>
      <c r="R84" s="1030"/>
      <c r="S84" s="1030"/>
      <c r="T84" s="1030"/>
      <c r="U84" s="1030"/>
      <c r="V84" s="1030"/>
      <c r="W84" s="1030"/>
      <c r="X84" s="1030"/>
      <c r="Y84" s="1030"/>
      <c r="Z84" s="1030"/>
    </row>
    <row r="85" spans="1:26" ht="12.75" customHeight="1" outlineLevel="1">
      <c r="A85" s="1061">
        <f t="shared" si="10"/>
        <v>70</v>
      </c>
      <c r="B85" s="1051" t="s">
        <v>3382</v>
      </c>
      <c r="C85" s="1066" t="s">
        <v>3342</v>
      </c>
      <c r="D85" s="1035" t="s">
        <v>3396</v>
      </c>
      <c r="E85" s="1035" t="s">
        <v>3409</v>
      </c>
      <c r="F85" s="1073" t="s">
        <v>3414</v>
      </c>
      <c r="G85" s="1068">
        <f t="shared" si="9"/>
        <v>150</v>
      </c>
      <c r="H85" s="1035" t="s">
        <v>4759</v>
      </c>
      <c r="I85" s="1070">
        <v>3</v>
      </c>
      <c r="J85" s="1071"/>
      <c r="K85" s="1068">
        <f t="shared" si="6"/>
        <v>450</v>
      </c>
      <c r="L85" s="1030"/>
      <c r="M85" s="1030"/>
      <c r="N85" s="1030"/>
      <c r="O85" s="1030"/>
      <c r="P85" s="1030"/>
      <c r="Q85" s="1030"/>
      <c r="R85" s="1030"/>
      <c r="S85" s="1030"/>
      <c r="T85" s="1030"/>
      <c r="U85" s="1030"/>
      <c r="V85" s="1030"/>
      <c r="W85" s="1030"/>
      <c r="X85" s="1030"/>
      <c r="Y85" s="1030"/>
      <c r="Z85" s="1030"/>
    </row>
    <row r="86" spans="1:26" ht="12.75" customHeight="1" outlineLevel="1">
      <c r="A86" s="1061">
        <f t="shared" si="10"/>
        <v>71</v>
      </c>
      <c r="B86" s="1051" t="s">
        <v>3382</v>
      </c>
      <c r="C86" s="1066" t="s">
        <v>3342</v>
      </c>
      <c r="D86" s="1035" t="s">
        <v>3399</v>
      </c>
      <c r="E86" s="1035" t="s">
        <v>3393</v>
      </c>
      <c r="F86" s="1073" t="s">
        <v>3414</v>
      </c>
      <c r="G86" s="1068">
        <f t="shared" si="9"/>
        <v>100</v>
      </c>
      <c r="H86" s="1035" t="s">
        <v>4759</v>
      </c>
      <c r="I86" s="1070">
        <v>2</v>
      </c>
      <c r="J86" s="1071"/>
      <c r="K86" s="1068">
        <f t="shared" si="6"/>
        <v>200</v>
      </c>
      <c r="L86" s="1030"/>
      <c r="M86" s="1030"/>
      <c r="N86" s="1030"/>
      <c r="O86" s="1030"/>
      <c r="P86" s="1030"/>
      <c r="Q86" s="1030"/>
      <c r="R86" s="1030"/>
      <c r="S86" s="1030"/>
      <c r="T86" s="1030"/>
      <c r="U86" s="1030"/>
      <c r="V86" s="1030"/>
      <c r="W86" s="1030"/>
      <c r="X86" s="1030"/>
      <c r="Y86" s="1030"/>
      <c r="Z86" s="1030"/>
    </row>
    <row r="87" spans="1:26" ht="12.75" customHeight="1" outlineLevel="1">
      <c r="A87" s="1061">
        <f t="shared" si="10"/>
        <v>72</v>
      </c>
      <c r="B87" s="1051" t="s">
        <v>3382</v>
      </c>
      <c r="C87" s="1066" t="s">
        <v>3342</v>
      </c>
      <c r="D87" s="1035" t="s">
        <v>3387</v>
      </c>
      <c r="E87" s="1035" t="s">
        <v>3388</v>
      </c>
      <c r="F87" s="1073" t="s">
        <v>3414</v>
      </c>
      <c r="G87" s="1068">
        <f t="shared" si="9"/>
        <v>200</v>
      </c>
      <c r="H87" s="1035" t="s">
        <v>4759</v>
      </c>
      <c r="I87" s="1070">
        <v>2.5</v>
      </c>
      <c r="J87" s="1071"/>
      <c r="K87" s="1068">
        <f t="shared" si="6"/>
        <v>500</v>
      </c>
      <c r="L87" s="1030"/>
      <c r="M87" s="1030"/>
      <c r="N87" s="1030"/>
      <c r="O87" s="1030"/>
      <c r="P87" s="1030"/>
      <c r="Q87" s="1030"/>
      <c r="R87" s="1030"/>
      <c r="S87" s="1030"/>
      <c r="T87" s="1030"/>
      <c r="U87" s="1030"/>
      <c r="V87" s="1030"/>
      <c r="W87" s="1030"/>
      <c r="X87" s="1030"/>
      <c r="Y87" s="1030"/>
      <c r="Z87" s="1030"/>
    </row>
    <row r="88" spans="1:26" ht="12.75" customHeight="1" outlineLevel="1">
      <c r="A88" s="1061">
        <f t="shared" si="10"/>
        <v>73</v>
      </c>
      <c r="B88" s="1051" t="s">
        <v>3382</v>
      </c>
      <c r="C88" s="1066" t="s">
        <v>3342</v>
      </c>
      <c r="D88" s="1035" t="s">
        <v>2689</v>
      </c>
      <c r="E88" s="1035" t="s">
        <v>3388</v>
      </c>
      <c r="F88" s="1073" t="s">
        <v>3414</v>
      </c>
      <c r="G88" s="1068">
        <f t="shared" si="9"/>
        <v>200</v>
      </c>
      <c r="H88" s="1035" t="s">
        <v>4759</v>
      </c>
      <c r="I88" s="1070">
        <v>2.5</v>
      </c>
      <c r="J88" s="1071"/>
      <c r="K88" s="1068">
        <f t="shared" si="6"/>
        <v>500</v>
      </c>
      <c r="L88" s="1030"/>
      <c r="M88" s="1030"/>
      <c r="N88" s="1030"/>
      <c r="O88" s="1030"/>
      <c r="P88" s="1030"/>
      <c r="Q88" s="1030"/>
      <c r="R88" s="1030"/>
      <c r="S88" s="1030"/>
      <c r="T88" s="1030"/>
      <c r="U88" s="1030"/>
      <c r="V88" s="1030"/>
      <c r="W88" s="1030"/>
      <c r="X88" s="1030"/>
      <c r="Y88" s="1030"/>
      <c r="Z88" s="1030"/>
    </row>
    <row r="89" spans="1:26" ht="12.75" customHeight="1" outlineLevel="1">
      <c r="A89" s="1061">
        <f t="shared" si="10"/>
        <v>74</v>
      </c>
      <c r="B89" s="1051" t="s">
        <v>3382</v>
      </c>
      <c r="C89" s="1066" t="s">
        <v>3342</v>
      </c>
      <c r="D89" s="1035" t="s">
        <v>3404</v>
      </c>
      <c r="E89" s="1035" t="s">
        <v>3393</v>
      </c>
      <c r="F89" s="1073" t="s">
        <v>3414</v>
      </c>
      <c r="G89" s="1068">
        <f t="shared" si="9"/>
        <v>100</v>
      </c>
      <c r="H89" s="1035" t="s">
        <v>4759</v>
      </c>
      <c r="I89" s="1070">
        <v>0</v>
      </c>
      <c r="J89" s="1071"/>
      <c r="K89" s="1068">
        <f t="shared" si="6"/>
        <v>0</v>
      </c>
      <c r="L89" s="1030"/>
      <c r="M89" s="1030"/>
      <c r="N89" s="1030"/>
      <c r="O89" s="1030"/>
      <c r="P89" s="1030"/>
      <c r="Q89" s="1030"/>
      <c r="R89" s="1030"/>
      <c r="S89" s="1030"/>
      <c r="T89" s="1030"/>
      <c r="U89" s="1030"/>
      <c r="V89" s="1030"/>
      <c r="W89" s="1030"/>
      <c r="X89" s="1030"/>
      <c r="Y89" s="1030"/>
      <c r="Z89" s="1030"/>
    </row>
    <row r="90" spans="1:26" ht="12.75" customHeight="1" outlineLevel="1">
      <c r="A90" s="1061">
        <f t="shared" si="10"/>
        <v>75</v>
      </c>
      <c r="B90" s="1051" t="s">
        <v>3382</v>
      </c>
      <c r="C90" s="1066" t="s">
        <v>3342</v>
      </c>
      <c r="D90" s="1035" t="s">
        <v>3395</v>
      </c>
      <c r="E90" s="1035" t="s">
        <v>3388</v>
      </c>
      <c r="F90" s="1073" t="s">
        <v>3414</v>
      </c>
      <c r="G90" s="1068">
        <f t="shared" si="9"/>
        <v>200</v>
      </c>
      <c r="H90" s="1035" t="s">
        <v>4759</v>
      </c>
      <c r="I90" s="1070">
        <v>3</v>
      </c>
      <c r="J90" s="1071"/>
      <c r="K90" s="1068">
        <f t="shared" si="6"/>
        <v>600</v>
      </c>
      <c r="L90" s="1030"/>
      <c r="M90" s="1030"/>
      <c r="N90" s="1030"/>
      <c r="O90" s="1030"/>
      <c r="P90" s="1030"/>
      <c r="Q90" s="1030"/>
      <c r="R90" s="1030"/>
      <c r="S90" s="1030"/>
      <c r="T90" s="1030"/>
      <c r="U90" s="1030"/>
      <c r="V90" s="1030"/>
      <c r="W90" s="1030"/>
      <c r="X90" s="1030"/>
      <c r="Y90" s="1030"/>
      <c r="Z90" s="1030"/>
    </row>
    <row r="91" spans="1:26" ht="12.75" customHeight="1" outlineLevel="1">
      <c r="A91" s="1061">
        <f t="shared" si="10"/>
        <v>76</v>
      </c>
      <c r="B91" s="1051" t="s">
        <v>3382</v>
      </c>
      <c r="C91" s="1066" t="s">
        <v>3342</v>
      </c>
      <c r="D91" s="1035" t="s">
        <v>3398</v>
      </c>
      <c r="E91" s="1035" t="s">
        <v>3393</v>
      </c>
      <c r="F91" s="1073" t="s">
        <v>3414</v>
      </c>
      <c r="G91" s="1068">
        <f t="shared" si="9"/>
        <v>100</v>
      </c>
      <c r="H91" s="1035" t="s">
        <v>4759</v>
      </c>
      <c r="I91" s="1070">
        <v>0</v>
      </c>
      <c r="J91" s="1071"/>
      <c r="K91" s="1068">
        <f t="shared" si="6"/>
        <v>0</v>
      </c>
      <c r="L91" s="1030"/>
      <c r="M91" s="1030"/>
      <c r="N91" s="1030"/>
      <c r="O91" s="1030"/>
      <c r="P91" s="1030"/>
      <c r="Q91" s="1030"/>
      <c r="R91" s="1030"/>
      <c r="S91" s="1030"/>
      <c r="T91" s="1030"/>
      <c r="U91" s="1030"/>
      <c r="V91" s="1030"/>
      <c r="W91" s="1030"/>
      <c r="X91" s="1030"/>
      <c r="Y91" s="1030"/>
      <c r="Z91" s="1030"/>
    </row>
    <row r="92" spans="1:26" ht="12.75" customHeight="1" outlineLevel="1">
      <c r="A92" s="1061">
        <f t="shared" si="10"/>
        <v>77</v>
      </c>
      <c r="B92" s="1051" t="s">
        <v>3382</v>
      </c>
      <c r="C92" s="1066" t="s">
        <v>3342</v>
      </c>
      <c r="D92" s="1035" t="s">
        <v>3405</v>
      </c>
      <c r="E92" s="1035" t="s">
        <v>3388</v>
      </c>
      <c r="F92" s="1073" t="s">
        <v>3414</v>
      </c>
      <c r="G92" s="1068">
        <f t="shared" si="9"/>
        <v>200</v>
      </c>
      <c r="H92" s="1035" t="s">
        <v>4759</v>
      </c>
      <c r="I92" s="1070">
        <v>3</v>
      </c>
      <c r="J92" s="1071"/>
      <c r="K92" s="1068">
        <f t="shared" si="6"/>
        <v>600</v>
      </c>
      <c r="L92" s="1030"/>
      <c r="M92" s="1030"/>
      <c r="N92" s="1030"/>
      <c r="O92" s="1030"/>
      <c r="P92" s="1030"/>
      <c r="Q92" s="1030"/>
      <c r="R92" s="1030"/>
      <c r="S92" s="1030"/>
      <c r="T92" s="1030"/>
      <c r="U92" s="1030"/>
      <c r="V92" s="1030"/>
      <c r="W92" s="1030"/>
      <c r="X92" s="1030"/>
      <c r="Y92" s="1030"/>
      <c r="Z92" s="1030"/>
    </row>
    <row r="93" spans="1:26" ht="12.75" customHeight="1" outlineLevel="1">
      <c r="A93" s="1061">
        <f t="shared" si="10"/>
        <v>78</v>
      </c>
      <c r="B93" s="1051" t="s">
        <v>3382</v>
      </c>
      <c r="C93" s="1066" t="s">
        <v>3342</v>
      </c>
      <c r="D93" s="1035" t="s">
        <v>3401</v>
      </c>
      <c r="E93" s="1035" t="s">
        <v>3393</v>
      </c>
      <c r="F93" s="1073" t="s">
        <v>3414</v>
      </c>
      <c r="G93" s="1068">
        <f t="shared" si="9"/>
        <v>100</v>
      </c>
      <c r="H93" s="1035" t="s">
        <v>4759</v>
      </c>
      <c r="I93" s="1070">
        <v>0</v>
      </c>
      <c r="J93" s="1071"/>
      <c r="K93" s="1068">
        <f t="shared" si="6"/>
        <v>0</v>
      </c>
      <c r="L93" s="1030"/>
      <c r="M93" s="1030"/>
      <c r="N93" s="1030"/>
      <c r="O93" s="1030"/>
      <c r="P93" s="1030"/>
      <c r="Q93" s="1030"/>
      <c r="R93" s="1030"/>
      <c r="S93" s="1030"/>
      <c r="T93" s="1030"/>
      <c r="U93" s="1030"/>
      <c r="V93" s="1030"/>
      <c r="W93" s="1030"/>
      <c r="X93" s="1030"/>
      <c r="Y93" s="1030"/>
      <c r="Z93" s="1030"/>
    </row>
    <row r="94" spans="1:26" ht="12.75" customHeight="1" outlineLevel="1">
      <c r="A94" s="1061">
        <f t="shared" si="10"/>
        <v>79</v>
      </c>
      <c r="B94" s="1051" t="s">
        <v>3382</v>
      </c>
      <c r="C94" s="1066" t="s">
        <v>3342</v>
      </c>
      <c r="D94" s="1035" t="s">
        <v>3400</v>
      </c>
      <c r="E94" s="1035" t="s">
        <v>3393</v>
      </c>
      <c r="F94" s="1073" t="s">
        <v>3414</v>
      </c>
      <c r="G94" s="1075">
        <v>100</v>
      </c>
      <c r="H94" s="1035" t="s">
        <v>4759</v>
      </c>
      <c r="I94" s="1070">
        <v>2.5</v>
      </c>
      <c r="J94" s="1071"/>
      <c r="K94" s="1068">
        <f t="shared" si="6"/>
        <v>250</v>
      </c>
      <c r="L94" s="1030"/>
      <c r="M94" s="1040"/>
      <c r="N94" s="1030"/>
      <c r="O94" s="1039"/>
      <c r="P94" s="1039"/>
      <c r="Q94" s="1039"/>
      <c r="R94" s="1039"/>
      <c r="S94" s="1039"/>
      <c r="T94" s="1039"/>
      <c r="U94" s="1039"/>
      <c r="V94" s="1039"/>
      <c r="W94" s="1039"/>
      <c r="X94" s="1039"/>
      <c r="Y94" s="1039"/>
      <c r="Z94" s="1039"/>
    </row>
    <row r="95" spans="1:26" ht="12.75" customHeight="1" outlineLevel="1">
      <c r="A95" s="1061">
        <f t="shared" si="10"/>
        <v>80</v>
      </c>
      <c r="B95" s="1051" t="s">
        <v>3382</v>
      </c>
      <c r="C95" s="1066" t="s">
        <v>3342</v>
      </c>
      <c r="D95" s="1035" t="s">
        <v>2802</v>
      </c>
      <c r="E95" s="1035" t="s">
        <v>3388</v>
      </c>
      <c r="F95" s="1073" t="s">
        <v>3414</v>
      </c>
      <c r="G95" s="1068">
        <f t="shared" ref="G95:G98" si="11">IF(E95="MT",800,IF(E95="ET",600,IF(E95="ST",400,IF(E95="T",300,IF(E95="HTS",200,IF(E95="STS",150,IF(E95="TS",100,))))))+IF(E95="MTcod",600,IF(E95="ETcod",450,IF(E95="STcod",350,IF(E95="Tcod",250,)))+IF(E95="MTCoach",800,IF(E95="ETCoach",600,IF(E95="STCoach",400,IF(E95="TCoach",300,))))))</f>
        <v>200</v>
      </c>
      <c r="H95" s="1035" t="s">
        <v>4759</v>
      </c>
      <c r="I95" s="1070">
        <v>3</v>
      </c>
      <c r="J95" s="1071"/>
      <c r="K95" s="1068">
        <f t="shared" si="6"/>
        <v>600</v>
      </c>
      <c r="L95" s="1030"/>
      <c r="M95" s="1030"/>
      <c r="N95" s="1030"/>
      <c r="O95" s="1030"/>
      <c r="P95" s="1030"/>
      <c r="Q95" s="1030"/>
      <c r="R95" s="1030"/>
      <c r="S95" s="1030"/>
      <c r="T95" s="1030"/>
      <c r="U95" s="1030"/>
      <c r="V95" s="1030"/>
      <c r="W95" s="1030"/>
      <c r="X95" s="1030"/>
      <c r="Y95" s="1030"/>
      <c r="Z95" s="1030"/>
    </row>
    <row r="96" spans="1:26" ht="12.75" customHeight="1" outlineLevel="1">
      <c r="A96" s="1061">
        <f t="shared" si="10"/>
        <v>81</v>
      </c>
      <c r="B96" s="1051" t="s">
        <v>3382</v>
      </c>
      <c r="C96" s="1066" t="s">
        <v>3342</v>
      </c>
      <c r="D96" s="1035" t="s">
        <v>3407</v>
      </c>
      <c r="E96" s="1035" t="s">
        <v>3393</v>
      </c>
      <c r="F96" s="1073" t="s">
        <v>3414</v>
      </c>
      <c r="G96" s="1068">
        <f t="shared" si="11"/>
        <v>100</v>
      </c>
      <c r="H96" s="1035" t="s">
        <v>4759</v>
      </c>
      <c r="I96" s="1070">
        <v>0</v>
      </c>
      <c r="J96" s="1071"/>
      <c r="K96" s="1068">
        <f t="shared" si="6"/>
        <v>0</v>
      </c>
      <c r="L96" s="1030"/>
      <c r="M96" s="1030"/>
      <c r="N96" s="1030"/>
      <c r="O96" s="1030"/>
      <c r="P96" s="1030"/>
      <c r="Q96" s="1030"/>
      <c r="R96" s="1030"/>
      <c r="S96" s="1030"/>
      <c r="T96" s="1030"/>
      <c r="U96" s="1030"/>
      <c r="V96" s="1030"/>
      <c r="W96" s="1030"/>
      <c r="X96" s="1030"/>
      <c r="Y96" s="1030"/>
      <c r="Z96" s="1030"/>
    </row>
    <row r="97" spans="1:26" ht="12.75" customHeight="1" outlineLevel="1">
      <c r="A97" s="1061">
        <f t="shared" si="10"/>
        <v>82</v>
      </c>
      <c r="B97" s="1051" t="s">
        <v>3382</v>
      </c>
      <c r="C97" s="1066" t="s">
        <v>3342</v>
      </c>
      <c r="D97" s="1035" t="s">
        <v>4757</v>
      </c>
      <c r="E97" s="1035" t="s">
        <v>3393</v>
      </c>
      <c r="F97" s="1073" t="s">
        <v>3414</v>
      </c>
      <c r="G97" s="1068">
        <f t="shared" si="11"/>
        <v>100</v>
      </c>
      <c r="H97" s="1035" t="s">
        <v>4759</v>
      </c>
      <c r="I97" s="1070">
        <v>0</v>
      </c>
      <c r="J97" s="1071"/>
      <c r="K97" s="1068">
        <f t="shared" si="6"/>
        <v>0</v>
      </c>
      <c r="L97" s="1030"/>
      <c r="M97" s="1030"/>
      <c r="N97" s="1030"/>
      <c r="O97" s="1030"/>
      <c r="P97" s="1030"/>
      <c r="Q97" s="1030"/>
      <c r="R97" s="1030"/>
      <c r="S97" s="1030"/>
      <c r="T97" s="1030"/>
      <c r="U97" s="1030"/>
      <c r="V97" s="1030"/>
      <c r="W97" s="1030"/>
      <c r="X97" s="1030"/>
      <c r="Y97" s="1030"/>
      <c r="Z97" s="1030"/>
    </row>
    <row r="98" spans="1:26" ht="12.75" customHeight="1" outlineLevel="1">
      <c r="A98" s="1061">
        <f t="shared" si="10"/>
        <v>83</v>
      </c>
      <c r="B98" s="1051" t="s">
        <v>3382</v>
      </c>
      <c r="C98" s="1066" t="s">
        <v>3342</v>
      </c>
      <c r="D98" s="1074" t="s">
        <v>3145</v>
      </c>
      <c r="E98" s="1035" t="s">
        <v>3383</v>
      </c>
      <c r="F98" s="1073" t="s">
        <v>3564</v>
      </c>
      <c r="G98" s="1068">
        <f t="shared" si="11"/>
        <v>600</v>
      </c>
      <c r="H98" s="1035" t="s">
        <v>4759</v>
      </c>
      <c r="I98" s="1070">
        <v>3</v>
      </c>
      <c r="J98" s="1071"/>
      <c r="K98" s="1068">
        <f t="shared" si="6"/>
        <v>1800</v>
      </c>
      <c r="L98" s="1030"/>
      <c r="M98" s="1040"/>
      <c r="N98" s="1030"/>
      <c r="O98" s="1039"/>
      <c r="P98" s="1039"/>
      <c r="Q98" s="1039"/>
      <c r="R98" s="1039"/>
      <c r="S98" s="1039"/>
      <c r="T98" s="1039"/>
      <c r="U98" s="1039"/>
      <c r="V98" s="1039"/>
      <c r="W98" s="1039"/>
      <c r="X98" s="1039"/>
      <c r="Y98" s="1039"/>
      <c r="Z98" s="1039"/>
    </row>
    <row r="99" spans="1:26" ht="12.75" customHeight="1" outlineLevel="1">
      <c r="A99" s="1061">
        <f t="shared" si="10"/>
        <v>84</v>
      </c>
      <c r="B99" s="1051" t="s">
        <v>3382</v>
      </c>
      <c r="C99" s="1066" t="s">
        <v>3342</v>
      </c>
      <c r="D99" s="1035" t="s">
        <v>3346</v>
      </c>
      <c r="E99" s="1035" t="s">
        <v>3393</v>
      </c>
      <c r="F99" s="1073" t="s">
        <v>3564</v>
      </c>
      <c r="G99" s="1075">
        <v>100</v>
      </c>
      <c r="H99" s="1035" t="s">
        <v>4759</v>
      </c>
      <c r="I99" s="1070">
        <v>0</v>
      </c>
      <c r="J99" s="1071"/>
      <c r="K99" s="1068">
        <f t="shared" si="6"/>
        <v>0</v>
      </c>
      <c r="L99" s="1030"/>
      <c r="M99" s="1040"/>
      <c r="N99" s="1030"/>
      <c r="O99" s="1039"/>
      <c r="P99" s="1039"/>
      <c r="Q99" s="1039"/>
      <c r="R99" s="1039"/>
      <c r="S99" s="1039"/>
      <c r="T99" s="1039"/>
      <c r="U99" s="1039"/>
      <c r="V99" s="1039"/>
      <c r="W99" s="1039"/>
      <c r="X99" s="1039"/>
      <c r="Y99" s="1039"/>
      <c r="Z99" s="1039"/>
    </row>
    <row r="100" spans="1:26" ht="12.75" customHeight="1" outlineLevel="1">
      <c r="A100" s="1061">
        <f t="shared" si="10"/>
        <v>85</v>
      </c>
      <c r="B100" s="1051" t="s">
        <v>3382</v>
      </c>
      <c r="C100" s="1066" t="s">
        <v>3342</v>
      </c>
      <c r="D100" s="1035" t="s">
        <v>998</v>
      </c>
      <c r="E100" s="1035" t="s">
        <v>3388</v>
      </c>
      <c r="F100" s="1073" t="s">
        <v>3564</v>
      </c>
      <c r="G100" s="1068">
        <f t="shared" ref="G100:G121" si="12">IF(E100="MT",800,IF(E100="ET",600,IF(E100="ST",400,IF(E100="T",300,IF(E100="HTS",200,IF(E100="STS",150,IF(E100="TS",100,))))))+IF(E100="MTcod",600,IF(E100="ETcod",450,IF(E100="STcod",350,IF(E100="Tcod",250,)))+IF(E100="MTCoach",800,IF(E100="ETCoach",600,IF(E100="STCoach",400,IF(E100="TCoach",300,))))))</f>
        <v>200</v>
      </c>
      <c r="H100" s="1035" t="s">
        <v>4759</v>
      </c>
      <c r="I100" s="1070">
        <v>3.5</v>
      </c>
      <c r="J100" s="1071"/>
      <c r="K100" s="1068">
        <f t="shared" si="6"/>
        <v>700</v>
      </c>
      <c r="L100" s="1030"/>
      <c r="M100" s="1040"/>
      <c r="N100" s="1030"/>
      <c r="O100" s="1039"/>
      <c r="P100" s="1039"/>
      <c r="Q100" s="1039"/>
      <c r="R100" s="1039"/>
      <c r="S100" s="1039"/>
      <c r="T100" s="1039"/>
      <c r="U100" s="1039"/>
      <c r="V100" s="1039"/>
      <c r="W100" s="1039"/>
      <c r="X100" s="1039"/>
      <c r="Y100" s="1039"/>
      <c r="Z100" s="1039"/>
    </row>
    <row r="101" spans="1:26" ht="12.75" customHeight="1" outlineLevel="1">
      <c r="A101" s="1061">
        <f t="shared" si="10"/>
        <v>86</v>
      </c>
      <c r="B101" s="1051" t="s">
        <v>3382</v>
      </c>
      <c r="C101" s="1066" t="s">
        <v>3342</v>
      </c>
      <c r="D101" s="1035" t="s">
        <v>3356</v>
      </c>
      <c r="E101" s="1035" t="s">
        <v>3383</v>
      </c>
      <c r="F101" s="1073" t="s">
        <v>3564</v>
      </c>
      <c r="G101" s="1068">
        <f t="shared" si="12"/>
        <v>600</v>
      </c>
      <c r="H101" s="1035" t="s">
        <v>4759</v>
      </c>
      <c r="I101" s="1070">
        <v>3</v>
      </c>
      <c r="J101" s="1071"/>
      <c r="K101" s="1068">
        <f t="shared" si="6"/>
        <v>1800</v>
      </c>
      <c r="L101" s="1030"/>
      <c r="M101" s="1040"/>
      <c r="N101" s="1030"/>
      <c r="O101" s="1039"/>
      <c r="P101" s="1039"/>
      <c r="Q101" s="1039"/>
      <c r="R101" s="1039"/>
      <c r="S101" s="1039"/>
      <c r="T101" s="1039"/>
      <c r="U101" s="1039"/>
      <c r="V101" s="1039"/>
      <c r="W101" s="1039"/>
      <c r="X101" s="1039"/>
      <c r="Y101" s="1039"/>
      <c r="Z101" s="1039"/>
    </row>
    <row r="102" spans="1:26" ht="12.75" customHeight="1" outlineLevel="1">
      <c r="A102" s="1061">
        <f t="shared" si="10"/>
        <v>87</v>
      </c>
      <c r="B102" s="1051" t="s">
        <v>3382</v>
      </c>
      <c r="C102" s="1066" t="s">
        <v>3342</v>
      </c>
      <c r="D102" s="1035" t="s">
        <v>3357</v>
      </c>
      <c r="E102" s="1035" t="s">
        <v>3409</v>
      </c>
      <c r="F102" s="1073" t="s">
        <v>3564</v>
      </c>
      <c r="G102" s="1068">
        <f t="shared" si="12"/>
        <v>150</v>
      </c>
      <c r="H102" s="1035" t="s">
        <v>4759</v>
      </c>
      <c r="I102" s="1070">
        <v>0</v>
      </c>
      <c r="J102" s="1071"/>
      <c r="K102" s="1068">
        <f t="shared" si="6"/>
        <v>0</v>
      </c>
      <c r="L102" s="1030"/>
      <c r="M102" s="1040"/>
      <c r="N102" s="1030"/>
      <c r="O102" s="1039"/>
      <c r="P102" s="1039"/>
      <c r="Q102" s="1039"/>
      <c r="R102" s="1039"/>
      <c r="S102" s="1039"/>
      <c r="T102" s="1039"/>
      <c r="U102" s="1039"/>
      <c r="V102" s="1039"/>
      <c r="W102" s="1039"/>
      <c r="X102" s="1039"/>
      <c r="Y102" s="1039"/>
      <c r="Z102" s="1039"/>
    </row>
    <row r="103" spans="1:26" ht="12.75" customHeight="1" outlineLevel="1">
      <c r="A103" s="1061">
        <f t="shared" si="10"/>
        <v>88</v>
      </c>
      <c r="B103" s="1051" t="s">
        <v>3382</v>
      </c>
      <c r="C103" s="1066" t="s">
        <v>3342</v>
      </c>
      <c r="D103" s="1035" t="s">
        <v>1077</v>
      </c>
      <c r="E103" s="1035" t="s">
        <v>3388</v>
      </c>
      <c r="F103" s="1073" t="s">
        <v>3564</v>
      </c>
      <c r="G103" s="1068">
        <f t="shared" si="12"/>
        <v>200</v>
      </c>
      <c r="H103" s="1035" t="s">
        <v>4759</v>
      </c>
      <c r="I103" s="1070">
        <v>3</v>
      </c>
      <c r="J103" s="1071"/>
      <c r="K103" s="1068">
        <f t="shared" si="6"/>
        <v>600</v>
      </c>
      <c r="L103" s="1030"/>
      <c r="M103" s="1040"/>
      <c r="N103" s="1030"/>
      <c r="O103" s="1039"/>
      <c r="P103" s="1039"/>
      <c r="Q103" s="1039"/>
      <c r="R103" s="1039"/>
      <c r="S103" s="1039"/>
      <c r="T103" s="1039"/>
      <c r="U103" s="1039"/>
      <c r="V103" s="1039"/>
      <c r="W103" s="1039"/>
      <c r="X103" s="1039"/>
      <c r="Y103" s="1039"/>
      <c r="Z103" s="1039"/>
    </row>
    <row r="104" spans="1:26" ht="12.75" customHeight="1" outlineLevel="1">
      <c r="A104" s="1061">
        <f t="shared" si="10"/>
        <v>89</v>
      </c>
      <c r="B104" s="1051" t="s">
        <v>3382</v>
      </c>
      <c r="C104" s="1066" t="s">
        <v>3342</v>
      </c>
      <c r="D104" s="1035" t="s">
        <v>976</v>
      </c>
      <c r="E104" s="1035" t="s">
        <v>3388</v>
      </c>
      <c r="F104" s="1073" t="s">
        <v>3564</v>
      </c>
      <c r="G104" s="1068">
        <f t="shared" si="12"/>
        <v>200</v>
      </c>
      <c r="H104" s="1035" t="s">
        <v>4759</v>
      </c>
      <c r="I104" s="1070">
        <v>3</v>
      </c>
      <c r="J104" s="1071"/>
      <c r="K104" s="1068">
        <f t="shared" si="6"/>
        <v>600</v>
      </c>
      <c r="L104" s="1030"/>
      <c r="M104" s="1040"/>
      <c r="N104" s="1030"/>
      <c r="O104" s="1039"/>
      <c r="P104" s="1039"/>
      <c r="Q104" s="1039"/>
      <c r="R104" s="1039"/>
      <c r="S104" s="1039"/>
      <c r="T104" s="1039"/>
      <c r="U104" s="1039"/>
      <c r="V104" s="1039"/>
      <c r="W104" s="1039"/>
      <c r="X104" s="1039"/>
      <c r="Y104" s="1039"/>
      <c r="Z104" s="1039"/>
    </row>
    <row r="105" spans="1:26" ht="12.75" customHeight="1" outlineLevel="1">
      <c r="A105" s="1061">
        <f t="shared" si="10"/>
        <v>90</v>
      </c>
      <c r="B105" s="1051" t="s">
        <v>3382</v>
      </c>
      <c r="C105" s="1066" t="s">
        <v>3342</v>
      </c>
      <c r="D105" s="1035" t="s">
        <v>1388</v>
      </c>
      <c r="E105" s="1035" t="s">
        <v>3388</v>
      </c>
      <c r="F105" s="1073" t="s">
        <v>3564</v>
      </c>
      <c r="G105" s="1068">
        <f t="shared" si="12"/>
        <v>200</v>
      </c>
      <c r="H105" s="1035" t="s">
        <v>4759</v>
      </c>
      <c r="I105" s="1070">
        <v>3.5</v>
      </c>
      <c r="J105" s="1071"/>
      <c r="K105" s="1068">
        <f t="shared" si="6"/>
        <v>700</v>
      </c>
      <c r="L105" s="1030"/>
      <c r="M105" s="1040"/>
      <c r="N105" s="1030"/>
      <c r="O105" s="1039"/>
      <c r="P105" s="1039"/>
      <c r="Q105" s="1039"/>
      <c r="R105" s="1039"/>
      <c r="S105" s="1039"/>
      <c r="T105" s="1039"/>
      <c r="U105" s="1039"/>
      <c r="V105" s="1039"/>
      <c r="W105" s="1039"/>
      <c r="X105" s="1039"/>
      <c r="Y105" s="1039"/>
      <c r="Z105" s="1039"/>
    </row>
    <row r="106" spans="1:26" ht="12.75" customHeight="1" outlineLevel="1">
      <c r="A106" s="1061">
        <f t="shared" si="10"/>
        <v>91</v>
      </c>
      <c r="B106" s="1051" t="s">
        <v>3382</v>
      </c>
      <c r="C106" s="1066" t="s">
        <v>3342</v>
      </c>
      <c r="D106" s="1035" t="s">
        <v>2642</v>
      </c>
      <c r="E106" s="1035" t="s">
        <v>3388</v>
      </c>
      <c r="F106" s="1073" t="s">
        <v>3564</v>
      </c>
      <c r="G106" s="1068">
        <f t="shared" si="12"/>
        <v>200</v>
      </c>
      <c r="H106" s="1035" t="s">
        <v>4759</v>
      </c>
      <c r="I106" s="1070">
        <v>3.5</v>
      </c>
      <c r="J106" s="1071"/>
      <c r="K106" s="1068">
        <f t="shared" si="6"/>
        <v>700</v>
      </c>
      <c r="L106" s="1030"/>
      <c r="M106" s="1040"/>
      <c r="N106" s="1030"/>
      <c r="O106" s="1039"/>
      <c r="P106" s="1039"/>
      <c r="Q106" s="1039"/>
      <c r="R106" s="1039"/>
      <c r="S106" s="1039"/>
      <c r="T106" s="1039"/>
      <c r="U106" s="1039"/>
      <c r="V106" s="1039"/>
      <c r="W106" s="1039"/>
      <c r="X106" s="1039"/>
      <c r="Y106" s="1039"/>
      <c r="Z106" s="1039"/>
    </row>
    <row r="107" spans="1:26" ht="12.75" customHeight="1" outlineLevel="1">
      <c r="A107" s="1061">
        <f t="shared" si="10"/>
        <v>92</v>
      </c>
      <c r="B107" s="1051" t="s">
        <v>3382</v>
      </c>
      <c r="C107" s="1066" t="s">
        <v>3342</v>
      </c>
      <c r="D107" s="1035" t="s">
        <v>3366</v>
      </c>
      <c r="E107" s="1035" t="s">
        <v>3388</v>
      </c>
      <c r="F107" s="1073" t="s">
        <v>3564</v>
      </c>
      <c r="G107" s="1068">
        <f t="shared" si="12"/>
        <v>200</v>
      </c>
      <c r="H107" s="1035" t="s">
        <v>4759</v>
      </c>
      <c r="I107" s="1070">
        <v>4</v>
      </c>
      <c r="J107" s="1071"/>
      <c r="K107" s="1068">
        <f t="shared" si="6"/>
        <v>800</v>
      </c>
      <c r="L107" s="1030"/>
      <c r="M107" s="1040"/>
      <c r="N107" s="1030"/>
      <c r="O107" s="1039"/>
      <c r="P107" s="1039"/>
      <c r="Q107" s="1039"/>
      <c r="R107" s="1039"/>
      <c r="S107" s="1039"/>
      <c r="T107" s="1039"/>
      <c r="U107" s="1039"/>
      <c r="V107" s="1039"/>
      <c r="W107" s="1039"/>
      <c r="X107" s="1039"/>
      <c r="Y107" s="1039"/>
      <c r="Z107" s="1039"/>
    </row>
    <row r="108" spans="1:26" ht="12.75" customHeight="1" outlineLevel="1">
      <c r="A108" s="1061">
        <f t="shared" si="10"/>
        <v>93</v>
      </c>
      <c r="B108" s="1051" t="s">
        <v>3382</v>
      </c>
      <c r="C108" s="1066" t="s">
        <v>3342</v>
      </c>
      <c r="D108" s="1035" t="s">
        <v>3370</v>
      </c>
      <c r="E108" s="1035" t="s">
        <v>3388</v>
      </c>
      <c r="F108" s="1073" t="s">
        <v>3564</v>
      </c>
      <c r="G108" s="1068">
        <f t="shared" si="12"/>
        <v>200</v>
      </c>
      <c r="H108" s="1035" t="s">
        <v>4759</v>
      </c>
      <c r="I108" s="1070">
        <v>0</v>
      </c>
      <c r="J108" s="1071"/>
      <c r="K108" s="1068">
        <f t="shared" si="6"/>
        <v>0</v>
      </c>
      <c r="L108" s="1030"/>
      <c r="M108" s="1040"/>
      <c r="N108" s="1030"/>
      <c r="O108" s="1039"/>
      <c r="P108" s="1039"/>
      <c r="Q108" s="1039"/>
      <c r="R108" s="1039"/>
      <c r="S108" s="1039"/>
      <c r="T108" s="1039"/>
      <c r="U108" s="1039"/>
      <c r="V108" s="1039"/>
      <c r="W108" s="1039"/>
      <c r="X108" s="1039"/>
      <c r="Y108" s="1039"/>
      <c r="Z108" s="1039"/>
    </row>
    <row r="109" spans="1:26" ht="12.75" customHeight="1" outlineLevel="1">
      <c r="A109" s="1061">
        <f t="shared" si="10"/>
        <v>94</v>
      </c>
      <c r="B109" s="1051" t="s">
        <v>3382</v>
      </c>
      <c r="C109" s="1066" t="s">
        <v>3342</v>
      </c>
      <c r="D109" s="1035" t="s">
        <v>2940</v>
      </c>
      <c r="E109" s="1035" t="s">
        <v>3388</v>
      </c>
      <c r="F109" s="1073" t="s">
        <v>3564</v>
      </c>
      <c r="G109" s="1068">
        <f t="shared" si="12"/>
        <v>200</v>
      </c>
      <c r="H109" s="1035" t="s">
        <v>4759</v>
      </c>
      <c r="I109" s="1070">
        <v>0</v>
      </c>
      <c r="J109" s="1071"/>
      <c r="K109" s="1068">
        <f t="shared" si="6"/>
        <v>0</v>
      </c>
      <c r="L109" s="1030"/>
      <c r="M109" s="1040"/>
      <c r="N109" s="1030"/>
      <c r="O109" s="1039"/>
      <c r="P109" s="1039"/>
      <c r="Q109" s="1039"/>
      <c r="R109" s="1039"/>
      <c r="S109" s="1039"/>
      <c r="T109" s="1039"/>
      <c r="U109" s="1039"/>
      <c r="V109" s="1039"/>
      <c r="W109" s="1039"/>
      <c r="X109" s="1039"/>
      <c r="Y109" s="1039"/>
      <c r="Z109" s="1039"/>
    </row>
    <row r="110" spans="1:26" ht="12.75" customHeight="1" outlineLevel="1">
      <c r="A110" s="1061">
        <f t="shared" si="10"/>
        <v>95</v>
      </c>
      <c r="B110" s="1051" t="s">
        <v>3382</v>
      </c>
      <c r="C110" s="1066" t="s">
        <v>3342</v>
      </c>
      <c r="D110" s="1035" t="s">
        <v>3372</v>
      </c>
      <c r="E110" s="1035" t="s">
        <v>3388</v>
      </c>
      <c r="F110" s="1073" t="s">
        <v>3564</v>
      </c>
      <c r="G110" s="1068">
        <f t="shared" si="12"/>
        <v>200</v>
      </c>
      <c r="H110" s="1035" t="s">
        <v>4759</v>
      </c>
      <c r="I110" s="1070">
        <v>0</v>
      </c>
      <c r="J110" s="1071"/>
      <c r="K110" s="1068">
        <f t="shared" si="6"/>
        <v>0</v>
      </c>
      <c r="L110" s="1030"/>
      <c r="M110" s="1040"/>
      <c r="N110" s="1030"/>
      <c r="O110" s="1039"/>
      <c r="P110" s="1039"/>
      <c r="Q110" s="1039"/>
      <c r="R110" s="1039"/>
      <c r="S110" s="1039"/>
      <c r="T110" s="1039"/>
      <c r="U110" s="1039"/>
      <c r="V110" s="1039"/>
      <c r="W110" s="1039"/>
      <c r="X110" s="1039"/>
      <c r="Y110" s="1039"/>
      <c r="Z110" s="1039"/>
    </row>
    <row r="111" spans="1:26" ht="12.75" customHeight="1" outlineLevel="1">
      <c r="A111" s="1061">
        <f t="shared" si="10"/>
        <v>96</v>
      </c>
      <c r="B111" s="1051" t="s">
        <v>3382</v>
      </c>
      <c r="C111" s="1066" t="s">
        <v>3342</v>
      </c>
      <c r="D111" s="1035" t="s">
        <v>2667</v>
      </c>
      <c r="E111" s="1035" t="s">
        <v>3388</v>
      </c>
      <c r="F111" s="1073" t="s">
        <v>3564</v>
      </c>
      <c r="G111" s="1068">
        <f t="shared" si="12"/>
        <v>200</v>
      </c>
      <c r="H111" s="1035" t="s">
        <v>4759</v>
      </c>
      <c r="I111" s="1070">
        <v>3.5</v>
      </c>
      <c r="J111" s="1071"/>
      <c r="K111" s="1068">
        <f t="shared" si="6"/>
        <v>700</v>
      </c>
      <c r="L111" s="1030"/>
      <c r="M111" s="1040"/>
      <c r="N111" s="1030"/>
      <c r="O111" s="1039"/>
      <c r="P111" s="1039"/>
      <c r="Q111" s="1039"/>
      <c r="R111" s="1039"/>
      <c r="S111" s="1039"/>
      <c r="T111" s="1039"/>
      <c r="U111" s="1039"/>
      <c r="V111" s="1039"/>
      <c r="W111" s="1039"/>
      <c r="X111" s="1039"/>
      <c r="Y111" s="1039"/>
      <c r="Z111" s="1039"/>
    </row>
    <row r="112" spans="1:26" ht="12.75" customHeight="1" outlineLevel="1">
      <c r="A112" s="1061">
        <f t="shared" si="10"/>
        <v>97</v>
      </c>
      <c r="B112" s="1051" t="s">
        <v>3382</v>
      </c>
      <c r="C112" s="1066" t="s">
        <v>3342</v>
      </c>
      <c r="D112" s="1035" t="s">
        <v>3391</v>
      </c>
      <c r="E112" s="1035" t="s">
        <v>3409</v>
      </c>
      <c r="F112" s="1073" t="s">
        <v>3564</v>
      </c>
      <c r="G112" s="1068">
        <f t="shared" si="12"/>
        <v>150</v>
      </c>
      <c r="H112" s="1035" t="s">
        <v>4759</v>
      </c>
      <c r="I112" s="1070">
        <v>0</v>
      </c>
      <c r="J112" s="1071"/>
      <c r="K112" s="1068">
        <f t="shared" si="6"/>
        <v>0</v>
      </c>
      <c r="L112" s="1030"/>
      <c r="M112" s="1040"/>
      <c r="N112" s="1030"/>
      <c r="O112" s="1039"/>
      <c r="P112" s="1039"/>
      <c r="Q112" s="1039"/>
      <c r="R112" s="1039"/>
      <c r="S112" s="1039"/>
      <c r="T112" s="1039"/>
      <c r="U112" s="1039"/>
      <c r="V112" s="1039"/>
      <c r="W112" s="1039"/>
      <c r="X112" s="1039"/>
      <c r="Y112" s="1039"/>
      <c r="Z112" s="1039"/>
    </row>
    <row r="113" spans="1:26" ht="12.75" customHeight="1" outlineLevel="1">
      <c r="A113" s="1061">
        <f t="shared" si="10"/>
        <v>98</v>
      </c>
      <c r="B113" s="1051" t="s">
        <v>3382</v>
      </c>
      <c r="C113" s="1066" t="s">
        <v>3342</v>
      </c>
      <c r="D113" s="1035" t="s">
        <v>3396</v>
      </c>
      <c r="E113" s="1035" t="s">
        <v>3409</v>
      </c>
      <c r="F113" s="1073" t="s">
        <v>3564</v>
      </c>
      <c r="G113" s="1068">
        <f t="shared" si="12"/>
        <v>150</v>
      </c>
      <c r="H113" s="1035" t="s">
        <v>4759</v>
      </c>
      <c r="I113" s="1070">
        <v>4</v>
      </c>
      <c r="J113" s="1071"/>
      <c r="K113" s="1068">
        <f t="shared" si="6"/>
        <v>600</v>
      </c>
      <c r="L113" s="1030"/>
      <c r="M113" s="1040"/>
      <c r="N113" s="1030"/>
      <c r="O113" s="1039"/>
      <c r="P113" s="1039"/>
      <c r="Q113" s="1039"/>
      <c r="R113" s="1039"/>
      <c r="S113" s="1039"/>
      <c r="T113" s="1039"/>
      <c r="U113" s="1039"/>
      <c r="V113" s="1039"/>
      <c r="W113" s="1039"/>
      <c r="X113" s="1039"/>
      <c r="Y113" s="1039"/>
      <c r="Z113" s="1039"/>
    </row>
    <row r="114" spans="1:26" ht="12.75" customHeight="1" outlineLevel="1">
      <c r="A114" s="1061">
        <f t="shared" si="10"/>
        <v>99</v>
      </c>
      <c r="B114" s="1051" t="s">
        <v>3382</v>
      </c>
      <c r="C114" s="1066" t="s">
        <v>3342</v>
      </c>
      <c r="D114" s="1035" t="s">
        <v>3399</v>
      </c>
      <c r="E114" s="1035" t="s">
        <v>3393</v>
      </c>
      <c r="F114" s="1073" t="s">
        <v>3564</v>
      </c>
      <c r="G114" s="1068">
        <f t="shared" si="12"/>
        <v>100</v>
      </c>
      <c r="H114" s="1035" t="s">
        <v>4759</v>
      </c>
      <c r="I114" s="1070">
        <v>4</v>
      </c>
      <c r="J114" s="1071"/>
      <c r="K114" s="1068">
        <f t="shared" si="6"/>
        <v>400</v>
      </c>
      <c r="L114" s="1030"/>
      <c r="M114" s="1040"/>
      <c r="N114" s="1030"/>
      <c r="O114" s="1039"/>
      <c r="P114" s="1039"/>
      <c r="Q114" s="1039"/>
      <c r="R114" s="1039"/>
      <c r="S114" s="1039"/>
      <c r="T114" s="1039"/>
      <c r="U114" s="1039"/>
      <c r="V114" s="1039"/>
      <c r="W114" s="1039"/>
      <c r="X114" s="1039"/>
      <c r="Y114" s="1039"/>
      <c r="Z114" s="1039"/>
    </row>
    <row r="115" spans="1:26" ht="12.75" customHeight="1" outlineLevel="1">
      <c r="A115" s="1061">
        <f t="shared" si="10"/>
        <v>100</v>
      </c>
      <c r="B115" s="1051" t="s">
        <v>3382</v>
      </c>
      <c r="C115" s="1066" t="s">
        <v>3342</v>
      </c>
      <c r="D115" s="1035" t="s">
        <v>3387</v>
      </c>
      <c r="E115" s="1035" t="s">
        <v>3388</v>
      </c>
      <c r="F115" s="1073" t="s">
        <v>3564</v>
      </c>
      <c r="G115" s="1068">
        <f t="shared" si="12"/>
        <v>200</v>
      </c>
      <c r="H115" s="1035" t="s">
        <v>4759</v>
      </c>
      <c r="I115" s="1070">
        <v>0</v>
      </c>
      <c r="J115" s="1071"/>
      <c r="K115" s="1068">
        <f t="shared" si="6"/>
        <v>0</v>
      </c>
      <c r="L115" s="1030"/>
      <c r="M115" s="1040"/>
      <c r="N115" s="1030"/>
      <c r="O115" s="1039"/>
      <c r="P115" s="1039"/>
      <c r="Q115" s="1039"/>
      <c r="R115" s="1039"/>
      <c r="S115" s="1039"/>
      <c r="T115" s="1039"/>
      <c r="U115" s="1039"/>
      <c r="V115" s="1039"/>
      <c r="W115" s="1039"/>
      <c r="X115" s="1039"/>
      <c r="Y115" s="1039"/>
      <c r="Z115" s="1039"/>
    </row>
    <row r="116" spans="1:26" ht="12.75" customHeight="1" outlineLevel="1">
      <c r="A116" s="1061">
        <f t="shared" si="10"/>
        <v>101</v>
      </c>
      <c r="B116" s="1051" t="s">
        <v>3382</v>
      </c>
      <c r="C116" s="1066" t="s">
        <v>3342</v>
      </c>
      <c r="D116" s="1035" t="s">
        <v>2689</v>
      </c>
      <c r="E116" s="1035" t="s">
        <v>3388</v>
      </c>
      <c r="F116" s="1073" t="s">
        <v>3564</v>
      </c>
      <c r="G116" s="1068">
        <f t="shared" si="12"/>
        <v>200</v>
      </c>
      <c r="H116" s="1035" t="s">
        <v>4759</v>
      </c>
      <c r="I116" s="1070">
        <v>0</v>
      </c>
      <c r="J116" s="1071"/>
      <c r="K116" s="1068">
        <f t="shared" si="6"/>
        <v>0</v>
      </c>
      <c r="L116" s="1030"/>
      <c r="M116" s="1040"/>
      <c r="N116" s="1030"/>
      <c r="O116" s="1039"/>
      <c r="P116" s="1039"/>
      <c r="Q116" s="1039"/>
      <c r="R116" s="1039"/>
      <c r="S116" s="1039"/>
      <c r="T116" s="1039"/>
      <c r="U116" s="1039"/>
      <c r="V116" s="1039"/>
      <c r="W116" s="1039"/>
      <c r="X116" s="1039"/>
      <c r="Y116" s="1039"/>
      <c r="Z116" s="1039"/>
    </row>
    <row r="117" spans="1:26" ht="12.75" customHeight="1" outlineLevel="1">
      <c r="A117" s="1061">
        <f t="shared" si="10"/>
        <v>102</v>
      </c>
      <c r="B117" s="1051" t="s">
        <v>3382</v>
      </c>
      <c r="C117" s="1066" t="s">
        <v>3342</v>
      </c>
      <c r="D117" s="1035" t="s">
        <v>3404</v>
      </c>
      <c r="E117" s="1035" t="s">
        <v>3393</v>
      </c>
      <c r="F117" s="1073" t="s">
        <v>3564</v>
      </c>
      <c r="G117" s="1068">
        <f t="shared" si="12"/>
        <v>100</v>
      </c>
      <c r="H117" s="1035" t="s">
        <v>4759</v>
      </c>
      <c r="I117" s="1070">
        <v>0</v>
      </c>
      <c r="J117" s="1071"/>
      <c r="K117" s="1068">
        <f t="shared" si="6"/>
        <v>0</v>
      </c>
      <c r="L117" s="1030"/>
      <c r="M117" s="1040"/>
      <c r="N117" s="1030"/>
      <c r="O117" s="1039"/>
      <c r="P117" s="1039"/>
      <c r="Q117" s="1039"/>
      <c r="R117" s="1039"/>
      <c r="S117" s="1039"/>
      <c r="T117" s="1039"/>
      <c r="U117" s="1039"/>
      <c r="V117" s="1039"/>
      <c r="W117" s="1039"/>
      <c r="X117" s="1039"/>
      <c r="Y117" s="1039"/>
      <c r="Z117" s="1039"/>
    </row>
    <row r="118" spans="1:26" ht="12.75" customHeight="1" outlineLevel="1">
      <c r="A118" s="1061">
        <f t="shared" si="10"/>
        <v>103</v>
      </c>
      <c r="B118" s="1051" t="s">
        <v>3382</v>
      </c>
      <c r="C118" s="1066" t="s">
        <v>3342</v>
      </c>
      <c r="D118" s="1035" t="s">
        <v>3395</v>
      </c>
      <c r="E118" s="1035" t="s">
        <v>3388</v>
      </c>
      <c r="F118" s="1073" t="s">
        <v>3564</v>
      </c>
      <c r="G118" s="1068">
        <f t="shared" si="12"/>
        <v>200</v>
      </c>
      <c r="H118" s="1035" t="s">
        <v>4759</v>
      </c>
      <c r="I118" s="1070">
        <v>3</v>
      </c>
      <c r="J118" s="1071"/>
      <c r="K118" s="1068">
        <f t="shared" si="6"/>
        <v>600</v>
      </c>
      <c r="L118" s="1030"/>
      <c r="M118" s="1040"/>
      <c r="N118" s="1030"/>
      <c r="O118" s="1039"/>
      <c r="P118" s="1039"/>
      <c r="Q118" s="1039"/>
      <c r="R118" s="1039"/>
      <c r="S118" s="1039"/>
      <c r="T118" s="1039"/>
      <c r="U118" s="1039"/>
      <c r="V118" s="1039"/>
      <c r="W118" s="1039"/>
      <c r="X118" s="1039"/>
      <c r="Y118" s="1039"/>
      <c r="Z118" s="1039"/>
    </row>
    <row r="119" spans="1:26" ht="12.75" customHeight="1" outlineLevel="1">
      <c r="A119" s="1061">
        <f t="shared" si="10"/>
        <v>104</v>
      </c>
      <c r="B119" s="1051" t="s">
        <v>3382</v>
      </c>
      <c r="C119" s="1066" t="s">
        <v>3342</v>
      </c>
      <c r="D119" s="1035" t="s">
        <v>3398</v>
      </c>
      <c r="E119" s="1035" t="s">
        <v>3393</v>
      </c>
      <c r="F119" s="1073" t="s">
        <v>3564</v>
      </c>
      <c r="G119" s="1068">
        <f t="shared" si="12"/>
        <v>100</v>
      </c>
      <c r="H119" s="1035" t="s">
        <v>4759</v>
      </c>
      <c r="I119" s="1070">
        <v>0</v>
      </c>
      <c r="J119" s="1071"/>
      <c r="K119" s="1068">
        <f t="shared" si="6"/>
        <v>0</v>
      </c>
      <c r="L119" s="1030"/>
      <c r="M119" s="1040"/>
      <c r="N119" s="1030"/>
      <c r="O119" s="1039"/>
      <c r="P119" s="1039"/>
      <c r="Q119" s="1039"/>
      <c r="R119" s="1039"/>
      <c r="S119" s="1039"/>
      <c r="T119" s="1039"/>
      <c r="U119" s="1039"/>
      <c r="V119" s="1039"/>
      <c r="W119" s="1039"/>
      <c r="X119" s="1039"/>
      <c r="Y119" s="1039"/>
      <c r="Z119" s="1039"/>
    </row>
    <row r="120" spans="1:26" ht="12.75" customHeight="1" outlineLevel="1">
      <c r="A120" s="1061">
        <f t="shared" si="10"/>
        <v>105</v>
      </c>
      <c r="B120" s="1051" t="s">
        <v>3382</v>
      </c>
      <c r="C120" s="1066" t="s">
        <v>3342</v>
      </c>
      <c r="D120" s="1035" t="s">
        <v>3405</v>
      </c>
      <c r="E120" s="1035" t="s">
        <v>3388</v>
      </c>
      <c r="F120" s="1073" t="s">
        <v>3564</v>
      </c>
      <c r="G120" s="1068">
        <f t="shared" si="12"/>
        <v>200</v>
      </c>
      <c r="H120" s="1035" t="s">
        <v>4759</v>
      </c>
      <c r="I120" s="1070">
        <v>4</v>
      </c>
      <c r="J120" s="1071"/>
      <c r="K120" s="1068">
        <f t="shared" si="6"/>
        <v>800</v>
      </c>
      <c r="L120" s="1030"/>
      <c r="M120" s="1040"/>
      <c r="N120" s="1030"/>
      <c r="O120" s="1039"/>
      <c r="P120" s="1039"/>
      <c r="Q120" s="1039"/>
      <c r="R120" s="1039"/>
      <c r="S120" s="1039"/>
      <c r="T120" s="1039"/>
      <c r="U120" s="1039"/>
      <c r="V120" s="1039"/>
      <c r="W120" s="1039"/>
      <c r="X120" s="1039"/>
      <c r="Y120" s="1039"/>
      <c r="Z120" s="1039"/>
    </row>
    <row r="121" spans="1:26" ht="12.75" customHeight="1" outlineLevel="1">
      <c r="A121" s="1061">
        <f t="shared" si="10"/>
        <v>106</v>
      </c>
      <c r="B121" s="1051" t="s">
        <v>3382</v>
      </c>
      <c r="C121" s="1066" t="s">
        <v>3342</v>
      </c>
      <c r="D121" s="1035" t="s">
        <v>3401</v>
      </c>
      <c r="E121" s="1035" t="s">
        <v>3393</v>
      </c>
      <c r="F121" s="1073" t="s">
        <v>3564</v>
      </c>
      <c r="G121" s="1068">
        <f t="shared" si="12"/>
        <v>100</v>
      </c>
      <c r="H121" s="1035" t="s">
        <v>4759</v>
      </c>
      <c r="I121" s="1070">
        <v>0</v>
      </c>
      <c r="J121" s="1071"/>
      <c r="K121" s="1068">
        <f t="shared" si="6"/>
        <v>0</v>
      </c>
      <c r="L121" s="1030"/>
      <c r="M121" s="1040"/>
      <c r="N121" s="1030"/>
      <c r="O121" s="1039"/>
      <c r="P121" s="1039"/>
      <c r="Q121" s="1039"/>
      <c r="R121" s="1039"/>
      <c r="S121" s="1039"/>
      <c r="T121" s="1039"/>
      <c r="U121" s="1039"/>
      <c r="V121" s="1039"/>
      <c r="W121" s="1039"/>
      <c r="X121" s="1039"/>
      <c r="Y121" s="1039"/>
      <c r="Z121" s="1039"/>
    </row>
    <row r="122" spans="1:26" ht="12.75" customHeight="1" outlineLevel="1">
      <c r="A122" s="1061">
        <f t="shared" si="10"/>
        <v>107</v>
      </c>
      <c r="B122" s="1051" t="s">
        <v>3382</v>
      </c>
      <c r="C122" s="1066" t="s">
        <v>3342</v>
      </c>
      <c r="D122" s="1035" t="s">
        <v>3400</v>
      </c>
      <c r="E122" s="1035" t="s">
        <v>3393</v>
      </c>
      <c r="F122" s="1073" t="s">
        <v>3564</v>
      </c>
      <c r="G122" s="1075">
        <v>100</v>
      </c>
      <c r="H122" s="1035" t="s">
        <v>4759</v>
      </c>
      <c r="I122" s="1070">
        <v>0</v>
      </c>
      <c r="J122" s="1071"/>
      <c r="K122" s="1068">
        <f t="shared" si="6"/>
        <v>0</v>
      </c>
      <c r="L122" s="1030"/>
      <c r="M122" s="1040"/>
      <c r="N122" s="1030"/>
      <c r="O122" s="1039"/>
      <c r="P122" s="1039"/>
      <c r="Q122" s="1039"/>
      <c r="R122" s="1039"/>
      <c r="S122" s="1039"/>
      <c r="T122" s="1039"/>
      <c r="U122" s="1039"/>
      <c r="V122" s="1039"/>
      <c r="W122" s="1039"/>
      <c r="X122" s="1039"/>
      <c r="Y122" s="1039"/>
      <c r="Z122" s="1039"/>
    </row>
    <row r="123" spans="1:26" ht="12.75" customHeight="1" outlineLevel="1">
      <c r="A123" s="1061">
        <f t="shared" si="10"/>
        <v>108</v>
      </c>
      <c r="B123" s="1051" t="s">
        <v>3382</v>
      </c>
      <c r="C123" s="1066" t="s">
        <v>3342</v>
      </c>
      <c r="D123" s="1035" t="s">
        <v>2802</v>
      </c>
      <c r="E123" s="1035" t="s">
        <v>3388</v>
      </c>
      <c r="F123" s="1073" t="s">
        <v>3564</v>
      </c>
      <c r="G123" s="1068">
        <f t="shared" ref="G123:G125" si="13">IF(E123="MT",800,IF(E123="ET",600,IF(E123="ST",400,IF(E123="T",300,IF(E123="HTS",200,IF(E123="STS",150,IF(E123="TS",100,))))))+IF(E123="MTcod",600,IF(E123="ETcod",450,IF(E123="STcod",350,IF(E123="Tcod",250,)))+IF(E123="MTCoach",800,IF(E123="ETCoach",600,IF(E123="STCoach",400,IF(E123="TCoach",300,))))))</f>
        <v>200</v>
      </c>
      <c r="H123" s="1035" t="s">
        <v>4759</v>
      </c>
      <c r="I123" s="1070">
        <v>4</v>
      </c>
      <c r="J123" s="1071"/>
      <c r="K123" s="1068">
        <f t="shared" si="6"/>
        <v>800</v>
      </c>
      <c r="L123" s="1030"/>
      <c r="M123" s="1030"/>
      <c r="N123" s="1030"/>
      <c r="O123" s="1039"/>
      <c r="P123" s="1039"/>
      <c r="Q123" s="1039"/>
      <c r="R123" s="1039"/>
      <c r="S123" s="1039"/>
      <c r="T123" s="1039"/>
      <c r="U123" s="1039"/>
      <c r="V123" s="1039"/>
      <c r="W123" s="1039"/>
      <c r="X123" s="1039"/>
      <c r="Y123" s="1039"/>
      <c r="Z123" s="1039"/>
    </row>
    <row r="124" spans="1:26" ht="12.75" customHeight="1" outlineLevel="1">
      <c r="A124" s="1061">
        <f t="shared" si="10"/>
        <v>109</v>
      </c>
      <c r="B124" s="1051" t="s">
        <v>3382</v>
      </c>
      <c r="C124" s="1066" t="s">
        <v>3342</v>
      </c>
      <c r="D124" s="1035" t="s">
        <v>3407</v>
      </c>
      <c r="E124" s="1035" t="s">
        <v>3393</v>
      </c>
      <c r="F124" s="1073" t="s">
        <v>3564</v>
      </c>
      <c r="G124" s="1068">
        <f t="shared" si="13"/>
        <v>100</v>
      </c>
      <c r="H124" s="1035" t="s">
        <v>4759</v>
      </c>
      <c r="I124" s="1070">
        <v>0</v>
      </c>
      <c r="J124" s="1071"/>
      <c r="K124" s="1068">
        <f t="shared" si="6"/>
        <v>0</v>
      </c>
      <c r="L124" s="1030"/>
      <c r="M124" s="1030"/>
      <c r="N124" s="1030"/>
      <c r="O124" s="1030"/>
      <c r="P124" s="1030"/>
      <c r="Q124" s="1030"/>
      <c r="R124" s="1030"/>
      <c r="S124" s="1030"/>
      <c r="T124" s="1030"/>
      <c r="U124" s="1030"/>
      <c r="V124" s="1030"/>
      <c r="W124" s="1030"/>
      <c r="X124" s="1030"/>
      <c r="Y124" s="1030"/>
      <c r="Z124" s="1030"/>
    </row>
    <row r="125" spans="1:26" ht="12.75" customHeight="1" outlineLevel="1">
      <c r="A125" s="1061">
        <f t="shared" si="10"/>
        <v>110</v>
      </c>
      <c r="B125" s="1051" t="s">
        <v>3382</v>
      </c>
      <c r="C125" s="1066" t="s">
        <v>3342</v>
      </c>
      <c r="D125" s="1035" t="s">
        <v>4757</v>
      </c>
      <c r="E125" s="1035" t="s">
        <v>3393</v>
      </c>
      <c r="F125" s="1073" t="s">
        <v>3564</v>
      </c>
      <c r="G125" s="1068">
        <f t="shared" si="13"/>
        <v>100</v>
      </c>
      <c r="H125" s="1035" t="s">
        <v>4759</v>
      </c>
      <c r="I125" s="1070">
        <v>0</v>
      </c>
      <c r="J125" s="1071"/>
      <c r="K125" s="1068">
        <f t="shared" si="6"/>
        <v>0</v>
      </c>
      <c r="L125" s="1030"/>
      <c r="M125" s="1040"/>
      <c r="N125" s="1030"/>
      <c r="O125" s="1039"/>
      <c r="P125" s="1039"/>
      <c r="Q125" s="1039"/>
      <c r="R125" s="1039"/>
      <c r="S125" s="1039"/>
      <c r="T125" s="1039"/>
      <c r="U125" s="1039"/>
      <c r="V125" s="1039"/>
      <c r="W125" s="1039"/>
      <c r="X125" s="1039"/>
      <c r="Y125" s="1039"/>
      <c r="Z125" s="1039"/>
    </row>
    <row r="126" spans="1:26" ht="12.75" customHeight="1">
      <c r="A126" s="1039"/>
      <c r="B126" s="1039"/>
      <c r="C126" s="1039"/>
      <c r="D126" s="1088" t="s">
        <v>3416</v>
      </c>
      <c r="E126" s="1089"/>
      <c r="F126" s="1089"/>
      <c r="G126" s="1089"/>
      <c r="H126" s="1090"/>
      <c r="I126" s="1089"/>
      <c r="J126" s="1089"/>
      <c r="K126" s="1091">
        <f>SUM(K15:K125)</f>
        <v>46725</v>
      </c>
      <c r="L126" s="1039"/>
      <c r="M126" s="1030"/>
      <c r="N126" s="1030"/>
      <c r="O126" s="1030"/>
      <c r="P126" s="1030"/>
      <c r="Q126" s="1030"/>
      <c r="R126" s="1030"/>
      <c r="S126" s="1030"/>
      <c r="T126" s="1030"/>
      <c r="U126" s="1030"/>
      <c r="V126" s="1030"/>
      <c r="W126" s="1030"/>
      <c r="X126" s="1030"/>
      <c r="Y126" s="1030"/>
      <c r="Z126" s="1030"/>
    </row>
    <row r="127" spans="1:26" ht="12.75" customHeight="1">
      <c r="A127" s="1039"/>
      <c r="B127" s="1039"/>
      <c r="C127" s="1039"/>
      <c r="D127" s="1092"/>
      <c r="E127" s="1092"/>
      <c r="F127" s="1092"/>
      <c r="G127" s="1092"/>
      <c r="H127" s="1093"/>
      <c r="I127" s="1092"/>
      <c r="J127" s="1092"/>
      <c r="K127" s="1094"/>
      <c r="L127" s="1039"/>
      <c r="M127" s="1030"/>
      <c r="N127" s="1030"/>
      <c r="O127" s="1030"/>
      <c r="P127" s="1030"/>
      <c r="Q127" s="1030"/>
      <c r="R127" s="1030"/>
      <c r="S127" s="1030"/>
      <c r="T127" s="1030"/>
      <c r="U127" s="1030"/>
      <c r="V127" s="1030"/>
      <c r="W127" s="1030"/>
      <c r="X127" s="1030"/>
      <c r="Y127" s="1030"/>
      <c r="Z127" s="1030"/>
    </row>
    <row r="128" spans="1:26" ht="12.75" customHeight="1">
      <c r="A128" s="1061"/>
      <c r="B128" s="1030"/>
      <c r="C128" s="1030"/>
      <c r="D128" s="1095" t="s">
        <v>3417</v>
      </c>
      <c r="E128" s="1031"/>
      <c r="F128" s="1031"/>
      <c r="G128" s="1031"/>
      <c r="H128" s="1031"/>
      <c r="I128" s="1032"/>
      <c r="J128" s="1031"/>
      <c r="K128" s="1033"/>
      <c r="L128" s="1030"/>
      <c r="M128" s="1030"/>
      <c r="N128" s="1030"/>
      <c r="O128" s="1030"/>
      <c r="P128" s="1030"/>
      <c r="Q128" s="1030"/>
      <c r="R128" s="1030"/>
      <c r="S128" s="1030"/>
      <c r="T128" s="1030"/>
      <c r="U128" s="1030"/>
      <c r="V128" s="1030"/>
      <c r="W128" s="1030"/>
      <c r="X128" s="1030"/>
      <c r="Y128" s="1030"/>
      <c r="Z128" s="1030"/>
    </row>
    <row r="129" spans="1:26" ht="12.75" customHeight="1">
      <c r="A129" s="1061"/>
      <c r="B129" s="1062" t="s">
        <v>3373</v>
      </c>
      <c r="C129" s="1063" t="s">
        <v>3374</v>
      </c>
      <c r="D129" s="1064" t="s">
        <v>3418</v>
      </c>
      <c r="E129" s="1096" t="s">
        <v>3419</v>
      </c>
      <c r="F129" s="1064" t="s">
        <v>3377</v>
      </c>
      <c r="G129" s="1064"/>
      <c r="H129" s="1064"/>
      <c r="I129" s="1064" t="s">
        <v>3420</v>
      </c>
      <c r="J129" s="1064" t="s">
        <v>3420</v>
      </c>
      <c r="K129" s="1097" t="s">
        <v>3421</v>
      </c>
      <c r="L129" s="1030"/>
      <c r="M129" s="1030"/>
      <c r="N129" s="1030"/>
      <c r="O129" s="1030"/>
      <c r="P129" s="1030"/>
      <c r="Q129" s="1030"/>
      <c r="R129" s="1030"/>
      <c r="S129" s="1030"/>
      <c r="T129" s="1030"/>
      <c r="U129" s="1030"/>
      <c r="V129" s="1030"/>
      <c r="W129" s="1030"/>
      <c r="X129" s="1030"/>
      <c r="Y129" s="1030"/>
      <c r="Z129" s="1030"/>
    </row>
    <row r="130" spans="1:26" ht="12.75" customHeight="1">
      <c r="A130" s="1061"/>
      <c r="B130" s="1051" t="s">
        <v>3419</v>
      </c>
      <c r="C130" s="1066" t="s">
        <v>3342</v>
      </c>
      <c r="D130" s="1099" t="s">
        <v>122</v>
      </c>
      <c r="E130" s="1035"/>
      <c r="F130" s="1100"/>
      <c r="G130" s="1100"/>
      <c r="H130" s="1100"/>
      <c r="I130" s="1035"/>
      <c r="J130" s="1035"/>
      <c r="K130" s="1101">
        <f>(2160+2160)</f>
        <v>4320</v>
      </c>
      <c r="L130" s="1030"/>
      <c r="M130" s="1030"/>
      <c r="N130" s="1030"/>
      <c r="O130" s="1030"/>
      <c r="P130" s="1030"/>
      <c r="Q130" s="1030"/>
      <c r="R130" s="1030"/>
      <c r="S130" s="1030"/>
      <c r="T130" s="1030"/>
      <c r="U130" s="1030"/>
      <c r="V130" s="1030"/>
      <c r="W130" s="1030"/>
      <c r="X130" s="1030"/>
      <c r="Y130" s="1030"/>
      <c r="Z130" s="1030"/>
    </row>
    <row r="131" spans="1:26" ht="12.75" customHeight="1">
      <c r="A131" s="1061"/>
      <c r="B131" s="1104"/>
      <c r="C131" s="1105"/>
      <c r="D131" s="1106"/>
      <c r="E131" s="1106"/>
      <c r="F131" s="1106"/>
      <c r="G131" s="1106"/>
      <c r="H131" s="1107"/>
      <c r="I131" s="1106"/>
      <c r="J131" s="1106"/>
      <c r="K131" s="1108"/>
      <c r="L131" s="1030"/>
      <c r="M131" s="1030"/>
      <c r="N131" s="1030"/>
      <c r="O131" s="1030"/>
      <c r="P131" s="1030"/>
      <c r="Q131" s="1030"/>
      <c r="R131" s="1030"/>
      <c r="S131" s="1030"/>
      <c r="T131" s="1030"/>
      <c r="U131" s="1030"/>
      <c r="V131" s="1030"/>
      <c r="W131" s="1030"/>
      <c r="X131" s="1030"/>
      <c r="Y131" s="1030"/>
      <c r="Z131" s="1030"/>
    </row>
    <row r="132" spans="1:26" ht="27.75" customHeight="1">
      <c r="A132" s="1061"/>
      <c r="B132" s="1062" t="s">
        <v>3373</v>
      </c>
      <c r="C132" s="1063" t="s">
        <v>3374</v>
      </c>
      <c r="D132" s="1064" t="s">
        <v>3418</v>
      </c>
      <c r="E132" s="1109" t="s">
        <v>3339</v>
      </c>
      <c r="F132" s="1110" t="s">
        <v>3423</v>
      </c>
      <c r="G132" s="1109" t="s">
        <v>3424</v>
      </c>
      <c r="H132" s="1109" t="s">
        <v>24</v>
      </c>
      <c r="I132" s="1109" t="s">
        <v>3425</v>
      </c>
      <c r="J132" s="1111" t="s">
        <v>3426</v>
      </c>
      <c r="K132" s="1045" t="s">
        <v>3381</v>
      </c>
      <c r="L132" s="1030"/>
      <c r="M132" s="1030"/>
      <c r="N132" s="1030"/>
      <c r="O132" s="1030"/>
      <c r="P132" s="1030"/>
      <c r="Q132" s="1030"/>
      <c r="R132" s="1030"/>
      <c r="S132" s="1030"/>
      <c r="T132" s="1030"/>
      <c r="U132" s="1030"/>
      <c r="V132" s="1030"/>
      <c r="W132" s="1030"/>
      <c r="X132" s="1030"/>
      <c r="Y132" s="1030"/>
      <c r="Z132" s="1030"/>
    </row>
    <row r="133" spans="1:26" ht="12.75" customHeight="1">
      <c r="A133" s="1061">
        <v>1</v>
      </c>
      <c r="B133" s="1051" t="s">
        <v>3428</v>
      </c>
      <c r="C133" s="1066" t="s">
        <v>3342</v>
      </c>
      <c r="D133" s="1099" t="s">
        <v>122</v>
      </c>
      <c r="E133" s="1152"/>
      <c r="F133" s="1073" t="s">
        <v>3384</v>
      </c>
      <c r="G133" s="1035" t="s">
        <v>3460</v>
      </c>
      <c r="H133" s="1138"/>
      <c r="I133" s="1138">
        <v>100</v>
      </c>
      <c r="J133" s="1467">
        <v>0.3</v>
      </c>
      <c r="K133" s="1118">
        <f t="shared" ref="K133:K135" si="14">I133*J133</f>
        <v>30</v>
      </c>
      <c r="L133" s="1102" t="s">
        <v>3422</v>
      </c>
      <c r="M133" s="1030"/>
      <c r="N133" s="1030"/>
      <c r="O133" s="1030"/>
      <c r="P133" s="1030"/>
      <c r="Q133" s="1030"/>
      <c r="R133" s="1030"/>
      <c r="S133" s="1030"/>
      <c r="T133" s="1030"/>
      <c r="U133" s="1030"/>
      <c r="V133" s="1030"/>
      <c r="W133" s="1030"/>
      <c r="X133" s="1030"/>
      <c r="Y133" s="1030"/>
      <c r="Z133" s="1030"/>
    </row>
    <row r="134" spans="1:26" ht="12.75" customHeight="1">
      <c r="A134" s="1061">
        <f t="shared" ref="A134:A263" si="15">A133+1</f>
        <v>2</v>
      </c>
      <c r="B134" s="1051" t="s">
        <v>3428</v>
      </c>
      <c r="C134" s="1066" t="s">
        <v>3342</v>
      </c>
      <c r="D134" s="1099" t="s">
        <v>122</v>
      </c>
      <c r="E134" s="1152"/>
      <c r="F134" s="1073" t="s">
        <v>3384</v>
      </c>
      <c r="G134" s="1035" t="s">
        <v>4761</v>
      </c>
      <c r="H134" s="1138"/>
      <c r="I134" s="1138">
        <f>166*2</f>
        <v>332</v>
      </c>
      <c r="J134" s="1467">
        <v>0.3</v>
      </c>
      <c r="K134" s="1118">
        <f t="shared" si="14"/>
        <v>99.6</v>
      </c>
      <c r="L134" s="1134" t="s">
        <v>3427</v>
      </c>
      <c r="M134" s="1030"/>
      <c r="N134" s="1030"/>
      <c r="O134" s="1030"/>
      <c r="P134" s="1030"/>
      <c r="Q134" s="1030"/>
      <c r="R134" s="1030"/>
      <c r="S134" s="1030"/>
      <c r="T134" s="1030"/>
      <c r="U134" s="1030"/>
      <c r="V134" s="1030"/>
      <c r="W134" s="1030"/>
      <c r="X134" s="1030"/>
      <c r="Y134" s="1030"/>
      <c r="Z134" s="1030"/>
    </row>
    <row r="135" spans="1:26" ht="12.75" customHeight="1">
      <c r="A135" s="1061">
        <f t="shared" si="15"/>
        <v>3</v>
      </c>
      <c r="B135" s="1051" t="s">
        <v>3428</v>
      </c>
      <c r="C135" s="1066" t="s">
        <v>3342</v>
      </c>
      <c r="D135" s="1099" t="s">
        <v>122</v>
      </c>
      <c r="E135" s="1152"/>
      <c r="F135" s="1073" t="s">
        <v>3384</v>
      </c>
      <c r="G135" s="1035" t="s">
        <v>4762</v>
      </c>
      <c r="H135" s="1138"/>
      <c r="I135" s="1138">
        <f>92*2</f>
        <v>184</v>
      </c>
      <c r="J135" s="1467">
        <v>0.3</v>
      </c>
      <c r="K135" s="1118">
        <f t="shared" si="14"/>
        <v>55.199999999999996</v>
      </c>
      <c r="L135" s="1134" t="s">
        <v>3430</v>
      </c>
      <c r="M135" s="1030"/>
      <c r="N135" s="1030"/>
      <c r="O135" s="1030"/>
      <c r="P135" s="1030"/>
      <c r="Q135" s="1030"/>
      <c r="R135" s="1030"/>
      <c r="S135" s="1030"/>
      <c r="T135" s="1030"/>
      <c r="U135" s="1030"/>
      <c r="V135" s="1030"/>
      <c r="W135" s="1030"/>
      <c r="X135" s="1030"/>
      <c r="Y135" s="1030"/>
      <c r="Z135" s="1030"/>
    </row>
    <row r="136" spans="1:26" ht="12.75" customHeight="1">
      <c r="A136" s="1061">
        <f t="shared" si="15"/>
        <v>4</v>
      </c>
      <c r="B136" s="1051" t="s">
        <v>3428</v>
      </c>
      <c r="C136" s="1066" t="s">
        <v>3342</v>
      </c>
      <c r="D136" s="1099" t="s">
        <v>122</v>
      </c>
      <c r="E136" s="1153"/>
      <c r="F136" s="1073" t="s">
        <v>3384</v>
      </c>
      <c r="G136" s="1035" t="s">
        <v>4763</v>
      </c>
      <c r="H136" s="1138"/>
      <c r="I136" s="1138"/>
      <c r="J136" s="1467"/>
      <c r="K136" s="1118">
        <v>0</v>
      </c>
      <c r="L136" s="1134" t="s">
        <v>3432</v>
      </c>
      <c r="M136" s="1030"/>
      <c r="N136" s="1030"/>
      <c r="O136" s="1030"/>
      <c r="P136" s="1030"/>
      <c r="Q136" s="1030"/>
      <c r="R136" s="1030"/>
      <c r="S136" s="1030"/>
      <c r="T136" s="1030"/>
      <c r="U136" s="1030"/>
      <c r="V136" s="1030"/>
      <c r="W136" s="1030"/>
      <c r="X136" s="1030"/>
      <c r="Y136" s="1030"/>
      <c r="Z136" s="1030"/>
    </row>
    <row r="137" spans="1:26" ht="12.75" customHeight="1">
      <c r="A137" s="1061">
        <f t="shared" si="15"/>
        <v>5</v>
      </c>
      <c r="B137" s="1051" t="s">
        <v>3428</v>
      </c>
      <c r="C137" s="1066" t="s">
        <v>3342</v>
      </c>
      <c r="D137" s="1099" t="s">
        <v>122</v>
      </c>
      <c r="E137" s="1153"/>
      <c r="F137" s="1073" t="s">
        <v>3384</v>
      </c>
      <c r="G137" s="1035" t="s">
        <v>4764</v>
      </c>
      <c r="H137" s="1138"/>
      <c r="I137" s="1138">
        <v>120</v>
      </c>
      <c r="J137" s="1467">
        <v>0.3</v>
      </c>
      <c r="K137" s="1118">
        <f t="shared" ref="K137:K142" si="16">I137*J137</f>
        <v>36</v>
      </c>
      <c r="L137" s="1134" t="s">
        <v>3434</v>
      </c>
      <c r="M137" s="1030"/>
      <c r="N137" s="1030"/>
      <c r="O137" s="1030"/>
      <c r="P137" s="1030"/>
      <c r="Q137" s="1030"/>
      <c r="R137" s="1030"/>
      <c r="S137" s="1030"/>
      <c r="T137" s="1030"/>
      <c r="U137" s="1030"/>
      <c r="V137" s="1030"/>
      <c r="W137" s="1030"/>
      <c r="X137" s="1030"/>
      <c r="Y137" s="1030"/>
      <c r="Z137" s="1030"/>
    </row>
    <row r="138" spans="1:26" ht="12.75" customHeight="1">
      <c r="A138" s="1061">
        <f t="shared" si="15"/>
        <v>6</v>
      </c>
      <c r="B138" s="1051" t="s">
        <v>3428</v>
      </c>
      <c r="C138" s="1066" t="s">
        <v>3342</v>
      </c>
      <c r="D138" s="1099" t="s">
        <v>122</v>
      </c>
      <c r="E138" s="1152"/>
      <c r="F138" s="1073" t="s">
        <v>3384</v>
      </c>
      <c r="G138" s="1035" t="s">
        <v>4765</v>
      </c>
      <c r="H138" s="1138"/>
      <c r="I138" s="1138">
        <v>364</v>
      </c>
      <c r="J138" s="1467">
        <v>0.3</v>
      </c>
      <c r="K138" s="1118">
        <f t="shared" si="16"/>
        <v>109.2</v>
      </c>
      <c r="L138" s="1134"/>
      <c r="M138" s="1030"/>
      <c r="N138" s="1030"/>
      <c r="O138" s="1030"/>
      <c r="P138" s="1030"/>
      <c r="Q138" s="1030"/>
      <c r="R138" s="1030"/>
      <c r="S138" s="1030"/>
      <c r="T138" s="1030"/>
      <c r="U138" s="1030"/>
      <c r="V138" s="1030"/>
      <c r="W138" s="1030"/>
      <c r="X138" s="1030"/>
      <c r="Y138" s="1030"/>
      <c r="Z138" s="1030"/>
    </row>
    <row r="139" spans="1:26" ht="12.75" customHeight="1">
      <c r="A139" s="1061">
        <f t="shared" si="15"/>
        <v>7</v>
      </c>
      <c r="B139" s="1051" t="s">
        <v>3428</v>
      </c>
      <c r="C139" s="1066" t="s">
        <v>3342</v>
      </c>
      <c r="D139" s="1099" t="s">
        <v>122</v>
      </c>
      <c r="E139" s="1152"/>
      <c r="F139" s="1073" t="s">
        <v>3384</v>
      </c>
      <c r="G139" s="1035" t="s">
        <v>4766</v>
      </c>
      <c r="H139" s="1138"/>
      <c r="I139" s="1138">
        <v>308</v>
      </c>
      <c r="J139" s="1467">
        <v>0.3</v>
      </c>
      <c r="K139" s="1118">
        <f t="shared" si="16"/>
        <v>92.399999999999991</v>
      </c>
      <c r="L139" s="1134"/>
      <c r="M139" s="1030"/>
      <c r="N139" s="1030"/>
      <c r="O139" s="1030"/>
      <c r="P139" s="1030"/>
      <c r="Q139" s="1030"/>
      <c r="R139" s="1030"/>
      <c r="S139" s="1030"/>
      <c r="T139" s="1030"/>
      <c r="U139" s="1030"/>
      <c r="V139" s="1030"/>
      <c r="W139" s="1030"/>
      <c r="X139" s="1030"/>
      <c r="Y139" s="1030"/>
      <c r="Z139" s="1030"/>
    </row>
    <row r="140" spans="1:26" ht="12.75" customHeight="1">
      <c r="A140" s="1061">
        <f t="shared" si="15"/>
        <v>8</v>
      </c>
      <c r="B140" s="1051" t="s">
        <v>3428</v>
      </c>
      <c r="C140" s="1066" t="s">
        <v>3342</v>
      </c>
      <c r="D140" s="1099" t="s">
        <v>122</v>
      </c>
      <c r="E140" s="1152"/>
      <c r="F140" s="1073" t="s">
        <v>3384</v>
      </c>
      <c r="G140" s="1035" t="s">
        <v>4767</v>
      </c>
      <c r="H140" s="1138"/>
      <c r="I140" s="1138">
        <v>626</v>
      </c>
      <c r="J140" s="1467">
        <v>0.3</v>
      </c>
      <c r="K140" s="1118">
        <f t="shared" si="16"/>
        <v>187.79999999999998</v>
      </c>
      <c r="L140" s="1134"/>
      <c r="M140" s="1030"/>
      <c r="N140" s="1030"/>
      <c r="O140" s="1030"/>
      <c r="P140" s="1030"/>
      <c r="Q140" s="1030"/>
      <c r="R140" s="1030"/>
      <c r="S140" s="1030"/>
      <c r="T140" s="1030"/>
      <c r="U140" s="1030"/>
      <c r="V140" s="1030"/>
      <c r="W140" s="1030"/>
      <c r="X140" s="1030"/>
      <c r="Y140" s="1030"/>
      <c r="Z140" s="1030"/>
    </row>
    <row r="141" spans="1:26" ht="12.75" customHeight="1">
      <c r="A141" s="1061">
        <f t="shared" si="15"/>
        <v>9</v>
      </c>
      <c r="B141" s="1051" t="s">
        <v>3428</v>
      </c>
      <c r="C141" s="1066" t="s">
        <v>3342</v>
      </c>
      <c r="D141" s="1099" t="s">
        <v>122</v>
      </c>
      <c r="E141" s="1152"/>
      <c r="F141" s="1073" t="s">
        <v>3384</v>
      </c>
      <c r="G141" s="1035" t="s">
        <v>4768</v>
      </c>
      <c r="H141" s="1138"/>
      <c r="I141" s="1138">
        <v>249</v>
      </c>
      <c r="J141" s="1467">
        <v>0.3</v>
      </c>
      <c r="K141" s="1118">
        <f t="shared" si="16"/>
        <v>74.7</v>
      </c>
      <c r="L141" s="1134"/>
      <c r="M141" s="1030"/>
      <c r="N141" s="1030"/>
      <c r="O141" s="1030"/>
      <c r="P141" s="1030"/>
      <c r="Q141" s="1030"/>
      <c r="R141" s="1030"/>
      <c r="S141" s="1030"/>
      <c r="T141" s="1030"/>
      <c r="U141" s="1030"/>
      <c r="V141" s="1030"/>
      <c r="W141" s="1030"/>
      <c r="X141" s="1030"/>
      <c r="Y141" s="1030"/>
      <c r="Z141" s="1030"/>
    </row>
    <row r="142" spans="1:26" ht="12.75" customHeight="1">
      <c r="A142" s="1061">
        <f t="shared" si="15"/>
        <v>10</v>
      </c>
      <c r="B142" s="1051" t="s">
        <v>3428</v>
      </c>
      <c r="C142" s="1066" t="s">
        <v>3342</v>
      </c>
      <c r="D142" s="1099" t="s">
        <v>122</v>
      </c>
      <c r="E142" s="1152"/>
      <c r="F142" s="1073" t="s">
        <v>3384</v>
      </c>
      <c r="G142" s="1035" t="s">
        <v>4769</v>
      </c>
      <c r="H142" s="1138"/>
      <c r="I142" s="1138">
        <v>400</v>
      </c>
      <c r="J142" s="1467">
        <v>0.3</v>
      </c>
      <c r="K142" s="1118">
        <f t="shared" si="16"/>
        <v>120</v>
      </c>
      <c r="L142" s="1134"/>
      <c r="M142" s="1030"/>
      <c r="N142" s="1030"/>
      <c r="O142" s="1030"/>
      <c r="P142" s="1030"/>
      <c r="Q142" s="1030"/>
      <c r="R142" s="1030"/>
      <c r="S142" s="1030"/>
      <c r="T142" s="1030"/>
      <c r="U142" s="1030"/>
      <c r="V142" s="1030"/>
      <c r="W142" s="1030"/>
      <c r="X142" s="1030"/>
      <c r="Y142" s="1030"/>
      <c r="Z142" s="1030"/>
    </row>
    <row r="143" spans="1:26" ht="12.75" customHeight="1" outlineLevel="1">
      <c r="A143" s="1061">
        <f t="shared" si="15"/>
        <v>11</v>
      </c>
      <c r="B143" s="1051" t="s">
        <v>3428</v>
      </c>
      <c r="C143" s="1066" t="s">
        <v>3342</v>
      </c>
      <c r="D143" s="1099" t="s">
        <v>122</v>
      </c>
      <c r="E143" s="1152"/>
      <c r="F143" s="1073" t="s">
        <v>3384</v>
      </c>
      <c r="G143" s="1035" t="s">
        <v>4770</v>
      </c>
      <c r="H143" s="1138"/>
      <c r="I143" s="1138"/>
      <c r="J143" s="1139"/>
      <c r="K143" s="1118">
        <v>0</v>
      </c>
      <c r="L143" s="1134"/>
      <c r="M143" s="1030"/>
      <c r="N143" s="1030"/>
      <c r="O143" s="1030"/>
      <c r="P143" s="1030"/>
      <c r="Q143" s="1030"/>
      <c r="R143" s="1030"/>
      <c r="S143" s="1030"/>
      <c r="T143" s="1030"/>
      <c r="U143" s="1030"/>
      <c r="V143" s="1030"/>
      <c r="W143" s="1030"/>
      <c r="X143" s="1030"/>
      <c r="Y143" s="1030"/>
      <c r="Z143" s="1030"/>
    </row>
    <row r="144" spans="1:26" ht="12.75" customHeight="1" outlineLevel="1">
      <c r="A144" s="1061">
        <f t="shared" si="15"/>
        <v>12</v>
      </c>
      <c r="B144" s="1051" t="s">
        <v>3428</v>
      </c>
      <c r="C144" s="1066" t="s">
        <v>3342</v>
      </c>
      <c r="D144" s="1099" t="s">
        <v>122</v>
      </c>
      <c r="E144" s="1136"/>
      <c r="F144" s="1073" t="s">
        <v>3384</v>
      </c>
      <c r="G144" s="1035" t="s">
        <v>4771</v>
      </c>
      <c r="H144" s="1138"/>
      <c r="I144" s="1138"/>
      <c r="J144" s="1467"/>
      <c r="K144" s="1118">
        <v>86.4</v>
      </c>
      <c r="L144" s="1134"/>
      <c r="M144" s="1030"/>
      <c r="N144" s="1030"/>
      <c r="O144" s="1030"/>
      <c r="P144" s="1030"/>
      <c r="Q144" s="1030"/>
      <c r="R144" s="1030"/>
      <c r="S144" s="1030"/>
      <c r="T144" s="1030"/>
      <c r="U144" s="1030"/>
      <c r="V144" s="1030"/>
      <c r="W144" s="1030"/>
      <c r="X144" s="1030"/>
      <c r="Y144" s="1030"/>
      <c r="Z144" s="1030"/>
    </row>
    <row r="145" spans="1:26" ht="12.75" customHeight="1" outlineLevel="1">
      <c r="A145" s="1061">
        <f t="shared" si="15"/>
        <v>13</v>
      </c>
      <c r="B145" s="1051" t="s">
        <v>3428</v>
      </c>
      <c r="C145" s="1066" t="s">
        <v>3342</v>
      </c>
      <c r="D145" s="1099" t="s">
        <v>122</v>
      </c>
      <c r="E145" s="1136"/>
      <c r="F145" s="1073" t="s">
        <v>3384</v>
      </c>
      <c r="G145" s="1035" t="s">
        <v>4772</v>
      </c>
      <c r="H145" s="1138"/>
      <c r="I145" s="1138">
        <v>420</v>
      </c>
      <c r="J145" s="1467">
        <v>0.3</v>
      </c>
      <c r="K145" s="1118">
        <f t="shared" ref="K145:K146" si="17">I145*J145</f>
        <v>126</v>
      </c>
      <c r="L145" s="1134"/>
      <c r="M145" s="1030"/>
      <c r="N145" s="1030"/>
      <c r="O145" s="1030"/>
      <c r="P145" s="1030"/>
      <c r="Q145" s="1030"/>
      <c r="R145" s="1030"/>
      <c r="S145" s="1030"/>
      <c r="T145" s="1030"/>
      <c r="U145" s="1030"/>
      <c r="V145" s="1030"/>
      <c r="W145" s="1030"/>
      <c r="X145" s="1030"/>
      <c r="Y145" s="1030"/>
      <c r="Z145" s="1030"/>
    </row>
    <row r="146" spans="1:26" ht="12.75" customHeight="1" outlineLevel="1">
      <c r="A146" s="1061">
        <f t="shared" si="15"/>
        <v>14</v>
      </c>
      <c r="B146" s="1051" t="s">
        <v>3428</v>
      </c>
      <c r="C146" s="1066" t="s">
        <v>3342</v>
      </c>
      <c r="D146" s="1099" t="s">
        <v>122</v>
      </c>
      <c r="E146" s="1136"/>
      <c r="F146" s="1073" t="s">
        <v>3384</v>
      </c>
      <c r="G146" s="1035" t="s">
        <v>4773</v>
      </c>
      <c r="H146" s="1138"/>
      <c r="I146" s="1138">
        <v>204</v>
      </c>
      <c r="J146" s="1467">
        <v>0.3</v>
      </c>
      <c r="K146" s="1118">
        <f t="shared" si="17"/>
        <v>61.199999999999996</v>
      </c>
      <c r="L146" s="1134"/>
      <c r="M146" s="1030"/>
      <c r="N146" s="1030"/>
      <c r="O146" s="1030"/>
      <c r="P146" s="1030"/>
      <c r="Q146" s="1030"/>
      <c r="R146" s="1030"/>
      <c r="S146" s="1030"/>
      <c r="T146" s="1030"/>
      <c r="U146" s="1030"/>
      <c r="V146" s="1030"/>
      <c r="W146" s="1030"/>
      <c r="X146" s="1030"/>
      <c r="Y146" s="1030"/>
      <c r="Z146" s="1030"/>
    </row>
    <row r="147" spans="1:26" ht="12.75" customHeight="1" outlineLevel="1">
      <c r="A147" s="1061">
        <f t="shared" si="15"/>
        <v>15</v>
      </c>
      <c r="B147" s="1051" t="s">
        <v>3428</v>
      </c>
      <c r="C147" s="1066" t="s">
        <v>3342</v>
      </c>
      <c r="D147" s="1099" t="s">
        <v>122</v>
      </c>
      <c r="E147" s="1136"/>
      <c r="F147" s="1073" t="s">
        <v>3384</v>
      </c>
      <c r="G147" s="1035" t="s">
        <v>4774</v>
      </c>
      <c r="H147" s="1138"/>
      <c r="I147" s="1138"/>
      <c r="J147" s="1139"/>
      <c r="K147" s="1118" t="s">
        <v>4775</v>
      </c>
      <c r="L147" s="1134"/>
      <c r="M147" s="1030"/>
      <c r="N147" s="1030"/>
      <c r="O147" s="1030"/>
      <c r="P147" s="1030"/>
      <c r="Q147" s="1030"/>
      <c r="R147" s="1030"/>
      <c r="S147" s="1030"/>
      <c r="T147" s="1030"/>
      <c r="U147" s="1030"/>
      <c r="V147" s="1030"/>
      <c r="W147" s="1030"/>
      <c r="X147" s="1030"/>
      <c r="Y147" s="1030"/>
      <c r="Z147" s="1030"/>
    </row>
    <row r="148" spans="1:26" ht="12.75" customHeight="1" outlineLevel="1">
      <c r="A148" s="1061">
        <f t="shared" si="15"/>
        <v>16</v>
      </c>
      <c r="B148" s="1051" t="s">
        <v>3428</v>
      </c>
      <c r="C148" s="1066" t="s">
        <v>3342</v>
      </c>
      <c r="D148" s="1099" t="s">
        <v>122</v>
      </c>
      <c r="E148" s="1136"/>
      <c r="F148" s="1073" t="s">
        <v>3384</v>
      </c>
      <c r="G148" s="1035" t="s">
        <v>3507</v>
      </c>
      <c r="H148" s="1138" t="s">
        <v>4776</v>
      </c>
      <c r="I148" s="1138"/>
      <c r="J148" s="1139"/>
      <c r="K148" s="1118">
        <v>130.1</v>
      </c>
      <c r="L148" s="1030"/>
      <c r="M148" s="1030"/>
      <c r="N148" s="1030"/>
      <c r="O148" s="1030"/>
      <c r="P148" s="1030"/>
      <c r="Q148" s="1030"/>
      <c r="R148" s="1030"/>
      <c r="S148" s="1030"/>
      <c r="T148" s="1030"/>
      <c r="U148" s="1030"/>
      <c r="V148" s="1030"/>
      <c r="W148" s="1030"/>
      <c r="X148" s="1030"/>
      <c r="Y148" s="1030"/>
      <c r="Z148" s="1030"/>
    </row>
    <row r="149" spans="1:26" ht="12.75" customHeight="1" outlineLevel="1">
      <c r="A149" s="1061">
        <f t="shared" si="15"/>
        <v>17</v>
      </c>
      <c r="B149" s="1051" t="s">
        <v>3428</v>
      </c>
      <c r="C149" s="1066" t="s">
        <v>3342</v>
      </c>
      <c r="D149" s="1099" t="s">
        <v>122</v>
      </c>
      <c r="E149" s="1136"/>
      <c r="F149" s="1073" t="s">
        <v>3384</v>
      </c>
      <c r="G149" s="1035" t="s">
        <v>4777</v>
      </c>
      <c r="H149" s="1138"/>
      <c r="I149" s="1138">
        <v>96</v>
      </c>
      <c r="J149" s="1467">
        <v>0.3</v>
      </c>
      <c r="K149" s="1118">
        <f t="shared" ref="K149:K150" si="18">I149*J149</f>
        <v>28.799999999999997</v>
      </c>
      <c r="L149" s="1030"/>
      <c r="M149" s="1030"/>
      <c r="N149" s="1030"/>
      <c r="O149" s="1030"/>
      <c r="P149" s="1030"/>
      <c r="Q149" s="1030"/>
      <c r="R149" s="1030"/>
      <c r="S149" s="1030"/>
      <c r="T149" s="1030"/>
      <c r="U149" s="1030"/>
      <c r="V149" s="1030"/>
      <c r="W149" s="1030"/>
      <c r="X149" s="1030"/>
      <c r="Y149" s="1030"/>
      <c r="Z149" s="1030"/>
    </row>
    <row r="150" spans="1:26" ht="12.75" customHeight="1" outlineLevel="1">
      <c r="A150" s="1061">
        <f t="shared" si="15"/>
        <v>18</v>
      </c>
      <c r="B150" s="1051" t="s">
        <v>3428</v>
      </c>
      <c r="C150" s="1066" t="s">
        <v>3342</v>
      </c>
      <c r="D150" s="1099" t="s">
        <v>122</v>
      </c>
      <c r="E150" s="1136"/>
      <c r="F150" s="1073" t="s">
        <v>3384</v>
      </c>
      <c r="G150" s="1035" t="s">
        <v>4778</v>
      </c>
      <c r="H150" s="1138"/>
      <c r="I150" s="1138">
        <v>158</v>
      </c>
      <c r="J150" s="1467">
        <v>0.3</v>
      </c>
      <c r="K150" s="1118">
        <f t="shared" si="18"/>
        <v>47.4</v>
      </c>
      <c r="L150" s="1134"/>
      <c r="M150" s="1030"/>
      <c r="N150" s="1030"/>
      <c r="O150" s="1030"/>
      <c r="P150" s="1030"/>
      <c r="Q150" s="1030"/>
      <c r="R150" s="1030"/>
      <c r="S150" s="1030"/>
      <c r="T150" s="1030"/>
      <c r="U150" s="1030"/>
      <c r="V150" s="1030"/>
      <c r="W150" s="1030"/>
      <c r="X150" s="1030"/>
      <c r="Y150" s="1030"/>
      <c r="Z150" s="1030"/>
    </row>
    <row r="151" spans="1:26" ht="12.75" customHeight="1" outlineLevel="1">
      <c r="A151" s="1061">
        <f t="shared" si="15"/>
        <v>19</v>
      </c>
      <c r="B151" s="1051" t="s">
        <v>3428</v>
      </c>
      <c r="C151" s="1066" t="s">
        <v>3342</v>
      </c>
      <c r="D151" s="1099" t="s">
        <v>122</v>
      </c>
      <c r="E151" s="1136"/>
      <c r="F151" s="1073" t="s">
        <v>3384</v>
      </c>
      <c r="G151" s="1035" t="s">
        <v>4779</v>
      </c>
      <c r="H151" s="1138" t="s">
        <v>4780</v>
      </c>
      <c r="I151" s="1138">
        <f>48+132</f>
        <v>180</v>
      </c>
      <c r="J151" s="1467">
        <v>0.3</v>
      </c>
      <c r="K151" s="1118">
        <f>(I151*J151)+11.04</f>
        <v>65.039999999999992</v>
      </c>
      <c r="L151" s="1134"/>
      <c r="M151" s="1030"/>
      <c r="N151" s="1030"/>
      <c r="O151" s="1030"/>
      <c r="P151" s="1030"/>
      <c r="Q151" s="1030"/>
      <c r="R151" s="1030"/>
      <c r="S151" s="1030"/>
      <c r="T151" s="1030"/>
      <c r="U151" s="1030"/>
      <c r="V151" s="1030"/>
      <c r="W151" s="1030"/>
      <c r="X151" s="1030"/>
      <c r="Y151" s="1030"/>
      <c r="Z151" s="1030"/>
    </row>
    <row r="152" spans="1:26" ht="16.5" customHeight="1" outlineLevel="1">
      <c r="A152" s="1061">
        <f t="shared" si="15"/>
        <v>20</v>
      </c>
      <c r="B152" s="1051" t="s">
        <v>3428</v>
      </c>
      <c r="C152" s="1066" t="s">
        <v>3342</v>
      </c>
      <c r="D152" s="1099" t="s">
        <v>122</v>
      </c>
      <c r="E152" s="1136"/>
      <c r="F152" s="1073" t="s">
        <v>3384</v>
      </c>
      <c r="G152" s="1035" t="s">
        <v>4781</v>
      </c>
      <c r="H152" s="1138"/>
      <c r="I152" s="1138"/>
      <c r="J152" s="1139"/>
      <c r="K152" s="1118">
        <v>0</v>
      </c>
      <c r="L152" s="1134"/>
      <c r="M152" s="1030"/>
      <c r="N152" s="1030"/>
      <c r="O152" s="1030"/>
      <c r="P152" s="1030"/>
      <c r="Q152" s="1030"/>
      <c r="R152" s="1030"/>
      <c r="S152" s="1030"/>
      <c r="T152" s="1030"/>
      <c r="U152" s="1030"/>
      <c r="V152" s="1030"/>
      <c r="W152" s="1030"/>
      <c r="X152" s="1030"/>
      <c r="Y152" s="1030"/>
      <c r="Z152" s="1030"/>
    </row>
    <row r="153" spans="1:26" ht="16.5" customHeight="1" outlineLevel="1">
      <c r="A153" s="1061">
        <f t="shared" si="15"/>
        <v>21</v>
      </c>
      <c r="B153" s="1051" t="s">
        <v>3428</v>
      </c>
      <c r="C153" s="1066" t="s">
        <v>3342</v>
      </c>
      <c r="D153" s="1099" t="s">
        <v>122</v>
      </c>
      <c r="E153" s="1136"/>
      <c r="F153" s="1073" t="s">
        <v>3384</v>
      </c>
      <c r="G153" s="1035" t="s">
        <v>4782</v>
      </c>
      <c r="H153" s="1138"/>
      <c r="I153" s="1138">
        <f>25.5*2</f>
        <v>51</v>
      </c>
      <c r="J153" s="1467">
        <v>0.3</v>
      </c>
      <c r="K153" s="1118">
        <f t="shared" ref="K153:K155" si="19">I153*J153</f>
        <v>15.299999999999999</v>
      </c>
      <c r="L153" s="1134"/>
      <c r="M153" s="1030"/>
      <c r="N153" s="1030"/>
      <c r="O153" s="1030"/>
      <c r="P153" s="1030"/>
      <c r="Q153" s="1030"/>
      <c r="R153" s="1030"/>
      <c r="S153" s="1030"/>
      <c r="T153" s="1030"/>
      <c r="U153" s="1030"/>
      <c r="V153" s="1030"/>
      <c r="W153" s="1030"/>
      <c r="X153" s="1030"/>
      <c r="Y153" s="1030"/>
      <c r="Z153" s="1030"/>
    </row>
    <row r="154" spans="1:26" ht="16.5" customHeight="1" outlineLevel="1">
      <c r="A154" s="1061">
        <f t="shared" si="15"/>
        <v>22</v>
      </c>
      <c r="B154" s="1051" t="s">
        <v>3428</v>
      </c>
      <c r="C154" s="1066" t="s">
        <v>3342</v>
      </c>
      <c r="D154" s="1099" t="s">
        <v>122</v>
      </c>
      <c r="E154" s="1136"/>
      <c r="F154" s="1073" t="s">
        <v>3384</v>
      </c>
      <c r="G154" s="1035" t="s">
        <v>4783</v>
      </c>
      <c r="H154" s="1138"/>
      <c r="I154" s="1138">
        <v>1036</v>
      </c>
      <c r="J154" s="1467">
        <v>0.3</v>
      </c>
      <c r="K154" s="1118">
        <f t="shared" si="19"/>
        <v>310.8</v>
      </c>
      <c r="L154" s="1134"/>
      <c r="M154" s="1030"/>
      <c r="N154" s="1030"/>
      <c r="O154" s="1030"/>
      <c r="P154" s="1030"/>
      <c r="Q154" s="1030"/>
      <c r="R154" s="1030"/>
      <c r="S154" s="1030"/>
      <c r="T154" s="1030"/>
      <c r="U154" s="1030"/>
      <c r="V154" s="1030"/>
      <c r="W154" s="1030"/>
      <c r="X154" s="1030"/>
      <c r="Y154" s="1030"/>
      <c r="Z154" s="1030"/>
    </row>
    <row r="155" spans="1:26" ht="16.5" customHeight="1" outlineLevel="1">
      <c r="A155" s="1061">
        <f t="shared" si="15"/>
        <v>23</v>
      </c>
      <c r="B155" s="1051" t="s">
        <v>3428</v>
      </c>
      <c r="C155" s="1066" t="s">
        <v>3342</v>
      </c>
      <c r="D155" s="1099" t="s">
        <v>122</v>
      </c>
      <c r="E155" s="1136"/>
      <c r="F155" s="1073" t="s">
        <v>3384</v>
      </c>
      <c r="G155" s="1035" t="s">
        <v>4784</v>
      </c>
      <c r="H155" s="1138"/>
      <c r="I155" s="1138">
        <f>235*2</f>
        <v>470</v>
      </c>
      <c r="J155" s="1467">
        <v>0.3</v>
      </c>
      <c r="K155" s="1118">
        <f t="shared" si="19"/>
        <v>141</v>
      </c>
      <c r="L155" s="1134"/>
      <c r="M155" s="1030"/>
      <c r="N155" s="1030"/>
      <c r="O155" s="1030"/>
      <c r="P155" s="1030"/>
      <c r="Q155" s="1030"/>
      <c r="R155" s="1030"/>
      <c r="S155" s="1030"/>
      <c r="T155" s="1030"/>
      <c r="U155" s="1030"/>
      <c r="V155" s="1030"/>
      <c r="W155" s="1030"/>
      <c r="X155" s="1030"/>
      <c r="Y155" s="1030"/>
      <c r="Z155" s="1030"/>
    </row>
    <row r="156" spans="1:26" ht="16.5" customHeight="1" outlineLevel="1">
      <c r="A156" s="1061">
        <f t="shared" si="15"/>
        <v>24</v>
      </c>
      <c r="B156" s="1051" t="s">
        <v>3428</v>
      </c>
      <c r="C156" s="1066" t="s">
        <v>3342</v>
      </c>
      <c r="D156" s="1099" t="s">
        <v>122</v>
      </c>
      <c r="E156" s="1136"/>
      <c r="F156" s="1073" t="s">
        <v>3384</v>
      </c>
      <c r="G156" s="1035" t="s">
        <v>4785</v>
      </c>
      <c r="H156" s="1138" t="s">
        <v>3459</v>
      </c>
      <c r="I156" s="1138"/>
      <c r="J156" s="1139"/>
      <c r="K156" s="1468">
        <v>76.64</v>
      </c>
      <c r="L156" s="1134"/>
      <c r="M156" s="1030"/>
      <c r="N156" s="1030"/>
      <c r="O156" s="1030"/>
      <c r="P156" s="1030"/>
      <c r="Q156" s="1030"/>
      <c r="R156" s="1030"/>
      <c r="S156" s="1030"/>
      <c r="T156" s="1030"/>
      <c r="U156" s="1030"/>
      <c r="V156" s="1030"/>
      <c r="W156" s="1030"/>
      <c r="X156" s="1030"/>
      <c r="Y156" s="1030"/>
      <c r="Z156" s="1030"/>
    </row>
    <row r="157" spans="1:26" ht="16.5" customHeight="1" outlineLevel="1">
      <c r="A157" s="1061">
        <f t="shared" si="15"/>
        <v>25</v>
      </c>
      <c r="B157" s="1051" t="s">
        <v>3428</v>
      </c>
      <c r="C157" s="1066" t="s">
        <v>3342</v>
      </c>
      <c r="D157" s="1099" t="s">
        <v>122</v>
      </c>
      <c r="E157" s="1136"/>
      <c r="F157" s="1073" t="s">
        <v>3384</v>
      </c>
      <c r="G157" s="1035" t="s">
        <v>3460</v>
      </c>
      <c r="H157" s="1138" t="s">
        <v>4786</v>
      </c>
      <c r="I157" s="1138"/>
      <c r="J157" s="1139"/>
      <c r="K157" s="1118">
        <f>271+24.5</f>
        <v>295.5</v>
      </c>
      <c r="L157" s="1134"/>
      <c r="M157" s="1030"/>
      <c r="N157" s="1030"/>
      <c r="O157" s="1030"/>
      <c r="P157" s="1030"/>
      <c r="Q157" s="1030"/>
      <c r="R157" s="1030"/>
      <c r="S157" s="1030"/>
      <c r="T157" s="1030"/>
      <c r="U157" s="1030"/>
      <c r="V157" s="1030"/>
      <c r="W157" s="1030"/>
      <c r="X157" s="1030"/>
      <c r="Y157" s="1030"/>
      <c r="Z157" s="1030"/>
    </row>
    <row r="158" spans="1:26" ht="60" customHeight="1" outlineLevel="1">
      <c r="A158" s="1061">
        <f t="shared" si="15"/>
        <v>26</v>
      </c>
      <c r="B158" s="1051" t="s">
        <v>3466</v>
      </c>
      <c r="C158" s="1066" t="s">
        <v>3342</v>
      </c>
      <c r="D158" s="1099" t="s">
        <v>122</v>
      </c>
      <c r="E158" s="1136"/>
      <c r="F158" s="1142" t="s">
        <v>3384</v>
      </c>
      <c r="G158" s="1035" t="s">
        <v>3584</v>
      </c>
      <c r="H158" s="1138" t="s">
        <v>4787</v>
      </c>
      <c r="I158" s="1138" t="s">
        <v>4788</v>
      </c>
      <c r="J158" s="1139"/>
      <c r="K158" s="1118">
        <f>6650+1270+3894.55+2646.43+90</f>
        <v>14550.98</v>
      </c>
      <c r="L158" s="1134"/>
      <c r="M158" s="1030"/>
      <c r="N158" s="1030"/>
      <c r="O158" s="1030"/>
      <c r="P158" s="1030"/>
      <c r="Q158" s="1030"/>
      <c r="R158" s="1030"/>
      <c r="S158" s="1030"/>
      <c r="T158" s="1030"/>
      <c r="U158" s="1030"/>
      <c r="V158" s="1030"/>
      <c r="W158" s="1030"/>
      <c r="X158" s="1030"/>
      <c r="Y158" s="1030"/>
      <c r="Z158" s="1030"/>
    </row>
    <row r="159" spans="1:26" ht="16.5" customHeight="1" outlineLevel="1">
      <c r="A159" s="1061">
        <f t="shared" si="15"/>
        <v>27</v>
      </c>
      <c r="B159" s="1051" t="s">
        <v>3470</v>
      </c>
      <c r="C159" s="1066" t="s">
        <v>3342</v>
      </c>
      <c r="D159" s="1099" t="s">
        <v>122</v>
      </c>
      <c r="E159" s="1136"/>
      <c r="F159" s="1073" t="s">
        <v>3384</v>
      </c>
      <c r="G159" s="1035" t="s">
        <v>3471</v>
      </c>
      <c r="H159" s="1035" t="s">
        <v>4789</v>
      </c>
      <c r="I159" s="1035"/>
      <c r="J159" s="1139"/>
      <c r="K159" s="1118">
        <f>1600+150</f>
        <v>1750</v>
      </c>
      <c r="L159" s="1134"/>
      <c r="M159" s="1030"/>
      <c r="N159" s="1030"/>
      <c r="O159" s="1030"/>
      <c r="P159" s="1030"/>
      <c r="Q159" s="1030"/>
      <c r="R159" s="1030"/>
      <c r="S159" s="1030"/>
      <c r="T159" s="1030"/>
      <c r="U159" s="1030"/>
      <c r="V159" s="1030"/>
      <c r="W159" s="1030"/>
      <c r="X159" s="1030"/>
      <c r="Y159" s="1030"/>
      <c r="Z159" s="1030"/>
    </row>
    <row r="160" spans="1:26" ht="42" customHeight="1" outlineLevel="1">
      <c r="A160" s="1061">
        <f t="shared" si="15"/>
        <v>28</v>
      </c>
      <c r="B160" s="1144" t="s">
        <v>3473</v>
      </c>
      <c r="C160" s="1112" t="s">
        <v>3342</v>
      </c>
      <c r="D160" s="1099" t="s">
        <v>122</v>
      </c>
      <c r="E160" s="1114"/>
      <c r="F160" s="1145" t="s">
        <v>3384</v>
      </c>
      <c r="G160" s="1136" t="s">
        <v>3474</v>
      </c>
      <c r="H160" s="1136" t="s">
        <v>4790</v>
      </c>
      <c r="I160" s="1136"/>
      <c r="J160" s="1147"/>
      <c r="K160" s="1469">
        <v>1657.55</v>
      </c>
      <c r="L160" s="1103"/>
      <c r="M160" s="1103"/>
      <c r="N160" s="1103"/>
      <c r="O160" s="1103"/>
      <c r="P160" s="1103"/>
      <c r="Q160" s="1103"/>
      <c r="R160" s="1103"/>
      <c r="S160" s="1103"/>
      <c r="T160" s="1103"/>
      <c r="U160" s="1103"/>
      <c r="V160" s="1103"/>
      <c r="W160" s="1103"/>
      <c r="X160" s="1103"/>
      <c r="Y160" s="1103"/>
      <c r="Z160" s="1103"/>
    </row>
    <row r="161" spans="1:26" ht="51" outlineLevel="1">
      <c r="A161" s="1061">
        <f t="shared" si="15"/>
        <v>29</v>
      </c>
      <c r="B161" s="1051" t="s">
        <v>3473</v>
      </c>
      <c r="C161" s="1066" t="s">
        <v>3342</v>
      </c>
      <c r="D161" s="1099" t="s">
        <v>122</v>
      </c>
      <c r="E161" s="1136"/>
      <c r="F161" s="1073" t="s">
        <v>3384</v>
      </c>
      <c r="G161" s="1035" t="s">
        <v>3474</v>
      </c>
      <c r="H161" s="1035" t="s">
        <v>4791</v>
      </c>
      <c r="I161" s="1035"/>
      <c r="J161" s="1139"/>
      <c r="K161" s="1118">
        <f>(1213.79/2000*600)</f>
        <v>364.137</v>
      </c>
      <c r="L161" s="1134"/>
      <c r="M161" s="1030"/>
      <c r="N161" s="1030"/>
      <c r="O161" s="1030"/>
      <c r="P161" s="1030"/>
      <c r="Q161" s="1030"/>
      <c r="R161" s="1030"/>
      <c r="S161" s="1030"/>
      <c r="T161" s="1030"/>
      <c r="U161" s="1030"/>
      <c r="V161" s="1030"/>
      <c r="W161" s="1030"/>
      <c r="X161" s="1030"/>
      <c r="Y161" s="1030"/>
      <c r="Z161" s="1030"/>
    </row>
    <row r="162" spans="1:26" ht="25.5" customHeight="1" outlineLevel="1">
      <c r="A162" s="1061">
        <f t="shared" si="15"/>
        <v>30</v>
      </c>
      <c r="B162" s="1051" t="s">
        <v>3462</v>
      </c>
      <c r="C162" s="1066" t="s">
        <v>3342</v>
      </c>
      <c r="D162" s="1099" t="s">
        <v>122</v>
      </c>
      <c r="E162" s="1136"/>
      <c r="F162" s="1073" t="s">
        <v>3384</v>
      </c>
      <c r="G162" s="1035" t="s">
        <v>4792</v>
      </c>
      <c r="H162" s="1035" t="s">
        <v>4793</v>
      </c>
      <c r="I162" s="1035"/>
      <c r="J162" s="1139"/>
      <c r="K162" s="1118">
        <f>5.87*115</f>
        <v>675.05000000000007</v>
      </c>
      <c r="L162" s="1134"/>
      <c r="M162" s="1030"/>
      <c r="N162" s="1030"/>
      <c r="O162" s="1030"/>
      <c r="P162" s="1030"/>
      <c r="Q162" s="1030"/>
      <c r="R162" s="1030"/>
      <c r="S162" s="1030"/>
      <c r="T162" s="1030"/>
      <c r="U162" s="1030"/>
      <c r="V162" s="1030"/>
      <c r="W162" s="1030"/>
      <c r="X162" s="1030"/>
      <c r="Y162" s="1030"/>
      <c r="Z162" s="1030"/>
    </row>
    <row r="163" spans="1:26" ht="29.25" customHeight="1" outlineLevel="1">
      <c r="A163" s="1061">
        <f t="shared" si="15"/>
        <v>31</v>
      </c>
      <c r="B163" s="1051" t="s">
        <v>3485</v>
      </c>
      <c r="C163" s="1066" t="s">
        <v>3342</v>
      </c>
      <c r="D163" s="1099" t="s">
        <v>122</v>
      </c>
      <c r="E163" s="1136"/>
      <c r="F163" s="1148" t="s">
        <v>3384</v>
      </c>
      <c r="G163" s="1149" t="s">
        <v>3486</v>
      </c>
      <c r="H163" s="1137" t="s">
        <v>4794</v>
      </c>
      <c r="I163" s="1198"/>
      <c r="J163" s="1199"/>
      <c r="K163" s="1200">
        <v>45</v>
      </c>
      <c r="L163" s="1134"/>
      <c r="M163" s="1030"/>
      <c r="N163" s="1030"/>
      <c r="O163" s="1030"/>
      <c r="P163" s="1030"/>
      <c r="Q163" s="1030"/>
      <c r="R163" s="1030"/>
      <c r="S163" s="1030"/>
      <c r="T163" s="1030"/>
      <c r="U163" s="1030"/>
      <c r="V163" s="1030"/>
      <c r="W163" s="1030"/>
      <c r="X163" s="1030"/>
      <c r="Y163" s="1030"/>
      <c r="Z163" s="1030"/>
    </row>
    <row r="164" spans="1:26" ht="51" outlineLevel="1">
      <c r="A164" s="1061">
        <f t="shared" si="15"/>
        <v>32</v>
      </c>
      <c r="B164" s="1051" t="s">
        <v>3462</v>
      </c>
      <c r="C164" s="1066" t="s">
        <v>3342</v>
      </c>
      <c r="D164" s="1099" t="s">
        <v>122</v>
      </c>
      <c r="E164" s="1136"/>
      <c r="F164" s="1073" t="s">
        <v>3384</v>
      </c>
      <c r="G164" s="1035" t="s">
        <v>3588</v>
      </c>
      <c r="H164" s="1035" t="s">
        <v>4795</v>
      </c>
      <c r="I164" s="1035"/>
      <c r="J164" s="1139"/>
      <c r="K164" s="1118">
        <f>(140*4.8)+35</f>
        <v>707</v>
      </c>
      <c r="L164" s="1134"/>
      <c r="M164" s="1030"/>
      <c r="N164" s="1030"/>
      <c r="O164" s="1030"/>
      <c r="P164" s="1030"/>
      <c r="Q164" s="1030"/>
      <c r="R164" s="1030"/>
      <c r="S164" s="1030"/>
      <c r="T164" s="1030"/>
      <c r="U164" s="1030"/>
      <c r="V164" s="1030"/>
      <c r="W164" s="1030"/>
      <c r="X164" s="1030"/>
      <c r="Y164" s="1030"/>
      <c r="Z164" s="1030"/>
    </row>
    <row r="165" spans="1:26" ht="38.25" outlineLevel="1">
      <c r="A165" s="1061">
        <f t="shared" si="15"/>
        <v>33</v>
      </c>
      <c r="B165" s="1051" t="s">
        <v>3485</v>
      </c>
      <c r="C165" s="1066" t="s">
        <v>3342</v>
      </c>
      <c r="D165" s="1099" t="s">
        <v>122</v>
      </c>
      <c r="E165" s="1136"/>
      <c r="F165" s="1142" t="s">
        <v>3384</v>
      </c>
      <c r="G165" s="1035" t="s">
        <v>4796</v>
      </c>
      <c r="H165" s="1035" t="s">
        <v>4797</v>
      </c>
      <c r="I165" s="1139" t="s">
        <v>4798</v>
      </c>
      <c r="J165" s="1139"/>
      <c r="K165" s="1118">
        <f>227.63+2.9+2.9+11.06</f>
        <v>244.49</v>
      </c>
      <c r="L165" s="1134"/>
      <c r="M165" s="1030"/>
      <c r="N165" s="1030"/>
      <c r="O165" s="1030"/>
      <c r="P165" s="1030"/>
      <c r="Q165" s="1030"/>
      <c r="R165" s="1030"/>
      <c r="S165" s="1030"/>
      <c r="T165" s="1030"/>
      <c r="U165" s="1030"/>
      <c r="V165" s="1030"/>
      <c r="W165" s="1030"/>
      <c r="X165" s="1030"/>
      <c r="Y165" s="1030"/>
      <c r="Z165" s="1030"/>
    </row>
    <row r="166" spans="1:26" ht="12.75" customHeight="1" outlineLevel="1">
      <c r="A166" s="1061">
        <f t="shared" si="15"/>
        <v>34</v>
      </c>
      <c r="B166" s="1051" t="s">
        <v>3428</v>
      </c>
      <c r="C166" s="1066" t="s">
        <v>3342</v>
      </c>
      <c r="D166" s="1099" t="s">
        <v>122</v>
      </c>
      <c r="E166" s="1152"/>
      <c r="F166" s="1073" t="s">
        <v>3410</v>
      </c>
      <c r="G166" s="1035" t="s">
        <v>3460</v>
      </c>
      <c r="H166" s="1035" t="s">
        <v>4799</v>
      </c>
      <c r="I166" s="1138">
        <v>100</v>
      </c>
      <c r="J166" s="1467">
        <v>0.3</v>
      </c>
      <c r="K166" s="1118">
        <f>(I166*J166)+210.5</f>
        <v>240.5</v>
      </c>
      <c r="L166" s="1030"/>
      <c r="M166" s="1030"/>
      <c r="N166" s="1030"/>
      <c r="O166" s="1030"/>
      <c r="P166" s="1030"/>
      <c r="Q166" s="1030"/>
      <c r="R166" s="1030"/>
      <c r="S166" s="1030"/>
      <c r="T166" s="1030"/>
      <c r="U166" s="1030"/>
      <c r="V166" s="1030"/>
      <c r="W166" s="1030"/>
      <c r="X166" s="1030"/>
      <c r="Y166" s="1030"/>
      <c r="Z166" s="1030"/>
    </row>
    <row r="167" spans="1:26" ht="12.75" customHeight="1" outlineLevel="1">
      <c r="A167" s="1061">
        <f t="shared" si="15"/>
        <v>35</v>
      </c>
      <c r="B167" s="1051" t="s">
        <v>3428</v>
      </c>
      <c r="C167" s="1066" t="s">
        <v>3342</v>
      </c>
      <c r="D167" s="1099" t="s">
        <v>122</v>
      </c>
      <c r="E167" s="1152"/>
      <c r="F167" s="1073" t="s">
        <v>3410</v>
      </c>
      <c r="G167" s="1035" t="s">
        <v>4761</v>
      </c>
      <c r="H167" s="1035"/>
      <c r="I167" s="1138"/>
      <c r="J167" s="1467"/>
      <c r="K167" s="1118">
        <v>0</v>
      </c>
      <c r="L167" s="1030"/>
      <c r="M167" s="1030"/>
      <c r="N167" s="1030"/>
      <c r="O167" s="1030"/>
      <c r="P167" s="1030"/>
      <c r="Q167" s="1030"/>
      <c r="R167" s="1030"/>
      <c r="S167" s="1030"/>
      <c r="T167" s="1030"/>
      <c r="U167" s="1030"/>
      <c r="V167" s="1030"/>
      <c r="W167" s="1030"/>
      <c r="X167" s="1030"/>
      <c r="Y167" s="1030"/>
      <c r="Z167" s="1030"/>
    </row>
    <row r="168" spans="1:26" ht="12.75" customHeight="1" outlineLevel="1">
      <c r="A168" s="1061">
        <f t="shared" si="15"/>
        <v>36</v>
      </c>
      <c r="B168" s="1051" t="s">
        <v>3428</v>
      </c>
      <c r="C168" s="1066" t="s">
        <v>3342</v>
      </c>
      <c r="D168" s="1099" t="s">
        <v>122</v>
      </c>
      <c r="E168" s="1152"/>
      <c r="F168" s="1073" t="s">
        <v>3410</v>
      </c>
      <c r="G168" s="1035" t="s">
        <v>4762</v>
      </c>
      <c r="H168" s="1035"/>
      <c r="I168" s="1138">
        <v>184</v>
      </c>
      <c r="J168" s="1467">
        <v>0.3</v>
      </c>
      <c r="K168" s="1118">
        <f>I168*J168</f>
        <v>55.199999999999996</v>
      </c>
      <c r="L168" s="1030"/>
      <c r="M168" s="1030"/>
      <c r="N168" s="1030"/>
      <c r="O168" s="1030"/>
      <c r="P168" s="1030"/>
      <c r="Q168" s="1030"/>
      <c r="R168" s="1030"/>
      <c r="S168" s="1030"/>
      <c r="T168" s="1030"/>
      <c r="U168" s="1030"/>
      <c r="V168" s="1030"/>
      <c r="W168" s="1030"/>
      <c r="X168" s="1030"/>
      <c r="Y168" s="1030"/>
      <c r="Z168" s="1030"/>
    </row>
    <row r="169" spans="1:26" ht="12.75" customHeight="1" outlineLevel="1">
      <c r="A169" s="1061">
        <f t="shared" si="15"/>
        <v>37</v>
      </c>
      <c r="B169" s="1051" t="s">
        <v>3428</v>
      </c>
      <c r="C169" s="1066" t="s">
        <v>3342</v>
      </c>
      <c r="D169" s="1099" t="s">
        <v>122</v>
      </c>
      <c r="E169" s="1153"/>
      <c r="F169" s="1073" t="s">
        <v>3410</v>
      </c>
      <c r="G169" s="1035" t="s">
        <v>4763</v>
      </c>
      <c r="H169" s="1035"/>
      <c r="I169" s="1138"/>
      <c r="J169" s="1467"/>
      <c r="K169" s="1118">
        <v>0</v>
      </c>
      <c r="L169" s="1030"/>
      <c r="M169" s="1030"/>
      <c r="N169" s="1030"/>
      <c r="O169" s="1030"/>
      <c r="P169" s="1030"/>
      <c r="Q169" s="1030"/>
      <c r="R169" s="1030"/>
      <c r="S169" s="1030"/>
      <c r="T169" s="1030"/>
      <c r="U169" s="1030"/>
      <c r="V169" s="1030"/>
      <c r="W169" s="1030"/>
      <c r="X169" s="1030"/>
      <c r="Y169" s="1030"/>
      <c r="Z169" s="1030"/>
    </row>
    <row r="170" spans="1:26" ht="12.75" customHeight="1" outlineLevel="1">
      <c r="A170" s="1061">
        <f t="shared" si="15"/>
        <v>38</v>
      </c>
      <c r="B170" s="1051" t="s">
        <v>3428</v>
      </c>
      <c r="C170" s="1066" t="s">
        <v>3342</v>
      </c>
      <c r="D170" s="1099" t="s">
        <v>122</v>
      </c>
      <c r="E170" s="1153"/>
      <c r="F170" s="1073" t="s">
        <v>3410</v>
      </c>
      <c r="G170" s="1035" t="s">
        <v>4764</v>
      </c>
      <c r="H170" s="1035"/>
      <c r="I170" s="1138">
        <v>300</v>
      </c>
      <c r="J170" s="1467">
        <v>0.3</v>
      </c>
      <c r="K170" s="1118">
        <f t="shared" ref="K170:K171" si="20">I170*J170</f>
        <v>90</v>
      </c>
      <c r="L170" s="1030"/>
      <c r="M170" s="1030"/>
      <c r="N170" s="1030"/>
      <c r="O170" s="1030"/>
      <c r="P170" s="1030"/>
      <c r="Q170" s="1030"/>
      <c r="R170" s="1030"/>
      <c r="S170" s="1030"/>
      <c r="T170" s="1030"/>
      <c r="U170" s="1030"/>
      <c r="V170" s="1030"/>
      <c r="W170" s="1030"/>
      <c r="X170" s="1030"/>
      <c r="Y170" s="1030"/>
      <c r="Z170" s="1030"/>
    </row>
    <row r="171" spans="1:26" ht="12.75" customHeight="1" outlineLevel="1">
      <c r="A171" s="1061">
        <f t="shared" si="15"/>
        <v>39</v>
      </c>
      <c r="B171" s="1051" t="s">
        <v>3428</v>
      </c>
      <c r="C171" s="1066" t="s">
        <v>3342</v>
      </c>
      <c r="D171" s="1099" t="s">
        <v>122</v>
      </c>
      <c r="E171" s="1152"/>
      <c r="F171" s="1073" t="s">
        <v>3410</v>
      </c>
      <c r="G171" s="1035" t="s">
        <v>4765</v>
      </c>
      <c r="H171" s="1035"/>
      <c r="I171" s="1138">
        <v>364</v>
      </c>
      <c r="J171" s="1467">
        <v>0.3</v>
      </c>
      <c r="K171" s="1118">
        <f t="shared" si="20"/>
        <v>109.2</v>
      </c>
      <c r="L171" s="1030"/>
      <c r="M171" s="1030"/>
      <c r="N171" s="1030"/>
      <c r="O171" s="1030"/>
      <c r="P171" s="1030"/>
      <c r="Q171" s="1030"/>
      <c r="R171" s="1030"/>
      <c r="S171" s="1030"/>
      <c r="T171" s="1030"/>
      <c r="U171" s="1030"/>
      <c r="V171" s="1030"/>
      <c r="W171" s="1030"/>
      <c r="X171" s="1030"/>
      <c r="Y171" s="1030"/>
      <c r="Z171" s="1030"/>
    </row>
    <row r="172" spans="1:26" ht="12.75" customHeight="1" outlineLevel="1">
      <c r="A172" s="1061">
        <f t="shared" si="15"/>
        <v>40</v>
      </c>
      <c r="B172" s="1051" t="s">
        <v>3428</v>
      </c>
      <c r="C172" s="1066" t="s">
        <v>3342</v>
      </c>
      <c r="D172" s="1099" t="s">
        <v>122</v>
      </c>
      <c r="E172" s="1152"/>
      <c r="F172" s="1073" t="s">
        <v>3410</v>
      </c>
      <c r="G172" s="1035" t="s">
        <v>4766</v>
      </c>
      <c r="H172" s="1035" t="s">
        <v>4799</v>
      </c>
      <c r="I172" s="1138">
        <v>222</v>
      </c>
      <c r="J172" s="1467">
        <v>0.3</v>
      </c>
      <c r="K172" s="1118">
        <f>(I172*J172)+25.37</f>
        <v>91.97</v>
      </c>
      <c r="L172" s="1030"/>
      <c r="M172" s="1030"/>
      <c r="N172" s="1030"/>
      <c r="O172" s="1030"/>
      <c r="P172" s="1030"/>
      <c r="Q172" s="1030"/>
      <c r="R172" s="1030"/>
      <c r="S172" s="1030"/>
      <c r="T172" s="1030"/>
      <c r="U172" s="1030"/>
      <c r="V172" s="1030"/>
      <c r="W172" s="1030"/>
      <c r="X172" s="1030"/>
      <c r="Y172" s="1030"/>
      <c r="Z172" s="1030"/>
    </row>
    <row r="173" spans="1:26" ht="12.75" customHeight="1" outlineLevel="1">
      <c r="A173" s="1061">
        <f t="shared" si="15"/>
        <v>41</v>
      </c>
      <c r="B173" s="1051" t="s">
        <v>3428</v>
      </c>
      <c r="C173" s="1066" t="s">
        <v>3342</v>
      </c>
      <c r="D173" s="1099" t="s">
        <v>122</v>
      </c>
      <c r="E173" s="1152"/>
      <c r="F173" s="1073" t="s">
        <v>3410</v>
      </c>
      <c r="G173" s="1035" t="s">
        <v>4767</v>
      </c>
      <c r="H173" s="1035"/>
      <c r="I173" s="1138">
        <v>626</v>
      </c>
      <c r="J173" s="1467">
        <v>0.3</v>
      </c>
      <c r="K173" s="1118">
        <f t="shared" ref="K173:K174" si="21">(I173*J173)</f>
        <v>187.79999999999998</v>
      </c>
      <c r="L173" s="1030"/>
      <c r="M173" s="1030"/>
      <c r="N173" s="1030"/>
      <c r="O173" s="1030"/>
      <c r="P173" s="1030"/>
      <c r="Q173" s="1030"/>
      <c r="R173" s="1030"/>
      <c r="S173" s="1030"/>
      <c r="T173" s="1030"/>
      <c r="U173" s="1030"/>
      <c r="V173" s="1030"/>
      <c r="W173" s="1030"/>
      <c r="X173" s="1030"/>
      <c r="Y173" s="1030"/>
      <c r="Z173" s="1030"/>
    </row>
    <row r="174" spans="1:26" ht="12.75" customHeight="1" outlineLevel="1">
      <c r="A174" s="1061">
        <f t="shared" si="15"/>
        <v>42</v>
      </c>
      <c r="B174" s="1051" t="s">
        <v>3428</v>
      </c>
      <c r="C174" s="1066" t="s">
        <v>3342</v>
      </c>
      <c r="D174" s="1099" t="s">
        <v>122</v>
      </c>
      <c r="E174" s="1152"/>
      <c r="F174" s="1073" t="s">
        <v>3410</v>
      </c>
      <c r="G174" s="1035" t="s">
        <v>4768</v>
      </c>
      <c r="H174" s="1035"/>
      <c r="I174" s="1138">
        <v>500</v>
      </c>
      <c r="J174" s="1467">
        <v>0.3</v>
      </c>
      <c r="K174" s="1118">
        <f t="shared" si="21"/>
        <v>150</v>
      </c>
      <c r="L174" s="1030"/>
      <c r="M174" s="1030"/>
      <c r="N174" s="1030"/>
      <c r="O174" s="1030"/>
      <c r="P174" s="1030"/>
      <c r="Q174" s="1030"/>
      <c r="R174" s="1030"/>
      <c r="S174" s="1030"/>
      <c r="T174" s="1030"/>
      <c r="U174" s="1030"/>
      <c r="V174" s="1030"/>
      <c r="W174" s="1030"/>
      <c r="X174" s="1030"/>
      <c r="Y174" s="1030"/>
      <c r="Z174" s="1030"/>
    </row>
    <row r="175" spans="1:26" ht="12.75" customHeight="1" outlineLevel="1">
      <c r="A175" s="1061">
        <f t="shared" si="15"/>
        <v>43</v>
      </c>
      <c r="B175" s="1051" t="s">
        <v>3428</v>
      </c>
      <c r="C175" s="1066" t="s">
        <v>3342</v>
      </c>
      <c r="D175" s="1099" t="s">
        <v>122</v>
      </c>
      <c r="E175" s="1152"/>
      <c r="F175" s="1073" t="s">
        <v>3410</v>
      </c>
      <c r="G175" s="1035" t="s">
        <v>4769</v>
      </c>
      <c r="H175" s="1035"/>
      <c r="I175" s="1138"/>
      <c r="J175" s="1139"/>
      <c r="K175" s="1118">
        <v>0</v>
      </c>
      <c r="L175" s="1030"/>
      <c r="M175" s="1030"/>
      <c r="N175" s="1030"/>
      <c r="O175" s="1030"/>
      <c r="P175" s="1030"/>
      <c r="Q175" s="1030"/>
      <c r="R175" s="1030"/>
      <c r="S175" s="1030"/>
      <c r="T175" s="1030"/>
      <c r="U175" s="1030"/>
      <c r="V175" s="1030"/>
      <c r="W175" s="1030"/>
      <c r="X175" s="1030"/>
      <c r="Y175" s="1030"/>
      <c r="Z175" s="1030"/>
    </row>
    <row r="176" spans="1:26" ht="12.75" customHeight="1" outlineLevel="1">
      <c r="A176" s="1061">
        <f t="shared" si="15"/>
        <v>44</v>
      </c>
      <c r="B176" s="1051" t="s">
        <v>3428</v>
      </c>
      <c r="C176" s="1066" t="s">
        <v>3342</v>
      </c>
      <c r="D176" s="1099" t="s">
        <v>122</v>
      </c>
      <c r="E176" s="1136"/>
      <c r="F176" s="1073" t="s">
        <v>3410</v>
      </c>
      <c r="G176" s="1035" t="s">
        <v>4771</v>
      </c>
      <c r="H176" s="1035"/>
      <c r="I176" s="1138">
        <v>286</v>
      </c>
      <c r="J176" s="1467">
        <v>0.3</v>
      </c>
      <c r="K176" s="1118">
        <f>(I176*J176)</f>
        <v>85.8</v>
      </c>
      <c r="L176" s="1030"/>
      <c r="M176" s="1030"/>
      <c r="N176" s="1030"/>
      <c r="O176" s="1030"/>
      <c r="P176" s="1030"/>
      <c r="Q176" s="1030"/>
      <c r="R176" s="1030"/>
      <c r="S176" s="1030"/>
      <c r="T176" s="1030"/>
      <c r="U176" s="1030"/>
      <c r="V176" s="1030"/>
      <c r="W176" s="1030"/>
      <c r="X176" s="1030"/>
      <c r="Y176" s="1030"/>
      <c r="Z176" s="1030"/>
    </row>
    <row r="177" spans="1:26" ht="12.75" customHeight="1" outlineLevel="1">
      <c r="A177" s="1061">
        <f t="shared" si="15"/>
        <v>45</v>
      </c>
      <c r="B177" s="1051" t="s">
        <v>3428</v>
      </c>
      <c r="C177" s="1066" t="s">
        <v>3342</v>
      </c>
      <c r="D177" s="1099" t="s">
        <v>122</v>
      </c>
      <c r="E177" s="1136"/>
      <c r="F177" s="1073" t="s">
        <v>3410</v>
      </c>
      <c r="G177" s="1035" t="s">
        <v>4772</v>
      </c>
      <c r="H177" s="1035" t="s">
        <v>4800</v>
      </c>
      <c r="I177" s="1138">
        <v>600</v>
      </c>
      <c r="J177" s="1467">
        <v>0.3</v>
      </c>
      <c r="K177" s="1118">
        <f>(I177*J177)+41.9</f>
        <v>221.9</v>
      </c>
      <c r="L177" s="1030"/>
      <c r="M177" s="1030"/>
      <c r="N177" s="1030"/>
      <c r="O177" s="1030"/>
      <c r="P177" s="1030"/>
      <c r="Q177" s="1030"/>
      <c r="R177" s="1030"/>
      <c r="S177" s="1030"/>
      <c r="T177" s="1030"/>
      <c r="U177" s="1030"/>
      <c r="V177" s="1030"/>
      <c r="W177" s="1030"/>
      <c r="X177" s="1030"/>
      <c r="Y177" s="1030"/>
      <c r="Z177" s="1030"/>
    </row>
    <row r="178" spans="1:26" ht="12.75" customHeight="1" outlineLevel="1">
      <c r="A178" s="1061">
        <f t="shared" si="15"/>
        <v>46</v>
      </c>
      <c r="B178" s="1051" t="s">
        <v>3428</v>
      </c>
      <c r="C178" s="1066" t="s">
        <v>3342</v>
      </c>
      <c r="D178" s="1099" t="s">
        <v>122</v>
      </c>
      <c r="E178" s="1136"/>
      <c r="F178" s="1073" t="s">
        <v>3410</v>
      </c>
      <c r="G178" s="1035" t="s">
        <v>4773</v>
      </c>
      <c r="H178" s="1035"/>
      <c r="I178" s="1138"/>
      <c r="J178" s="1139"/>
      <c r="K178" s="1118">
        <v>0</v>
      </c>
      <c r="L178" s="1030"/>
      <c r="M178" s="1030"/>
      <c r="N178" s="1030"/>
      <c r="O178" s="1030"/>
      <c r="P178" s="1030"/>
      <c r="Q178" s="1030"/>
      <c r="R178" s="1030"/>
      <c r="S178" s="1030"/>
      <c r="T178" s="1030"/>
      <c r="U178" s="1030"/>
      <c r="V178" s="1030"/>
      <c r="W178" s="1030"/>
      <c r="X178" s="1030"/>
      <c r="Y178" s="1030"/>
      <c r="Z178" s="1030"/>
    </row>
    <row r="179" spans="1:26" ht="12.75" customHeight="1" outlineLevel="1">
      <c r="A179" s="1061">
        <f t="shared" si="15"/>
        <v>47</v>
      </c>
      <c r="B179" s="1051" t="s">
        <v>3428</v>
      </c>
      <c r="C179" s="1066" t="s">
        <v>3342</v>
      </c>
      <c r="D179" s="1099" t="s">
        <v>122</v>
      </c>
      <c r="E179" s="1136"/>
      <c r="F179" s="1073" t="s">
        <v>3410</v>
      </c>
      <c r="G179" s="1035" t="s">
        <v>4774</v>
      </c>
      <c r="H179" s="1035"/>
      <c r="I179" s="1138"/>
      <c r="J179" s="1139"/>
      <c r="K179" s="1118">
        <v>0</v>
      </c>
      <c r="L179" s="1030"/>
      <c r="M179" s="1030"/>
      <c r="N179" s="1030"/>
      <c r="O179" s="1030"/>
      <c r="P179" s="1030"/>
      <c r="Q179" s="1030"/>
      <c r="R179" s="1030"/>
      <c r="S179" s="1030"/>
      <c r="T179" s="1030"/>
      <c r="U179" s="1030"/>
      <c r="V179" s="1030"/>
      <c r="W179" s="1030"/>
      <c r="X179" s="1030"/>
      <c r="Y179" s="1030"/>
      <c r="Z179" s="1030"/>
    </row>
    <row r="180" spans="1:26" ht="12.75" customHeight="1" outlineLevel="1">
      <c r="A180" s="1061">
        <f t="shared" si="15"/>
        <v>48</v>
      </c>
      <c r="B180" s="1051" t="s">
        <v>3428</v>
      </c>
      <c r="C180" s="1066" t="s">
        <v>3342</v>
      </c>
      <c r="D180" s="1099" t="s">
        <v>122</v>
      </c>
      <c r="E180" s="1136"/>
      <c r="F180" s="1073" t="s">
        <v>3410</v>
      </c>
      <c r="G180" s="1035" t="s">
        <v>4777</v>
      </c>
      <c r="H180" s="1035"/>
      <c r="I180" s="1138">
        <v>96</v>
      </c>
      <c r="J180" s="1467">
        <v>0.3</v>
      </c>
      <c r="K180" s="1118">
        <f>(I180*J180)</f>
        <v>28.799999999999997</v>
      </c>
      <c r="L180" s="1030"/>
      <c r="M180" s="1030"/>
      <c r="N180" s="1030"/>
      <c r="O180" s="1030"/>
      <c r="P180" s="1030"/>
      <c r="Q180" s="1030"/>
      <c r="R180" s="1030"/>
      <c r="S180" s="1030"/>
      <c r="T180" s="1030"/>
      <c r="U180" s="1030"/>
      <c r="V180" s="1030"/>
      <c r="W180" s="1030"/>
      <c r="X180" s="1030"/>
      <c r="Y180" s="1030"/>
      <c r="Z180" s="1030"/>
    </row>
    <row r="181" spans="1:26" ht="12.75" customHeight="1" outlineLevel="1">
      <c r="A181" s="1061">
        <f t="shared" si="15"/>
        <v>49</v>
      </c>
      <c r="B181" s="1051" t="s">
        <v>3428</v>
      </c>
      <c r="C181" s="1066" t="s">
        <v>3342</v>
      </c>
      <c r="D181" s="1099" t="s">
        <v>122</v>
      </c>
      <c r="E181" s="1136"/>
      <c r="F181" s="1073" t="s">
        <v>3410</v>
      </c>
      <c r="G181" s="1035" t="s">
        <v>3507</v>
      </c>
      <c r="H181" s="1035" t="s">
        <v>4801</v>
      </c>
      <c r="I181" s="1138"/>
      <c r="J181" s="1467"/>
      <c r="K181" s="1118">
        <v>82</v>
      </c>
      <c r="L181" s="1030"/>
      <c r="M181" s="1030"/>
      <c r="N181" s="1030"/>
      <c r="O181" s="1030"/>
      <c r="P181" s="1030"/>
      <c r="Q181" s="1030"/>
      <c r="R181" s="1030"/>
      <c r="S181" s="1030"/>
      <c r="T181" s="1030"/>
      <c r="U181" s="1030"/>
      <c r="V181" s="1030"/>
      <c r="W181" s="1030"/>
      <c r="X181" s="1030"/>
      <c r="Y181" s="1030"/>
      <c r="Z181" s="1030"/>
    </row>
    <row r="182" spans="1:26" ht="12.75" customHeight="1" outlineLevel="1">
      <c r="A182" s="1061">
        <f t="shared" si="15"/>
        <v>50</v>
      </c>
      <c r="B182" s="1051" t="s">
        <v>3428</v>
      </c>
      <c r="C182" s="1066" t="s">
        <v>3342</v>
      </c>
      <c r="D182" s="1099" t="s">
        <v>122</v>
      </c>
      <c r="E182" s="1136"/>
      <c r="F182" s="1073" t="s">
        <v>3410</v>
      </c>
      <c r="G182" s="1035" t="s">
        <v>4778</v>
      </c>
      <c r="H182" s="1035"/>
      <c r="I182" s="1138">
        <f>81+25</f>
        <v>106</v>
      </c>
      <c r="J182" s="1467">
        <v>0.3</v>
      </c>
      <c r="K182" s="1118">
        <f t="shared" ref="K182:K183" si="22">(I182*J182)</f>
        <v>31.799999999999997</v>
      </c>
      <c r="L182" s="1030"/>
      <c r="M182" s="1030"/>
      <c r="N182" s="1030"/>
      <c r="O182" s="1030"/>
      <c r="P182" s="1030"/>
      <c r="Q182" s="1030"/>
      <c r="R182" s="1030"/>
      <c r="S182" s="1030"/>
      <c r="T182" s="1030"/>
      <c r="U182" s="1030"/>
      <c r="V182" s="1030"/>
      <c r="W182" s="1030"/>
      <c r="X182" s="1030"/>
      <c r="Y182" s="1030"/>
      <c r="Z182" s="1030"/>
    </row>
    <row r="183" spans="1:26" ht="12.75" customHeight="1" outlineLevel="1">
      <c r="A183" s="1061">
        <f t="shared" si="15"/>
        <v>51</v>
      </c>
      <c r="B183" s="1051" t="s">
        <v>3428</v>
      </c>
      <c r="C183" s="1066" t="s">
        <v>3342</v>
      </c>
      <c r="D183" s="1099" t="s">
        <v>122</v>
      </c>
      <c r="E183" s="1136"/>
      <c r="F183" s="1073" t="s">
        <v>3410</v>
      </c>
      <c r="G183" s="1035" t="s">
        <v>4779</v>
      </c>
      <c r="H183" s="1035"/>
      <c r="I183" s="1138">
        <f>47+132</f>
        <v>179</v>
      </c>
      <c r="J183" s="1467">
        <v>0.3</v>
      </c>
      <c r="K183" s="1118">
        <f t="shared" si="22"/>
        <v>53.699999999999996</v>
      </c>
      <c r="L183" s="1030"/>
      <c r="M183" s="1030"/>
      <c r="N183" s="1030"/>
      <c r="O183" s="1030"/>
      <c r="P183" s="1030"/>
      <c r="Q183" s="1030"/>
      <c r="R183" s="1030"/>
      <c r="S183" s="1030"/>
      <c r="T183" s="1030"/>
      <c r="U183" s="1030"/>
      <c r="V183" s="1030"/>
      <c r="W183" s="1030"/>
      <c r="X183" s="1030"/>
      <c r="Y183" s="1030"/>
      <c r="Z183" s="1030"/>
    </row>
    <row r="184" spans="1:26" ht="12.75" customHeight="1" outlineLevel="1">
      <c r="A184" s="1061">
        <f t="shared" si="15"/>
        <v>52</v>
      </c>
      <c r="B184" s="1051" t="s">
        <v>3428</v>
      </c>
      <c r="C184" s="1066" t="s">
        <v>3342</v>
      </c>
      <c r="D184" s="1099" t="s">
        <v>122</v>
      </c>
      <c r="E184" s="1136"/>
      <c r="F184" s="1073" t="s">
        <v>3410</v>
      </c>
      <c r="G184" s="1035" t="s">
        <v>4781</v>
      </c>
      <c r="H184" s="1035"/>
      <c r="I184" s="1138"/>
      <c r="J184" s="1139"/>
      <c r="K184" s="1118">
        <v>0</v>
      </c>
      <c r="L184" s="1030"/>
      <c r="M184" s="1030"/>
      <c r="N184" s="1030"/>
      <c r="O184" s="1030"/>
      <c r="P184" s="1030"/>
      <c r="Q184" s="1030"/>
      <c r="R184" s="1030"/>
      <c r="S184" s="1030"/>
      <c r="T184" s="1030"/>
      <c r="U184" s="1030"/>
      <c r="V184" s="1030"/>
      <c r="W184" s="1030"/>
      <c r="X184" s="1030"/>
      <c r="Y184" s="1030"/>
      <c r="Z184" s="1030"/>
    </row>
    <row r="185" spans="1:26" ht="12.75" customHeight="1" outlineLevel="1">
      <c r="A185" s="1061">
        <f t="shared" si="15"/>
        <v>53</v>
      </c>
      <c r="B185" s="1051" t="s">
        <v>3428</v>
      </c>
      <c r="C185" s="1066" t="s">
        <v>3342</v>
      </c>
      <c r="D185" s="1099" t="s">
        <v>122</v>
      </c>
      <c r="E185" s="1136"/>
      <c r="F185" s="1073" t="s">
        <v>3410</v>
      </c>
      <c r="G185" s="1035" t="s">
        <v>4782</v>
      </c>
      <c r="H185" s="1035"/>
      <c r="I185" s="1138">
        <v>51</v>
      </c>
      <c r="J185" s="1139">
        <v>0.3</v>
      </c>
      <c r="K185" s="1118">
        <f t="shared" ref="K185:K187" si="23">I185*J185</f>
        <v>15.299999999999999</v>
      </c>
      <c r="L185" s="1030"/>
      <c r="M185" s="1030"/>
      <c r="N185" s="1030"/>
      <c r="O185" s="1030"/>
      <c r="P185" s="1030"/>
      <c r="Q185" s="1030"/>
      <c r="R185" s="1030"/>
      <c r="S185" s="1030"/>
      <c r="T185" s="1030"/>
      <c r="U185" s="1030"/>
      <c r="V185" s="1030"/>
      <c r="W185" s="1030"/>
      <c r="X185" s="1030"/>
      <c r="Y185" s="1030"/>
      <c r="Z185" s="1030"/>
    </row>
    <row r="186" spans="1:26" ht="12.75" customHeight="1" outlineLevel="1">
      <c r="A186" s="1061">
        <f t="shared" si="15"/>
        <v>54</v>
      </c>
      <c r="B186" s="1051" t="s">
        <v>3428</v>
      </c>
      <c r="C186" s="1066" t="s">
        <v>3342</v>
      </c>
      <c r="D186" s="1099" t="s">
        <v>122</v>
      </c>
      <c r="E186" s="1136"/>
      <c r="F186" s="1073" t="s">
        <v>3410</v>
      </c>
      <c r="G186" s="1035" t="s">
        <v>4783</v>
      </c>
      <c r="H186" s="1035"/>
      <c r="I186" s="1138">
        <v>322</v>
      </c>
      <c r="J186" s="1139">
        <v>0.3</v>
      </c>
      <c r="K186" s="1118">
        <f t="shared" si="23"/>
        <v>96.6</v>
      </c>
      <c r="L186" s="1030"/>
      <c r="M186" s="1030"/>
      <c r="N186" s="1030"/>
      <c r="O186" s="1030"/>
      <c r="P186" s="1030"/>
      <c r="Q186" s="1030"/>
      <c r="R186" s="1030"/>
      <c r="S186" s="1030"/>
      <c r="T186" s="1030"/>
      <c r="U186" s="1030"/>
      <c r="V186" s="1030"/>
      <c r="W186" s="1030"/>
      <c r="X186" s="1030"/>
      <c r="Y186" s="1030"/>
      <c r="Z186" s="1030"/>
    </row>
    <row r="187" spans="1:26" ht="12.75" customHeight="1" outlineLevel="1">
      <c r="A187" s="1061">
        <f t="shared" si="15"/>
        <v>55</v>
      </c>
      <c r="B187" s="1051" t="s">
        <v>3428</v>
      </c>
      <c r="C187" s="1066" t="s">
        <v>3342</v>
      </c>
      <c r="D187" s="1099" t="s">
        <v>122</v>
      </c>
      <c r="E187" s="1136"/>
      <c r="F187" s="1073" t="s">
        <v>3410</v>
      </c>
      <c r="G187" s="1035" t="s">
        <v>4784</v>
      </c>
      <c r="H187" s="1035"/>
      <c r="I187" s="1138">
        <v>470</v>
      </c>
      <c r="J187" s="1139">
        <v>0.3</v>
      </c>
      <c r="K187" s="1118">
        <f t="shared" si="23"/>
        <v>141</v>
      </c>
      <c r="L187" s="1030"/>
      <c r="M187" s="1030"/>
      <c r="N187" s="1030"/>
      <c r="O187" s="1030"/>
      <c r="P187" s="1030"/>
      <c r="Q187" s="1030"/>
      <c r="R187" s="1030"/>
      <c r="S187" s="1030"/>
      <c r="T187" s="1030"/>
      <c r="U187" s="1030"/>
      <c r="V187" s="1030"/>
      <c r="W187" s="1030"/>
      <c r="X187" s="1030"/>
      <c r="Y187" s="1030"/>
      <c r="Z187" s="1030"/>
    </row>
    <row r="188" spans="1:26" ht="12.75" customHeight="1" outlineLevel="1">
      <c r="A188" s="1061">
        <f t="shared" si="15"/>
        <v>56</v>
      </c>
      <c r="B188" s="1051" t="s">
        <v>3428</v>
      </c>
      <c r="C188" s="1066" t="s">
        <v>3342</v>
      </c>
      <c r="D188" s="1099" t="s">
        <v>122</v>
      </c>
      <c r="E188" s="1136"/>
      <c r="F188" s="1073" t="s">
        <v>3410</v>
      </c>
      <c r="G188" s="1035" t="s">
        <v>4785</v>
      </c>
      <c r="H188" s="1035" t="s">
        <v>3459</v>
      </c>
      <c r="I188" s="1138"/>
      <c r="J188" s="1139"/>
      <c r="K188" s="1118">
        <v>22.64</v>
      </c>
      <c r="L188" s="1030"/>
      <c r="M188" s="1030"/>
      <c r="N188" s="1030"/>
      <c r="O188" s="1030"/>
      <c r="P188" s="1030"/>
      <c r="Q188" s="1030"/>
      <c r="R188" s="1030"/>
      <c r="S188" s="1030"/>
      <c r="T188" s="1030"/>
      <c r="U188" s="1030"/>
      <c r="V188" s="1030"/>
      <c r="W188" s="1030"/>
      <c r="X188" s="1030"/>
      <c r="Y188" s="1030"/>
      <c r="Z188" s="1030"/>
    </row>
    <row r="189" spans="1:26" ht="63.75" customHeight="1" outlineLevel="1">
      <c r="A189" s="1061">
        <f t="shared" si="15"/>
        <v>57</v>
      </c>
      <c r="B189" s="1051" t="s">
        <v>3466</v>
      </c>
      <c r="C189" s="1066" t="s">
        <v>3342</v>
      </c>
      <c r="D189" s="1099" t="s">
        <v>122</v>
      </c>
      <c r="E189" s="1136"/>
      <c r="F189" s="1073" t="s">
        <v>3410</v>
      </c>
      <c r="G189" s="1035" t="s">
        <v>3584</v>
      </c>
      <c r="H189" s="1035" t="s">
        <v>4802</v>
      </c>
      <c r="I189" s="1035" t="s">
        <v>4803</v>
      </c>
      <c r="J189" s="1139"/>
      <c r="K189" s="1118">
        <f>13601.91-274.09</f>
        <v>13327.82</v>
      </c>
      <c r="L189" s="1030"/>
      <c r="M189" s="1030"/>
      <c r="N189" s="1030"/>
      <c r="O189" s="1030"/>
      <c r="P189" s="1030"/>
      <c r="Q189" s="1030"/>
      <c r="R189" s="1030"/>
      <c r="S189" s="1030"/>
      <c r="T189" s="1030"/>
      <c r="U189" s="1030"/>
      <c r="V189" s="1030"/>
      <c r="W189" s="1030"/>
      <c r="X189" s="1030"/>
      <c r="Y189" s="1030"/>
      <c r="Z189" s="1030"/>
    </row>
    <row r="190" spans="1:26" ht="12.75" customHeight="1" outlineLevel="1">
      <c r="A190" s="1061">
        <f t="shared" si="15"/>
        <v>58</v>
      </c>
      <c r="B190" s="1051" t="s">
        <v>3470</v>
      </c>
      <c r="C190" s="1066" t="s">
        <v>3342</v>
      </c>
      <c r="D190" s="1099" t="s">
        <v>122</v>
      </c>
      <c r="E190" s="1136"/>
      <c r="F190" s="1073" t="s">
        <v>3410</v>
      </c>
      <c r="G190" s="1035" t="s">
        <v>3471</v>
      </c>
      <c r="H190" s="1035" t="s">
        <v>4804</v>
      </c>
      <c r="I190" s="1035"/>
      <c r="J190" s="1139"/>
      <c r="K190" s="1118">
        <f>1600+150</f>
        <v>1750</v>
      </c>
      <c r="L190" s="1030"/>
      <c r="M190" s="1030"/>
      <c r="N190" s="1030"/>
      <c r="O190" s="1030"/>
      <c r="P190" s="1030"/>
      <c r="Q190" s="1030"/>
      <c r="R190" s="1030"/>
      <c r="S190" s="1030"/>
      <c r="T190" s="1030"/>
      <c r="U190" s="1030"/>
      <c r="V190" s="1030"/>
      <c r="W190" s="1030"/>
      <c r="X190" s="1030"/>
      <c r="Y190" s="1030"/>
      <c r="Z190" s="1030"/>
    </row>
    <row r="191" spans="1:26" ht="25.5" customHeight="1" outlineLevel="1">
      <c r="A191" s="1061">
        <f t="shared" si="15"/>
        <v>59</v>
      </c>
      <c r="B191" s="1051" t="s">
        <v>3485</v>
      </c>
      <c r="C191" s="1066" t="s">
        <v>3342</v>
      </c>
      <c r="D191" s="1099" t="s">
        <v>122</v>
      </c>
      <c r="E191" s="1136"/>
      <c r="F191" s="1073" t="s">
        <v>3410</v>
      </c>
      <c r="G191" s="1035" t="s">
        <v>3510</v>
      </c>
      <c r="H191" s="1035" t="s">
        <v>4805</v>
      </c>
      <c r="I191" s="1035"/>
      <c r="J191" s="1139"/>
      <c r="K191" s="1118">
        <v>45</v>
      </c>
      <c r="L191" s="1134"/>
      <c r="M191" s="1030"/>
      <c r="N191" s="1030"/>
      <c r="O191" s="1030"/>
      <c r="P191" s="1030"/>
      <c r="Q191" s="1030"/>
      <c r="R191" s="1030"/>
      <c r="S191" s="1030"/>
      <c r="T191" s="1030"/>
      <c r="U191" s="1030"/>
      <c r="V191" s="1030"/>
      <c r="W191" s="1030"/>
      <c r="X191" s="1030"/>
      <c r="Y191" s="1030"/>
      <c r="Z191" s="1030"/>
    </row>
    <row r="192" spans="1:26" ht="52.5" customHeight="1" outlineLevel="1">
      <c r="A192" s="1061">
        <f t="shared" si="15"/>
        <v>60</v>
      </c>
      <c r="B192" s="1051" t="s">
        <v>3473</v>
      </c>
      <c r="C192" s="1066" t="s">
        <v>3342</v>
      </c>
      <c r="D192" s="1099" t="s">
        <v>122</v>
      </c>
      <c r="E192" s="1136"/>
      <c r="F192" s="1073" t="s">
        <v>3410</v>
      </c>
      <c r="G192" s="1035" t="s">
        <v>3588</v>
      </c>
      <c r="H192" s="1035" t="s">
        <v>4806</v>
      </c>
      <c r="I192" s="1035"/>
      <c r="J192" s="1139"/>
      <c r="K192" s="1118">
        <f>(115*4.8)</f>
        <v>552</v>
      </c>
      <c r="L192" s="1134"/>
      <c r="M192" s="1030"/>
      <c r="N192" s="1030"/>
      <c r="O192" s="1030"/>
      <c r="P192" s="1030"/>
      <c r="Q192" s="1030"/>
      <c r="R192" s="1030"/>
      <c r="S192" s="1030"/>
      <c r="T192" s="1030"/>
      <c r="U192" s="1030"/>
      <c r="V192" s="1030"/>
      <c r="W192" s="1030"/>
      <c r="X192" s="1030"/>
      <c r="Y192" s="1030"/>
      <c r="Z192" s="1030"/>
    </row>
    <row r="193" spans="1:26" ht="25.5" outlineLevel="1">
      <c r="A193" s="1061">
        <f t="shared" si="15"/>
        <v>61</v>
      </c>
      <c r="B193" s="1051" t="s">
        <v>3473</v>
      </c>
      <c r="C193" s="1112" t="s">
        <v>3342</v>
      </c>
      <c r="D193" s="1099" t="s">
        <v>122</v>
      </c>
      <c r="E193" s="1114"/>
      <c r="F193" s="1073" t="s">
        <v>3410</v>
      </c>
      <c r="G193" s="1136" t="s">
        <v>3474</v>
      </c>
      <c r="H193" s="1035" t="s">
        <v>4807</v>
      </c>
      <c r="I193" s="1035"/>
      <c r="J193" s="1147"/>
      <c r="K193" s="1118">
        <v>1251.75</v>
      </c>
      <c r="L193" s="1103"/>
      <c r="M193" s="1103"/>
      <c r="N193" s="1103"/>
      <c r="O193" s="1103"/>
      <c r="P193" s="1103"/>
      <c r="Q193" s="1103"/>
      <c r="R193" s="1103"/>
      <c r="S193" s="1103"/>
      <c r="T193" s="1103"/>
      <c r="U193" s="1103"/>
      <c r="V193" s="1103"/>
      <c r="W193" s="1103"/>
      <c r="X193" s="1103"/>
      <c r="Y193" s="1103"/>
      <c r="Z193" s="1103"/>
    </row>
    <row r="194" spans="1:26" ht="38.25" outlineLevel="1">
      <c r="A194" s="1061">
        <f t="shared" si="15"/>
        <v>62</v>
      </c>
      <c r="B194" s="1051" t="s">
        <v>3473</v>
      </c>
      <c r="C194" s="1112" t="s">
        <v>3342</v>
      </c>
      <c r="D194" s="1099" t="s">
        <v>122</v>
      </c>
      <c r="E194" s="1114"/>
      <c r="F194" s="1073" t="s">
        <v>3410</v>
      </c>
      <c r="G194" s="1136" t="s">
        <v>3474</v>
      </c>
      <c r="H194" s="1035" t="s">
        <v>4808</v>
      </c>
      <c r="I194" s="1035" t="s">
        <v>4809</v>
      </c>
      <c r="J194" s="1147"/>
      <c r="K194" s="1118">
        <f>59.84+9.1</f>
        <v>68.94</v>
      </c>
      <c r="L194" s="1103"/>
      <c r="M194" s="1103"/>
      <c r="N194" s="1103"/>
      <c r="O194" s="1103"/>
      <c r="P194" s="1103"/>
      <c r="Q194" s="1103"/>
      <c r="R194" s="1103"/>
      <c r="S194" s="1103"/>
      <c r="T194" s="1103"/>
      <c r="U194" s="1103"/>
      <c r="V194" s="1103"/>
      <c r="W194" s="1103"/>
      <c r="X194" s="1103"/>
      <c r="Y194" s="1103"/>
      <c r="Z194" s="1103"/>
    </row>
    <row r="195" spans="1:26" ht="12.75" customHeight="1" outlineLevel="1">
      <c r="A195" s="1061">
        <f t="shared" si="15"/>
        <v>63</v>
      </c>
      <c r="B195" s="1051" t="s">
        <v>3473</v>
      </c>
      <c r="C195" s="1066" t="s">
        <v>3342</v>
      </c>
      <c r="D195" s="1099" t="s">
        <v>122</v>
      </c>
      <c r="E195" s="1136"/>
      <c r="F195" s="1073" t="s">
        <v>3410</v>
      </c>
      <c r="G195" s="1035" t="s">
        <v>4810</v>
      </c>
      <c r="H195" s="1035" t="s">
        <v>4811</v>
      </c>
      <c r="I195" s="1035"/>
      <c r="J195" s="1139"/>
      <c r="K195" s="1118">
        <v>349.5</v>
      </c>
      <c r="L195" s="1134"/>
      <c r="M195" s="1030"/>
      <c r="N195" s="1030"/>
      <c r="O195" s="1030"/>
      <c r="P195" s="1030"/>
      <c r="Q195" s="1030"/>
      <c r="R195" s="1030"/>
      <c r="S195" s="1030"/>
      <c r="T195" s="1030"/>
      <c r="U195" s="1030"/>
      <c r="V195" s="1030"/>
      <c r="W195" s="1030"/>
      <c r="X195" s="1030"/>
      <c r="Y195" s="1030"/>
      <c r="Z195" s="1030"/>
    </row>
    <row r="196" spans="1:26" ht="30.75" customHeight="1" outlineLevel="1">
      <c r="A196" s="1061">
        <f t="shared" si="15"/>
        <v>64</v>
      </c>
      <c r="B196" s="1051" t="s">
        <v>3462</v>
      </c>
      <c r="C196" s="1066" t="s">
        <v>3342</v>
      </c>
      <c r="D196" s="1099" t="s">
        <v>122</v>
      </c>
      <c r="E196" s="1136"/>
      <c r="F196" s="1073" t="s">
        <v>3410</v>
      </c>
      <c r="G196" s="1035" t="s">
        <v>4792</v>
      </c>
      <c r="H196" s="1035" t="s">
        <v>4812</v>
      </c>
      <c r="I196" s="1035" t="s">
        <v>4813</v>
      </c>
      <c r="J196" s="1139"/>
      <c r="K196" s="1118">
        <f>10.29*108</f>
        <v>1111.32</v>
      </c>
      <c r="L196" s="1134"/>
      <c r="M196" s="1030"/>
      <c r="N196" s="1030"/>
      <c r="O196" s="1030"/>
      <c r="P196" s="1030"/>
      <c r="Q196" s="1030"/>
      <c r="R196" s="1030"/>
      <c r="S196" s="1030"/>
      <c r="T196" s="1030"/>
      <c r="U196" s="1030"/>
      <c r="V196" s="1030"/>
      <c r="W196" s="1030"/>
      <c r="X196" s="1030"/>
      <c r="Y196" s="1030"/>
      <c r="Z196" s="1030"/>
    </row>
    <row r="197" spans="1:26" ht="26.25" customHeight="1" outlineLevel="1">
      <c r="A197" s="1061">
        <f t="shared" si="15"/>
        <v>65</v>
      </c>
      <c r="B197" s="1051" t="s">
        <v>3485</v>
      </c>
      <c r="C197" s="1066" t="s">
        <v>3342</v>
      </c>
      <c r="D197" s="1099" t="s">
        <v>122</v>
      </c>
      <c r="E197" s="1136"/>
      <c r="F197" s="1073" t="s">
        <v>3410</v>
      </c>
      <c r="G197" s="1035" t="s">
        <v>4814</v>
      </c>
      <c r="H197" s="1035" t="s">
        <v>4815</v>
      </c>
      <c r="I197" s="1035"/>
      <c r="J197" s="1139"/>
      <c r="K197" s="1118">
        <f>((226.55)+(2.9+18.72))</f>
        <v>248.17000000000002</v>
      </c>
      <c r="L197" s="1134"/>
      <c r="M197" s="1030"/>
      <c r="N197" s="1030"/>
      <c r="O197" s="1030"/>
      <c r="P197" s="1030"/>
      <c r="Q197" s="1030"/>
      <c r="R197" s="1030"/>
      <c r="S197" s="1030"/>
      <c r="T197" s="1030"/>
      <c r="U197" s="1030"/>
      <c r="V197" s="1030"/>
      <c r="W197" s="1030"/>
      <c r="X197" s="1030"/>
      <c r="Y197" s="1030"/>
      <c r="Z197" s="1030"/>
    </row>
    <row r="198" spans="1:26" ht="12.75" customHeight="1" outlineLevel="1">
      <c r="A198" s="1061">
        <f t="shared" si="15"/>
        <v>66</v>
      </c>
      <c r="B198" s="1051" t="s">
        <v>3428</v>
      </c>
      <c r="C198" s="1066" t="s">
        <v>3342</v>
      </c>
      <c r="D198" s="1099" t="s">
        <v>122</v>
      </c>
      <c r="E198" s="1152"/>
      <c r="F198" s="1073" t="s">
        <v>3414</v>
      </c>
      <c r="G198" s="1035" t="s">
        <v>3460</v>
      </c>
      <c r="H198" s="1035"/>
      <c r="I198" s="1138">
        <v>100</v>
      </c>
      <c r="J198" s="1467">
        <v>0.3</v>
      </c>
      <c r="K198" s="1118">
        <f>I198*J197:J198</f>
        <v>30</v>
      </c>
      <c r="L198" s="1134"/>
      <c r="M198" s="1030"/>
      <c r="N198" s="1030"/>
      <c r="O198" s="1030"/>
      <c r="P198" s="1030"/>
      <c r="Q198" s="1030"/>
      <c r="R198" s="1030"/>
      <c r="S198" s="1030"/>
      <c r="T198" s="1030"/>
      <c r="U198" s="1030"/>
      <c r="V198" s="1030"/>
      <c r="W198" s="1030"/>
      <c r="X198" s="1030"/>
      <c r="Y198" s="1030"/>
      <c r="Z198" s="1030"/>
    </row>
    <row r="199" spans="1:26" ht="12.75" customHeight="1" outlineLevel="1">
      <c r="A199" s="1061">
        <f t="shared" si="15"/>
        <v>67</v>
      </c>
      <c r="B199" s="1051" t="s">
        <v>3428</v>
      </c>
      <c r="C199" s="1066" t="s">
        <v>3342</v>
      </c>
      <c r="D199" s="1099" t="s">
        <v>122</v>
      </c>
      <c r="E199" s="1152"/>
      <c r="F199" s="1073" t="s">
        <v>3414</v>
      </c>
      <c r="G199" s="1035" t="s">
        <v>4761</v>
      </c>
      <c r="H199" s="1035"/>
      <c r="I199" s="1138">
        <v>0</v>
      </c>
      <c r="J199" s="1467">
        <v>0.3</v>
      </c>
      <c r="K199" s="1118">
        <v>0</v>
      </c>
      <c r="L199" s="1134"/>
      <c r="M199" s="1030"/>
      <c r="N199" s="1030"/>
      <c r="O199" s="1030"/>
      <c r="P199" s="1030"/>
      <c r="Q199" s="1030"/>
      <c r="R199" s="1030"/>
      <c r="S199" s="1030"/>
      <c r="T199" s="1030"/>
      <c r="U199" s="1030"/>
      <c r="V199" s="1030"/>
      <c r="W199" s="1030"/>
      <c r="X199" s="1030"/>
      <c r="Y199" s="1030"/>
      <c r="Z199" s="1030"/>
    </row>
    <row r="200" spans="1:26" ht="12.75" customHeight="1" outlineLevel="1">
      <c r="A200" s="1061">
        <f t="shared" si="15"/>
        <v>68</v>
      </c>
      <c r="B200" s="1051" t="s">
        <v>3428</v>
      </c>
      <c r="C200" s="1066" t="s">
        <v>3342</v>
      </c>
      <c r="D200" s="1099" t="s">
        <v>122</v>
      </c>
      <c r="E200" s="1152"/>
      <c r="F200" s="1073" t="s">
        <v>3414</v>
      </c>
      <c r="G200" s="1035" t="s">
        <v>4762</v>
      </c>
      <c r="H200" s="1035"/>
      <c r="I200" s="1138">
        <v>184</v>
      </c>
      <c r="J200" s="1467">
        <v>0.3</v>
      </c>
      <c r="K200" s="1118">
        <f>I200*J200</f>
        <v>55.199999999999996</v>
      </c>
      <c r="L200" s="1134"/>
      <c r="M200" s="1030"/>
      <c r="N200" s="1030"/>
      <c r="O200" s="1030"/>
      <c r="P200" s="1030"/>
      <c r="Q200" s="1030"/>
      <c r="R200" s="1030"/>
      <c r="S200" s="1030"/>
      <c r="T200" s="1030"/>
      <c r="U200" s="1030"/>
      <c r="V200" s="1030"/>
      <c r="W200" s="1030"/>
      <c r="X200" s="1030"/>
      <c r="Y200" s="1030"/>
      <c r="Z200" s="1030"/>
    </row>
    <row r="201" spans="1:26" ht="12.75" customHeight="1" outlineLevel="1">
      <c r="A201" s="1061">
        <f t="shared" si="15"/>
        <v>69</v>
      </c>
      <c r="B201" s="1051" t="s">
        <v>3428</v>
      </c>
      <c r="C201" s="1066" t="s">
        <v>3342</v>
      </c>
      <c r="D201" s="1099" t="s">
        <v>122</v>
      </c>
      <c r="E201" s="1153"/>
      <c r="F201" s="1073" t="s">
        <v>3414</v>
      </c>
      <c r="G201" s="1035" t="s">
        <v>4763</v>
      </c>
      <c r="H201" s="1035"/>
      <c r="I201" s="1138">
        <v>0</v>
      </c>
      <c r="J201" s="1467">
        <v>0.3</v>
      </c>
      <c r="K201" s="1118"/>
      <c r="L201" s="1134"/>
      <c r="M201" s="1030"/>
      <c r="N201" s="1030"/>
      <c r="O201" s="1030"/>
      <c r="P201" s="1030"/>
      <c r="Q201" s="1030"/>
      <c r="R201" s="1030"/>
      <c r="S201" s="1030"/>
      <c r="T201" s="1030"/>
      <c r="U201" s="1030"/>
      <c r="V201" s="1030"/>
      <c r="W201" s="1030"/>
      <c r="X201" s="1030"/>
      <c r="Y201" s="1030"/>
      <c r="Z201" s="1030"/>
    </row>
    <row r="202" spans="1:26" ht="12.75" customHeight="1" outlineLevel="1">
      <c r="A202" s="1061">
        <f t="shared" si="15"/>
        <v>70</v>
      </c>
      <c r="B202" s="1051" t="s">
        <v>3428</v>
      </c>
      <c r="C202" s="1066" t="s">
        <v>3342</v>
      </c>
      <c r="D202" s="1099" t="s">
        <v>122</v>
      </c>
      <c r="E202" s="1153"/>
      <c r="F202" s="1073" t="s">
        <v>3414</v>
      </c>
      <c r="G202" s="1035" t="s">
        <v>4764</v>
      </c>
      <c r="H202" s="1035"/>
      <c r="I202" s="1138">
        <v>100</v>
      </c>
      <c r="J202" s="1467">
        <v>0.3</v>
      </c>
      <c r="K202" s="1118">
        <f t="shared" ref="K202:K203" si="24">I202*J202</f>
        <v>30</v>
      </c>
      <c r="L202" s="1134"/>
      <c r="M202" s="1030"/>
      <c r="N202" s="1030"/>
      <c r="O202" s="1030"/>
      <c r="P202" s="1030"/>
      <c r="Q202" s="1030"/>
      <c r="R202" s="1030"/>
      <c r="S202" s="1030"/>
      <c r="T202" s="1030"/>
      <c r="U202" s="1030"/>
      <c r="V202" s="1030"/>
      <c r="W202" s="1030"/>
      <c r="X202" s="1030"/>
      <c r="Y202" s="1030"/>
      <c r="Z202" s="1030"/>
    </row>
    <row r="203" spans="1:26" ht="12.75" customHeight="1" outlineLevel="1">
      <c r="A203" s="1061">
        <f t="shared" si="15"/>
        <v>71</v>
      </c>
      <c r="B203" s="1051" t="s">
        <v>3428</v>
      </c>
      <c r="C203" s="1066" t="s">
        <v>3342</v>
      </c>
      <c r="D203" s="1099" t="s">
        <v>122</v>
      </c>
      <c r="E203" s="1152"/>
      <c r="F203" s="1073" t="s">
        <v>3414</v>
      </c>
      <c r="G203" s="1035" t="s">
        <v>4765</v>
      </c>
      <c r="H203" s="1035"/>
      <c r="I203" s="1138">
        <v>364</v>
      </c>
      <c r="J203" s="1467">
        <v>0.3</v>
      </c>
      <c r="K203" s="1118">
        <f t="shared" si="24"/>
        <v>109.2</v>
      </c>
      <c r="L203" s="1134"/>
      <c r="M203" s="1030"/>
      <c r="N203" s="1030"/>
      <c r="O203" s="1030"/>
      <c r="P203" s="1030"/>
      <c r="Q203" s="1030"/>
      <c r="R203" s="1030"/>
      <c r="S203" s="1030"/>
      <c r="T203" s="1030"/>
      <c r="U203" s="1030"/>
      <c r="V203" s="1030"/>
      <c r="W203" s="1030"/>
      <c r="X203" s="1030"/>
      <c r="Y203" s="1030"/>
      <c r="Z203" s="1030"/>
    </row>
    <row r="204" spans="1:26" ht="12.75" customHeight="1" outlineLevel="1">
      <c r="A204" s="1061">
        <f t="shared" si="15"/>
        <v>72</v>
      </c>
      <c r="B204" s="1051" t="s">
        <v>3428</v>
      </c>
      <c r="C204" s="1066" t="s">
        <v>3342</v>
      </c>
      <c r="D204" s="1099" t="s">
        <v>122</v>
      </c>
      <c r="E204" s="1152"/>
      <c r="F204" s="1073" t="s">
        <v>3414</v>
      </c>
      <c r="G204" s="1035" t="s">
        <v>4816</v>
      </c>
      <c r="H204" s="1035"/>
      <c r="I204" s="1138">
        <v>0</v>
      </c>
      <c r="J204" s="1467">
        <v>0.3</v>
      </c>
      <c r="K204" s="1118">
        <v>0</v>
      </c>
      <c r="L204" s="1134"/>
      <c r="M204" s="1030"/>
      <c r="N204" s="1030"/>
      <c r="O204" s="1030"/>
      <c r="P204" s="1030"/>
      <c r="Q204" s="1030"/>
      <c r="R204" s="1030"/>
      <c r="S204" s="1030"/>
      <c r="T204" s="1030"/>
      <c r="U204" s="1030"/>
      <c r="V204" s="1030"/>
      <c r="W204" s="1030"/>
      <c r="X204" s="1030"/>
      <c r="Y204" s="1030"/>
      <c r="Z204" s="1030"/>
    </row>
    <row r="205" spans="1:26" ht="12.75" customHeight="1" outlineLevel="1">
      <c r="A205" s="1061">
        <f t="shared" si="15"/>
        <v>73</v>
      </c>
      <c r="B205" s="1051" t="s">
        <v>3428</v>
      </c>
      <c r="C205" s="1066" t="s">
        <v>3342</v>
      </c>
      <c r="D205" s="1099" t="s">
        <v>122</v>
      </c>
      <c r="E205" s="1152"/>
      <c r="F205" s="1073" t="s">
        <v>3414</v>
      </c>
      <c r="G205" s="1035" t="s">
        <v>4766</v>
      </c>
      <c r="H205" s="1035"/>
      <c r="I205" s="1138">
        <v>0</v>
      </c>
      <c r="J205" s="1467">
        <v>0.3</v>
      </c>
      <c r="K205" s="1118"/>
      <c r="L205" s="1134"/>
      <c r="M205" s="1030"/>
      <c r="N205" s="1030"/>
      <c r="O205" s="1030"/>
      <c r="P205" s="1030"/>
      <c r="Q205" s="1030"/>
      <c r="R205" s="1030"/>
      <c r="S205" s="1030"/>
      <c r="T205" s="1030"/>
      <c r="U205" s="1030"/>
      <c r="V205" s="1030"/>
      <c r="W205" s="1030"/>
      <c r="X205" s="1030"/>
      <c r="Y205" s="1030"/>
      <c r="Z205" s="1030"/>
    </row>
    <row r="206" spans="1:26" ht="12.75" customHeight="1" outlineLevel="1">
      <c r="A206" s="1061">
        <f t="shared" si="15"/>
        <v>74</v>
      </c>
      <c r="B206" s="1051" t="s">
        <v>3428</v>
      </c>
      <c r="C206" s="1066" t="s">
        <v>3342</v>
      </c>
      <c r="D206" s="1099" t="s">
        <v>122</v>
      </c>
      <c r="E206" s="1152"/>
      <c r="F206" s="1073" t="s">
        <v>3414</v>
      </c>
      <c r="G206" s="1035" t="s">
        <v>4767</v>
      </c>
      <c r="H206" s="1035"/>
      <c r="I206" s="1138">
        <v>626</v>
      </c>
      <c r="J206" s="1467">
        <v>0.3</v>
      </c>
      <c r="K206" s="1118">
        <f>I206*J206</f>
        <v>187.79999999999998</v>
      </c>
      <c r="L206" s="1134"/>
      <c r="M206" s="1030"/>
      <c r="N206" s="1030"/>
      <c r="O206" s="1030"/>
      <c r="P206" s="1030"/>
      <c r="Q206" s="1030"/>
      <c r="R206" s="1030"/>
      <c r="S206" s="1030"/>
      <c r="T206" s="1030"/>
      <c r="U206" s="1030"/>
      <c r="V206" s="1030"/>
      <c r="W206" s="1030"/>
      <c r="X206" s="1030"/>
      <c r="Y206" s="1030"/>
      <c r="Z206" s="1030"/>
    </row>
    <row r="207" spans="1:26" ht="12.75" customHeight="1" outlineLevel="1">
      <c r="A207" s="1061">
        <f t="shared" si="15"/>
        <v>75</v>
      </c>
      <c r="B207" s="1051" t="s">
        <v>3428</v>
      </c>
      <c r="C207" s="1066" t="s">
        <v>3342</v>
      </c>
      <c r="D207" s="1099" t="s">
        <v>122</v>
      </c>
      <c r="E207" s="1152"/>
      <c r="F207" s="1073" t="s">
        <v>3414</v>
      </c>
      <c r="G207" s="1035" t="s">
        <v>4768</v>
      </c>
      <c r="H207" s="1035" t="s">
        <v>4817</v>
      </c>
      <c r="I207" s="1138">
        <v>250</v>
      </c>
      <c r="J207" s="1467">
        <v>0.3</v>
      </c>
      <c r="K207" s="1118">
        <f>(I207*J207)+99</f>
        <v>174</v>
      </c>
      <c r="L207" s="1134"/>
      <c r="M207" s="1030"/>
      <c r="N207" s="1030"/>
      <c r="O207" s="1030"/>
      <c r="P207" s="1030"/>
      <c r="Q207" s="1030"/>
      <c r="R207" s="1030"/>
      <c r="S207" s="1030"/>
      <c r="T207" s="1030"/>
      <c r="U207" s="1030"/>
      <c r="V207" s="1030"/>
      <c r="W207" s="1030"/>
      <c r="X207" s="1030"/>
      <c r="Y207" s="1030"/>
      <c r="Z207" s="1030"/>
    </row>
    <row r="208" spans="1:26" ht="12.75" customHeight="1" outlineLevel="1">
      <c r="A208" s="1061">
        <f t="shared" si="15"/>
        <v>76</v>
      </c>
      <c r="B208" s="1051" t="s">
        <v>3428</v>
      </c>
      <c r="C208" s="1066" t="s">
        <v>3342</v>
      </c>
      <c r="D208" s="1099" t="s">
        <v>122</v>
      </c>
      <c r="E208" s="1152"/>
      <c r="F208" s="1073" t="s">
        <v>3414</v>
      </c>
      <c r="G208" s="1035" t="s">
        <v>4769</v>
      </c>
      <c r="H208" s="1035"/>
      <c r="I208" s="1138">
        <v>0</v>
      </c>
      <c r="J208" s="1467">
        <v>0.3</v>
      </c>
      <c r="K208" s="1118">
        <v>0</v>
      </c>
      <c r="L208" s="1134"/>
      <c r="M208" s="1030"/>
      <c r="N208" s="1030"/>
      <c r="O208" s="1030"/>
      <c r="P208" s="1030"/>
      <c r="Q208" s="1030"/>
      <c r="R208" s="1030"/>
      <c r="S208" s="1030"/>
      <c r="T208" s="1030"/>
      <c r="U208" s="1030"/>
      <c r="V208" s="1030"/>
      <c r="W208" s="1030"/>
      <c r="X208" s="1030"/>
      <c r="Y208" s="1030"/>
      <c r="Z208" s="1030"/>
    </row>
    <row r="209" spans="1:26" ht="12.75" customHeight="1" outlineLevel="1">
      <c r="A209" s="1061">
        <f t="shared" si="15"/>
        <v>77</v>
      </c>
      <c r="B209" s="1051" t="s">
        <v>3428</v>
      </c>
      <c r="C209" s="1066" t="s">
        <v>3342</v>
      </c>
      <c r="D209" s="1099" t="s">
        <v>122</v>
      </c>
      <c r="E209" s="1152"/>
      <c r="F209" s="1073" t="s">
        <v>3414</v>
      </c>
      <c r="G209" s="1035" t="s">
        <v>4770</v>
      </c>
      <c r="H209" s="1035"/>
      <c r="I209" s="1138">
        <v>0</v>
      </c>
      <c r="J209" s="1467">
        <v>0.3</v>
      </c>
      <c r="K209" s="1118">
        <v>0</v>
      </c>
      <c r="L209" s="1134"/>
      <c r="M209" s="1030"/>
      <c r="N209" s="1030"/>
      <c r="O209" s="1030"/>
      <c r="P209" s="1030"/>
      <c r="Q209" s="1030"/>
      <c r="R209" s="1030"/>
      <c r="S209" s="1030"/>
      <c r="T209" s="1030"/>
      <c r="U209" s="1030"/>
      <c r="V209" s="1030"/>
      <c r="W209" s="1030"/>
      <c r="X209" s="1030"/>
      <c r="Y209" s="1030"/>
      <c r="Z209" s="1030"/>
    </row>
    <row r="210" spans="1:26" ht="12.75" customHeight="1" outlineLevel="1">
      <c r="A210" s="1061">
        <f t="shared" si="15"/>
        <v>78</v>
      </c>
      <c r="B210" s="1051" t="s">
        <v>3428</v>
      </c>
      <c r="C210" s="1066" t="s">
        <v>3342</v>
      </c>
      <c r="D210" s="1099" t="s">
        <v>122</v>
      </c>
      <c r="E210" s="1136"/>
      <c r="F210" s="1073" t="s">
        <v>3414</v>
      </c>
      <c r="G210" s="1035" t="s">
        <v>4771</v>
      </c>
      <c r="H210" s="1035"/>
      <c r="I210" s="1138">
        <v>0</v>
      </c>
      <c r="J210" s="1467">
        <v>0.3</v>
      </c>
      <c r="K210" s="1118">
        <v>0</v>
      </c>
      <c r="L210" s="1134"/>
      <c r="M210" s="1030"/>
      <c r="N210" s="1030"/>
      <c r="O210" s="1030"/>
      <c r="P210" s="1030"/>
      <c r="Q210" s="1030"/>
      <c r="R210" s="1030"/>
      <c r="S210" s="1030"/>
      <c r="T210" s="1030"/>
      <c r="U210" s="1030"/>
      <c r="V210" s="1030"/>
      <c r="W210" s="1030"/>
      <c r="X210" s="1030"/>
      <c r="Y210" s="1030"/>
      <c r="Z210" s="1030"/>
    </row>
    <row r="211" spans="1:26" ht="12.75" customHeight="1" outlineLevel="1">
      <c r="A211" s="1061">
        <f t="shared" si="15"/>
        <v>79</v>
      </c>
      <c r="B211" s="1051" t="s">
        <v>3428</v>
      </c>
      <c r="C211" s="1066" t="s">
        <v>3342</v>
      </c>
      <c r="D211" s="1099" t="s">
        <v>122</v>
      </c>
      <c r="E211" s="1136"/>
      <c r="F211" s="1073" t="s">
        <v>3414</v>
      </c>
      <c r="G211" s="1035" t="s">
        <v>4772</v>
      </c>
      <c r="H211" s="1035" t="s">
        <v>4817</v>
      </c>
      <c r="I211" s="1138">
        <v>235</v>
      </c>
      <c r="J211" s="1467">
        <v>0.3</v>
      </c>
      <c r="K211" s="1118">
        <f>(I211*J211)+463.8</f>
        <v>534.29999999999995</v>
      </c>
      <c r="L211" s="1134"/>
      <c r="M211" s="1030"/>
      <c r="N211" s="1030"/>
      <c r="O211" s="1030"/>
      <c r="P211" s="1030"/>
      <c r="Q211" s="1030"/>
      <c r="R211" s="1030"/>
      <c r="S211" s="1030"/>
      <c r="T211" s="1030"/>
      <c r="U211" s="1030"/>
      <c r="V211" s="1030"/>
      <c r="W211" s="1030"/>
      <c r="X211" s="1030"/>
      <c r="Y211" s="1030"/>
      <c r="Z211" s="1030"/>
    </row>
    <row r="212" spans="1:26" ht="12.75" customHeight="1" outlineLevel="1">
      <c r="A212" s="1061">
        <f t="shared" si="15"/>
        <v>80</v>
      </c>
      <c r="B212" s="1051" t="s">
        <v>3428</v>
      </c>
      <c r="C212" s="1066" t="s">
        <v>3342</v>
      </c>
      <c r="D212" s="1099" t="s">
        <v>122</v>
      </c>
      <c r="E212" s="1136"/>
      <c r="F212" s="1073" t="s">
        <v>3414</v>
      </c>
      <c r="G212" s="1035" t="s">
        <v>4773</v>
      </c>
      <c r="H212" s="1035" t="s">
        <v>4818</v>
      </c>
      <c r="I212" s="1138">
        <v>204</v>
      </c>
      <c r="J212" s="1467">
        <v>0.3</v>
      </c>
      <c r="K212" s="1118">
        <f t="shared" ref="K212:K215" si="25">I212*J212</f>
        <v>61.199999999999996</v>
      </c>
      <c r="L212" s="1134"/>
      <c r="M212" s="1030"/>
      <c r="N212" s="1030"/>
      <c r="O212" s="1030"/>
      <c r="P212" s="1030"/>
      <c r="Q212" s="1030"/>
      <c r="R212" s="1030"/>
      <c r="S212" s="1030"/>
      <c r="T212" s="1030"/>
      <c r="U212" s="1030"/>
      <c r="V212" s="1030"/>
      <c r="W212" s="1030"/>
      <c r="X212" s="1030"/>
      <c r="Y212" s="1030"/>
      <c r="Z212" s="1030"/>
    </row>
    <row r="213" spans="1:26" ht="12.75" customHeight="1" outlineLevel="1">
      <c r="A213" s="1061">
        <f t="shared" si="15"/>
        <v>81</v>
      </c>
      <c r="B213" s="1051" t="s">
        <v>3428</v>
      </c>
      <c r="C213" s="1066" t="s">
        <v>3342</v>
      </c>
      <c r="D213" s="1099" t="s">
        <v>122</v>
      </c>
      <c r="E213" s="1136"/>
      <c r="F213" s="1073" t="s">
        <v>3414</v>
      </c>
      <c r="G213" s="1035" t="s">
        <v>4774</v>
      </c>
      <c r="H213" s="1035"/>
      <c r="I213" s="1138">
        <v>0</v>
      </c>
      <c r="J213" s="1467">
        <v>0.3</v>
      </c>
      <c r="K213" s="1118">
        <f t="shared" si="25"/>
        <v>0</v>
      </c>
      <c r="L213" s="1134"/>
      <c r="M213" s="1030"/>
      <c r="N213" s="1030"/>
      <c r="O213" s="1030"/>
      <c r="P213" s="1030"/>
      <c r="Q213" s="1030"/>
      <c r="R213" s="1030"/>
      <c r="S213" s="1030"/>
      <c r="T213" s="1030"/>
      <c r="U213" s="1030"/>
      <c r="V213" s="1030"/>
      <c r="W213" s="1030"/>
      <c r="X213" s="1030"/>
      <c r="Y213" s="1030"/>
      <c r="Z213" s="1030"/>
    </row>
    <row r="214" spans="1:26" ht="12.75" customHeight="1" outlineLevel="1">
      <c r="A214" s="1061">
        <f t="shared" si="15"/>
        <v>82</v>
      </c>
      <c r="B214" s="1051" t="s">
        <v>3428</v>
      </c>
      <c r="C214" s="1066" t="s">
        <v>3342</v>
      </c>
      <c r="D214" s="1099" t="s">
        <v>122</v>
      </c>
      <c r="E214" s="1136"/>
      <c r="F214" s="1073" t="s">
        <v>3414</v>
      </c>
      <c r="G214" s="1035" t="s">
        <v>4777</v>
      </c>
      <c r="H214" s="1035"/>
      <c r="I214" s="1138">
        <v>96</v>
      </c>
      <c r="J214" s="1467">
        <v>0.3</v>
      </c>
      <c r="K214" s="1118">
        <f t="shared" si="25"/>
        <v>28.799999999999997</v>
      </c>
      <c r="L214" s="1134"/>
      <c r="M214" s="1030"/>
      <c r="N214" s="1030"/>
      <c r="O214" s="1030"/>
      <c r="P214" s="1030"/>
      <c r="Q214" s="1030"/>
      <c r="R214" s="1030"/>
      <c r="S214" s="1030"/>
      <c r="T214" s="1030"/>
      <c r="U214" s="1030"/>
      <c r="V214" s="1030"/>
      <c r="W214" s="1030"/>
      <c r="X214" s="1030"/>
      <c r="Y214" s="1030"/>
      <c r="Z214" s="1030"/>
    </row>
    <row r="215" spans="1:26" ht="12.75" customHeight="1" outlineLevel="1">
      <c r="A215" s="1061">
        <f t="shared" si="15"/>
        <v>83</v>
      </c>
      <c r="B215" s="1051" t="s">
        <v>3428</v>
      </c>
      <c r="C215" s="1066" t="s">
        <v>3342</v>
      </c>
      <c r="D215" s="1099" t="s">
        <v>122</v>
      </c>
      <c r="E215" s="1136"/>
      <c r="F215" s="1073" t="s">
        <v>3414</v>
      </c>
      <c r="G215" s="1035" t="s">
        <v>3507</v>
      </c>
      <c r="H215" s="1035"/>
      <c r="I215" s="1138">
        <v>430</v>
      </c>
      <c r="J215" s="1467">
        <v>0.3</v>
      </c>
      <c r="K215" s="1118">
        <f t="shared" si="25"/>
        <v>129</v>
      </c>
      <c r="L215" s="1134"/>
      <c r="M215" s="1030"/>
      <c r="N215" s="1030"/>
      <c r="O215" s="1030"/>
      <c r="P215" s="1030"/>
      <c r="Q215" s="1030"/>
      <c r="R215" s="1030"/>
      <c r="S215" s="1030"/>
      <c r="T215" s="1030"/>
      <c r="U215" s="1030"/>
      <c r="V215" s="1030"/>
      <c r="W215" s="1030"/>
      <c r="X215" s="1030"/>
      <c r="Y215" s="1030"/>
      <c r="Z215" s="1030"/>
    </row>
    <row r="216" spans="1:26" ht="12.75" customHeight="1" outlineLevel="1">
      <c r="A216" s="1061">
        <f t="shared" si="15"/>
        <v>84</v>
      </c>
      <c r="B216" s="1051" t="s">
        <v>3428</v>
      </c>
      <c r="C216" s="1066" t="s">
        <v>3342</v>
      </c>
      <c r="D216" s="1099" t="s">
        <v>122</v>
      </c>
      <c r="E216" s="1136"/>
      <c r="F216" s="1073" t="s">
        <v>3414</v>
      </c>
      <c r="G216" s="1035" t="s">
        <v>4778</v>
      </c>
      <c r="H216" s="1035" t="s">
        <v>4819</v>
      </c>
      <c r="I216" s="1138">
        <v>162</v>
      </c>
      <c r="J216" s="1467">
        <v>0.3</v>
      </c>
      <c r="K216" s="1118">
        <f>(I216*J216)+9</f>
        <v>57.6</v>
      </c>
      <c r="L216" s="1134"/>
      <c r="M216" s="1030"/>
      <c r="N216" s="1030"/>
      <c r="O216" s="1030"/>
      <c r="P216" s="1030"/>
      <c r="Q216" s="1030"/>
      <c r="R216" s="1030"/>
      <c r="S216" s="1030"/>
      <c r="T216" s="1030"/>
      <c r="U216" s="1030"/>
      <c r="V216" s="1030"/>
      <c r="W216" s="1030"/>
      <c r="X216" s="1030"/>
      <c r="Y216" s="1030"/>
      <c r="Z216" s="1030"/>
    </row>
    <row r="217" spans="1:26" ht="12.75" customHeight="1" outlineLevel="1">
      <c r="A217" s="1061">
        <f t="shared" si="15"/>
        <v>85</v>
      </c>
      <c r="B217" s="1051" t="s">
        <v>3428</v>
      </c>
      <c r="C217" s="1066" t="s">
        <v>3342</v>
      </c>
      <c r="D217" s="1099" t="s">
        <v>122</v>
      </c>
      <c r="E217" s="1136"/>
      <c r="F217" s="1073" t="s">
        <v>3414</v>
      </c>
      <c r="G217" s="1035" t="s">
        <v>4779</v>
      </c>
      <c r="H217" s="1035"/>
      <c r="I217" s="1138">
        <v>270</v>
      </c>
      <c r="J217" s="1467">
        <v>0.3</v>
      </c>
      <c r="K217" s="1118">
        <f>I217*J217</f>
        <v>81</v>
      </c>
      <c r="L217" s="1134"/>
      <c r="M217" s="1030"/>
      <c r="N217" s="1030"/>
      <c r="O217" s="1030"/>
      <c r="P217" s="1030"/>
      <c r="Q217" s="1030"/>
      <c r="R217" s="1030"/>
      <c r="S217" s="1030"/>
      <c r="T217" s="1030"/>
      <c r="U217" s="1030"/>
      <c r="V217" s="1030"/>
      <c r="W217" s="1030"/>
      <c r="X217" s="1030"/>
      <c r="Y217" s="1030"/>
      <c r="Z217" s="1030"/>
    </row>
    <row r="218" spans="1:26" ht="12.75" customHeight="1" outlineLevel="1">
      <c r="A218" s="1061">
        <f t="shared" si="15"/>
        <v>86</v>
      </c>
      <c r="B218" s="1051" t="s">
        <v>3428</v>
      </c>
      <c r="C218" s="1066" t="s">
        <v>3342</v>
      </c>
      <c r="D218" s="1099" t="s">
        <v>122</v>
      </c>
      <c r="E218" s="1136"/>
      <c r="F218" s="1073" t="s">
        <v>3414</v>
      </c>
      <c r="G218" s="1035" t="s">
        <v>4781</v>
      </c>
      <c r="H218" s="1035"/>
      <c r="I218" s="1138">
        <v>0</v>
      </c>
      <c r="J218" s="1467">
        <v>0.3</v>
      </c>
      <c r="K218" s="1118">
        <v>0</v>
      </c>
      <c r="L218" s="1134"/>
      <c r="M218" s="1030"/>
      <c r="N218" s="1030"/>
      <c r="O218" s="1030"/>
      <c r="P218" s="1030"/>
      <c r="Q218" s="1030"/>
      <c r="R218" s="1030"/>
      <c r="S218" s="1030"/>
      <c r="T218" s="1030"/>
      <c r="U218" s="1030"/>
      <c r="V218" s="1030"/>
      <c r="W218" s="1030"/>
      <c r="X218" s="1030"/>
      <c r="Y218" s="1030"/>
      <c r="Z218" s="1030"/>
    </row>
    <row r="219" spans="1:26" ht="12.75" customHeight="1" outlineLevel="1">
      <c r="A219" s="1061">
        <f t="shared" si="15"/>
        <v>87</v>
      </c>
      <c r="B219" s="1051" t="s">
        <v>3428</v>
      </c>
      <c r="C219" s="1066" t="s">
        <v>3342</v>
      </c>
      <c r="D219" s="1099" t="s">
        <v>122</v>
      </c>
      <c r="E219" s="1136"/>
      <c r="F219" s="1073" t="s">
        <v>3414</v>
      </c>
      <c r="G219" s="1035" t="s">
        <v>4782</v>
      </c>
      <c r="H219" s="1035"/>
      <c r="I219" s="1138">
        <v>51</v>
      </c>
      <c r="J219" s="1467">
        <v>0.3</v>
      </c>
      <c r="K219" s="1118">
        <f>I219*J219</f>
        <v>15.299999999999999</v>
      </c>
      <c r="L219" s="1134"/>
      <c r="M219" s="1030"/>
      <c r="N219" s="1030"/>
      <c r="O219" s="1030"/>
      <c r="P219" s="1030"/>
      <c r="Q219" s="1030"/>
      <c r="R219" s="1030"/>
      <c r="S219" s="1030"/>
      <c r="T219" s="1030"/>
      <c r="U219" s="1030"/>
      <c r="V219" s="1030"/>
      <c r="W219" s="1030"/>
      <c r="X219" s="1030"/>
      <c r="Y219" s="1030"/>
      <c r="Z219" s="1030"/>
    </row>
    <row r="220" spans="1:26" ht="12.75" customHeight="1" outlineLevel="1">
      <c r="A220" s="1061">
        <f t="shared" si="15"/>
        <v>88</v>
      </c>
      <c r="B220" s="1051" t="s">
        <v>3428</v>
      </c>
      <c r="C220" s="1066" t="s">
        <v>3342</v>
      </c>
      <c r="D220" s="1099" t="s">
        <v>122</v>
      </c>
      <c r="E220" s="1136"/>
      <c r="F220" s="1073" t="s">
        <v>3414</v>
      </c>
      <c r="G220" s="1035" t="s">
        <v>4820</v>
      </c>
      <c r="H220" s="1035"/>
      <c r="I220" s="1138"/>
      <c r="J220" s="1467">
        <v>0.3</v>
      </c>
      <c r="K220" s="1118">
        <v>0</v>
      </c>
      <c r="L220" s="1134"/>
      <c r="M220" s="1030"/>
      <c r="N220" s="1030"/>
      <c r="O220" s="1030"/>
      <c r="P220" s="1030"/>
      <c r="Q220" s="1030"/>
      <c r="R220" s="1030"/>
      <c r="S220" s="1030"/>
      <c r="T220" s="1030"/>
      <c r="U220" s="1030"/>
      <c r="V220" s="1030"/>
      <c r="W220" s="1030"/>
      <c r="X220" s="1030"/>
      <c r="Y220" s="1030"/>
      <c r="Z220" s="1030"/>
    </row>
    <row r="221" spans="1:26" ht="12.75" customHeight="1" outlineLevel="1">
      <c r="A221" s="1061">
        <f t="shared" si="15"/>
        <v>89</v>
      </c>
      <c r="B221" s="1051" t="s">
        <v>3428</v>
      </c>
      <c r="C221" s="1066" t="s">
        <v>3342</v>
      </c>
      <c r="D221" s="1099" t="s">
        <v>122</v>
      </c>
      <c r="E221" s="1136"/>
      <c r="F221" s="1073" t="s">
        <v>3414</v>
      </c>
      <c r="G221" s="1035" t="s">
        <v>4783</v>
      </c>
      <c r="H221" s="1035"/>
      <c r="I221" s="1138">
        <v>322</v>
      </c>
      <c r="J221" s="1467">
        <v>0.3</v>
      </c>
      <c r="K221" s="1118">
        <f t="shared" ref="K221:K222" si="26">I221*J221</f>
        <v>96.6</v>
      </c>
      <c r="L221" s="1134"/>
      <c r="M221" s="1030"/>
      <c r="N221" s="1030"/>
      <c r="O221" s="1030"/>
      <c r="P221" s="1030"/>
      <c r="Q221" s="1030"/>
      <c r="R221" s="1030"/>
      <c r="S221" s="1030"/>
      <c r="T221" s="1030"/>
      <c r="U221" s="1030"/>
      <c r="V221" s="1030"/>
      <c r="W221" s="1030"/>
      <c r="X221" s="1030"/>
      <c r="Y221" s="1030"/>
      <c r="Z221" s="1030"/>
    </row>
    <row r="222" spans="1:26" ht="12.75" customHeight="1" outlineLevel="1">
      <c r="A222" s="1061">
        <f t="shared" si="15"/>
        <v>90</v>
      </c>
      <c r="B222" s="1051" t="s">
        <v>3428</v>
      </c>
      <c r="C222" s="1066" t="s">
        <v>3342</v>
      </c>
      <c r="D222" s="1099" t="s">
        <v>122</v>
      </c>
      <c r="E222" s="1136"/>
      <c r="F222" s="1073" t="s">
        <v>3414</v>
      </c>
      <c r="G222" s="1035" t="s">
        <v>4784</v>
      </c>
      <c r="H222" s="1035"/>
      <c r="I222" s="1138">
        <v>470</v>
      </c>
      <c r="J222" s="1467">
        <v>0.3</v>
      </c>
      <c r="K222" s="1118">
        <f t="shared" si="26"/>
        <v>141</v>
      </c>
      <c r="L222" s="1134"/>
      <c r="M222" s="1030"/>
      <c r="N222" s="1030"/>
      <c r="O222" s="1030"/>
      <c r="P222" s="1030"/>
      <c r="Q222" s="1030"/>
      <c r="R222" s="1030"/>
      <c r="S222" s="1030"/>
      <c r="T222" s="1030"/>
      <c r="U222" s="1030"/>
      <c r="V222" s="1030"/>
      <c r="W222" s="1030"/>
      <c r="X222" s="1030"/>
      <c r="Y222" s="1030"/>
      <c r="Z222" s="1030"/>
    </row>
    <row r="223" spans="1:26" ht="28.5" customHeight="1" outlineLevel="1">
      <c r="A223" s="1061">
        <f t="shared" si="15"/>
        <v>91</v>
      </c>
      <c r="B223" s="1051" t="s">
        <v>3428</v>
      </c>
      <c r="C223" s="1066" t="s">
        <v>3342</v>
      </c>
      <c r="D223" s="1099" t="s">
        <v>122</v>
      </c>
      <c r="E223" s="1136"/>
      <c r="F223" s="1073" t="s">
        <v>3414</v>
      </c>
      <c r="G223" s="1035" t="s">
        <v>4785</v>
      </c>
      <c r="H223" s="1035" t="s">
        <v>3459</v>
      </c>
      <c r="I223" s="1035" t="s">
        <v>4821</v>
      </c>
      <c r="J223" s="1139"/>
      <c r="K223" s="1118">
        <v>51.4</v>
      </c>
      <c r="L223" s="1134"/>
      <c r="M223" s="1030"/>
      <c r="N223" s="1030"/>
      <c r="O223" s="1030"/>
      <c r="P223" s="1030"/>
      <c r="Q223" s="1030"/>
      <c r="R223" s="1030"/>
      <c r="S223" s="1030"/>
      <c r="T223" s="1030"/>
      <c r="U223" s="1030"/>
      <c r="V223" s="1030"/>
      <c r="W223" s="1030"/>
      <c r="X223" s="1030"/>
      <c r="Y223" s="1030"/>
      <c r="Z223" s="1030"/>
    </row>
    <row r="224" spans="1:26" ht="29.25" customHeight="1" outlineLevel="1">
      <c r="A224" s="1061">
        <f t="shared" si="15"/>
        <v>92</v>
      </c>
      <c r="B224" s="1051" t="s">
        <v>3466</v>
      </c>
      <c r="C224" s="1066" t="s">
        <v>3342</v>
      </c>
      <c r="D224" s="1099" t="s">
        <v>122</v>
      </c>
      <c r="E224" s="1136"/>
      <c r="F224" s="1073" t="s">
        <v>3414</v>
      </c>
      <c r="G224" s="1035" t="s">
        <v>4822</v>
      </c>
      <c r="H224" s="1035" t="s">
        <v>4823</v>
      </c>
      <c r="I224" s="1035"/>
      <c r="J224" s="1139"/>
      <c r="K224" s="1118">
        <v>9765.5</v>
      </c>
      <c r="L224" s="1134"/>
      <c r="M224" s="1030"/>
      <c r="N224" s="1030"/>
      <c r="O224" s="1030"/>
      <c r="P224" s="1030"/>
      <c r="Q224" s="1030"/>
      <c r="R224" s="1030"/>
      <c r="S224" s="1030"/>
      <c r="T224" s="1030"/>
      <c r="U224" s="1030"/>
      <c r="V224" s="1030"/>
      <c r="W224" s="1030"/>
      <c r="X224" s="1030"/>
      <c r="Y224" s="1030"/>
      <c r="Z224" s="1030"/>
    </row>
    <row r="225" spans="1:26" ht="12.75" customHeight="1" outlineLevel="1">
      <c r="A225" s="1061">
        <f t="shared" si="15"/>
        <v>93</v>
      </c>
      <c r="B225" s="1051" t="s">
        <v>3470</v>
      </c>
      <c r="C225" s="1066" t="s">
        <v>3342</v>
      </c>
      <c r="D225" s="1099" t="s">
        <v>122</v>
      </c>
      <c r="E225" s="1136"/>
      <c r="F225" s="1073" t="s">
        <v>3414</v>
      </c>
      <c r="G225" s="1035" t="s">
        <v>3471</v>
      </c>
      <c r="H225" s="1035" t="s">
        <v>4824</v>
      </c>
      <c r="I225" s="1035"/>
      <c r="J225" s="1139"/>
      <c r="K225" s="1118">
        <v>1500</v>
      </c>
      <c r="L225" s="1134"/>
      <c r="M225" s="1030"/>
      <c r="N225" s="1030"/>
      <c r="O225" s="1030"/>
      <c r="P225" s="1030"/>
      <c r="Q225" s="1030"/>
      <c r="R225" s="1030"/>
      <c r="S225" s="1030"/>
      <c r="T225" s="1030"/>
      <c r="U225" s="1030"/>
      <c r="V225" s="1030"/>
      <c r="W225" s="1030"/>
      <c r="X225" s="1030"/>
      <c r="Y225" s="1030"/>
      <c r="Z225" s="1030"/>
    </row>
    <row r="226" spans="1:26" ht="12.75" customHeight="1" outlineLevel="1">
      <c r="A226" s="1061">
        <f t="shared" si="15"/>
        <v>94</v>
      </c>
      <c r="B226" s="1051" t="s">
        <v>3485</v>
      </c>
      <c r="C226" s="1066" t="s">
        <v>3342</v>
      </c>
      <c r="D226" s="1099" t="s">
        <v>122</v>
      </c>
      <c r="E226" s="1136"/>
      <c r="F226" s="1073" t="s">
        <v>3414</v>
      </c>
      <c r="G226" s="1035" t="s">
        <v>3510</v>
      </c>
      <c r="H226" s="1035" t="s">
        <v>4825</v>
      </c>
      <c r="I226" s="1035"/>
      <c r="J226" s="1139"/>
      <c r="K226" s="1118">
        <v>0</v>
      </c>
      <c r="L226" s="1134"/>
      <c r="M226" s="1030"/>
      <c r="N226" s="1030"/>
      <c r="O226" s="1030"/>
      <c r="P226" s="1030"/>
      <c r="Q226" s="1030"/>
      <c r="R226" s="1030"/>
      <c r="S226" s="1030"/>
      <c r="T226" s="1030"/>
      <c r="U226" s="1030"/>
      <c r="V226" s="1030"/>
      <c r="W226" s="1030"/>
      <c r="X226" s="1030"/>
      <c r="Y226" s="1030"/>
      <c r="Z226" s="1030"/>
    </row>
    <row r="227" spans="1:26" ht="52.5" customHeight="1" outlineLevel="1">
      <c r="A227" s="1061">
        <f t="shared" si="15"/>
        <v>95</v>
      </c>
      <c r="B227" s="1051" t="s">
        <v>3473</v>
      </c>
      <c r="C227" s="1066" t="s">
        <v>3342</v>
      </c>
      <c r="D227" s="1099" t="s">
        <v>122</v>
      </c>
      <c r="E227" s="1136"/>
      <c r="F227" s="1073" t="s">
        <v>3414</v>
      </c>
      <c r="G227" s="1035" t="s">
        <v>3588</v>
      </c>
      <c r="H227" s="1035" t="s">
        <v>4826</v>
      </c>
      <c r="I227" s="1035"/>
      <c r="J227" s="1139"/>
      <c r="K227" s="1118">
        <f>(95*4.8)</f>
        <v>456</v>
      </c>
      <c r="L227" s="1134"/>
      <c r="M227" s="1030"/>
      <c r="N227" s="1030"/>
      <c r="O227" s="1030"/>
      <c r="P227" s="1030"/>
      <c r="Q227" s="1030"/>
      <c r="R227" s="1030"/>
      <c r="S227" s="1030"/>
      <c r="T227" s="1030"/>
      <c r="U227" s="1030"/>
      <c r="V227" s="1030"/>
      <c r="W227" s="1030"/>
      <c r="X227" s="1030"/>
      <c r="Y227" s="1030"/>
      <c r="Z227" s="1030"/>
    </row>
    <row r="228" spans="1:26" ht="25.5" outlineLevel="1">
      <c r="A228" s="1061">
        <f t="shared" si="15"/>
        <v>96</v>
      </c>
      <c r="B228" s="1051" t="s">
        <v>3473</v>
      </c>
      <c r="C228" s="1112" t="s">
        <v>3342</v>
      </c>
      <c r="D228" s="1099" t="s">
        <v>122</v>
      </c>
      <c r="E228" s="1114"/>
      <c r="F228" s="1073" t="s">
        <v>3414</v>
      </c>
      <c r="G228" s="1136" t="s">
        <v>3474</v>
      </c>
      <c r="H228" s="1136" t="s">
        <v>4827</v>
      </c>
      <c r="I228" s="1136"/>
      <c r="J228" s="1147"/>
      <c r="K228" s="1118">
        <v>1433.8</v>
      </c>
      <c r="L228" s="1103"/>
      <c r="M228" s="1103"/>
      <c r="N228" s="1103"/>
      <c r="O228" s="1103"/>
      <c r="P228" s="1103"/>
      <c r="Q228" s="1103"/>
      <c r="R228" s="1103"/>
      <c r="S228" s="1103"/>
      <c r="T228" s="1103"/>
      <c r="U228" s="1103"/>
      <c r="V228" s="1103"/>
      <c r="W228" s="1103"/>
      <c r="X228" s="1103"/>
      <c r="Y228" s="1103"/>
      <c r="Z228" s="1103"/>
    </row>
    <row r="229" spans="1:26" ht="36" customHeight="1" outlineLevel="1">
      <c r="A229" s="1061">
        <f t="shared" si="15"/>
        <v>97</v>
      </c>
      <c r="B229" s="1051" t="s">
        <v>3462</v>
      </c>
      <c r="C229" s="1066" t="s">
        <v>3342</v>
      </c>
      <c r="D229" s="1099" t="s">
        <v>122</v>
      </c>
      <c r="E229" s="1136"/>
      <c r="F229" s="1073" t="s">
        <v>3414</v>
      </c>
      <c r="G229" s="1035" t="s">
        <v>4792</v>
      </c>
      <c r="H229" s="1035" t="s">
        <v>4828</v>
      </c>
      <c r="I229" s="1035"/>
      <c r="J229" s="1139"/>
      <c r="K229" s="1118">
        <f>14.72*95</f>
        <v>1398.4</v>
      </c>
      <c r="L229" s="1134"/>
      <c r="M229" s="1030"/>
      <c r="N229" s="1030"/>
      <c r="O229" s="1030"/>
      <c r="P229" s="1030"/>
      <c r="Q229" s="1030"/>
      <c r="R229" s="1030"/>
      <c r="S229" s="1030"/>
      <c r="T229" s="1030"/>
      <c r="U229" s="1030"/>
      <c r="V229" s="1030"/>
      <c r="W229" s="1030"/>
      <c r="X229" s="1030"/>
      <c r="Y229" s="1030"/>
      <c r="Z229" s="1030"/>
    </row>
    <row r="230" spans="1:26" ht="36" customHeight="1" outlineLevel="1">
      <c r="A230" s="1061">
        <f t="shared" si="15"/>
        <v>98</v>
      </c>
      <c r="B230" s="1051" t="s">
        <v>3485</v>
      </c>
      <c r="C230" s="1066" t="s">
        <v>3342</v>
      </c>
      <c r="D230" s="1099" t="s">
        <v>122</v>
      </c>
      <c r="E230" s="1136"/>
      <c r="F230" s="1073" t="s">
        <v>3414</v>
      </c>
      <c r="G230" s="1035" t="s">
        <v>4814</v>
      </c>
      <c r="H230" s="1035" t="s">
        <v>4829</v>
      </c>
      <c r="I230" s="1035"/>
      <c r="J230" s="1139"/>
      <c r="K230" s="1118">
        <f>250.88+(2.9+71.13)</f>
        <v>324.90999999999997</v>
      </c>
      <c r="L230" s="1134"/>
      <c r="M230" s="1030"/>
      <c r="N230" s="1030"/>
      <c r="O230" s="1030"/>
      <c r="P230" s="1030"/>
      <c r="Q230" s="1030"/>
      <c r="R230" s="1030"/>
      <c r="S230" s="1030"/>
      <c r="T230" s="1030"/>
      <c r="U230" s="1030"/>
      <c r="V230" s="1030"/>
      <c r="W230" s="1030"/>
      <c r="X230" s="1030"/>
      <c r="Y230" s="1030"/>
      <c r="Z230" s="1030"/>
    </row>
    <row r="231" spans="1:26" ht="12.75" customHeight="1" outlineLevel="1">
      <c r="A231" s="1061">
        <f t="shared" si="15"/>
        <v>99</v>
      </c>
      <c r="B231" s="1051" t="s">
        <v>3428</v>
      </c>
      <c r="C231" s="1066" t="s">
        <v>3342</v>
      </c>
      <c r="D231" s="1099" t="s">
        <v>122</v>
      </c>
      <c r="E231" s="1152"/>
      <c r="F231" s="1073" t="s">
        <v>3564</v>
      </c>
      <c r="G231" s="1035" t="s">
        <v>3460</v>
      </c>
      <c r="H231" s="1035" t="s">
        <v>4830</v>
      </c>
      <c r="I231" s="1138">
        <v>100</v>
      </c>
      <c r="J231" s="1467">
        <v>0.3</v>
      </c>
      <c r="K231" s="1118">
        <f>(I231*J231)+774.6</f>
        <v>804.6</v>
      </c>
      <c r="L231" s="1134"/>
      <c r="M231" s="1030"/>
      <c r="N231" s="1030"/>
      <c r="O231" s="1030"/>
      <c r="P231" s="1030"/>
      <c r="Q231" s="1030"/>
      <c r="R231" s="1030"/>
      <c r="S231" s="1030"/>
      <c r="T231" s="1030"/>
      <c r="U231" s="1030"/>
      <c r="V231" s="1030"/>
      <c r="W231" s="1030"/>
      <c r="X231" s="1030"/>
      <c r="Y231" s="1030"/>
      <c r="Z231" s="1030"/>
    </row>
    <row r="232" spans="1:26" ht="12.75" customHeight="1" outlineLevel="1">
      <c r="A232" s="1061">
        <f t="shared" si="15"/>
        <v>100</v>
      </c>
      <c r="B232" s="1051" t="s">
        <v>3428</v>
      </c>
      <c r="C232" s="1066" t="s">
        <v>3342</v>
      </c>
      <c r="D232" s="1099" t="s">
        <v>122</v>
      </c>
      <c r="E232" s="1152"/>
      <c r="F232" s="1073" t="s">
        <v>3564</v>
      </c>
      <c r="G232" s="1035" t="s">
        <v>4761</v>
      </c>
      <c r="H232" s="1035"/>
      <c r="I232" s="1138">
        <v>332</v>
      </c>
      <c r="J232" s="1467">
        <v>0.3</v>
      </c>
      <c r="K232" s="1118">
        <f t="shared" ref="K232:K233" si="27">I232*J232</f>
        <v>99.6</v>
      </c>
      <c r="L232" s="1134"/>
      <c r="M232" s="1030"/>
      <c r="N232" s="1030"/>
      <c r="O232" s="1030"/>
      <c r="P232" s="1030"/>
      <c r="Q232" s="1030"/>
      <c r="R232" s="1030"/>
      <c r="S232" s="1030"/>
      <c r="T232" s="1030"/>
      <c r="U232" s="1030"/>
      <c r="V232" s="1030"/>
      <c r="W232" s="1030"/>
      <c r="X232" s="1030"/>
      <c r="Y232" s="1030"/>
      <c r="Z232" s="1030"/>
    </row>
    <row r="233" spans="1:26" ht="12.75" customHeight="1" outlineLevel="1">
      <c r="A233" s="1061">
        <f t="shared" si="15"/>
        <v>101</v>
      </c>
      <c r="B233" s="1051" t="s">
        <v>3428</v>
      </c>
      <c r="C233" s="1066" t="s">
        <v>3342</v>
      </c>
      <c r="D233" s="1099" t="s">
        <v>122</v>
      </c>
      <c r="E233" s="1152"/>
      <c r="F233" s="1073" t="s">
        <v>3564</v>
      </c>
      <c r="G233" s="1035" t="s">
        <v>4762</v>
      </c>
      <c r="H233" s="1035"/>
      <c r="I233" s="1138">
        <v>184</v>
      </c>
      <c r="J233" s="1467">
        <v>0.3</v>
      </c>
      <c r="K233" s="1118">
        <f t="shared" si="27"/>
        <v>55.199999999999996</v>
      </c>
      <c r="L233" s="1134"/>
      <c r="M233" s="1030"/>
      <c r="N233" s="1030"/>
      <c r="O233" s="1030"/>
      <c r="P233" s="1030"/>
      <c r="Q233" s="1030"/>
      <c r="R233" s="1030"/>
      <c r="S233" s="1030"/>
      <c r="T233" s="1030"/>
      <c r="U233" s="1030"/>
      <c r="V233" s="1030"/>
      <c r="W233" s="1030"/>
      <c r="X233" s="1030"/>
      <c r="Y233" s="1030"/>
      <c r="Z233" s="1030"/>
    </row>
    <row r="234" spans="1:26" ht="12.75" customHeight="1" outlineLevel="1">
      <c r="A234" s="1061">
        <f t="shared" si="15"/>
        <v>102</v>
      </c>
      <c r="B234" s="1051" t="s">
        <v>3428</v>
      </c>
      <c r="C234" s="1066" t="s">
        <v>3342</v>
      </c>
      <c r="D234" s="1099" t="s">
        <v>122</v>
      </c>
      <c r="E234" s="1153"/>
      <c r="F234" s="1073" t="s">
        <v>3564</v>
      </c>
      <c r="G234" s="1035" t="s">
        <v>4763</v>
      </c>
      <c r="H234" s="1035"/>
      <c r="I234" s="1138">
        <v>0</v>
      </c>
      <c r="J234" s="1467">
        <v>0.3</v>
      </c>
      <c r="K234" s="1118"/>
      <c r="L234" s="1134"/>
      <c r="M234" s="1030"/>
      <c r="N234" s="1030"/>
      <c r="O234" s="1030"/>
      <c r="P234" s="1030"/>
      <c r="Q234" s="1030"/>
      <c r="R234" s="1030"/>
      <c r="S234" s="1030"/>
      <c r="T234" s="1030"/>
      <c r="U234" s="1030"/>
      <c r="V234" s="1030"/>
      <c r="W234" s="1030"/>
      <c r="X234" s="1030"/>
      <c r="Y234" s="1030"/>
      <c r="Z234" s="1030"/>
    </row>
    <row r="235" spans="1:26" ht="12.75" customHeight="1" outlineLevel="1">
      <c r="A235" s="1061">
        <f t="shared" si="15"/>
        <v>103</v>
      </c>
      <c r="B235" s="1051" t="s">
        <v>3428</v>
      </c>
      <c r="C235" s="1066" t="s">
        <v>3342</v>
      </c>
      <c r="D235" s="1099" t="s">
        <v>122</v>
      </c>
      <c r="E235" s="1153"/>
      <c r="F235" s="1073" t="s">
        <v>3564</v>
      </c>
      <c r="G235" s="1035" t="s">
        <v>4764</v>
      </c>
      <c r="H235" s="1035"/>
      <c r="I235" s="1138">
        <v>600</v>
      </c>
      <c r="J235" s="1467">
        <v>0.3</v>
      </c>
      <c r="K235" s="1118">
        <f t="shared" ref="K235:K238" si="28">I235*J235</f>
        <v>180</v>
      </c>
      <c r="L235" s="1134"/>
      <c r="M235" s="1030"/>
      <c r="N235" s="1030"/>
      <c r="O235" s="1030"/>
      <c r="P235" s="1030"/>
      <c r="Q235" s="1030"/>
      <c r="R235" s="1030"/>
      <c r="S235" s="1030"/>
      <c r="T235" s="1030"/>
      <c r="U235" s="1030"/>
      <c r="V235" s="1030"/>
      <c r="W235" s="1030"/>
      <c r="X235" s="1030"/>
      <c r="Y235" s="1030"/>
      <c r="Z235" s="1030"/>
    </row>
    <row r="236" spans="1:26" ht="12.75" customHeight="1" outlineLevel="1">
      <c r="A236" s="1061">
        <f t="shared" si="15"/>
        <v>104</v>
      </c>
      <c r="B236" s="1051" t="s">
        <v>3428</v>
      </c>
      <c r="C236" s="1066" t="s">
        <v>3342</v>
      </c>
      <c r="D236" s="1099" t="s">
        <v>122</v>
      </c>
      <c r="E236" s="1152"/>
      <c r="F236" s="1073" t="s">
        <v>3564</v>
      </c>
      <c r="G236" s="1035" t="s">
        <v>4765</v>
      </c>
      <c r="H236" s="1035"/>
      <c r="I236" s="1138">
        <v>364</v>
      </c>
      <c r="J236" s="1467">
        <v>0.3</v>
      </c>
      <c r="K236" s="1118">
        <f t="shared" si="28"/>
        <v>109.2</v>
      </c>
      <c r="L236" s="1134"/>
      <c r="M236" s="1030"/>
      <c r="N236" s="1030"/>
      <c r="O236" s="1030"/>
      <c r="P236" s="1030"/>
      <c r="Q236" s="1030"/>
      <c r="R236" s="1030"/>
      <c r="S236" s="1030"/>
      <c r="T236" s="1030"/>
      <c r="U236" s="1030"/>
      <c r="V236" s="1030"/>
      <c r="W236" s="1030"/>
      <c r="X236" s="1030"/>
      <c r="Y236" s="1030"/>
      <c r="Z236" s="1030"/>
    </row>
    <row r="237" spans="1:26" ht="12.75" customHeight="1" outlineLevel="1">
      <c r="A237" s="1061">
        <f t="shared" si="15"/>
        <v>105</v>
      </c>
      <c r="B237" s="1051" t="s">
        <v>3428</v>
      </c>
      <c r="C237" s="1066" t="s">
        <v>3342</v>
      </c>
      <c r="D237" s="1099" t="s">
        <v>122</v>
      </c>
      <c r="E237" s="1152"/>
      <c r="F237" s="1073" t="s">
        <v>3564</v>
      </c>
      <c r="G237" s="1035" t="s">
        <v>4766</v>
      </c>
      <c r="H237" s="1035"/>
      <c r="I237" s="1138">
        <v>0</v>
      </c>
      <c r="J237" s="1467">
        <v>0.3</v>
      </c>
      <c r="K237" s="1118">
        <f t="shared" si="28"/>
        <v>0</v>
      </c>
      <c r="L237" s="1134"/>
      <c r="M237" s="1030"/>
      <c r="N237" s="1030"/>
      <c r="O237" s="1030"/>
      <c r="P237" s="1030"/>
      <c r="Q237" s="1030"/>
      <c r="R237" s="1030"/>
      <c r="S237" s="1030"/>
      <c r="T237" s="1030"/>
      <c r="U237" s="1030"/>
      <c r="V237" s="1030"/>
      <c r="W237" s="1030"/>
      <c r="X237" s="1030"/>
      <c r="Y237" s="1030"/>
      <c r="Z237" s="1030"/>
    </row>
    <row r="238" spans="1:26" ht="12.75" customHeight="1" outlineLevel="1">
      <c r="A238" s="1061">
        <f t="shared" si="15"/>
        <v>106</v>
      </c>
      <c r="B238" s="1051" t="s">
        <v>3428</v>
      </c>
      <c r="C238" s="1066" t="s">
        <v>3342</v>
      </c>
      <c r="D238" s="1099" t="s">
        <v>122</v>
      </c>
      <c r="E238" s="1152"/>
      <c r="F238" s="1073" t="s">
        <v>3564</v>
      </c>
      <c r="G238" s="1035" t="s">
        <v>4767</v>
      </c>
      <c r="H238" s="1035"/>
      <c r="I238" s="1138">
        <v>294</v>
      </c>
      <c r="J238" s="1467">
        <v>0.3</v>
      </c>
      <c r="K238" s="1118">
        <f t="shared" si="28"/>
        <v>88.2</v>
      </c>
      <c r="L238" s="1134"/>
      <c r="M238" s="1030"/>
      <c r="N238" s="1030"/>
      <c r="O238" s="1030"/>
      <c r="P238" s="1030"/>
      <c r="Q238" s="1030"/>
      <c r="R238" s="1030"/>
      <c r="S238" s="1030"/>
      <c r="T238" s="1030"/>
      <c r="U238" s="1030"/>
      <c r="V238" s="1030"/>
      <c r="W238" s="1030"/>
      <c r="X238" s="1030"/>
      <c r="Y238" s="1030"/>
      <c r="Z238" s="1030"/>
    </row>
    <row r="239" spans="1:26" ht="12.75" customHeight="1" outlineLevel="1">
      <c r="A239" s="1061">
        <f t="shared" si="15"/>
        <v>107</v>
      </c>
      <c r="B239" s="1051" t="s">
        <v>3428</v>
      </c>
      <c r="C239" s="1066" t="s">
        <v>3342</v>
      </c>
      <c r="D239" s="1099" t="s">
        <v>122</v>
      </c>
      <c r="E239" s="1152"/>
      <c r="F239" s="1073" t="s">
        <v>3564</v>
      </c>
      <c r="G239" s="1035" t="s">
        <v>4768</v>
      </c>
      <c r="H239" s="1035" t="s">
        <v>4831</v>
      </c>
      <c r="I239" s="1138">
        <v>275</v>
      </c>
      <c r="J239" s="1467">
        <v>0.3</v>
      </c>
      <c r="K239" s="1118">
        <f>(I239*J239)+5.65</f>
        <v>88.15</v>
      </c>
      <c r="L239" s="1134"/>
      <c r="M239" s="1030"/>
      <c r="N239" s="1030"/>
      <c r="O239" s="1030"/>
      <c r="P239" s="1030"/>
      <c r="Q239" s="1030"/>
      <c r="R239" s="1030"/>
      <c r="S239" s="1030"/>
      <c r="T239" s="1030"/>
      <c r="U239" s="1030"/>
      <c r="V239" s="1030"/>
      <c r="W239" s="1030"/>
      <c r="X239" s="1030"/>
      <c r="Y239" s="1030"/>
      <c r="Z239" s="1030"/>
    </row>
    <row r="240" spans="1:26" ht="12.75" customHeight="1" outlineLevel="1">
      <c r="A240" s="1061">
        <f t="shared" si="15"/>
        <v>108</v>
      </c>
      <c r="B240" s="1051" t="s">
        <v>3428</v>
      </c>
      <c r="C240" s="1066" t="s">
        <v>3342</v>
      </c>
      <c r="D240" s="1099" t="s">
        <v>122</v>
      </c>
      <c r="E240" s="1152"/>
      <c r="F240" s="1073" t="s">
        <v>3564</v>
      </c>
      <c r="G240" s="1035" t="s">
        <v>4769</v>
      </c>
      <c r="H240" s="1035"/>
      <c r="I240" s="1035"/>
      <c r="J240" s="1467">
        <v>0.3</v>
      </c>
      <c r="K240" s="1118">
        <v>0</v>
      </c>
      <c r="L240" s="1134"/>
      <c r="M240" s="1030"/>
      <c r="N240" s="1030"/>
      <c r="O240" s="1030"/>
      <c r="P240" s="1030"/>
      <c r="Q240" s="1030"/>
      <c r="R240" s="1030"/>
      <c r="S240" s="1030"/>
      <c r="T240" s="1030"/>
      <c r="U240" s="1030"/>
      <c r="V240" s="1030"/>
      <c r="W240" s="1030"/>
      <c r="X240" s="1030"/>
      <c r="Y240" s="1030"/>
      <c r="Z240" s="1030"/>
    </row>
    <row r="241" spans="1:26" ht="27.75" customHeight="1" outlineLevel="1">
      <c r="A241" s="1061">
        <f t="shared" si="15"/>
        <v>109</v>
      </c>
      <c r="B241" s="1051" t="s">
        <v>3428</v>
      </c>
      <c r="C241" s="1066" t="s">
        <v>3342</v>
      </c>
      <c r="D241" s="1099" t="s">
        <v>122</v>
      </c>
      <c r="E241" s="1152"/>
      <c r="F241" s="1073" t="s">
        <v>3564</v>
      </c>
      <c r="G241" s="1035" t="s">
        <v>3507</v>
      </c>
      <c r="H241" s="1035" t="s">
        <v>4832</v>
      </c>
      <c r="I241" s="1035" t="s">
        <v>4821</v>
      </c>
      <c r="J241" s="1467">
        <v>0.3</v>
      </c>
      <c r="K241" s="1118">
        <v>15.37</v>
      </c>
      <c r="L241" s="1134"/>
      <c r="M241" s="1030"/>
      <c r="N241" s="1030"/>
      <c r="O241" s="1030"/>
      <c r="P241" s="1030"/>
      <c r="Q241" s="1030"/>
      <c r="R241" s="1030"/>
      <c r="S241" s="1030"/>
      <c r="T241" s="1030"/>
      <c r="U241" s="1030"/>
      <c r="V241" s="1030"/>
      <c r="W241" s="1030"/>
      <c r="X241" s="1030"/>
      <c r="Y241" s="1030"/>
      <c r="Z241" s="1030"/>
    </row>
    <row r="242" spans="1:26" ht="12.75" customHeight="1" outlineLevel="1">
      <c r="A242" s="1061">
        <f t="shared" si="15"/>
        <v>110</v>
      </c>
      <c r="B242" s="1051" t="s">
        <v>3428</v>
      </c>
      <c r="C242" s="1066" t="s">
        <v>3342</v>
      </c>
      <c r="D242" s="1099" t="s">
        <v>122</v>
      </c>
      <c r="E242" s="1136"/>
      <c r="F242" s="1073" t="s">
        <v>3564</v>
      </c>
      <c r="G242" s="1035" t="s">
        <v>4771</v>
      </c>
      <c r="H242" s="1035"/>
      <c r="I242" s="1138">
        <v>0</v>
      </c>
      <c r="J242" s="1467">
        <v>0.3</v>
      </c>
      <c r="K242" s="1118">
        <v>0</v>
      </c>
      <c r="L242" s="1134"/>
      <c r="M242" s="1030"/>
      <c r="N242" s="1030"/>
      <c r="O242" s="1030"/>
      <c r="P242" s="1030"/>
      <c r="Q242" s="1030"/>
      <c r="R242" s="1030"/>
      <c r="S242" s="1030"/>
      <c r="T242" s="1030"/>
      <c r="U242" s="1030"/>
      <c r="V242" s="1030"/>
      <c r="W242" s="1030"/>
      <c r="X242" s="1030"/>
      <c r="Y242" s="1030"/>
      <c r="Z242" s="1030"/>
    </row>
    <row r="243" spans="1:26" ht="12.75" customHeight="1" outlineLevel="1">
      <c r="A243" s="1061">
        <f t="shared" si="15"/>
        <v>111</v>
      </c>
      <c r="B243" s="1051" t="s">
        <v>3428</v>
      </c>
      <c r="C243" s="1066" t="s">
        <v>3342</v>
      </c>
      <c r="D243" s="1099" t="s">
        <v>122</v>
      </c>
      <c r="E243" s="1136"/>
      <c r="F243" s="1073" t="s">
        <v>3564</v>
      </c>
      <c r="G243" s="1035" t="s">
        <v>4772</v>
      </c>
      <c r="H243" s="1035"/>
      <c r="I243" s="1138">
        <v>0</v>
      </c>
      <c r="J243" s="1467">
        <v>0.3</v>
      </c>
      <c r="K243" s="1118">
        <v>0</v>
      </c>
      <c r="L243" s="1134"/>
      <c r="M243" s="1030"/>
      <c r="N243" s="1030"/>
      <c r="O243" s="1030"/>
      <c r="P243" s="1030"/>
      <c r="Q243" s="1030"/>
      <c r="R243" s="1030"/>
      <c r="S243" s="1030"/>
      <c r="T243" s="1030"/>
      <c r="U243" s="1030"/>
      <c r="V243" s="1030"/>
      <c r="W243" s="1030"/>
      <c r="X243" s="1030"/>
      <c r="Y243" s="1030"/>
      <c r="Z243" s="1030"/>
    </row>
    <row r="244" spans="1:26" ht="12.75" customHeight="1" outlineLevel="1">
      <c r="A244" s="1061">
        <f t="shared" si="15"/>
        <v>112</v>
      </c>
      <c r="B244" s="1051" t="s">
        <v>3428</v>
      </c>
      <c r="C244" s="1066" t="s">
        <v>3342</v>
      </c>
      <c r="D244" s="1099" t="s">
        <v>122</v>
      </c>
      <c r="E244" s="1136"/>
      <c r="F244" s="1073" t="s">
        <v>3564</v>
      </c>
      <c r="G244" s="1035" t="s">
        <v>4773</v>
      </c>
      <c r="H244" s="1035"/>
      <c r="I244" s="1138">
        <v>0</v>
      </c>
      <c r="J244" s="1467">
        <v>0.3</v>
      </c>
      <c r="K244" s="1118">
        <f t="shared" ref="K244:K248" si="29">I244*J244</f>
        <v>0</v>
      </c>
      <c r="L244" s="1134"/>
      <c r="M244" s="1030"/>
      <c r="N244" s="1030"/>
      <c r="O244" s="1030"/>
      <c r="P244" s="1030"/>
      <c r="Q244" s="1030"/>
      <c r="R244" s="1030"/>
      <c r="S244" s="1030"/>
      <c r="T244" s="1030"/>
      <c r="U244" s="1030"/>
      <c r="V244" s="1030"/>
      <c r="W244" s="1030"/>
      <c r="X244" s="1030"/>
      <c r="Y244" s="1030"/>
      <c r="Z244" s="1030"/>
    </row>
    <row r="245" spans="1:26" ht="12.75" customHeight="1" outlineLevel="1">
      <c r="A245" s="1061">
        <f t="shared" si="15"/>
        <v>113</v>
      </c>
      <c r="B245" s="1051" t="s">
        <v>3428</v>
      </c>
      <c r="C245" s="1066" t="s">
        <v>3342</v>
      </c>
      <c r="D245" s="1099" t="s">
        <v>122</v>
      </c>
      <c r="E245" s="1136"/>
      <c r="F245" s="1073" t="s">
        <v>3564</v>
      </c>
      <c r="G245" s="1035" t="s">
        <v>4774</v>
      </c>
      <c r="H245" s="1035"/>
      <c r="I245" s="1138">
        <v>0</v>
      </c>
      <c r="J245" s="1467">
        <v>0.3</v>
      </c>
      <c r="K245" s="1118">
        <f t="shared" si="29"/>
        <v>0</v>
      </c>
      <c r="L245" s="1134"/>
      <c r="M245" s="1030"/>
      <c r="N245" s="1030"/>
      <c r="O245" s="1030"/>
      <c r="P245" s="1030"/>
      <c r="Q245" s="1030"/>
      <c r="R245" s="1030"/>
      <c r="S245" s="1030"/>
      <c r="T245" s="1030"/>
      <c r="U245" s="1030"/>
      <c r="V245" s="1030"/>
      <c r="W245" s="1030"/>
      <c r="X245" s="1030"/>
      <c r="Y245" s="1030"/>
      <c r="Z245" s="1030"/>
    </row>
    <row r="246" spans="1:26" ht="12.75" customHeight="1" outlineLevel="1">
      <c r="A246" s="1061">
        <f t="shared" si="15"/>
        <v>114</v>
      </c>
      <c r="B246" s="1051" t="s">
        <v>3428</v>
      </c>
      <c r="C246" s="1066" t="s">
        <v>3342</v>
      </c>
      <c r="D246" s="1099" t="s">
        <v>122</v>
      </c>
      <c r="E246" s="1136"/>
      <c r="F246" s="1073" t="s">
        <v>3564</v>
      </c>
      <c r="G246" s="1035" t="s">
        <v>4777</v>
      </c>
      <c r="H246" s="1035"/>
      <c r="I246" s="1138">
        <v>0</v>
      </c>
      <c r="J246" s="1467">
        <v>0.3</v>
      </c>
      <c r="K246" s="1118">
        <f t="shared" si="29"/>
        <v>0</v>
      </c>
      <c r="L246" s="1030"/>
      <c r="M246" s="1030"/>
      <c r="N246" s="1030"/>
      <c r="O246" s="1030"/>
      <c r="P246" s="1030"/>
      <c r="Q246" s="1030"/>
      <c r="R246" s="1030"/>
      <c r="S246" s="1030"/>
      <c r="T246" s="1030"/>
      <c r="U246" s="1030"/>
      <c r="V246" s="1030"/>
      <c r="W246" s="1030"/>
      <c r="X246" s="1030"/>
      <c r="Y246" s="1030"/>
      <c r="Z246" s="1030"/>
    </row>
    <row r="247" spans="1:26" ht="12.75" customHeight="1" outlineLevel="1">
      <c r="A247" s="1061">
        <f t="shared" si="15"/>
        <v>115</v>
      </c>
      <c r="B247" s="1051" t="s">
        <v>3428</v>
      </c>
      <c r="C247" s="1066" t="s">
        <v>3342</v>
      </c>
      <c r="D247" s="1099" t="s">
        <v>122</v>
      </c>
      <c r="E247" s="1136"/>
      <c r="F247" s="1073" t="s">
        <v>3564</v>
      </c>
      <c r="G247" s="1035" t="s">
        <v>4778</v>
      </c>
      <c r="H247" s="1035"/>
      <c r="I247" s="1138">
        <v>0</v>
      </c>
      <c r="J247" s="1467">
        <v>0.3</v>
      </c>
      <c r="K247" s="1118">
        <f t="shared" si="29"/>
        <v>0</v>
      </c>
      <c r="L247" s="1030"/>
      <c r="M247" s="1030"/>
      <c r="N247" s="1030"/>
      <c r="O247" s="1030"/>
      <c r="P247" s="1030"/>
      <c r="Q247" s="1030"/>
      <c r="R247" s="1030"/>
      <c r="S247" s="1030"/>
      <c r="T247" s="1030"/>
      <c r="U247" s="1030"/>
      <c r="V247" s="1030"/>
      <c r="W247" s="1030"/>
      <c r="X247" s="1030"/>
      <c r="Y247" s="1030"/>
      <c r="Z247" s="1030"/>
    </row>
    <row r="248" spans="1:26" ht="12.75" customHeight="1" outlineLevel="1">
      <c r="A248" s="1061">
        <f t="shared" si="15"/>
        <v>116</v>
      </c>
      <c r="B248" s="1051" t="s">
        <v>3428</v>
      </c>
      <c r="C248" s="1066" t="s">
        <v>3342</v>
      </c>
      <c r="D248" s="1099" t="s">
        <v>122</v>
      </c>
      <c r="E248" s="1136"/>
      <c r="F248" s="1073" t="s">
        <v>3564</v>
      </c>
      <c r="G248" s="1035" t="s">
        <v>4779</v>
      </c>
      <c r="H248" s="1035"/>
      <c r="I248" s="1138">
        <v>179</v>
      </c>
      <c r="J248" s="1467">
        <v>0.3</v>
      </c>
      <c r="K248" s="1118">
        <f t="shared" si="29"/>
        <v>53.699999999999996</v>
      </c>
      <c r="L248" s="1030"/>
      <c r="M248" s="1039"/>
      <c r="N248" s="1039"/>
      <c r="O248" s="1039"/>
      <c r="P248" s="1039"/>
      <c r="Q248" s="1039"/>
      <c r="R248" s="1039"/>
      <c r="S248" s="1039"/>
      <c r="T248" s="1039"/>
      <c r="U248" s="1039"/>
      <c r="V248" s="1039"/>
      <c r="W248" s="1039"/>
      <c r="X248" s="1039"/>
      <c r="Y248" s="1039"/>
      <c r="Z248" s="1039"/>
    </row>
    <row r="249" spans="1:26" ht="12.75" customHeight="1" outlineLevel="1">
      <c r="A249" s="1061">
        <f t="shared" si="15"/>
        <v>117</v>
      </c>
      <c r="B249" s="1051" t="s">
        <v>3428</v>
      </c>
      <c r="C249" s="1066" t="s">
        <v>3342</v>
      </c>
      <c r="D249" s="1099" t="s">
        <v>122</v>
      </c>
      <c r="E249" s="1136"/>
      <c r="F249" s="1073" t="s">
        <v>3564</v>
      </c>
      <c r="G249" s="1035" t="s">
        <v>4781</v>
      </c>
      <c r="H249" s="1035"/>
      <c r="I249" s="1138">
        <v>0</v>
      </c>
      <c r="J249" s="1467">
        <v>0.3</v>
      </c>
      <c r="K249" s="1118">
        <v>0</v>
      </c>
      <c r="L249" s="1134"/>
      <c r="M249" s="1030"/>
      <c r="N249" s="1030"/>
      <c r="O249" s="1030"/>
      <c r="P249" s="1030"/>
      <c r="Q249" s="1030"/>
      <c r="R249" s="1030"/>
      <c r="S249" s="1030"/>
      <c r="T249" s="1030"/>
      <c r="U249" s="1030"/>
      <c r="V249" s="1030"/>
      <c r="W249" s="1030"/>
      <c r="X249" s="1030"/>
      <c r="Y249" s="1030"/>
      <c r="Z249" s="1030"/>
    </row>
    <row r="250" spans="1:26" ht="12.75" customHeight="1" outlineLevel="1">
      <c r="A250" s="1061">
        <f t="shared" si="15"/>
        <v>118</v>
      </c>
      <c r="B250" s="1051" t="s">
        <v>3428</v>
      </c>
      <c r="C250" s="1066" t="s">
        <v>3342</v>
      </c>
      <c r="D250" s="1099" t="s">
        <v>122</v>
      </c>
      <c r="E250" s="1136"/>
      <c r="F250" s="1073" t="s">
        <v>3564</v>
      </c>
      <c r="G250" s="1035" t="s">
        <v>4782</v>
      </c>
      <c r="H250" s="1035"/>
      <c r="I250" s="1138">
        <v>51</v>
      </c>
      <c r="J250" s="1467">
        <v>0.3</v>
      </c>
      <c r="K250" s="1118">
        <f>I250*J250</f>
        <v>15.299999999999999</v>
      </c>
      <c r="L250" s="1134"/>
      <c r="M250" s="1030"/>
      <c r="N250" s="1030"/>
      <c r="O250" s="1030"/>
      <c r="P250" s="1030"/>
      <c r="Q250" s="1030"/>
      <c r="R250" s="1030"/>
      <c r="S250" s="1030"/>
      <c r="T250" s="1030"/>
      <c r="U250" s="1030"/>
      <c r="V250" s="1030"/>
      <c r="W250" s="1030"/>
      <c r="X250" s="1030"/>
      <c r="Y250" s="1030"/>
      <c r="Z250" s="1030"/>
    </row>
    <row r="251" spans="1:26" ht="12.75" customHeight="1" outlineLevel="1">
      <c r="A251" s="1061">
        <f t="shared" si="15"/>
        <v>119</v>
      </c>
      <c r="B251" s="1051" t="s">
        <v>3428</v>
      </c>
      <c r="C251" s="1066" t="s">
        <v>3342</v>
      </c>
      <c r="D251" s="1099" t="s">
        <v>122</v>
      </c>
      <c r="E251" s="1136"/>
      <c r="F251" s="1073" t="s">
        <v>3564</v>
      </c>
      <c r="G251" s="1035" t="s">
        <v>4820</v>
      </c>
      <c r="H251" s="1035"/>
      <c r="I251" s="1138">
        <v>0</v>
      </c>
      <c r="J251" s="1467">
        <v>0.3</v>
      </c>
      <c r="K251" s="1118">
        <v>0</v>
      </c>
      <c r="L251" s="1134"/>
      <c r="M251" s="1030"/>
      <c r="N251" s="1030"/>
      <c r="O251" s="1030"/>
      <c r="P251" s="1030"/>
      <c r="Q251" s="1030"/>
      <c r="R251" s="1030"/>
      <c r="S251" s="1030"/>
      <c r="T251" s="1030"/>
      <c r="U251" s="1030"/>
      <c r="V251" s="1030"/>
      <c r="W251" s="1030"/>
      <c r="X251" s="1030"/>
      <c r="Y251" s="1030"/>
      <c r="Z251" s="1030"/>
    </row>
    <row r="252" spans="1:26" ht="12.75" customHeight="1" outlineLevel="1">
      <c r="A252" s="1061">
        <f t="shared" si="15"/>
        <v>120</v>
      </c>
      <c r="B252" s="1051" t="s">
        <v>3428</v>
      </c>
      <c r="C252" s="1066" t="s">
        <v>3342</v>
      </c>
      <c r="D252" s="1099" t="s">
        <v>122</v>
      </c>
      <c r="E252" s="1136"/>
      <c r="F252" s="1073" t="s">
        <v>3564</v>
      </c>
      <c r="G252" s="1035" t="s">
        <v>4784</v>
      </c>
      <c r="H252" s="1035"/>
      <c r="I252" s="1138">
        <v>470</v>
      </c>
      <c r="J252" s="1467">
        <v>0.3</v>
      </c>
      <c r="K252" s="1118">
        <f>I252*J252</f>
        <v>141</v>
      </c>
      <c r="L252" s="1134"/>
      <c r="M252" s="1030"/>
      <c r="N252" s="1030"/>
      <c r="O252" s="1030"/>
      <c r="P252" s="1030"/>
      <c r="Q252" s="1030"/>
      <c r="R252" s="1030"/>
      <c r="S252" s="1030"/>
      <c r="T252" s="1030"/>
      <c r="U252" s="1030"/>
      <c r="V252" s="1030"/>
      <c r="W252" s="1030"/>
      <c r="X252" s="1030"/>
      <c r="Y252" s="1030"/>
      <c r="Z252" s="1030"/>
    </row>
    <row r="253" spans="1:26" ht="12.75" customHeight="1" outlineLevel="1">
      <c r="A253" s="1061">
        <f t="shared" si="15"/>
        <v>121</v>
      </c>
      <c r="B253" s="1051" t="s">
        <v>3428</v>
      </c>
      <c r="C253" s="1066" t="s">
        <v>3342</v>
      </c>
      <c r="D253" s="1099" t="s">
        <v>122</v>
      </c>
      <c r="E253" s="1136"/>
      <c r="F253" s="1073" t="s">
        <v>3564</v>
      </c>
      <c r="G253" s="1035" t="s">
        <v>4785</v>
      </c>
      <c r="H253" s="1035"/>
      <c r="I253" s="1138"/>
      <c r="J253" s="1139"/>
      <c r="K253" s="1118">
        <v>22.7</v>
      </c>
      <c r="L253" s="1134"/>
      <c r="M253" s="1030"/>
      <c r="N253" s="1030"/>
      <c r="O253" s="1030"/>
      <c r="P253" s="1030"/>
      <c r="Q253" s="1030"/>
      <c r="R253" s="1030"/>
      <c r="S253" s="1030"/>
      <c r="T253" s="1030"/>
      <c r="U253" s="1030"/>
      <c r="V253" s="1030"/>
      <c r="W253" s="1030"/>
      <c r="X253" s="1030"/>
      <c r="Y253" s="1030"/>
      <c r="Z253" s="1030"/>
    </row>
    <row r="254" spans="1:26" ht="44.25" customHeight="1" outlineLevel="1">
      <c r="A254" s="1061">
        <f t="shared" si="15"/>
        <v>122</v>
      </c>
      <c r="B254" s="1051" t="s">
        <v>3466</v>
      </c>
      <c r="C254" s="1066" t="s">
        <v>3342</v>
      </c>
      <c r="D254" s="1099" t="s">
        <v>122</v>
      </c>
      <c r="E254" s="1136"/>
      <c r="F254" s="1073" t="s">
        <v>3564</v>
      </c>
      <c r="G254" s="1035" t="s">
        <v>3584</v>
      </c>
      <c r="H254" s="1035" t="s">
        <v>4833</v>
      </c>
      <c r="I254" s="1035"/>
      <c r="J254" s="1139"/>
      <c r="K254" s="1118">
        <f>13522.59</f>
        <v>13522.59</v>
      </c>
      <c r="L254" s="1134"/>
      <c r="M254" s="1030"/>
      <c r="N254" s="1030"/>
      <c r="O254" s="1030"/>
      <c r="P254" s="1030"/>
      <c r="Q254" s="1030"/>
      <c r="R254" s="1030"/>
      <c r="S254" s="1030"/>
      <c r="T254" s="1030"/>
      <c r="U254" s="1030"/>
      <c r="V254" s="1030"/>
      <c r="W254" s="1030"/>
      <c r="X254" s="1030"/>
      <c r="Y254" s="1030"/>
      <c r="Z254" s="1030"/>
    </row>
    <row r="255" spans="1:26" ht="29.25" customHeight="1" outlineLevel="1">
      <c r="A255" s="1061">
        <f t="shared" si="15"/>
        <v>123</v>
      </c>
      <c r="B255" s="1051" t="s">
        <v>3470</v>
      </c>
      <c r="C255" s="1066" t="s">
        <v>3342</v>
      </c>
      <c r="D255" s="1099" t="s">
        <v>122</v>
      </c>
      <c r="E255" s="1136"/>
      <c r="F255" s="1073" t="s">
        <v>3564</v>
      </c>
      <c r="G255" s="1035" t="s">
        <v>4834</v>
      </c>
      <c r="H255" s="1035" t="s">
        <v>4835</v>
      </c>
      <c r="I255" s="1035"/>
      <c r="J255" s="1139"/>
      <c r="K255" s="1118">
        <v>1720</v>
      </c>
      <c r="L255" s="1134"/>
      <c r="M255" s="1030"/>
      <c r="N255" s="1030"/>
      <c r="O255" s="1030"/>
      <c r="P255" s="1030"/>
      <c r="Q255" s="1030"/>
      <c r="R255" s="1030"/>
      <c r="S255" s="1030"/>
      <c r="T255" s="1030"/>
      <c r="U255" s="1030"/>
      <c r="V255" s="1030"/>
      <c r="W255" s="1030"/>
      <c r="X255" s="1030"/>
      <c r="Y255" s="1030"/>
      <c r="Z255" s="1030"/>
    </row>
    <row r="256" spans="1:26" ht="52.5" customHeight="1" outlineLevel="1">
      <c r="A256" s="1061">
        <f t="shared" si="15"/>
        <v>124</v>
      </c>
      <c r="B256" s="1051" t="s">
        <v>3473</v>
      </c>
      <c r="C256" s="1066" t="s">
        <v>3342</v>
      </c>
      <c r="D256" s="1099" t="s">
        <v>122</v>
      </c>
      <c r="E256" s="1136"/>
      <c r="F256" s="1073" t="s">
        <v>3564</v>
      </c>
      <c r="G256" s="1035" t="s">
        <v>3588</v>
      </c>
      <c r="H256" s="1035" t="s">
        <v>4836</v>
      </c>
      <c r="I256" s="1035"/>
      <c r="J256" s="1139"/>
      <c r="K256" s="1118">
        <f>(130*4.8)</f>
        <v>624</v>
      </c>
      <c r="L256" s="1134"/>
      <c r="M256" s="1030"/>
      <c r="N256" s="1030"/>
      <c r="O256" s="1030"/>
      <c r="P256" s="1030"/>
      <c r="Q256" s="1030"/>
      <c r="R256" s="1030"/>
      <c r="S256" s="1030"/>
      <c r="T256" s="1030"/>
      <c r="U256" s="1030"/>
      <c r="V256" s="1030"/>
      <c r="W256" s="1030"/>
      <c r="X256" s="1030"/>
      <c r="Y256" s="1030"/>
      <c r="Z256" s="1030"/>
    </row>
    <row r="257" spans="1:26" ht="25.5" outlineLevel="1">
      <c r="A257" s="1061">
        <f t="shared" si="15"/>
        <v>125</v>
      </c>
      <c r="B257" s="1051" t="s">
        <v>3473</v>
      </c>
      <c r="C257" s="1112" t="s">
        <v>3342</v>
      </c>
      <c r="D257" s="1099" t="s">
        <v>122</v>
      </c>
      <c r="E257" s="1114"/>
      <c r="F257" s="1073" t="s">
        <v>3564</v>
      </c>
      <c r="G257" s="1136" t="s">
        <v>3474</v>
      </c>
      <c r="H257" s="1136" t="s">
        <v>4837</v>
      </c>
      <c r="I257" s="1136"/>
      <c r="J257" s="1147"/>
      <c r="K257" s="1118">
        <v>1100.3499999999999</v>
      </c>
      <c r="L257" s="1103"/>
      <c r="M257" s="1103"/>
      <c r="N257" s="1103"/>
      <c r="O257" s="1103"/>
      <c r="P257" s="1103"/>
      <c r="Q257" s="1103"/>
      <c r="R257" s="1103"/>
      <c r="S257" s="1103"/>
      <c r="T257" s="1103"/>
      <c r="U257" s="1103"/>
      <c r="V257" s="1103"/>
      <c r="W257" s="1103"/>
      <c r="X257" s="1103"/>
      <c r="Y257" s="1103"/>
      <c r="Z257" s="1103"/>
    </row>
    <row r="258" spans="1:26" ht="38.25" outlineLevel="1">
      <c r="A258" s="1061">
        <f t="shared" si="15"/>
        <v>126</v>
      </c>
      <c r="B258" s="1051" t="s">
        <v>3473</v>
      </c>
      <c r="C258" s="1112" t="s">
        <v>3342</v>
      </c>
      <c r="D258" s="1099" t="s">
        <v>122</v>
      </c>
      <c r="E258" s="1114"/>
      <c r="F258" s="1073" t="s">
        <v>3564</v>
      </c>
      <c r="G258" s="1196" t="s">
        <v>3623</v>
      </c>
      <c r="H258" s="1197" t="s">
        <v>4838</v>
      </c>
      <c r="I258" s="1198"/>
      <c r="J258" s="1199"/>
      <c r="K258" s="1200">
        <v>423.82</v>
      </c>
      <c r="L258" s="1103"/>
      <c r="M258" s="1103"/>
      <c r="N258" s="1103"/>
      <c r="O258" s="1103"/>
      <c r="P258" s="1103"/>
      <c r="Q258" s="1103"/>
      <c r="R258" s="1103"/>
      <c r="S258" s="1103"/>
      <c r="T258" s="1103"/>
      <c r="U258" s="1103"/>
      <c r="V258" s="1103"/>
      <c r="W258" s="1103"/>
      <c r="X258" s="1103"/>
      <c r="Y258" s="1103"/>
      <c r="Z258" s="1103"/>
    </row>
    <row r="259" spans="1:26" ht="45" customHeight="1" outlineLevel="1">
      <c r="A259" s="1061">
        <f t="shared" si="15"/>
        <v>127</v>
      </c>
      <c r="B259" s="1144" t="s">
        <v>3473</v>
      </c>
      <c r="C259" s="1112" t="s">
        <v>3342</v>
      </c>
      <c r="D259" s="1099" t="s">
        <v>122</v>
      </c>
      <c r="E259" s="1114"/>
      <c r="F259" s="1145" t="s">
        <v>3564</v>
      </c>
      <c r="G259" s="1136" t="s">
        <v>3627</v>
      </c>
      <c r="H259" s="1136" t="s">
        <v>4839</v>
      </c>
      <c r="I259" s="1136"/>
      <c r="J259" s="1147"/>
      <c r="K259" s="1118">
        <v>3155.82</v>
      </c>
      <c r="L259" s="1103"/>
      <c r="M259" s="1103"/>
      <c r="N259" s="1103"/>
      <c r="O259" s="1103"/>
      <c r="P259" s="1103"/>
      <c r="Q259" s="1103"/>
      <c r="R259" s="1103"/>
      <c r="S259" s="1103"/>
      <c r="T259" s="1103"/>
      <c r="U259" s="1103"/>
      <c r="V259" s="1103"/>
      <c r="W259" s="1103"/>
      <c r="X259" s="1103"/>
      <c r="Y259" s="1103"/>
      <c r="Z259" s="1103"/>
    </row>
    <row r="260" spans="1:26" ht="25.5" customHeight="1" outlineLevel="1">
      <c r="A260" s="1061">
        <f t="shared" si="15"/>
        <v>128</v>
      </c>
      <c r="B260" s="1051" t="s">
        <v>3462</v>
      </c>
      <c r="C260" s="1066" t="s">
        <v>3342</v>
      </c>
      <c r="D260" s="1099" t="s">
        <v>122</v>
      </c>
      <c r="E260" s="1136"/>
      <c r="F260" s="1073" t="s">
        <v>3564</v>
      </c>
      <c r="G260" s="1035" t="s">
        <v>4840</v>
      </c>
      <c r="H260" s="1035" t="s">
        <v>4841</v>
      </c>
      <c r="I260" s="1035"/>
      <c r="J260" s="1139"/>
      <c r="K260" s="1118">
        <f>3.25*125</f>
        <v>406.25</v>
      </c>
      <c r="L260" s="1134"/>
      <c r="M260" s="1030"/>
      <c r="N260" s="1030"/>
      <c r="O260" s="1030"/>
      <c r="P260" s="1030"/>
      <c r="Q260" s="1030"/>
      <c r="R260" s="1030"/>
      <c r="S260" s="1030"/>
      <c r="T260" s="1030"/>
      <c r="U260" s="1030"/>
      <c r="V260" s="1030"/>
      <c r="W260" s="1030"/>
      <c r="X260" s="1030"/>
      <c r="Y260" s="1030"/>
      <c r="Z260" s="1030"/>
    </row>
    <row r="261" spans="1:26" ht="25.5" customHeight="1" outlineLevel="1">
      <c r="A261" s="1061">
        <f t="shared" si="15"/>
        <v>129</v>
      </c>
      <c r="B261" s="1051" t="s">
        <v>3485</v>
      </c>
      <c r="C261" s="1066" t="s">
        <v>3342</v>
      </c>
      <c r="D261" s="1099" t="s">
        <v>122</v>
      </c>
      <c r="E261" s="1136"/>
      <c r="F261" s="1073" t="s">
        <v>3564</v>
      </c>
      <c r="G261" s="1035" t="s">
        <v>3486</v>
      </c>
      <c r="H261" s="1035" t="s">
        <v>4842</v>
      </c>
      <c r="I261" s="1035"/>
      <c r="J261" s="1139"/>
      <c r="K261" s="1118">
        <v>80</v>
      </c>
      <c r="L261" s="1030"/>
      <c r="M261" s="1030"/>
      <c r="N261" s="1030"/>
      <c r="O261" s="1030"/>
      <c r="P261" s="1030"/>
      <c r="Q261" s="1030"/>
      <c r="R261" s="1030"/>
      <c r="S261" s="1030"/>
      <c r="T261" s="1030"/>
      <c r="U261" s="1030"/>
      <c r="V261" s="1030"/>
      <c r="W261" s="1030"/>
      <c r="X261" s="1030"/>
      <c r="Y261" s="1030"/>
      <c r="Z261" s="1030"/>
    </row>
    <row r="262" spans="1:26" ht="26.25" customHeight="1" outlineLevel="1">
      <c r="A262" s="1061">
        <f t="shared" si="15"/>
        <v>130</v>
      </c>
      <c r="B262" s="1051" t="s">
        <v>3485</v>
      </c>
      <c r="C262" s="1066" t="s">
        <v>3342</v>
      </c>
      <c r="D262" s="1099" t="s">
        <v>122</v>
      </c>
      <c r="E262" s="1136"/>
      <c r="F262" s="1073" t="s">
        <v>3564</v>
      </c>
      <c r="G262" s="1035" t="s">
        <v>4796</v>
      </c>
      <c r="H262" s="1035" t="s">
        <v>4843</v>
      </c>
      <c r="I262" s="1035"/>
      <c r="J262" s="1139"/>
      <c r="K262" s="1118">
        <f>266.5+(2.9+42.58)</f>
        <v>311.98</v>
      </c>
      <c r="L262" s="1030"/>
      <c r="M262" s="1030"/>
      <c r="N262" s="1030"/>
      <c r="O262" s="1030"/>
      <c r="P262" s="1030"/>
      <c r="Q262" s="1030"/>
      <c r="R262" s="1030"/>
      <c r="S262" s="1030"/>
      <c r="T262" s="1030"/>
      <c r="U262" s="1030"/>
      <c r="V262" s="1030"/>
      <c r="W262" s="1030"/>
      <c r="X262" s="1030"/>
      <c r="Y262" s="1030"/>
      <c r="Z262" s="1030"/>
    </row>
    <row r="263" spans="1:26" ht="12.75" customHeight="1" outlineLevel="1">
      <c r="A263" s="1061">
        <f t="shared" si="15"/>
        <v>131</v>
      </c>
      <c r="B263" s="1051"/>
      <c r="C263" s="1066" t="s">
        <v>3342</v>
      </c>
      <c r="D263" s="1099" t="s">
        <v>122</v>
      </c>
      <c r="E263" s="1136"/>
      <c r="F263" s="1073"/>
      <c r="G263" s="1035"/>
      <c r="H263" s="1035"/>
      <c r="I263" s="1035"/>
      <c r="J263" s="1139"/>
      <c r="K263" s="1118"/>
      <c r="L263" s="1030"/>
      <c r="M263" s="1039"/>
      <c r="N263" s="1039"/>
      <c r="O263" s="1039"/>
      <c r="P263" s="1039"/>
      <c r="Q263" s="1039"/>
      <c r="R263" s="1039"/>
      <c r="S263" s="1039"/>
      <c r="T263" s="1039"/>
      <c r="U263" s="1039"/>
      <c r="V263" s="1039"/>
      <c r="W263" s="1039"/>
      <c r="X263" s="1039"/>
      <c r="Y263" s="1039"/>
      <c r="Z263" s="1039"/>
    </row>
    <row r="264" spans="1:26" ht="13.5" customHeight="1">
      <c r="A264" s="1039"/>
      <c r="B264" s="1039"/>
      <c r="C264" s="1039"/>
      <c r="D264" s="1088" t="s">
        <v>3537</v>
      </c>
      <c r="E264" s="1089"/>
      <c r="F264" s="1089"/>
      <c r="G264" s="1089"/>
      <c r="H264" s="1090"/>
      <c r="I264" s="1089"/>
      <c r="J264" s="1164"/>
      <c r="K264" s="1091">
        <f>SUM(K133:K263)</f>
        <v>82270.837000000014</v>
      </c>
      <c r="L264" s="1039"/>
      <c r="M264" s="1039"/>
      <c r="N264" s="1039"/>
      <c r="O264" s="1039"/>
      <c r="P264" s="1039"/>
      <c r="Q264" s="1039"/>
      <c r="R264" s="1039"/>
      <c r="S264" s="1039"/>
      <c r="T264" s="1039"/>
      <c r="U264" s="1039"/>
      <c r="V264" s="1039"/>
      <c r="W264" s="1039"/>
      <c r="X264" s="1039"/>
      <c r="Y264" s="1039"/>
      <c r="Z264" s="1039"/>
    </row>
    <row r="265" spans="1:26" ht="12.75" customHeight="1">
      <c r="A265" s="1039"/>
      <c r="B265" s="1039"/>
      <c r="C265" s="1039"/>
      <c r="D265" s="1092"/>
      <c r="E265" s="1092"/>
      <c r="F265" s="1092"/>
      <c r="G265" s="1092"/>
      <c r="H265" s="1093"/>
      <c r="I265" s="1092"/>
      <c r="J265" s="1092"/>
      <c r="K265" s="1094"/>
      <c r="L265" s="1039"/>
      <c r="M265" s="1039"/>
      <c r="N265" s="1039"/>
      <c r="O265" s="1039"/>
      <c r="P265" s="1039"/>
      <c r="Q265" s="1039"/>
      <c r="R265" s="1039"/>
      <c r="S265" s="1039"/>
      <c r="T265" s="1039"/>
      <c r="U265" s="1039"/>
      <c r="V265" s="1039"/>
      <c r="W265" s="1039"/>
      <c r="X265" s="1039"/>
      <c r="Y265" s="1039"/>
      <c r="Z265" s="1039"/>
    </row>
    <row r="266" spans="1:26" ht="12.75" customHeight="1">
      <c r="A266" s="1039"/>
      <c r="B266" s="1030"/>
      <c r="C266" s="1030"/>
      <c r="D266" s="1031" t="s">
        <v>3538</v>
      </c>
      <c r="E266" s="1031"/>
      <c r="F266" s="1031"/>
      <c r="G266" s="1031"/>
      <c r="H266" s="1031"/>
      <c r="I266" s="1032"/>
      <c r="J266" s="1031"/>
      <c r="K266" s="1033"/>
      <c r="L266" s="1039"/>
      <c r="M266" s="1039"/>
      <c r="N266" s="1039"/>
      <c r="O266" s="1039"/>
      <c r="P266" s="1039"/>
      <c r="Q266" s="1039"/>
      <c r="R266" s="1039"/>
      <c r="S266" s="1039"/>
      <c r="T266" s="1039"/>
      <c r="U266" s="1039"/>
      <c r="V266" s="1039"/>
      <c r="W266" s="1039"/>
      <c r="X266" s="1039"/>
      <c r="Y266" s="1039"/>
      <c r="Z266" s="1039"/>
    </row>
    <row r="267" spans="1:26" ht="12.75" customHeight="1">
      <c r="A267" s="1061"/>
      <c r="B267" s="1062" t="s">
        <v>3373</v>
      </c>
      <c r="C267" s="1063" t="s">
        <v>3374</v>
      </c>
      <c r="D267" s="1064" t="s">
        <v>3539</v>
      </c>
      <c r="E267" s="1064" t="s">
        <v>3376</v>
      </c>
      <c r="F267" s="1064" t="s">
        <v>3539</v>
      </c>
      <c r="G267" s="1064" t="s">
        <v>3377</v>
      </c>
      <c r="H267" s="1064" t="s">
        <v>3540</v>
      </c>
      <c r="I267" s="1064" t="s">
        <v>3379</v>
      </c>
      <c r="J267" s="1064" t="s">
        <v>3380</v>
      </c>
      <c r="K267" s="1065" t="s">
        <v>3381</v>
      </c>
      <c r="L267" s="1030"/>
      <c r="M267" s="1030"/>
      <c r="N267" s="1030"/>
      <c r="O267" s="1030"/>
      <c r="P267" s="1030"/>
      <c r="Q267" s="1030"/>
      <c r="R267" s="1030"/>
      <c r="S267" s="1030"/>
      <c r="T267" s="1030"/>
      <c r="U267" s="1030"/>
      <c r="V267" s="1030"/>
      <c r="W267" s="1030"/>
      <c r="X267" s="1030"/>
      <c r="Y267" s="1030"/>
      <c r="Z267" s="1030"/>
    </row>
    <row r="268" spans="1:26" ht="12.75" customHeight="1">
      <c r="A268" s="1061"/>
      <c r="B268" s="1051" t="s">
        <v>3541</v>
      </c>
      <c r="C268" s="1066" t="s">
        <v>3342</v>
      </c>
      <c r="D268" s="1062">
        <f>E8</f>
        <v>0</v>
      </c>
      <c r="E268" s="1035"/>
      <c r="F268" s="1138" t="s">
        <v>122</v>
      </c>
      <c r="G268" s="1087"/>
      <c r="H268" s="1068">
        <f>IF(F268="x",IF(AND($F$291&gt;=4000,OR(E268="MT",E268="MTcod",E268="ET",E268="ETcod")),IF((10*($F$291-4000)/100)&lt;=300,10*($F$291-4000)/100,300),0))+IF(F268="x",IF(AND($F$291&gt;=2500,OR(E268="ST",E268="STcod")),IF((10*($F$291-2500)/100)&lt;=200,10*($F$291-2500)/100,200),0))+IF(F268="x",IF(AND($F$291&gt;=1500,OR(E268="T",E268="Tcod")),IF((10*($F$291-1500)/100)&lt;=100,10*($F$291-1500)/100,100),0))+IF(F268="x",IF(AND($F$291&gt;=1500,OR(E268="HTS",E268="STS",E268="TS")),IF((10*($F$291-1500)/100)&lt;=100,10*($F$291-1500)/100,100),0))+IF(F268="x",IF(AND($F$291&gt;=2000,OR(E268="MTCoach",E268="ETCoach")),IF((10*($F$291-2000)/100*2)&lt;=300,10*($F$291-2000)/100*2,300),0))+IF(F268="x",IF(AND($F$291&gt;=1500,E268="STCoach"),IF((10*($F$291-1500)/100*2)&lt;=200,10*($F$291-1500)/100*2,200),0))+IF(F268="x",IF(AND($F$291&gt;=1000,E268="TCoach"),IF((10*($F$291-1000)/100*2)&lt;=100,10*($F$291-1000)/100*2,100),0))</f>
        <v>0</v>
      </c>
      <c r="I268" s="1062">
        <f>$E$3</f>
        <v>11</v>
      </c>
      <c r="J268" s="1035"/>
      <c r="K268" s="1068">
        <f>I268*(H268)+J268</f>
        <v>0</v>
      </c>
      <c r="L268" s="1060"/>
      <c r="M268" s="1030"/>
      <c r="N268" s="1030"/>
      <c r="O268" s="1030"/>
      <c r="P268" s="1030"/>
      <c r="Q268" s="1030"/>
      <c r="R268" s="1030"/>
      <c r="S268" s="1030"/>
      <c r="T268" s="1030"/>
      <c r="U268" s="1030"/>
      <c r="V268" s="1030"/>
      <c r="W268" s="1030"/>
      <c r="X268" s="1030"/>
      <c r="Y268" s="1030"/>
      <c r="Z268" s="1030"/>
    </row>
    <row r="269" spans="1:26" ht="12.75" customHeight="1">
      <c r="A269" s="1039"/>
      <c r="B269" s="1030"/>
      <c r="C269" s="1030"/>
      <c r="D269" s="1060"/>
      <c r="E269" s="1060"/>
      <c r="F269" s="1060"/>
      <c r="G269" s="1060"/>
      <c r="H269" s="1060"/>
      <c r="I269" s="1165"/>
      <c r="J269" s="1060"/>
      <c r="K269" s="1166"/>
      <c r="L269" s="1039"/>
      <c r="M269" s="1039"/>
      <c r="N269" s="1039"/>
      <c r="O269" s="1039"/>
      <c r="P269" s="1039"/>
      <c r="Q269" s="1039"/>
      <c r="R269" s="1039"/>
      <c r="S269" s="1039"/>
      <c r="T269" s="1039"/>
      <c r="U269" s="1039"/>
      <c r="V269" s="1039"/>
      <c r="W269" s="1039"/>
      <c r="X269" s="1039"/>
      <c r="Y269" s="1039"/>
      <c r="Z269" s="1039"/>
    </row>
    <row r="270" spans="1:26" ht="12.75" hidden="1" customHeight="1">
      <c r="A270" s="1039"/>
      <c r="B270" s="1062" t="s">
        <v>3373</v>
      </c>
      <c r="C270" s="1063" t="s">
        <v>3374</v>
      </c>
      <c r="D270" s="1064" t="s">
        <v>3359</v>
      </c>
      <c r="E270" s="1064" t="s">
        <v>3542</v>
      </c>
      <c r="F270" s="1064"/>
      <c r="G270" s="1064"/>
      <c r="H270" s="1064" t="s">
        <v>3377</v>
      </c>
      <c r="I270" s="1064"/>
      <c r="J270" s="1064"/>
      <c r="K270" s="1065" t="s">
        <v>3381</v>
      </c>
      <c r="L270" s="1039"/>
      <c r="M270" s="1039"/>
      <c r="N270" s="1039"/>
      <c r="O270" s="1039"/>
      <c r="P270" s="1039"/>
      <c r="Q270" s="1039"/>
      <c r="R270" s="1039"/>
      <c r="S270" s="1039"/>
      <c r="T270" s="1039"/>
      <c r="U270" s="1039"/>
      <c r="V270" s="1039"/>
      <c r="W270" s="1039"/>
      <c r="X270" s="1039"/>
      <c r="Y270" s="1039"/>
      <c r="Z270" s="1039"/>
    </row>
    <row r="271" spans="1:26" ht="12.75" hidden="1" customHeight="1">
      <c r="A271" s="1039"/>
      <c r="B271" s="1051" t="s">
        <v>3541</v>
      </c>
      <c r="C271" s="1066" t="s">
        <v>117</v>
      </c>
      <c r="D271" s="1050" t="str">
        <f t="shared" ref="D271:D275" si="30">K7</f>
        <v>-</v>
      </c>
      <c r="E271" s="1167" t="s">
        <v>3543</v>
      </c>
      <c r="F271" s="1168"/>
      <c r="G271" s="1169"/>
      <c r="H271" s="1170"/>
      <c r="I271" s="1168"/>
      <c r="J271" s="1169"/>
      <c r="K271" s="1068">
        <v>0</v>
      </c>
      <c r="L271" s="1039"/>
      <c r="M271" s="1039"/>
      <c r="N271" s="1039"/>
      <c r="O271" s="1039"/>
      <c r="P271" s="1039"/>
      <c r="Q271" s="1039"/>
      <c r="R271" s="1039"/>
      <c r="S271" s="1039"/>
      <c r="T271" s="1039"/>
      <c r="U271" s="1039"/>
      <c r="V271" s="1039"/>
      <c r="W271" s="1039"/>
      <c r="X271" s="1039"/>
      <c r="Y271" s="1039"/>
      <c r="Z271" s="1039"/>
    </row>
    <row r="272" spans="1:26" ht="12.75" hidden="1" customHeight="1">
      <c r="A272" s="1039"/>
      <c r="B272" s="1051" t="s">
        <v>3541</v>
      </c>
      <c r="C272" s="1066" t="s">
        <v>117</v>
      </c>
      <c r="D272" s="1050" t="str">
        <f t="shared" si="30"/>
        <v>-</v>
      </c>
      <c r="E272" s="1167" t="s">
        <v>3544</v>
      </c>
      <c r="F272" s="1168"/>
      <c r="G272" s="1169"/>
      <c r="H272" s="1170"/>
      <c r="I272" s="1168"/>
      <c r="J272" s="1169"/>
      <c r="K272" s="1068">
        <v>0</v>
      </c>
      <c r="L272" s="1039"/>
      <c r="M272" s="1039"/>
      <c r="N272" s="1039"/>
      <c r="O272" s="1039"/>
      <c r="P272" s="1039"/>
      <c r="Q272" s="1039"/>
      <c r="R272" s="1039"/>
      <c r="S272" s="1039"/>
      <c r="T272" s="1039"/>
      <c r="U272" s="1039"/>
      <c r="V272" s="1039"/>
      <c r="W272" s="1039"/>
      <c r="X272" s="1039"/>
      <c r="Y272" s="1039"/>
      <c r="Z272" s="1039"/>
    </row>
    <row r="273" spans="1:26" ht="12.75" hidden="1" customHeight="1">
      <c r="A273" s="1039"/>
      <c r="B273" s="1051" t="s">
        <v>3541</v>
      </c>
      <c r="C273" s="1066" t="s">
        <v>117</v>
      </c>
      <c r="D273" s="1050" t="str">
        <f t="shared" si="30"/>
        <v>-</v>
      </c>
      <c r="E273" s="1167" t="s">
        <v>3545</v>
      </c>
      <c r="F273" s="1168"/>
      <c r="G273" s="1169"/>
      <c r="H273" s="1170"/>
      <c r="I273" s="1168"/>
      <c r="J273" s="1169"/>
      <c r="K273" s="1068">
        <v>0</v>
      </c>
      <c r="L273" s="1039"/>
      <c r="M273" s="1039"/>
      <c r="N273" s="1039"/>
      <c r="O273" s="1039"/>
      <c r="P273" s="1039"/>
      <c r="Q273" s="1039"/>
      <c r="R273" s="1039"/>
      <c r="S273" s="1039"/>
      <c r="T273" s="1039"/>
      <c r="U273" s="1039"/>
      <c r="V273" s="1039"/>
      <c r="W273" s="1039"/>
      <c r="X273" s="1039"/>
      <c r="Y273" s="1039"/>
      <c r="Z273" s="1039"/>
    </row>
    <row r="274" spans="1:26" ht="12.75" hidden="1" customHeight="1">
      <c r="A274" s="1039"/>
      <c r="B274" s="1051" t="s">
        <v>3541</v>
      </c>
      <c r="C274" s="1066" t="s">
        <v>117</v>
      </c>
      <c r="D274" s="1050">
        <f t="shared" si="30"/>
        <v>0</v>
      </c>
      <c r="E274" s="1167" t="s">
        <v>3546</v>
      </c>
      <c r="F274" s="1168"/>
      <c r="G274" s="1169"/>
      <c r="H274" s="1168"/>
      <c r="I274" s="1168"/>
      <c r="J274" s="1169"/>
      <c r="K274" s="1068">
        <f t="shared" ref="K274:K275" si="31">F298</f>
        <v>0</v>
      </c>
      <c r="L274" s="1039"/>
      <c r="M274" s="1039"/>
      <c r="N274" s="1039"/>
      <c r="O274" s="1039"/>
      <c r="P274" s="1039"/>
      <c r="Q274" s="1039"/>
      <c r="R274" s="1039"/>
      <c r="S274" s="1039"/>
      <c r="T274" s="1039"/>
      <c r="U274" s="1039"/>
      <c r="V274" s="1039"/>
      <c r="W274" s="1039"/>
      <c r="X274" s="1039"/>
      <c r="Y274" s="1039"/>
      <c r="Z274" s="1039"/>
    </row>
    <row r="275" spans="1:26" ht="12.75" hidden="1" customHeight="1">
      <c r="A275" s="1039"/>
      <c r="B275" s="1051" t="s">
        <v>3541</v>
      </c>
      <c r="C275" s="1066" t="s">
        <v>117</v>
      </c>
      <c r="D275" s="1050" t="str">
        <f t="shared" si="30"/>
        <v>-</v>
      </c>
      <c r="E275" s="1167" t="s">
        <v>3547</v>
      </c>
      <c r="F275" s="1168"/>
      <c r="G275" s="1169"/>
      <c r="H275" s="1168"/>
      <c r="I275" s="1168"/>
      <c r="J275" s="1169"/>
      <c r="K275" s="1068">
        <f t="shared" si="31"/>
        <v>0</v>
      </c>
      <c r="L275" s="1039"/>
      <c r="M275" s="1039"/>
      <c r="N275" s="1039"/>
      <c r="O275" s="1039"/>
      <c r="P275" s="1039"/>
      <c r="Q275" s="1039"/>
      <c r="R275" s="1039"/>
      <c r="S275" s="1039"/>
      <c r="T275" s="1039"/>
      <c r="U275" s="1039"/>
      <c r="V275" s="1039"/>
      <c r="W275" s="1039"/>
      <c r="X275" s="1039"/>
      <c r="Y275" s="1039"/>
      <c r="Z275" s="1039"/>
    </row>
    <row r="276" spans="1:26" ht="12.75" hidden="1" customHeight="1" outlineLevel="1">
      <c r="A276" s="1039"/>
      <c r="B276" s="1051"/>
      <c r="C276" s="1066" t="s">
        <v>117</v>
      </c>
      <c r="D276" s="1201"/>
      <c r="E276" s="1167"/>
      <c r="F276" s="1168"/>
      <c r="G276" s="1169"/>
      <c r="H276" s="1168"/>
      <c r="I276" s="1168"/>
      <c r="J276" s="1169"/>
      <c r="K276" s="1087"/>
      <c r="L276" s="1039"/>
      <c r="M276" s="1039"/>
      <c r="N276" s="1039"/>
      <c r="O276" s="1039"/>
      <c r="P276" s="1039"/>
      <c r="Q276" s="1039"/>
      <c r="R276" s="1039"/>
      <c r="S276" s="1039"/>
      <c r="T276" s="1039"/>
      <c r="U276" s="1039"/>
      <c r="V276" s="1039"/>
      <c r="W276" s="1039"/>
      <c r="X276" s="1039"/>
      <c r="Y276" s="1039"/>
      <c r="Z276" s="1039"/>
    </row>
    <row r="277" spans="1:26" ht="12.75" hidden="1" customHeight="1" outlineLevel="1">
      <c r="A277" s="1039"/>
      <c r="B277" s="1051"/>
      <c r="C277" s="1066" t="s">
        <v>117</v>
      </c>
      <c r="D277" s="1201"/>
      <c r="E277" s="1167"/>
      <c r="F277" s="1168"/>
      <c r="G277" s="1169"/>
      <c r="H277" s="1168"/>
      <c r="I277" s="1168"/>
      <c r="J277" s="1169"/>
      <c r="K277" s="1087"/>
      <c r="L277" s="1039"/>
      <c r="M277" s="1039"/>
      <c r="N277" s="1039"/>
      <c r="O277" s="1039"/>
      <c r="P277" s="1039"/>
      <c r="Q277" s="1039"/>
      <c r="R277" s="1039"/>
      <c r="S277" s="1039"/>
      <c r="T277" s="1039"/>
      <c r="U277" s="1039"/>
      <c r="V277" s="1039"/>
      <c r="W277" s="1039"/>
      <c r="X277" s="1039"/>
      <c r="Y277" s="1039"/>
      <c r="Z277" s="1039"/>
    </row>
    <row r="278" spans="1:26" ht="12.75" hidden="1" customHeight="1" outlineLevel="1">
      <c r="A278" s="1039"/>
      <c r="B278" s="1051"/>
      <c r="C278" s="1066" t="s">
        <v>117</v>
      </c>
      <c r="D278" s="1201"/>
      <c r="E278" s="1167"/>
      <c r="F278" s="1168"/>
      <c r="G278" s="1169"/>
      <c r="H278" s="1168"/>
      <c r="I278" s="1168"/>
      <c r="J278" s="1169"/>
      <c r="K278" s="1087"/>
      <c r="L278" s="1039"/>
      <c r="M278" s="1030"/>
      <c r="N278" s="1030"/>
      <c r="O278" s="1030"/>
      <c r="P278" s="1030"/>
      <c r="Q278" s="1030"/>
      <c r="R278" s="1030"/>
      <c r="S278" s="1030"/>
      <c r="T278" s="1030"/>
      <c r="U278" s="1030"/>
      <c r="V278" s="1030"/>
      <c r="W278" s="1030"/>
      <c r="X278" s="1030"/>
      <c r="Y278" s="1030"/>
      <c r="Z278" s="1030"/>
    </row>
    <row r="279" spans="1:26" ht="12.75" hidden="1" customHeight="1" outlineLevel="1">
      <c r="A279" s="1039"/>
      <c r="B279" s="1051"/>
      <c r="C279" s="1066" t="s">
        <v>117</v>
      </c>
      <c r="D279" s="1201"/>
      <c r="E279" s="1167"/>
      <c r="F279" s="1168"/>
      <c r="G279" s="1169"/>
      <c r="H279" s="1168"/>
      <c r="I279" s="1168"/>
      <c r="J279" s="1169"/>
      <c r="K279" s="1087"/>
      <c r="L279" s="1039"/>
      <c r="M279" s="1030"/>
      <c r="N279" s="1030"/>
      <c r="O279" s="1030"/>
      <c r="P279" s="1030"/>
      <c r="Q279" s="1030"/>
      <c r="R279" s="1030"/>
      <c r="S279" s="1030"/>
      <c r="T279" s="1030"/>
      <c r="U279" s="1030"/>
      <c r="V279" s="1030"/>
      <c r="W279" s="1030"/>
      <c r="X279" s="1030"/>
      <c r="Y279" s="1030"/>
      <c r="Z279" s="1030"/>
    </row>
    <row r="280" spans="1:26" ht="12.75" hidden="1" customHeight="1" outlineLevel="1">
      <c r="A280" s="1039"/>
      <c r="B280" s="1051"/>
      <c r="C280" s="1066" t="s">
        <v>117</v>
      </c>
      <c r="D280" s="1201"/>
      <c r="E280" s="1167"/>
      <c r="F280" s="1168"/>
      <c r="G280" s="1169"/>
      <c r="H280" s="1168"/>
      <c r="I280" s="1168"/>
      <c r="J280" s="1169"/>
      <c r="K280" s="1087"/>
      <c r="L280" s="1039"/>
      <c r="M280" s="1030"/>
      <c r="N280" s="1030"/>
      <c r="O280" s="1030"/>
      <c r="P280" s="1030"/>
      <c r="Q280" s="1030"/>
      <c r="R280" s="1030"/>
      <c r="S280" s="1030"/>
      <c r="T280" s="1030"/>
      <c r="U280" s="1030"/>
      <c r="V280" s="1030"/>
      <c r="W280" s="1030"/>
      <c r="X280" s="1030"/>
      <c r="Y280" s="1030"/>
      <c r="Z280" s="1030"/>
    </row>
    <row r="281" spans="1:26" ht="12.75" hidden="1" customHeight="1" collapsed="1">
      <c r="A281" s="1039"/>
      <c r="B281" s="1030"/>
      <c r="C281" s="1030"/>
      <c r="D281" s="1088" t="s">
        <v>3548</v>
      </c>
      <c r="E281" s="1089"/>
      <c r="F281" s="1089"/>
      <c r="G281" s="1089"/>
      <c r="H281" s="1090"/>
      <c r="I281" s="1089"/>
      <c r="J281" s="1089"/>
      <c r="K281" s="1091">
        <f>K268+SUM(K271:K280)</f>
        <v>0</v>
      </c>
      <c r="L281" s="1039"/>
      <c r="M281" s="1030"/>
      <c r="N281" s="1030"/>
      <c r="O281" s="1030"/>
      <c r="P281" s="1030"/>
      <c r="Q281" s="1030"/>
      <c r="R281" s="1030"/>
      <c r="S281" s="1030"/>
      <c r="T281" s="1030"/>
      <c r="U281" s="1030"/>
      <c r="V281" s="1030"/>
      <c r="W281" s="1030"/>
      <c r="X281" s="1030"/>
      <c r="Y281" s="1030"/>
      <c r="Z281" s="1030"/>
    </row>
    <row r="282" spans="1:26" ht="15.75" hidden="1" customHeight="1">
      <c r="A282" s="1039"/>
      <c r="B282" s="1030"/>
      <c r="C282" s="1030"/>
      <c r="D282" s="1030"/>
      <c r="E282" s="1172"/>
      <c r="F282" s="1172"/>
      <c r="G282" s="1172"/>
      <c r="H282" s="1172"/>
      <c r="I282" s="1172"/>
      <c r="J282" s="1172"/>
      <c r="K282" s="1172"/>
      <c r="L282" s="1039"/>
      <c r="M282" s="1171"/>
      <c r="N282" s="1171"/>
      <c r="O282" s="1171"/>
      <c r="P282" s="1171"/>
      <c r="Q282" s="1171"/>
      <c r="R282" s="1171"/>
      <c r="S282" s="1171"/>
      <c r="T282" s="1171"/>
      <c r="U282" s="1171"/>
      <c r="V282" s="1171"/>
      <c r="W282" s="1171"/>
      <c r="X282" s="1171"/>
      <c r="Y282" s="1171"/>
      <c r="Z282" s="1171"/>
    </row>
    <row r="283" spans="1:26" ht="15.75" hidden="1" customHeight="1">
      <c r="A283" s="1039"/>
      <c r="B283" s="1030"/>
      <c r="C283" s="1030"/>
      <c r="D283" s="1173" t="s">
        <v>3549</v>
      </c>
      <c r="E283" s="1174"/>
      <c r="F283" s="1174"/>
      <c r="G283" s="1174"/>
      <c r="H283" s="1174"/>
      <c r="I283" s="1175"/>
      <c r="J283" s="1174"/>
      <c r="K283" s="1176"/>
      <c r="L283" s="1039"/>
      <c r="M283" s="1171"/>
      <c r="N283" s="1171"/>
      <c r="O283" s="1171"/>
      <c r="P283" s="1171"/>
      <c r="Q283" s="1171"/>
      <c r="R283" s="1171"/>
      <c r="S283" s="1171"/>
      <c r="T283" s="1171"/>
      <c r="U283" s="1171"/>
      <c r="V283" s="1171"/>
      <c r="W283" s="1171"/>
      <c r="X283" s="1171"/>
      <c r="Y283" s="1171"/>
      <c r="Z283" s="1171"/>
    </row>
    <row r="284" spans="1:26" ht="15.75" hidden="1" customHeight="1">
      <c r="A284" s="1039"/>
      <c r="B284" s="1062" t="s">
        <v>3550</v>
      </c>
      <c r="C284" s="1063" t="s">
        <v>3374</v>
      </c>
      <c r="D284" s="1177" t="s">
        <v>3551</v>
      </c>
      <c r="E284" s="1064"/>
      <c r="F284" s="1064"/>
      <c r="G284" s="1064"/>
      <c r="H284" s="1064"/>
      <c r="I284" s="1097" t="s">
        <v>3377</v>
      </c>
      <c r="J284" s="1064"/>
      <c r="K284" s="1064" t="s">
        <v>3381</v>
      </c>
      <c r="L284" s="1039"/>
      <c r="M284" s="1171"/>
      <c r="N284" s="1171"/>
      <c r="O284" s="1171"/>
      <c r="P284" s="1171"/>
      <c r="Q284" s="1171"/>
      <c r="R284" s="1171"/>
      <c r="S284" s="1171"/>
      <c r="T284" s="1171"/>
      <c r="U284" s="1171"/>
      <c r="V284" s="1171"/>
      <c r="W284" s="1171"/>
      <c r="X284" s="1171"/>
      <c r="Y284" s="1171"/>
      <c r="Z284" s="1171"/>
    </row>
    <row r="285" spans="1:26" ht="12.75" hidden="1" customHeight="1">
      <c r="A285" s="1030"/>
      <c r="B285" s="1051" t="s">
        <v>3552</v>
      </c>
      <c r="C285" s="1066" t="s">
        <v>117</v>
      </c>
      <c r="D285" s="1178" t="str">
        <f>I2</f>
        <v>Master in Vendita</v>
      </c>
      <c r="E285" s="1179"/>
      <c r="F285" s="1180"/>
      <c r="G285" s="1181" t="str">
        <f>G2</f>
        <v>20-21-22 maggio, 17-18-19 giugno, 2-3 luglio + 15-16-17 luglio (SA)</v>
      </c>
      <c r="H285" s="1180" t="str">
        <f>G3</f>
        <v>Lazise (VR)</v>
      </c>
      <c r="I285" s="1167"/>
      <c r="J285" s="1116"/>
      <c r="K285" s="1182">
        <f>F290</f>
        <v>298635</v>
      </c>
      <c r="L285" s="1030"/>
      <c r="M285" s="1030"/>
      <c r="N285" s="1030"/>
      <c r="O285" s="1030"/>
      <c r="P285" s="1030"/>
      <c r="Q285" s="1030"/>
      <c r="R285" s="1030"/>
      <c r="S285" s="1030"/>
      <c r="T285" s="1030"/>
      <c r="U285" s="1030"/>
      <c r="V285" s="1030"/>
      <c r="W285" s="1030"/>
      <c r="X285" s="1030"/>
      <c r="Y285" s="1030"/>
      <c r="Z285" s="1030"/>
    </row>
    <row r="286" spans="1:26" ht="12.75" hidden="1" customHeight="1">
      <c r="A286" s="1030"/>
      <c r="B286" s="1051" t="s">
        <v>3553</v>
      </c>
      <c r="C286" s="1066" t="s">
        <v>117</v>
      </c>
      <c r="D286" s="1183" t="s">
        <v>3352</v>
      </c>
      <c r="E286" s="1184"/>
      <c r="F286" s="1179"/>
      <c r="G286" s="1179"/>
      <c r="H286" s="1185"/>
      <c r="I286" s="1167"/>
      <c r="J286" s="1116"/>
      <c r="K286" s="1068">
        <f>K264-SUMIF(D133:D263,"x",K133:K263)</f>
        <v>0</v>
      </c>
      <c r="L286" s="1030"/>
      <c r="M286" s="1030"/>
      <c r="N286" s="1030"/>
      <c r="O286" s="1030"/>
      <c r="P286" s="1030"/>
      <c r="Q286" s="1030"/>
      <c r="R286" s="1030"/>
      <c r="S286" s="1030"/>
      <c r="T286" s="1030"/>
      <c r="U286" s="1030"/>
      <c r="V286" s="1030"/>
      <c r="W286" s="1030"/>
      <c r="X286" s="1030"/>
      <c r="Y286" s="1030"/>
      <c r="Z286" s="1030"/>
    </row>
    <row r="287" spans="1:26" ht="12.75" hidden="1" customHeight="1">
      <c r="A287" s="1030"/>
      <c r="B287" s="1030"/>
      <c r="C287" s="1030"/>
      <c r="D287" s="1030"/>
      <c r="E287" s="1030"/>
      <c r="F287" s="1030"/>
      <c r="G287" s="1030"/>
      <c r="H287" s="1186"/>
      <c r="I287" s="1030"/>
      <c r="J287" s="1030"/>
      <c r="K287" s="1030"/>
      <c r="L287" s="1030"/>
      <c r="M287" s="1030"/>
      <c r="N287" s="1030"/>
      <c r="O287" s="1030"/>
      <c r="P287" s="1030"/>
      <c r="Q287" s="1030"/>
      <c r="R287" s="1030"/>
      <c r="S287" s="1030"/>
      <c r="T287" s="1030"/>
      <c r="U287" s="1030"/>
      <c r="V287" s="1030"/>
      <c r="W287" s="1030"/>
      <c r="X287" s="1030"/>
      <c r="Y287" s="1030"/>
      <c r="Z287" s="1030"/>
    </row>
    <row r="288" spans="1:26" ht="15.75" customHeight="1">
      <c r="A288" s="1030"/>
      <c r="B288" s="1030"/>
      <c r="C288" s="1030"/>
      <c r="D288" s="1088" t="s">
        <v>3554</v>
      </c>
      <c r="E288" s="1089"/>
      <c r="F288" s="1187"/>
      <c r="G288" s="1030"/>
      <c r="H288" s="1030"/>
      <c r="I288" s="1030"/>
      <c r="J288" s="1030"/>
      <c r="K288" s="1186"/>
      <c r="L288" s="1030"/>
      <c r="M288" s="1171"/>
      <c r="N288" s="1171"/>
      <c r="O288" s="1171"/>
      <c r="P288" s="1171"/>
      <c r="Q288" s="1171"/>
      <c r="R288" s="1171"/>
      <c r="S288" s="1171"/>
      <c r="T288" s="1171"/>
      <c r="U288" s="1171"/>
      <c r="V288" s="1171"/>
      <c r="W288" s="1171"/>
      <c r="X288" s="1171"/>
      <c r="Y288" s="1171"/>
      <c r="Z288" s="1171"/>
    </row>
    <row r="289" spans="1:26" ht="15.75" customHeight="1">
      <c r="A289" s="1030"/>
      <c r="B289" s="1030"/>
      <c r="C289" s="1030"/>
      <c r="D289" s="1034" t="s">
        <v>3556</v>
      </c>
      <c r="E289" s="1034"/>
      <c r="F289" s="1072">
        <f>K126+SUMIF(D130,"x",K130)+SUMIF(D133:D263,"x",K133:K263)</f>
        <v>133315.837</v>
      </c>
      <c r="G289" s="1030"/>
      <c r="H289" s="1134"/>
      <c r="I289" s="1030"/>
      <c r="J289" s="1060"/>
      <c r="K289" s="1060"/>
      <c r="L289" s="1030"/>
      <c r="M289" s="1030"/>
      <c r="N289" s="1030"/>
      <c r="O289" s="1030"/>
      <c r="P289" s="1030"/>
      <c r="Q289" s="1030"/>
      <c r="R289" s="1030"/>
      <c r="S289" s="1030"/>
      <c r="T289" s="1030"/>
      <c r="U289" s="1030"/>
      <c r="V289" s="1030"/>
      <c r="W289" s="1030"/>
      <c r="X289" s="1030"/>
      <c r="Y289" s="1030"/>
      <c r="Z289" s="1030"/>
    </row>
    <row r="290" spans="1:26" ht="15.75" customHeight="1">
      <c r="A290" s="1171"/>
      <c r="B290" s="1030"/>
      <c r="C290" s="1030"/>
      <c r="D290" s="1034" t="s">
        <v>3343</v>
      </c>
      <c r="E290" s="1188"/>
      <c r="F290" s="1072">
        <f>K2</f>
        <v>298635</v>
      </c>
      <c r="G290" s="1171"/>
      <c r="H290" s="1134"/>
      <c r="I290" s="1171"/>
      <c r="J290" s="1060"/>
      <c r="K290" s="1060"/>
      <c r="L290" s="1171"/>
      <c r="M290" s="1030"/>
      <c r="N290" s="1030"/>
      <c r="O290" s="1030"/>
      <c r="P290" s="1030"/>
      <c r="Q290" s="1030"/>
      <c r="R290" s="1030"/>
      <c r="S290" s="1030"/>
      <c r="T290" s="1030"/>
      <c r="U290" s="1030"/>
      <c r="V290" s="1030"/>
      <c r="W290" s="1030"/>
      <c r="X290" s="1030"/>
      <c r="Y290" s="1030"/>
      <c r="Z290" s="1030"/>
    </row>
    <row r="291" spans="1:26" ht="15.75" customHeight="1">
      <c r="A291" s="1171"/>
      <c r="B291" s="1030"/>
      <c r="C291" s="1030"/>
      <c r="D291" s="1034" t="s">
        <v>3557</v>
      </c>
      <c r="E291" s="1188"/>
      <c r="F291" s="1072">
        <f>IF(E3=0,0,F290/E3)</f>
        <v>27148.636363636364</v>
      </c>
      <c r="G291" s="1189"/>
      <c r="H291" s="1134"/>
      <c r="I291" s="1171"/>
      <c r="J291" s="1030"/>
      <c r="K291" s="1030"/>
      <c r="L291" s="1171"/>
      <c r="M291" s="1030"/>
      <c r="N291" s="1030"/>
      <c r="O291" s="1030"/>
      <c r="P291" s="1030"/>
      <c r="Q291" s="1030"/>
      <c r="R291" s="1030"/>
      <c r="S291" s="1030"/>
      <c r="T291" s="1030"/>
      <c r="U291" s="1030"/>
      <c r="V291" s="1030"/>
      <c r="W291" s="1030"/>
      <c r="X291" s="1030"/>
      <c r="Y291" s="1030"/>
      <c r="Z291" s="1030"/>
    </row>
    <row r="292" spans="1:26" ht="15.75" customHeight="1">
      <c r="A292" s="1030"/>
      <c r="B292" s="1030"/>
      <c r="C292" s="1030"/>
      <c r="D292" s="1034" t="s">
        <v>3352</v>
      </c>
      <c r="E292" s="1188"/>
      <c r="F292" s="1190" t="str">
        <f>K3</f>
        <v>Incluse</v>
      </c>
      <c r="G292" s="1189"/>
      <c r="H292" s="1134"/>
      <c r="I292" s="1171"/>
      <c r="J292" s="1039"/>
      <c r="K292" s="1039"/>
      <c r="L292" s="1030"/>
      <c r="M292" s="1030"/>
      <c r="N292" s="1030"/>
      <c r="O292" s="1030"/>
      <c r="P292" s="1030"/>
      <c r="Q292" s="1030"/>
      <c r="R292" s="1030"/>
      <c r="S292" s="1030"/>
      <c r="T292" s="1030"/>
      <c r="U292" s="1030"/>
      <c r="V292" s="1030"/>
      <c r="W292" s="1030"/>
      <c r="X292" s="1030"/>
      <c r="Y292" s="1030"/>
      <c r="Z292" s="1030"/>
    </row>
    <row r="293" spans="1:26" ht="15.75" customHeight="1">
      <c r="A293" s="1030"/>
      <c r="B293" s="1030"/>
      <c r="C293" s="1030"/>
      <c r="D293" s="1034" t="s">
        <v>3350</v>
      </c>
      <c r="E293" s="1188"/>
      <c r="F293" s="1190" t="str">
        <f>I3</f>
        <v>Autofinanziato</v>
      </c>
      <c r="G293" s="1189"/>
      <c r="H293" s="1134"/>
      <c r="I293" s="1030"/>
      <c r="J293" s="1060"/>
      <c r="K293" s="1172"/>
      <c r="L293" s="1030"/>
      <c r="M293" s="1030"/>
      <c r="N293" s="1030"/>
      <c r="O293" s="1030"/>
      <c r="P293" s="1030"/>
      <c r="Q293" s="1030"/>
      <c r="R293" s="1030"/>
      <c r="S293" s="1030"/>
      <c r="T293" s="1030"/>
      <c r="U293" s="1030"/>
      <c r="V293" s="1030"/>
      <c r="W293" s="1030"/>
      <c r="X293" s="1030"/>
      <c r="Y293" s="1030"/>
      <c r="Z293" s="1030"/>
    </row>
    <row r="294" spans="1:26" ht="15.75" customHeight="1">
      <c r="A294" s="1030"/>
      <c r="B294" s="1030"/>
      <c r="C294" s="1030"/>
      <c r="D294" s="1034" t="s">
        <v>3558</v>
      </c>
      <c r="E294" s="1188"/>
      <c r="F294" s="1072">
        <f>K268</f>
        <v>0</v>
      </c>
      <c r="G294" s="1189"/>
      <c r="H294" s="1134"/>
      <c r="I294" s="1030"/>
      <c r="J294" s="1060"/>
      <c r="K294" s="1172"/>
      <c r="L294" s="1030"/>
      <c r="M294" s="1030"/>
      <c r="N294" s="1030"/>
      <c r="O294" s="1030"/>
      <c r="P294" s="1030"/>
      <c r="Q294" s="1030"/>
      <c r="R294" s="1030"/>
      <c r="S294" s="1030"/>
      <c r="T294" s="1030"/>
      <c r="U294" s="1030"/>
      <c r="V294" s="1030"/>
      <c r="W294" s="1030"/>
      <c r="X294" s="1030"/>
      <c r="Y294" s="1030"/>
      <c r="Z294" s="1030"/>
    </row>
    <row r="295" spans="1:26" ht="15.75" customHeight="1">
      <c r="A295" s="1030"/>
      <c r="B295" s="1030"/>
      <c r="C295" s="1030"/>
      <c r="D295" s="1034" t="s">
        <v>3361</v>
      </c>
      <c r="E295" s="1191">
        <f t="shared" ref="E295:E299" si="32">J7</f>
        <v>0</v>
      </c>
      <c r="F295" s="1470">
        <v>33363.449999999997</v>
      </c>
      <c r="G295" s="1189"/>
      <c r="H295" s="1134"/>
      <c r="I295" s="1171"/>
      <c r="J295" s="1060"/>
      <c r="K295" s="1172"/>
      <c r="L295" s="1030"/>
      <c r="M295" s="1030"/>
      <c r="N295" s="1030"/>
      <c r="O295" s="1030"/>
      <c r="P295" s="1030"/>
      <c r="Q295" s="1030"/>
      <c r="R295" s="1030"/>
      <c r="S295" s="1030"/>
      <c r="T295" s="1030"/>
      <c r="U295" s="1030"/>
      <c r="V295" s="1030"/>
      <c r="W295" s="1030"/>
      <c r="X295" s="1030"/>
      <c r="Y295" s="1030"/>
      <c r="Z295" s="1030"/>
    </row>
    <row r="296" spans="1:26" ht="15.75" customHeight="1">
      <c r="A296" s="1030"/>
      <c r="B296" s="1030"/>
      <c r="C296" s="1030"/>
      <c r="D296" s="1034" t="s">
        <v>3559</v>
      </c>
      <c r="E296" s="1191">
        <f t="shared" si="32"/>
        <v>0</v>
      </c>
      <c r="F296" s="1470">
        <v>20341.05</v>
      </c>
      <c r="G296" s="1189"/>
      <c r="H296" s="1134"/>
      <c r="I296" s="1030"/>
      <c r="J296" s="1060"/>
      <c r="K296" s="1172"/>
      <c r="L296" s="1030"/>
      <c r="M296" s="1030"/>
      <c r="N296" s="1030"/>
      <c r="O296" s="1030"/>
      <c r="P296" s="1030"/>
      <c r="Q296" s="1030"/>
      <c r="R296" s="1030"/>
      <c r="S296" s="1030"/>
      <c r="T296" s="1030"/>
      <c r="U296" s="1030"/>
      <c r="V296" s="1030"/>
      <c r="W296" s="1030"/>
      <c r="X296" s="1030"/>
      <c r="Y296" s="1030"/>
      <c r="Z296" s="1030"/>
    </row>
    <row r="297" spans="1:26" ht="15.75" hidden="1" customHeight="1">
      <c r="A297" s="1030"/>
      <c r="B297" s="1030"/>
      <c r="C297" s="1030"/>
      <c r="D297" s="1034" t="s">
        <v>3365</v>
      </c>
      <c r="E297" s="1191">
        <f t="shared" si="32"/>
        <v>0</v>
      </c>
      <c r="F297" s="1072">
        <f>K273</f>
        <v>0</v>
      </c>
      <c r="G297" s="1189"/>
      <c r="H297" s="1134"/>
      <c r="I297" s="1030"/>
      <c r="J297" s="1060"/>
      <c r="K297" s="1172"/>
      <c r="L297" s="1030"/>
      <c r="M297" s="1030"/>
      <c r="N297" s="1030"/>
      <c r="O297" s="1030"/>
      <c r="P297" s="1030"/>
      <c r="Q297" s="1030"/>
      <c r="R297" s="1030"/>
      <c r="S297" s="1030"/>
      <c r="T297" s="1030"/>
      <c r="U297" s="1030"/>
      <c r="V297" s="1030"/>
      <c r="W297" s="1030"/>
      <c r="X297" s="1030"/>
      <c r="Y297" s="1030"/>
      <c r="Z297" s="1030"/>
    </row>
    <row r="298" spans="1:26" ht="15.75" hidden="1" customHeight="1">
      <c r="A298" s="1030"/>
      <c r="B298" s="1030"/>
      <c r="C298" s="1030"/>
      <c r="D298" s="1034" t="s">
        <v>3367</v>
      </c>
      <c r="E298" s="1191">
        <f t="shared" si="32"/>
        <v>0</v>
      </c>
      <c r="F298" s="1072">
        <f>E298*(F290-SUMIF(D130,"x",K130)-SUMIF(D133:D263,"x",K133:K263))</f>
        <v>0</v>
      </c>
      <c r="G298" s="1192"/>
      <c r="H298" s="1134"/>
      <c r="I298" s="1030"/>
      <c r="J298" s="1193"/>
      <c r="K298" s="1172"/>
      <c r="L298" s="1030"/>
      <c r="M298" s="1030"/>
      <c r="N298" s="1030"/>
      <c r="O298" s="1030"/>
      <c r="P298" s="1030"/>
      <c r="Q298" s="1030"/>
      <c r="R298" s="1030"/>
      <c r="S298" s="1030"/>
      <c r="T298" s="1030"/>
      <c r="U298" s="1030"/>
      <c r="V298" s="1030"/>
      <c r="W298" s="1030"/>
      <c r="X298" s="1030"/>
      <c r="Y298" s="1030"/>
      <c r="Z298" s="1030"/>
    </row>
    <row r="299" spans="1:26" ht="15.75" hidden="1" customHeight="1">
      <c r="A299" s="1030"/>
      <c r="B299" s="1030"/>
      <c r="C299" s="1030"/>
      <c r="D299" s="1034" t="s">
        <v>3369</v>
      </c>
      <c r="E299" s="1191">
        <f t="shared" si="32"/>
        <v>0</v>
      </c>
      <c r="F299" s="1072">
        <f>E299*(F290-SUMIF(D130,"x",K130)-SUMIF(D133:D263,"x",K133:K263))</f>
        <v>0</v>
      </c>
      <c r="G299" s="1189"/>
      <c r="H299" s="1186"/>
      <c r="I299" s="1030"/>
      <c r="J299" s="1030"/>
      <c r="K299" s="1030"/>
      <c r="L299" s="1030"/>
      <c r="M299" s="1030"/>
      <c r="N299" s="1030"/>
      <c r="O299" s="1030"/>
      <c r="P299" s="1030"/>
      <c r="Q299" s="1030"/>
      <c r="R299" s="1030"/>
      <c r="S299" s="1030"/>
      <c r="T299" s="1030"/>
      <c r="U299" s="1030"/>
      <c r="V299" s="1030"/>
      <c r="W299" s="1030"/>
      <c r="X299" s="1030"/>
      <c r="Y299" s="1030"/>
      <c r="Z299" s="1030"/>
    </row>
    <row r="300" spans="1:26" ht="12.75" customHeight="1">
      <c r="A300" s="1030"/>
      <c r="B300" s="1030"/>
      <c r="C300" s="1030"/>
      <c r="D300" s="1034" t="s">
        <v>3560</v>
      </c>
      <c r="E300" s="1034"/>
      <c r="F300" s="1072">
        <f>F290-F289-F294-F295-F296-F297-F298-F299</f>
        <v>111614.66299999999</v>
      </c>
      <c r="G300" s="1030"/>
      <c r="H300" s="1186"/>
      <c r="I300" s="1030"/>
      <c r="J300" s="1030"/>
      <c r="K300" s="1030"/>
      <c r="L300" s="1030"/>
      <c r="M300" s="1030"/>
      <c r="N300" s="1030"/>
      <c r="O300" s="1030"/>
      <c r="P300" s="1030"/>
      <c r="Q300" s="1030"/>
      <c r="R300" s="1030"/>
      <c r="S300" s="1030"/>
      <c r="T300" s="1030"/>
      <c r="U300" s="1030"/>
      <c r="V300" s="1030"/>
      <c r="W300" s="1030"/>
      <c r="X300" s="1030"/>
      <c r="Y300" s="1030"/>
      <c r="Z300" s="1030"/>
    </row>
    <row r="301" spans="1:26" ht="12.75" customHeight="1">
      <c r="A301" s="1030"/>
      <c r="B301" s="1030"/>
      <c r="C301" s="1030"/>
      <c r="D301" s="1034" t="s">
        <v>3561</v>
      </c>
      <c r="E301" s="1034"/>
      <c r="F301" s="1194">
        <f>IF(F290=0,0,F300/F290)</f>
        <v>0.37374943660321125</v>
      </c>
      <c r="G301" s="1186"/>
      <c r="H301" s="1030"/>
      <c r="I301" s="1030"/>
      <c r="J301" s="1030"/>
      <c r="K301" s="1030"/>
      <c r="L301" s="1030"/>
      <c r="M301" s="1030"/>
      <c r="N301" s="1030"/>
      <c r="O301" s="1030"/>
      <c r="P301" s="1030"/>
      <c r="Q301" s="1030"/>
      <c r="R301" s="1030"/>
      <c r="S301" s="1030"/>
      <c r="T301" s="1030"/>
      <c r="U301" s="1030"/>
      <c r="V301" s="1030"/>
      <c r="W301" s="1030"/>
      <c r="X301" s="1030"/>
      <c r="Y301" s="1030"/>
      <c r="Z301" s="1030"/>
    </row>
    <row r="302" spans="1:26" ht="12.75" customHeight="1">
      <c r="A302" s="1030"/>
      <c r="B302" s="1030"/>
      <c r="C302" s="1030"/>
      <c r="D302" s="1030"/>
      <c r="E302" s="1030"/>
      <c r="F302" s="1030"/>
      <c r="G302" s="1186"/>
      <c r="H302" s="1030"/>
      <c r="I302" s="1030"/>
      <c r="J302" s="1030"/>
      <c r="K302" s="1030"/>
      <c r="L302" s="1030"/>
      <c r="M302" s="1030"/>
      <c r="N302" s="1030"/>
      <c r="O302" s="1030"/>
      <c r="P302" s="1030"/>
      <c r="Q302" s="1030"/>
      <c r="R302" s="1030"/>
      <c r="S302" s="1030"/>
      <c r="T302" s="1030"/>
      <c r="U302" s="1030"/>
      <c r="V302" s="1030"/>
      <c r="W302" s="1030"/>
      <c r="X302" s="1030"/>
      <c r="Y302" s="1030"/>
      <c r="Z302" s="1030"/>
    </row>
    <row r="303" spans="1:26" ht="12.75" customHeight="1">
      <c r="A303" s="1030"/>
      <c r="B303" s="1030"/>
      <c r="C303" s="1030"/>
      <c r="D303" s="1030"/>
      <c r="E303" s="1030"/>
      <c r="F303" s="1030"/>
      <c r="G303" s="1030"/>
      <c r="H303" s="1186"/>
      <c r="I303" s="1030"/>
      <c r="J303" s="1030"/>
      <c r="K303" s="1030"/>
      <c r="L303" s="1030"/>
      <c r="M303" s="1030"/>
      <c r="N303" s="1030"/>
      <c r="O303" s="1030"/>
      <c r="P303" s="1030"/>
      <c r="Q303" s="1030"/>
      <c r="R303" s="1030"/>
      <c r="S303" s="1030"/>
      <c r="T303" s="1030"/>
      <c r="U303" s="1030"/>
      <c r="V303" s="1030"/>
      <c r="W303" s="1030"/>
      <c r="X303" s="1030"/>
      <c r="Y303" s="1030"/>
      <c r="Z303" s="1030"/>
    </row>
    <row r="304" spans="1:26" ht="12.75" customHeight="1">
      <c r="A304" s="1030"/>
      <c r="B304" s="1030"/>
      <c r="C304" s="1030"/>
      <c r="D304" s="1030"/>
      <c r="E304" s="1030"/>
      <c r="F304" s="1030"/>
      <c r="G304" s="1030"/>
      <c r="H304" s="1186"/>
      <c r="I304" s="1030"/>
      <c r="J304" s="1030"/>
      <c r="K304" s="1030"/>
      <c r="L304" s="1030"/>
      <c r="M304" s="1030"/>
      <c r="N304" s="1030"/>
      <c r="O304" s="1030"/>
      <c r="P304" s="1030"/>
      <c r="Q304" s="1030"/>
      <c r="R304" s="1030"/>
      <c r="S304" s="1030"/>
      <c r="T304" s="1030"/>
      <c r="U304" s="1030"/>
      <c r="V304" s="1030"/>
      <c r="W304" s="1030"/>
      <c r="X304" s="1030"/>
      <c r="Y304" s="1030"/>
      <c r="Z304" s="1030"/>
    </row>
    <row r="305" spans="1:26" ht="12.75" customHeight="1">
      <c r="A305" s="1030"/>
      <c r="B305" s="1030"/>
      <c r="C305" s="1030"/>
      <c r="D305" s="1030"/>
      <c r="E305" s="1030"/>
      <c r="F305" s="1030"/>
      <c r="G305" s="1030"/>
      <c r="H305" s="1186"/>
      <c r="I305" s="1030"/>
      <c r="J305" s="1030"/>
      <c r="K305" s="1030"/>
      <c r="L305" s="1030"/>
      <c r="M305" s="1030"/>
      <c r="N305" s="1030"/>
      <c r="O305" s="1030"/>
      <c r="P305" s="1030"/>
      <c r="Q305" s="1030"/>
      <c r="R305" s="1030"/>
      <c r="S305" s="1030"/>
      <c r="T305" s="1030"/>
      <c r="U305" s="1030"/>
      <c r="V305" s="1030"/>
      <c r="W305" s="1030"/>
      <c r="X305" s="1030"/>
      <c r="Y305" s="1030"/>
      <c r="Z305" s="1030"/>
    </row>
    <row r="306" spans="1:26" ht="12.75" customHeight="1">
      <c r="A306" s="1030"/>
      <c r="B306" s="1030"/>
      <c r="C306" s="1030"/>
      <c r="D306" s="1030"/>
      <c r="E306" s="1030"/>
      <c r="F306" s="1030"/>
      <c r="G306" s="1030"/>
      <c r="H306" s="1186"/>
      <c r="I306" s="1030"/>
      <c r="J306" s="1030"/>
      <c r="K306" s="1030"/>
      <c r="L306" s="1030"/>
      <c r="M306" s="1030"/>
      <c r="N306" s="1030"/>
      <c r="O306" s="1030"/>
      <c r="P306" s="1030"/>
      <c r="Q306" s="1030"/>
      <c r="R306" s="1030"/>
      <c r="S306" s="1030"/>
      <c r="T306" s="1030"/>
      <c r="U306" s="1030"/>
      <c r="V306" s="1030"/>
      <c r="W306" s="1030"/>
      <c r="X306" s="1030"/>
      <c r="Y306" s="1030"/>
      <c r="Z306" s="1030"/>
    </row>
    <row r="307" spans="1:26" ht="12.75" customHeight="1">
      <c r="A307" s="1030"/>
      <c r="B307" s="1030"/>
      <c r="C307" s="1030"/>
      <c r="D307" s="1030"/>
      <c r="E307" s="1030"/>
      <c r="F307" s="1030"/>
      <c r="G307" s="1030"/>
      <c r="H307" s="1186"/>
      <c r="I307" s="1030"/>
      <c r="J307" s="1030"/>
      <c r="K307" s="1030"/>
      <c r="L307" s="1030"/>
      <c r="M307" s="1030"/>
      <c r="N307" s="1030"/>
      <c r="O307" s="1030"/>
      <c r="P307" s="1030"/>
      <c r="Q307" s="1030"/>
      <c r="R307" s="1030"/>
      <c r="S307" s="1030"/>
      <c r="T307" s="1030"/>
      <c r="U307" s="1030"/>
      <c r="V307" s="1030"/>
      <c r="W307" s="1030"/>
      <c r="X307" s="1030"/>
      <c r="Y307" s="1030"/>
      <c r="Z307" s="1030"/>
    </row>
    <row r="308" spans="1:26" ht="12.75" customHeight="1">
      <c r="A308" s="1030"/>
      <c r="B308" s="1030"/>
      <c r="C308" s="1030"/>
      <c r="D308" s="1030"/>
      <c r="E308" s="1030"/>
      <c r="F308" s="1030"/>
      <c r="G308" s="1030"/>
      <c r="H308" s="1186"/>
      <c r="I308" s="1030"/>
      <c r="J308" s="1030"/>
      <c r="K308" s="1030"/>
      <c r="L308" s="1030"/>
      <c r="M308" s="1030"/>
      <c r="N308" s="1030"/>
      <c r="O308" s="1030"/>
      <c r="P308" s="1030"/>
      <c r="Q308" s="1030"/>
      <c r="R308" s="1030"/>
      <c r="S308" s="1030"/>
      <c r="T308" s="1030"/>
      <c r="U308" s="1030"/>
      <c r="V308" s="1030"/>
      <c r="W308" s="1030"/>
      <c r="X308" s="1030"/>
      <c r="Y308" s="1030"/>
      <c r="Z308" s="1030"/>
    </row>
    <row r="309" spans="1:26" ht="12.75" customHeight="1">
      <c r="A309" s="1030"/>
      <c r="B309" s="1030"/>
      <c r="C309" s="1030"/>
      <c r="D309" s="1030"/>
      <c r="E309" s="1030"/>
      <c r="F309" s="1030"/>
      <c r="G309" s="1030"/>
      <c r="H309" s="1186"/>
      <c r="I309" s="1030"/>
      <c r="J309" s="1030"/>
      <c r="K309" s="1030"/>
      <c r="L309" s="1030"/>
      <c r="M309" s="1030"/>
      <c r="N309" s="1030"/>
      <c r="O309" s="1030"/>
      <c r="P309" s="1030"/>
      <c r="Q309" s="1030"/>
      <c r="R309" s="1030"/>
      <c r="S309" s="1030"/>
      <c r="T309" s="1030"/>
      <c r="U309" s="1030"/>
      <c r="V309" s="1030"/>
      <c r="W309" s="1030"/>
      <c r="X309" s="1030"/>
      <c r="Y309" s="1030"/>
      <c r="Z309" s="1030"/>
    </row>
    <row r="310" spans="1:26" ht="12.75" customHeight="1">
      <c r="A310" s="1030"/>
      <c r="B310" s="1030"/>
      <c r="C310" s="1030"/>
      <c r="D310" s="1030"/>
      <c r="E310" s="1030"/>
      <c r="F310" s="1030"/>
      <c r="G310" s="1030"/>
      <c r="H310" s="1186"/>
      <c r="I310" s="1030"/>
      <c r="J310" s="1030"/>
      <c r="K310" s="1030"/>
      <c r="L310" s="1030"/>
      <c r="M310" s="1030"/>
      <c r="N310" s="1030"/>
      <c r="O310" s="1030"/>
      <c r="P310" s="1030"/>
      <c r="Q310" s="1030"/>
      <c r="R310" s="1030"/>
      <c r="S310" s="1030"/>
      <c r="T310" s="1030"/>
      <c r="U310" s="1030"/>
      <c r="V310" s="1030"/>
      <c r="W310" s="1030"/>
      <c r="X310" s="1030"/>
      <c r="Y310" s="1030"/>
      <c r="Z310" s="1030"/>
    </row>
    <row r="311" spans="1:26" ht="12.75" customHeight="1">
      <c r="A311" s="1030"/>
      <c r="B311" s="1030"/>
      <c r="C311" s="1030"/>
      <c r="D311" s="1030"/>
      <c r="E311" s="1030"/>
      <c r="F311" s="1030"/>
      <c r="G311" s="1030"/>
      <c r="H311" s="1186"/>
      <c r="I311" s="1030"/>
      <c r="J311" s="1030"/>
      <c r="K311" s="1030"/>
      <c r="L311" s="1030"/>
      <c r="M311" s="1030"/>
      <c r="N311" s="1030"/>
      <c r="O311" s="1030"/>
      <c r="P311" s="1030"/>
      <c r="Q311" s="1030"/>
      <c r="R311" s="1030"/>
      <c r="S311" s="1030"/>
      <c r="T311" s="1030"/>
      <c r="U311" s="1030"/>
      <c r="V311" s="1030"/>
      <c r="W311" s="1030"/>
      <c r="X311" s="1030"/>
      <c r="Y311" s="1030"/>
      <c r="Z311" s="1030"/>
    </row>
    <row r="312" spans="1:26" ht="12.75" customHeight="1">
      <c r="A312" s="1030"/>
      <c r="B312" s="1030"/>
      <c r="C312" s="1030"/>
      <c r="D312" s="1030"/>
      <c r="E312" s="1030"/>
      <c r="F312" s="1030"/>
      <c r="G312" s="1030"/>
      <c r="H312" s="1186"/>
      <c r="I312" s="1030"/>
      <c r="J312" s="1030"/>
      <c r="K312" s="1030"/>
      <c r="L312" s="1030"/>
      <c r="M312" s="1030"/>
      <c r="N312" s="1030"/>
      <c r="O312" s="1030"/>
      <c r="P312" s="1030"/>
      <c r="Q312" s="1030"/>
      <c r="R312" s="1030"/>
      <c r="S312" s="1030"/>
      <c r="T312" s="1030"/>
      <c r="U312" s="1030"/>
      <c r="V312" s="1030"/>
      <c r="W312" s="1030"/>
      <c r="X312" s="1030"/>
      <c r="Y312" s="1030"/>
      <c r="Z312" s="1030"/>
    </row>
    <row r="313" spans="1:26" ht="12.75" customHeight="1">
      <c r="A313" s="1030"/>
      <c r="B313" s="1030"/>
      <c r="C313" s="1030"/>
      <c r="D313" s="1030"/>
      <c r="E313" s="1030"/>
      <c r="F313" s="1030"/>
      <c r="G313" s="1030"/>
      <c r="H313" s="1186"/>
      <c r="I313" s="1030"/>
      <c r="J313" s="1030"/>
      <c r="K313" s="1030"/>
      <c r="L313" s="1030"/>
      <c r="M313" s="1030"/>
      <c r="N313" s="1030"/>
      <c r="O313" s="1030"/>
      <c r="P313" s="1030"/>
      <c r="Q313" s="1030"/>
      <c r="R313" s="1030"/>
      <c r="S313" s="1030"/>
      <c r="T313" s="1030"/>
      <c r="U313" s="1030"/>
      <c r="V313" s="1030"/>
      <c r="W313" s="1030"/>
      <c r="X313" s="1030"/>
      <c r="Y313" s="1030"/>
      <c r="Z313" s="1030"/>
    </row>
    <row r="314" spans="1:26" ht="12.75" customHeight="1">
      <c r="A314" s="1030"/>
      <c r="B314" s="1030"/>
      <c r="C314" s="1030"/>
      <c r="D314" s="1030"/>
      <c r="E314" s="1030"/>
      <c r="F314" s="1030"/>
      <c r="G314" s="1030"/>
      <c r="H314" s="1186"/>
      <c r="I314" s="1030"/>
      <c r="J314" s="1030"/>
      <c r="K314" s="1030"/>
      <c r="L314" s="1030"/>
      <c r="M314" s="1030"/>
      <c r="N314" s="1030"/>
      <c r="O314" s="1030"/>
      <c r="P314" s="1030"/>
      <c r="Q314" s="1030"/>
      <c r="R314" s="1030"/>
      <c r="S314" s="1030"/>
      <c r="T314" s="1030"/>
      <c r="U314" s="1030"/>
      <c r="V314" s="1030"/>
      <c r="W314" s="1030"/>
      <c r="X314" s="1030"/>
      <c r="Y314" s="1030"/>
      <c r="Z314" s="1030"/>
    </row>
    <row r="315" spans="1:26" ht="12.75" customHeight="1">
      <c r="A315" s="1030"/>
      <c r="B315" s="1030"/>
      <c r="C315" s="1030"/>
      <c r="D315" s="1030"/>
      <c r="E315" s="1030"/>
      <c r="F315" s="1030"/>
      <c r="G315" s="1030"/>
      <c r="H315" s="1186"/>
      <c r="I315" s="1030"/>
      <c r="J315" s="1030"/>
      <c r="K315" s="1030"/>
      <c r="L315" s="1030"/>
      <c r="M315" s="1030"/>
      <c r="N315" s="1030"/>
      <c r="O315" s="1030"/>
      <c r="P315" s="1030"/>
      <c r="Q315" s="1030"/>
      <c r="R315" s="1030"/>
      <c r="S315" s="1030"/>
      <c r="T315" s="1030"/>
      <c r="U315" s="1030"/>
      <c r="V315" s="1030"/>
      <c r="W315" s="1030"/>
      <c r="X315" s="1030"/>
      <c r="Y315" s="1030"/>
      <c r="Z315" s="1030"/>
    </row>
    <row r="316" spans="1:26" ht="12.75" customHeight="1">
      <c r="A316" s="1030"/>
      <c r="B316" s="1030"/>
      <c r="C316" s="1030"/>
      <c r="D316" s="1030"/>
      <c r="E316" s="1030"/>
      <c r="F316" s="1030"/>
      <c r="G316" s="1030"/>
      <c r="H316" s="1186"/>
      <c r="I316" s="1030"/>
      <c r="J316" s="1030"/>
      <c r="K316" s="1030"/>
      <c r="L316" s="1030"/>
      <c r="M316" s="1030"/>
      <c r="N316" s="1030"/>
      <c r="O316" s="1030"/>
      <c r="P316" s="1030"/>
      <c r="Q316" s="1030"/>
      <c r="R316" s="1030"/>
      <c r="S316" s="1030"/>
      <c r="T316" s="1030"/>
      <c r="U316" s="1030"/>
      <c r="V316" s="1030"/>
      <c r="W316" s="1030"/>
      <c r="X316" s="1030"/>
      <c r="Y316" s="1030"/>
      <c r="Z316" s="1030"/>
    </row>
    <row r="317" spans="1:26" ht="12.75" customHeight="1">
      <c r="A317" s="1030"/>
      <c r="B317" s="1030"/>
      <c r="C317" s="1030"/>
      <c r="D317" s="1030"/>
      <c r="E317" s="1030"/>
      <c r="F317" s="1030"/>
      <c r="G317" s="1030"/>
      <c r="H317" s="1186"/>
      <c r="I317" s="1030"/>
      <c r="J317" s="1030"/>
      <c r="K317" s="1030"/>
      <c r="L317" s="1030"/>
      <c r="M317" s="1030"/>
      <c r="N317" s="1030"/>
      <c r="O317" s="1030"/>
      <c r="P317" s="1030"/>
      <c r="Q317" s="1030"/>
      <c r="R317" s="1030"/>
      <c r="S317" s="1030"/>
      <c r="T317" s="1030"/>
      <c r="U317" s="1030"/>
      <c r="V317" s="1030"/>
      <c r="W317" s="1030"/>
      <c r="X317" s="1030"/>
      <c r="Y317" s="1030"/>
      <c r="Z317" s="1030"/>
    </row>
    <row r="318" spans="1:26" ht="12.75" customHeight="1">
      <c r="A318" s="1030"/>
      <c r="B318" s="1030"/>
      <c r="C318" s="1030"/>
      <c r="D318" s="1030"/>
      <c r="E318" s="1030"/>
      <c r="F318" s="1030"/>
      <c r="G318" s="1030"/>
      <c r="H318" s="1186"/>
      <c r="I318" s="1030"/>
      <c r="J318" s="1030"/>
      <c r="K318" s="1030"/>
      <c r="L318" s="1030"/>
      <c r="M318" s="1030"/>
      <c r="N318" s="1030"/>
      <c r="O318" s="1030"/>
      <c r="P318" s="1030"/>
      <c r="Q318" s="1030"/>
      <c r="R318" s="1030"/>
      <c r="S318" s="1030"/>
      <c r="T318" s="1030"/>
      <c r="U318" s="1030"/>
      <c r="V318" s="1030"/>
      <c r="W318" s="1030"/>
      <c r="X318" s="1030"/>
      <c r="Y318" s="1030"/>
      <c r="Z318" s="1030"/>
    </row>
    <row r="319" spans="1:26" ht="12.75" customHeight="1">
      <c r="A319" s="1030"/>
      <c r="B319" s="1030"/>
      <c r="C319" s="1030"/>
      <c r="D319" s="1030"/>
      <c r="E319" s="1030"/>
      <c r="F319" s="1030"/>
      <c r="G319" s="1030"/>
      <c r="H319" s="1186"/>
      <c r="I319" s="1030"/>
      <c r="J319" s="1030"/>
      <c r="K319" s="1030"/>
      <c r="L319" s="1030"/>
      <c r="M319" s="1030"/>
      <c r="N319" s="1030"/>
      <c r="O319" s="1030"/>
      <c r="P319" s="1030"/>
      <c r="Q319" s="1030"/>
      <c r="R319" s="1030"/>
      <c r="S319" s="1030"/>
      <c r="T319" s="1030"/>
      <c r="U319" s="1030"/>
      <c r="V319" s="1030"/>
      <c r="W319" s="1030"/>
      <c r="X319" s="1030"/>
      <c r="Y319" s="1030"/>
      <c r="Z319" s="1030"/>
    </row>
    <row r="320" spans="1:26" ht="12.75" customHeight="1">
      <c r="A320" s="1030"/>
      <c r="B320" s="1030"/>
      <c r="C320" s="1030"/>
      <c r="D320" s="1030"/>
      <c r="E320" s="1030"/>
      <c r="F320" s="1030"/>
      <c r="G320" s="1030"/>
      <c r="H320" s="1186"/>
      <c r="I320" s="1030"/>
      <c r="J320" s="1030"/>
      <c r="K320" s="1030"/>
      <c r="L320" s="1030"/>
      <c r="M320" s="1030"/>
      <c r="N320" s="1030"/>
      <c r="O320" s="1030"/>
      <c r="P320" s="1030"/>
      <c r="Q320" s="1030"/>
      <c r="R320" s="1030"/>
      <c r="S320" s="1030"/>
      <c r="T320" s="1030"/>
      <c r="U320" s="1030"/>
      <c r="V320" s="1030"/>
      <c r="W320" s="1030"/>
      <c r="X320" s="1030"/>
      <c r="Y320" s="1030"/>
      <c r="Z320" s="1030"/>
    </row>
    <row r="321" spans="1:26" ht="12.75" customHeight="1">
      <c r="A321" s="1030"/>
      <c r="B321" s="1030"/>
      <c r="C321" s="1030"/>
      <c r="D321" s="1030"/>
      <c r="E321" s="1030"/>
      <c r="F321" s="1030"/>
      <c r="G321" s="1030"/>
      <c r="H321" s="1186"/>
      <c r="I321" s="1030"/>
      <c r="J321" s="1030"/>
      <c r="K321" s="1030"/>
      <c r="L321" s="1030"/>
      <c r="M321" s="1030"/>
      <c r="N321" s="1030"/>
      <c r="O321" s="1030"/>
      <c r="P321" s="1030"/>
      <c r="Q321" s="1030"/>
      <c r="R321" s="1030"/>
      <c r="S321" s="1030"/>
      <c r="T321" s="1030"/>
      <c r="U321" s="1030"/>
      <c r="V321" s="1030"/>
      <c r="W321" s="1030"/>
      <c r="X321" s="1030"/>
      <c r="Y321" s="1030"/>
      <c r="Z321" s="1030"/>
    </row>
    <row r="322" spans="1:26" ht="12.75" customHeight="1">
      <c r="A322" s="1030"/>
      <c r="B322" s="1030"/>
      <c r="C322" s="1030"/>
      <c r="D322" s="1030"/>
      <c r="E322" s="1030"/>
      <c r="F322" s="1030"/>
      <c r="G322" s="1030"/>
      <c r="H322" s="1186"/>
      <c r="I322" s="1030"/>
      <c r="J322" s="1030"/>
      <c r="K322" s="1030"/>
      <c r="L322" s="1030"/>
      <c r="M322" s="1030"/>
      <c r="N322" s="1030"/>
      <c r="O322" s="1030"/>
      <c r="P322" s="1030"/>
      <c r="Q322" s="1030"/>
      <c r="R322" s="1030"/>
      <c r="S322" s="1030"/>
      <c r="T322" s="1030"/>
      <c r="U322" s="1030"/>
      <c r="V322" s="1030"/>
      <c r="W322" s="1030"/>
      <c r="X322" s="1030"/>
      <c r="Y322" s="1030"/>
      <c r="Z322" s="1030"/>
    </row>
    <row r="323" spans="1:26" ht="12.75" customHeight="1">
      <c r="A323" s="1030"/>
      <c r="B323" s="1030"/>
      <c r="C323" s="1030"/>
      <c r="D323" s="1030"/>
      <c r="E323" s="1030"/>
      <c r="F323" s="1030"/>
      <c r="G323" s="1030"/>
      <c r="H323" s="1186"/>
      <c r="I323" s="1030"/>
      <c r="J323" s="1030"/>
      <c r="K323" s="1030"/>
      <c r="L323" s="1030"/>
      <c r="M323" s="1030"/>
      <c r="N323" s="1030"/>
      <c r="O323" s="1030"/>
      <c r="P323" s="1030"/>
      <c r="Q323" s="1030"/>
      <c r="R323" s="1030"/>
      <c r="S323" s="1030"/>
      <c r="T323" s="1030"/>
      <c r="U323" s="1030"/>
      <c r="V323" s="1030"/>
      <c r="W323" s="1030"/>
      <c r="X323" s="1030"/>
      <c r="Y323" s="1030"/>
      <c r="Z323" s="1030"/>
    </row>
    <row r="324" spans="1:26" ht="12.75" customHeight="1">
      <c r="A324" s="1030"/>
      <c r="B324" s="1030"/>
      <c r="C324" s="1030"/>
      <c r="D324" s="1030"/>
      <c r="E324" s="1030"/>
      <c r="F324" s="1030"/>
      <c r="G324" s="1030"/>
      <c r="H324" s="1186"/>
      <c r="I324" s="1030"/>
      <c r="J324" s="1030"/>
      <c r="K324" s="1030"/>
      <c r="L324" s="1030"/>
      <c r="M324" s="1030"/>
      <c r="N324" s="1030"/>
      <c r="O324" s="1030"/>
      <c r="P324" s="1030"/>
      <c r="Q324" s="1030"/>
      <c r="R324" s="1030"/>
      <c r="S324" s="1030"/>
      <c r="T324" s="1030"/>
      <c r="U324" s="1030"/>
      <c r="V324" s="1030"/>
      <c r="W324" s="1030"/>
      <c r="X324" s="1030"/>
      <c r="Y324" s="1030"/>
      <c r="Z324" s="1030"/>
    </row>
    <row r="325" spans="1:26" ht="12.75" customHeight="1">
      <c r="A325" s="1030"/>
      <c r="B325" s="1030"/>
      <c r="C325" s="1030"/>
      <c r="D325" s="1030"/>
      <c r="E325" s="1030"/>
      <c r="F325" s="1030"/>
      <c r="G325" s="1030"/>
      <c r="H325" s="1186"/>
      <c r="I325" s="1030"/>
      <c r="J325" s="1030"/>
      <c r="K325" s="1030"/>
      <c r="L325" s="1030"/>
      <c r="M325" s="1030"/>
      <c r="N325" s="1030"/>
      <c r="O325" s="1030"/>
      <c r="P325" s="1030"/>
      <c r="Q325" s="1030"/>
      <c r="R325" s="1030"/>
      <c r="S325" s="1030"/>
      <c r="T325" s="1030"/>
      <c r="U325" s="1030"/>
      <c r="V325" s="1030"/>
      <c r="W325" s="1030"/>
      <c r="X325" s="1030"/>
      <c r="Y325" s="1030"/>
      <c r="Z325" s="1030"/>
    </row>
    <row r="326" spans="1:26" ht="12.75" customHeight="1">
      <c r="A326" s="1030"/>
      <c r="B326" s="1030"/>
      <c r="C326" s="1030"/>
      <c r="D326" s="1030"/>
      <c r="E326" s="1030"/>
      <c r="F326" s="1030"/>
      <c r="G326" s="1030"/>
      <c r="H326" s="1186"/>
      <c r="I326" s="1030"/>
      <c r="J326" s="1030"/>
      <c r="K326" s="1030"/>
      <c r="L326" s="1030"/>
      <c r="M326" s="1030"/>
      <c r="N326" s="1030"/>
      <c r="O326" s="1030"/>
      <c r="P326" s="1030"/>
      <c r="Q326" s="1030"/>
      <c r="R326" s="1030"/>
      <c r="S326" s="1030"/>
      <c r="T326" s="1030"/>
      <c r="U326" s="1030"/>
      <c r="V326" s="1030"/>
      <c r="W326" s="1030"/>
      <c r="X326" s="1030"/>
      <c r="Y326" s="1030"/>
      <c r="Z326" s="1030"/>
    </row>
    <row r="327" spans="1:26" ht="12.75" customHeight="1">
      <c r="A327" s="1030"/>
      <c r="B327" s="1030"/>
      <c r="C327" s="1030"/>
      <c r="D327" s="1030"/>
      <c r="E327" s="1030"/>
      <c r="F327" s="1030"/>
      <c r="G327" s="1030"/>
      <c r="H327" s="1186"/>
      <c r="I327" s="1030"/>
      <c r="J327" s="1030"/>
      <c r="K327" s="1030"/>
      <c r="L327" s="1030"/>
      <c r="M327" s="1030"/>
      <c r="N327" s="1030"/>
      <c r="O327" s="1030"/>
      <c r="P327" s="1030"/>
      <c r="Q327" s="1030"/>
      <c r="R327" s="1030"/>
      <c r="S327" s="1030"/>
      <c r="T327" s="1030"/>
      <c r="U327" s="1030"/>
      <c r="V327" s="1030"/>
      <c r="W327" s="1030"/>
      <c r="X327" s="1030"/>
      <c r="Y327" s="1030"/>
      <c r="Z327" s="1030"/>
    </row>
    <row r="328" spans="1:26" ht="12.75" customHeight="1">
      <c r="A328" s="1030"/>
      <c r="B328" s="1030"/>
      <c r="C328" s="1030"/>
      <c r="D328" s="1030"/>
      <c r="E328" s="1030"/>
      <c r="F328" s="1030"/>
      <c r="G328" s="1030"/>
      <c r="H328" s="1186"/>
      <c r="I328" s="1030"/>
      <c r="J328" s="1030"/>
      <c r="K328" s="1030"/>
      <c r="L328" s="1030"/>
      <c r="M328" s="1030"/>
      <c r="N328" s="1030"/>
      <c r="O328" s="1030"/>
      <c r="P328" s="1030"/>
      <c r="Q328" s="1030"/>
      <c r="R328" s="1030"/>
      <c r="S328" s="1030"/>
      <c r="T328" s="1030"/>
      <c r="U328" s="1030"/>
      <c r="V328" s="1030"/>
      <c r="W328" s="1030"/>
      <c r="X328" s="1030"/>
      <c r="Y328" s="1030"/>
      <c r="Z328" s="1030"/>
    </row>
    <row r="329" spans="1:26" ht="12.75" customHeight="1">
      <c r="A329" s="1030"/>
      <c r="B329" s="1030"/>
      <c r="C329" s="1030"/>
      <c r="D329" s="1030"/>
      <c r="E329" s="1030"/>
      <c r="F329" s="1030"/>
      <c r="G329" s="1030"/>
      <c r="H329" s="1186"/>
      <c r="I329" s="1030"/>
      <c r="J329" s="1030"/>
      <c r="K329" s="1030"/>
      <c r="L329" s="1030"/>
      <c r="M329" s="1030"/>
      <c r="N329" s="1030"/>
      <c r="O329" s="1030"/>
      <c r="P329" s="1030"/>
      <c r="Q329" s="1030"/>
      <c r="R329" s="1030"/>
      <c r="S329" s="1030"/>
      <c r="T329" s="1030"/>
      <c r="U329" s="1030"/>
      <c r="V329" s="1030"/>
      <c r="W329" s="1030"/>
      <c r="X329" s="1030"/>
      <c r="Y329" s="1030"/>
      <c r="Z329" s="1030"/>
    </row>
    <row r="330" spans="1:26" ht="12.75" customHeight="1">
      <c r="A330" s="1030"/>
      <c r="B330" s="1030"/>
      <c r="C330" s="1030"/>
      <c r="D330" s="1030"/>
      <c r="E330" s="1030"/>
      <c r="F330" s="1030"/>
      <c r="G330" s="1030"/>
      <c r="H330" s="1186"/>
      <c r="I330" s="1030"/>
      <c r="J330" s="1030"/>
      <c r="K330" s="1030"/>
      <c r="L330" s="1030"/>
      <c r="M330" s="1030"/>
      <c r="N330" s="1030"/>
      <c r="O330" s="1030"/>
      <c r="P330" s="1030"/>
      <c r="Q330" s="1030"/>
      <c r="R330" s="1030"/>
      <c r="S330" s="1030"/>
      <c r="T330" s="1030"/>
      <c r="U330" s="1030"/>
      <c r="V330" s="1030"/>
      <c r="W330" s="1030"/>
      <c r="X330" s="1030"/>
      <c r="Y330" s="1030"/>
      <c r="Z330" s="1030"/>
    </row>
    <row r="331" spans="1:26" ht="12.75" customHeight="1">
      <c r="A331" s="1030"/>
      <c r="B331" s="1030"/>
      <c r="C331" s="1030"/>
      <c r="D331" s="1030"/>
      <c r="E331" s="1030"/>
      <c r="F331" s="1030"/>
      <c r="G331" s="1030"/>
      <c r="H331" s="1186"/>
      <c r="I331" s="1030"/>
      <c r="J331" s="1030"/>
      <c r="K331" s="1030"/>
      <c r="L331" s="1030"/>
      <c r="M331" s="1030"/>
      <c r="N331" s="1030"/>
      <c r="O331" s="1030"/>
      <c r="P331" s="1030"/>
      <c r="Q331" s="1030"/>
      <c r="R331" s="1030"/>
      <c r="S331" s="1030"/>
      <c r="T331" s="1030"/>
      <c r="U331" s="1030"/>
      <c r="V331" s="1030"/>
      <c r="W331" s="1030"/>
      <c r="X331" s="1030"/>
      <c r="Y331" s="1030"/>
      <c r="Z331" s="1030"/>
    </row>
    <row r="332" spans="1:26" ht="12.75" customHeight="1">
      <c r="A332" s="1030"/>
      <c r="B332" s="1030"/>
      <c r="C332" s="1030"/>
      <c r="D332" s="1030"/>
      <c r="E332" s="1030"/>
      <c r="F332" s="1030"/>
      <c r="G332" s="1030"/>
      <c r="H332" s="1186"/>
      <c r="I332" s="1030"/>
      <c r="J332" s="1030"/>
      <c r="K332" s="1030"/>
      <c r="L332" s="1030"/>
      <c r="M332" s="1030"/>
      <c r="N332" s="1030"/>
      <c r="O332" s="1030"/>
      <c r="P332" s="1030"/>
      <c r="Q332" s="1030"/>
      <c r="R332" s="1030"/>
      <c r="S332" s="1030"/>
      <c r="T332" s="1030"/>
      <c r="U332" s="1030"/>
      <c r="V332" s="1030"/>
      <c r="W332" s="1030"/>
      <c r="X332" s="1030"/>
      <c r="Y332" s="1030"/>
      <c r="Z332" s="1030"/>
    </row>
    <row r="333" spans="1:26" ht="12.75" customHeight="1">
      <c r="A333" s="1030"/>
      <c r="B333" s="1030"/>
      <c r="C333" s="1030"/>
      <c r="D333" s="1030"/>
      <c r="E333" s="1030"/>
      <c r="F333" s="1030"/>
      <c r="G333" s="1030"/>
      <c r="H333" s="1186"/>
      <c r="I333" s="1030"/>
      <c r="J333" s="1030"/>
      <c r="K333" s="1030"/>
      <c r="L333" s="1030"/>
      <c r="M333" s="1030"/>
      <c r="N333" s="1030"/>
      <c r="O333" s="1030"/>
      <c r="P333" s="1030"/>
      <c r="Q333" s="1030"/>
      <c r="R333" s="1030"/>
      <c r="S333" s="1030"/>
      <c r="T333" s="1030"/>
      <c r="U333" s="1030"/>
      <c r="V333" s="1030"/>
      <c r="W333" s="1030"/>
      <c r="X333" s="1030"/>
      <c r="Y333" s="1030"/>
      <c r="Z333" s="1030"/>
    </row>
    <row r="334" spans="1:26" ht="12.75" customHeight="1">
      <c r="A334" s="1030"/>
      <c r="B334" s="1030"/>
      <c r="C334" s="1030"/>
      <c r="D334" s="1030"/>
      <c r="E334" s="1030"/>
      <c r="F334" s="1030"/>
      <c r="G334" s="1030"/>
      <c r="H334" s="1186"/>
      <c r="I334" s="1030"/>
      <c r="J334" s="1030"/>
      <c r="K334" s="1030"/>
      <c r="L334" s="1030"/>
      <c r="M334" s="1030"/>
      <c r="N334" s="1030"/>
      <c r="O334" s="1030"/>
      <c r="P334" s="1030"/>
      <c r="Q334" s="1030"/>
      <c r="R334" s="1030"/>
      <c r="S334" s="1030"/>
      <c r="T334" s="1030"/>
      <c r="U334" s="1030"/>
      <c r="V334" s="1030"/>
      <c r="W334" s="1030"/>
      <c r="X334" s="1030"/>
      <c r="Y334" s="1030"/>
      <c r="Z334" s="1030"/>
    </row>
    <row r="335" spans="1:26" ht="12.75" customHeight="1">
      <c r="A335" s="1030"/>
      <c r="B335" s="1030"/>
      <c r="C335" s="1030"/>
      <c r="D335" s="1030"/>
      <c r="E335" s="1030"/>
      <c r="F335" s="1030"/>
      <c r="G335" s="1030"/>
      <c r="H335" s="1186"/>
      <c r="I335" s="1030"/>
      <c r="J335" s="1030"/>
      <c r="K335" s="1030"/>
      <c r="L335" s="1030"/>
      <c r="M335" s="1030"/>
      <c r="N335" s="1030"/>
      <c r="O335" s="1030"/>
      <c r="P335" s="1030"/>
      <c r="Q335" s="1030"/>
      <c r="R335" s="1030"/>
      <c r="S335" s="1030"/>
      <c r="T335" s="1030"/>
      <c r="U335" s="1030"/>
      <c r="V335" s="1030"/>
      <c r="W335" s="1030"/>
      <c r="X335" s="1030"/>
      <c r="Y335" s="1030"/>
      <c r="Z335" s="1030"/>
    </row>
    <row r="336" spans="1:26" ht="12.75" customHeight="1">
      <c r="A336" s="1030"/>
      <c r="B336" s="1030"/>
      <c r="C336" s="1030"/>
      <c r="D336" s="1030"/>
      <c r="E336" s="1030"/>
      <c r="F336" s="1030"/>
      <c r="G336" s="1030"/>
      <c r="H336" s="1186"/>
      <c r="I336" s="1030"/>
      <c r="J336" s="1030"/>
      <c r="K336" s="1030"/>
      <c r="L336" s="1030"/>
      <c r="M336" s="1030"/>
      <c r="N336" s="1030"/>
      <c r="O336" s="1030"/>
      <c r="P336" s="1030"/>
      <c r="Q336" s="1030"/>
      <c r="R336" s="1030"/>
      <c r="S336" s="1030"/>
      <c r="T336" s="1030"/>
      <c r="U336" s="1030"/>
      <c r="V336" s="1030"/>
      <c r="W336" s="1030"/>
      <c r="X336" s="1030"/>
      <c r="Y336" s="1030"/>
      <c r="Z336" s="1030"/>
    </row>
    <row r="337" spans="1:26" ht="12.75" customHeight="1">
      <c r="A337" s="1030"/>
      <c r="B337" s="1030"/>
      <c r="C337" s="1030"/>
      <c r="D337" s="1030"/>
      <c r="E337" s="1030"/>
      <c r="F337" s="1030"/>
      <c r="G337" s="1030"/>
      <c r="H337" s="1186"/>
      <c r="I337" s="1030"/>
      <c r="J337" s="1030"/>
      <c r="K337" s="1030"/>
      <c r="L337" s="1030"/>
      <c r="M337" s="1030"/>
      <c r="N337" s="1030"/>
      <c r="O337" s="1030"/>
      <c r="P337" s="1030"/>
      <c r="Q337" s="1030"/>
      <c r="R337" s="1030"/>
      <c r="S337" s="1030"/>
      <c r="T337" s="1030"/>
      <c r="U337" s="1030"/>
      <c r="V337" s="1030"/>
      <c r="W337" s="1030"/>
      <c r="X337" s="1030"/>
      <c r="Y337" s="1030"/>
      <c r="Z337" s="1030"/>
    </row>
    <row r="338" spans="1:26" ht="12.75" customHeight="1">
      <c r="A338" s="1030"/>
      <c r="B338" s="1030"/>
      <c r="C338" s="1030"/>
      <c r="D338" s="1030"/>
      <c r="E338" s="1030"/>
      <c r="F338" s="1030"/>
      <c r="G338" s="1030"/>
      <c r="H338" s="1186"/>
      <c r="I338" s="1030"/>
      <c r="J338" s="1030"/>
      <c r="K338" s="1030"/>
      <c r="L338" s="1030"/>
      <c r="M338" s="1030"/>
      <c r="N338" s="1030"/>
      <c r="O338" s="1030"/>
      <c r="P338" s="1030"/>
      <c r="Q338" s="1030"/>
      <c r="R338" s="1030"/>
      <c r="S338" s="1030"/>
      <c r="T338" s="1030"/>
      <c r="U338" s="1030"/>
      <c r="V338" s="1030"/>
      <c r="W338" s="1030"/>
      <c r="X338" s="1030"/>
      <c r="Y338" s="1030"/>
      <c r="Z338" s="1030"/>
    </row>
    <row r="339" spans="1:26" ht="12.75" customHeight="1">
      <c r="A339" s="1030"/>
      <c r="B339" s="1030"/>
      <c r="C339" s="1030"/>
      <c r="D339" s="1030"/>
      <c r="E339" s="1030"/>
      <c r="F339" s="1030"/>
      <c r="G339" s="1030"/>
      <c r="H339" s="1186"/>
      <c r="I339" s="1030"/>
      <c r="J339" s="1030"/>
      <c r="K339" s="1030"/>
      <c r="L339" s="1030"/>
      <c r="M339" s="1030"/>
      <c r="N339" s="1030"/>
      <c r="O339" s="1030"/>
      <c r="P339" s="1030"/>
      <c r="Q339" s="1030"/>
      <c r="R339" s="1030"/>
      <c r="S339" s="1030"/>
      <c r="T339" s="1030"/>
      <c r="U339" s="1030"/>
      <c r="V339" s="1030"/>
      <c r="W339" s="1030"/>
      <c r="X339" s="1030"/>
      <c r="Y339" s="1030"/>
      <c r="Z339" s="1030"/>
    </row>
    <row r="340" spans="1:26" ht="12.75" customHeight="1">
      <c r="A340" s="1030"/>
      <c r="B340" s="1030"/>
      <c r="C340" s="1030"/>
      <c r="D340" s="1030"/>
      <c r="E340" s="1030"/>
      <c r="F340" s="1030"/>
      <c r="G340" s="1030"/>
      <c r="H340" s="1186"/>
      <c r="I340" s="1030"/>
      <c r="J340" s="1030"/>
      <c r="K340" s="1030"/>
      <c r="L340" s="1030"/>
      <c r="M340" s="1030"/>
      <c r="N340" s="1030"/>
      <c r="O340" s="1030"/>
      <c r="P340" s="1030"/>
      <c r="Q340" s="1030"/>
      <c r="R340" s="1030"/>
      <c r="S340" s="1030"/>
      <c r="T340" s="1030"/>
      <c r="U340" s="1030"/>
      <c r="V340" s="1030"/>
      <c r="W340" s="1030"/>
      <c r="X340" s="1030"/>
      <c r="Y340" s="1030"/>
      <c r="Z340" s="1030"/>
    </row>
    <row r="341" spans="1:26" ht="12.75" customHeight="1">
      <c r="A341" s="1030"/>
      <c r="B341" s="1030"/>
      <c r="C341" s="1030"/>
      <c r="D341" s="1030"/>
      <c r="E341" s="1030"/>
      <c r="F341" s="1030"/>
      <c r="G341" s="1030"/>
      <c r="H341" s="1186"/>
      <c r="I341" s="1030"/>
      <c r="J341" s="1030"/>
      <c r="K341" s="1030"/>
      <c r="L341" s="1030"/>
      <c r="M341" s="1030"/>
      <c r="N341" s="1030"/>
      <c r="O341" s="1030"/>
      <c r="P341" s="1030"/>
      <c r="Q341" s="1030"/>
      <c r="R341" s="1030"/>
      <c r="S341" s="1030"/>
      <c r="T341" s="1030"/>
      <c r="U341" s="1030"/>
      <c r="V341" s="1030"/>
      <c r="W341" s="1030"/>
      <c r="X341" s="1030"/>
      <c r="Y341" s="1030"/>
      <c r="Z341" s="1030"/>
    </row>
    <row r="342" spans="1:26" ht="12.75" customHeight="1">
      <c r="A342" s="1030"/>
      <c r="B342" s="1030"/>
      <c r="C342" s="1030"/>
      <c r="D342" s="1030"/>
      <c r="E342" s="1030"/>
      <c r="F342" s="1030"/>
      <c r="G342" s="1030"/>
      <c r="H342" s="1186"/>
      <c r="I342" s="1030"/>
      <c r="J342" s="1030"/>
      <c r="K342" s="1030"/>
      <c r="L342" s="1030"/>
      <c r="M342" s="1030"/>
      <c r="N342" s="1030"/>
      <c r="O342" s="1030"/>
      <c r="P342" s="1030"/>
      <c r="Q342" s="1030"/>
      <c r="R342" s="1030"/>
      <c r="S342" s="1030"/>
      <c r="T342" s="1030"/>
      <c r="U342" s="1030"/>
      <c r="V342" s="1030"/>
      <c r="W342" s="1030"/>
      <c r="X342" s="1030"/>
      <c r="Y342" s="1030"/>
      <c r="Z342" s="1030"/>
    </row>
    <row r="343" spans="1:26" ht="12.75" customHeight="1">
      <c r="A343" s="1030"/>
      <c r="B343" s="1030"/>
      <c r="C343" s="1030"/>
      <c r="D343" s="1030"/>
      <c r="E343" s="1030"/>
      <c r="F343" s="1030"/>
      <c r="G343" s="1030"/>
      <c r="H343" s="1186"/>
      <c r="I343" s="1030"/>
      <c r="J343" s="1030"/>
      <c r="K343" s="1030"/>
      <c r="L343" s="1030"/>
      <c r="M343" s="1030"/>
      <c r="N343" s="1030"/>
      <c r="O343" s="1030"/>
      <c r="P343" s="1030"/>
      <c r="Q343" s="1030"/>
      <c r="R343" s="1030"/>
      <c r="S343" s="1030"/>
      <c r="T343" s="1030"/>
      <c r="U343" s="1030"/>
      <c r="V343" s="1030"/>
      <c r="W343" s="1030"/>
      <c r="X343" s="1030"/>
      <c r="Y343" s="1030"/>
      <c r="Z343" s="1030"/>
    </row>
    <row r="344" spans="1:26" ht="12.75" customHeight="1">
      <c r="A344" s="1030"/>
      <c r="B344" s="1030"/>
      <c r="C344" s="1030"/>
      <c r="D344" s="1030"/>
      <c r="E344" s="1030"/>
      <c r="F344" s="1030"/>
      <c r="G344" s="1030"/>
      <c r="H344" s="1186"/>
      <c r="I344" s="1030"/>
      <c r="J344" s="1030"/>
      <c r="K344" s="1030"/>
      <c r="L344" s="1030"/>
      <c r="M344" s="1030"/>
      <c r="N344" s="1030"/>
      <c r="O344" s="1030"/>
      <c r="P344" s="1030"/>
      <c r="Q344" s="1030"/>
      <c r="R344" s="1030"/>
      <c r="S344" s="1030"/>
      <c r="T344" s="1030"/>
      <c r="U344" s="1030"/>
      <c r="V344" s="1030"/>
      <c r="W344" s="1030"/>
      <c r="X344" s="1030"/>
      <c r="Y344" s="1030"/>
      <c r="Z344" s="1030"/>
    </row>
    <row r="345" spans="1:26" ht="12.75" customHeight="1">
      <c r="A345" s="1030"/>
      <c r="B345" s="1030"/>
      <c r="C345" s="1030"/>
      <c r="D345" s="1030"/>
      <c r="E345" s="1030"/>
      <c r="F345" s="1030"/>
      <c r="G345" s="1030"/>
      <c r="H345" s="1186"/>
      <c r="I345" s="1030"/>
      <c r="J345" s="1030"/>
      <c r="K345" s="1030"/>
      <c r="L345" s="1030"/>
      <c r="M345" s="1030"/>
      <c r="N345" s="1030"/>
      <c r="O345" s="1030"/>
      <c r="P345" s="1030"/>
      <c r="Q345" s="1030"/>
      <c r="R345" s="1030"/>
      <c r="S345" s="1030"/>
      <c r="T345" s="1030"/>
      <c r="U345" s="1030"/>
      <c r="V345" s="1030"/>
      <c r="W345" s="1030"/>
      <c r="X345" s="1030"/>
      <c r="Y345" s="1030"/>
      <c r="Z345" s="1030"/>
    </row>
    <row r="346" spans="1:26" ht="12.75" customHeight="1">
      <c r="A346" s="1030"/>
      <c r="B346" s="1030"/>
      <c r="C346" s="1030"/>
      <c r="D346" s="1030"/>
      <c r="E346" s="1030"/>
      <c r="F346" s="1030"/>
      <c r="G346" s="1030"/>
      <c r="H346" s="1186"/>
      <c r="I346" s="1030"/>
      <c r="J346" s="1030"/>
      <c r="K346" s="1030"/>
      <c r="L346" s="1030"/>
      <c r="M346" s="1030"/>
      <c r="N346" s="1030"/>
      <c r="O346" s="1030"/>
      <c r="P346" s="1030"/>
      <c r="Q346" s="1030"/>
      <c r="R346" s="1030"/>
      <c r="S346" s="1030"/>
      <c r="T346" s="1030"/>
      <c r="U346" s="1030"/>
      <c r="V346" s="1030"/>
      <c r="W346" s="1030"/>
      <c r="X346" s="1030"/>
      <c r="Y346" s="1030"/>
      <c r="Z346" s="1030"/>
    </row>
    <row r="347" spans="1:26" ht="12.75" customHeight="1">
      <c r="A347" s="1030"/>
      <c r="B347" s="1030"/>
      <c r="C347" s="1030"/>
      <c r="D347" s="1030"/>
      <c r="E347" s="1030"/>
      <c r="F347" s="1030"/>
      <c r="G347" s="1030"/>
      <c r="H347" s="1186"/>
      <c r="I347" s="1030"/>
      <c r="J347" s="1030"/>
      <c r="K347" s="1030"/>
      <c r="L347" s="1030"/>
      <c r="M347" s="1030"/>
      <c r="N347" s="1030"/>
      <c r="O347" s="1030"/>
      <c r="P347" s="1030"/>
      <c r="Q347" s="1030"/>
      <c r="R347" s="1030"/>
      <c r="S347" s="1030"/>
      <c r="T347" s="1030"/>
      <c r="U347" s="1030"/>
      <c r="V347" s="1030"/>
      <c r="W347" s="1030"/>
      <c r="X347" s="1030"/>
      <c r="Y347" s="1030"/>
      <c r="Z347" s="1030"/>
    </row>
    <row r="348" spans="1:26" ht="12.75" customHeight="1">
      <c r="A348" s="1030"/>
      <c r="B348" s="1030"/>
      <c r="C348" s="1030"/>
      <c r="D348" s="1030"/>
      <c r="E348" s="1030"/>
      <c r="F348" s="1030"/>
      <c r="G348" s="1030"/>
      <c r="H348" s="1186"/>
      <c r="I348" s="1030"/>
      <c r="J348" s="1030"/>
      <c r="K348" s="1030"/>
      <c r="L348" s="1030"/>
      <c r="M348" s="1030"/>
      <c r="N348" s="1030"/>
      <c r="O348" s="1030"/>
      <c r="P348" s="1030"/>
      <c r="Q348" s="1030"/>
      <c r="R348" s="1030"/>
      <c r="S348" s="1030"/>
      <c r="T348" s="1030"/>
      <c r="U348" s="1030"/>
      <c r="V348" s="1030"/>
      <c r="W348" s="1030"/>
      <c r="X348" s="1030"/>
      <c r="Y348" s="1030"/>
      <c r="Z348" s="1030"/>
    </row>
    <row r="349" spans="1:26" ht="12.75" customHeight="1">
      <c r="A349" s="1030"/>
      <c r="B349" s="1030"/>
      <c r="C349" s="1030"/>
      <c r="D349" s="1030"/>
      <c r="E349" s="1030"/>
      <c r="F349" s="1030"/>
      <c r="G349" s="1030"/>
      <c r="H349" s="1186"/>
      <c r="I349" s="1030"/>
      <c r="J349" s="1030"/>
      <c r="K349" s="1030"/>
      <c r="L349" s="1030"/>
      <c r="M349" s="1030"/>
      <c r="N349" s="1030"/>
      <c r="O349" s="1030"/>
      <c r="P349" s="1030"/>
      <c r="Q349" s="1030"/>
      <c r="R349" s="1030"/>
      <c r="S349" s="1030"/>
      <c r="T349" s="1030"/>
      <c r="U349" s="1030"/>
      <c r="V349" s="1030"/>
      <c r="W349" s="1030"/>
      <c r="X349" s="1030"/>
      <c r="Y349" s="1030"/>
      <c r="Z349" s="1030"/>
    </row>
    <row r="350" spans="1:26" ht="12.75" customHeight="1">
      <c r="A350" s="1030"/>
      <c r="B350" s="1030"/>
      <c r="C350" s="1030"/>
      <c r="D350" s="1030"/>
      <c r="E350" s="1030"/>
      <c r="F350" s="1030"/>
      <c r="G350" s="1030"/>
      <c r="H350" s="1186"/>
      <c r="I350" s="1030"/>
      <c r="J350" s="1030"/>
      <c r="K350" s="1030"/>
      <c r="L350" s="1030"/>
      <c r="M350" s="1030"/>
      <c r="N350" s="1030"/>
      <c r="O350" s="1030"/>
      <c r="P350" s="1030"/>
      <c r="Q350" s="1030"/>
      <c r="R350" s="1030"/>
      <c r="S350" s="1030"/>
      <c r="T350" s="1030"/>
      <c r="U350" s="1030"/>
      <c r="V350" s="1030"/>
      <c r="W350" s="1030"/>
      <c r="X350" s="1030"/>
      <c r="Y350" s="1030"/>
      <c r="Z350" s="1030"/>
    </row>
    <row r="351" spans="1:26" ht="12.75" customHeight="1">
      <c r="A351" s="1030"/>
      <c r="B351" s="1030"/>
      <c r="C351" s="1030"/>
      <c r="D351" s="1030"/>
      <c r="E351" s="1030"/>
      <c r="F351" s="1030"/>
      <c r="G351" s="1030"/>
      <c r="H351" s="1186"/>
      <c r="I351" s="1030"/>
      <c r="J351" s="1030"/>
      <c r="K351" s="1030"/>
      <c r="L351" s="1030"/>
      <c r="M351" s="1030"/>
      <c r="N351" s="1030"/>
      <c r="O351" s="1030"/>
      <c r="P351" s="1030"/>
      <c r="Q351" s="1030"/>
      <c r="R351" s="1030"/>
      <c r="S351" s="1030"/>
      <c r="T351" s="1030"/>
      <c r="U351" s="1030"/>
      <c r="V351" s="1030"/>
      <c r="W351" s="1030"/>
      <c r="X351" s="1030"/>
      <c r="Y351" s="1030"/>
      <c r="Z351" s="1030"/>
    </row>
    <row r="352" spans="1:26" ht="12.75" customHeight="1">
      <c r="A352" s="1030"/>
      <c r="B352" s="1030"/>
      <c r="C352" s="1030"/>
      <c r="D352" s="1030"/>
      <c r="E352" s="1030"/>
      <c r="F352" s="1030"/>
      <c r="G352" s="1030"/>
      <c r="H352" s="1186"/>
      <c r="I352" s="1030"/>
      <c r="J352" s="1030"/>
      <c r="K352" s="1030"/>
      <c r="L352" s="1030"/>
      <c r="M352" s="1030"/>
      <c r="N352" s="1030"/>
      <c r="O352" s="1030"/>
      <c r="P352" s="1030"/>
      <c r="Q352" s="1030"/>
      <c r="R352" s="1030"/>
      <c r="S352" s="1030"/>
      <c r="T352" s="1030"/>
      <c r="U352" s="1030"/>
      <c r="V352" s="1030"/>
      <c r="W352" s="1030"/>
      <c r="X352" s="1030"/>
      <c r="Y352" s="1030"/>
      <c r="Z352" s="1030"/>
    </row>
    <row r="353" spans="1:26" ht="12.75" customHeight="1">
      <c r="A353" s="1030"/>
      <c r="B353" s="1030"/>
      <c r="C353" s="1030"/>
      <c r="D353" s="1030"/>
      <c r="E353" s="1030"/>
      <c r="F353" s="1030"/>
      <c r="G353" s="1030"/>
      <c r="H353" s="1186"/>
      <c r="I353" s="1030"/>
      <c r="J353" s="1030"/>
      <c r="K353" s="1030"/>
      <c r="L353" s="1030"/>
      <c r="M353" s="1030"/>
      <c r="N353" s="1030"/>
      <c r="O353" s="1030"/>
      <c r="P353" s="1030"/>
      <c r="Q353" s="1030"/>
      <c r="R353" s="1030"/>
      <c r="S353" s="1030"/>
      <c r="T353" s="1030"/>
      <c r="U353" s="1030"/>
      <c r="V353" s="1030"/>
      <c r="W353" s="1030"/>
      <c r="X353" s="1030"/>
      <c r="Y353" s="1030"/>
      <c r="Z353" s="1030"/>
    </row>
    <row r="354" spans="1:26" ht="12.75" customHeight="1">
      <c r="A354" s="1030"/>
      <c r="B354" s="1030"/>
      <c r="C354" s="1030"/>
      <c r="D354" s="1030"/>
      <c r="E354" s="1030"/>
      <c r="F354" s="1030"/>
      <c r="G354" s="1030"/>
      <c r="H354" s="1186"/>
      <c r="I354" s="1030"/>
      <c r="J354" s="1030"/>
      <c r="K354" s="1030"/>
      <c r="L354" s="1030"/>
      <c r="M354" s="1030"/>
      <c r="N354" s="1030"/>
      <c r="O354" s="1030"/>
      <c r="P354" s="1030"/>
      <c r="Q354" s="1030"/>
      <c r="R354" s="1030"/>
      <c r="S354" s="1030"/>
      <c r="T354" s="1030"/>
      <c r="U354" s="1030"/>
      <c r="V354" s="1030"/>
      <c r="W354" s="1030"/>
      <c r="X354" s="1030"/>
      <c r="Y354" s="1030"/>
      <c r="Z354" s="1030"/>
    </row>
    <row r="355" spans="1:26" ht="12.75" customHeight="1">
      <c r="A355" s="1030"/>
      <c r="B355" s="1030"/>
      <c r="C355" s="1030"/>
      <c r="D355" s="1030"/>
      <c r="E355" s="1030"/>
      <c r="F355" s="1030"/>
      <c r="G355" s="1030"/>
      <c r="H355" s="1186"/>
      <c r="I355" s="1030"/>
      <c r="J355" s="1030"/>
      <c r="K355" s="1030"/>
      <c r="L355" s="1030"/>
      <c r="M355" s="1030"/>
      <c r="N355" s="1030"/>
      <c r="O355" s="1030"/>
      <c r="P355" s="1030"/>
      <c r="Q355" s="1030"/>
      <c r="R355" s="1030"/>
      <c r="S355" s="1030"/>
      <c r="T355" s="1030"/>
      <c r="U355" s="1030"/>
      <c r="V355" s="1030"/>
      <c r="W355" s="1030"/>
      <c r="X355" s="1030"/>
      <c r="Y355" s="1030"/>
      <c r="Z355" s="1030"/>
    </row>
    <row r="356" spans="1:26" ht="12.75" customHeight="1">
      <c r="A356" s="1030"/>
      <c r="B356" s="1030"/>
      <c r="C356" s="1030"/>
      <c r="D356" s="1030"/>
      <c r="E356" s="1030"/>
      <c r="F356" s="1030"/>
      <c r="G356" s="1030"/>
      <c r="H356" s="1186"/>
      <c r="I356" s="1030"/>
      <c r="J356" s="1030"/>
      <c r="K356" s="1030"/>
      <c r="L356" s="1030"/>
      <c r="M356" s="1030"/>
      <c r="N356" s="1030"/>
      <c r="O356" s="1030"/>
      <c r="P356" s="1030"/>
      <c r="Q356" s="1030"/>
      <c r="R356" s="1030"/>
      <c r="S356" s="1030"/>
      <c r="T356" s="1030"/>
      <c r="U356" s="1030"/>
      <c r="V356" s="1030"/>
      <c r="W356" s="1030"/>
      <c r="X356" s="1030"/>
      <c r="Y356" s="1030"/>
      <c r="Z356" s="1030"/>
    </row>
    <row r="357" spans="1:26" ht="12.75" customHeight="1">
      <c r="A357" s="1030"/>
      <c r="B357" s="1030"/>
      <c r="C357" s="1030"/>
      <c r="D357" s="1030"/>
      <c r="E357" s="1030"/>
      <c r="F357" s="1030"/>
      <c r="G357" s="1030"/>
      <c r="H357" s="1186"/>
      <c r="I357" s="1030"/>
      <c r="J357" s="1030"/>
      <c r="K357" s="1030"/>
      <c r="L357" s="1030"/>
      <c r="M357" s="1030"/>
      <c r="N357" s="1030"/>
      <c r="O357" s="1030"/>
      <c r="P357" s="1030"/>
      <c r="Q357" s="1030"/>
      <c r="R357" s="1030"/>
      <c r="S357" s="1030"/>
      <c r="T357" s="1030"/>
      <c r="U357" s="1030"/>
      <c r="V357" s="1030"/>
      <c r="W357" s="1030"/>
      <c r="X357" s="1030"/>
      <c r="Y357" s="1030"/>
      <c r="Z357" s="1030"/>
    </row>
    <row r="358" spans="1:26" ht="12.75" customHeight="1">
      <c r="A358" s="1030"/>
      <c r="B358" s="1030"/>
      <c r="C358" s="1030"/>
      <c r="D358" s="1030"/>
      <c r="E358" s="1030"/>
      <c r="F358" s="1030"/>
      <c r="G358" s="1030"/>
      <c r="H358" s="1186"/>
      <c r="I358" s="1030"/>
      <c r="J358" s="1030"/>
      <c r="K358" s="1030"/>
      <c r="L358" s="1030"/>
      <c r="M358" s="1030"/>
      <c r="N358" s="1030"/>
      <c r="O358" s="1030"/>
      <c r="P358" s="1030"/>
      <c r="Q358" s="1030"/>
      <c r="R358" s="1030"/>
      <c r="S358" s="1030"/>
      <c r="T358" s="1030"/>
      <c r="U358" s="1030"/>
      <c r="V358" s="1030"/>
      <c r="W358" s="1030"/>
      <c r="X358" s="1030"/>
      <c r="Y358" s="1030"/>
      <c r="Z358" s="1030"/>
    </row>
    <row r="359" spans="1:26" ht="12.75" customHeight="1">
      <c r="A359" s="1030"/>
      <c r="B359" s="1030"/>
      <c r="C359" s="1030"/>
      <c r="D359" s="1030"/>
      <c r="E359" s="1030"/>
      <c r="F359" s="1030"/>
      <c r="G359" s="1030"/>
      <c r="H359" s="1186"/>
      <c r="I359" s="1030"/>
      <c r="J359" s="1030"/>
      <c r="K359" s="1030"/>
      <c r="L359" s="1030"/>
      <c r="M359" s="1030"/>
      <c r="N359" s="1030"/>
      <c r="O359" s="1030"/>
      <c r="P359" s="1030"/>
      <c r="Q359" s="1030"/>
      <c r="R359" s="1030"/>
      <c r="S359" s="1030"/>
      <c r="T359" s="1030"/>
      <c r="U359" s="1030"/>
      <c r="V359" s="1030"/>
      <c r="W359" s="1030"/>
      <c r="X359" s="1030"/>
      <c r="Y359" s="1030"/>
      <c r="Z359" s="1030"/>
    </row>
    <row r="360" spans="1:26" ht="12.75" customHeight="1">
      <c r="A360" s="1030"/>
      <c r="B360" s="1030"/>
      <c r="C360" s="1030"/>
      <c r="D360" s="1030"/>
      <c r="E360" s="1030"/>
      <c r="F360" s="1030"/>
      <c r="G360" s="1030"/>
      <c r="H360" s="1186"/>
      <c r="I360" s="1030"/>
      <c r="J360" s="1030"/>
      <c r="K360" s="1030"/>
      <c r="L360" s="1030"/>
      <c r="M360" s="1030"/>
      <c r="N360" s="1030"/>
      <c r="O360" s="1030"/>
      <c r="P360" s="1030"/>
      <c r="Q360" s="1030"/>
      <c r="R360" s="1030"/>
      <c r="S360" s="1030"/>
      <c r="T360" s="1030"/>
      <c r="U360" s="1030"/>
      <c r="V360" s="1030"/>
      <c r="W360" s="1030"/>
      <c r="X360" s="1030"/>
      <c r="Y360" s="1030"/>
      <c r="Z360" s="1030"/>
    </row>
    <row r="361" spans="1:26" ht="12.75" customHeight="1">
      <c r="A361" s="1030"/>
      <c r="B361" s="1030"/>
      <c r="C361" s="1030"/>
      <c r="D361" s="1030"/>
      <c r="E361" s="1030"/>
      <c r="F361" s="1030"/>
      <c r="G361" s="1030"/>
      <c r="H361" s="1186"/>
      <c r="I361" s="1030"/>
      <c r="J361" s="1030"/>
      <c r="K361" s="1030"/>
      <c r="L361" s="1030"/>
      <c r="M361" s="1030"/>
      <c r="N361" s="1030"/>
      <c r="O361" s="1030"/>
      <c r="P361" s="1030"/>
      <c r="Q361" s="1030"/>
      <c r="R361" s="1030"/>
      <c r="S361" s="1030"/>
      <c r="T361" s="1030"/>
      <c r="U361" s="1030"/>
      <c r="V361" s="1030"/>
      <c r="W361" s="1030"/>
      <c r="X361" s="1030"/>
      <c r="Y361" s="1030"/>
      <c r="Z361" s="1030"/>
    </row>
    <row r="362" spans="1:26" ht="12.75" customHeight="1">
      <c r="A362" s="1030"/>
      <c r="B362" s="1030"/>
      <c r="C362" s="1030"/>
      <c r="D362" s="1030"/>
      <c r="E362" s="1030"/>
      <c r="F362" s="1030"/>
      <c r="G362" s="1030"/>
      <c r="H362" s="1186"/>
      <c r="I362" s="1030"/>
      <c r="J362" s="1030"/>
      <c r="K362" s="1030"/>
      <c r="L362" s="1030"/>
      <c r="M362" s="1030"/>
      <c r="N362" s="1030"/>
      <c r="O362" s="1030"/>
      <c r="P362" s="1030"/>
      <c r="Q362" s="1030"/>
      <c r="R362" s="1030"/>
      <c r="S362" s="1030"/>
      <c r="T362" s="1030"/>
      <c r="U362" s="1030"/>
      <c r="V362" s="1030"/>
      <c r="W362" s="1030"/>
      <c r="X362" s="1030"/>
      <c r="Y362" s="1030"/>
      <c r="Z362" s="1030"/>
    </row>
    <row r="363" spans="1:26" ht="12.75" customHeight="1">
      <c r="A363" s="1030"/>
      <c r="B363" s="1030"/>
      <c r="C363" s="1030"/>
      <c r="D363" s="1030"/>
      <c r="E363" s="1030"/>
      <c r="F363" s="1030"/>
      <c r="G363" s="1030"/>
      <c r="H363" s="1186"/>
      <c r="I363" s="1030"/>
      <c r="J363" s="1030"/>
      <c r="K363" s="1030"/>
      <c r="L363" s="1030"/>
      <c r="M363" s="1030"/>
      <c r="N363" s="1030"/>
      <c r="O363" s="1030"/>
      <c r="P363" s="1030"/>
      <c r="Q363" s="1030"/>
      <c r="R363" s="1030"/>
      <c r="S363" s="1030"/>
      <c r="T363" s="1030"/>
      <c r="U363" s="1030"/>
      <c r="V363" s="1030"/>
      <c r="W363" s="1030"/>
      <c r="X363" s="1030"/>
      <c r="Y363" s="1030"/>
      <c r="Z363" s="1030"/>
    </row>
    <row r="364" spans="1:26" ht="12.75" customHeight="1">
      <c r="A364" s="1030"/>
      <c r="B364" s="1030"/>
      <c r="C364" s="1030"/>
      <c r="D364" s="1030"/>
      <c r="E364" s="1030"/>
      <c r="F364" s="1030"/>
      <c r="G364" s="1030"/>
      <c r="H364" s="1186"/>
      <c r="I364" s="1030"/>
      <c r="J364" s="1030"/>
      <c r="K364" s="1030"/>
      <c r="L364" s="1030"/>
      <c r="M364" s="1030"/>
      <c r="N364" s="1030"/>
      <c r="O364" s="1030"/>
      <c r="P364" s="1030"/>
      <c r="Q364" s="1030"/>
      <c r="R364" s="1030"/>
      <c r="S364" s="1030"/>
      <c r="T364" s="1030"/>
      <c r="U364" s="1030"/>
      <c r="V364" s="1030"/>
      <c r="W364" s="1030"/>
      <c r="X364" s="1030"/>
      <c r="Y364" s="1030"/>
      <c r="Z364" s="1030"/>
    </row>
    <row r="365" spans="1:26" ht="12.75" customHeight="1">
      <c r="A365" s="1030"/>
      <c r="B365" s="1030"/>
      <c r="C365" s="1030"/>
      <c r="D365" s="1030"/>
      <c r="E365" s="1030"/>
      <c r="F365" s="1030"/>
      <c r="G365" s="1030"/>
      <c r="H365" s="1186"/>
      <c r="I365" s="1030"/>
      <c r="J365" s="1030"/>
      <c r="K365" s="1030"/>
      <c r="L365" s="1030"/>
      <c r="M365" s="1030"/>
      <c r="N365" s="1030"/>
      <c r="O365" s="1030"/>
      <c r="P365" s="1030"/>
      <c r="Q365" s="1030"/>
      <c r="R365" s="1030"/>
      <c r="S365" s="1030"/>
      <c r="T365" s="1030"/>
      <c r="U365" s="1030"/>
      <c r="V365" s="1030"/>
      <c r="W365" s="1030"/>
      <c r="X365" s="1030"/>
      <c r="Y365" s="1030"/>
      <c r="Z365" s="1030"/>
    </row>
    <row r="366" spans="1:26" ht="12.75" customHeight="1">
      <c r="A366" s="1030"/>
      <c r="B366" s="1030"/>
      <c r="C366" s="1030"/>
      <c r="D366" s="1030"/>
      <c r="E366" s="1030"/>
      <c r="F366" s="1030"/>
      <c r="G366" s="1030"/>
      <c r="H366" s="1186"/>
      <c r="I366" s="1030"/>
      <c r="J366" s="1030"/>
      <c r="K366" s="1030"/>
      <c r="L366" s="1030"/>
      <c r="M366" s="1030"/>
      <c r="N366" s="1030"/>
      <c r="O366" s="1030"/>
      <c r="P366" s="1030"/>
      <c r="Q366" s="1030"/>
      <c r="R366" s="1030"/>
      <c r="S366" s="1030"/>
      <c r="T366" s="1030"/>
      <c r="U366" s="1030"/>
      <c r="V366" s="1030"/>
      <c r="W366" s="1030"/>
      <c r="X366" s="1030"/>
      <c r="Y366" s="1030"/>
      <c r="Z366" s="1030"/>
    </row>
    <row r="367" spans="1:26" ht="12.75" customHeight="1">
      <c r="A367" s="1030"/>
      <c r="B367" s="1030"/>
      <c r="C367" s="1030"/>
      <c r="D367" s="1030"/>
      <c r="E367" s="1030"/>
      <c r="F367" s="1030"/>
      <c r="G367" s="1030"/>
      <c r="H367" s="1186"/>
      <c r="I367" s="1030"/>
      <c r="J367" s="1030"/>
      <c r="K367" s="1030"/>
      <c r="L367" s="1030"/>
      <c r="M367" s="1030"/>
      <c r="N367" s="1030"/>
      <c r="O367" s="1030"/>
      <c r="P367" s="1030"/>
      <c r="Q367" s="1030"/>
      <c r="R367" s="1030"/>
      <c r="S367" s="1030"/>
      <c r="T367" s="1030"/>
      <c r="U367" s="1030"/>
      <c r="V367" s="1030"/>
      <c r="W367" s="1030"/>
      <c r="X367" s="1030"/>
      <c r="Y367" s="1030"/>
      <c r="Z367" s="1030"/>
    </row>
    <row r="368" spans="1:26" ht="12.75" customHeight="1">
      <c r="A368" s="1030"/>
      <c r="B368" s="1030"/>
      <c r="C368" s="1030"/>
      <c r="D368" s="1030"/>
      <c r="E368" s="1030"/>
      <c r="F368" s="1030"/>
      <c r="G368" s="1030"/>
      <c r="H368" s="1186"/>
      <c r="I368" s="1030"/>
      <c r="J368" s="1030"/>
      <c r="K368" s="1030"/>
      <c r="L368" s="1030"/>
      <c r="M368" s="1030"/>
      <c r="N368" s="1030"/>
      <c r="O368" s="1030"/>
      <c r="P368" s="1030"/>
      <c r="Q368" s="1030"/>
      <c r="R368" s="1030"/>
      <c r="S368" s="1030"/>
      <c r="T368" s="1030"/>
      <c r="U368" s="1030"/>
      <c r="V368" s="1030"/>
      <c r="W368" s="1030"/>
      <c r="X368" s="1030"/>
      <c r="Y368" s="1030"/>
      <c r="Z368" s="1030"/>
    </row>
    <row r="369" spans="1:26" ht="12.75" customHeight="1">
      <c r="A369" s="1030"/>
      <c r="B369" s="1030"/>
      <c r="C369" s="1030"/>
      <c r="D369" s="1030"/>
      <c r="E369" s="1030"/>
      <c r="F369" s="1030"/>
      <c r="G369" s="1030"/>
      <c r="H369" s="1186"/>
      <c r="I369" s="1030"/>
      <c r="J369" s="1030"/>
      <c r="K369" s="1030"/>
      <c r="L369" s="1030"/>
      <c r="M369" s="1030"/>
      <c r="N369" s="1030"/>
      <c r="O369" s="1030"/>
      <c r="P369" s="1030"/>
      <c r="Q369" s="1030"/>
      <c r="R369" s="1030"/>
      <c r="S369" s="1030"/>
      <c r="T369" s="1030"/>
      <c r="U369" s="1030"/>
      <c r="V369" s="1030"/>
      <c r="W369" s="1030"/>
      <c r="X369" s="1030"/>
      <c r="Y369" s="1030"/>
      <c r="Z369" s="1030"/>
    </row>
    <row r="370" spans="1:26" ht="12.75" customHeight="1">
      <c r="A370" s="1030"/>
      <c r="B370" s="1030"/>
      <c r="C370" s="1030"/>
      <c r="D370" s="1030"/>
      <c r="E370" s="1030"/>
      <c r="F370" s="1030"/>
      <c r="G370" s="1030"/>
      <c r="H370" s="1186"/>
      <c r="I370" s="1030"/>
      <c r="J370" s="1030"/>
      <c r="K370" s="1030"/>
      <c r="L370" s="1030"/>
      <c r="M370" s="1030"/>
      <c r="N370" s="1030"/>
      <c r="O370" s="1030"/>
      <c r="P370" s="1030"/>
      <c r="Q370" s="1030"/>
      <c r="R370" s="1030"/>
      <c r="S370" s="1030"/>
      <c r="T370" s="1030"/>
      <c r="U370" s="1030"/>
      <c r="V370" s="1030"/>
      <c r="W370" s="1030"/>
      <c r="X370" s="1030"/>
      <c r="Y370" s="1030"/>
      <c r="Z370" s="1030"/>
    </row>
    <row r="371" spans="1:26" ht="12.75" customHeight="1">
      <c r="A371" s="1030"/>
      <c r="B371" s="1030"/>
      <c r="C371" s="1030"/>
      <c r="D371" s="1030"/>
      <c r="E371" s="1030"/>
      <c r="F371" s="1030"/>
      <c r="G371" s="1030"/>
      <c r="H371" s="1186"/>
      <c r="I371" s="1030"/>
      <c r="J371" s="1030"/>
      <c r="K371" s="1030"/>
      <c r="L371" s="1030"/>
      <c r="M371" s="1030"/>
      <c r="N371" s="1030"/>
      <c r="O371" s="1030"/>
      <c r="P371" s="1030"/>
      <c r="Q371" s="1030"/>
      <c r="R371" s="1030"/>
      <c r="S371" s="1030"/>
      <c r="T371" s="1030"/>
      <c r="U371" s="1030"/>
      <c r="V371" s="1030"/>
      <c r="W371" s="1030"/>
      <c r="X371" s="1030"/>
      <c r="Y371" s="1030"/>
      <c r="Z371" s="1030"/>
    </row>
    <row r="372" spans="1:26" ht="12.75" customHeight="1">
      <c r="A372" s="1030"/>
      <c r="B372" s="1030"/>
      <c r="C372" s="1030"/>
      <c r="D372" s="1030"/>
      <c r="E372" s="1030"/>
      <c r="F372" s="1030"/>
      <c r="G372" s="1030"/>
      <c r="H372" s="1186"/>
      <c r="I372" s="1030"/>
      <c r="J372" s="1030"/>
      <c r="K372" s="1030"/>
      <c r="L372" s="1030"/>
      <c r="M372" s="1030"/>
      <c r="N372" s="1030"/>
      <c r="O372" s="1030"/>
      <c r="P372" s="1030"/>
      <c r="Q372" s="1030"/>
      <c r="R372" s="1030"/>
      <c r="S372" s="1030"/>
      <c r="T372" s="1030"/>
      <c r="U372" s="1030"/>
      <c r="V372" s="1030"/>
      <c r="W372" s="1030"/>
      <c r="X372" s="1030"/>
      <c r="Y372" s="1030"/>
      <c r="Z372" s="1030"/>
    </row>
    <row r="373" spans="1:26" ht="12.75" customHeight="1">
      <c r="A373" s="1030"/>
      <c r="B373" s="1030"/>
      <c r="C373" s="1030"/>
      <c r="D373" s="1030"/>
      <c r="E373" s="1030"/>
      <c r="F373" s="1030"/>
      <c r="G373" s="1030"/>
      <c r="H373" s="1186"/>
      <c r="I373" s="1030"/>
      <c r="J373" s="1030"/>
      <c r="K373" s="1030"/>
      <c r="L373" s="1030"/>
      <c r="M373" s="1030"/>
      <c r="N373" s="1030"/>
      <c r="O373" s="1030"/>
      <c r="P373" s="1030"/>
      <c r="Q373" s="1030"/>
      <c r="R373" s="1030"/>
      <c r="S373" s="1030"/>
      <c r="T373" s="1030"/>
      <c r="U373" s="1030"/>
      <c r="V373" s="1030"/>
      <c r="W373" s="1030"/>
      <c r="X373" s="1030"/>
      <c r="Y373" s="1030"/>
      <c r="Z373" s="1030"/>
    </row>
    <row r="374" spans="1:26" ht="12.75" customHeight="1">
      <c r="A374" s="1030"/>
      <c r="B374" s="1030"/>
      <c r="C374" s="1030"/>
      <c r="D374" s="1030"/>
      <c r="E374" s="1030"/>
      <c r="F374" s="1030"/>
      <c r="G374" s="1030"/>
      <c r="H374" s="1186"/>
      <c r="I374" s="1030"/>
      <c r="J374" s="1030"/>
      <c r="K374" s="1030"/>
      <c r="L374" s="1030"/>
      <c r="M374" s="1030"/>
      <c r="N374" s="1030"/>
      <c r="O374" s="1030"/>
      <c r="P374" s="1030"/>
      <c r="Q374" s="1030"/>
      <c r="R374" s="1030"/>
      <c r="S374" s="1030"/>
      <c r="T374" s="1030"/>
      <c r="U374" s="1030"/>
      <c r="V374" s="1030"/>
      <c r="W374" s="1030"/>
      <c r="X374" s="1030"/>
      <c r="Y374" s="1030"/>
      <c r="Z374" s="1030"/>
    </row>
    <row r="375" spans="1:26" ht="12.75" customHeight="1">
      <c r="A375" s="1030"/>
      <c r="B375" s="1030"/>
      <c r="C375" s="1030"/>
      <c r="D375" s="1030"/>
      <c r="E375" s="1030"/>
      <c r="F375" s="1030"/>
      <c r="G375" s="1030"/>
      <c r="H375" s="1186"/>
      <c r="I375" s="1030"/>
      <c r="J375" s="1030"/>
      <c r="K375" s="1030"/>
      <c r="L375" s="1030"/>
      <c r="M375" s="1030"/>
      <c r="N375" s="1030"/>
      <c r="O375" s="1030"/>
      <c r="P375" s="1030"/>
      <c r="Q375" s="1030"/>
      <c r="R375" s="1030"/>
      <c r="S375" s="1030"/>
      <c r="T375" s="1030"/>
      <c r="U375" s="1030"/>
      <c r="V375" s="1030"/>
      <c r="W375" s="1030"/>
      <c r="X375" s="1030"/>
      <c r="Y375" s="1030"/>
      <c r="Z375" s="1030"/>
    </row>
    <row r="376" spans="1:26" ht="12.75" customHeight="1">
      <c r="A376" s="1030"/>
      <c r="B376" s="1030"/>
      <c r="C376" s="1030"/>
      <c r="D376" s="1030"/>
      <c r="E376" s="1030"/>
      <c r="F376" s="1030"/>
      <c r="G376" s="1030"/>
      <c r="H376" s="1186"/>
      <c r="I376" s="1030"/>
      <c r="J376" s="1030"/>
      <c r="K376" s="1030"/>
      <c r="L376" s="1030"/>
      <c r="M376" s="1030"/>
      <c r="N376" s="1030"/>
      <c r="O376" s="1030"/>
      <c r="P376" s="1030"/>
      <c r="Q376" s="1030"/>
      <c r="R376" s="1030"/>
      <c r="S376" s="1030"/>
      <c r="T376" s="1030"/>
      <c r="U376" s="1030"/>
      <c r="V376" s="1030"/>
      <c r="W376" s="1030"/>
      <c r="X376" s="1030"/>
      <c r="Y376" s="1030"/>
      <c r="Z376" s="1030"/>
    </row>
    <row r="377" spans="1:26" ht="12.75" customHeight="1">
      <c r="A377" s="1030"/>
      <c r="B377" s="1030"/>
      <c r="C377" s="1030"/>
      <c r="D377" s="1030"/>
      <c r="E377" s="1030"/>
      <c r="F377" s="1030"/>
      <c r="G377" s="1030"/>
      <c r="H377" s="1186"/>
      <c r="I377" s="1030"/>
      <c r="J377" s="1030"/>
      <c r="K377" s="1030"/>
      <c r="L377" s="1030"/>
      <c r="M377" s="1030"/>
      <c r="N377" s="1030"/>
      <c r="O377" s="1030"/>
      <c r="P377" s="1030"/>
      <c r="Q377" s="1030"/>
      <c r="R377" s="1030"/>
      <c r="S377" s="1030"/>
      <c r="T377" s="1030"/>
      <c r="U377" s="1030"/>
      <c r="V377" s="1030"/>
      <c r="W377" s="1030"/>
      <c r="X377" s="1030"/>
      <c r="Y377" s="1030"/>
      <c r="Z377" s="1030"/>
    </row>
    <row r="378" spans="1:26" ht="12.75" customHeight="1">
      <c r="A378" s="1030"/>
      <c r="B378" s="1030"/>
      <c r="C378" s="1030"/>
      <c r="D378" s="1030"/>
      <c r="E378" s="1030"/>
      <c r="F378" s="1030"/>
      <c r="G378" s="1030"/>
      <c r="H378" s="1186"/>
      <c r="I378" s="1030"/>
      <c r="J378" s="1030"/>
      <c r="K378" s="1030"/>
      <c r="L378" s="1030"/>
      <c r="M378" s="1030"/>
      <c r="N378" s="1030"/>
      <c r="O378" s="1030"/>
      <c r="P378" s="1030"/>
      <c r="Q378" s="1030"/>
      <c r="R378" s="1030"/>
      <c r="S378" s="1030"/>
      <c r="T378" s="1030"/>
      <c r="U378" s="1030"/>
      <c r="V378" s="1030"/>
      <c r="W378" s="1030"/>
      <c r="X378" s="1030"/>
      <c r="Y378" s="1030"/>
      <c r="Z378" s="1030"/>
    </row>
    <row r="379" spans="1:26" ht="12.75" customHeight="1">
      <c r="A379" s="1030"/>
      <c r="B379" s="1030"/>
      <c r="C379" s="1030"/>
      <c r="D379" s="1030"/>
      <c r="E379" s="1030"/>
      <c r="F379" s="1030"/>
      <c r="G379" s="1030"/>
      <c r="H379" s="1186"/>
      <c r="I379" s="1030"/>
      <c r="J379" s="1030"/>
      <c r="K379" s="1030"/>
      <c r="L379" s="1030"/>
      <c r="M379" s="1030"/>
      <c r="N379" s="1030"/>
      <c r="O379" s="1030"/>
      <c r="P379" s="1030"/>
      <c r="Q379" s="1030"/>
      <c r="R379" s="1030"/>
      <c r="S379" s="1030"/>
      <c r="T379" s="1030"/>
      <c r="U379" s="1030"/>
      <c r="V379" s="1030"/>
      <c r="W379" s="1030"/>
      <c r="X379" s="1030"/>
      <c r="Y379" s="1030"/>
      <c r="Z379" s="1030"/>
    </row>
    <row r="380" spans="1:26" ht="12.75" customHeight="1">
      <c r="A380" s="1030"/>
      <c r="B380" s="1030"/>
      <c r="C380" s="1030"/>
      <c r="D380" s="1030"/>
      <c r="E380" s="1030"/>
      <c r="F380" s="1030"/>
      <c r="G380" s="1030"/>
      <c r="H380" s="1186"/>
      <c r="I380" s="1030"/>
      <c r="J380" s="1030"/>
      <c r="K380" s="1030"/>
      <c r="L380" s="1030"/>
      <c r="M380" s="1030"/>
      <c r="N380" s="1030"/>
      <c r="O380" s="1030"/>
      <c r="P380" s="1030"/>
      <c r="Q380" s="1030"/>
      <c r="R380" s="1030"/>
      <c r="S380" s="1030"/>
      <c r="T380" s="1030"/>
      <c r="U380" s="1030"/>
      <c r="V380" s="1030"/>
      <c r="W380" s="1030"/>
      <c r="X380" s="1030"/>
      <c r="Y380" s="1030"/>
      <c r="Z380" s="1030"/>
    </row>
    <row r="381" spans="1:26" ht="12.75" customHeight="1">
      <c r="A381" s="1030"/>
      <c r="B381" s="1030"/>
      <c r="C381" s="1030"/>
      <c r="D381" s="1030"/>
      <c r="E381" s="1030"/>
      <c r="F381" s="1030"/>
      <c r="G381" s="1030"/>
      <c r="H381" s="1186"/>
      <c r="I381" s="1030"/>
      <c r="J381" s="1030"/>
      <c r="K381" s="1030"/>
      <c r="L381" s="1030"/>
      <c r="M381" s="1030"/>
      <c r="N381" s="1030"/>
      <c r="O381" s="1030"/>
      <c r="P381" s="1030"/>
      <c r="Q381" s="1030"/>
      <c r="R381" s="1030"/>
      <c r="S381" s="1030"/>
      <c r="T381" s="1030"/>
      <c r="U381" s="1030"/>
      <c r="V381" s="1030"/>
      <c r="W381" s="1030"/>
      <c r="X381" s="1030"/>
      <c r="Y381" s="1030"/>
      <c r="Z381" s="1030"/>
    </row>
    <row r="382" spans="1:26" ht="12.75" customHeight="1">
      <c r="A382" s="1030"/>
      <c r="B382" s="1030"/>
      <c r="C382" s="1030"/>
      <c r="D382" s="1030"/>
      <c r="E382" s="1030"/>
      <c r="F382" s="1030"/>
      <c r="G382" s="1030"/>
      <c r="H382" s="1186"/>
      <c r="I382" s="1030"/>
      <c r="J382" s="1030"/>
      <c r="K382" s="1030"/>
      <c r="L382" s="1030"/>
      <c r="M382" s="1030"/>
      <c r="N382" s="1030"/>
      <c r="O382" s="1030"/>
      <c r="P382" s="1030"/>
      <c r="Q382" s="1030"/>
      <c r="R382" s="1030"/>
      <c r="S382" s="1030"/>
      <c r="T382" s="1030"/>
      <c r="U382" s="1030"/>
      <c r="V382" s="1030"/>
      <c r="W382" s="1030"/>
      <c r="X382" s="1030"/>
      <c r="Y382" s="1030"/>
      <c r="Z382" s="1030"/>
    </row>
    <row r="383" spans="1:26" ht="12.75" customHeight="1">
      <c r="A383" s="1030"/>
      <c r="B383" s="1030"/>
      <c r="C383" s="1030"/>
      <c r="D383" s="1030"/>
      <c r="E383" s="1030"/>
      <c r="F383" s="1030"/>
      <c r="G383" s="1030"/>
      <c r="H383" s="1186"/>
      <c r="I383" s="1030"/>
      <c r="J383" s="1030"/>
      <c r="K383" s="1030"/>
      <c r="L383" s="1030"/>
      <c r="M383" s="1030"/>
      <c r="N383" s="1030"/>
      <c r="O383" s="1030"/>
      <c r="P383" s="1030"/>
      <c r="Q383" s="1030"/>
      <c r="R383" s="1030"/>
      <c r="S383" s="1030"/>
      <c r="T383" s="1030"/>
      <c r="U383" s="1030"/>
      <c r="V383" s="1030"/>
      <c r="W383" s="1030"/>
      <c r="X383" s="1030"/>
      <c r="Y383" s="1030"/>
      <c r="Z383" s="1030"/>
    </row>
    <row r="384" spans="1:26" ht="12.75" customHeight="1">
      <c r="A384" s="1030"/>
      <c r="B384" s="1030"/>
      <c r="C384" s="1030"/>
      <c r="D384" s="1030"/>
      <c r="E384" s="1030"/>
      <c r="F384" s="1030"/>
      <c r="G384" s="1030"/>
      <c r="H384" s="1186"/>
      <c r="I384" s="1030"/>
      <c r="J384" s="1030"/>
      <c r="K384" s="1030"/>
      <c r="L384" s="1030"/>
      <c r="M384" s="1030"/>
      <c r="N384" s="1030"/>
      <c r="O384" s="1030"/>
      <c r="P384" s="1030"/>
      <c r="Q384" s="1030"/>
      <c r="R384" s="1030"/>
      <c r="S384" s="1030"/>
      <c r="T384" s="1030"/>
      <c r="U384" s="1030"/>
      <c r="V384" s="1030"/>
      <c r="W384" s="1030"/>
      <c r="X384" s="1030"/>
      <c r="Y384" s="1030"/>
      <c r="Z384" s="1030"/>
    </row>
    <row r="385" spans="1:26" ht="12.75" customHeight="1">
      <c r="A385" s="1030"/>
      <c r="B385" s="1030"/>
      <c r="C385" s="1030"/>
      <c r="D385" s="1030"/>
      <c r="E385" s="1030"/>
      <c r="F385" s="1030"/>
      <c r="G385" s="1030"/>
      <c r="H385" s="1186"/>
      <c r="I385" s="1030"/>
      <c r="J385" s="1030"/>
      <c r="K385" s="1030"/>
      <c r="L385" s="1030"/>
      <c r="M385" s="1030"/>
      <c r="N385" s="1030"/>
      <c r="O385" s="1030"/>
      <c r="P385" s="1030"/>
      <c r="Q385" s="1030"/>
      <c r="R385" s="1030"/>
      <c r="S385" s="1030"/>
      <c r="T385" s="1030"/>
      <c r="U385" s="1030"/>
      <c r="V385" s="1030"/>
      <c r="W385" s="1030"/>
      <c r="X385" s="1030"/>
      <c r="Y385" s="1030"/>
      <c r="Z385" s="1030"/>
    </row>
    <row r="386" spans="1:26" ht="12.75" customHeight="1">
      <c r="A386" s="1030"/>
      <c r="B386" s="1030"/>
      <c r="C386" s="1030"/>
      <c r="D386" s="1030"/>
      <c r="E386" s="1030"/>
      <c r="F386" s="1030"/>
      <c r="G386" s="1030"/>
      <c r="H386" s="1186"/>
      <c r="I386" s="1030"/>
      <c r="J386" s="1030"/>
      <c r="K386" s="1030"/>
      <c r="L386" s="1030"/>
      <c r="M386" s="1030"/>
      <c r="N386" s="1030"/>
      <c r="O386" s="1030"/>
      <c r="P386" s="1030"/>
      <c r="Q386" s="1030"/>
      <c r="R386" s="1030"/>
      <c r="S386" s="1030"/>
      <c r="T386" s="1030"/>
      <c r="U386" s="1030"/>
      <c r="V386" s="1030"/>
      <c r="W386" s="1030"/>
      <c r="X386" s="1030"/>
      <c r="Y386" s="1030"/>
      <c r="Z386" s="1030"/>
    </row>
    <row r="387" spans="1:26" ht="12.75" customHeight="1">
      <c r="A387" s="1030"/>
      <c r="B387" s="1030"/>
      <c r="C387" s="1030"/>
      <c r="D387" s="1030"/>
      <c r="E387" s="1030"/>
      <c r="F387" s="1030"/>
      <c r="G387" s="1030"/>
      <c r="H387" s="1186"/>
      <c r="I387" s="1030"/>
      <c r="J387" s="1030"/>
      <c r="K387" s="1030"/>
      <c r="L387" s="1030"/>
      <c r="M387" s="1030"/>
      <c r="N387" s="1030"/>
      <c r="O387" s="1030"/>
      <c r="P387" s="1030"/>
      <c r="Q387" s="1030"/>
      <c r="R387" s="1030"/>
      <c r="S387" s="1030"/>
      <c r="T387" s="1030"/>
      <c r="U387" s="1030"/>
      <c r="V387" s="1030"/>
      <c r="W387" s="1030"/>
      <c r="X387" s="1030"/>
      <c r="Y387" s="1030"/>
      <c r="Z387" s="1030"/>
    </row>
    <row r="388" spans="1:26" ht="12.75" customHeight="1">
      <c r="A388" s="1030"/>
      <c r="B388" s="1030"/>
      <c r="C388" s="1030"/>
      <c r="D388" s="1030"/>
      <c r="E388" s="1030"/>
      <c r="F388" s="1030"/>
      <c r="G388" s="1030"/>
      <c r="H388" s="1186"/>
      <c r="I388" s="1030"/>
      <c r="J388" s="1030"/>
      <c r="K388" s="1030"/>
      <c r="L388" s="1030"/>
      <c r="M388" s="1030"/>
      <c r="N388" s="1030"/>
      <c r="O388" s="1030"/>
      <c r="P388" s="1030"/>
      <c r="Q388" s="1030"/>
      <c r="R388" s="1030"/>
      <c r="S388" s="1030"/>
      <c r="T388" s="1030"/>
      <c r="U388" s="1030"/>
      <c r="V388" s="1030"/>
      <c r="W388" s="1030"/>
      <c r="X388" s="1030"/>
      <c r="Y388" s="1030"/>
      <c r="Z388" s="1030"/>
    </row>
    <row r="389" spans="1:26" ht="12.75" customHeight="1">
      <c r="A389" s="1030"/>
      <c r="B389" s="1030"/>
      <c r="C389" s="1030"/>
      <c r="D389" s="1030"/>
      <c r="E389" s="1030"/>
      <c r="F389" s="1030"/>
      <c r="G389" s="1030"/>
      <c r="H389" s="1186"/>
      <c r="I389" s="1030"/>
      <c r="J389" s="1030"/>
      <c r="K389" s="1030"/>
      <c r="L389" s="1030"/>
      <c r="M389" s="1030"/>
      <c r="N389" s="1030"/>
      <c r="O389" s="1030"/>
      <c r="P389" s="1030"/>
      <c r="Q389" s="1030"/>
      <c r="R389" s="1030"/>
      <c r="S389" s="1030"/>
      <c r="T389" s="1030"/>
      <c r="U389" s="1030"/>
      <c r="V389" s="1030"/>
      <c r="W389" s="1030"/>
      <c r="X389" s="1030"/>
      <c r="Y389" s="1030"/>
      <c r="Z389" s="1030"/>
    </row>
    <row r="390" spans="1:26" ht="12.75" customHeight="1">
      <c r="A390" s="1030"/>
      <c r="B390" s="1030"/>
      <c r="C390" s="1030"/>
      <c r="D390" s="1030"/>
      <c r="E390" s="1030"/>
      <c r="F390" s="1030"/>
      <c r="G390" s="1030"/>
      <c r="H390" s="1186"/>
      <c r="I390" s="1030"/>
      <c r="J390" s="1030"/>
      <c r="K390" s="1030"/>
      <c r="L390" s="1030"/>
      <c r="M390" s="1030"/>
      <c r="N390" s="1030"/>
      <c r="O390" s="1030"/>
      <c r="P390" s="1030"/>
      <c r="Q390" s="1030"/>
      <c r="R390" s="1030"/>
      <c r="S390" s="1030"/>
      <c r="T390" s="1030"/>
      <c r="U390" s="1030"/>
      <c r="V390" s="1030"/>
      <c r="W390" s="1030"/>
      <c r="X390" s="1030"/>
      <c r="Y390" s="1030"/>
      <c r="Z390" s="1030"/>
    </row>
    <row r="391" spans="1:26" ht="12.75" customHeight="1">
      <c r="A391" s="1030"/>
      <c r="B391" s="1030"/>
      <c r="C391" s="1030"/>
      <c r="D391" s="1030"/>
      <c r="E391" s="1030"/>
      <c r="F391" s="1030"/>
      <c r="G391" s="1030"/>
      <c r="H391" s="1186"/>
      <c r="I391" s="1030"/>
      <c r="J391" s="1030"/>
      <c r="K391" s="1030"/>
      <c r="L391" s="1030"/>
      <c r="M391" s="1030"/>
      <c r="N391" s="1030"/>
      <c r="O391" s="1030"/>
      <c r="P391" s="1030"/>
      <c r="Q391" s="1030"/>
      <c r="R391" s="1030"/>
      <c r="S391" s="1030"/>
      <c r="T391" s="1030"/>
      <c r="U391" s="1030"/>
      <c r="V391" s="1030"/>
      <c r="W391" s="1030"/>
      <c r="X391" s="1030"/>
      <c r="Y391" s="1030"/>
      <c r="Z391" s="1030"/>
    </row>
    <row r="392" spans="1:26" ht="12.75" customHeight="1">
      <c r="A392" s="1030"/>
      <c r="B392" s="1030"/>
      <c r="C392" s="1030"/>
      <c r="D392" s="1030"/>
      <c r="E392" s="1030"/>
      <c r="F392" s="1030"/>
      <c r="G392" s="1030"/>
      <c r="H392" s="1186"/>
      <c r="I392" s="1030"/>
      <c r="J392" s="1030"/>
      <c r="K392" s="1030"/>
      <c r="L392" s="1030"/>
      <c r="M392" s="1030"/>
      <c r="N392" s="1030"/>
      <c r="O392" s="1030"/>
      <c r="P392" s="1030"/>
      <c r="Q392" s="1030"/>
      <c r="R392" s="1030"/>
      <c r="S392" s="1030"/>
      <c r="T392" s="1030"/>
      <c r="U392" s="1030"/>
      <c r="V392" s="1030"/>
      <c r="W392" s="1030"/>
      <c r="X392" s="1030"/>
      <c r="Y392" s="1030"/>
      <c r="Z392" s="1030"/>
    </row>
    <row r="393" spans="1:26" ht="12.75" customHeight="1">
      <c r="A393" s="1030"/>
      <c r="B393" s="1030"/>
      <c r="C393" s="1030"/>
      <c r="D393" s="1030"/>
      <c r="E393" s="1030"/>
      <c r="F393" s="1030"/>
      <c r="G393" s="1030"/>
      <c r="H393" s="1186"/>
      <c r="I393" s="1030"/>
      <c r="J393" s="1030"/>
      <c r="K393" s="1030"/>
      <c r="L393" s="1030"/>
      <c r="M393" s="1030"/>
      <c r="N393" s="1030"/>
      <c r="O393" s="1030"/>
      <c r="P393" s="1030"/>
      <c r="Q393" s="1030"/>
      <c r="R393" s="1030"/>
      <c r="S393" s="1030"/>
      <c r="T393" s="1030"/>
      <c r="U393" s="1030"/>
      <c r="V393" s="1030"/>
      <c r="W393" s="1030"/>
      <c r="X393" s="1030"/>
      <c r="Y393" s="1030"/>
      <c r="Z393" s="1030"/>
    </row>
    <row r="394" spans="1:26" ht="12.75" customHeight="1">
      <c r="A394" s="1030"/>
      <c r="B394" s="1030"/>
      <c r="C394" s="1030"/>
      <c r="D394" s="1030"/>
      <c r="E394" s="1030"/>
      <c r="F394" s="1030"/>
      <c r="G394" s="1030"/>
      <c r="H394" s="1186"/>
      <c r="I394" s="1030"/>
      <c r="J394" s="1030"/>
      <c r="K394" s="1030"/>
      <c r="L394" s="1030"/>
      <c r="M394" s="1030"/>
      <c r="N394" s="1030"/>
      <c r="O394" s="1030"/>
      <c r="P394" s="1030"/>
      <c r="Q394" s="1030"/>
      <c r="R394" s="1030"/>
      <c r="S394" s="1030"/>
      <c r="T394" s="1030"/>
      <c r="U394" s="1030"/>
      <c r="V394" s="1030"/>
      <c r="W394" s="1030"/>
      <c r="X394" s="1030"/>
      <c r="Y394" s="1030"/>
      <c r="Z394" s="1030"/>
    </row>
    <row r="395" spans="1:26" ht="12.75" customHeight="1">
      <c r="A395" s="1030"/>
      <c r="B395" s="1030"/>
      <c r="C395" s="1030"/>
      <c r="D395" s="1030"/>
      <c r="E395" s="1030"/>
      <c r="F395" s="1030"/>
      <c r="G395" s="1030"/>
      <c r="H395" s="1186"/>
      <c r="I395" s="1030"/>
      <c r="J395" s="1030"/>
      <c r="K395" s="1030"/>
      <c r="L395" s="1030"/>
      <c r="M395" s="1030"/>
      <c r="N395" s="1030"/>
      <c r="O395" s="1030"/>
      <c r="P395" s="1030"/>
      <c r="Q395" s="1030"/>
      <c r="R395" s="1030"/>
      <c r="S395" s="1030"/>
      <c r="T395" s="1030"/>
      <c r="U395" s="1030"/>
      <c r="V395" s="1030"/>
      <c r="W395" s="1030"/>
      <c r="X395" s="1030"/>
      <c r="Y395" s="1030"/>
      <c r="Z395" s="1030"/>
    </row>
    <row r="396" spans="1:26" ht="12.75" customHeight="1">
      <c r="A396" s="1030"/>
      <c r="B396" s="1030"/>
      <c r="C396" s="1030"/>
      <c r="D396" s="1030"/>
      <c r="E396" s="1030"/>
      <c r="F396" s="1030"/>
      <c r="G396" s="1030"/>
      <c r="H396" s="1186"/>
      <c r="I396" s="1030"/>
      <c r="J396" s="1030"/>
      <c r="K396" s="1030"/>
      <c r="L396" s="1030"/>
      <c r="M396" s="1030"/>
      <c r="N396" s="1030"/>
      <c r="O396" s="1030"/>
      <c r="P396" s="1030"/>
      <c r="Q396" s="1030"/>
      <c r="R396" s="1030"/>
      <c r="S396" s="1030"/>
      <c r="T396" s="1030"/>
      <c r="U396" s="1030"/>
      <c r="V396" s="1030"/>
      <c r="W396" s="1030"/>
      <c r="X396" s="1030"/>
      <c r="Y396" s="1030"/>
      <c r="Z396" s="1030"/>
    </row>
    <row r="397" spans="1:26" ht="12.75" customHeight="1">
      <c r="A397" s="1030"/>
      <c r="B397" s="1030"/>
      <c r="C397" s="1030"/>
      <c r="D397" s="1030"/>
      <c r="E397" s="1030"/>
      <c r="F397" s="1030"/>
      <c r="G397" s="1030"/>
      <c r="H397" s="1186"/>
      <c r="I397" s="1030"/>
      <c r="J397" s="1030"/>
      <c r="K397" s="1030"/>
      <c r="L397" s="1030"/>
      <c r="M397" s="1030"/>
      <c r="N397" s="1030"/>
      <c r="O397" s="1030"/>
      <c r="P397" s="1030"/>
      <c r="Q397" s="1030"/>
      <c r="R397" s="1030"/>
      <c r="S397" s="1030"/>
      <c r="T397" s="1030"/>
      <c r="U397" s="1030"/>
      <c r="V397" s="1030"/>
      <c r="W397" s="1030"/>
      <c r="X397" s="1030"/>
      <c r="Y397" s="1030"/>
      <c r="Z397" s="1030"/>
    </row>
    <row r="398" spans="1:26" ht="12.75" customHeight="1">
      <c r="A398" s="1030"/>
      <c r="B398" s="1030"/>
      <c r="C398" s="1030"/>
      <c r="D398" s="1030"/>
      <c r="E398" s="1030"/>
      <c r="F398" s="1030"/>
      <c r="G398" s="1030"/>
      <c r="H398" s="1186"/>
      <c r="I398" s="1030"/>
      <c r="J398" s="1030"/>
      <c r="K398" s="1030"/>
      <c r="L398" s="1030"/>
      <c r="M398" s="1030"/>
      <c r="N398" s="1030"/>
      <c r="O398" s="1030"/>
      <c r="P398" s="1030"/>
      <c r="Q398" s="1030"/>
      <c r="R398" s="1030"/>
      <c r="S398" s="1030"/>
      <c r="T398" s="1030"/>
      <c r="U398" s="1030"/>
      <c r="V398" s="1030"/>
      <c r="W398" s="1030"/>
      <c r="X398" s="1030"/>
      <c r="Y398" s="1030"/>
      <c r="Z398" s="1030"/>
    </row>
    <row r="399" spans="1:26" ht="12.75" customHeight="1">
      <c r="A399" s="1030"/>
      <c r="B399" s="1030"/>
      <c r="C399" s="1030"/>
      <c r="D399" s="1030"/>
      <c r="E399" s="1030"/>
      <c r="F399" s="1030"/>
      <c r="G399" s="1030"/>
      <c r="H399" s="1186"/>
      <c r="I399" s="1030"/>
      <c r="J399" s="1030"/>
      <c r="K399" s="1030"/>
      <c r="L399" s="1030"/>
      <c r="M399" s="1030"/>
      <c r="N399" s="1030"/>
      <c r="O399" s="1030"/>
      <c r="P399" s="1030"/>
      <c r="Q399" s="1030"/>
      <c r="R399" s="1030"/>
      <c r="S399" s="1030"/>
      <c r="T399" s="1030"/>
      <c r="U399" s="1030"/>
      <c r="V399" s="1030"/>
      <c r="W399" s="1030"/>
      <c r="X399" s="1030"/>
      <c r="Y399" s="1030"/>
      <c r="Z399" s="1030"/>
    </row>
    <row r="400" spans="1:26" ht="12.75" customHeight="1">
      <c r="A400" s="1030"/>
      <c r="B400" s="1030"/>
      <c r="C400" s="1030"/>
      <c r="D400" s="1030"/>
      <c r="E400" s="1030"/>
      <c r="F400" s="1030"/>
      <c r="G400" s="1030"/>
      <c r="H400" s="1186"/>
      <c r="I400" s="1030"/>
      <c r="J400" s="1030"/>
      <c r="K400" s="1030"/>
      <c r="L400" s="1030"/>
      <c r="M400" s="1030"/>
      <c r="N400" s="1030"/>
      <c r="O400" s="1030"/>
      <c r="P400" s="1030"/>
      <c r="Q400" s="1030"/>
      <c r="R400" s="1030"/>
      <c r="S400" s="1030"/>
      <c r="T400" s="1030"/>
      <c r="U400" s="1030"/>
      <c r="V400" s="1030"/>
      <c r="W400" s="1030"/>
      <c r="X400" s="1030"/>
      <c r="Y400" s="1030"/>
      <c r="Z400" s="1030"/>
    </row>
    <row r="401" spans="1:26" ht="12.75" customHeight="1">
      <c r="A401" s="1030"/>
      <c r="B401" s="1030"/>
      <c r="C401" s="1030"/>
      <c r="D401" s="1030"/>
      <c r="E401" s="1030"/>
      <c r="F401" s="1030"/>
      <c r="G401" s="1030"/>
      <c r="H401" s="1186"/>
      <c r="I401" s="1030"/>
      <c r="J401" s="1030"/>
      <c r="K401" s="1030"/>
      <c r="L401" s="1030"/>
      <c r="M401" s="1030"/>
      <c r="N401" s="1030"/>
      <c r="O401" s="1030"/>
      <c r="P401" s="1030"/>
      <c r="Q401" s="1030"/>
      <c r="R401" s="1030"/>
      <c r="S401" s="1030"/>
      <c r="T401" s="1030"/>
      <c r="U401" s="1030"/>
      <c r="V401" s="1030"/>
      <c r="W401" s="1030"/>
      <c r="X401" s="1030"/>
      <c r="Y401" s="1030"/>
      <c r="Z401" s="1030"/>
    </row>
    <row r="402" spans="1:26" ht="12.75" customHeight="1">
      <c r="A402" s="1030"/>
      <c r="B402" s="1030"/>
      <c r="C402" s="1030"/>
      <c r="D402" s="1030"/>
      <c r="E402" s="1030"/>
      <c r="F402" s="1030"/>
      <c r="G402" s="1030"/>
      <c r="H402" s="1186"/>
      <c r="I402" s="1030"/>
      <c r="J402" s="1030"/>
      <c r="K402" s="1030"/>
      <c r="L402" s="1030"/>
      <c r="M402" s="1030"/>
      <c r="N402" s="1030"/>
      <c r="O402" s="1030"/>
      <c r="P402" s="1030"/>
      <c r="Q402" s="1030"/>
      <c r="R402" s="1030"/>
      <c r="S402" s="1030"/>
      <c r="T402" s="1030"/>
      <c r="U402" s="1030"/>
      <c r="V402" s="1030"/>
      <c r="W402" s="1030"/>
      <c r="X402" s="1030"/>
      <c r="Y402" s="1030"/>
      <c r="Z402" s="1030"/>
    </row>
    <row r="403" spans="1:26" ht="12.75" customHeight="1">
      <c r="A403" s="1030"/>
      <c r="B403" s="1030"/>
      <c r="C403" s="1030"/>
      <c r="D403" s="1030"/>
      <c r="E403" s="1030"/>
      <c r="F403" s="1030"/>
      <c r="G403" s="1030"/>
      <c r="H403" s="1186"/>
      <c r="I403" s="1030"/>
      <c r="J403" s="1030"/>
      <c r="K403" s="1030"/>
      <c r="L403" s="1030"/>
      <c r="M403" s="1030"/>
      <c r="N403" s="1030"/>
      <c r="O403" s="1030"/>
      <c r="P403" s="1030"/>
      <c r="Q403" s="1030"/>
      <c r="R403" s="1030"/>
      <c r="S403" s="1030"/>
      <c r="T403" s="1030"/>
      <c r="U403" s="1030"/>
      <c r="V403" s="1030"/>
      <c r="W403" s="1030"/>
      <c r="X403" s="1030"/>
      <c r="Y403" s="1030"/>
      <c r="Z403" s="1030"/>
    </row>
    <row r="404" spans="1:26" ht="12.75" customHeight="1">
      <c r="A404" s="1030"/>
      <c r="B404" s="1030"/>
      <c r="C404" s="1030"/>
      <c r="D404" s="1030"/>
      <c r="E404" s="1030"/>
      <c r="F404" s="1030"/>
      <c r="G404" s="1030"/>
      <c r="H404" s="1186"/>
      <c r="I404" s="1030"/>
      <c r="J404" s="1030"/>
      <c r="K404" s="1030"/>
      <c r="L404" s="1030"/>
      <c r="M404" s="1030"/>
      <c r="N404" s="1030"/>
      <c r="O404" s="1030"/>
      <c r="P404" s="1030"/>
      <c r="Q404" s="1030"/>
      <c r="R404" s="1030"/>
      <c r="S404" s="1030"/>
      <c r="T404" s="1030"/>
      <c r="U404" s="1030"/>
      <c r="V404" s="1030"/>
      <c r="W404" s="1030"/>
      <c r="X404" s="1030"/>
      <c r="Y404" s="1030"/>
      <c r="Z404" s="1030"/>
    </row>
    <row r="405" spans="1:26" ht="12.75" customHeight="1">
      <c r="A405" s="1030"/>
      <c r="B405" s="1030"/>
      <c r="C405" s="1030"/>
      <c r="D405" s="1030"/>
      <c r="E405" s="1030"/>
      <c r="F405" s="1030"/>
      <c r="G405" s="1030"/>
      <c r="H405" s="1186"/>
      <c r="I405" s="1030"/>
      <c r="J405" s="1030"/>
      <c r="K405" s="1030"/>
      <c r="L405" s="1030"/>
      <c r="M405" s="1030"/>
      <c r="N405" s="1030"/>
      <c r="O405" s="1030"/>
      <c r="P405" s="1030"/>
      <c r="Q405" s="1030"/>
      <c r="R405" s="1030"/>
      <c r="S405" s="1030"/>
      <c r="T405" s="1030"/>
      <c r="U405" s="1030"/>
      <c r="V405" s="1030"/>
      <c r="W405" s="1030"/>
      <c r="X405" s="1030"/>
      <c r="Y405" s="1030"/>
      <c r="Z405" s="1030"/>
    </row>
    <row r="406" spans="1:26" ht="12.75" customHeight="1">
      <c r="A406" s="1030"/>
      <c r="B406" s="1030"/>
      <c r="C406" s="1030"/>
      <c r="D406" s="1030"/>
      <c r="E406" s="1030"/>
      <c r="F406" s="1030"/>
      <c r="G406" s="1030"/>
      <c r="H406" s="1186"/>
      <c r="I406" s="1030"/>
      <c r="J406" s="1030"/>
      <c r="K406" s="1030"/>
      <c r="L406" s="1030"/>
      <c r="M406" s="1030"/>
      <c r="N406" s="1030"/>
      <c r="O406" s="1030"/>
      <c r="P406" s="1030"/>
      <c r="Q406" s="1030"/>
      <c r="R406" s="1030"/>
      <c r="S406" s="1030"/>
      <c r="T406" s="1030"/>
      <c r="U406" s="1030"/>
      <c r="V406" s="1030"/>
      <c r="W406" s="1030"/>
      <c r="X406" s="1030"/>
      <c r="Y406" s="1030"/>
      <c r="Z406" s="1030"/>
    </row>
    <row r="407" spans="1:26" ht="12.75" customHeight="1">
      <c r="A407" s="1030"/>
      <c r="B407" s="1030"/>
      <c r="C407" s="1030"/>
      <c r="D407" s="1030"/>
      <c r="E407" s="1030"/>
      <c r="F407" s="1030"/>
      <c r="G407" s="1030"/>
      <c r="H407" s="1186"/>
      <c r="I407" s="1030"/>
      <c r="J407" s="1030"/>
      <c r="K407" s="1030"/>
      <c r="L407" s="1030"/>
      <c r="M407" s="1030"/>
      <c r="N407" s="1030"/>
      <c r="O407" s="1030"/>
      <c r="P407" s="1030"/>
      <c r="Q407" s="1030"/>
      <c r="R407" s="1030"/>
      <c r="S407" s="1030"/>
      <c r="T407" s="1030"/>
      <c r="U407" s="1030"/>
      <c r="V407" s="1030"/>
      <c r="W407" s="1030"/>
      <c r="X407" s="1030"/>
      <c r="Y407" s="1030"/>
      <c r="Z407" s="1030"/>
    </row>
    <row r="408" spans="1:26" ht="12.75" customHeight="1">
      <c r="A408" s="1030"/>
      <c r="B408" s="1030"/>
      <c r="C408" s="1030"/>
      <c r="D408" s="1030"/>
      <c r="E408" s="1030"/>
      <c r="F408" s="1030"/>
      <c r="G408" s="1030"/>
      <c r="H408" s="1186"/>
      <c r="I408" s="1030"/>
      <c r="J408" s="1030"/>
      <c r="K408" s="1030"/>
      <c r="L408" s="1030"/>
      <c r="M408" s="1030"/>
      <c r="N408" s="1030"/>
      <c r="O408" s="1030"/>
      <c r="P408" s="1030"/>
      <c r="Q408" s="1030"/>
      <c r="R408" s="1030"/>
      <c r="S408" s="1030"/>
      <c r="T408" s="1030"/>
      <c r="U408" s="1030"/>
      <c r="V408" s="1030"/>
      <c r="W408" s="1030"/>
      <c r="X408" s="1030"/>
      <c r="Y408" s="1030"/>
      <c r="Z408" s="1030"/>
    </row>
    <row r="409" spans="1:26" ht="12.75" customHeight="1">
      <c r="A409" s="1030"/>
      <c r="B409" s="1030"/>
      <c r="C409" s="1030"/>
      <c r="D409" s="1030"/>
      <c r="E409" s="1030"/>
      <c r="F409" s="1030"/>
      <c r="G409" s="1030"/>
      <c r="H409" s="1186"/>
      <c r="I409" s="1030"/>
      <c r="J409" s="1030"/>
      <c r="K409" s="1030"/>
      <c r="L409" s="1030"/>
      <c r="M409" s="1030"/>
      <c r="N409" s="1030"/>
      <c r="O409" s="1030"/>
      <c r="P409" s="1030"/>
      <c r="Q409" s="1030"/>
      <c r="R409" s="1030"/>
      <c r="S409" s="1030"/>
      <c r="T409" s="1030"/>
      <c r="U409" s="1030"/>
      <c r="V409" s="1030"/>
      <c r="W409" s="1030"/>
      <c r="X409" s="1030"/>
      <c r="Y409" s="1030"/>
      <c r="Z409" s="1030"/>
    </row>
    <row r="410" spans="1:26" ht="12.75" customHeight="1">
      <c r="A410" s="1030"/>
      <c r="B410" s="1030"/>
      <c r="C410" s="1030"/>
      <c r="D410" s="1030"/>
      <c r="E410" s="1030"/>
      <c r="F410" s="1030"/>
      <c r="G410" s="1030"/>
      <c r="H410" s="1186"/>
      <c r="I410" s="1030"/>
      <c r="J410" s="1030"/>
      <c r="K410" s="1030"/>
      <c r="L410" s="1030"/>
      <c r="M410" s="1030"/>
      <c r="N410" s="1030"/>
      <c r="O410" s="1030"/>
      <c r="P410" s="1030"/>
      <c r="Q410" s="1030"/>
      <c r="R410" s="1030"/>
      <c r="S410" s="1030"/>
      <c r="T410" s="1030"/>
      <c r="U410" s="1030"/>
      <c r="V410" s="1030"/>
      <c r="W410" s="1030"/>
      <c r="X410" s="1030"/>
      <c r="Y410" s="1030"/>
      <c r="Z410" s="1030"/>
    </row>
    <row r="411" spans="1:26" ht="12.75" customHeight="1">
      <c r="A411" s="1030"/>
      <c r="B411" s="1030"/>
      <c r="C411" s="1030"/>
      <c r="D411" s="1030"/>
      <c r="E411" s="1030"/>
      <c r="F411" s="1030"/>
      <c r="G411" s="1030"/>
      <c r="H411" s="1186"/>
      <c r="I411" s="1030"/>
      <c r="J411" s="1030"/>
      <c r="K411" s="1030"/>
      <c r="L411" s="1030"/>
      <c r="M411" s="1030"/>
      <c r="N411" s="1030"/>
      <c r="O411" s="1030"/>
      <c r="P411" s="1030"/>
      <c r="Q411" s="1030"/>
      <c r="R411" s="1030"/>
      <c r="S411" s="1030"/>
      <c r="T411" s="1030"/>
      <c r="U411" s="1030"/>
      <c r="V411" s="1030"/>
      <c r="W411" s="1030"/>
      <c r="X411" s="1030"/>
      <c r="Y411" s="1030"/>
      <c r="Z411" s="1030"/>
    </row>
    <row r="412" spans="1:26" ht="12.75" customHeight="1">
      <c r="A412" s="1030"/>
      <c r="B412" s="1030"/>
      <c r="C412" s="1030"/>
      <c r="D412" s="1030"/>
      <c r="E412" s="1030"/>
      <c r="F412" s="1030"/>
      <c r="G412" s="1030"/>
      <c r="H412" s="1186"/>
      <c r="I412" s="1030"/>
      <c r="J412" s="1030"/>
      <c r="K412" s="1030"/>
      <c r="L412" s="1030"/>
      <c r="M412" s="1030"/>
      <c r="N412" s="1030"/>
      <c r="O412" s="1030"/>
      <c r="P412" s="1030"/>
      <c r="Q412" s="1030"/>
      <c r="R412" s="1030"/>
      <c r="S412" s="1030"/>
      <c r="T412" s="1030"/>
      <c r="U412" s="1030"/>
      <c r="V412" s="1030"/>
      <c r="W412" s="1030"/>
      <c r="X412" s="1030"/>
      <c r="Y412" s="1030"/>
      <c r="Z412" s="1030"/>
    </row>
    <row r="413" spans="1:26" ht="12.75" customHeight="1">
      <c r="A413" s="1030"/>
      <c r="B413" s="1030"/>
      <c r="C413" s="1030"/>
      <c r="D413" s="1030"/>
      <c r="E413" s="1030"/>
      <c r="F413" s="1030"/>
      <c r="G413" s="1030"/>
      <c r="H413" s="1186"/>
      <c r="I413" s="1030"/>
      <c r="J413" s="1030"/>
      <c r="K413" s="1030"/>
      <c r="L413" s="1030"/>
      <c r="M413" s="1030"/>
      <c r="N413" s="1030"/>
      <c r="O413" s="1030"/>
      <c r="P413" s="1030"/>
      <c r="Q413" s="1030"/>
      <c r="R413" s="1030"/>
      <c r="S413" s="1030"/>
      <c r="T413" s="1030"/>
      <c r="U413" s="1030"/>
      <c r="V413" s="1030"/>
      <c r="W413" s="1030"/>
      <c r="X413" s="1030"/>
      <c r="Y413" s="1030"/>
      <c r="Z413" s="1030"/>
    </row>
    <row r="414" spans="1:26" ht="12.75" customHeight="1">
      <c r="A414" s="1030"/>
      <c r="B414" s="1030"/>
      <c r="C414" s="1030"/>
      <c r="D414" s="1030"/>
      <c r="E414" s="1030"/>
      <c r="F414" s="1030"/>
      <c r="G414" s="1030"/>
      <c r="H414" s="1186"/>
      <c r="I414" s="1030"/>
      <c r="J414" s="1030"/>
      <c r="K414" s="1030"/>
      <c r="L414" s="1030"/>
      <c r="M414" s="1030"/>
      <c r="N414" s="1030"/>
      <c r="O414" s="1030"/>
      <c r="P414" s="1030"/>
      <c r="Q414" s="1030"/>
      <c r="R414" s="1030"/>
      <c r="S414" s="1030"/>
      <c r="T414" s="1030"/>
      <c r="U414" s="1030"/>
      <c r="V414" s="1030"/>
      <c r="W414" s="1030"/>
      <c r="X414" s="1030"/>
      <c r="Y414" s="1030"/>
      <c r="Z414" s="1030"/>
    </row>
    <row r="415" spans="1:26" ht="12.75" customHeight="1">
      <c r="A415" s="1030"/>
      <c r="B415" s="1030"/>
      <c r="C415" s="1030"/>
      <c r="D415" s="1030"/>
      <c r="E415" s="1030"/>
      <c r="F415" s="1030"/>
      <c r="G415" s="1030"/>
      <c r="H415" s="1186"/>
      <c r="I415" s="1030"/>
      <c r="J415" s="1030"/>
      <c r="K415" s="1030"/>
      <c r="L415" s="1030"/>
      <c r="M415" s="1030"/>
      <c r="N415" s="1030"/>
      <c r="O415" s="1030"/>
      <c r="P415" s="1030"/>
      <c r="Q415" s="1030"/>
      <c r="R415" s="1030"/>
      <c r="S415" s="1030"/>
      <c r="T415" s="1030"/>
      <c r="U415" s="1030"/>
      <c r="V415" s="1030"/>
      <c r="W415" s="1030"/>
      <c r="X415" s="1030"/>
      <c r="Y415" s="1030"/>
      <c r="Z415" s="1030"/>
    </row>
    <row r="416" spans="1:26" ht="12.75" customHeight="1">
      <c r="A416" s="1030"/>
      <c r="B416" s="1030"/>
      <c r="C416" s="1030"/>
      <c r="D416" s="1030"/>
      <c r="E416" s="1030"/>
      <c r="F416" s="1030"/>
      <c r="G416" s="1030"/>
      <c r="H416" s="1186"/>
      <c r="I416" s="1030"/>
      <c r="J416" s="1030"/>
      <c r="K416" s="1030"/>
      <c r="L416" s="1030"/>
      <c r="M416" s="1030"/>
      <c r="N416" s="1030"/>
      <c r="O416" s="1030"/>
      <c r="P416" s="1030"/>
      <c r="Q416" s="1030"/>
      <c r="R416" s="1030"/>
      <c r="S416" s="1030"/>
      <c r="T416" s="1030"/>
      <c r="U416" s="1030"/>
      <c r="V416" s="1030"/>
      <c r="W416" s="1030"/>
      <c r="X416" s="1030"/>
      <c r="Y416" s="1030"/>
      <c r="Z416" s="1030"/>
    </row>
    <row r="417" spans="1:26" ht="12.75" customHeight="1">
      <c r="A417" s="1030"/>
      <c r="B417" s="1030"/>
      <c r="C417" s="1030"/>
      <c r="D417" s="1030"/>
      <c r="E417" s="1030"/>
      <c r="F417" s="1030"/>
      <c r="G417" s="1030"/>
      <c r="H417" s="1186"/>
      <c r="I417" s="1030"/>
      <c r="J417" s="1030"/>
      <c r="K417" s="1030"/>
      <c r="L417" s="1030"/>
      <c r="M417" s="1030"/>
      <c r="N417" s="1030"/>
      <c r="O417" s="1030"/>
      <c r="P417" s="1030"/>
      <c r="Q417" s="1030"/>
      <c r="R417" s="1030"/>
      <c r="S417" s="1030"/>
      <c r="T417" s="1030"/>
      <c r="U417" s="1030"/>
      <c r="V417" s="1030"/>
      <c r="W417" s="1030"/>
      <c r="X417" s="1030"/>
      <c r="Y417" s="1030"/>
      <c r="Z417" s="1030"/>
    </row>
    <row r="418" spans="1:26" ht="12.75" customHeight="1">
      <c r="A418" s="1030"/>
      <c r="B418" s="1030"/>
      <c r="C418" s="1030"/>
      <c r="D418" s="1030"/>
      <c r="E418" s="1030"/>
      <c r="F418" s="1030"/>
      <c r="G418" s="1030"/>
      <c r="H418" s="1186"/>
      <c r="I418" s="1030"/>
      <c r="J418" s="1030"/>
      <c r="K418" s="1030"/>
      <c r="L418" s="1030"/>
      <c r="M418" s="1030"/>
      <c r="N418" s="1030"/>
      <c r="O418" s="1030"/>
      <c r="P418" s="1030"/>
      <c r="Q418" s="1030"/>
      <c r="R418" s="1030"/>
      <c r="S418" s="1030"/>
      <c r="T418" s="1030"/>
      <c r="U418" s="1030"/>
      <c r="V418" s="1030"/>
      <c r="W418" s="1030"/>
      <c r="X418" s="1030"/>
      <c r="Y418" s="1030"/>
      <c r="Z418" s="1030"/>
    </row>
    <row r="419" spans="1:26" ht="12.75" customHeight="1">
      <c r="A419" s="1030"/>
      <c r="B419" s="1030"/>
      <c r="C419" s="1030"/>
      <c r="D419" s="1030"/>
      <c r="E419" s="1030"/>
      <c r="F419" s="1030"/>
      <c r="G419" s="1030"/>
      <c r="H419" s="1186"/>
      <c r="I419" s="1030"/>
      <c r="J419" s="1030"/>
      <c r="K419" s="1030"/>
      <c r="L419" s="1030"/>
      <c r="M419" s="1030"/>
      <c r="N419" s="1030"/>
      <c r="O419" s="1030"/>
      <c r="P419" s="1030"/>
      <c r="Q419" s="1030"/>
      <c r="R419" s="1030"/>
      <c r="S419" s="1030"/>
      <c r="T419" s="1030"/>
      <c r="U419" s="1030"/>
      <c r="V419" s="1030"/>
      <c r="W419" s="1030"/>
      <c r="X419" s="1030"/>
      <c r="Y419" s="1030"/>
      <c r="Z419" s="1030"/>
    </row>
    <row r="420" spans="1:26" ht="12.75" customHeight="1">
      <c r="A420" s="1030"/>
      <c r="B420" s="1030"/>
      <c r="C420" s="1030"/>
      <c r="D420" s="1030"/>
      <c r="E420" s="1030"/>
      <c r="F420" s="1030"/>
      <c r="G420" s="1030"/>
      <c r="H420" s="1186"/>
      <c r="I420" s="1030"/>
      <c r="J420" s="1030"/>
      <c r="K420" s="1030"/>
      <c r="L420" s="1030"/>
      <c r="M420" s="1030"/>
      <c r="N420" s="1030"/>
      <c r="O420" s="1030"/>
      <c r="P420" s="1030"/>
      <c r="Q420" s="1030"/>
      <c r="R420" s="1030"/>
      <c r="S420" s="1030"/>
      <c r="T420" s="1030"/>
      <c r="U420" s="1030"/>
      <c r="V420" s="1030"/>
      <c r="W420" s="1030"/>
      <c r="X420" s="1030"/>
      <c r="Y420" s="1030"/>
      <c r="Z420" s="1030"/>
    </row>
    <row r="421" spans="1:26" ht="12.75" customHeight="1">
      <c r="A421" s="1030"/>
      <c r="B421" s="1030"/>
      <c r="C421" s="1030"/>
      <c r="D421" s="1030"/>
      <c r="E421" s="1030"/>
      <c r="F421" s="1030"/>
      <c r="G421" s="1030"/>
      <c r="H421" s="1186"/>
      <c r="I421" s="1030"/>
      <c r="J421" s="1030"/>
      <c r="K421" s="1030"/>
      <c r="L421" s="1030"/>
      <c r="M421" s="1030"/>
      <c r="N421" s="1030"/>
      <c r="O421" s="1030"/>
      <c r="P421" s="1030"/>
      <c r="Q421" s="1030"/>
      <c r="R421" s="1030"/>
      <c r="S421" s="1030"/>
      <c r="T421" s="1030"/>
      <c r="U421" s="1030"/>
      <c r="V421" s="1030"/>
      <c r="W421" s="1030"/>
      <c r="X421" s="1030"/>
      <c r="Y421" s="1030"/>
      <c r="Z421" s="1030"/>
    </row>
    <row r="422" spans="1:26" ht="12.75" customHeight="1">
      <c r="A422" s="1030"/>
      <c r="B422" s="1030"/>
      <c r="C422" s="1030"/>
      <c r="D422" s="1030"/>
      <c r="E422" s="1030"/>
      <c r="F422" s="1030"/>
      <c r="G422" s="1030"/>
      <c r="H422" s="1186"/>
      <c r="I422" s="1030"/>
      <c r="J422" s="1030"/>
      <c r="K422" s="1030"/>
      <c r="L422" s="1030"/>
      <c r="M422" s="1030"/>
      <c r="N422" s="1030"/>
      <c r="O422" s="1030"/>
      <c r="P422" s="1030"/>
      <c r="Q422" s="1030"/>
      <c r="R422" s="1030"/>
      <c r="S422" s="1030"/>
      <c r="T422" s="1030"/>
      <c r="U422" s="1030"/>
      <c r="V422" s="1030"/>
      <c r="W422" s="1030"/>
      <c r="X422" s="1030"/>
      <c r="Y422" s="1030"/>
      <c r="Z422" s="1030"/>
    </row>
    <row r="423" spans="1:26" ht="12.75" customHeight="1">
      <c r="A423" s="1030"/>
      <c r="B423" s="1030"/>
      <c r="C423" s="1030"/>
      <c r="D423" s="1030"/>
      <c r="E423" s="1030"/>
      <c r="F423" s="1030"/>
      <c r="G423" s="1030"/>
      <c r="H423" s="1186"/>
      <c r="I423" s="1030"/>
      <c r="J423" s="1030"/>
      <c r="K423" s="1030"/>
      <c r="L423" s="1030"/>
      <c r="M423" s="1030"/>
      <c r="N423" s="1030"/>
      <c r="O423" s="1030"/>
      <c r="P423" s="1030"/>
      <c r="Q423" s="1030"/>
      <c r="R423" s="1030"/>
      <c r="S423" s="1030"/>
      <c r="T423" s="1030"/>
      <c r="U423" s="1030"/>
      <c r="V423" s="1030"/>
      <c r="W423" s="1030"/>
      <c r="X423" s="1030"/>
      <c r="Y423" s="1030"/>
      <c r="Z423" s="1030"/>
    </row>
    <row r="424" spans="1:26" ht="12.75" customHeight="1">
      <c r="A424" s="1030"/>
      <c r="B424" s="1030"/>
      <c r="C424" s="1030"/>
      <c r="D424" s="1030"/>
      <c r="E424" s="1030"/>
      <c r="F424" s="1030"/>
      <c r="G424" s="1030"/>
      <c r="H424" s="1186"/>
      <c r="I424" s="1030"/>
      <c r="J424" s="1030"/>
      <c r="K424" s="1030"/>
      <c r="L424" s="1030"/>
      <c r="M424" s="1030"/>
      <c r="N424" s="1030"/>
      <c r="O424" s="1030"/>
      <c r="P424" s="1030"/>
      <c r="Q424" s="1030"/>
      <c r="R424" s="1030"/>
      <c r="S424" s="1030"/>
      <c r="T424" s="1030"/>
      <c r="U424" s="1030"/>
      <c r="V424" s="1030"/>
      <c r="W424" s="1030"/>
      <c r="X424" s="1030"/>
      <c r="Y424" s="1030"/>
      <c r="Z424" s="1030"/>
    </row>
    <row r="425" spans="1:26" ht="12.75" customHeight="1">
      <c r="A425" s="1030"/>
      <c r="B425" s="1030"/>
      <c r="C425" s="1030"/>
      <c r="D425" s="1030"/>
      <c r="E425" s="1030"/>
      <c r="F425" s="1030"/>
      <c r="G425" s="1030"/>
      <c r="H425" s="1186"/>
      <c r="I425" s="1030"/>
      <c r="J425" s="1030"/>
      <c r="K425" s="1030"/>
      <c r="L425" s="1030"/>
      <c r="M425" s="1030"/>
      <c r="N425" s="1030"/>
      <c r="O425" s="1030"/>
      <c r="P425" s="1030"/>
      <c r="Q425" s="1030"/>
      <c r="R425" s="1030"/>
      <c r="S425" s="1030"/>
      <c r="T425" s="1030"/>
      <c r="U425" s="1030"/>
      <c r="V425" s="1030"/>
      <c r="W425" s="1030"/>
      <c r="X425" s="1030"/>
      <c r="Y425" s="1030"/>
      <c r="Z425" s="1030"/>
    </row>
    <row r="426" spans="1:26" ht="12.75" customHeight="1">
      <c r="A426" s="1030"/>
      <c r="B426" s="1030"/>
      <c r="C426" s="1030"/>
      <c r="D426" s="1030"/>
      <c r="E426" s="1030"/>
      <c r="F426" s="1030"/>
      <c r="G426" s="1030"/>
      <c r="H426" s="1186"/>
      <c r="I426" s="1030"/>
      <c r="J426" s="1030"/>
      <c r="K426" s="1030"/>
      <c r="L426" s="1030"/>
      <c r="M426" s="1030"/>
      <c r="N426" s="1030"/>
      <c r="O426" s="1030"/>
      <c r="P426" s="1030"/>
      <c r="Q426" s="1030"/>
      <c r="R426" s="1030"/>
      <c r="S426" s="1030"/>
      <c r="T426" s="1030"/>
      <c r="U426" s="1030"/>
      <c r="V426" s="1030"/>
      <c r="W426" s="1030"/>
      <c r="X426" s="1030"/>
      <c r="Y426" s="1030"/>
      <c r="Z426" s="1030"/>
    </row>
    <row r="427" spans="1:26" ht="12.75" customHeight="1">
      <c r="A427" s="1030"/>
      <c r="B427" s="1030"/>
      <c r="C427" s="1030"/>
      <c r="D427" s="1030"/>
      <c r="E427" s="1030"/>
      <c r="F427" s="1030"/>
      <c r="G427" s="1030"/>
      <c r="H427" s="1186"/>
      <c r="I427" s="1030"/>
      <c r="J427" s="1030"/>
      <c r="K427" s="1030"/>
      <c r="L427" s="1030"/>
      <c r="M427" s="1030"/>
      <c r="N427" s="1030"/>
      <c r="O427" s="1030"/>
      <c r="P427" s="1030"/>
      <c r="Q427" s="1030"/>
      <c r="R427" s="1030"/>
      <c r="S427" s="1030"/>
      <c r="T427" s="1030"/>
      <c r="U427" s="1030"/>
      <c r="V427" s="1030"/>
      <c r="W427" s="1030"/>
      <c r="X427" s="1030"/>
      <c r="Y427" s="1030"/>
      <c r="Z427" s="1030"/>
    </row>
    <row r="428" spans="1:26" ht="12.75" customHeight="1">
      <c r="A428" s="1030"/>
      <c r="B428" s="1030"/>
      <c r="C428" s="1030"/>
      <c r="D428" s="1030"/>
      <c r="E428" s="1030"/>
      <c r="F428" s="1030"/>
      <c r="G428" s="1030"/>
      <c r="H428" s="1186"/>
      <c r="I428" s="1030"/>
      <c r="J428" s="1030"/>
      <c r="K428" s="1030"/>
      <c r="L428" s="1030"/>
      <c r="M428" s="1030"/>
      <c r="N428" s="1030"/>
      <c r="O428" s="1030"/>
      <c r="P428" s="1030"/>
      <c r="Q428" s="1030"/>
      <c r="R428" s="1030"/>
      <c r="S428" s="1030"/>
      <c r="T428" s="1030"/>
      <c r="U428" s="1030"/>
      <c r="V428" s="1030"/>
      <c r="W428" s="1030"/>
      <c r="X428" s="1030"/>
      <c r="Y428" s="1030"/>
      <c r="Z428" s="1030"/>
    </row>
    <row r="429" spans="1:26" ht="12.75" customHeight="1">
      <c r="A429" s="1030"/>
      <c r="B429" s="1030"/>
      <c r="C429" s="1030"/>
      <c r="D429" s="1030"/>
      <c r="E429" s="1030"/>
      <c r="F429" s="1030"/>
      <c r="G429" s="1030"/>
      <c r="H429" s="1186"/>
      <c r="I429" s="1030"/>
      <c r="J429" s="1030"/>
      <c r="K429" s="1030"/>
      <c r="L429" s="1030"/>
      <c r="M429" s="1030"/>
      <c r="N429" s="1030"/>
      <c r="O429" s="1030"/>
      <c r="P429" s="1030"/>
      <c r="Q429" s="1030"/>
      <c r="R429" s="1030"/>
      <c r="S429" s="1030"/>
      <c r="T429" s="1030"/>
      <c r="U429" s="1030"/>
      <c r="V429" s="1030"/>
      <c r="W429" s="1030"/>
      <c r="X429" s="1030"/>
      <c r="Y429" s="1030"/>
      <c r="Z429" s="1030"/>
    </row>
    <row r="430" spans="1:26" ht="12.75" customHeight="1">
      <c r="A430" s="1030"/>
      <c r="B430" s="1030"/>
      <c r="C430" s="1030"/>
      <c r="D430" s="1030"/>
      <c r="E430" s="1030"/>
      <c r="F430" s="1030"/>
      <c r="G430" s="1030"/>
      <c r="H430" s="1186"/>
      <c r="I430" s="1030"/>
      <c r="J430" s="1030"/>
      <c r="K430" s="1030"/>
      <c r="L430" s="1030"/>
      <c r="M430" s="1030"/>
      <c r="N430" s="1030"/>
      <c r="O430" s="1030"/>
      <c r="P430" s="1030"/>
      <c r="Q430" s="1030"/>
      <c r="R430" s="1030"/>
      <c r="S430" s="1030"/>
      <c r="T430" s="1030"/>
      <c r="U430" s="1030"/>
      <c r="V430" s="1030"/>
      <c r="W430" s="1030"/>
      <c r="X430" s="1030"/>
      <c r="Y430" s="1030"/>
      <c r="Z430" s="1030"/>
    </row>
    <row r="431" spans="1:26" ht="12.75" customHeight="1">
      <c r="A431" s="1030"/>
      <c r="B431" s="1030"/>
      <c r="C431" s="1030"/>
      <c r="D431" s="1030"/>
      <c r="E431" s="1030"/>
      <c r="F431" s="1030"/>
      <c r="G431" s="1030"/>
      <c r="H431" s="1186"/>
      <c r="I431" s="1030"/>
      <c r="J431" s="1030"/>
      <c r="K431" s="1030"/>
      <c r="L431" s="1030"/>
      <c r="M431" s="1030"/>
      <c r="N431" s="1030"/>
      <c r="O431" s="1030"/>
      <c r="P431" s="1030"/>
      <c r="Q431" s="1030"/>
      <c r="R431" s="1030"/>
      <c r="S431" s="1030"/>
      <c r="T431" s="1030"/>
      <c r="U431" s="1030"/>
      <c r="V431" s="1030"/>
      <c r="W431" s="1030"/>
      <c r="X431" s="1030"/>
      <c r="Y431" s="1030"/>
      <c r="Z431" s="1030"/>
    </row>
    <row r="432" spans="1:26" ht="12.75" customHeight="1">
      <c r="A432" s="1030"/>
      <c r="B432" s="1030"/>
      <c r="C432" s="1030"/>
      <c r="D432" s="1030"/>
      <c r="E432" s="1030"/>
      <c r="F432" s="1030"/>
      <c r="G432" s="1030"/>
      <c r="H432" s="1186"/>
      <c r="I432" s="1030"/>
      <c r="J432" s="1030"/>
      <c r="K432" s="1030"/>
      <c r="L432" s="1030"/>
      <c r="M432" s="1030"/>
      <c r="N432" s="1030"/>
      <c r="O432" s="1030"/>
      <c r="P432" s="1030"/>
      <c r="Q432" s="1030"/>
      <c r="R432" s="1030"/>
      <c r="S432" s="1030"/>
      <c r="T432" s="1030"/>
      <c r="U432" s="1030"/>
      <c r="V432" s="1030"/>
      <c r="W432" s="1030"/>
      <c r="X432" s="1030"/>
      <c r="Y432" s="1030"/>
      <c r="Z432" s="1030"/>
    </row>
    <row r="433" spans="1:26" ht="12.75" customHeight="1">
      <c r="A433" s="1030"/>
      <c r="B433" s="1030"/>
      <c r="C433" s="1030"/>
      <c r="D433" s="1030"/>
      <c r="E433" s="1030"/>
      <c r="F433" s="1030"/>
      <c r="G433" s="1030"/>
      <c r="H433" s="1186"/>
      <c r="I433" s="1030"/>
      <c r="J433" s="1030"/>
      <c r="K433" s="1030"/>
      <c r="L433" s="1030"/>
      <c r="M433" s="1030"/>
      <c r="N433" s="1030"/>
      <c r="O433" s="1030"/>
      <c r="P433" s="1030"/>
      <c r="Q433" s="1030"/>
      <c r="R433" s="1030"/>
      <c r="S433" s="1030"/>
      <c r="T433" s="1030"/>
      <c r="U433" s="1030"/>
      <c r="V433" s="1030"/>
      <c r="W433" s="1030"/>
      <c r="X433" s="1030"/>
      <c r="Y433" s="1030"/>
      <c r="Z433" s="1030"/>
    </row>
    <row r="434" spans="1:26" ht="12.75" customHeight="1">
      <c r="A434" s="1030"/>
      <c r="B434" s="1030"/>
      <c r="C434" s="1030"/>
      <c r="D434" s="1030"/>
      <c r="E434" s="1030"/>
      <c r="F434" s="1030"/>
      <c r="G434" s="1030"/>
      <c r="H434" s="1186"/>
      <c r="I434" s="1030"/>
      <c r="J434" s="1030"/>
      <c r="K434" s="1030"/>
      <c r="L434" s="1030"/>
      <c r="M434" s="1030"/>
      <c r="N434" s="1030"/>
      <c r="O434" s="1030"/>
      <c r="P434" s="1030"/>
      <c r="Q434" s="1030"/>
      <c r="R434" s="1030"/>
      <c r="S434" s="1030"/>
      <c r="T434" s="1030"/>
      <c r="U434" s="1030"/>
      <c r="V434" s="1030"/>
      <c r="W434" s="1030"/>
      <c r="X434" s="1030"/>
      <c r="Y434" s="1030"/>
      <c r="Z434" s="1030"/>
    </row>
    <row r="435" spans="1:26" ht="12.75" customHeight="1">
      <c r="A435" s="1030"/>
      <c r="B435" s="1030"/>
      <c r="C435" s="1030"/>
      <c r="D435" s="1030"/>
      <c r="E435" s="1030"/>
      <c r="F435" s="1030"/>
      <c r="G435" s="1030"/>
      <c r="H435" s="1186"/>
      <c r="I435" s="1030"/>
      <c r="J435" s="1030"/>
      <c r="K435" s="1030"/>
      <c r="L435" s="1030"/>
      <c r="M435" s="1030"/>
      <c r="N435" s="1030"/>
      <c r="O435" s="1030"/>
      <c r="P435" s="1030"/>
      <c r="Q435" s="1030"/>
      <c r="R435" s="1030"/>
      <c r="S435" s="1030"/>
      <c r="T435" s="1030"/>
      <c r="U435" s="1030"/>
      <c r="V435" s="1030"/>
      <c r="W435" s="1030"/>
      <c r="X435" s="1030"/>
      <c r="Y435" s="1030"/>
      <c r="Z435" s="1030"/>
    </row>
    <row r="436" spans="1:26" ht="12.75" customHeight="1">
      <c r="A436" s="1030"/>
      <c r="B436" s="1030"/>
      <c r="C436" s="1030"/>
      <c r="D436" s="1030"/>
      <c r="E436" s="1030"/>
      <c r="F436" s="1030"/>
      <c r="G436" s="1030"/>
      <c r="H436" s="1186"/>
      <c r="I436" s="1030"/>
      <c r="J436" s="1030"/>
      <c r="K436" s="1030"/>
      <c r="L436" s="1030"/>
      <c r="M436" s="1030"/>
      <c r="N436" s="1030"/>
      <c r="O436" s="1030"/>
      <c r="P436" s="1030"/>
      <c r="Q436" s="1030"/>
      <c r="R436" s="1030"/>
      <c r="S436" s="1030"/>
      <c r="T436" s="1030"/>
      <c r="U436" s="1030"/>
      <c r="V436" s="1030"/>
      <c r="W436" s="1030"/>
      <c r="X436" s="1030"/>
      <c r="Y436" s="1030"/>
      <c r="Z436" s="1030"/>
    </row>
    <row r="437" spans="1:26" ht="12.75" customHeight="1">
      <c r="A437" s="1030"/>
      <c r="B437" s="1030"/>
      <c r="C437" s="1030"/>
      <c r="D437" s="1030"/>
      <c r="E437" s="1030"/>
      <c r="F437" s="1030"/>
      <c r="G437" s="1030"/>
      <c r="H437" s="1186"/>
      <c r="I437" s="1030"/>
      <c r="J437" s="1030"/>
      <c r="K437" s="1030"/>
      <c r="L437" s="1030"/>
      <c r="M437" s="1030"/>
      <c r="N437" s="1030"/>
      <c r="O437" s="1030"/>
      <c r="P437" s="1030"/>
      <c r="Q437" s="1030"/>
      <c r="R437" s="1030"/>
      <c r="S437" s="1030"/>
      <c r="T437" s="1030"/>
      <c r="U437" s="1030"/>
      <c r="V437" s="1030"/>
      <c r="W437" s="1030"/>
      <c r="X437" s="1030"/>
      <c r="Y437" s="1030"/>
      <c r="Z437" s="1030"/>
    </row>
    <row r="438" spans="1:26" ht="12.75" customHeight="1">
      <c r="A438" s="1030"/>
      <c r="B438" s="1030"/>
      <c r="C438" s="1030"/>
      <c r="D438" s="1030"/>
      <c r="E438" s="1030"/>
      <c r="F438" s="1030"/>
      <c r="G438" s="1030"/>
      <c r="H438" s="1186"/>
      <c r="I438" s="1030"/>
      <c r="J438" s="1030"/>
      <c r="K438" s="1030"/>
      <c r="L438" s="1030"/>
      <c r="M438" s="1030"/>
      <c r="N438" s="1030"/>
      <c r="O438" s="1030"/>
      <c r="P438" s="1030"/>
      <c r="Q438" s="1030"/>
      <c r="R438" s="1030"/>
      <c r="S438" s="1030"/>
      <c r="T438" s="1030"/>
      <c r="U438" s="1030"/>
      <c r="V438" s="1030"/>
      <c r="W438" s="1030"/>
      <c r="X438" s="1030"/>
      <c r="Y438" s="1030"/>
      <c r="Z438" s="1030"/>
    </row>
    <row r="439" spans="1:26" ht="12.75" customHeight="1">
      <c r="A439" s="1030"/>
      <c r="B439" s="1030"/>
      <c r="C439" s="1030"/>
      <c r="D439" s="1030"/>
      <c r="E439" s="1030"/>
      <c r="F439" s="1030"/>
      <c r="G439" s="1030"/>
      <c r="H439" s="1186"/>
      <c r="I439" s="1030"/>
      <c r="J439" s="1030"/>
      <c r="K439" s="1030"/>
      <c r="L439" s="1030"/>
      <c r="M439" s="1030"/>
      <c r="N439" s="1030"/>
      <c r="O439" s="1030"/>
      <c r="P439" s="1030"/>
      <c r="Q439" s="1030"/>
      <c r="R439" s="1030"/>
      <c r="S439" s="1030"/>
      <c r="T439" s="1030"/>
      <c r="U439" s="1030"/>
      <c r="V439" s="1030"/>
      <c r="W439" s="1030"/>
      <c r="X439" s="1030"/>
      <c r="Y439" s="1030"/>
      <c r="Z439" s="1030"/>
    </row>
    <row r="440" spans="1:26" ht="12.75" customHeight="1">
      <c r="A440" s="1030"/>
      <c r="B440" s="1030"/>
      <c r="C440" s="1030"/>
      <c r="D440" s="1030"/>
      <c r="E440" s="1030"/>
      <c r="F440" s="1030"/>
      <c r="G440" s="1030"/>
      <c r="H440" s="1186"/>
      <c r="I440" s="1030"/>
      <c r="J440" s="1030"/>
      <c r="K440" s="1030"/>
      <c r="L440" s="1030"/>
      <c r="M440" s="1030"/>
      <c r="N440" s="1030"/>
      <c r="O440" s="1030"/>
      <c r="P440" s="1030"/>
      <c r="Q440" s="1030"/>
      <c r="R440" s="1030"/>
      <c r="S440" s="1030"/>
      <c r="T440" s="1030"/>
      <c r="U440" s="1030"/>
      <c r="V440" s="1030"/>
      <c r="W440" s="1030"/>
      <c r="X440" s="1030"/>
      <c r="Y440" s="1030"/>
      <c r="Z440" s="1030"/>
    </row>
    <row r="441" spans="1:26" ht="12.75" customHeight="1">
      <c r="A441" s="1030"/>
      <c r="B441" s="1030"/>
      <c r="C441" s="1030"/>
      <c r="D441" s="1030"/>
      <c r="E441" s="1030"/>
      <c r="F441" s="1030"/>
      <c r="G441" s="1030"/>
      <c r="H441" s="1186"/>
      <c r="I441" s="1030"/>
      <c r="J441" s="1030"/>
      <c r="K441" s="1030"/>
      <c r="L441" s="1030"/>
      <c r="M441" s="1030"/>
      <c r="N441" s="1030"/>
      <c r="O441" s="1030"/>
      <c r="P441" s="1030"/>
      <c r="Q441" s="1030"/>
      <c r="R441" s="1030"/>
      <c r="S441" s="1030"/>
      <c r="T441" s="1030"/>
      <c r="U441" s="1030"/>
      <c r="V441" s="1030"/>
      <c r="W441" s="1030"/>
      <c r="X441" s="1030"/>
      <c r="Y441" s="1030"/>
      <c r="Z441" s="1030"/>
    </row>
    <row r="442" spans="1:26" ht="12.75" customHeight="1">
      <c r="A442" s="1030"/>
      <c r="B442" s="1030"/>
      <c r="C442" s="1030"/>
      <c r="D442" s="1030"/>
      <c r="E442" s="1030"/>
      <c r="F442" s="1030"/>
      <c r="G442" s="1030"/>
      <c r="H442" s="1186"/>
      <c r="I442" s="1030"/>
      <c r="J442" s="1030"/>
      <c r="K442" s="1030"/>
      <c r="L442" s="1030"/>
      <c r="M442" s="1030"/>
      <c r="N442" s="1030"/>
      <c r="O442" s="1030"/>
      <c r="P442" s="1030"/>
      <c r="Q442" s="1030"/>
      <c r="R442" s="1030"/>
      <c r="S442" s="1030"/>
      <c r="T442" s="1030"/>
      <c r="U442" s="1030"/>
      <c r="V442" s="1030"/>
      <c r="W442" s="1030"/>
      <c r="X442" s="1030"/>
      <c r="Y442" s="1030"/>
      <c r="Z442" s="1030"/>
    </row>
    <row r="443" spans="1:26" ht="12.75" customHeight="1">
      <c r="A443" s="1030"/>
      <c r="B443" s="1030"/>
      <c r="C443" s="1030"/>
      <c r="D443" s="1030"/>
      <c r="E443" s="1030"/>
      <c r="F443" s="1030"/>
      <c r="G443" s="1030"/>
      <c r="H443" s="1186"/>
      <c r="I443" s="1030"/>
      <c r="J443" s="1030"/>
      <c r="K443" s="1030"/>
      <c r="L443" s="1030"/>
      <c r="M443" s="1030"/>
      <c r="N443" s="1030"/>
      <c r="O443" s="1030"/>
      <c r="P443" s="1030"/>
      <c r="Q443" s="1030"/>
      <c r="R443" s="1030"/>
      <c r="S443" s="1030"/>
      <c r="T443" s="1030"/>
      <c r="U443" s="1030"/>
      <c r="V443" s="1030"/>
      <c r="W443" s="1030"/>
      <c r="X443" s="1030"/>
      <c r="Y443" s="1030"/>
      <c r="Z443" s="1030"/>
    </row>
    <row r="444" spans="1:26" ht="12.75" customHeight="1">
      <c r="A444" s="1030"/>
      <c r="B444" s="1030"/>
      <c r="C444" s="1030"/>
      <c r="D444" s="1030"/>
      <c r="E444" s="1030"/>
      <c r="F444" s="1030"/>
      <c r="G444" s="1030"/>
      <c r="H444" s="1186"/>
      <c r="I444" s="1030"/>
      <c r="J444" s="1030"/>
      <c r="K444" s="1030"/>
      <c r="L444" s="1030"/>
      <c r="M444" s="1030"/>
      <c r="N444" s="1030"/>
      <c r="O444" s="1030"/>
      <c r="P444" s="1030"/>
      <c r="Q444" s="1030"/>
      <c r="R444" s="1030"/>
      <c r="S444" s="1030"/>
      <c r="T444" s="1030"/>
      <c r="U444" s="1030"/>
      <c r="V444" s="1030"/>
      <c r="W444" s="1030"/>
      <c r="X444" s="1030"/>
      <c r="Y444" s="1030"/>
      <c r="Z444" s="1030"/>
    </row>
    <row r="445" spans="1:26" ht="12.75" customHeight="1">
      <c r="A445" s="1030"/>
      <c r="B445" s="1030"/>
      <c r="C445" s="1030"/>
      <c r="D445" s="1030"/>
      <c r="E445" s="1030"/>
      <c r="F445" s="1030"/>
      <c r="G445" s="1030"/>
      <c r="H445" s="1186"/>
      <c r="I445" s="1030"/>
      <c r="J445" s="1030"/>
      <c r="K445" s="1030"/>
      <c r="L445" s="1030"/>
      <c r="M445" s="1030"/>
      <c r="N445" s="1030"/>
      <c r="O445" s="1030"/>
      <c r="P445" s="1030"/>
      <c r="Q445" s="1030"/>
      <c r="R445" s="1030"/>
      <c r="S445" s="1030"/>
      <c r="T445" s="1030"/>
      <c r="U445" s="1030"/>
      <c r="V445" s="1030"/>
      <c r="W445" s="1030"/>
      <c r="X445" s="1030"/>
      <c r="Y445" s="1030"/>
      <c r="Z445" s="1030"/>
    </row>
    <row r="446" spans="1:26" ht="12.75" customHeight="1">
      <c r="A446" s="1030"/>
      <c r="B446" s="1030"/>
      <c r="C446" s="1030"/>
      <c r="D446" s="1030"/>
      <c r="E446" s="1030"/>
      <c r="F446" s="1030"/>
      <c r="G446" s="1030"/>
      <c r="H446" s="1186"/>
      <c r="I446" s="1030"/>
      <c r="J446" s="1030"/>
      <c r="K446" s="1030"/>
      <c r="L446" s="1030"/>
      <c r="M446" s="1030"/>
      <c r="N446" s="1030"/>
      <c r="O446" s="1030"/>
      <c r="P446" s="1030"/>
      <c r="Q446" s="1030"/>
      <c r="R446" s="1030"/>
      <c r="S446" s="1030"/>
      <c r="T446" s="1030"/>
      <c r="U446" s="1030"/>
      <c r="V446" s="1030"/>
      <c r="W446" s="1030"/>
      <c r="X446" s="1030"/>
      <c r="Y446" s="1030"/>
      <c r="Z446" s="1030"/>
    </row>
    <row r="447" spans="1:26" ht="12.75" customHeight="1">
      <c r="A447" s="1030"/>
      <c r="B447" s="1030"/>
      <c r="C447" s="1030"/>
      <c r="D447" s="1030"/>
      <c r="E447" s="1030"/>
      <c r="F447" s="1030"/>
      <c r="G447" s="1030"/>
      <c r="H447" s="1186"/>
      <c r="I447" s="1030"/>
      <c r="J447" s="1030"/>
      <c r="K447" s="1030"/>
      <c r="L447" s="1030"/>
      <c r="M447" s="1030"/>
      <c r="N447" s="1030"/>
      <c r="O447" s="1030"/>
      <c r="P447" s="1030"/>
      <c r="Q447" s="1030"/>
      <c r="R447" s="1030"/>
      <c r="S447" s="1030"/>
      <c r="T447" s="1030"/>
      <c r="U447" s="1030"/>
      <c r="V447" s="1030"/>
      <c r="W447" s="1030"/>
      <c r="X447" s="1030"/>
      <c r="Y447" s="1030"/>
      <c r="Z447" s="1030"/>
    </row>
    <row r="448" spans="1:26" ht="12.75" customHeight="1">
      <c r="A448" s="1030"/>
      <c r="B448" s="1030"/>
      <c r="C448" s="1030"/>
      <c r="D448" s="1030"/>
      <c r="E448" s="1030"/>
      <c r="F448" s="1030"/>
      <c r="G448" s="1030"/>
      <c r="H448" s="1186"/>
      <c r="I448" s="1030"/>
      <c r="J448" s="1030"/>
      <c r="K448" s="1030"/>
      <c r="L448" s="1030"/>
      <c r="M448" s="1030"/>
      <c r="N448" s="1030"/>
      <c r="O448" s="1030"/>
      <c r="P448" s="1030"/>
      <c r="Q448" s="1030"/>
      <c r="R448" s="1030"/>
      <c r="S448" s="1030"/>
      <c r="T448" s="1030"/>
      <c r="U448" s="1030"/>
      <c r="V448" s="1030"/>
      <c r="W448" s="1030"/>
      <c r="X448" s="1030"/>
      <c r="Y448" s="1030"/>
      <c r="Z448" s="1030"/>
    </row>
    <row r="449" spans="1:26" ht="12.75" customHeight="1">
      <c r="A449" s="1030"/>
      <c r="B449" s="1030"/>
      <c r="C449" s="1030"/>
      <c r="D449" s="1030"/>
      <c r="E449" s="1030"/>
      <c r="F449" s="1030"/>
      <c r="G449" s="1030"/>
      <c r="H449" s="1186"/>
      <c r="I449" s="1030"/>
      <c r="J449" s="1030"/>
      <c r="K449" s="1030"/>
      <c r="L449" s="1030"/>
      <c r="M449" s="1030"/>
      <c r="N449" s="1030"/>
      <c r="O449" s="1030"/>
      <c r="P449" s="1030"/>
      <c r="Q449" s="1030"/>
      <c r="R449" s="1030"/>
      <c r="S449" s="1030"/>
      <c r="T449" s="1030"/>
      <c r="U449" s="1030"/>
      <c r="V449" s="1030"/>
      <c r="W449" s="1030"/>
      <c r="X449" s="1030"/>
      <c r="Y449" s="1030"/>
      <c r="Z449" s="1030"/>
    </row>
    <row r="450" spans="1:26" ht="12.75" customHeight="1">
      <c r="A450" s="1030"/>
      <c r="B450" s="1030"/>
      <c r="C450" s="1030"/>
      <c r="D450" s="1030"/>
      <c r="E450" s="1030"/>
      <c r="F450" s="1030"/>
      <c r="G450" s="1030"/>
      <c r="H450" s="1186"/>
      <c r="I450" s="1030"/>
      <c r="J450" s="1030"/>
      <c r="K450" s="1030"/>
      <c r="L450" s="1030"/>
      <c r="M450" s="1030"/>
      <c r="N450" s="1030"/>
      <c r="O450" s="1030"/>
      <c r="P450" s="1030"/>
      <c r="Q450" s="1030"/>
      <c r="R450" s="1030"/>
      <c r="S450" s="1030"/>
      <c r="T450" s="1030"/>
      <c r="U450" s="1030"/>
      <c r="V450" s="1030"/>
      <c r="W450" s="1030"/>
      <c r="X450" s="1030"/>
      <c r="Y450" s="1030"/>
      <c r="Z450" s="1030"/>
    </row>
    <row r="451" spans="1:26" ht="12.75" customHeight="1">
      <c r="A451" s="1030"/>
      <c r="B451" s="1030"/>
      <c r="C451" s="1030"/>
      <c r="D451" s="1030"/>
      <c r="E451" s="1030"/>
      <c r="F451" s="1030"/>
      <c r="G451" s="1030"/>
      <c r="H451" s="1186"/>
      <c r="I451" s="1030"/>
      <c r="J451" s="1030"/>
      <c r="K451" s="1030"/>
      <c r="L451" s="1030"/>
      <c r="M451" s="1030"/>
      <c r="N451" s="1030"/>
      <c r="O451" s="1030"/>
      <c r="P451" s="1030"/>
      <c r="Q451" s="1030"/>
      <c r="R451" s="1030"/>
      <c r="S451" s="1030"/>
      <c r="T451" s="1030"/>
      <c r="U451" s="1030"/>
      <c r="V451" s="1030"/>
      <c r="W451" s="1030"/>
      <c r="X451" s="1030"/>
      <c r="Y451" s="1030"/>
      <c r="Z451" s="1030"/>
    </row>
    <row r="452" spans="1:26" ht="12.75" customHeight="1">
      <c r="A452" s="1030"/>
      <c r="B452" s="1030"/>
      <c r="C452" s="1030"/>
      <c r="D452" s="1030"/>
      <c r="E452" s="1030"/>
      <c r="F452" s="1030"/>
      <c r="G452" s="1030"/>
      <c r="H452" s="1186"/>
      <c r="I452" s="1030"/>
      <c r="J452" s="1030"/>
      <c r="K452" s="1030"/>
      <c r="L452" s="1030"/>
      <c r="M452" s="1030"/>
      <c r="N452" s="1030"/>
      <c r="O452" s="1030"/>
      <c r="P452" s="1030"/>
      <c r="Q452" s="1030"/>
      <c r="R452" s="1030"/>
      <c r="S452" s="1030"/>
      <c r="T452" s="1030"/>
      <c r="U452" s="1030"/>
      <c r="V452" s="1030"/>
      <c r="W452" s="1030"/>
      <c r="X452" s="1030"/>
      <c r="Y452" s="1030"/>
      <c r="Z452" s="1030"/>
    </row>
    <row r="453" spans="1:26" ht="12.75" customHeight="1">
      <c r="A453" s="1030"/>
      <c r="B453" s="1030"/>
      <c r="C453" s="1030"/>
      <c r="D453" s="1030"/>
      <c r="E453" s="1030"/>
      <c r="F453" s="1030"/>
      <c r="G453" s="1030"/>
      <c r="H453" s="1186"/>
      <c r="I453" s="1030"/>
      <c r="J453" s="1030"/>
      <c r="K453" s="1030"/>
      <c r="L453" s="1030"/>
      <c r="M453" s="1030"/>
      <c r="N453" s="1030"/>
      <c r="O453" s="1030"/>
      <c r="P453" s="1030"/>
      <c r="Q453" s="1030"/>
      <c r="R453" s="1030"/>
      <c r="S453" s="1030"/>
      <c r="T453" s="1030"/>
      <c r="U453" s="1030"/>
      <c r="V453" s="1030"/>
      <c r="W453" s="1030"/>
      <c r="X453" s="1030"/>
      <c r="Y453" s="1030"/>
      <c r="Z453" s="1030"/>
    </row>
    <row r="454" spans="1:26" ht="12.75" customHeight="1">
      <c r="A454" s="1030"/>
      <c r="B454" s="1030"/>
      <c r="C454" s="1030"/>
      <c r="D454" s="1030"/>
      <c r="E454" s="1030"/>
      <c r="F454" s="1030"/>
      <c r="G454" s="1030"/>
      <c r="H454" s="1186"/>
      <c r="I454" s="1030"/>
      <c r="J454" s="1030"/>
      <c r="K454" s="1030"/>
      <c r="L454" s="1030"/>
      <c r="M454" s="1030"/>
      <c r="N454" s="1030"/>
      <c r="O454" s="1030"/>
      <c r="P454" s="1030"/>
      <c r="Q454" s="1030"/>
      <c r="R454" s="1030"/>
      <c r="S454" s="1030"/>
      <c r="T454" s="1030"/>
      <c r="U454" s="1030"/>
      <c r="V454" s="1030"/>
      <c r="W454" s="1030"/>
      <c r="X454" s="1030"/>
      <c r="Y454" s="1030"/>
      <c r="Z454" s="1030"/>
    </row>
    <row r="455" spans="1:26" ht="12.75" customHeight="1">
      <c r="A455" s="1030"/>
      <c r="B455" s="1030"/>
      <c r="C455" s="1030"/>
      <c r="D455" s="1030"/>
      <c r="E455" s="1030"/>
      <c r="F455" s="1030"/>
      <c r="G455" s="1030"/>
      <c r="H455" s="1186"/>
      <c r="I455" s="1030"/>
      <c r="J455" s="1030"/>
      <c r="K455" s="1030"/>
      <c r="L455" s="1030"/>
      <c r="M455" s="1030"/>
      <c r="N455" s="1030"/>
      <c r="O455" s="1030"/>
      <c r="P455" s="1030"/>
      <c r="Q455" s="1030"/>
      <c r="R455" s="1030"/>
      <c r="S455" s="1030"/>
      <c r="T455" s="1030"/>
      <c r="U455" s="1030"/>
      <c r="V455" s="1030"/>
      <c r="W455" s="1030"/>
      <c r="X455" s="1030"/>
      <c r="Y455" s="1030"/>
      <c r="Z455" s="1030"/>
    </row>
    <row r="456" spans="1:26" ht="12.75" customHeight="1">
      <c r="A456" s="1030"/>
      <c r="B456" s="1030"/>
      <c r="C456" s="1030"/>
      <c r="D456" s="1030"/>
      <c r="E456" s="1030"/>
      <c r="F456" s="1030"/>
      <c r="G456" s="1030"/>
      <c r="H456" s="1186"/>
      <c r="I456" s="1030"/>
      <c r="J456" s="1030"/>
      <c r="K456" s="1030"/>
      <c r="L456" s="1030"/>
      <c r="M456" s="1030"/>
      <c r="N456" s="1030"/>
      <c r="O456" s="1030"/>
      <c r="P456" s="1030"/>
      <c r="Q456" s="1030"/>
      <c r="R456" s="1030"/>
      <c r="S456" s="1030"/>
      <c r="T456" s="1030"/>
      <c r="U456" s="1030"/>
      <c r="V456" s="1030"/>
      <c r="W456" s="1030"/>
      <c r="X456" s="1030"/>
      <c r="Y456" s="1030"/>
      <c r="Z456" s="1030"/>
    </row>
    <row r="457" spans="1:26" ht="12.75" customHeight="1">
      <c r="A457" s="1030"/>
      <c r="B457" s="1030"/>
      <c r="C457" s="1030"/>
      <c r="D457" s="1030"/>
      <c r="E457" s="1030"/>
      <c r="F457" s="1030"/>
      <c r="G457" s="1030"/>
      <c r="H457" s="1186"/>
      <c r="I457" s="1030"/>
      <c r="J457" s="1030"/>
      <c r="K457" s="1030"/>
      <c r="L457" s="1030"/>
      <c r="M457" s="1030"/>
      <c r="N457" s="1030"/>
      <c r="O457" s="1030"/>
      <c r="P457" s="1030"/>
      <c r="Q457" s="1030"/>
      <c r="R457" s="1030"/>
      <c r="S457" s="1030"/>
      <c r="T457" s="1030"/>
      <c r="U457" s="1030"/>
      <c r="V457" s="1030"/>
      <c r="W457" s="1030"/>
      <c r="X457" s="1030"/>
      <c r="Y457" s="1030"/>
      <c r="Z457" s="1030"/>
    </row>
    <row r="458" spans="1:26" ht="12.75" customHeight="1">
      <c r="A458" s="1030"/>
      <c r="B458" s="1030"/>
      <c r="C458" s="1030"/>
      <c r="D458" s="1030"/>
      <c r="E458" s="1030"/>
      <c r="F458" s="1030"/>
      <c r="G458" s="1030"/>
      <c r="H458" s="1186"/>
      <c r="I458" s="1030"/>
      <c r="J458" s="1030"/>
      <c r="K458" s="1030"/>
      <c r="L458" s="1030"/>
      <c r="M458" s="1030"/>
      <c r="N458" s="1030"/>
      <c r="O458" s="1030"/>
      <c r="P458" s="1030"/>
      <c r="Q458" s="1030"/>
      <c r="R458" s="1030"/>
      <c r="S458" s="1030"/>
      <c r="T458" s="1030"/>
      <c r="U458" s="1030"/>
      <c r="V458" s="1030"/>
      <c r="W458" s="1030"/>
      <c r="X458" s="1030"/>
      <c r="Y458" s="1030"/>
      <c r="Z458" s="1030"/>
    </row>
    <row r="459" spans="1:26" ht="12.75" customHeight="1">
      <c r="A459" s="1030"/>
      <c r="B459" s="1030"/>
      <c r="C459" s="1030"/>
      <c r="D459" s="1030"/>
      <c r="E459" s="1030"/>
      <c r="F459" s="1030"/>
      <c r="G459" s="1030"/>
      <c r="H459" s="1186"/>
      <c r="I459" s="1030"/>
      <c r="J459" s="1030"/>
      <c r="K459" s="1030"/>
      <c r="L459" s="1030"/>
      <c r="M459" s="1030"/>
      <c r="N459" s="1030"/>
      <c r="O459" s="1030"/>
      <c r="P459" s="1030"/>
      <c r="Q459" s="1030"/>
      <c r="R459" s="1030"/>
      <c r="S459" s="1030"/>
      <c r="T459" s="1030"/>
      <c r="U459" s="1030"/>
      <c r="V459" s="1030"/>
      <c r="W459" s="1030"/>
      <c r="X459" s="1030"/>
      <c r="Y459" s="1030"/>
      <c r="Z459" s="1030"/>
    </row>
    <row r="460" spans="1:26" ht="12.75" customHeight="1">
      <c r="A460" s="1030"/>
      <c r="B460" s="1030"/>
      <c r="C460" s="1030"/>
      <c r="D460" s="1030"/>
      <c r="E460" s="1030"/>
      <c r="F460" s="1030"/>
      <c r="G460" s="1030"/>
      <c r="H460" s="1186"/>
      <c r="I460" s="1030"/>
      <c r="J460" s="1030"/>
      <c r="K460" s="1030"/>
      <c r="L460" s="1030"/>
      <c r="M460" s="1030"/>
      <c r="N460" s="1030"/>
      <c r="O460" s="1030"/>
      <c r="P460" s="1030"/>
      <c r="Q460" s="1030"/>
      <c r="R460" s="1030"/>
      <c r="S460" s="1030"/>
      <c r="T460" s="1030"/>
      <c r="U460" s="1030"/>
      <c r="V460" s="1030"/>
      <c r="W460" s="1030"/>
      <c r="X460" s="1030"/>
      <c r="Y460" s="1030"/>
      <c r="Z460" s="1030"/>
    </row>
    <row r="461" spans="1:26" ht="12.75" customHeight="1">
      <c r="A461" s="1030"/>
      <c r="B461" s="1030"/>
      <c r="C461" s="1030"/>
      <c r="D461" s="1030"/>
      <c r="E461" s="1030"/>
      <c r="F461" s="1030"/>
      <c r="G461" s="1030"/>
      <c r="H461" s="1186"/>
      <c r="I461" s="1030"/>
      <c r="J461" s="1030"/>
      <c r="K461" s="1030"/>
      <c r="L461" s="1030"/>
      <c r="M461" s="1030"/>
      <c r="N461" s="1030"/>
      <c r="O461" s="1030"/>
      <c r="P461" s="1030"/>
      <c r="Q461" s="1030"/>
      <c r="R461" s="1030"/>
      <c r="S461" s="1030"/>
      <c r="T461" s="1030"/>
      <c r="U461" s="1030"/>
      <c r="V461" s="1030"/>
      <c r="W461" s="1030"/>
      <c r="X461" s="1030"/>
      <c r="Y461" s="1030"/>
      <c r="Z461" s="1030"/>
    </row>
    <row r="462" spans="1:26" ht="12.75" customHeight="1">
      <c r="A462" s="1030"/>
      <c r="B462" s="1030"/>
      <c r="C462" s="1030"/>
      <c r="D462" s="1030"/>
      <c r="E462" s="1030"/>
      <c r="F462" s="1030"/>
      <c r="G462" s="1030"/>
      <c r="H462" s="1186"/>
      <c r="I462" s="1030"/>
      <c r="J462" s="1030"/>
      <c r="K462" s="1030"/>
      <c r="L462" s="1030"/>
      <c r="M462" s="1030"/>
      <c r="N462" s="1030"/>
      <c r="O462" s="1030"/>
      <c r="P462" s="1030"/>
      <c r="Q462" s="1030"/>
      <c r="R462" s="1030"/>
      <c r="S462" s="1030"/>
      <c r="T462" s="1030"/>
      <c r="U462" s="1030"/>
      <c r="V462" s="1030"/>
      <c r="W462" s="1030"/>
      <c r="X462" s="1030"/>
      <c r="Y462" s="1030"/>
      <c r="Z462" s="1030"/>
    </row>
    <row r="463" spans="1:26" ht="12.75" customHeight="1">
      <c r="A463" s="1030"/>
      <c r="B463" s="1030"/>
      <c r="C463" s="1030"/>
      <c r="D463" s="1030"/>
      <c r="E463" s="1030"/>
      <c r="F463" s="1030"/>
      <c r="G463" s="1030"/>
      <c r="H463" s="1186"/>
      <c r="I463" s="1030"/>
      <c r="J463" s="1030"/>
      <c r="K463" s="1030"/>
      <c r="L463" s="1030"/>
      <c r="M463" s="1030"/>
      <c r="N463" s="1030"/>
      <c r="O463" s="1030"/>
      <c r="P463" s="1030"/>
      <c r="Q463" s="1030"/>
      <c r="R463" s="1030"/>
      <c r="S463" s="1030"/>
      <c r="T463" s="1030"/>
      <c r="U463" s="1030"/>
      <c r="V463" s="1030"/>
      <c r="W463" s="1030"/>
      <c r="X463" s="1030"/>
      <c r="Y463" s="1030"/>
      <c r="Z463" s="1030"/>
    </row>
    <row r="464" spans="1:26" ht="12.75" customHeight="1">
      <c r="A464" s="1030"/>
      <c r="B464" s="1030"/>
      <c r="C464" s="1030"/>
      <c r="D464" s="1030"/>
      <c r="E464" s="1030"/>
      <c r="F464" s="1030"/>
      <c r="G464" s="1030"/>
      <c r="H464" s="1186"/>
      <c r="I464" s="1030"/>
      <c r="J464" s="1030"/>
      <c r="K464" s="1030"/>
      <c r="L464" s="1030"/>
      <c r="M464" s="1030"/>
      <c r="N464" s="1030"/>
      <c r="O464" s="1030"/>
      <c r="P464" s="1030"/>
      <c r="Q464" s="1030"/>
      <c r="R464" s="1030"/>
      <c r="S464" s="1030"/>
      <c r="T464" s="1030"/>
      <c r="U464" s="1030"/>
      <c r="V464" s="1030"/>
      <c r="W464" s="1030"/>
      <c r="X464" s="1030"/>
      <c r="Y464" s="1030"/>
      <c r="Z464" s="1030"/>
    </row>
    <row r="465" spans="1:26" ht="12.75" customHeight="1">
      <c r="A465" s="1030"/>
      <c r="B465" s="1030"/>
      <c r="C465" s="1030"/>
      <c r="D465" s="1030"/>
      <c r="E465" s="1030"/>
      <c r="F465" s="1030"/>
      <c r="G465" s="1030"/>
      <c r="H465" s="1186"/>
      <c r="I465" s="1030"/>
      <c r="J465" s="1030"/>
      <c r="K465" s="1030"/>
      <c r="L465" s="1030"/>
      <c r="M465" s="1030"/>
      <c r="N465" s="1030"/>
      <c r="O465" s="1030"/>
      <c r="P465" s="1030"/>
      <c r="Q465" s="1030"/>
      <c r="R465" s="1030"/>
      <c r="S465" s="1030"/>
      <c r="T465" s="1030"/>
      <c r="U465" s="1030"/>
      <c r="V465" s="1030"/>
      <c r="W465" s="1030"/>
      <c r="X465" s="1030"/>
      <c r="Y465" s="1030"/>
      <c r="Z465" s="1030"/>
    </row>
    <row r="466" spans="1:26" ht="12.75" customHeight="1">
      <c r="A466" s="1030"/>
      <c r="B466" s="1030"/>
      <c r="C466" s="1030"/>
      <c r="D466" s="1030"/>
      <c r="E466" s="1030"/>
      <c r="F466" s="1030"/>
      <c r="G466" s="1030"/>
      <c r="H466" s="1186"/>
      <c r="I466" s="1030"/>
      <c r="J466" s="1030"/>
      <c r="K466" s="1030"/>
      <c r="L466" s="1030"/>
      <c r="M466" s="1030"/>
      <c r="N466" s="1030"/>
      <c r="O466" s="1030"/>
      <c r="P466" s="1030"/>
      <c r="Q466" s="1030"/>
      <c r="R466" s="1030"/>
      <c r="S466" s="1030"/>
      <c r="T466" s="1030"/>
      <c r="U466" s="1030"/>
      <c r="V466" s="1030"/>
      <c r="W466" s="1030"/>
      <c r="X466" s="1030"/>
      <c r="Y466" s="1030"/>
      <c r="Z466" s="1030"/>
    </row>
    <row r="467" spans="1:26" ht="12.75" customHeight="1">
      <c r="A467" s="1030"/>
      <c r="B467" s="1030"/>
      <c r="C467" s="1030"/>
      <c r="D467" s="1030"/>
      <c r="E467" s="1030"/>
      <c r="F467" s="1030"/>
      <c r="G467" s="1030"/>
      <c r="H467" s="1186"/>
      <c r="I467" s="1030"/>
      <c r="J467" s="1030"/>
      <c r="K467" s="1030"/>
      <c r="L467" s="1030"/>
      <c r="M467" s="1030"/>
      <c r="N467" s="1030"/>
      <c r="O467" s="1030"/>
      <c r="P467" s="1030"/>
      <c r="Q467" s="1030"/>
      <c r="R467" s="1030"/>
      <c r="S467" s="1030"/>
      <c r="T467" s="1030"/>
      <c r="U467" s="1030"/>
      <c r="V467" s="1030"/>
      <c r="W467" s="1030"/>
      <c r="X467" s="1030"/>
      <c r="Y467" s="1030"/>
      <c r="Z467" s="1030"/>
    </row>
    <row r="468" spans="1:26" ht="12.75" customHeight="1">
      <c r="A468" s="1030"/>
      <c r="B468" s="1030"/>
      <c r="C468" s="1030"/>
      <c r="D468" s="1030"/>
      <c r="E468" s="1030"/>
      <c r="F468" s="1030"/>
      <c r="G468" s="1030"/>
      <c r="H468" s="1186"/>
      <c r="I468" s="1030"/>
      <c r="J468" s="1030"/>
      <c r="K468" s="1030"/>
      <c r="L468" s="1030"/>
      <c r="M468" s="1030"/>
      <c r="N468" s="1030"/>
      <c r="O468" s="1030"/>
      <c r="P468" s="1030"/>
      <c r="Q468" s="1030"/>
      <c r="R468" s="1030"/>
      <c r="S468" s="1030"/>
      <c r="T468" s="1030"/>
      <c r="U468" s="1030"/>
      <c r="V468" s="1030"/>
      <c r="W468" s="1030"/>
      <c r="X468" s="1030"/>
      <c r="Y468" s="1030"/>
      <c r="Z468" s="1030"/>
    </row>
    <row r="469" spans="1:26" ht="12.75" customHeight="1">
      <c r="A469" s="1030"/>
      <c r="B469" s="1030"/>
      <c r="C469" s="1030"/>
      <c r="D469" s="1030"/>
      <c r="E469" s="1030"/>
      <c r="F469" s="1030"/>
      <c r="G469" s="1030"/>
      <c r="H469" s="1186"/>
      <c r="I469" s="1030"/>
      <c r="J469" s="1030"/>
      <c r="K469" s="1030"/>
      <c r="L469" s="1030"/>
      <c r="M469" s="1030"/>
      <c r="N469" s="1030"/>
      <c r="O469" s="1030"/>
      <c r="P469" s="1030"/>
      <c r="Q469" s="1030"/>
      <c r="R469" s="1030"/>
      <c r="S469" s="1030"/>
      <c r="T469" s="1030"/>
      <c r="U469" s="1030"/>
      <c r="V469" s="1030"/>
      <c r="W469" s="1030"/>
      <c r="X469" s="1030"/>
      <c r="Y469" s="1030"/>
      <c r="Z469" s="1030"/>
    </row>
    <row r="470" spans="1:26" ht="12.75" customHeight="1">
      <c r="A470" s="1030"/>
      <c r="B470" s="1030"/>
      <c r="C470" s="1030"/>
      <c r="D470" s="1030"/>
      <c r="E470" s="1030"/>
      <c r="F470" s="1030"/>
      <c r="G470" s="1030"/>
      <c r="H470" s="1186"/>
      <c r="I470" s="1030"/>
      <c r="J470" s="1030"/>
      <c r="K470" s="1030"/>
      <c r="L470" s="1030"/>
      <c r="M470" s="1030"/>
      <c r="N470" s="1030"/>
      <c r="O470" s="1030"/>
      <c r="P470" s="1030"/>
      <c r="Q470" s="1030"/>
      <c r="R470" s="1030"/>
      <c r="S470" s="1030"/>
      <c r="T470" s="1030"/>
      <c r="U470" s="1030"/>
      <c r="V470" s="1030"/>
      <c r="W470" s="1030"/>
      <c r="X470" s="1030"/>
      <c r="Y470" s="1030"/>
      <c r="Z470" s="1030"/>
    </row>
    <row r="471" spans="1:26" ht="12.75" customHeight="1">
      <c r="A471" s="1030"/>
      <c r="B471" s="1030"/>
      <c r="C471" s="1030"/>
      <c r="D471" s="1030"/>
      <c r="E471" s="1030"/>
      <c r="F471" s="1030"/>
      <c r="G471" s="1030"/>
      <c r="H471" s="1186"/>
      <c r="I471" s="1030"/>
      <c r="J471" s="1030"/>
      <c r="K471" s="1030"/>
      <c r="L471" s="1030"/>
      <c r="M471" s="1030"/>
      <c r="N471" s="1030"/>
      <c r="O471" s="1030"/>
      <c r="P471" s="1030"/>
      <c r="Q471" s="1030"/>
      <c r="R471" s="1030"/>
      <c r="S471" s="1030"/>
      <c r="T471" s="1030"/>
      <c r="U471" s="1030"/>
      <c r="V471" s="1030"/>
      <c r="W471" s="1030"/>
      <c r="X471" s="1030"/>
      <c r="Y471" s="1030"/>
      <c r="Z471" s="1030"/>
    </row>
    <row r="472" spans="1:26" ht="12.75" customHeight="1">
      <c r="A472" s="1030"/>
      <c r="B472" s="1030"/>
      <c r="C472" s="1030"/>
      <c r="D472" s="1030"/>
      <c r="E472" s="1030"/>
      <c r="F472" s="1030"/>
      <c r="G472" s="1030"/>
      <c r="H472" s="1186"/>
      <c r="I472" s="1030"/>
      <c r="J472" s="1030"/>
      <c r="K472" s="1030"/>
      <c r="L472" s="1030"/>
      <c r="M472" s="1030"/>
      <c r="N472" s="1030"/>
      <c r="O472" s="1030"/>
      <c r="P472" s="1030"/>
      <c r="Q472" s="1030"/>
      <c r="R472" s="1030"/>
      <c r="S472" s="1030"/>
      <c r="T472" s="1030"/>
      <c r="U472" s="1030"/>
      <c r="V472" s="1030"/>
      <c r="W472" s="1030"/>
      <c r="X472" s="1030"/>
      <c r="Y472" s="1030"/>
      <c r="Z472" s="1030"/>
    </row>
    <row r="473" spans="1:26" ht="12.75" customHeight="1">
      <c r="A473" s="1030"/>
      <c r="B473" s="1030"/>
      <c r="C473" s="1030"/>
      <c r="D473" s="1030"/>
      <c r="E473" s="1030"/>
      <c r="F473" s="1030"/>
      <c r="G473" s="1030"/>
      <c r="H473" s="1186"/>
      <c r="I473" s="1030"/>
      <c r="J473" s="1030"/>
      <c r="K473" s="1030"/>
      <c r="L473" s="1030"/>
      <c r="M473" s="1030"/>
      <c r="N473" s="1030"/>
      <c r="O473" s="1030"/>
      <c r="P473" s="1030"/>
      <c r="Q473" s="1030"/>
      <c r="R473" s="1030"/>
      <c r="S473" s="1030"/>
      <c r="T473" s="1030"/>
      <c r="U473" s="1030"/>
      <c r="V473" s="1030"/>
      <c r="W473" s="1030"/>
      <c r="X473" s="1030"/>
      <c r="Y473" s="1030"/>
      <c r="Z473" s="1030"/>
    </row>
    <row r="474" spans="1:26" ht="12.75" customHeight="1">
      <c r="A474" s="1030"/>
      <c r="B474" s="1030"/>
      <c r="C474" s="1030"/>
      <c r="D474" s="1030"/>
      <c r="E474" s="1030"/>
      <c r="F474" s="1030"/>
      <c r="G474" s="1030"/>
      <c r="H474" s="1186"/>
      <c r="I474" s="1030"/>
      <c r="J474" s="1030"/>
      <c r="K474" s="1030"/>
      <c r="L474" s="1030"/>
      <c r="M474" s="1030"/>
      <c r="N474" s="1030"/>
      <c r="O474" s="1030"/>
      <c r="P474" s="1030"/>
      <c r="Q474" s="1030"/>
      <c r="R474" s="1030"/>
      <c r="S474" s="1030"/>
      <c r="T474" s="1030"/>
      <c r="U474" s="1030"/>
      <c r="V474" s="1030"/>
      <c r="W474" s="1030"/>
      <c r="X474" s="1030"/>
      <c r="Y474" s="1030"/>
      <c r="Z474" s="1030"/>
    </row>
    <row r="475" spans="1:26" ht="12.75" customHeight="1">
      <c r="A475" s="1030"/>
      <c r="B475" s="1030"/>
      <c r="C475" s="1030"/>
      <c r="D475" s="1030"/>
      <c r="E475" s="1030"/>
      <c r="F475" s="1030"/>
      <c r="G475" s="1030"/>
      <c r="H475" s="1186"/>
      <c r="I475" s="1030"/>
      <c r="J475" s="1030"/>
      <c r="K475" s="1030"/>
      <c r="L475" s="1030"/>
      <c r="M475" s="1030"/>
      <c r="N475" s="1030"/>
      <c r="O475" s="1030"/>
      <c r="P475" s="1030"/>
      <c r="Q475" s="1030"/>
      <c r="R475" s="1030"/>
      <c r="S475" s="1030"/>
      <c r="T475" s="1030"/>
      <c r="U475" s="1030"/>
      <c r="V475" s="1030"/>
      <c r="W475" s="1030"/>
      <c r="X475" s="1030"/>
      <c r="Y475" s="1030"/>
      <c r="Z475" s="1030"/>
    </row>
    <row r="476" spans="1:26" ht="12.75" customHeight="1">
      <c r="A476" s="1030"/>
      <c r="B476" s="1030"/>
      <c r="C476" s="1030"/>
      <c r="D476" s="1030"/>
      <c r="E476" s="1030"/>
      <c r="F476" s="1030"/>
      <c r="G476" s="1030"/>
      <c r="H476" s="1186"/>
      <c r="I476" s="1030"/>
      <c r="J476" s="1030"/>
      <c r="K476" s="1030"/>
      <c r="L476" s="1030"/>
      <c r="M476" s="1030"/>
      <c r="N476" s="1030"/>
      <c r="O476" s="1030"/>
      <c r="P476" s="1030"/>
      <c r="Q476" s="1030"/>
      <c r="R476" s="1030"/>
      <c r="S476" s="1030"/>
      <c r="T476" s="1030"/>
      <c r="U476" s="1030"/>
      <c r="V476" s="1030"/>
      <c r="W476" s="1030"/>
      <c r="X476" s="1030"/>
      <c r="Y476" s="1030"/>
      <c r="Z476" s="1030"/>
    </row>
    <row r="477" spans="1:26" ht="12.75" customHeight="1">
      <c r="A477" s="1030"/>
      <c r="B477" s="1030"/>
      <c r="C477" s="1030"/>
      <c r="D477" s="1030"/>
      <c r="E477" s="1030"/>
      <c r="F477" s="1030"/>
      <c r="G477" s="1030"/>
      <c r="H477" s="1186"/>
      <c r="I477" s="1030"/>
      <c r="J477" s="1030"/>
      <c r="K477" s="1030"/>
      <c r="L477" s="1030"/>
      <c r="M477" s="1030"/>
      <c r="N477" s="1030"/>
      <c r="O477" s="1030"/>
      <c r="P477" s="1030"/>
      <c r="Q477" s="1030"/>
      <c r="R477" s="1030"/>
      <c r="S477" s="1030"/>
      <c r="T477" s="1030"/>
      <c r="U477" s="1030"/>
      <c r="V477" s="1030"/>
      <c r="W477" s="1030"/>
      <c r="X477" s="1030"/>
      <c r="Y477" s="1030"/>
      <c r="Z477" s="1030"/>
    </row>
    <row r="478" spans="1:26" ht="12.75" customHeight="1">
      <c r="A478" s="1030"/>
      <c r="B478" s="1030"/>
      <c r="C478" s="1030"/>
      <c r="D478" s="1030"/>
      <c r="E478" s="1030"/>
      <c r="F478" s="1030"/>
      <c r="G478" s="1030"/>
      <c r="H478" s="1186"/>
      <c r="I478" s="1030"/>
      <c r="J478" s="1030"/>
      <c r="K478" s="1030"/>
      <c r="L478" s="1030"/>
      <c r="M478" s="1030"/>
      <c r="N478" s="1030"/>
      <c r="O478" s="1030"/>
      <c r="P478" s="1030"/>
      <c r="Q478" s="1030"/>
      <c r="R478" s="1030"/>
      <c r="S478" s="1030"/>
      <c r="T478" s="1030"/>
      <c r="U478" s="1030"/>
      <c r="V478" s="1030"/>
      <c r="W478" s="1030"/>
      <c r="X478" s="1030"/>
      <c r="Y478" s="1030"/>
      <c r="Z478" s="1030"/>
    </row>
    <row r="479" spans="1:26" ht="12.75" customHeight="1">
      <c r="A479" s="1030"/>
      <c r="B479" s="1030"/>
      <c r="C479" s="1030"/>
      <c r="D479" s="1030"/>
      <c r="E479" s="1030"/>
      <c r="F479" s="1030"/>
      <c r="G479" s="1030"/>
      <c r="H479" s="1186"/>
      <c r="I479" s="1030"/>
      <c r="J479" s="1030"/>
      <c r="K479" s="1030"/>
      <c r="L479" s="1030"/>
      <c r="M479" s="1030"/>
      <c r="N479" s="1030"/>
      <c r="O479" s="1030"/>
      <c r="P479" s="1030"/>
      <c r="Q479" s="1030"/>
      <c r="R479" s="1030"/>
      <c r="S479" s="1030"/>
      <c r="T479" s="1030"/>
      <c r="U479" s="1030"/>
      <c r="V479" s="1030"/>
      <c r="W479" s="1030"/>
      <c r="X479" s="1030"/>
      <c r="Y479" s="1030"/>
      <c r="Z479" s="1030"/>
    </row>
    <row r="480" spans="1:26" ht="12.75" customHeight="1">
      <c r="A480" s="1030"/>
      <c r="B480" s="1030"/>
      <c r="C480" s="1030"/>
      <c r="D480" s="1030"/>
      <c r="E480" s="1030"/>
      <c r="F480" s="1030"/>
      <c r="G480" s="1030"/>
      <c r="H480" s="1186"/>
      <c r="I480" s="1030"/>
      <c r="J480" s="1030"/>
      <c r="K480" s="1030"/>
      <c r="L480" s="1030"/>
      <c r="M480" s="1030"/>
      <c r="N480" s="1030"/>
      <c r="O480" s="1030"/>
      <c r="P480" s="1030"/>
      <c r="Q480" s="1030"/>
      <c r="R480" s="1030"/>
      <c r="S480" s="1030"/>
      <c r="T480" s="1030"/>
      <c r="U480" s="1030"/>
      <c r="V480" s="1030"/>
      <c r="W480" s="1030"/>
      <c r="X480" s="1030"/>
      <c r="Y480" s="1030"/>
      <c r="Z480" s="1030"/>
    </row>
    <row r="481" spans="1:26" ht="12.75" customHeight="1">
      <c r="A481" s="1030"/>
      <c r="B481" s="1030"/>
      <c r="C481" s="1030"/>
      <c r="D481" s="1030"/>
      <c r="E481" s="1030"/>
      <c r="F481" s="1030"/>
      <c r="G481" s="1030"/>
      <c r="H481" s="1186"/>
      <c r="I481" s="1030"/>
      <c r="J481" s="1030"/>
      <c r="K481" s="1030"/>
      <c r="L481" s="1030"/>
      <c r="M481" s="1030"/>
      <c r="N481" s="1030"/>
      <c r="O481" s="1030"/>
      <c r="P481" s="1030"/>
      <c r="Q481" s="1030"/>
      <c r="R481" s="1030"/>
      <c r="S481" s="1030"/>
      <c r="T481" s="1030"/>
      <c r="U481" s="1030"/>
      <c r="V481" s="1030"/>
      <c r="W481" s="1030"/>
      <c r="X481" s="1030"/>
      <c r="Y481" s="1030"/>
      <c r="Z481" s="1030"/>
    </row>
    <row r="482" spans="1:26" ht="12.75" customHeight="1">
      <c r="A482" s="1030"/>
      <c r="B482" s="1030"/>
      <c r="C482" s="1030"/>
      <c r="D482" s="1030"/>
      <c r="E482" s="1030"/>
      <c r="F482" s="1030"/>
      <c r="G482" s="1030"/>
      <c r="H482" s="1186"/>
      <c r="I482" s="1030"/>
      <c r="J482" s="1030"/>
      <c r="K482" s="1030"/>
      <c r="L482" s="1030"/>
      <c r="M482" s="1030"/>
      <c r="N482" s="1030"/>
      <c r="O482" s="1030"/>
      <c r="P482" s="1030"/>
      <c r="Q482" s="1030"/>
      <c r="R482" s="1030"/>
      <c r="S482" s="1030"/>
      <c r="T482" s="1030"/>
      <c r="U482" s="1030"/>
      <c r="V482" s="1030"/>
      <c r="W482" s="1030"/>
      <c r="X482" s="1030"/>
      <c r="Y482" s="1030"/>
      <c r="Z482" s="1030"/>
    </row>
    <row r="483" spans="1:26" ht="12.75" customHeight="1">
      <c r="A483" s="1030"/>
      <c r="B483" s="1030"/>
      <c r="C483" s="1030"/>
      <c r="D483" s="1030"/>
      <c r="E483" s="1030"/>
      <c r="F483" s="1030"/>
      <c r="G483" s="1030"/>
      <c r="H483" s="1186"/>
      <c r="I483" s="1030"/>
      <c r="J483" s="1030"/>
      <c r="K483" s="1030"/>
      <c r="L483" s="1030"/>
      <c r="M483" s="1030"/>
      <c r="N483" s="1030"/>
      <c r="O483" s="1030"/>
      <c r="P483" s="1030"/>
      <c r="Q483" s="1030"/>
      <c r="R483" s="1030"/>
      <c r="S483" s="1030"/>
      <c r="T483" s="1030"/>
      <c r="U483" s="1030"/>
      <c r="V483" s="1030"/>
      <c r="W483" s="1030"/>
      <c r="X483" s="1030"/>
      <c r="Y483" s="1030"/>
      <c r="Z483" s="1030"/>
    </row>
    <row r="484" spans="1:26" ht="12.75" customHeight="1">
      <c r="A484" s="1030"/>
      <c r="B484" s="1030"/>
      <c r="C484" s="1030"/>
      <c r="D484" s="1030"/>
      <c r="E484" s="1030"/>
      <c r="F484" s="1030"/>
      <c r="G484" s="1030"/>
      <c r="H484" s="1186"/>
      <c r="I484" s="1030"/>
      <c r="J484" s="1030"/>
      <c r="K484" s="1030"/>
      <c r="L484" s="1030"/>
      <c r="M484" s="1030"/>
      <c r="N484" s="1030"/>
      <c r="O484" s="1030"/>
      <c r="P484" s="1030"/>
      <c r="Q484" s="1030"/>
      <c r="R484" s="1030"/>
      <c r="S484" s="1030"/>
      <c r="T484" s="1030"/>
      <c r="U484" s="1030"/>
      <c r="V484" s="1030"/>
      <c r="W484" s="1030"/>
      <c r="X484" s="1030"/>
      <c r="Y484" s="1030"/>
      <c r="Z484" s="1030"/>
    </row>
    <row r="485" spans="1:26" ht="12.75" customHeight="1">
      <c r="A485" s="1030"/>
      <c r="B485" s="1030"/>
      <c r="C485" s="1030"/>
      <c r="D485" s="1030"/>
      <c r="E485" s="1030"/>
      <c r="F485" s="1030"/>
      <c r="G485" s="1030"/>
      <c r="H485" s="1186"/>
      <c r="I485" s="1030"/>
      <c r="J485" s="1030"/>
      <c r="K485" s="1030"/>
      <c r="L485" s="1030"/>
      <c r="M485" s="1030"/>
      <c r="N485" s="1030"/>
      <c r="O485" s="1030"/>
      <c r="P485" s="1030"/>
      <c r="Q485" s="1030"/>
      <c r="R485" s="1030"/>
      <c r="S485" s="1030"/>
      <c r="T485" s="1030"/>
      <c r="U485" s="1030"/>
      <c r="V485" s="1030"/>
      <c r="W485" s="1030"/>
      <c r="X485" s="1030"/>
      <c r="Y485" s="1030"/>
      <c r="Z485" s="1030"/>
    </row>
    <row r="486" spans="1:26" ht="12.75" customHeight="1">
      <c r="A486" s="1030"/>
      <c r="B486" s="1030"/>
      <c r="C486" s="1030"/>
      <c r="D486" s="1030"/>
      <c r="E486" s="1030"/>
      <c r="F486" s="1030"/>
      <c r="G486" s="1030"/>
      <c r="H486" s="1186"/>
      <c r="I486" s="1030"/>
      <c r="J486" s="1030"/>
      <c r="K486" s="1030"/>
      <c r="L486" s="1030"/>
      <c r="M486" s="1030"/>
      <c r="N486" s="1030"/>
      <c r="O486" s="1030"/>
      <c r="P486" s="1030"/>
      <c r="Q486" s="1030"/>
      <c r="R486" s="1030"/>
      <c r="S486" s="1030"/>
      <c r="T486" s="1030"/>
      <c r="U486" s="1030"/>
      <c r="V486" s="1030"/>
      <c r="W486" s="1030"/>
      <c r="X486" s="1030"/>
      <c r="Y486" s="1030"/>
      <c r="Z486" s="1030"/>
    </row>
    <row r="487" spans="1:26" ht="12.75" customHeight="1">
      <c r="A487" s="1030"/>
      <c r="B487" s="1030"/>
      <c r="C487" s="1030"/>
      <c r="D487" s="1030"/>
      <c r="E487" s="1030"/>
      <c r="F487" s="1030"/>
      <c r="G487" s="1030"/>
      <c r="H487" s="1186"/>
      <c r="I487" s="1030"/>
      <c r="J487" s="1030"/>
      <c r="K487" s="1030"/>
      <c r="L487" s="1030"/>
      <c r="M487" s="1030"/>
      <c r="N487" s="1030"/>
      <c r="O487" s="1030"/>
      <c r="P487" s="1030"/>
      <c r="Q487" s="1030"/>
      <c r="R487" s="1030"/>
      <c r="S487" s="1030"/>
      <c r="T487" s="1030"/>
      <c r="U487" s="1030"/>
      <c r="V487" s="1030"/>
      <c r="W487" s="1030"/>
      <c r="X487" s="1030"/>
      <c r="Y487" s="1030"/>
      <c r="Z487" s="1030"/>
    </row>
    <row r="488" spans="1:26" ht="12.75" customHeight="1">
      <c r="A488" s="1030"/>
      <c r="B488" s="1030"/>
      <c r="C488" s="1030"/>
      <c r="D488" s="1030"/>
      <c r="E488" s="1030"/>
      <c r="F488" s="1030"/>
      <c r="G488" s="1030"/>
      <c r="H488" s="1186"/>
      <c r="I488" s="1030"/>
      <c r="J488" s="1030"/>
      <c r="K488" s="1030"/>
      <c r="L488" s="1030"/>
      <c r="M488" s="1030"/>
      <c r="N488" s="1030"/>
      <c r="O488" s="1030"/>
      <c r="P488" s="1030"/>
      <c r="Q488" s="1030"/>
      <c r="R488" s="1030"/>
      <c r="S488" s="1030"/>
      <c r="T488" s="1030"/>
      <c r="U488" s="1030"/>
      <c r="V488" s="1030"/>
      <c r="W488" s="1030"/>
      <c r="X488" s="1030"/>
      <c r="Y488" s="1030"/>
      <c r="Z488" s="1030"/>
    </row>
    <row r="489" spans="1:26" ht="12.75" customHeight="1">
      <c r="A489" s="1030"/>
      <c r="B489" s="1030"/>
      <c r="C489" s="1030"/>
      <c r="D489" s="1030"/>
      <c r="E489" s="1030"/>
      <c r="F489" s="1030"/>
      <c r="G489" s="1030"/>
      <c r="H489" s="1186"/>
      <c r="I489" s="1030"/>
      <c r="J489" s="1030"/>
      <c r="K489" s="1030"/>
      <c r="L489" s="1030"/>
      <c r="M489" s="1030"/>
      <c r="N489" s="1030"/>
      <c r="O489" s="1030"/>
      <c r="P489" s="1030"/>
      <c r="Q489" s="1030"/>
      <c r="R489" s="1030"/>
      <c r="S489" s="1030"/>
      <c r="T489" s="1030"/>
      <c r="U489" s="1030"/>
      <c r="V489" s="1030"/>
      <c r="W489" s="1030"/>
      <c r="X489" s="1030"/>
      <c r="Y489" s="1030"/>
      <c r="Z489" s="1030"/>
    </row>
    <row r="490" spans="1:26" ht="12.75" customHeight="1">
      <c r="A490" s="1030"/>
      <c r="B490" s="1030"/>
      <c r="C490" s="1030"/>
      <c r="D490" s="1030"/>
      <c r="E490" s="1030"/>
      <c r="F490" s="1030"/>
      <c r="G490" s="1030"/>
      <c r="H490" s="1186"/>
      <c r="I490" s="1030"/>
      <c r="J490" s="1030"/>
      <c r="K490" s="1030"/>
      <c r="L490" s="1030"/>
      <c r="M490" s="1030"/>
      <c r="N490" s="1030"/>
      <c r="O490" s="1030"/>
      <c r="P490" s="1030"/>
      <c r="Q490" s="1030"/>
      <c r="R490" s="1030"/>
      <c r="S490" s="1030"/>
      <c r="T490" s="1030"/>
      <c r="U490" s="1030"/>
      <c r="V490" s="1030"/>
      <c r="W490" s="1030"/>
      <c r="X490" s="1030"/>
      <c r="Y490" s="1030"/>
      <c r="Z490" s="1030"/>
    </row>
    <row r="491" spans="1:26" ht="12.75" customHeight="1">
      <c r="A491" s="1030"/>
      <c r="B491" s="1030"/>
      <c r="C491" s="1030"/>
      <c r="D491" s="1030"/>
      <c r="E491" s="1030"/>
      <c r="F491" s="1030"/>
      <c r="G491" s="1030"/>
      <c r="H491" s="1186"/>
      <c r="I491" s="1030"/>
      <c r="J491" s="1030"/>
      <c r="K491" s="1030"/>
      <c r="L491" s="1030"/>
      <c r="M491" s="1030"/>
      <c r="N491" s="1030"/>
      <c r="O491" s="1030"/>
      <c r="P491" s="1030"/>
      <c r="Q491" s="1030"/>
      <c r="R491" s="1030"/>
      <c r="S491" s="1030"/>
      <c r="T491" s="1030"/>
      <c r="U491" s="1030"/>
      <c r="V491" s="1030"/>
      <c r="W491" s="1030"/>
      <c r="X491" s="1030"/>
      <c r="Y491" s="1030"/>
      <c r="Z491" s="1030"/>
    </row>
    <row r="492" spans="1:26" ht="12.75" customHeight="1">
      <c r="A492" s="1030"/>
      <c r="B492" s="1030"/>
      <c r="C492" s="1030"/>
      <c r="D492" s="1030"/>
      <c r="E492" s="1030"/>
      <c r="F492" s="1030"/>
      <c r="G492" s="1030"/>
      <c r="H492" s="1186"/>
      <c r="I492" s="1030"/>
      <c r="J492" s="1030"/>
      <c r="K492" s="1030"/>
      <c r="L492" s="1030"/>
      <c r="M492" s="1030"/>
      <c r="N492" s="1030"/>
      <c r="O492" s="1030"/>
      <c r="P492" s="1030"/>
      <c r="Q492" s="1030"/>
      <c r="R492" s="1030"/>
      <c r="S492" s="1030"/>
      <c r="T492" s="1030"/>
      <c r="U492" s="1030"/>
      <c r="V492" s="1030"/>
      <c r="W492" s="1030"/>
      <c r="X492" s="1030"/>
      <c r="Y492" s="1030"/>
      <c r="Z492" s="1030"/>
    </row>
    <row r="493" spans="1:26" ht="12.75" customHeight="1">
      <c r="A493" s="1030"/>
      <c r="B493" s="1030"/>
      <c r="C493" s="1030"/>
      <c r="D493" s="1030"/>
      <c r="E493" s="1030"/>
      <c r="F493" s="1030"/>
      <c r="G493" s="1030"/>
      <c r="H493" s="1186"/>
      <c r="I493" s="1030"/>
      <c r="J493" s="1030"/>
      <c r="K493" s="1030"/>
      <c r="L493" s="1030"/>
      <c r="M493" s="1030"/>
      <c r="N493" s="1030"/>
      <c r="O493" s="1030"/>
      <c r="P493" s="1030"/>
      <c r="Q493" s="1030"/>
      <c r="R493" s="1030"/>
      <c r="S493" s="1030"/>
      <c r="T493" s="1030"/>
      <c r="U493" s="1030"/>
      <c r="V493" s="1030"/>
      <c r="W493" s="1030"/>
      <c r="X493" s="1030"/>
      <c r="Y493" s="1030"/>
      <c r="Z493" s="1030"/>
    </row>
    <row r="494" spans="1:26" ht="12.75" customHeight="1">
      <c r="A494" s="1030"/>
      <c r="B494" s="1030"/>
      <c r="C494" s="1030"/>
      <c r="D494" s="1030"/>
      <c r="E494" s="1030"/>
      <c r="F494" s="1030"/>
      <c r="G494" s="1030"/>
      <c r="H494" s="1186"/>
      <c r="I494" s="1030"/>
      <c r="J494" s="1030"/>
      <c r="K494" s="1030"/>
      <c r="L494" s="1030"/>
      <c r="M494" s="1030"/>
      <c r="N494" s="1030"/>
      <c r="O494" s="1030"/>
      <c r="P494" s="1030"/>
      <c r="Q494" s="1030"/>
      <c r="R494" s="1030"/>
      <c r="S494" s="1030"/>
      <c r="T494" s="1030"/>
      <c r="U494" s="1030"/>
      <c r="V494" s="1030"/>
      <c r="W494" s="1030"/>
      <c r="X494" s="1030"/>
      <c r="Y494" s="1030"/>
      <c r="Z494" s="1030"/>
    </row>
    <row r="495" spans="1:26" ht="12.75" customHeight="1">
      <c r="A495" s="1030"/>
      <c r="B495" s="1030"/>
      <c r="C495" s="1030"/>
      <c r="D495" s="1030"/>
      <c r="E495" s="1030"/>
      <c r="F495" s="1030"/>
      <c r="G495" s="1030"/>
      <c r="H495" s="1186"/>
      <c r="I495" s="1030"/>
      <c r="J495" s="1030"/>
      <c r="K495" s="1030"/>
      <c r="L495" s="1030"/>
      <c r="M495" s="1030"/>
      <c r="N495" s="1030"/>
      <c r="O495" s="1030"/>
      <c r="P495" s="1030"/>
      <c r="Q495" s="1030"/>
      <c r="R495" s="1030"/>
      <c r="S495" s="1030"/>
      <c r="T495" s="1030"/>
      <c r="U495" s="1030"/>
      <c r="V495" s="1030"/>
      <c r="W495" s="1030"/>
      <c r="X495" s="1030"/>
      <c r="Y495" s="1030"/>
      <c r="Z495" s="1030"/>
    </row>
    <row r="496" spans="1:26" ht="12.75" customHeight="1">
      <c r="A496" s="1030"/>
      <c r="B496" s="1030"/>
      <c r="C496" s="1030"/>
      <c r="D496" s="1030"/>
      <c r="E496" s="1030"/>
      <c r="F496" s="1030"/>
      <c r="G496" s="1030"/>
      <c r="H496" s="1186"/>
      <c r="I496" s="1030"/>
      <c r="J496" s="1030"/>
      <c r="K496" s="1030"/>
      <c r="L496" s="1030"/>
      <c r="M496" s="1030"/>
      <c r="N496" s="1030"/>
      <c r="O496" s="1030"/>
      <c r="P496" s="1030"/>
      <c r="Q496" s="1030"/>
      <c r="R496" s="1030"/>
      <c r="S496" s="1030"/>
      <c r="T496" s="1030"/>
      <c r="U496" s="1030"/>
      <c r="V496" s="1030"/>
      <c r="W496" s="1030"/>
      <c r="X496" s="1030"/>
      <c r="Y496" s="1030"/>
      <c r="Z496" s="1030"/>
    </row>
    <row r="497" spans="1:26" ht="12.75" customHeight="1">
      <c r="A497" s="1030"/>
      <c r="B497" s="1030"/>
      <c r="C497" s="1030"/>
      <c r="D497" s="1030"/>
      <c r="E497" s="1030"/>
      <c r="F497" s="1030"/>
      <c r="G497" s="1030"/>
      <c r="H497" s="1186"/>
      <c r="I497" s="1030"/>
      <c r="J497" s="1030"/>
      <c r="K497" s="1030"/>
      <c r="L497" s="1030"/>
      <c r="M497" s="1030"/>
      <c r="N497" s="1030"/>
      <c r="O497" s="1030"/>
      <c r="P497" s="1030"/>
      <c r="Q497" s="1030"/>
      <c r="R497" s="1030"/>
      <c r="S497" s="1030"/>
      <c r="T497" s="1030"/>
      <c r="U497" s="1030"/>
      <c r="V497" s="1030"/>
      <c r="W497" s="1030"/>
      <c r="X497" s="1030"/>
      <c r="Y497" s="1030"/>
      <c r="Z497" s="1030"/>
    </row>
    <row r="498" spans="1:26" ht="12.75" customHeight="1">
      <c r="A498" s="1030"/>
      <c r="B498" s="1030"/>
      <c r="C498" s="1030"/>
      <c r="D498" s="1030"/>
      <c r="E498" s="1030"/>
      <c r="F498" s="1030"/>
      <c r="G498" s="1030"/>
      <c r="H498" s="1186"/>
      <c r="I498" s="1030"/>
      <c r="J498" s="1030"/>
      <c r="K498" s="1030"/>
      <c r="L498" s="1030"/>
      <c r="M498" s="1030"/>
      <c r="N498" s="1030"/>
      <c r="O498" s="1030"/>
      <c r="P498" s="1030"/>
      <c r="Q498" s="1030"/>
      <c r="R498" s="1030"/>
      <c r="S498" s="1030"/>
      <c r="T498" s="1030"/>
      <c r="U498" s="1030"/>
      <c r="V498" s="1030"/>
      <c r="W498" s="1030"/>
      <c r="X498" s="1030"/>
      <c r="Y498" s="1030"/>
      <c r="Z498" s="1030"/>
    </row>
    <row r="499" spans="1:26" ht="12.75" customHeight="1">
      <c r="A499" s="1030"/>
      <c r="B499" s="1030"/>
      <c r="C499" s="1030"/>
      <c r="D499" s="1030"/>
      <c r="E499" s="1030"/>
      <c r="F499" s="1030"/>
      <c r="G499" s="1030"/>
      <c r="H499" s="1186"/>
      <c r="I499" s="1030"/>
      <c r="J499" s="1030"/>
      <c r="K499" s="1030"/>
      <c r="L499" s="1030"/>
      <c r="M499" s="1030"/>
      <c r="N499" s="1030"/>
      <c r="O499" s="1030"/>
      <c r="P499" s="1030"/>
      <c r="Q499" s="1030"/>
      <c r="R499" s="1030"/>
      <c r="S499" s="1030"/>
      <c r="T499" s="1030"/>
      <c r="U499" s="1030"/>
      <c r="V499" s="1030"/>
      <c r="W499" s="1030"/>
      <c r="X499" s="1030"/>
      <c r="Y499" s="1030"/>
      <c r="Z499" s="1030"/>
    </row>
    <row r="500" spans="1:26" ht="12.75" customHeight="1">
      <c r="A500" s="1030"/>
      <c r="B500" s="1030"/>
      <c r="C500" s="1030"/>
      <c r="D500" s="1030"/>
      <c r="E500" s="1030"/>
      <c r="F500" s="1030"/>
      <c r="G500" s="1030"/>
      <c r="H500" s="1186"/>
      <c r="I500" s="1030"/>
      <c r="J500" s="1030"/>
      <c r="K500" s="1030"/>
      <c r="L500" s="1030"/>
      <c r="M500" s="1030"/>
      <c r="N500" s="1030"/>
      <c r="O500" s="1030"/>
      <c r="P500" s="1030"/>
      <c r="Q500" s="1030"/>
      <c r="R500" s="1030"/>
      <c r="S500" s="1030"/>
      <c r="T500" s="1030"/>
      <c r="U500" s="1030"/>
      <c r="V500" s="1030"/>
      <c r="W500" s="1030"/>
      <c r="X500" s="1030"/>
      <c r="Y500" s="1030"/>
      <c r="Z500" s="1030"/>
    </row>
    <row r="501" spans="1:26" ht="12.75" customHeight="1">
      <c r="A501" s="1030"/>
      <c r="B501" s="1030"/>
      <c r="C501" s="1030"/>
      <c r="D501" s="1030"/>
      <c r="E501" s="1030"/>
      <c r="F501" s="1030"/>
      <c r="G501" s="1030"/>
      <c r="H501" s="1186"/>
      <c r="I501" s="1030"/>
      <c r="J501" s="1030"/>
      <c r="K501" s="1030"/>
      <c r="L501" s="1030"/>
      <c r="M501" s="1030"/>
      <c r="N501" s="1030"/>
      <c r="O501" s="1030"/>
      <c r="P501" s="1030"/>
      <c r="Q501" s="1030"/>
      <c r="R501" s="1030"/>
      <c r="S501" s="1030"/>
      <c r="T501" s="1030"/>
      <c r="U501" s="1030"/>
      <c r="V501" s="1030"/>
      <c r="W501" s="1030"/>
      <c r="X501" s="1030"/>
      <c r="Y501" s="1030"/>
      <c r="Z501" s="1030"/>
    </row>
    <row r="502" spans="1:26" ht="15.75" customHeight="1">
      <c r="A502" s="937"/>
      <c r="B502" s="937"/>
      <c r="C502" s="937"/>
      <c r="D502" s="937"/>
      <c r="E502" s="937"/>
      <c r="F502" s="937"/>
      <c r="G502" s="937"/>
      <c r="H502" s="937"/>
      <c r="I502" s="937"/>
      <c r="J502" s="937"/>
      <c r="K502" s="937"/>
      <c r="L502" s="937"/>
      <c r="M502" s="937"/>
      <c r="N502" s="937"/>
      <c r="O502" s="937"/>
      <c r="P502" s="937"/>
      <c r="Q502" s="937"/>
      <c r="R502" s="937"/>
      <c r="S502" s="937"/>
      <c r="T502" s="937"/>
      <c r="U502" s="937"/>
      <c r="V502" s="937"/>
      <c r="W502" s="937"/>
      <c r="X502" s="937"/>
      <c r="Y502" s="937"/>
      <c r="Z502" s="937"/>
    </row>
    <row r="503" spans="1:26" ht="15.75" customHeight="1">
      <c r="A503" s="937"/>
      <c r="B503" s="937"/>
      <c r="C503" s="937"/>
      <c r="D503" s="937"/>
      <c r="E503" s="937"/>
      <c r="F503" s="937"/>
      <c r="G503" s="937"/>
      <c r="H503" s="937"/>
      <c r="I503" s="937"/>
      <c r="J503" s="937"/>
      <c r="K503" s="937"/>
      <c r="L503" s="937"/>
      <c r="M503" s="937"/>
      <c r="N503" s="937"/>
      <c r="O503" s="937"/>
      <c r="P503" s="937"/>
      <c r="Q503" s="937"/>
      <c r="R503" s="937"/>
      <c r="S503" s="937"/>
      <c r="T503" s="937"/>
      <c r="U503" s="937"/>
      <c r="V503" s="937"/>
      <c r="W503" s="937"/>
      <c r="X503" s="937"/>
      <c r="Y503" s="937"/>
      <c r="Z503" s="937"/>
    </row>
    <row r="504" spans="1:26" ht="15.75" customHeight="1">
      <c r="A504" s="937"/>
      <c r="B504" s="937"/>
      <c r="C504" s="937"/>
      <c r="D504" s="937"/>
      <c r="E504" s="937"/>
      <c r="F504" s="937"/>
      <c r="G504" s="937"/>
      <c r="H504" s="937"/>
      <c r="I504" s="937"/>
      <c r="J504" s="937"/>
      <c r="K504" s="937"/>
      <c r="L504" s="937"/>
      <c r="M504" s="937"/>
      <c r="N504" s="937"/>
      <c r="O504" s="937"/>
      <c r="P504" s="937"/>
      <c r="Q504" s="937"/>
      <c r="R504" s="937"/>
      <c r="S504" s="937"/>
      <c r="T504" s="937"/>
      <c r="U504" s="937"/>
      <c r="V504" s="937"/>
      <c r="W504" s="937"/>
      <c r="X504" s="937"/>
      <c r="Y504" s="937"/>
      <c r="Z504" s="937"/>
    </row>
    <row r="505" spans="1:26" ht="15.75" customHeight="1">
      <c r="A505" s="937"/>
      <c r="B505" s="937"/>
      <c r="C505" s="937"/>
      <c r="D505" s="937"/>
      <c r="E505" s="937"/>
      <c r="F505" s="937"/>
      <c r="G505" s="937"/>
      <c r="H505" s="937"/>
      <c r="I505" s="937"/>
      <c r="J505" s="937"/>
      <c r="K505" s="937"/>
      <c r="L505" s="937"/>
      <c r="M505" s="937"/>
      <c r="N505" s="937"/>
      <c r="O505" s="937"/>
      <c r="P505" s="937"/>
      <c r="Q505" s="937"/>
      <c r="R505" s="937"/>
      <c r="S505" s="937"/>
      <c r="T505" s="937"/>
      <c r="U505" s="937"/>
      <c r="V505" s="937"/>
      <c r="W505" s="937"/>
      <c r="X505" s="937"/>
      <c r="Y505" s="937"/>
      <c r="Z505" s="937"/>
    </row>
    <row r="506" spans="1:26" ht="15.75" customHeight="1">
      <c r="A506" s="937"/>
      <c r="B506" s="937"/>
      <c r="C506" s="937"/>
      <c r="D506" s="937"/>
      <c r="E506" s="937"/>
      <c r="F506" s="937"/>
      <c r="G506" s="937"/>
      <c r="H506" s="937"/>
      <c r="I506" s="937"/>
      <c r="J506" s="937"/>
      <c r="K506" s="937"/>
      <c r="L506" s="937"/>
      <c r="M506" s="937"/>
      <c r="N506" s="937"/>
      <c r="O506" s="937"/>
      <c r="P506" s="937"/>
      <c r="Q506" s="937"/>
      <c r="R506" s="937"/>
      <c r="S506" s="937"/>
      <c r="T506" s="937"/>
      <c r="U506" s="937"/>
      <c r="V506" s="937"/>
      <c r="W506" s="937"/>
      <c r="X506" s="937"/>
      <c r="Y506" s="937"/>
      <c r="Z506" s="937"/>
    </row>
    <row r="507" spans="1:26" ht="15.75" customHeight="1">
      <c r="A507" s="937"/>
      <c r="B507" s="937"/>
      <c r="C507" s="937"/>
      <c r="D507" s="937"/>
      <c r="E507" s="937"/>
      <c r="F507" s="937"/>
      <c r="G507" s="937"/>
      <c r="H507" s="937"/>
      <c r="I507" s="937"/>
      <c r="J507" s="937"/>
      <c r="K507" s="937"/>
      <c r="L507" s="937"/>
      <c r="M507" s="937"/>
      <c r="N507" s="937"/>
      <c r="O507" s="937"/>
      <c r="P507" s="937"/>
      <c r="Q507" s="937"/>
      <c r="R507" s="937"/>
      <c r="S507" s="937"/>
      <c r="T507" s="937"/>
      <c r="U507" s="937"/>
      <c r="V507" s="937"/>
      <c r="W507" s="937"/>
      <c r="X507" s="937"/>
      <c r="Y507" s="937"/>
      <c r="Z507" s="937"/>
    </row>
    <row r="508" spans="1:26" ht="15.75" customHeight="1">
      <c r="A508" s="937"/>
      <c r="B508" s="937"/>
      <c r="C508" s="937"/>
      <c r="D508" s="937"/>
      <c r="E508" s="937"/>
      <c r="F508" s="937"/>
      <c r="G508" s="937"/>
      <c r="H508" s="937"/>
      <c r="I508" s="937"/>
      <c r="J508" s="937"/>
      <c r="K508" s="937"/>
      <c r="L508" s="937"/>
      <c r="M508" s="937"/>
      <c r="N508" s="937"/>
      <c r="O508" s="937"/>
      <c r="P508" s="937"/>
      <c r="Q508" s="937"/>
      <c r="R508" s="937"/>
      <c r="S508" s="937"/>
      <c r="T508" s="937"/>
      <c r="U508" s="937"/>
      <c r="V508" s="937"/>
      <c r="W508" s="937"/>
      <c r="X508" s="937"/>
      <c r="Y508" s="937"/>
      <c r="Z508" s="937"/>
    </row>
    <row r="509" spans="1:26" ht="15.75" customHeight="1">
      <c r="A509" s="937"/>
      <c r="B509" s="937"/>
      <c r="C509" s="937"/>
      <c r="D509" s="937"/>
      <c r="E509" s="937"/>
      <c r="F509" s="937"/>
      <c r="G509" s="937"/>
      <c r="H509" s="937"/>
      <c r="I509" s="937"/>
      <c r="J509" s="937"/>
      <c r="K509" s="937"/>
      <c r="L509" s="937"/>
      <c r="M509" s="937"/>
      <c r="N509" s="937"/>
      <c r="O509" s="937"/>
      <c r="P509" s="937"/>
      <c r="Q509" s="937"/>
      <c r="R509" s="937"/>
      <c r="S509" s="937"/>
      <c r="T509" s="937"/>
      <c r="U509" s="937"/>
      <c r="V509" s="937"/>
      <c r="W509" s="937"/>
      <c r="X509" s="937"/>
      <c r="Y509" s="937"/>
      <c r="Z509" s="937"/>
    </row>
    <row r="510" spans="1:26" ht="15.75" customHeight="1">
      <c r="A510" s="937"/>
      <c r="B510" s="937"/>
      <c r="C510" s="937"/>
      <c r="D510" s="937"/>
      <c r="E510" s="937"/>
      <c r="F510" s="937"/>
      <c r="G510" s="937"/>
      <c r="H510" s="937"/>
      <c r="I510" s="937"/>
      <c r="J510" s="937"/>
      <c r="K510" s="937"/>
      <c r="L510" s="937"/>
      <c r="M510" s="937"/>
      <c r="N510" s="937"/>
      <c r="O510" s="937"/>
      <c r="P510" s="937"/>
      <c r="Q510" s="937"/>
      <c r="R510" s="937"/>
      <c r="S510" s="937"/>
      <c r="T510" s="937"/>
      <c r="U510" s="937"/>
      <c r="V510" s="937"/>
      <c r="W510" s="937"/>
      <c r="X510" s="937"/>
      <c r="Y510" s="937"/>
      <c r="Z510" s="937"/>
    </row>
    <row r="511" spans="1:26" ht="15.75" customHeight="1">
      <c r="A511" s="937"/>
      <c r="B511" s="937"/>
      <c r="C511" s="937"/>
      <c r="D511" s="937"/>
      <c r="E511" s="937"/>
      <c r="F511" s="937"/>
      <c r="G511" s="937"/>
      <c r="H511" s="937"/>
      <c r="I511" s="937"/>
      <c r="J511" s="937"/>
      <c r="K511" s="937"/>
      <c r="L511" s="937"/>
      <c r="M511" s="937"/>
      <c r="N511" s="937"/>
      <c r="O511" s="937"/>
      <c r="P511" s="937"/>
      <c r="Q511" s="937"/>
      <c r="R511" s="937"/>
      <c r="S511" s="937"/>
      <c r="T511" s="937"/>
      <c r="U511" s="937"/>
      <c r="V511" s="937"/>
      <c r="W511" s="937"/>
      <c r="X511" s="937"/>
      <c r="Y511" s="937"/>
      <c r="Z511" s="937"/>
    </row>
    <row r="512" spans="1:26" ht="15.75" customHeight="1">
      <c r="A512" s="937"/>
      <c r="B512" s="937"/>
      <c r="C512" s="937"/>
      <c r="D512" s="937"/>
      <c r="E512" s="937"/>
      <c r="F512" s="937"/>
      <c r="G512" s="937"/>
      <c r="H512" s="937"/>
      <c r="I512" s="937"/>
      <c r="J512" s="937"/>
      <c r="K512" s="937"/>
      <c r="L512" s="937"/>
      <c r="M512" s="937"/>
      <c r="N512" s="937"/>
      <c r="O512" s="937"/>
      <c r="P512" s="937"/>
      <c r="Q512" s="937"/>
      <c r="R512" s="937"/>
      <c r="S512" s="937"/>
      <c r="T512" s="937"/>
      <c r="U512" s="937"/>
      <c r="V512" s="937"/>
      <c r="W512" s="937"/>
      <c r="X512" s="937"/>
      <c r="Y512" s="937"/>
      <c r="Z512" s="937"/>
    </row>
    <row r="513" spans="1:26" ht="15.75" customHeight="1">
      <c r="A513" s="937"/>
      <c r="B513" s="937"/>
      <c r="C513" s="937"/>
      <c r="D513" s="937"/>
      <c r="E513" s="937"/>
      <c r="F513" s="937"/>
      <c r="G513" s="937"/>
      <c r="H513" s="937"/>
      <c r="I513" s="937"/>
      <c r="J513" s="937"/>
      <c r="K513" s="937"/>
      <c r="L513" s="937"/>
      <c r="M513" s="937"/>
      <c r="N513" s="937"/>
      <c r="O513" s="937"/>
      <c r="P513" s="937"/>
      <c r="Q513" s="937"/>
      <c r="R513" s="937"/>
      <c r="S513" s="937"/>
      <c r="T513" s="937"/>
      <c r="U513" s="937"/>
      <c r="V513" s="937"/>
      <c r="W513" s="937"/>
      <c r="X513" s="937"/>
      <c r="Y513" s="937"/>
      <c r="Z513" s="937"/>
    </row>
    <row r="514" spans="1:26" ht="15.75" customHeight="1">
      <c r="A514" s="937"/>
      <c r="B514" s="937"/>
      <c r="C514" s="937"/>
      <c r="D514" s="937"/>
      <c r="E514" s="937"/>
      <c r="F514" s="937"/>
      <c r="G514" s="937"/>
      <c r="H514" s="937"/>
      <c r="I514" s="937"/>
      <c r="J514" s="937"/>
      <c r="K514" s="937"/>
      <c r="L514" s="937"/>
      <c r="M514" s="937"/>
      <c r="N514" s="937"/>
      <c r="O514" s="937"/>
      <c r="P514" s="937"/>
      <c r="Q514" s="937"/>
      <c r="R514" s="937"/>
      <c r="S514" s="937"/>
      <c r="T514" s="937"/>
      <c r="U514" s="937"/>
      <c r="V514" s="937"/>
      <c r="W514" s="937"/>
      <c r="X514" s="937"/>
      <c r="Y514" s="937"/>
      <c r="Z514" s="937"/>
    </row>
    <row r="515" spans="1:26" ht="15.75" customHeight="1">
      <c r="A515" s="937"/>
      <c r="B515" s="937"/>
      <c r="C515" s="937"/>
      <c r="D515" s="937"/>
      <c r="E515" s="937"/>
      <c r="F515" s="937"/>
      <c r="G515" s="937"/>
      <c r="H515" s="937"/>
      <c r="I515" s="937"/>
      <c r="J515" s="937"/>
      <c r="K515" s="937"/>
      <c r="L515" s="937"/>
      <c r="M515" s="937"/>
      <c r="N515" s="937"/>
      <c r="O515" s="937"/>
      <c r="P515" s="937"/>
      <c r="Q515" s="937"/>
      <c r="R515" s="937"/>
      <c r="S515" s="937"/>
      <c r="T515" s="937"/>
      <c r="U515" s="937"/>
      <c r="V515" s="937"/>
      <c r="W515" s="937"/>
      <c r="X515" s="937"/>
      <c r="Y515" s="937"/>
      <c r="Z515" s="937"/>
    </row>
    <row r="516" spans="1:26" ht="15.75" customHeight="1">
      <c r="A516" s="937"/>
      <c r="B516" s="937"/>
      <c r="C516" s="937"/>
      <c r="D516" s="937"/>
      <c r="E516" s="937"/>
      <c r="F516" s="937"/>
      <c r="G516" s="937"/>
      <c r="H516" s="937"/>
      <c r="I516" s="937"/>
      <c r="J516" s="937"/>
      <c r="K516" s="937"/>
      <c r="L516" s="937"/>
      <c r="M516" s="937"/>
      <c r="N516" s="937"/>
      <c r="O516" s="937"/>
      <c r="P516" s="937"/>
      <c r="Q516" s="937"/>
      <c r="R516" s="937"/>
      <c r="S516" s="937"/>
      <c r="T516" s="937"/>
      <c r="U516" s="937"/>
      <c r="V516" s="937"/>
      <c r="W516" s="937"/>
      <c r="X516" s="937"/>
      <c r="Y516" s="937"/>
      <c r="Z516" s="937"/>
    </row>
    <row r="517" spans="1:26" ht="15.75" customHeight="1">
      <c r="A517" s="937"/>
      <c r="B517" s="937"/>
      <c r="C517" s="937"/>
      <c r="D517" s="937"/>
      <c r="E517" s="937"/>
      <c r="F517" s="937"/>
      <c r="G517" s="937"/>
      <c r="H517" s="937"/>
      <c r="I517" s="937"/>
      <c r="J517" s="937"/>
      <c r="K517" s="937"/>
      <c r="L517" s="937"/>
      <c r="M517" s="937"/>
      <c r="N517" s="937"/>
      <c r="O517" s="937"/>
      <c r="P517" s="937"/>
      <c r="Q517" s="937"/>
      <c r="R517" s="937"/>
      <c r="S517" s="937"/>
      <c r="T517" s="937"/>
      <c r="U517" s="937"/>
      <c r="V517" s="937"/>
      <c r="W517" s="937"/>
      <c r="X517" s="937"/>
      <c r="Y517" s="937"/>
      <c r="Z517" s="937"/>
    </row>
    <row r="518" spans="1:26" ht="15.75" customHeight="1">
      <c r="A518" s="937"/>
      <c r="B518" s="937"/>
      <c r="C518" s="937"/>
      <c r="D518" s="937"/>
      <c r="E518" s="937"/>
      <c r="F518" s="937"/>
      <c r="G518" s="937"/>
      <c r="H518" s="937"/>
      <c r="I518" s="937"/>
      <c r="J518" s="937"/>
      <c r="K518" s="937"/>
      <c r="L518" s="937"/>
      <c r="M518" s="937"/>
      <c r="N518" s="937"/>
      <c r="O518" s="937"/>
      <c r="P518" s="937"/>
      <c r="Q518" s="937"/>
      <c r="R518" s="937"/>
      <c r="S518" s="937"/>
      <c r="T518" s="937"/>
      <c r="U518" s="937"/>
      <c r="V518" s="937"/>
      <c r="W518" s="937"/>
      <c r="X518" s="937"/>
      <c r="Y518" s="937"/>
      <c r="Z518" s="937"/>
    </row>
    <row r="519" spans="1:26" ht="15.75" customHeight="1">
      <c r="A519" s="937"/>
      <c r="B519" s="937"/>
      <c r="C519" s="937"/>
      <c r="D519" s="937"/>
      <c r="E519" s="937"/>
      <c r="F519" s="937"/>
      <c r="G519" s="937"/>
      <c r="H519" s="937"/>
      <c r="I519" s="937"/>
      <c r="J519" s="937"/>
      <c r="K519" s="937"/>
      <c r="L519" s="937"/>
      <c r="M519" s="937"/>
      <c r="N519" s="937"/>
      <c r="O519" s="937"/>
      <c r="P519" s="937"/>
      <c r="Q519" s="937"/>
      <c r="R519" s="937"/>
      <c r="S519" s="937"/>
      <c r="T519" s="937"/>
      <c r="U519" s="937"/>
      <c r="V519" s="937"/>
      <c r="W519" s="937"/>
      <c r="X519" s="937"/>
      <c r="Y519" s="937"/>
      <c r="Z519" s="937"/>
    </row>
    <row r="520" spans="1:26" ht="15.75" customHeight="1">
      <c r="A520" s="937"/>
      <c r="B520" s="937"/>
      <c r="C520" s="937"/>
      <c r="D520" s="937"/>
      <c r="E520" s="937"/>
      <c r="F520" s="937"/>
      <c r="G520" s="937"/>
      <c r="H520" s="937"/>
      <c r="I520" s="937"/>
      <c r="J520" s="937"/>
      <c r="K520" s="937"/>
      <c r="L520" s="937"/>
      <c r="M520" s="937"/>
      <c r="N520" s="937"/>
      <c r="O520" s="937"/>
      <c r="P520" s="937"/>
      <c r="Q520" s="937"/>
      <c r="R520" s="937"/>
      <c r="S520" s="937"/>
      <c r="T520" s="937"/>
      <c r="U520" s="937"/>
      <c r="V520" s="937"/>
      <c r="W520" s="937"/>
      <c r="X520" s="937"/>
      <c r="Y520" s="937"/>
      <c r="Z520" s="937"/>
    </row>
    <row r="521" spans="1:26" ht="15.75" customHeight="1">
      <c r="A521" s="937"/>
      <c r="B521" s="937"/>
      <c r="C521" s="937"/>
      <c r="D521" s="937"/>
      <c r="E521" s="937"/>
      <c r="F521" s="937"/>
      <c r="G521" s="937"/>
      <c r="H521" s="937"/>
      <c r="I521" s="937"/>
      <c r="J521" s="937"/>
      <c r="K521" s="937"/>
      <c r="L521" s="937"/>
      <c r="M521" s="937"/>
      <c r="N521" s="937"/>
      <c r="O521" s="937"/>
      <c r="P521" s="937"/>
      <c r="Q521" s="937"/>
      <c r="R521" s="937"/>
      <c r="S521" s="937"/>
      <c r="T521" s="937"/>
      <c r="U521" s="937"/>
      <c r="V521" s="937"/>
      <c r="W521" s="937"/>
      <c r="X521" s="937"/>
      <c r="Y521" s="937"/>
      <c r="Z521" s="937"/>
    </row>
    <row r="522" spans="1:26" ht="15.75" customHeight="1">
      <c r="A522" s="937"/>
      <c r="B522" s="937"/>
      <c r="C522" s="937"/>
      <c r="D522" s="937"/>
      <c r="E522" s="937"/>
      <c r="F522" s="937"/>
      <c r="G522" s="937"/>
      <c r="H522" s="937"/>
      <c r="I522" s="937"/>
      <c r="J522" s="937"/>
      <c r="K522" s="937"/>
      <c r="L522" s="937"/>
      <c r="M522" s="937"/>
      <c r="N522" s="937"/>
      <c r="O522" s="937"/>
      <c r="P522" s="937"/>
      <c r="Q522" s="937"/>
      <c r="R522" s="937"/>
      <c r="S522" s="937"/>
      <c r="T522" s="937"/>
      <c r="U522" s="937"/>
      <c r="V522" s="937"/>
      <c r="W522" s="937"/>
      <c r="X522" s="937"/>
      <c r="Y522" s="937"/>
      <c r="Z522" s="937"/>
    </row>
    <row r="523" spans="1:26" ht="15.75" customHeight="1">
      <c r="A523" s="937"/>
      <c r="B523" s="937"/>
      <c r="C523" s="937"/>
      <c r="D523" s="937"/>
      <c r="E523" s="937"/>
      <c r="F523" s="937"/>
      <c r="G523" s="937"/>
      <c r="H523" s="937"/>
      <c r="I523" s="937"/>
      <c r="J523" s="937"/>
      <c r="K523" s="937"/>
      <c r="L523" s="937"/>
      <c r="M523" s="937"/>
      <c r="N523" s="937"/>
      <c r="O523" s="937"/>
      <c r="P523" s="937"/>
      <c r="Q523" s="937"/>
      <c r="R523" s="937"/>
      <c r="S523" s="937"/>
      <c r="T523" s="937"/>
      <c r="U523" s="937"/>
      <c r="V523" s="937"/>
      <c r="W523" s="937"/>
      <c r="X523" s="937"/>
      <c r="Y523" s="937"/>
      <c r="Z523" s="937"/>
    </row>
    <row r="524" spans="1:26" ht="15.75" customHeight="1">
      <c r="A524" s="937"/>
      <c r="B524" s="937"/>
      <c r="C524" s="937"/>
      <c r="D524" s="937"/>
      <c r="E524" s="937"/>
      <c r="F524" s="937"/>
      <c r="G524" s="937"/>
      <c r="H524" s="937"/>
      <c r="I524" s="937"/>
      <c r="J524" s="937"/>
      <c r="K524" s="937"/>
      <c r="L524" s="937"/>
      <c r="M524" s="937"/>
      <c r="N524" s="937"/>
      <c r="O524" s="937"/>
      <c r="P524" s="937"/>
      <c r="Q524" s="937"/>
      <c r="R524" s="937"/>
      <c r="S524" s="937"/>
      <c r="T524" s="937"/>
      <c r="U524" s="937"/>
      <c r="V524" s="937"/>
      <c r="W524" s="937"/>
      <c r="X524" s="937"/>
      <c r="Y524" s="937"/>
      <c r="Z524" s="937"/>
    </row>
    <row r="525" spans="1:26" ht="15.75" customHeight="1">
      <c r="A525" s="937"/>
      <c r="B525" s="937"/>
      <c r="C525" s="937"/>
      <c r="D525" s="937"/>
      <c r="E525" s="937"/>
      <c r="F525" s="937"/>
      <c r="G525" s="937"/>
      <c r="H525" s="937"/>
      <c r="I525" s="937"/>
      <c r="J525" s="937"/>
      <c r="K525" s="937"/>
      <c r="L525" s="937"/>
      <c r="M525" s="937"/>
      <c r="N525" s="937"/>
      <c r="O525" s="937"/>
      <c r="P525" s="937"/>
      <c r="Q525" s="937"/>
      <c r="R525" s="937"/>
      <c r="S525" s="937"/>
      <c r="T525" s="937"/>
      <c r="U525" s="937"/>
      <c r="V525" s="937"/>
      <c r="W525" s="937"/>
      <c r="X525" s="937"/>
      <c r="Y525" s="937"/>
      <c r="Z525" s="937"/>
    </row>
    <row r="526" spans="1:26" ht="15.75" customHeight="1">
      <c r="A526" s="937"/>
      <c r="B526" s="937"/>
      <c r="C526" s="937"/>
      <c r="D526" s="937"/>
      <c r="E526" s="937"/>
      <c r="F526" s="937"/>
      <c r="G526" s="937"/>
      <c r="H526" s="937"/>
      <c r="I526" s="937"/>
      <c r="J526" s="937"/>
      <c r="K526" s="937"/>
      <c r="L526" s="937"/>
      <c r="M526" s="937"/>
      <c r="N526" s="937"/>
      <c r="O526" s="937"/>
      <c r="P526" s="937"/>
      <c r="Q526" s="937"/>
      <c r="R526" s="937"/>
      <c r="S526" s="937"/>
      <c r="T526" s="937"/>
      <c r="U526" s="937"/>
      <c r="V526" s="937"/>
      <c r="W526" s="937"/>
      <c r="X526" s="937"/>
      <c r="Y526" s="937"/>
      <c r="Z526" s="937"/>
    </row>
    <row r="527" spans="1:26" ht="15.75" customHeight="1">
      <c r="A527" s="937"/>
      <c r="B527" s="937"/>
      <c r="C527" s="937"/>
      <c r="D527" s="937"/>
      <c r="E527" s="937"/>
      <c r="F527" s="937"/>
      <c r="G527" s="937"/>
      <c r="H527" s="937"/>
      <c r="I527" s="937"/>
      <c r="J527" s="937"/>
      <c r="K527" s="937"/>
      <c r="L527" s="937"/>
      <c r="M527" s="937"/>
      <c r="N527" s="937"/>
      <c r="O527" s="937"/>
      <c r="P527" s="937"/>
      <c r="Q527" s="937"/>
      <c r="R527" s="937"/>
      <c r="S527" s="937"/>
      <c r="T527" s="937"/>
      <c r="U527" s="937"/>
      <c r="V527" s="937"/>
      <c r="W527" s="937"/>
      <c r="X527" s="937"/>
      <c r="Y527" s="937"/>
      <c r="Z527" s="937"/>
    </row>
    <row r="528" spans="1:26" ht="15.75" customHeight="1">
      <c r="A528" s="937"/>
      <c r="B528" s="937"/>
      <c r="C528" s="937"/>
      <c r="D528" s="937"/>
      <c r="E528" s="937"/>
      <c r="F528" s="937"/>
      <c r="G528" s="937"/>
      <c r="H528" s="937"/>
      <c r="I528" s="937"/>
      <c r="J528" s="937"/>
      <c r="K528" s="937"/>
      <c r="L528" s="937"/>
      <c r="M528" s="937"/>
      <c r="N528" s="937"/>
      <c r="O528" s="937"/>
      <c r="P528" s="937"/>
      <c r="Q528" s="937"/>
      <c r="R528" s="937"/>
      <c r="S528" s="937"/>
      <c r="T528" s="937"/>
      <c r="U528" s="937"/>
      <c r="V528" s="937"/>
      <c r="W528" s="937"/>
      <c r="X528" s="937"/>
      <c r="Y528" s="937"/>
      <c r="Z528" s="937"/>
    </row>
    <row r="529" spans="1:26" ht="15.75" customHeight="1">
      <c r="A529" s="937"/>
      <c r="B529" s="937"/>
      <c r="C529" s="937"/>
      <c r="D529" s="937"/>
      <c r="E529" s="937"/>
      <c r="F529" s="937"/>
      <c r="G529" s="937"/>
      <c r="H529" s="937"/>
      <c r="I529" s="937"/>
      <c r="J529" s="937"/>
      <c r="K529" s="937"/>
      <c r="L529" s="937"/>
      <c r="M529" s="937"/>
      <c r="N529" s="937"/>
      <c r="O529" s="937"/>
      <c r="P529" s="937"/>
      <c r="Q529" s="937"/>
      <c r="R529" s="937"/>
      <c r="S529" s="937"/>
      <c r="T529" s="937"/>
      <c r="U529" s="937"/>
      <c r="V529" s="937"/>
      <c r="W529" s="937"/>
      <c r="X529" s="937"/>
      <c r="Y529" s="937"/>
      <c r="Z529" s="937"/>
    </row>
    <row r="530" spans="1:26" ht="15.75" customHeight="1">
      <c r="A530" s="937"/>
      <c r="B530" s="937"/>
      <c r="C530" s="937"/>
      <c r="D530" s="937"/>
      <c r="E530" s="937"/>
      <c r="F530" s="937"/>
      <c r="G530" s="937"/>
      <c r="H530" s="937"/>
      <c r="I530" s="937"/>
      <c r="J530" s="937"/>
      <c r="K530" s="937"/>
      <c r="L530" s="937"/>
      <c r="M530" s="937"/>
      <c r="N530" s="937"/>
      <c r="O530" s="937"/>
      <c r="P530" s="937"/>
      <c r="Q530" s="937"/>
      <c r="R530" s="937"/>
      <c r="S530" s="937"/>
      <c r="T530" s="937"/>
      <c r="U530" s="937"/>
      <c r="V530" s="937"/>
      <c r="W530" s="937"/>
      <c r="X530" s="937"/>
      <c r="Y530" s="937"/>
      <c r="Z530" s="937"/>
    </row>
    <row r="531" spans="1:26" ht="15.75" customHeight="1">
      <c r="A531" s="937"/>
      <c r="B531" s="937"/>
      <c r="C531" s="937"/>
      <c r="D531" s="937"/>
      <c r="E531" s="937"/>
      <c r="F531" s="937"/>
      <c r="G531" s="937"/>
      <c r="H531" s="937"/>
      <c r="I531" s="937"/>
      <c r="J531" s="937"/>
      <c r="K531" s="937"/>
      <c r="L531" s="937"/>
      <c r="M531" s="937"/>
      <c r="N531" s="937"/>
      <c r="O531" s="937"/>
      <c r="P531" s="937"/>
      <c r="Q531" s="937"/>
      <c r="R531" s="937"/>
      <c r="S531" s="937"/>
      <c r="T531" s="937"/>
      <c r="U531" s="937"/>
      <c r="V531" s="937"/>
      <c r="W531" s="937"/>
      <c r="X531" s="937"/>
      <c r="Y531" s="937"/>
      <c r="Z531" s="937"/>
    </row>
    <row r="532" spans="1:26" ht="15.75" customHeight="1">
      <c r="A532" s="937"/>
      <c r="B532" s="937"/>
      <c r="C532" s="937"/>
      <c r="D532" s="937"/>
      <c r="E532" s="937"/>
      <c r="F532" s="937"/>
      <c r="G532" s="937"/>
      <c r="H532" s="937"/>
      <c r="I532" s="937"/>
      <c r="J532" s="937"/>
      <c r="K532" s="937"/>
      <c r="L532" s="937"/>
      <c r="M532" s="937"/>
      <c r="N532" s="937"/>
      <c r="O532" s="937"/>
      <c r="P532" s="937"/>
      <c r="Q532" s="937"/>
      <c r="R532" s="937"/>
      <c r="S532" s="937"/>
      <c r="T532" s="937"/>
      <c r="U532" s="937"/>
      <c r="V532" s="937"/>
      <c r="W532" s="937"/>
      <c r="X532" s="937"/>
      <c r="Y532" s="937"/>
      <c r="Z532" s="937"/>
    </row>
    <row r="533" spans="1:26" ht="15.75" customHeight="1">
      <c r="A533" s="937"/>
      <c r="B533" s="937"/>
      <c r="C533" s="937"/>
      <c r="D533" s="937"/>
      <c r="E533" s="937"/>
      <c r="F533" s="937"/>
      <c r="G533" s="937"/>
      <c r="H533" s="937"/>
      <c r="I533" s="937"/>
      <c r="J533" s="937"/>
      <c r="K533" s="937"/>
      <c r="L533" s="937"/>
      <c r="M533" s="937"/>
      <c r="N533" s="937"/>
      <c r="O533" s="937"/>
      <c r="P533" s="937"/>
      <c r="Q533" s="937"/>
      <c r="R533" s="937"/>
      <c r="S533" s="937"/>
      <c r="T533" s="937"/>
      <c r="U533" s="937"/>
      <c r="V533" s="937"/>
      <c r="W533" s="937"/>
      <c r="X533" s="937"/>
      <c r="Y533" s="937"/>
      <c r="Z533" s="937"/>
    </row>
    <row r="534" spans="1:26" ht="15.75" customHeight="1">
      <c r="A534" s="937"/>
      <c r="B534" s="937"/>
      <c r="C534" s="937"/>
      <c r="D534" s="937"/>
      <c r="E534" s="937"/>
      <c r="F534" s="937"/>
      <c r="G534" s="937"/>
      <c r="H534" s="937"/>
      <c r="I534" s="937"/>
      <c r="J534" s="937"/>
      <c r="K534" s="937"/>
      <c r="L534" s="937"/>
      <c r="M534" s="937"/>
      <c r="N534" s="937"/>
      <c r="O534" s="937"/>
      <c r="P534" s="937"/>
      <c r="Q534" s="937"/>
      <c r="R534" s="937"/>
      <c r="S534" s="937"/>
      <c r="T534" s="937"/>
      <c r="U534" s="937"/>
      <c r="V534" s="937"/>
      <c r="W534" s="937"/>
      <c r="X534" s="937"/>
      <c r="Y534" s="937"/>
      <c r="Z534" s="937"/>
    </row>
    <row r="535" spans="1:26" ht="15.75" customHeight="1">
      <c r="A535" s="937"/>
      <c r="B535" s="937"/>
      <c r="C535" s="937"/>
      <c r="D535" s="937"/>
      <c r="E535" s="937"/>
      <c r="F535" s="937"/>
      <c r="G535" s="937"/>
      <c r="H535" s="937"/>
      <c r="I535" s="937"/>
      <c r="J535" s="937"/>
      <c r="K535" s="937"/>
      <c r="L535" s="937"/>
      <c r="M535" s="937"/>
      <c r="N535" s="937"/>
      <c r="O535" s="937"/>
      <c r="P535" s="937"/>
      <c r="Q535" s="937"/>
      <c r="R535" s="937"/>
      <c r="S535" s="937"/>
      <c r="T535" s="937"/>
      <c r="U535" s="937"/>
      <c r="V535" s="937"/>
      <c r="W535" s="937"/>
      <c r="X535" s="937"/>
      <c r="Y535" s="937"/>
      <c r="Z535" s="937"/>
    </row>
    <row r="536" spans="1:26" ht="15.75" customHeight="1">
      <c r="A536" s="937"/>
      <c r="B536" s="937"/>
      <c r="C536" s="937"/>
      <c r="D536" s="937"/>
      <c r="E536" s="937"/>
      <c r="F536" s="937"/>
      <c r="G536" s="937"/>
      <c r="H536" s="937"/>
      <c r="I536" s="937"/>
      <c r="J536" s="937"/>
      <c r="K536" s="937"/>
      <c r="L536" s="937"/>
      <c r="M536" s="937"/>
      <c r="N536" s="937"/>
      <c r="O536" s="937"/>
      <c r="P536" s="937"/>
      <c r="Q536" s="937"/>
      <c r="R536" s="937"/>
      <c r="S536" s="937"/>
      <c r="T536" s="937"/>
      <c r="U536" s="937"/>
      <c r="V536" s="937"/>
      <c r="W536" s="937"/>
      <c r="X536" s="937"/>
      <c r="Y536" s="937"/>
      <c r="Z536" s="937"/>
    </row>
    <row r="537" spans="1:26" ht="15.75" customHeight="1">
      <c r="A537" s="937"/>
      <c r="B537" s="937"/>
      <c r="C537" s="937"/>
      <c r="D537" s="937"/>
      <c r="E537" s="937"/>
      <c r="F537" s="937"/>
      <c r="G537" s="937"/>
      <c r="H537" s="937"/>
      <c r="I537" s="937"/>
      <c r="J537" s="937"/>
      <c r="K537" s="937"/>
      <c r="L537" s="937"/>
      <c r="M537" s="937"/>
      <c r="N537" s="937"/>
      <c r="O537" s="937"/>
      <c r="P537" s="937"/>
      <c r="Q537" s="937"/>
      <c r="R537" s="937"/>
      <c r="S537" s="937"/>
      <c r="T537" s="937"/>
      <c r="U537" s="937"/>
      <c r="V537" s="937"/>
      <c r="W537" s="937"/>
      <c r="X537" s="937"/>
      <c r="Y537" s="937"/>
      <c r="Z537" s="937"/>
    </row>
    <row r="538" spans="1:26" ht="15.75" customHeight="1">
      <c r="A538" s="937"/>
      <c r="B538" s="937"/>
      <c r="C538" s="937"/>
      <c r="D538" s="937"/>
      <c r="E538" s="937"/>
      <c r="F538" s="937"/>
      <c r="G538" s="937"/>
      <c r="H538" s="937"/>
      <c r="I538" s="937"/>
      <c r="J538" s="937"/>
      <c r="K538" s="937"/>
      <c r="L538" s="937"/>
      <c r="M538" s="937"/>
      <c r="N538" s="937"/>
      <c r="O538" s="937"/>
      <c r="P538" s="937"/>
      <c r="Q538" s="937"/>
      <c r="R538" s="937"/>
      <c r="S538" s="937"/>
      <c r="T538" s="937"/>
      <c r="U538" s="937"/>
      <c r="V538" s="937"/>
      <c r="W538" s="937"/>
      <c r="X538" s="937"/>
      <c r="Y538" s="937"/>
      <c r="Z538" s="937"/>
    </row>
    <row r="539" spans="1:26" ht="15.75" customHeight="1">
      <c r="A539" s="937"/>
      <c r="B539" s="937"/>
      <c r="C539" s="937"/>
      <c r="D539" s="937"/>
      <c r="E539" s="937"/>
      <c r="F539" s="937"/>
      <c r="G539" s="937"/>
      <c r="H539" s="937"/>
      <c r="I539" s="937"/>
      <c r="J539" s="937"/>
      <c r="K539" s="937"/>
      <c r="L539" s="937"/>
      <c r="M539" s="937"/>
      <c r="N539" s="937"/>
      <c r="O539" s="937"/>
      <c r="P539" s="937"/>
      <c r="Q539" s="937"/>
      <c r="R539" s="937"/>
      <c r="S539" s="937"/>
      <c r="T539" s="937"/>
      <c r="U539" s="937"/>
      <c r="V539" s="937"/>
      <c r="W539" s="937"/>
      <c r="X539" s="937"/>
      <c r="Y539" s="937"/>
      <c r="Z539" s="937"/>
    </row>
    <row r="540" spans="1:26" ht="15.75" customHeight="1">
      <c r="A540" s="937"/>
      <c r="B540" s="937"/>
      <c r="C540" s="937"/>
      <c r="D540" s="937"/>
      <c r="E540" s="937"/>
      <c r="F540" s="937"/>
      <c r="G540" s="937"/>
      <c r="H540" s="937"/>
      <c r="I540" s="937"/>
      <c r="J540" s="937"/>
      <c r="K540" s="937"/>
      <c r="L540" s="937"/>
      <c r="M540" s="937"/>
      <c r="N540" s="937"/>
      <c r="O540" s="937"/>
      <c r="P540" s="937"/>
      <c r="Q540" s="937"/>
      <c r="R540" s="937"/>
      <c r="S540" s="937"/>
      <c r="T540" s="937"/>
      <c r="U540" s="937"/>
      <c r="V540" s="937"/>
      <c r="W540" s="937"/>
      <c r="X540" s="937"/>
      <c r="Y540" s="937"/>
      <c r="Z540" s="937"/>
    </row>
    <row r="541" spans="1:26" ht="15.75" customHeight="1">
      <c r="A541" s="937"/>
      <c r="B541" s="937"/>
      <c r="C541" s="937"/>
      <c r="D541" s="937"/>
      <c r="E541" s="937"/>
      <c r="F541" s="937"/>
      <c r="G541" s="937"/>
      <c r="H541" s="937"/>
      <c r="I541" s="937"/>
      <c r="J541" s="937"/>
      <c r="K541" s="937"/>
      <c r="L541" s="937"/>
      <c r="M541" s="937"/>
      <c r="N541" s="937"/>
      <c r="O541" s="937"/>
      <c r="P541" s="937"/>
      <c r="Q541" s="937"/>
      <c r="R541" s="937"/>
      <c r="S541" s="937"/>
      <c r="T541" s="937"/>
      <c r="U541" s="937"/>
      <c r="V541" s="937"/>
      <c r="W541" s="937"/>
      <c r="X541" s="937"/>
      <c r="Y541" s="937"/>
      <c r="Z541" s="937"/>
    </row>
    <row r="542" spans="1:26" ht="15.75" customHeight="1">
      <c r="A542" s="937"/>
      <c r="B542" s="937"/>
      <c r="C542" s="937"/>
      <c r="D542" s="937"/>
      <c r="E542" s="937"/>
      <c r="F542" s="937"/>
      <c r="G542" s="937"/>
      <c r="H542" s="937"/>
      <c r="I542" s="937"/>
      <c r="J542" s="937"/>
      <c r="K542" s="937"/>
      <c r="L542" s="937"/>
      <c r="M542" s="937"/>
      <c r="N542" s="937"/>
      <c r="O542" s="937"/>
      <c r="P542" s="937"/>
      <c r="Q542" s="937"/>
      <c r="R542" s="937"/>
      <c r="S542" s="937"/>
      <c r="T542" s="937"/>
      <c r="U542" s="937"/>
      <c r="V542" s="937"/>
      <c r="W542" s="937"/>
      <c r="X542" s="937"/>
      <c r="Y542" s="937"/>
      <c r="Z542" s="937"/>
    </row>
    <row r="543" spans="1:26" ht="15.75" customHeight="1">
      <c r="A543" s="937"/>
      <c r="B543" s="937"/>
      <c r="C543" s="937"/>
      <c r="D543" s="937"/>
      <c r="E543" s="937"/>
      <c r="F543" s="937"/>
      <c r="G543" s="937"/>
      <c r="H543" s="937"/>
      <c r="I543" s="937"/>
      <c r="J543" s="937"/>
      <c r="K543" s="937"/>
      <c r="L543" s="937"/>
      <c r="M543" s="937"/>
      <c r="N543" s="937"/>
      <c r="O543" s="937"/>
      <c r="P543" s="937"/>
      <c r="Q543" s="937"/>
      <c r="R543" s="937"/>
      <c r="S543" s="937"/>
      <c r="T543" s="937"/>
      <c r="U543" s="937"/>
      <c r="V543" s="937"/>
      <c r="W543" s="937"/>
      <c r="X543" s="937"/>
      <c r="Y543" s="937"/>
      <c r="Z543" s="937"/>
    </row>
    <row r="544" spans="1:26" ht="15.75" customHeight="1">
      <c r="A544" s="937"/>
      <c r="B544" s="937"/>
      <c r="C544" s="937"/>
      <c r="D544" s="937"/>
      <c r="E544" s="937"/>
      <c r="F544" s="937"/>
      <c r="G544" s="937"/>
      <c r="H544" s="937"/>
      <c r="I544" s="937"/>
      <c r="J544" s="937"/>
      <c r="K544" s="937"/>
      <c r="L544" s="937"/>
      <c r="M544" s="937"/>
      <c r="N544" s="937"/>
      <c r="O544" s="937"/>
      <c r="P544" s="937"/>
      <c r="Q544" s="937"/>
      <c r="R544" s="937"/>
      <c r="S544" s="937"/>
      <c r="T544" s="937"/>
      <c r="U544" s="937"/>
      <c r="V544" s="937"/>
      <c r="W544" s="937"/>
      <c r="X544" s="937"/>
      <c r="Y544" s="937"/>
      <c r="Z544" s="937"/>
    </row>
    <row r="545" spans="1:26" ht="15.75" customHeight="1">
      <c r="A545" s="937"/>
      <c r="B545" s="937"/>
      <c r="C545" s="937"/>
      <c r="D545" s="937"/>
      <c r="E545" s="937"/>
      <c r="F545" s="937"/>
      <c r="G545" s="937"/>
      <c r="H545" s="937"/>
      <c r="I545" s="937"/>
      <c r="J545" s="937"/>
      <c r="K545" s="937"/>
      <c r="L545" s="937"/>
      <c r="M545" s="937"/>
      <c r="N545" s="937"/>
      <c r="O545" s="937"/>
      <c r="P545" s="937"/>
      <c r="Q545" s="937"/>
      <c r="R545" s="937"/>
      <c r="S545" s="937"/>
      <c r="T545" s="937"/>
      <c r="U545" s="937"/>
      <c r="V545" s="937"/>
      <c r="W545" s="937"/>
      <c r="X545" s="937"/>
      <c r="Y545" s="937"/>
      <c r="Z545" s="937"/>
    </row>
    <row r="546" spans="1:26" ht="15.75" customHeight="1">
      <c r="A546" s="937"/>
      <c r="B546" s="937"/>
      <c r="C546" s="937"/>
      <c r="D546" s="937"/>
      <c r="E546" s="937"/>
      <c r="F546" s="937"/>
      <c r="G546" s="937"/>
      <c r="H546" s="937"/>
      <c r="I546" s="937"/>
      <c r="J546" s="937"/>
      <c r="K546" s="937"/>
      <c r="L546" s="937"/>
      <c r="M546" s="937"/>
      <c r="N546" s="937"/>
      <c r="O546" s="937"/>
      <c r="P546" s="937"/>
      <c r="Q546" s="937"/>
      <c r="R546" s="937"/>
      <c r="S546" s="937"/>
      <c r="T546" s="937"/>
      <c r="U546" s="937"/>
      <c r="V546" s="937"/>
      <c r="W546" s="937"/>
      <c r="X546" s="937"/>
      <c r="Y546" s="937"/>
      <c r="Z546" s="937"/>
    </row>
    <row r="547" spans="1:26" ht="15.75" customHeight="1">
      <c r="A547" s="937"/>
      <c r="B547" s="937"/>
      <c r="C547" s="937"/>
      <c r="D547" s="937"/>
      <c r="E547" s="937"/>
      <c r="F547" s="937"/>
      <c r="G547" s="937"/>
      <c r="H547" s="937"/>
      <c r="I547" s="937"/>
      <c r="J547" s="937"/>
      <c r="K547" s="937"/>
      <c r="L547" s="937"/>
      <c r="M547" s="937"/>
      <c r="N547" s="937"/>
      <c r="O547" s="937"/>
      <c r="P547" s="937"/>
      <c r="Q547" s="937"/>
      <c r="R547" s="937"/>
      <c r="S547" s="937"/>
      <c r="T547" s="937"/>
      <c r="U547" s="937"/>
      <c r="V547" s="937"/>
      <c r="W547" s="937"/>
      <c r="X547" s="937"/>
      <c r="Y547" s="937"/>
      <c r="Z547" s="937"/>
    </row>
    <row r="548" spans="1:26" ht="15.75" customHeight="1">
      <c r="A548" s="937"/>
      <c r="B548" s="937"/>
      <c r="C548" s="937"/>
      <c r="D548" s="937"/>
      <c r="E548" s="937"/>
      <c r="F548" s="937"/>
      <c r="G548" s="937"/>
      <c r="H548" s="937"/>
      <c r="I548" s="937"/>
      <c r="J548" s="937"/>
      <c r="K548" s="937"/>
      <c r="L548" s="937"/>
      <c r="M548" s="937"/>
      <c r="N548" s="937"/>
      <c r="O548" s="937"/>
      <c r="P548" s="937"/>
      <c r="Q548" s="937"/>
      <c r="R548" s="937"/>
      <c r="S548" s="937"/>
      <c r="T548" s="937"/>
      <c r="U548" s="937"/>
      <c r="V548" s="937"/>
      <c r="W548" s="937"/>
      <c r="X548" s="937"/>
      <c r="Y548" s="937"/>
      <c r="Z548" s="937"/>
    </row>
    <row r="549" spans="1:26" ht="15.75" customHeight="1">
      <c r="A549" s="937"/>
      <c r="B549" s="937"/>
      <c r="C549" s="937"/>
      <c r="D549" s="937"/>
      <c r="E549" s="937"/>
      <c r="F549" s="937"/>
      <c r="G549" s="937"/>
      <c r="H549" s="937"/>
      <c r="I549" s="937"/>
      <c r="J549" s="937"/>
      <c r="K549" s="937"/>
      <c r="L549" s="937"/>
      <c r="M549" s="937"/>
      <c r="N549" s="937"/>
      <c r="O549" s="937"/>
      <c r="P549" s="937"/>
      <c r="Q549" s="937"/>
      <c r="R549" s="937"/>
      <c r="S549" s="937"/>
      <c r="T549" s="937"/>
      <c r="U549" s="937"/>
      <c r="V549" s="937"/>
      <c r="W549" s="937"/>
      <c r="X549" s="937"/>
      <c r="Y549" s="937"/>
      <c r="Z549" s="937"/>
    </row>
    <row r="550" spans="1:26" ht="15.75" customHeight="1">
      <c r="A550" s="937"/>
      <c r="B550" s="937"/>
      <c r="C550" s="937"/>
      <c r="D550" s="937"/>
      <c r="E550" s="937"/>
      <c r="F550" s="937"/>
      <c r="G550" s="937"/>
      <c r="H550" s="937"/>
      <c r="I550" s="937"/>
      <c r="J550" s="937"/>
      <c r="K550" s="937"/>
      <c r="L550" s="937"/>
      <c r="M550" s="937"/>
      <c r="N550" s="937"/>
      <c r="O550" s="937"/>
      <c r="P550" s="937"/>
      <c r="Q550" s="937"/>
      <c r="R550" s="937"/>
      <c r="S550" s="937"/>
      <c r="T550" s="937"/>
      <c r="U550" s="937"/>
      <c r="V550" s="937"/>
      <c r="W550" s="937"/>
      <c r="X550" s="937"/>
      <c r="Y550" s="937"/>
      <c r="Z550" s="937"/>
    </row>
    <row r="551" spans="1:26" ht="15.75" customHeight="1">
      <c r="A551" s="937"/>
      <c r="B551" s="937"/>
      <c r="C551" s="937"/>
      <c r="D551" s="937"/>
      <c r="E551" s="937"/>
      <c r="F551" s="937"/>
      <c r="G551" s="937"/>
      <c r="H551" s="937"/>
      <c r="I551" s="937"/>
      <c r="J551" s="937"/>
      <c r="K551" s="937"/>
      <c r="L551" s="937"/>
      <c r="M551" s="937"/>
      <c r="N551" s="937"/>
      <c r="O551" s="937"/>
      <c r="P551" s="937"/>
      <c r="Q551" s="937"/>
      <c r="R551" s="937"/>
      <c r="S551" s="937"/>
      <c r="T551" s="937"/>
      <c r="U551" s="937"/>
      <c r="V551" s="937"/>
      <c r="W551" s="937"/>
      <c r="X551" s="937"/>
      <c r="Y551" s="937"/>
      <c r="Z551" s="937"/>
    </row>
    <row r="552" spans="1:26" ht="15.75" customHeight="1">
      <c r="A552" s="937"/>
      <c r="B552" s="937"/>
      <c r="C552" s="937"/>
      <c r="D552" s="937"/>
      <c r="E552" s="937"/>
      <c r="F552" s="937"/>
      <c r="G552" s="937"/>
      <c r="H552" s="937"/>
      <c r="I552" s="937"/>
      <c r="J552" s="937"/>
      <c r="K552" s="937"/>
      <c r="L552" s="937"/>
      <c r="M552" s="937"/>
      <c r="N552" s="937"/>
      <c r="O552" s="937"/>
      <c r="P552" s="937"/>
      <c r="Q552" s="937"/>
      <c r="R552" s="937"/>
      <c r="S552" s="937"/>
      <c r="T552" s="937"/>
      <c r="U552" s="937"/>
      <c r="V552" s="937"/>
      <c r="W552" s="937"/>
      <c r="X552" s="937"/>
      <c r="Y552" s="937"/>
      <c r="Z552" s="937"/>
    </row>
    <row r="553" spans="1:26" ht="15.75" customHeight="1">
      <c r="A553" s="937"/>
      <c r="B553" s="937"/>
      <c r="C553" s="937"/>
      <c r="D553" s="937"/>
      <c r="E553" s="937"/>
      <c r="F553" s="937"/>
      <c r="G553" s="937"/>
      <c r="H553" s="937"/>
      <c r="I553" s="937"/>
      <c r="J553" s="937"/>
      <c r="K553" s="937"/>
      <c r="L553" s="937"/>
      <c r="M553" s="937"/>
      <c r="N553" s="937"/>
      <c r="O553" s="937"/>
      <c r="P553" s="937"/>
      <c r="Q553" s="937"/>
      <c r="R553" s="937"/>
      <c r="S553" s="937"/>
      <c r="T553" s="937"/>
      <c r="U553" s="937"/>
      <c r="V553" s="937"/>
      <c r="W553" s="937"/>
      <c r="X553" s="937"/>
      <c r="Y553" s="937"/>
      <c r="Z553" s="937"/>
    </row>
    <row r="554" spans="1:26" ht="15.75" customHeight="1">
      <c r="A554" s="937"/>
      <c r="B554" s="937"/>
      <c r="C554" s="937"/>
      <c r="D554" s="937"/>
      <c r="E554" s="937"/>
      <c r="F554" s="937"/>
      <c r="G554" s="937"/>
      <c r="H554" s="937"/>
      <c r="I554" s="937"/>
      <c r="J554" s="937"/>
      <c r="K554" s="937"/>
      <c r="L554" s="937"/>
      <c r="M554" s="937"/>
      <c r="N554" s="937"/>
      <c r="O554" s="937"/>
      <c r="P554" s="937"/>
      <c r="Q554" s="937"/>
      <c r="R554" s="937"/>
      <c r="S554" s="937"/>
      <c r="T554" s="937"/>
      <c r="U554" s="937"/>
      <c r="V554" s="937"/>
      <c r="W554" s="937"/>
      <c r="X554" s="937"/>
      <c r="Y554" s="937"/>
      <c r="Z554" s="937"/>
    </row>
    <row r="555" spans="1:26" ht="15.75" customHeight="1">
      <c r="A555" s="937"/>
      <c r="B555" s="937"/>
      <c r="C555" s="937"/>
      <c r="D555" s="937"/>
      <c r="E555" s="937"/>
      <c r="F555" s="937"/>
      <c r="G555" s="937"/>
      <c r="H555" s="937"/>
      <c r="I555" s="937"/>
      <c r="J555" s="937"/>
      <c r="K555" s="937"/>
      <c r="L555" s="937"/>
      <c r="M555" s="937"/>
      <c r="N555" s="937"/>
      <c r="O555" s="937"/>
      <c r="P555" s="937"/>
      <c r="Q555" s="937"/>
      <c r="R555" s="937"/>
      <c r="S555" s="937"/>
      <c r="T555" s="937"/>
      <c r="U555" s="937"/>
      <c r="V555" s="937"/>
      <c r="W555" s="937"/>
      <c r="X555" s="937"/>
      <c r="Y555" s="937"/>
      <c r="Z555" s="937"/>
    </row>
    <row r="556" spans="1:26" ht="15.75" customHeight="1">
      <c r="A556" s="937"/>
      <c r="B556" s="937"/>
      <c r="C556" s="937"/>
      <c r="D556" s="937"/>
      <c r="E556" s="937"/>
      <c r="F556" s="937"/>
      <c r="G556" s="937"/>
      <c r="H556" s="937"/>
      <c r="I556" s="937"/>
      <c r="J556" s="937"/>
      <c r="K556" s="937"/>
      <c r="L556" s="937"/>
      <c r="M556" s="937"/>
      <c r="N556" s="937"/>
      <c r="O556" s="937"/>
      <c r="P556" s="937"/>
      <c r="Q556" s="937"/>
      <c r="R556" s="937"/>
      <c r="S556" s="937"/>
      <c r="T556" s="937"/>
      <c r="U556" s="937"/>
      <c r="V556" s="937"/>
      <c r="W556" s="937"/>
      <c r="X556" s="937"/>
      <c r="Y556" s="937"/>
      <c r="Z556" s="937"/>
    </row>
    <row r="557" spans="1:26" ht="15.75" customHeight="1">
      <c r="A557" s="937"/>
      <c r="B557" s="937"/>
      <c r="C557" s="937"/>
      <c r="D557" s="937"/>
      <c r="E557" s="937"/>
      <c r="F557" s="937"/>
      <c r="G557" s="937"/>
      <c r="H557" s="937"/>
      <c r="I557" s="937"/>
      <c r="J557" s="937"/>
      <c r="K557" s="937"/>
      <c r="L557" s="937"/>
      <c r="M557" s="937"/>
      <c r="N557" s="937"/>
      <c r="O557" s="937"/>
      <c r="P557" s="937"/>
      <c r="Q557" s="937"/>
      <c r="R557" s="937"/>
      <c r="S557" s="937"/>
      <c r="T557" s="937"/>
      <c r="U557" s="937"/>
      <c r="V557" s="937"/>
      <c r="W557" s="937"/>
      <c r="X557" s="937"/>
      <c r="Y557" s="937"/>
      <c r="Z557" s="937"/>
    </row>
    <row r="558" spans="1:26" ht="15.75" customHeight="1">
      <c r="A558" s="937"/>
      <c r="B558" s="937"/>
      <c r="C558" s="937"/>
      <c r="D558" s="937"/>
      <c r="E558" s="937"/>
      <c r="F558" s="937"/>
      <c r="G558" s="937"/>
      <c r="H558" s="937"/>
      <c r="I558" s="937"/>
      <c r="J558" s="937"/>
      <c r="K558" s="937"/>
      <c r="L558" s="937"/>
      <c r="M558" s="937"/>
      <c r="N558" s="937"/>
      <c r="O558" s="937"/>
      <c r="P558" s="937"/>
      <c r="Q558" s="937"/>
      <c r="R558" s="937"/>
      <c r="S558" s="937"/>
      <c r="T558" s="937"/>
      <c r="U558" s="937"/>
      <c r="V558" s="937"/>
      <c r="W558" s="937"/>
      <c r="X558" s="937"/>
      <c r="Y558" s="937"/>
      <c r="Z558" s="937"/>
    </row>
    <row r="559" spans="1:26" ht="15.75" customHeight="1">
      <c r="A559" s="937"/>
      <c r="B559" s="937"/>
      <c r="C559" s="937"/>
      <c r="D559" s="937"/>
      <c r="E559" s="937"/>
      <c r="F559" s="937"/>
      <c r="G559" s="937"/>
      <c r="H559" s="937"/>
      <c r="I559" s="937"/>
      <c r="J559" s="937"/>
      <c r="K559" s="937"/>
      <c r="L559" s="937"/>
      <c r="M559" s="937"/>
      <c r="N559" s="937"/>
      <c r="O559" s="937"/>
      <c r="P559" s="937"/>
      <c r="Q559" s="937"/>
      <c r="R559" s="937"/>
      <c r="S559" s="937"/>
      <c r="T559" s="937"/>
      <c r="U559" s="937"/>
      <c r="V559" s="937"/>
      <c r="W559" s="937"/>
      <c r="X559" s="937"/>
      <c r="Y559" s="937"/>
      <c r="Z559" s="937"/>
    </row>
    <row r="560" spans="1:26" ht="15.75" customHeight="1">
      <c r="A560" s="937"/>
      <c r="B560" s="937"/>
      <c r="C560" s="937"/>
      <c r="D560" s="937"/>
      <c r="E560" s="937"/>
      <c r="F560" s="937"/>
      <c r="G560" s="937"/>
      <c r="H560" s="937"/>
      <c r="I560" s="937"/>
      <c r="J560" s="937"/>
      <c r="K560" s="937"/>
      <c r="L560" s="937"/>
      <c r="M560" s="937"/>
      <c r="N560" s="937"/>
      <c r="O560" s="937"/>
      <c r="P560" s="937"/>
      <c r="Q560" s="937"/>
      <c r="R560" s="937"/>
      <c r="S560" s="937"/>
      <c r="T560" s="937"/>
      <c r="U560" s="937"/>
      <c r="V560" s="937"/>
      <c r="W560" s="937"/>
      <c r="X560" s="937"/>
      <c r="Y560" s="937"/>
      <c r="Z560" s="937"/>
    </row>
    <row r="561" spans="1:26" ht="15.75" customHeight="1">
      <c r="A561" s="937"/>
      <c r="B561" s="937"/>
      <c r="C561" s="937"/>
      <c r="D561" s="937"/>
      <c r="E561" s="937"/>
      <c r="F561" s="937"/>
      <c r="G561" s="937"/>
      <c r="H561" s="937"/>
      <c r="I561" s="937"/>
      <c r="J561" s="937"/>
      <c r="K561" s="937"/>
      <c r="L561" s="937"/>
      <c r="M561" s="937"/>
      <c r="N561" s="937"/>
      <c r="O561" s="937"/>
      <c r="P561" s="937"/>
      <c r="Q561" s="937"/>
      <c r="R561" s="937"/>
      <c r="S561" s="937"/>
      <c r="T561" s="937"/>
      <c r="U561" s="937"/>
      <c r="V561" s="937"/>
      <c r="W561" s="937"/>
      <c r="X561" s="937"/>
      <c r="Y561" s="937"/>
      <c r="Z561" s="937"/>
    </row>
    <row r="562" spans="1:26" ht="15.75" customHeight="1">
      <c r="A562" s="937"/>
      <c r="B562" s="937"/>
      <c r="C562" s="937"/>
      <c r="D562" s="937"/>
      <c r="E562" s="937"/>
      <c r="F562" s="937"/>
      <c r="G562" s="937"/>
      <c r="H562" s="937"/>
      <c r="I562" s="937"/>
      <c r="J562" s="937"/>
      <c r="K562" s="937"/>
      <c r="L562" s="937"/>
      <c r="M562" s="937"/>
      <c r="N562" s="937"/>
      <c r="O562" s="937"/>
      <c r="P562" s="937"/>
      <c r="Q562" s="937"/>
      <c r="R562" s="937"/>
      <c r="S562" s="937"/>
      <c r="T562" s="937"/>
      <c r="U562" s="937"/>
      <c r="V562" s="937"/>
      <c r="W562" s="937"/>
      <c r="X562" s="937"/>
      <c r="Y562" s="937"/>
      <c r="Z562" s="937"/>
    </row>
    <row r="563" spans="1:26" ht="15.75" customHeight="1">
      <c r="A563" s="937"/>
      <c r="B563" s="937"/>
      <c r="C563" s="937"/>
      <c r="D563" s="937"/>
      <c r="E563" s="937"/>
      <c r="F563" s="937"/>
      <c r="G563" s="937"/>
      <c r="H563" s="937"/>
      <c r="I563" s="937"/>
      <c r="J563" s="937"/>
      <c r="K563" s="937"/>
      <c r="L563" s="937"/>
      <c r="M563" s="937"/>
      <c r="N563" s="937"/>
      <c r="O563" s="937"/>
      <c r="P563" s="937"/>
      <c r="Q563" s="937"/>
      <c r="R563" s="937"/>
      <c r="S563" s="937"/>
      <c r="T563" s="937"/>
      <c r="U563" s="937"/>
      <c r="V563" s="937"/>
      <c r="W563" s="937"/>
      <c r="X563" s="937"/>
      <c r="Y563" s="937"/>
      <c r="Z563" s="937"/>
    </row>
    <row r="564" spans="1:26" ht="15.75" customHeight="1">
      <c r="A564" s="937"/>
      <c r="B564" s="937"/>
      <c r="C564" s="937"/>
      <c r="D564" s="937"/>
      <c r="E564" s="937"/>
      <c r="F564" s="937"/>
      <c r="G564" s="937"/>
      <c r="H564" s="937"/>
      <c r="I564" s="937"/>
      <c r="J564" s="937"/>
      <c r="K564" s="937"/>
      <c r="L564" s="937"/>
      <c r="M564" s="937"/>
      <c r="N564" s="937"/>
      <c r="O564" s="937"/>
      <c r="P564" s="937"/>
      <c r="Q564" s="937"/>
      <c r="R564" s="937"/>
      <c r="S564" s="937"/>
      <c r="T564" s="937"/>
      <c r="U564" s="937"/>
      <c r="V564" s="937"/>
      <c r="W564" s="937"/>
      <c r="X564" s="937"/>
      <c r="Y564" s="937"/>
      <c r="Z564" s="937"/>
    </row>
    <row r="565" spans="1:26" ht="15.75" customHeight="1">
      <c r="A565" s="937"/>
      <c r="B565" s="937"/>
      <c r="C565" s="937"/>
      <c r="D565" s="937"/>
      <c r="E565" s="937"/>
      <c r="F565" s="937"/>
      <c r="G565" s="937"/>
      <c r="H565" s="937"/>
      <c r="I565" s="937"/>
      <c r="J565" s="937"/>
      <c r="K565" s="937"/>
      <c r="L565" s="937"/>
      <c r="M565" s="937"/>
      <c r="N565" s="937"/>
      <c r="O565" s="937"/>
      <c r="P565" s="937"/>
      <c r="Q565" s="937"/>
      <c r="R565" s="937"/>
      <c r="S565" s="937"/>
      <c r="T565" s="937"/>
      <c r="U565" s="937"/>
      <c r="V565" s="937"/>
      <c r="W565" s="937"/>
      <c r="X565" s="937"/>
      <c r="Y565" s="937"/>
      <c r="Z565" s="937"/>
    </row>
    <row r="566" spans="1:26" ht="15.75" customHeight="1">
      <c r="A566" s="937"/>
      <c r="B566" s="937"/>
      <c r="C566" s="937"/>
      <c r="D566" s="937"/>
      <c r="E566" s="937"/>
      <c r="F566" s="937"/>
      <c r="G566" s="937"/>
      <c r="H566" s="937"/>
      <c r="I566" s="937"/>
      <c r="J566" s="937"/>
      <c r="K566" s="937"/>
      <c r="L566" s="937"/>
      <c r="M566" s="937"/>
      <c r="N566" s="937"/>
      <c r="O566" s="937"/>
      <c r="P566" s="937"/>
      <c r="Q566" s="937"/>
      <c r="R566" s="937"/>
      <c r="S566" s="937"/>
      <c r="T566" s="937"/>
      <c r="U566" s="937"/>
      <c r="V566" s="937"/>
      <c r="W566" s="937"/>
      <c r="X566" s="937"/>
      <c r="Y566" s="937"/>
      <c r="Z566" s="937"/>
    </row>
    <row r="567" spans="1:26" ht="15.75" customHeight="1">
      <c r="A567" s="937"/>
      <c r="B567" s="937"/>
      <c r="C567" s="937"/>
      <c r="D567" s="937"/>
      <c r="E567" s="937"/>
      <c r="F567" s="937"/>
      <c r="G567" s="937"/>
      <c r="H567" s="937"/>
      <c r="I567" s="937"/>
      <c r="J567" s="937"/>
      <c r="K567" s="937"/>
      <c r="L567" s="937"/>
      <c r="M567" s="937"/>
      <c r="N567" s="937"/>
      <c r="O567" s="937"/>
      <c r="P567" s="937"/>
      <c r="Q567" s="937"/>
      <c r="R567" s="937"/>
      <c r="S567" s="937"/>
      <c r="T567" s="937"/>
      <c r="U567" s="937"/>
      <c r="V567" s="937"/>
      <c r="W567" s="937"/>
      <c r="X567" s="937"/>
      <c r="Y567" s="937"/>
      <c r="Z567" s="937"/>
    </row>
    <row r="568" spans="1:26" ht="15.75" customHeight="1">
      <c r="A568" s="937"/>
      <c r="B568" s="937"/>
      <c r="C568" s="937"/>
      <c r="D568" s="937"/>
      <c r="E568" s="937"/>
      <c r="F568" s="937"/>
      <c r="G568" s="937"/>
      <c r="H568" s="937"/>
      <c r="I568" s="937"/>
      <c r="J568" s="937"/>
      <c r="K568" s="937"/>
      <c r="L568" s="937"/>
      <c r="M568" s="937"/>
      <c r="N568" s="937"/>
      <c r="O568" s="937"/>
      <c r="P568" s="937"/>
      <c r="Q568" s="937"/>
      <c r="R568" s="937"/>
      <c r="S568" s="937"/>
      <c r="T568" s="937"/>
      <c r="U568" s="937"/>
      <c r="V568" s="937"/>
      <c r="W568" s="937"/>
      <c r="X568" s="937"/>
      <c r="Y568" s="937"/>
      <c r="Z568" s="937"/>
    </row>
    <row r="569" spans="1:26" ht="15.75" customHeight="1">
      <c r="A569" s="937"/>
      <c r="B569" s="937"/>
      <c r="C569" s="937"/>
      <c r="D569" s="937"/>
      <c r="E569" s="937"/>
      <c r="F569" s="937"/>
      <c r="G569" s="937"/>
      <c r="H569" s="937"/>
      <c r="I569" s="937"/>
      <c r="J569" s="937"/>
      <c r="K569" s="937"/>
      <c r="L569" s="937"/>
      <c r="M569" s="937"/>
      <c r="N569" s="937"/>
      <c r="O569" s="937"/>
      <c r="P569" s="937"/>
      <c r="Q569" s="937"/>
      <c r="R569" s="937"/>
      <c r="S569" s="937"/>
      <c r="T569" s="937"/>
      <c r="U569" s="937"/>
      <c r="V569" s="937"/>
      <c r="W569" s="937"/>
      <c r="X569" s="937"/>
      <c r="Y569" s="937"/>
      <c r="Z569" s="937"/>
    </row>
    <row r="570" spans="1:26" ht="15.75" customHeight="1">
      <c r="A570" s="937"/>
      <c r="B570" s="937"/>
      <c r="C570" s="937"/>
      <c r="D570" s="937"/>
      <c r="E570" s="937"/>
      <c r="F570" s="937"/>
      <c r="G570" s="937"/>
      <c r="H570" s="937"/>
      <c r="I570" s="937"/>
      <c r="J570" s="937"/>
      <c r="K570" s="937"/>
      <c r="L570" s="937"/>
      <c r="M570" s="937"/>
      <c r="N570" s="937"/>
      <c r="O570" s="937"/>
      <c r="P570" s="937"/>
      <c r="Q570" s="937"/>
      <c r="R570" s="937"/>
      <c r="S570" s="937"/>
      <c r="T570" s="937"/>
      <c r="U570" s="937"/>
      <c r="V570" s="937"/>
      <c r="W570" s="937"/>
      <c r="X570" s="937"/>
      <c r="Y570" s="937"/>
      <c r="Z570" s="937"/>
    </row>
    <row r="571" spans="1:26" ht="15.75" customHeight="1">
      <c r="A571" s="937"/>
      <c r="B571" s="937"/>
      <c r="C571" s="937"/>
      <c r="D571" s="937"/>
      <c r="E571" s="937"/>
      <c r="F571" s="937"/>
      <c r="G571" s="937"/>
      <c r="H571" s="937"/>
      <c r="I571" s="937"/>
      <c r="J571" s="937"/>
      <c r="K571" s="937"/>
      <c r="L571" s="937"/>
      <c r="M571" s="937"/>
      <c r="N571" s="937"/>
      <c r="O571" s="937"/>
      <c r="P571" s="937"/>
      <c r="Q571" s="937"/>
      <c r="R571" s="937"/>
      <c r="S571" s="937"/>
      <c r="T571" s="937"/>
      <c r="U571" s="937"/>
      <c r="V571" s="937"/>
      <c r="W571" s="937"/>
      <c r="X571" s="937"/>
      <c r="Y571" s="937"/>
      <c r="Z571" s="937"/>
    </row>
    <row r="572" spans="1:26" ht="15.75" customHeight="1">
      <c r="A572" s="937"/>
      <c r="B572" s="937"/>
      <c r="C572" s="937"/>
      <c r="D572" s="937"/>
      <c r="E572" s="937"/>
      <c r="F572" s="937"/>
      <c r="G572" s="937"/>
      <c r="H572" s="937"/>
      <c r="I572" s="937"/>
      <c r="J572" s="937"/>
      <c r="K572" s="937"/>
      <c r="L572" s="937"/>
      <c r="M572" s="937"/>
      <c r="N572" s="937"/>
      <c r="O572" s="937"/>
      <c r="P572" s="937"/>
      <c r="Q572" s="937"/>
      <c r="R572" s="937"/>
      <c r="S572" s="937"/>
      <c r="T572" s="937"/>
      <c r="U572" s="937"/>
      <c r="V572" s="937"/>
      <c r="W572" s="937"/>
      <c r="X572" s="937"/>
      <c r="Y572" s="937"/>
      <c r="Z572" s="937"/>
    </row>
    <row r="573" spans="1:26" ht="15.75" customHeight="1">
      <c r="A573" s="937"/>
      <c r="B573" s="937"/>
      <c r="C573" s="937"/>
      <c r="D573" s="937"/>
      <c r="E573" s="937"/>
      <c r="F573" s="937"/>
      <c r="G573" s="937"/>
      <c r="H573" s="937"/>
      <c r="I573" s="937"/>
      <c r="J573" s="937"/>
      <c r="K573" s="937"/>
      <c r="L573" s="937"/>
      <c r="M573" s="937"/>
      <c r="N573" s="937"/>
      <c r="O573" s="937"/>
      <c r="P573" s="937"/>
      <c r="Q573" s="937"/>
      <c r="R573" s="937"/>
      <c r="S573" s="937"/>
      <c r="T573" s="937"/>
      <c r="U573" s="937"/>
      <c r="V573" s="937"/>
      <c r="W573" s="937"/>
      <c r="X573" s="937"/>
      <c r="Y573" s="937"/>
      <c r="Z573" s="937"/>
    </row>
    <row r="574" spans="1:26" ht="15.75" customHeight="1">
      <c r="A574" s="937"/>
      <c r="B574" s="937"/>
      <c r="C574" s="937"/>
      <c r="D574" s="937"/>
      <c r="E574" s="937"/>
      <c r="F574" s="937"/>
      <c r="G574" s="937"/>
      <c r="H574" s="937"/>
      <c r="I574" s="937"/>
      <c r="J574" s="937"/>
      <c r="K574" s="937"/>
      <c r="L574" s="937"/>
      <c r="M574" s="937"/>
      <c r="N574" s="937"/>
      <c r="O574" s="937"/>
      <c r="P574" s="937"/>
      <c r="Q574" s="937"/>
      <c r="R574" s="937"/>
      <c r="S574" s="937"/>
      <c r="T574" s="937"/>
      <c r="U574" s="937"/>
      <c r="V574" s="937"/>
      <c r="W574" s="937"/>
      <c r="X574" s="937"/>
      <c r="Y574" s="937"/>
      <c r="Z574" s="937"/>
    </row>
    <row r="575" spans="1:26" ht="15.75" customHeight="1">
      <c r="A575" s="937"/>
      <c r="B575" s="937"/>
      <c r="C575" s="937"/>
      <c r="D575" s="937"/>
      <c r="E575" s="937"/>
      <c r="F575" s="937"/>
      <c r="G575" s="937"/>
      <c r="H575" s="937"/>
      <c r="I575" s="937"/>
      <c r="J575" s="937"/>
      <c r="K575" s="937"/>
      <c r="L575" s="937"/>
      <c r="M575" s="937"/>
      <c r="N575" s="937"/>
      <c r="O575" s="937"/>
      <c r="P575" s="937"/>
      <c r="Q575" s="937"/>
      <c r="R575" s="937"/>
      <c r="S575" s="937"/>
      <c r="T575" s="937"/>
      <c r="U575" s="937"/>
      <c r="V575" s="937"/>
      <c r="W575" s="937"/>
      <c r="X575" s="937"/>
      <c r="Y575" s="937"/>
      <c r="Z575" s="937"/>
    </row>
    <row r="576" spans="1:26" ht="15.75" customHeight="1">
      <c r="A576" s="937"/>
      <c r="B576" s="937"/>
      <c r="C576" s="937"/>
      <c r="D576" s="937"/>
      <c r="E576" s="937"/>
      <c r="F576" s="937"/>
      <c r="G576" s="937"/>
      <c r="H576" s="937"/>
      <c r="I576" s="937"/>
      <c r="J576" s="937"/>
      <c r="K576" s="937"/>
      <c r="L576" s="937"/>
      <c r="M576" s="937"/>
      <c r="N576" s="937"/>
      <c r="O576" s="937"/>
      <c r="P576" s="937"/>
      <c r="Q576" s="937"/>
      <c r="R576" s="937"/>
      <c r="S576" s="937"/>
      <c r="T576" s="937"/>
      <c r="U576" s="937"/>
      <c r="V576" s="937"/>
      <c r="W576" s="937"/>
      <c r="X576" s="937"/>
      <c r="Y576" s="937"/>
      <c r="Z576" s="937"/>
    </row>
    <row r="577" spans="1:26" ht="15.75" customHeight="1">
      <c r="A577" s="937"/>
      <c r="B577" s="937"/>
      <c r="C577" s="937"/>
      <c r="D577" s="937"/>
      <c r="E577" s="937"/>
      <c r="F577" s="937"/>
      <c r="G577" s="937"/>
      <c r="H577" s="937"/>
      <c r="I577" s="937"/>
      <c r="J577" s="937"/>
      <c r="K577" s="937"/>
      <c r="L577" s="937"/>
      <c r="M577" s="937"/>
      <c r="N577" s="937"/>
      <c r="O577" s="937"/>
      <c r="P577" s="937"/>
      <c r="Q577" s="937"/>
      <c r="R577" s="937"/>
      <c r="S577" s="937"/>
      <c r="T577" s="937"/>
      <c r="U577" s="937"/>
      <c r="V577" s="937"/>
      <c r="W577" s="937"/>
      <c r="X577" s="937"/>
      <c r="Y577" s="937"/>
      <c r="Z577" s="937"/>
    </row>
    <row r="578" spans="1:26" ht="15.75" customHeight="1">
      <c r="A578" s="937"/>
      <c r="B578" s="937"/>
      <c r="C578" s="937"/>
      <c r="D578" s="937"/>
      <c r="E578" s="937"/>
      <c r="F578" s="937"/>
      <c r="G578" s="937"/>
      <c r="H578" s="937"/>
      <c r="I578" s="937"/>
      <c r="J578" s="937"/>
      <c r="K578" s="937"/>
      <c r="L578" s="937"/>
      <c r="M578" s="937"/>
      <c r="N578" s="937"/>
      <c r="O578" s="937"/>
      <c r="P578" s="937"/>
      <c r="Q578" s="937"/>
      <c r="R578" s="937"/>
      <c r="S578" s="937"/>
      <c r="T578" s="937"/>
      <c r="U578" s="937"/>
      <c r="V578" s="937"/>
      <c r="W578" s="937"/>
      <c r="X578" s="937"/>
      <c r="Y578" s="937"/>
      <c r="Z578" s="937"/>
    </row>
    <row r="579" spans="1:26" ht="15.75" customHeight="1">
      <c r="A579" s="937"/>
      <c r="B579" s="937"/>
      <c r="C579" s="937"/>
      <c r="D579" s="937"/>
      <c r="E579" s="937"/>
      <c r="F579" s="937"/>
      <c r="G579" s="937"/>
      <c r="H579" s="937"/>
      <c r="I579" s="937"/>
      <c r="J579" s="937"/>
      <c r="K579" s="937"/>
      <c r="L579" s="937"/>
      <c r="M579" s="937"/>
      <c r="N579" s="937"/>
      <c r="O579" s="937"/>
      <c r="P579" s="937"/>
      <c r="Q579" s="937"/>
      <c r="R579" s="937"/>
      <c r="S579" s="937"/>
      <c r="T579" s="937"/>
      <c r="U579" s="937"/>
      <c r="V579" s="937"/>
      <c r="W579" s="937"/>
      <c r="X579" s="937"/>
      <c r="Y579" s="937"/>
      <c r="Z579" s="937"/>
    </row>
    <row r="580" spans="1:26" ht="15.75" customHeight="1">
      <c r="A580" s="937"/>
      <c r="B580" s="937"/>
      <c r="C580" s="937"/>
      <c r="D580" s="937"/>
      <c r="E580" s="937"/>
      <c r="F580" s="937"/>
      <c r="G580" s="937"/>
      <c r="H580" s="937"/>
      <c r="I580" s="937"/>
      <c r="J580" s="937"/>
      <c r="K580" s="937"/>
      <c r="L580" s="937"/>
      <c r="M580" s="937"/>
      <c r="N580" s="937"/>
      <c r="O580" s="937"/>
      <c r="P580" s="937"/>
      <c r="Q580" s="937"/>
      <c r="R580" s="937"/>
      <c r="S580" s="937"/>
      <c r="T580" s="937"/>
      <c r="U580" s="937"/>
      <c r="V580" s="937"/>
      <c r="W580" s="937"/>
      <c r="X580" s="937"/>
      <c r="Y580" s="937"/>
      <c r="Z580" s="937"/>
    </row>
    <row r="581" spans="1:26" ht="15.75" customHeight="1">
      <c r="A581" s="937"/>
      <c r="B581" s="937"/>
      <c r="C581" s="937"/>
      <c r="D581" s="937"/>
      <c r="E581" s="937"/>
      <c r="F581" s="937"/>
      <c r="G581" s="937"/>
      <c r="H581" s="937"/>
      <c r="I581" s="937"/>
      <c r="J581" s="937"/>
      <c r="K581" s="937"/>
      <c r="L581" s="937"/>
      <c r="M581" s="937"/>
      <c r="N581" s="937"/>
      <c r="O581" s="937"/>
      <c r="P581" s="937"/>
      <c r="Q581" s="937"/>
      <c r="R581" s="937"/>
      <c r="S581" s="937"/>
      <c r="T581" s="937"/>
      <c r="U581" s="937"/>
      <c r="V581" s="937"/>
      <c r="W581" s="937"/>
      <c r="X581" s="937"/>
      <c r="Y581" s="937"/>
      <c r="Z581" s="937"/>
    </row>
    <row r="582" spans="1:26" ht="15.75" customHeight="1">
      <c r="A582" s="937"/>
      <c r="B582" s="937"/>
      <c r="C582" s="937"/>
      <c r="D582" s="937"/>
      <c r="E582" s="937"/>
      <c r="F582" s="937"/>
      <c r="G582" s="937"/>
      <c r="H582" s="937"/>
      <c r="I582" s="937"/>
      <c r="J582" s="937"/>
      <c r="K582" s="937"/>
      <c r="L582" s="937"/>
      <c r="M582" s="937"/>
      <c r="N582" s="937"/>
      <c r="O582" s="937"/>
      <c r="P582" s="937"/>
      <c r="Q582" s="937"/>
      <c r="R582" s="937"/>
      <c r="S582" s="937"/>
      <c r="T582" s="937"/>
      <c r="U582" s="937"/>
      <c r="V582" s="937"/>
      <c r="W582" s="937"/>
      <c r="X582" s="937"/>
      <c r="Y582" s="937"/>
      <c r="Z582" s="937"/>
    </row>
    <row r="583" spans="1:26" ht="15.75" customHeight="1">
      <c r="A583" s="937"/>
      <c r="B583" s="937"/>
      <c r="C583" s="937"/>
      <c r="D583" s="937"/>
      <c r="E583" s="937"/>
      <c r="F583" s="937"/>
      <c r="G583" s="937"/>
      <c r="H583" s="937"/>
      <c r="I583" s="937"/>
      <c r="J583" s="937"/>
      <c r="K583" s="937"/>
      <c r="L583" s="937"/>
      <c r="M583" s="937"/>
      <c r="N583" s="937"/>
      <c r="O583" s="937"/>
      <c r="P583" s="937"/>
      <c r="Q583" s="937"/>
      <c r="R583" s="937"/>
      <c r="S583" s="937"/>
      <c r="T583" s="937"/>
      <c r="U583" s="937"/>
      <c r="V583" s="937"/>
      <c r="W583" s="937"/>
      <c r="X583" s="937"/>
      <c r="Y583" s="937"/>
      <c r="Z583" s="937"/>
    </row>
    <row r="584" spans="1:26" ht="15.75" customHeight="1">
      <c r="A584" s="937"/>
      <c r="B584" s="937"/>
      <c r="C584" s="937"/>
      <c r="D584" s="937"/>
      <c r="E584" s="937"/>
      <c r="F584" s="937"/>
      <c r="G584" s="937"/>
      <c r="H584" s="937"/>
      <c r="I584" s="937"/>
      <c r="J584" s="937"/>
      <c r="K584" s="937"/>
      <c r="L584" s="937"/>
      <c r="M584" s="937"/>
      <c r="N584" s="937"/>
      <c r="O584" s="937"/>
      <c r="P584" s="937"/>
      <c r="Q584" s="937"/>
      <c r="R584" s="937"/>
      <c r="S584" s="937"/>
      <c r="T584" s="937"/>
      <c r="U584" s="937"/>
      <c r="V584" s="937"/>
      <c r="W584" s="937"/>
      <c r="X584" s="937"/>
      <c r="Y584" s="937"/>
      <c r="Z584" s="937"/>
    </row>
    <row r="585" spans="1:26" ht="15.75" customHeight="1">
      <c r="A585" s="937"/>
      <c r="B585" s="937"/>
      <c r="C585" s="937"/>
      <c r="D585" s="937"/>
      <c r="E585" s="937"/>
      <c r="F585" s="937"/>
      <c r="G585" s="937"/>
      <c r="H585" s="937"/>
      <c r="I585" s="937"/>
      <c r="J585" s="937"/>
      <c r="K585" s="937"/>
      <c r="L585" s="937"/>
      <c r="M585" s="937"/>
      <c r="N585" s="937"/>
      <c r="O585" s="937"/>
      <c r="P585" s="937"/>
      <c r="Q585" s="937"/>
      <c r="R585" s="937"/>
      <c r="S585" s="937"/>
      <c r="T585" s="937"/>
      <c r="U585" s="937"/>
      <c r="V585" s="937"/>
      <c r="W585" s="937"/>
      <c r="X585" s="937"/>
      <c r="Y585" s="937"/>
      <c r="Z585" s="937"/>
    </row>
    <row r="586" spans="1:26" ht="15.75" customHeight="1">
      <c r="A586" s="937"/>
      <c r="B586" s="937"/>
      <c r="C586" s="937"/>
      <c r="D586" s="937"/>
      <c r="E586" s="937"/>
      <c r="F586" s="937"/>
      <c r="G586" s="937"/>
      <c r="H586" s="937"/>
      <c r="I586" s="937"/>
      <c r="J586" s="937"/>
      <c r="K586" s="937"/>
      <c r="L586" s="937"/>
      <c r="M586" s="937"/>
      <c r="N586" s="937"/>
      <c r="O586" s="937"/>
      <c r="P586" s="937"/>
      <c r="Q586" s="937"/>
      <c r="R586" s="937"/>
      <c r="S586" s="937"/>
      <c r="T586" s="937"/>
      <c r="U586" s="937"/>
      <c r="V586" s="937"/>
      <c r="W586" s="937"/>
      <c r="X586" s="937"/>
      <c r="Y586" s="937"/>
      <c r="Z586" s="937"/>
    </row>
    <row r="587" spans="1:26" ht="15.75" customHeight="1">
      <c r="A587" s="937"/>
      <c r="B587" s="937"/>
      <c r="C587" s="937"/>
      <c r="D587" s="937"/>
      <c r="E587" s="937"/>
      <c r="F587" s="937"/>
      <c r="G587" s="937"/>
      <c r="H587" s="937"/>
      <c r="I587" s="937"/>
      <c r="J587" s="937"/>
      <c r="K587" s="937"/>
      <c r="L587" s="937"/>
      <c r="M587" s="937"/>
      <c r="N587" s="937"/>
      <c r="O587" s="937"/>
      <c r="P587" s="937"/>
      <c r="Q587" s="937"/>
      <c r="R587" s="937"/>
      <c r="S587" s="937"/>
      <c r="T587" s="937"/>
      <c r="U587" s="937"/>
      <c r="V587" s="937"/>
      <c r="W587" s="937"/>
      <c r="X587" s="937"/>
      <c r="Y587" s="937"/>
      <c r="Z587" s="937"/>
    </row>
    <row r="588" spans="1:26" ht="15.75" customHeight="1">
      <c r="A588" s="937"/>
      <c r="B588" s="937"/>
      <c r="C588" s="937"/>
      <c r="D588" s="937"/>
      <c r="E588" s="937"/>
      <c r="F588" s="937"/>
      <c r="G588" s="937"/>
      <c r="H588" s="937"/>
      <c r="I588" s="937"/>
      <c r="J588" s="937"/>
      <c r="K588" s="937"/>
      <c r="L588" s="937"/>
      <c r="M588" s="937"/>
      <c r="N588" s="937"/>
      <c r="O588" s="937"/>
      <c r="P588" s="937"/>
      <c r="Q588" s="937"/>
      <c r="R588" s="937"/>
      <c r="S588" s="937"/>
      <c r="T588" s="937"/>
      <c r="U588" s="937"/>
      <c r="V588" s="937"/>
      <c r="W588" s="937"/>
      <c r="X588" s="937"/>
      <c r="Y588" s="937"/>
      <c r="Z588" s="937"/>
    </row>
    <row r="589" spans="1:26" ht="15.75" customHeight="1">
      <c r="A589" s="937"/>
      <c r="B589" s="937"/>
      <c r="C589" s="937"/>
      <c r="D589" s="937"/>
      <c r="E589" s="937"/>
      <c r="F589" s="937"/>
      <c r="G589" s="937"/>
      <c r="H589" s="937"/>
      <c r="I589" s="937"/>
      <c r="J589" s="937"/>
      <c r="K589" s="937"/>
      <c r="L589" s="937"/>
      <c r="M589" s="937"/>
      <c r="N589" s="937"/>
      <c r="O589" s="937"/>
      <c r="P589" s="937"/>
      <c r="Q589" s="937"/>
      <c r="R589" s="937"/>
      <c r="S589" s="937"/>
      <c r="T589" s="937"/>
      <c r="U589" s="937"/>
      <c r="V589" s="937"/>
      <c r="W589" s="937"/>
      <c r="X589" s="937"/>
      <c r="Y589" s="937"/>
      <c r="Z589" s="937"/>
    </row>
    <row r="590" spans="1:26" ht="15.75" customHeight="1">
      <c r="A590" s="937"/>
      <c r="B590" s="937"/>
      <c r="C590" s="937"/>
      <c r="D590" s="937"/>
      <c r="E590" s="937"/>
      <c r="F590" s="937"/>
      <c r="G590" s="937"/>
      <c r="H590" s="937"/>
      <c r="I590" s="937"/>
      <c r="J590" s="937"/>
      <c r="K590" s="937"/>
      <c r="L590" s="937"/>
      <c r="M590" s="937"/>
      <c r="N590" s="937"/>
      <c r="O590" s="937"/>
      <c r="P590" s="937"/>
      <c r="Q590" s="937"/>
      <c r="R590" s="937"/>
      <c r="S590" s="937"/>
      <c r="T590" s="937"/>
      <c r="U590" s="937"/>
      <c r="V590" s="937"/>
      <c r="W590" s="937"/>
      <c r="X590" s="937"/>
      <c r="Y590" s="937"/>
      <c r="Z590" s="937"/>
    </row>
    <row r="591" spans="1:26" ht="15.75" customHeight="1">
      <c r="A591" s="937"/>
      <c r="B591" s="937"/>
      <c r="C591" s="937"/>
      <c r="D591" s="937"/>
      <c r="E591" s="937"/>
      <c r="F591" s="937"/>
      <c r="G591" s="937"/>
      <c r="H591" s="937"/>
      <c r="I591" s="937"/>
      <c r="J591" s="937"/>
      <c r="K591" s="937"/>
      <c r="L591" s="937"/>
      <c r="M591" s="937"/>
      <c r="N591" s="937"/>
      <c r="O591" s="937"/>
      <c r="P591" s="937"/>
      <c r="Q591" s="937"/>
      <c r="R591" s="937"/>
      <c r="S591" s="937"/>
      <c r="T591" s="937"/>
      <c r="U591" s="937"/>
      <c r="V591" s="937"/>
      <c r="W591" s="937"/>
      <c r="X591" s="937"/>
      <c r="Y591" s="937"/>
      <c r="Z591" s="937"/>
    </row>
    <row r="592" spans="1:26" ht="15.75" customHeight="1">
      <c r="A592" s="937"/>
      <c r="B592" s="937"/>
      <c r="C592" s="937"/>
      <c r="D592" s="937"/>
      <c r="E592" s="937"/>
      <c r="F592" s="937"/>
      <c r="G592" s="937"/>
      <c r="H592" s="937"/>
      <c r="I592" s="937"/>
      <c r="J592" s="937"/>
      <c r="K592" s="937"/>
      <c r="L592" s="937"/>
      <c r="M592" s="937"/>
      <c r="N592" s="937"/>
      <c r="O592" s="937"/>
      <c r="P592" s="937"/>
      <c r="Q592" s="937"/>
      <c r="R592" s="937"/>
      <c r="S592" s="937"/>
      <c r="T592" s="937"/>
      <c r="U592" s="937"/>
      <c r="V592" s="937"/>
      <c r="W592" s="937"/>
      <c r="X592" s="937"/>
      <c r="Y592" s="937"/>
      <c r="Z592" s="937"/>
    </row>
    <row r="593" spans="1:26" ht="15.75" customHeight="1">
      <c r="A593" s="937"/>
      <c r="B593" s="937"/>
      <c r="C593" s="937"/>
      <c r="D593" s="937"/>
      <c r="E593" s="937"/>
      <c r="F593" s="937"/>
      <c r="G593" s="937"/>
      <c r="H593" s="937"/>
      <c r="I593" s="937"/>
      <c r="J593" s="937"/>
      <c r="K593" s="937"/>
      <c r="L593" s="937"/>
      <c r="M593" s="937"/>
      <c r="N593" s="937"/>
      <c r="O593" s="937"/>
      <c r="P593" s="937"/>
      <c r="Q593" s="937"/>
      <c r="R593" s="937"/>
      <c r="S593" s="937"/>
      <c r="T593" s="937"/>
      <c r="U593" s="937"/>
      <c r="V593" s="937"/>
      <c r="W593" s="937"/>
      <c r="X593" s="937"/>
      <c r="Y593" s="937"/>
      <c r="Z593" s="937"/>
    </row>
    <row r="594" spans="1:26" ht="15.75" customHeight="1">
      <c r="A594" s="937"/>
      <c r="B594" s="937"/>
      <c r="C594" s="937"/>
      <c r="D594" s="937"/>
      <c r="E594" s="937"/>
      <c r="F594" s="937"/>
      <c r="G594" s="937"/>
      <c r="H594" s="937"/>
      <c r="I594" s="937"/>
      <c r="J594" s="937"/>
      <c r="K594" s="937"/>
      <c r="L594" s="937"/>
      <c r="M594" s="937"/>
      <c r="N594" s="937"/>
      <c r="O594" s="937"/>
      <c r="P594" s="937"/>
      <c r="Q594" s="937"/>
      <c r="R594" s="937"/>
      <c r="S594" s="937"/>
      <c r="T594" s="937"/>
      <c r="U594" s="937"/>
      <c r="V594" s="937"/>
      <c r="W594" s="937"/>
      <c r="X594" s="937"/>
      <c r="Y594" s="937"/>
      <c r="Z594" s="937"/>
    </row>
    <row r="595" spans="1:26" ht="15.75" customHeight="1">
      <c r="A595" s="937"/>
      <c r="B595" s="937"/>
      <c r="C595" s="937"/>
      <c r="D595" s="937"/>
      <c r="E595" s="937"/>
      <c r="F595" s="937"/>
      <c r="G595" s="937"/>
      <c r="H595" s="937"/>
      <c r="I595" s="937"/>
      <c r="J595" s="937"/>
      <c r="K595" s="937"/>
      <c r="L595" s="937"/>
      <c r="M595" s="937"/>
      <c r="N595" s="937"/>
      <c r="O595" s="937"/>
      <c r="P595" s="937"/>
      <c r="Q595" s="937"/>
      <c r="R595" s="937"/>
      <c r="S595" s="937"/>
      <c r="T595" s="937"/>
      <c r="U595" s="937"/>
      <c r="V595" s="937"/>
      <c r="W595" s="937"/>
      <c r="X595" s="937"/>
      <c r="Y595" s="937"/>
      <c r="Z595" s="937"/>
    </row>
    <row r="596" spans="1:26" ht="15.75" customHeight="1">
      <c r="A596" s="937"/>
      <c r="B596" s="937"/>
      <c r="C596" s="937"/>
      <c r="D596" s="937"/>
      <c r="E596" s="937"/>
      <c r="F596" s="937"/>
      <c r="G596" s="937"/>
      <c r="H596" s="937"/>
      <c r="I596" s="937"/>
      <c r="J596" s="937"/>
      <c r="K596" s="937"/>
      <c r="L596" s="937"/>
      <c r="M596" s="937"/>
      <c r="N596" s="937"/>
      <c r="O596" s="937"/>
      <c r="P596" s="937"/>
      <c r="Q596" s="937"/>
      <c r="R596" s="937"/>
      <c r="S596" s="937"/>
      <c r="T596" s="937"/>
      <c r="U596" s="937"/>
      <c r="V596" s="937"/>
      <c r="W596" s="937"/>
      <c r="X596" s="937"/>
      <c r="Y596" s="937"/>
      <c r="Z596" s="937"/>
    </row>
    <row r="597" spans="1:26" ht="15.75" customHeight="1">
      <c r="A597" s="937"/>
      <c r="B597" s="937"/>
      <c r="C597" s="937"/>
      <c r="D597" s="937"/>
      <c r="E597" s="937"/>
      <c r="F597" s="937"/>
      <c r="G597" s="937"/>
      <c r="H597" s="937"/>
      <c r="I597" s="937"/>
      <c r="J597" s="937"/>
      <c r="K597" s="937"/>
      <c r="L597" s="937"/>
      <c r="M597" s="937"/>
      <c r="N597" s="937"/>
      <c r="O597" s="937"/>
      <c r="P597" s="937"/>
      <c r="Q597" s="937"/>
      <c r="R597" s="937"/>
      <c r="S597" s="937"/>
      <c r="T597" s="937"/>
      <c r="U597" s="937"/>
      <c r="V597" s="937"/>
      <c r="W597" s="937"/>
      <c r="X597" s="937"/>
      <c r="Y597" s="937"/>
      <c r="Z597" s="937"/>
    </row>
    <row r="598" spans="1:26" ht="15.75" customHeight="1">
      <c r="A598" s="937"/>
      <c r="B598" s="937"/>
      <c r="C598" s="937"/>
      <c r="D598" s="937"/>
      <c r="E598" s="937"/>
      <c r="F598" s="937"/>
      <c r="G598" s="937"/>
      <c r="H598" s="937"/>
      <c r="I598" s="937"/>
      <c r="J598" s="937"/>
      <c r="K598" s="937"/>
      <c r="L598" s="937"/>
      <c r="M598" s="937"/>
      <c r="N598" s="937"/>
      <c r="O598" s="937"/>
      <c r="P598" s="937"/>
      <c r="Q598" s="937"/>
      <c r="R598" s="937"/>
      <c r="S598" s="937"/>
      <c r="T598" s="937"/>
      <c r="U598" s="937"/>
      <c r="V598" s="937"/>
      <c r="W598" s="937"/>
      <c r="X598" s="937"/>
      <c r="Y598" s="937"/>
      <c r="Z598" s="937"/>
    </row>
    <row r="599" spans="1:26" ht="15.75" customHeight="1">
      <c r="A599" s="937"/>
      <c r="B599" s="937"/>
      <c r="C599" s="937"/>
      <c r="D599" s="937"/>
      <c r="E599" s="937"/>
      <c r="F599" s="937"/>
      <c r="G599" s="937"/>
      <c r="H599" s="937"/>
      <c r="I599" s="937"/>
      <c r="J599" s="937"/>
      <c r="K599" s="937"/>
      <c r="L599" s="937"/>
      <c r="M599" s="937"/>
      <c r="N599" s="937"/>
      <c r="O599" s="937"/>
      <c r="P599" s="937"/>
      <c r="Q599" s="937"/>
      <c r="R599" s="937"/>
      <c r="S599" s="937"/>
      <c r="T599" s="937"/>
      <c r="U599" s="937"/>
      <c r="V599" s="937"/>
      <c r="W599" s="937"/>
      <c r="X599" s="937"/>
      <c r="Y599" s="937"/>
      <c r="Z599" s="937"/>
    </row>
    <row r="600" spans="1:26" ht="15.75" customHeight="1">
      <c r="A600" s="937"/>
      <c r="B600" s="937"/>
      <c r="C600" s="937"/>
      <c r="D600" s="937"/>
      <c r="E600" s="937"/>
      <c r="F600" s="937"/>
      <c r="G600" s="937"/>
      <c r="H600" s="937"/>
      <c r="I600" s="937"/>
      <c r="J600" s="937"/>
      <c r="K600" s="937"/>
      <c r="L600" s="937"/>
      <c r="M600" s="937"/>
      <c r="N600" s="937"/>
      <c r="O600" s="937"/>
      <c r="P600" s="937"/>
      <c r="Q600" s="937"/>
      <c r="R600" s="937"/>
      <c r="S600" s="937"/>
      <c r="T600" s="937"/>
      <c r="U600" s="937"/>
      <c r="V600" s="937"/>
      <c r="W600" s="937"/>
      <c r="X600" s="937"/>
      <c r="Y600" s="937"/>
      <c r="Z600" s="937"/>
    </row>
    <row r="601" spans="1:26" ht="15.75" customHeight="1">
      <c r="A601" s="937"/>
      <c r="B601" s="937"/>
      <c r="C601" s="937"/>
      <c r="D601" s="937"/>
      <c r="E601" s="937"/>
      <c r="F601" s="937"/>
      <c r="G601" s="937"/>
      <c r="H601" s="937"/>
      <c r="I601" s="937"/>
      <c r="J601" s="937"/>
      <c r="K601" s="937"/>
      <c r="L601" s="937"/>
      <c r="M601" s="937"/>
      <c r="N601" s="937"/>
      <c r="O601" s="937"/>
      <c r="P601" s="937"/>
      <c r="Q601" s="937"/>
      <c r="R601" s="937"/>
      <c r="S601" s="937"/>
      <c r="T601" s="937"/>
      <c r="U601" s="937"/>
      <c r="V601" s="937"/>
      <c r="W601" s="937"/>
      <c r="X601" s="937"/>
      <c r="Y601" s="937"/>
      <c r="Z601" s="937"/>
    </row>
    <row r="602" spans="1:26" ht="15.75" customHeight="1">
      <c r="A602" s="937"/>
      <c r="B602" s="937"/>
      <c r="C602" s="937"/>
      <c r="D602" s="937"/>
      <c r="E602" s="937"/>
      <c r="F602" s="937"/>
      <c r="G602" s="937"/>
      <c r="H602" s="937"/>
      <c r="I602" s="937"/>
      <c r="J602" s="937"/>
      <c r="K602" s="937"/>
      <c r="L602" s="937"/>
      <c r="M602" s="937"/>
      <c r="N602" s="937"/>
      <c r="O602" s="937"/>
      <c r="P602" s="937"/>
      <c r="Q602" s="937"/>
      <c r="R602" s="937"/>
      <c r="S602" s="937"/>
      <c r="T602" s="937"/>
      <c r="U602" s="937"/>
      <c r="V602" s="937"/>
      <c r="W602" s="937"/>
      <c r="X602" s="937"/>
      <c r="Y602" s="937"/>
      <c r="Z602" s="937"/>
    </row>
    <row r="603" spans="1:26" ht="15.75" customHeight="1">
      <c r="A603" s="937"/>
      <c r="B603" s="937"/>
      <c r="C603" s="937"/>
      <c r="D603" s="937"/>
      <c r="E603" s="937"/>
      <c r="F603" s="937"/>
      <c r="G603" s="937"/>
      <c r="H603" s="937"/>
      <c r="I603" s="937"/>
      <c r="J603" s="937"/>
      <c r="K603" s="937"/>
      <c r="L603" s="937"/>
      <c r="M603" s="937"/>
      <c r="N603" s="937"/>
      <c r="O603" s="937"/>
      <c r="P603" s="937"/>
      <c r="Q603" s="937"/>
      <c r="R603" s="937"/>
      <c r="S603" s="937"/>
      <c r="T603" s="937"/>
      <c r="U603" s="937"/>
      <c r="V603" s="937"/>
      <c r="W603" s="937"/>
      <c r="X603" s="937"/>
      <c r="Y603" s="937"/>
      <c r="Z603" s="937"/>
    </row>
    <row r="604" spans="1:26" ht="15.75" customHeight="1">
      <c r="A604" s="937"/>
      <c r="B604" s="937"/>
      <c r="C604" s="937"/>
      <c r="D604" s="937"/>
      <c r="E604" s="937"/>
      <c r="F604" s="937"/>
      <c r="G604" s="937"/>
      <c r="H604" s="937"/>
      <c r="I604" s="937"/>
      <c r="J604" s="937"/>
      <c r="K604" s="937"/>
      <c r="L604" s="937"/>
      <c r="M604" s="937"/>
      <c r="N604" s="937"/>
      <c r="O604" s="937"/>
      <c r="P604" s="937"/>
      <c r="Q604" s="937"/>
      <c r="R604" s="937"/>
      <c r="S604" s="937"/>
      <c r="T604" s="937"/>
      <c r="U604" s="937"/>
      <c r="V604" s="937"/>
      <c r="W604" s="937"/>
      <c r="X604" s="937"/>
      <c r="Y604" s="937"/>
      <c r="Z604" s="937"/>
    </row>
    <row r="605" spans="1:26" ht="15.75" customHeight="1">
      <c r="A605" s="937"/>
      <c r="B605" s="937"/>
      <c r="C605" s="937"/>
      <c r="D605" s="937"/>
      <c r="E605" s="937"/>
      <c r="F605" s="937"/>
      <c r="G605" s="937"/>
      <c r="H605" s="937"/>
      <c r="I605" s="937"/>
      <c r="J605" s="937"/>
      <c r="K605" s="937"/>
      <c r="L605" s="937"/>
      <c r="M605" s="937"/>
      <c r="N605" s="937"/>
      <c r="O605" s="937"/>
      <c r="P605" s="937"/>
      <c r="Q605" s="937"/>
      <c r="R605" s="937"/>
      <c r="S605" s="937"/>
      <c r="T605" s="937"/>
      <c r="U605" s="937"/>
      <c r="V605" s="937"/>
      <c r="W605" s="937"/>
      <c r="X605" s="937"/>
      <c r="Y605" s="937"/>
      <c r="Z605" s="937"/>
    </row>
    <row r="606" spans="1:26" ht="15.75" customHeight="1">
      <c r="A606" s="937"/>
      <c r="B606" s="937"/>
      <c r="C606" s="937"/>
      <c r="D606" s="937"/>
      <c r="E606" s="937"/>
      <c r="F606" s="937"/>
      <c r="G606" s="937"/>
      <c r="H606" s="937"/>
      <c r="I606" s="937"/>
      <c r="J606" s="937"/>
      <c r="K606" s="937"/>
      <c r="L606" s="937"/>
      <c r="M606" s="937"/>
      <c r="N606" s="937"/>
      <c r="O606" s="937"/>
      <c r="P606" s="937"/>
      <c r="Q606" s="937"/>
      <c r="R606" s="937"/>
      <c r="S606" s="937"/>
      <c r="T606" s="937"/>
      <c r="U606" s="937"/>
      <c r="V606" s="937"/>
      <c r="W606" s="937"/>
      <c r="X606" s="937"/>
      <c r="Y606" s="937"/>
      <c r="Z606" s="937"/>
    </row>
    <row r="607" spans="1:26" ht="15.75" customHeight="1">
      <c r="A607" s="937"/>
      <c r="B607" s="937"/>
      <c r="C607" s="937"/>
      <c r="D607" s="937"/>
      <c r="E607" s="937"/>
      <c r="F607" s="937"/>
      <c r="G607" s="937"/>
      <c r="H607" s="937"/>
      <c r="I607" s="937"/>
      <c r="J607" s="937"/>
      <c r="K607" s="937"/>
      <c r="L607" s="937"/>
      <c r="M607" s="937"/>
      <c r="N607" s="937"/>
      <c r="O607" s="937"/>
      <c r="P607" s="937"/>
      <c r="Q607" s="937"/>
      <c r="R607" s="937"/>
      <c r="S607" s="937"/>
      <c r="T607" s="937"/>
      <c r="U607" s="937"/>
      <c r="V607" s="937"/>
      <c r="W607" s="937"/>
      <c r="X607" s="937"/>
      <c r="Y607" s="937"/>
      <c r="Z607" s="937"/>
    </row>
    <row r="608" spans="1:26" ht="15.75" customHeight="1">
      <c r="A608" s="937"/>
      <c r="B608" s="937"/>
      <c r="C608" s="937"/>
      <c r="D608" s="937"/>
      <c r="E608" s="937"/>
      <c r="F608" s="937"/>
      <c r="G608" s="937"/>
      <c r="H608" s="937"/>
      <c r="I608" s="937"/>
      <c r="J608" s="937"/>
      <c r="K608" s="937"/>
      <c r="L608" s="937"/>
      <c r="M608" s="937"/>
      <c r="N608" s="937"/>
      <c r="O608" s="937"/>
      <c r="P608" s="937"/>
      <c r="Q608" s="937"/>
      <c r="R608" s="937"/>
      <c r="S608" s="937"/>
      <c r="T608" s="937"/>
      <c r="U608" s="937"/>
      <c r="V608" s="937"/>
      <c r="W608" s="937"/>
      <c r="X608" s="937"/>
      <c r="Y608" s="937"/>
      <c r="Z608" s="937"/>
    </row>
    <row r="609" spans="1:26" ht="15.75" customHeight="1">
      <c r="A609" s="937"/>
      <c r="B609" s="937"/>
      <c r="C609" s="937"/>
      <c r="D609" s="937"/>
      <c r="E609" s="937"/>
      <c r="F609" s="937"/>
      <c r="G609" s="937"/>
      <c r="H609" s="937"/>
      <c r="I609" s="937"/>
      <c r="J609" s="937"/>
      <c r="K609" s="937"/>
      <c r="L609" s="937"/>
      <c r="M609" s="937"/>
      <c r="N609" s="937"/>
      <c r="O609" s="937"/>
      <c r="P609" s="937"/>
      <c r="Q609" s="937"/>
      <c r="R609" s="937"/>
      <c r="S609" s="937"/>
      <c r="T609" s="937"/>
      <c r="U609" s="937"/>
      <c r="V609" s="937"/>
      <c r="W609" s="937"/>
      <c r="X609" s="937"/>
      <c r="Y609" s="937"/>
      <c r="Z609" s="937"/>
    </row>
    <row r="610" spans="1:26" ht="15.75" customHeight="1">
      <c r="A610" s="937"/>
      <c r="B610" s="937"/>
      <c r="C610" s="937"/>
      <c r="D610" s="937"/>
      <c r="E610" s="937"/>
      <c r="F610" s="937"/>
      <c r="G610" s="937"/>
      <c r="H610" s="937"/>
      <c r="I610" s="937"/>
      <c r="J610" s="937"/>
      <c r="K610" s="937"/>
      <c r="L610" s="937"/>
      <c r="M610" s="937"/>
      <c r="N610" s="937"/>
      <c r="O610" s="937"/>
      <c r="P610" s="937"/>
      <c r="Q610" s="937"/>
      <c r="R610" s="937"/>
      <c r="S610" s="937"/>
      <c r="T610" s="937"/>
      <c r="U610" s="937"/>
      <c r="V610" s="937"/>
      <c r="W610" s="937"/>
      <c r="X610" s="937"/>
      <c r="Y610" s="937"/>
      <c r="Z610" s="937"/>
    </row>
    <row r="611" spans="1:26" ht="15.75" customHeight="1">
      <c r="A611" s="937"/>
      <c r="B611" s="937"/>
      <c r="C611" s="937"/>
      <c r="D611" s="937"/>
      <c r="E611" s="937"/>
      <c r="F611" s="937"/>
      <c r="G611" s="937"/>
      <c r="H611" s="937"/>
      <c r="I611" s="937"/>
      <c r="J611" s="937"/>
      <c r="K611" s="937"/>
      <c r="L611" s="937"/>
      <c r="M611" s="937"/>
      <c r="N611" s="937"/>
      <c r="O611" s="937"/>
      <c r="P611" s="937"/>
      <c r="Q611" s="937"/>
      <c r="R611" s="937"/>
      <c r="S611" s="937"/>
      <c r="T611" s="937"/>
      <c r="U611" s="937"/>
      <c r="V611" s="937"/>
      <c r="W611" s="937"/>
      <c r="X611" s="937"/>
      <c r="Y611" s="937"/>
      <c r="Z611" s="937"/>
    </row>
    <row r="612" spans="1:26" ht="15.75" customHeight="1">
      <c r="A612" s="937"/>
      <c r="B612" s="937"/>
      <c r="C612" s="937"/>
      <c r="D612" s="937"/>
      <c r="E612" s="937"/>
      <c r="F612" s="937"/>
      <c r="G612" s="937"/>
      <c r="H612" s="937"/>
      <c r="I612" s="937"/>
      <c r="J612" s="937"/>
      <c r="K612" s="937"/>
      <c r="L612" s="937"/>
      <c r="M612" s="937"/>
      <c r="N612" s="937"/>
      <c r="O612" s="937"/>
      <c r="P612" s="937"/>
      <c r="Q612" s="937"/>
      <c r="R612" s="937"/>
      <c r="S612" s="937"/>
      <c r="T612" s="937"/>
      <c r="U612" s="937"/>
      <c r="V612" s="937"/>
      <c r="W612" s="937"/>
      <c r="X612" s="937"/>
      <c r="Y612" s="937"/>
      <c r="Z612" s="937"/>
    </row>
    <row r="613" spans="1:26" ht="15.75" customHeight="1">
      <c r="A613" s="937"/>
      <c r="B613" s="937"/>
      <c r="C613" s="937"/>
      <c r="D613" s="937"/>
      <c r="E613" s="937"/>
      <c r="F613" s="937"/>
      <c r="G613" s="937"/>
      <c r="H613" s="937"/>
      <c r="I613" s="937"/>
      <c r="J613" s="937"/>
      <c r="K613" s="937"/>
      <c r="L613" s="937"/>
      <c r="M613" s="937"/>
      <c r="N613" s="937"/>
      <c r="O613" s="937"/>
      <c r="P613" s="937"/>
      <c r="Q613" s="937"/>
      <c r="R613" s="937"/>
      <c r="S613" s="937"/>
      <c r="T613" s="937"/>
      <c r="U613" s="937"/>
      <c r="V613" s="937"/>
      <c r="W613" s="937"/>
      <c r="X613" s="937"/>
      <c r="Y613" s="937"/>
      <c r="Z613" s="937"/>
    </row>
    <row r="614" spans="1:26" ht="15.75" customHeight="1">
      <c r="A614" s="937"/>
      <c r="B614" s="937"/>
      <c r="C614" s="937"/>
      <c r="D614" s="937"/>
      <c r="E614" s="937"/>
      <c r="F614" s="937"/>
      <c r="G614" s="937"/>
      <c r="H614" s="937"/>
      <c r="I614" s="937"/>
      <c r="J614" s="937"/>
      <c r="K614" s="937"/>
      <c r="L614" s="937"/>
      <c r="M614" s="937"/>
      <c r="N614" s="937"/>
      <c r="O614" s="937"/>
      <c r="P614" s="937"/>
      <c r="Q614" s="937"/>
      <c r="R614" s="937"/>
      <c r="S614" s="937"/>
      <c r="T614" s="937"/>
      <c r="U614" s="937"/>
      <c r="V614" s="937"/>
      <c r="W614" s="937"/>
      <c r="X614" s="937"/>
      <c r="Y614" s="937"/>
      <c r="Z614" s="937"/>
    </row>
    <row r="615" spans="1:26" ht="15.75" customHeight="1">
      <c r="A615" s="937"/>
      <c r="B615" s="937"/>
      <c r="C615" s="937"/>
      <c r="D615" s="937"/>
      <c r="E615" s="937"/>
      <c r="F615" s="937"/>
      <c r="G615" s="937"/>
      <c r="H615" s="937"/>
      <c r="I615" s="937"/>
      <c r="J615" s="937"/>
      <c r="K615" s="937"/>
      <c r="L615" s="937"/>
      <c r="M615" s="937"/>
      <c r="N615" s="937"/>
      <c r="O615" s="937"/>
      <c r="P615" s="937"/>
      <c r="Q615" s="937"/>
      <c r="R615" s="937"/>
      <c r="S615" s="937"/>
      <c r="T615" s="937"/>
      <c r="U615" s="937"/>
      <c r="V615" s="937"/>
      <c r="W615" s="937"/>
      <c r="X615" s="937"/>
      <c r="Y615" s="937"/>
      <c r="Z615" s="937"/>
    </row>
    <row r="616" spans="1:26" ht="15.75" customHeight="1">
      <c r="A616" s="937"/>
      <c r="B616" s="937"/>
      <c r="C616" s="937"/>
      <c r="D616" s="937"/>
      <c r="E616" s="937"/>
      <c r="F616" s="937"/>
      <c r="G616" s="937"/>
      <c r="H616" s="937"/>
      <c r="I616" s="937"/>
      <c r="J616" s="937"/>
      <c r="K616" s="937"/>
      <c r="L616" s="937"/>
      <c r="M616" s="937"/>
      <c r="N616" s="937"/>
      <c r="O616" s="937"/>
      <c r="P616" s="937"/>
      <c r="Q616" s="937"/>
      <c r="R616" s="937"/>
      <c r="S616" s="937"/>
      <c r="T616" s="937"/>
      <c r="U616" s="937"/>
      <c r="V616" s="937"/>
      <c r="W616" s="937"/>
      <c r="X616" s="937"/>
      <c r="Y616" s="937"/>
      <c r="Z616" s="937"/>
    </row>
    <row r="617" spans="1:26" ht="15.75" customHeight="1">
      <c r="A617" s="937"/>
      <c r="B617" s="937"/>
      <c r="C617" s="937"/>
      <c r="D617" s="937"/>
      <c r="E617" s="937"/>
      <c r="F617" s="937"/>
      <c r="G617" s="937"/>
      <c r="H617" s="937"/>
      <c r="I617" s="937"/>
      <c r="J617" s="937"/>
      <c r="K617" s="937"/>
      <c r="L617" s="937"/>
      <c r="M617" s="937"/>
      <c r="N617" s="937"/>
      <c r="O617" s="937"/>
      <c r="P617" s="937"/>
      <c r="Q617" s="937"/>
      <c r="R617" s="937"/>
      <c r="S617" s="937"/>
      <c r="T617" s="937"/>
      <c r="U617" s="937"/>
      <c r="V617" s="937"/>
      <c r="W617" s="937"/>
      <c r="X617" s="937"/>
      <c r="Y617" s="937"/>
      <c r="Z617" s="937"/>
    </row>
    <row r="618" spans="1:26" ht="15.75" customHeight="1">
      <c r="A618" s="937"/>
      <c r="B618" s="937"/>
      <c r="C618" s="937"/>
      <c r="D618" s="937"/>
      <c r="E618" s="937"/>
      <c r="F618" s="937"/>
      <c r="G618" s="937"/>
      <c r="H618" s="937"/>
      <c r="I618" s="937"/>
      <c r="J618" s="937"/>
      <c r="K618" s="937"/>
      <c r="L618" s="937"/>
      <c r="M618" s="937"/>
      <c r="N618" s="937"/>
      <c r="O618" s="937"/>
      <c r="P618" s="937"/>
      <c r="Q618" s="937"/>
      <c r="R618" s="937"/>
      <c r="S618" s="937"/>
      <c r="T618" s="937"/>
      <c r="U618" s="937"/>
      <c r="V618" s="937"/>
      <c r="W618" s="937"/>
      <c r="X618" s="937"/>
      <c r="Y618" s="937"/>
      <c r="Z618" s="937"/>
    </row>
    <row r="619" spans="1:26" ht="15.75" customHeight="1">
      <c r="A619" s="937"/>
      <c r="B619" s="937"/>
      <c r="C619" s="937"/>
      <c r="D619" s="937"/>
      <c r="E619" s="937"/>
      <c r="F619" s="937"/>
      <c r="G619" s="937"/>
      <c r="H619" s="937"/>
      <c r="I619" s="937"/>
      <c r="J619" s="937"/>
      <c r="K619" s="937"/>
      <c r="L619" s="937"/>
      <c r="M619" s="937"/>
      <c r="N619" s="937"/>
      <c r="O619" s="937"/>
      <c r="P619" s="937"/>
      <c r="Q619" s="937"/>
      <c r="R619" s="937"/>
      <c r="S619" s="937"/>
      <c r="T619" s="937"/>
      <c r="U619" s="937"/>
      <c r="V619" s="937"/>
      <c r="W619" s="937"/>
      <c r="X619" s="937"/>
      <c r="Y619" s="937"/>
      <c r="Z619" s="937"/>
    </row>
    <row r="620" spans="1:26" ht="15.75" customHeight="1">
      <c r="A620" s="937"/>
      <c r="B620" s="937"/>
      <c r="C620" s="937"/>
      <c r="D620" s="937"/>
      <c r="E620" s="937"/>
      <c r="F620" s="937"/>
      <c r="G620" s="937"/>
      <c r="H620" s="937"/>
      <c r="I620" s="937"/>
      <c r="J620" s="937"/>
      <c r="K620" s="937"/>
      <c r="L620" s="937"/>
      <c r="M620" s="937"/>
      <c r="N620" s="937"/>
      <c r="O620" s="937"/>
      <c r="P620" s="937"/>
      <c r="Q620" s="937"/>
      <c r="R620" s="937"/>
      <c r="S620" s="937"/>
      <c r="T620" s="937"/>
      <c r="U620" s="937"/>
      <c r="V620" s="937"/>
      <c r="W620" s="937"/>
      <c r="X620" s="937"/>
      <c r="Y620" s="937"/>
      <c r="Z620" s="937"/>
    </row>
    <row r="621" spans="1:26" ht="15.75" customHeight="1">
      <c r="A621" s="937"/>
      <c r="B621" s="937"/>
      <c r="C621" s="937"/>
      <c r="D621" s="937"/>
      <c r="E621" s="937"/>
      <c r="F621" s="937"/>
      <c r="G621" s="937"/>
      <c r="H621" s="937"/>
      <c r="I621" s="937"/>
      <c r="J621" s="937"/>
      <c r="K621" s="937"/>
      <c r="L621" s="937"/>
      <c r="M621" s="937"/>
      <c r="N621" s="937"/>
      <c r="O621" s="937"/>
      <c r="P621" s="937"/>
      <c r="Q621" s="937"/>
      <c r="R621" s="937"/>
      <c r="S621" s="937"/>
      <c r="T621" s="937"/>
      <c r="U621" s="937"/>
      <c r="V621" s="937"/>
      <c r="W621" s="937"/>
      <c r="X621" s="937"/>
      <c r="Y621" s="937"/>
      <c r="Z621" s="937"/>
    </row>
    <row r="622" spans="1:26" ht="15.75" customHeight="1">
      <c r="A622" s="937"/>
      <c r="B622" s="937"/>
      <c r="C622" s="937"/>
      <c r="D622" s="937"/>
      <c r="E622" s="937"/>
      <c r="F622" s="937"/>
      <c r="G622" s="937"/>
      <c r="H622" s="937"/>
      <c r="I622" s="937"/>
      <c r="J622" s="937"/>
      <c r="K622" s="937"/>
      <c r="L622" s="937"/>
      <c r="M622" s="937"/>
      <c r="N622" s="937"/>
      <c r="O622" s="937"/>
      <c r="P622" s="937"/>
      <c r="Q622" s="937"/>
      <c r="R622" s="937"/>
      <c r="S622" s="937"/>
      <c r="T622" s="937"/>
      <c r="U622" s="937"/>
      <c r="V622" s="937"/>
      <c r="W622" s="937"/>
      <c r="X622" s="937"/>
      <c r="Y622" s="937"/>
      <c r="Z622" s="937"/>
    </row>
    <row r="623" spans="1:26" ht="15.75" customHeight="1">
      <c r="A623" s="937"/>
      <c r="B623" s="937"/>
      <c r="C623" s="937"/>
      <c r="D623" s="937"/>
      <c r="E623" s="937"/>
      <c r="F623" s="937"/>
      <c r="G623" s="937"/>
      <c r="H623" s="937"/>
      <c r="I623" s="937"/>
      <c r="J623" s="937"/>
      <c r="K623" s="937"/>
      <c r="L623" s="937"/>
      <c r="M623" s="937"/>
      <c r="N623" s="937"/>
      <c r="O623" s="937"/>
      <c r="P623" s="937"/>
      <c r="Q623" s="937"/>
      <c r="R623" s="937"/>
      <c r="S623" s="937"/>
      <c r="T623" s="937"/>
      <c r="U623" s="937"/>
      <c r="V623" s="937"/>
      <c r="W623" s="937"/>
      <c r="X623" s="937"/>
      <c r="Y623" s="937"/>
      <c r="Z623" s="937"/>
    </row>
    <row r="624" spans="1:26" ht="15.75" customHeight="1">
      <c r="A624" s="937"/>
      <c r="B624" s="937"/>
      <c r="C624" s="937"/>
      <c r="D624" s="937"/>
      <c r="E624" s="937"/>
      <c r="F624" s="937"/>
      <c r="G624" s="937"/>
      <c r="H624" s="937"/>
      <c r="I624" s="937"/>
      <c r="J624" s="937"/>
      <c r="K624" s="937"/>
      <c r="L624" s="937"/>
      <c r="M624" s="937"/>
      <c r="N624" s="937"/>
      <c r="O624" s="937"/>
      <c r="P624" s="937"/>
      <c r="Q624" s="937"/>
      <c r="R624" s="937"/>
      <c r="S624" s="937"/>
      <c r="T624" s="937"/>
      <c r="U624" s="937"/>
      <c r="V624" s="937"/>
      <c r="W624" s="937"/>
      <c r="X624" s="937"/>
      <c r="Y624" s="937"/>
      <c r="Z624" s="937"/>
    </row>
    <row r="625" spans="1:26" ht="15.75" customHeight="1">
      <c r="A625" s="937"/>
      <c r="B625" s="937"/>
      <c r="C625" s="937"/>
      <c r="D625" s="937"/>
      <c r="E625" s="937"/>
      <c r="F625" s="937"/>
      <c r="G625" s="937"/>
      <c r="H625" s="937"/>
      <c r="I625" s="937"/>
      <c r="J625" s="937"/>
      <c r="K625" s="937"/>
      <c r="L625" s="937"/>
      <c r="M625" s="937"/>
      <c r="N625" s="937"/>
      <c r="O625" s="937"/>
      <c r="P625" s="937"/>
      <c r="Q625" s="937"/>
      <c r="R625" s="937"/>
      <c r="S625" s="937"/>
      <c r="T625" s="937"/>
      <c r="U625" s="937"/>
      <c r="V625" s="937"/>
      <c r="W625" s="937"/>
      <c r="X625" s="937"/>
      <c r="Y625" s="937"/>
      <c r="Z625" s="937"/>
    </row>
    <row r="626" spans="1:26" ht="15.75" customHeight="1">
      <c r="A626" s="937"/>
      <c r="B626" s="937"/>
      <c r="C626" s="937"/>
      <c r="D626" s="937"/>
      <c r="E626" s="937"/>
      <c r="F626" s="937"/>
      <c r="G626" s="937"/>
      <c r="H626" s="937"/>
      <c r="I626" s="937"/>
      <c r="J626" s="937"/>
      <c r="K626" s="937"/>
      <c r="L626" s="937"/>
      <c r="M626" s="937"/>
      <c r="N626" s="937"/>
      <c r="O626" s="937"/>
      <c r="P626" s="937"/>
      <c r="Q626" s="937"/>
      <c r="R626" s="937"/>
      <c r="S626" s="937"/>
      <c r="T626" s="937"/>
      <c r="U626" s="937"/>
      <c r="V626" s="937"/>
      <c r="W626" s="937"/>
      <c r="X626" s="937"/>
      <c r="Y626" s="937"/>
      <c r="Z626" s="937"/>
    </row>
    <row r="627" spans="1:26" ht="15.75" customHeight="1">
      <c r="A627" s="937"/>
      <c r="B627" s="937"/>
      <c r="C627" s="937"/>
      <c r="D627" s="937"/>
      <c r="E627" s="937"/>
      <c r="F627" s="937"/>
      <c r="G627" s="937"/>
      <c r="H627" s="937"/>
      <c r="I627" s="937"/>
      <c r="J627" s="937"/>
      <c r="K627" s="937"/>
      <c r="L627" s="937"/>
      <c r="M627" s="937"/>
      <c r="N627" s="937"/>
      <c r="O627" s="937"/>
      <c r="P627" s="937"/>
      <c r="Q627" s="937"/>
      <c r="R627" s="937"/>
      <c r="S627" s="937"/>
      <c r="T627" s="937"/>
      <c r="U627" s="937"/>
      <c r="V627" s="937"/>
      <c r="W627" s="937"/>
      <c r="X627" s="937"/>
      <c r="Y627" s="937"/>
      <c r="Z627" s="937"/>
    </row>
    <row r="628" spans="1:26" ht="15.75" customHeight="1">
      <c r="A628" s="937"/>
      <c r="B628" s="937"/>
      <c r="C628" s="937"/>
      <c r="D628" s="937"/>
      <c r="E628" s="937"/>
      <c r="F628" s="937"/>
      <c r="G628" s="937"/>
      <c r="H628" s="937"/>
      <c r="I628" s="937"/>
      <c r="J628" s="937"/>
      <c r="K628" s="937"/>
      <c r="L628" s="937"/>
      <c r="M628" s="937"/>
      <c r="N628" s="937"/>
      <c r="O628" s="937"/>
      <c r="P628" s="937"/>
      <c r="Q628" s="937"/>
      <c r="R628" s="937"/>
      <c r="S628" s="937"/>
      <c r="T628" s="937"/>
      <c r="U628" s="937"/>
      <c r="V628" s="937"/>
      <c r="W628" s="937"/>
      <c r="X628" s="937"/>
      <c r="Y628" s="937"/>
      <c r="Z628" s="937"/>
    </row>
    <row r="629" spans="1:26" ht="15.75" customHeight="1">
      <c r="A629" s="937"/>
      <c r="B629" s="937"/>
      <c r="C629" s="937"/>
      <c r="D629" s="937"/>
      <c r="E629" s="937"/>
      <c r="F629" s="937"/>
      <c r="G629" s="937"/>
      <c r="H629" s="937"/>
      <c r="I629" s="937"/>
      <c r="J629" s="937"/>
      <c r="K629" s="937"/>
      <c r="L629" s="937"/>
      <c r="M629" s="937"/>
      <c r="N629" s="937"/>
      <c r="O629" s="937"/>
      <c r="P629" s="937"/>
      <c r="Q629" s="937"/>
      <c r="R629" s="937"/>
      <c r="S629" s="937"/>
      <c r="T629" s="937"/>
      <c r="U629" s="937"/>
      <c r="V629" s="937"/>
      <c r="W629" s="937"/>
      <c r="X629" s="937"/>
      <c r="Y629" s="937"/>
      <c r="Z629" s="937"/>
    </row>
    <row r="630" spans="1:26" ht="15.75" customHeight="1">
      <c r="A630" s="937"/>
      <c r="B630" s="937"/>
      <c r="C630" s="937"/>
      <c r="D630" s="937"/>
      <c r="E630" s="937"/>
      <c r="F630" s="937"/>
      <c r="G630" s="937"/>
      <c r="H630" s="937"/>
      <c r="I630" s="937"/>
      <c r="J630" s="937"/>
      <c r="K630" s="937"/>
      <c r="L630" s="937"/>
      <c r="M630" s="937"/>
      <c r="N630" s="937"/>
      <c r="O630" s="937"/>
      <c r="P630" s="937"/>
      <c r="Q630" s="937"/>
      <c r="R630" s="937"/>
      <c r="S630" s="937"/>
      <c r="T630" s="937"/>
      <c r="U630" s="937"/>
      <c r="V630" s="937"/>
      <c r="W630" s="937"/>
      <c r="X630" s="937"/>
      <c r="Y630" s="937"/>
      <c r="Z630" s="937"/>
    </row>
    <row r="631" spans="1:26" ht="15.75" customHeight="1">
      <c r="A631" s="937"/>
      <c r="B631" s="937"/>
      <c r="C631" s="937"/>
      <c r="D631" s="937"/>
      <c r="E631" s="937"/>
      <c r="F631" s="937"/>
      <c r="G631" s="937"/>
      <c r="H631" s="937"/>
      <c r="I631" s="937"/>
      <c r="J631" s="937"/>
      <c r="K631" s="937"/>
      <c r="L631" s="937"/>
      <c r="M631" s="937"/>
      <c r="N631" s="937"/>
      <c r="O631" s="937"/>
      <c r="P631" s="937"/>
      <c r="Q631" s="937"/>
      <c r="R631" s="937"/>
      <c r="S631" s="937"/>
      <c r="T631" s="937"/>
      <c r="U631" s="937"/>
      <c r="V631" s="937"/>
      <c r="W631" s="937"/>
      <c r="X631" s="937"/>
      <c r="Y631" s="937"/>
      <c r="Z631" s="937"/>
    </row>
    <row r="632" spans="1:26" ht="15.75" customHeight="1">
      <c r="A632" s="937"/>
      <c r="B632" s="937"/>
      <c r="C632" s="937"/>
      <c r="D632" s="937"/>
      <c r="E632" s="937"/>
      <c r="F632" s="937"/>
      <c r="G632" s="937"/>
      <c r="H632" s="937"/>
      <c r="I632" s="937"/>
      <c r="J632" s="937"/>
      <c r="K632" s="937"/>
      <c r="L632" s="937"/>
      <c r="M632" s="937"/>
      <c r="N632" s="937"/>
      <c r="O632" s="937"/>
      <c r="P632" s="937"/>
      <c r="Q632" s="937"/>
      <c r="R632" s="937"/>
      <c r="S632" s="937"/>
      <c r="T632" s="937"/>
      <c r="U632" s="937"/>
      <c r="V632" s="937"/>
      <c r="W632" s="937"/>
      <c r="X632" s="937"/>
      <c r="Y632" s="937"/>
      <c r="Z632" s="937"/>
    </row>
    <row r="633" spans="1:26" ht="15.75" customHeight="1">
      <c r="A633" s="937"/>
      <c r="B633" s="937"/>
      <c r="C633" s="937"/>
      <c r="D633" s="937"/>
      <c r="E633" s="937"/>
      <c r="F633" s="937"/>
      <c r="G633" s="937"/>
      <c r="H633" s="937"/>
      <c r="I633" s="937"/>
      <c r="J633" s="937"/>
      <c r="K633" s="937"/>
      <c r="L633" s="937"/>
      <c r="M633" s="937"/>
      <c r="N633" s="937"/>
      <c r="O633" s="937"/>
      <c r="P633" s="937"/>
      <c r="Q633" s="937"/>
      <c r="R633" s="937"/>
      <c r="S633" s="937"/>
      <c r="T633" s="937"/>
      <c r="U633" s="937"/>
      <c r="V633" s="937"/>
      <c r="W633" s="937"/>
      <c r="X633" s="937"/>
      <c r="Y633" s="937"/>
      <c r="Z633" s="937"/>
    </row>
    <row r="634" spans="1:26" ht="15.75" customHeight="1">
      <c r="A634" s="937"/>
      <c r="B634" s="937"/>
      <c r="C634" s="937"/>
      <c r="D634" s="937"/>
      <c r="E634" s="937"/>
      <c r="F634" s="937"/>
      <c r="G634" s="937"/>
      <c r="H634" s="937"/>
      <c r="I634" s="937"/>
      <c r="J634" s="937"/>
      <c r="K634" s="937"/>
      <c r="L634" s="937"/>
      <c r="M634" s="937"/>
      <c r="N634" s="937"/>
      <c r="O634" s="937"/>
      <c r="P634" s="937"/>
      <c r="Q634" s="937"/>
      <c r="R634" s="937"/>
      <c r="S634" s="937"/>
      <c r="T634" s="937"/>
      <c r="U634" s="937"/>
      <c r="V634" s="937"/>
      <c r="W634" s="937"/>
      <c r="X634" s="937"/>
      <c r="Y634" s="937"/>
      <c r="Z634" s="937"/>
    </row>
    <row r="635" spans="1:26" ht="15.75" customHeight="1">
      <c r="A635" s="937"/>
      <c r="B635" s="937"/>
      <c r="C635" s="937"/>
      <c r="D635" s="937"/>
      <c r="E635" s="937"/>
      <c r="F635" s="937"/>
      <c r="G635" s="937"/>
      <c r="H635" s="937"/>
      <c r="I635" s="937"/>
      <c r="J635" s="937"/>
      <c r="K635" s="937"/>
      <c r="L635" s="937"/>
      <c r="M635" s="937"/>
      <c r="N635" s="937"/>
      <c r="O635" s="937"/>
      <c r="P635" s="937"/>
      <c r="Q635" s="937"/>
      <c r="R635" s="937"/>
      <c r="S635" s="937"/>
      <c r="T635" s="937"/>
      <c r="U635" s="937"/>
      <c r="V635" s="937"/>
      <c r="W635" s="937"/>
      <c r="X635" s="937"/>
      <c r="Y635" s="937"/>
      <c r="Z635" s="937"/>
    </row>
    <row r="636" spans="1:26" ht="15.75" customHeight="1">
      <c r="A636" s="937"/>
      <c r="B636" s="937"/>
      <c r="C636" s="937"/>
      <c r="D636" s="937"/>
      <c r="E636" s="937"/>
      <c r="F636" s="937"/>
      <c r="G636" s="937"/>
      <c r="H636" s="937"/>
      <c r="I636" s="937"/>
      <c r="J636" s="937"/>
      <c r="K636" s="937"/>
      <c r="L636" s="937"/>
      <c r="M636" s="937"/>
      <c r="N636" s="937"/>
      <c r="O636" s="937"/>
      <c r="P636" s="937"/>
      <c r="Q636" s="937"/>
      <c r="R636" s="937"/>
      <c r="S636" s="937"/>
      <c r="T636" s="937"/>
      <c r="U636" s="937"/>
      <c r="V636" s="937"/>
      <c r="W636" s="937"/>
      <c r="X636" s="937"/>
      <c r="Y636" s="937"/>
      <c r="Z636" s="937"/>
    </row>
    <row r="637" spans="1:26" ht="15.75" customHeight="1">
      <c r="A637" s="937"/>
      <c r="B637" s="937"/>
      <c r="C637" s="937"/>
      <c r="D637" s="937"/>
      <c r="E637" s="937"/>
      <c r="F637" s="937"/>
      <c r="G637" s="937"/>
      <c r="H637" s="937"/>
      <c r="I637" s="937"/>
      <c r="J637" s="937"/>
      <c r="K637" s="937"/>
      <c r="L637" s="937"/>
      <c r="M637" s="937"/>
      <c r="N637" s="937"/>
      <c r="O637" s="937"/>
      <c r="P637" s="937"/>
      <c r="Q637" s="937"/>
      <c r="R637" s="937"/>
      <c r="S637" s="937"/>
      <c r="T637" s="937"/>
      <c r="U637" s="937"/>
      <c r="V637" s="937"/>
      <c r="W637" s="937"/>
      <c r="X637" s="937"/>
      <c r="Y637" s="937"/>
      <c r="Z637" s="937"/>
    </row>
    <row r="638" spans="1:26" ht="15.75" customHeight="1">
      <c r="A638" s="937"/>
      <c r="B638" s="937"/>
      <c r="C638" s="937"/>
      <c r="D638" s="937"/>
      <c r="E638" s="937"/>
      <c r="F638" s="937"/>
      <c r="G638" s="937"/>
      <c r="H638" s="937"/>
      <c r="I638" s="937"/>
      <c r="J638" s="937"/>
      <c r="K638" s="937"/>
      <c r="L638" s="937"/>
      <c r="M638" s="937"/>
      <c r="N638" s="937"/>
      <c r="O638" s="937"/>
      <c r="P638" s="937"/>
      <c r="Q638" s="937"/>
      <c r="R638" s="937"/>
      <c r="S638" s="937"/>
      <c r="T638" s="937"/>
      <c r="U638" s="937"/>
      <c r="V638" s="937"/>
      <c r="W638" s="937"/>
      <c r="X638" s="937"/>
      <c r="Y638" s="937"/>
      <c r="Z638" s="937"/>
    </row>
    <row r="639" spans="1:26" ht="15.75" customHeight="1">
      <c r="A639" s="937"/>
      <c r="B639" s="937"/>
      <c r="C639" s="937"/>
      <c r="D639" s="937"/>
      <c r="E639" s="937"/>
      <c r="F639" s="937"/>
      <c r="G639" s="937"/>
      <c r="H639" s="937"/>
      <c r="I639" s="937"/>
      <c r="J639" s="937"/>
      <c r="K639" s="937"/>
      <c r="L639" s="937"/>
      <c r="M639" s="937"/>
      <c r="N639" s="937"/>
      <c r="O639" s="937"/>
      <c r="P639" s="937"/>
      <c r="Q639" s="937"/>
      <c r="R639" s="937"/>
      <c r="S639" s="937"/>
      <c r="T639" s="937"/>
      <c r="U639" s="937"/>
      <c r="V639" s="937"/>
      <c r="W639" s="937"/>
      <c r="X639" s="937"/>
      <c r="Y639" s="937"/>
      <c r="Z639" s="937"/>
    </row>
    <row r="640" spans="1:26" ht="15.75" customHeight="1">
      <c r="A640" s="937"/>
      <c r="B640" s="937"/>
      <c r="C640" s="937"/>
      <c r="D640" s="937"/>
      <c r="E640" s="937"/>
      <c r="F640" s="937"/>
      <c r="G640" s="937"/>
      <c r="H640" s="937"/>
      <c r="I640" s="937"/>
      <c r="J640" s="937"/>
      <c r="K640" s="937"/>
      <c r="L640" s="937"/>
      <c r="M640" s="937"/>
      <c r="N640" s="937"/>
      <c r="O640" s="937"/>
      <c r="P640" s="937"/>
      <c r="Q640" s="937"/>
      <c r="R640" s="937"/>
      <c r="S640" s="937"/>
      <c r="T640" s="937"/>
      <c r="U640" s="937"/>
      <c r="V640" s="937"/>
      <c r="W640" s="937"/>
      <c r="X640" s="937"/>
      <c r="Y640" s="937"/>
      <c r="Z640" s="937"/>
    </row>
    <row r="641" spans="1:26" ht="15.75" customHeight="1">
      <c r="A641" s="937"/>
      <c r="B641" s="937"/>
      <c r="C641" s="937"/>
      <c r="D641" s="937"/>
      <c r="E641" s="937"/>
      <c r="F641" s="937"/>
      <c r="G641" s="937"/>
      <c r="H641" s="937"/>
      <c r="I641" s="937"/>
      <c r="J641" s="937"/>
      <c r="K641" s="937"/>
      <c r="L641" s="937"/>
      <c r="M641" s="937"/>
      <c r="N641" s="937"/>
      <c r="O641" s="937"/>
      <c r="P641" s="937"/>
      <c r="Q641" s="937"/>
      <c r="R641" s="937"/>
      <c r="S641" s="937"/>
      <c r="T641" s="937"/>
      <c r="U641" s="937"/>
      <c r="V641" s="937"/>
      <c r="W641" s="937"/>
      <c r="X641" s="937"/>
      <c r="Y641" s="937"/>
      <c r="Z641" s="937"/>
    </row>
    <row r="642" spans="1:26" ht="15.75" customHeight="1">
      <c r="A642" s="937"/>
      <c r="B642" s="937"/>
      <c r="C642" s="937"/>
      <c r="D642" s="937"/>
      <c r="E642" s="937"/>
      <c r="F642" s="937"/>
      <c r="G642" s="937"/>
      <c r="H642" s="937"/>
      <c r="I642" s="937"/>
      <c r="J642" s="937"/>
      <c r="K642" s="937"/>
      <c r="L642" s="937"/>
      <c r="M642" s="937"/>
      <c r="N642" s="937"/>
      <c r="O642" s="937"/>
      <c r="P642" s="937"/>
      <c r="Q642" s="937"/>
      <c r="R642" s="937"/>
      <c r="S642" s="937"/>
      <c r="T642" s="937"/>
      <c r="U642" s="937"/>
      <c r="V642" s="937"/>
      <c r="W642" s="937"/>
      <c r="X642" s="937"/>
      <c r="Y642" s="937"/>
      <c r="Z642" s="937"/>
    </row>
    <row r="643" spans="1:26" ht="15.75" customHeight="1">
      <c r="A643" s="937"/>
      <c r="B643" s="937"/>
      <c r="C643" s="937"/>
      <c r="D643" s="937"/>
      <c r="E643" s="937"/>
      <c r="F643" s="937"/>
      <c r="G643" s="937"/>
      <c r="H643" s="937"/>
      <c r="I643" s="937"/>
      <c r="J643" s="937"/>
      <c r="K643" s="937"/>
      <c r="L643" s="937"/>
      <c r="M643" s="937"/>
      <c r="N643" s="937"/>
      <c r="O643" s="937"/>
      <c r="P643" s="937"/>
      <c r="Q643" s="937"/>
      <c r="R643" s="937"/>
      <c r="S643" s="937"/>
      <c r="T643" s="937"/>
      <c r="U643" s="937"/>
      <c r="V643" s="937"/>
      <c r="W643" s="937"/>
      <c r="X643" s="937"/>
      <c r="Y643" s="937"/>
      <c r="Z643" s="937"/>
    </row>
    <row r="644" spans="1:26" ht="15.75" customHeight="1">
      <c r="A644" s="937"/>
      <c r="B644" s="937"/>
      <c r="C644" s="937"/>
      <c r="D644" s="937"/>
      <c r="E644" s="937"/>
      <c r="F644" s="937"/>
      <c r="G644" s="937"/>
      <c r="H644" s="937"/>
      <c r="I644" s="937"/>
      <c r="J644" s="937"/>
      <c r="K644" s="937"/>
      <c r="L644" s="937"/>
      <c r="M644" s="937"/>
      <c r="N644" s="937"/>
      <c r="O644" s="937"/>
      <c r="P644" s="937"/>
      <c r="Q644" s="937"/>
      <c r="R644" s="937"/>
      <c r="S644" s="937"/>
      <c r="T644" s="937"/>
      <c r="U644" s="937"/>
      <c r="V644" s="937"/>
      <c r="W644" s="937"/>
      <c r="X644" s="937"/>
      <c r="Y644" s="937"/>
      <c r="Z644" s="937"/>
    </row>
    <row r="645" spans="1:26" ht="15.75" customHeight="1">
      <c r="A645" s="937"/>
      <c r="B645" s="937"/>
      <c r="C645" s="937"/>
      <c r="D645" s="937"/>
      <c r="E645" s="937"/>
      <c r="F645" s="937"/>
      <c r="G645" s="937"/>
      <c r="H645" s="937"/>
      <c r="I645" s="937"/>
      <c r="J645" s="937"/>
      <c r="K645" s="937"/>
      <c r="L645" s="937"/>
      <c r="M645" s="937"/>
      <c r="N645" s="937"/>
      <c r="O645" s="937"/>
      <c r="P645" s="937"/>
      <c r="Q645" s="937"/>
      <c r="R645" s="937"/>
      <c r="S645" s="937"/>
      <c r="T645" s="937"/>
      <c r="U645" s="937"/>
      <c r="V645" s="937"/>
      <c r="W645" s="937"/>
      <c r="X645" s="937"/>
      <c r="Y645" s="937"/>
      <c r="Z645" s="937"/>
    </row>
    <row r="646" spans="1:26" ht="15.75" customHeight="1">
      <c r="A646" s="937"/>
      <c r="B646" s="937"/>
      <c r="C646" s="937"/>
      <c r="D646" s="937"/>
      <c r="E646" s="937"/>
      <c r="F646" s="937"/>
      <c r="G646" s="937"/>
      <c r="H646" s="937"/>
      <c r="I646" s="937"/>
      <c r="J646" s="937"/>
      <c r="K646" s="937"/>
      <c r="L646" s="937"/>
      <c r="M646" s="937"/>
      <c r="N646" s="937"/>
      <c r="O646" s="937"/>
      <c r="P646" s="937"/>
      <c r="Q646" s="937"/>
      <c r="R646" s="937"/>
      <c r="S646" s="937"/>
      <c r="T646" s="937"/>
      <c r="U646" s="937"/>
      <c r="V646" s="937"/>
      <c r="W646" s="937"/>
      <c r="X646" s="937"/>
      <c r="Y646" s="937"/>
      <c r="Z646" s="937"/>
    </row>
    <row r="647" spans="1:26" ht="15.75" customHeight="1">
      <c r="A647" s="937"/>
      <c r="B647" s="937"/>
      <c r="C647" s="937"/>
      <c r="D647" s="937"/>
      <c r="E647" s="937"/>
      <c r="F647" s="937"/>
      <c r="G647" s="937"/>
      <c r="H647" s="937"/>
      <c r="I647" s="937"/>
      <c r="J647" s="937"/>
      <c r="K647" s="937"/>
      <c r="L647" s="937"/>
      <c r="M647" s="937"/>
      <c r="N647" s="937"/>
      <c r="O647" s="937"/>
      <c r="P647" s="937"/>
      <c r="Q647" s="937"/>
      <c r="R647" s="937"/>
      <c r="S647" s="937"/>
      <c r="T647" s="937"/>
      <c r="U647" s="937"/>
      <c r="V647" s="937"/>
      <c r="W647" s="937"/>
      <c r="X647" s="937"/>
      <c r="Y647" s="937"/>
      <c r="Z647" s="937"/>
    </row>
    <row r="648" spans="1:26" ht="15.75" customHeight="1">
      <c r="A648" s="937"/>
      <c r="B648" s="937"/>
      <c r="C648" s="937"/>
      <c r="D648" s="937"/>
      <c r="E648" s="937"/>
      <c r="F648" s="937"/>
      <c r="G648" s="937"/>
      <c r="H648" s="937"/>
      <c r="I648" s="937"/>
      <c r="J648" s="937"/>
      <c r="K648" s="937"/>
      <c r="L648" s="937"/>
      <c r="M648" s="937"/>
      <c r="N648" s="937"/>
      <c r="O648" s="937"/>
      <c r="P648" s="937"/>
      <c r="Q648" s="937"/>
      <c r="R648" s="937"/>
      <c r="S648" s="937"/>
      <c r="T648" s="937"/>
      <c r="U648" s="937"/>
      <c r="V648" s="937"/>
      <c r="W648" s="937"/>
      <c r="X648" s="937"/>
      <c r="Y648" s="937"/>
      <c r="Z648" s="937"/>
    </row>
    <row r="649" spans="1:26" ht="15.75" customHeight="1">
      <c r="A649" s="937"/>
      <c r="B649" s="937"/>
      <c r="C649" s="937"/>
      <c r="D649" s="937"/>
      <c r="E649" s="937"/>
      <c r="F649" s="937"/>
      <c r="G649" s="937"/>
      <c r="H649" s="937"/>
      <c r="I649" s="937"/>
      <c r="J649" s="937"/>
      <c r="K649" s="937"/>
      <c r="L649" s="937"/>
      <c r="M649" s="937"/>
      <c r="N649" s="937"/>
      <c r="O649" s="937"/>
      <c r="P649" s="937"/>
      <c r="Q649" s="937"/>
      <c r="R649" s="937"/>
      <c r="S649" s="937"/>
      <c r="T649" s="937"/>
      <c r="U649" s="937"/>
      <c r="V649" s="937"/>
      <c r="W649" s="937"/>
      <c r="X649" s="937"/>
      <c r="Y649" s="937"/>
      <c r="Z649" s="937"/>
    </row>
    <row r="650" spans="1:26" ht="15.75" customHeight="1">
      <c r="A650" s="937"/>
      <c r="B650" s="937"/>
      <c r="C650" s="937"/>
      <c r="D650" s="937"/>
      <c r="E650" s="937"/>
      <c r="F650" s="937"/>
      <c r="G650" s="937"/>
      <c r="H650" s="937"/>
      <c r="I650" s="937"/>
      <c r="J650" s="937"/>
      <c r="K650" s="937"/>
      <c r="L650" s="937"/>
      <c r="M650" s="937"/>
      <c r="N650" s="937"/>
      <c r="O650" s="937"/>
      <c r="P650" s="937"/>
      <c r="Q650" s="937"/>
      <c r="R650" s="937"/>
      <c r="S650" s="937"/>
      <c r="T650" s="937"/>
      <c r="U650" s="937"/>
      <c r="V650" s="937"/>
      <c r="W650" s="937"/>
      <c r="X650" s="937"/>
      <c r="Y650" s="937"/>
      <c r="Z650" s="937"/>
    </row>
    <row r="651" spans="1:26" ht="15.75" customHeight="1">
      <c r="A651" s="937"/>
      <c r="B651" s="937"/>
      <c r="C651" s="937"/>
      <c r="D651" s="937"/>
      <c r="E651" s="937"/>
      <c r="F651" s="937"/>
      <c r="G651" s="937"/>
      <c r="H651" s="937"/>
      <c r="I651" s="937"/>
      <c r="J651" s="937"/>
      <c r="K651" s="937"/>
      <c r="L651" s="937"/>
      <c r="M651" s="937"/>
      <c r="N651" s="937"/>
      <c r="O651" s="937"/>
      <c r="P651" s="937"/>
      <c r="Q651" s="937"/>
      <c r="R651" s="937"/>
      <c r="S651" s="937"/>
      <c r="T651" s="937"/>
      <c r="U651" s="937"/>
      <c r="V651" s="937"/>
      <c r="W651" s="937"/>
      <c r="X651" s="937"/>
      <c r="Y651" s="937"/>
      <c r="Z651" s="937"/>
    </row>
    <row r="652" spans="1:26" ht="15.75" customHeight="1">
      <c r="A652" s="937"/>
      <c r="B652" s="937"/>
      <c r="C652" s="937"/>
      <c r="D652" s="937"/>
      <c r="E652" s="937"/>
      <c r="F652" s="937"/>
      <c r="G652" s="937"/>
      <c r="H652" s="937"/>
      <c r="I652" s="937"/>
      <c r="J652" s="937"/>
      <c r="K652" s="937"/>
      <c r="L652" s="937"/>
      <c r="M652" s="937"/>
      <c r="N652" s="937"/>
      <c r="O652" s="937"/>
      <c r="P652" s="937"/>
      <c r="Q652" s="937"/>
      <c r="R652" s="937"/>
      <c r="S652" s="937"/>
      <c r="T652" s="937"/>
      <c r="U652" s="937"/>
      <c r="V652" s="937"/>
      <c r="W652" s="937"/>
      <c r="X652" s="937"/>
      <c r="Y652" s="937"/>
      <c r="Z652" s="937"/>
    </row>
    <row r="653" spans="1:26" ht="15.75" customHeight="1">
      <c r="A653" s="937"/>
      <c r="B653" s="937"/>
      <c r="C653" s="937"/>
      <c r="D653" s="937"/>
      <c r="E653" s="937"/>
      <c r="F653" s="937"/>
      <c r="G653" s="937"/>
      <c r="H653" s="937"/>
      <c r="I653" s="937"/>
      <c r="J653" s="937"/>
      <c r="K653" s="937"/>
      <c r="L653" s="937"/>
      <c r="M653" s="937"/>
      <c r="N653" s="937"/>
      <c r="O653" s="937"/>
      <c r="P653" s="937"/>
      <c r="Q653" s="937"/>
      <c r="R653" s="937"/>
      <c r="S653" s="937"/>
      <c r="T653" s="937"/>
      <c r="U653" s="937"/>
      <c r="V653" s="937"/>
      <c r="W653" s="937"/>
      <c r="X653" s="937"/>
      <c r="Y653" s="937"/>
      <c r="Z653" s="937"/>
    </row>
    <row r="654" spans="1:26" ht="15.75" customHeight="1">
      <c r="A654" s="937"/>
      <c r="B654" s="937"/>
      <c r="C654" s="937"/>
      <c r="D654" s="937"/>
      <c r="E654" s="937"/>
      <c r="F654" s="937"/>
      <c r="G654" s="937"/>
      <c r="H654" s="937"/>
      <c r="I654" s="937"/>
      <c r="J654" s="937"/>
      <c r="K654" s="937"/>
      <c r="L654" s="937"/>
      <c r="M654" s="937"/>
      <c r="N654" s="937"/>
      <c r="O654" s="937"/>
      <c r="P654" s="937"/>
      <c r="Q654" s="937"/>
      <c r="R654" s="937"/>
      <c r="S654" s="937"/>
      <c r="T654" s="937"/>
      <c r="U654" s="937"/>
      <c r="V654" s="937"/>
      <c r="W654" s="937"/>
      <c r="X654" s="937"/>
      <c r="Y654" s="937"/>
      <c r="Z654" s="937"/>
    </row>
    <row r="655" spans="1:26" ht="15.75" customHeight="1">
      <c r="A655" s="937"/>
      <c r="B655" s="937"/>
      <c r="C655" s="937"/>
      <c r="D655" s="937"/>
      <c r="E655" s="937"/>
      <c r="F655" s="937"/>
      <c r="G655" s="937"/>
      <c r="H655" s="937"/>
      <c r="I655" s="937"/>
      <c r="J655" s="937"/>
      <c r="K655" s="937"/>
      <c r="L655" s="937"/>
      <c r="M655" s="937"/>
      <c r="N655" s="937"/>
      <c r="O655" s="937"/>
      <c r="P655" s="937"/>
      <c r="Q655" s="937"/>
      <c r="R655" s="937"/>
      <c r="S655" s="937"/>
      <c r="T655" s="937"/>
      <c r="U655" s="937"/>
      <c r="V655" s="937"/>
      <c r="W655" s="937"/>
      <c r="X655" s="937"/>
      <c r="Y655" s="937"/>
      <c r="Z655" s="937"/>
    </row>
    <row r="656" spans="1:26" ht="15.75" customHeight="1">
      <c r="A656" s="937"/>
      <c r="B656" s="937"/>
      <c r="C656" s="937"/>
      <c r="D656" s="937"/>
      <c r="E656" s="937"/>
      <c r="F656" s="937"/>
      <c r="G656" s="937"/>
      <c r="H656" s="937"/>
      <c r="I656" s="937"/>
      <c r="J656" s="937"/>
      <c r="K656" s="937"/>
      <c r="L656" s="937"/>
      <c r="M656" s="937"/>
      <c r="N656" s="937"/>
      <c r="O656" s="937"/>
      <c r="P656" s="937"/>
      <c r="Q656" s="937"/>
      <c r="R656" s="937"/>
      <c r="S656" s="937"/>
      <c r="T656" s="937"/>
      <c r="U656" s="937"/>
      <c r="V656" s="937"/>
      <c r="W656" s="937"/>
      <c r="X656" s="937"/>
      <c r="Y656" s="937"/>
      <c r="Z656" s="937"/>
    </row>
    <row r="657" spans="1:26" ht="15.75" customHeight="1">
      <c r="A657" s="937"/>
      <c r="B657" s="937"/>
      <c r="C657" s="937"/>
      <c r="D657" s="937"/>
      <c r="E657" s="937"/>
      <c r="F657" s="937"/>
      <c r="G657" s="937"/>
      <c r="H657" s="937"/>
      <c r="I657" s="937"/>
      <c r="J657" s="937"/>
      <c r="K657" s="937"/>
      <c r="L657" s="937"/>
      <c r="M657" s="937"/>
      <c r="N657" s="937"/>
      <c r="O657" s="937"/>
      <c r="P657" s="937"/>
      <c r="Q657" s="937"/>
      <c r="R657" s="937"/>
      <c r="S657" s="937"/>
      <c r="T657" s="937"/>
      <c r="U657" s="937"/>
      <c r="V657" s="937"/>
      <c r="W657" s="937"/>
      <c r="X657" s="937"/>
      <c r="Y657" s="937"/>
      <c r="Z657" s="937"/>
    </row>
    <row r="658" spans="1:26" ht="15.75" customHeight="1">
      <c r="A658" s="937"/>
      <c r="B658" s="937"/>
      <c r="C658" s="937"/>
      <c r="D658" s="937"/>
      <c r="E658" s="937"/>
      <c r="F658" s="937"/>
      <c r="G658" s="937"/>
      <c r="H658" s="937"/>
      <c r="I658" s="937"/>
      <c r="J658" s="937"/>
      <c r="K658" s="937"/>
      <c r="L658" s="937"/>
      <c r="M658" s="937"/>
      <c r="N658" s="937"/>
      <c r="O658" s="937"/>
      <c r="P658" s="937"/>
      <c r="Q658" s="937"/>
      <c r="R658" s="937"/>
      <c r="S658" s="937"/>
      <c r="T658" s="937"/>
      <c r="U658" s="937"/>
      <c r="V658" s="937"/>
      <c r="W658" s="937"/>
      <c r="X658" s="937"/>
      <c r="Y658" s="937"/>
      <c r="Z658" s="937"/>
    </row>
    <row r="659" spans="1:26" ht="15.75" customHeight="1">
      <c r="A659" s="937"/>
      <c r="B659" s="937"/>
      <c r="C659" s="937"/>
      <c r="D659" s="937"/>
      <c r="E659" s="937"/>
      <c r="F659" s="937"/>
      <c r="G659" s="937"/>
      <c r="H659" s="937"/>
      <c r="I659" s="937"/>
      <c r="J659" s="937"/>
      <c r="K659" s="937"/>
      <c r="L659" s="937"/>
      <c r="M659" s="937"/>
      <c r="N659" s="937"/>
      <c r="O659" s="937"/>
      <c r="P659" s="937"/>
      <c r="Q659" s="937"/>
      <c r="R659" s="937"/>
      <c r="S659" s="937"/>
      <c r="T659" s="937"/>
      <c r="U659" s="937"/>
      <c r="V659" s="937"/>
      <c r="W659" s="937"/>
      <c r="X659" s="937"/>
      <c r="Y659" s="937"/>
      <c r="Z659" s="937"/>
    </row>
    <row r="660" spans="1:26" ht="15.75" customHeight="1">
      <c r="A660" s="937"/>
      <c r="B660" s="937"/>
      <c r="C660" s="937"/>
      <c r="D660" s="937"/>
      <c r="E660" s="937"/>
      <c r="F660" s="937"/>
      <c r="G660" s="937"/>
      <c r="H660" s="937"/>
      <c r="I660" s="937"/>
      <c r="J660" s="937"/>
      <c r="K660" s="937"/>
      <c r="L660" s="937"/>
      <c r="M660" s="937"/>
      <c r="N660" s="937"/>
      <c r="O660" s="937"/>
      <c r="P660" s="937"/>
      <c r="Q660" s="937"/>
      <c r="R660" s="937"/>
      <c r="S660" s="937"/>
      <c r="T660" s="937"/>
      <c r="U660" s="937"/>
      <c r="V660" s="937"/>
      <c r="W660" s="937"/>
      <c r="X660" s="937"/>
      <c r="Y660" s="937"/>
      <c r="Z660" s="937"/>
    </row>
    <row r="661" spans="1:26" ht="15.75" customHeight="1">
      <c r="A661" s="937"/>
      <c r="B661" s="937"/>
      <c r="C661" s="937"/>
      <c r="D661" s="937"/>
      <c r="E661" s="937"/>
      <c r="F661" s="937"/>
      <c r="G661" s="937"/>
      <c r="H661" s="937"/>
      <c r="I661" s="937"/>
      <c r="J661" s="937"/>
      <c r="K661" s="937"/>
      <c r="L661" s="937"/>
      <c r="M661" s="937"/>
      <c r="N661" s="937"/>
      <c r="O661" s="937"/>
      <c r="P661" s="937"/>
      <c r="Q661" s="937"/>
      <c r="R661" s="937"/>
      <c r="S661" s="937"/>
      <c r="T661" s="937"/>
      <c r="U661" s="937"/>
      <c r="V661" s="937"/>
      <c r="W661" s="937"/>
      <c r="X661" s="937"/>
      <c r="Y661" s="937"/>
      <c r="Z661" s="937"/>
    </row>
    <row r="662" spans="1:26" ht="15.75" customHeight="1">
      <c r="A662" s="937"/>
      <c r="B662" s="937"/>
      <c r="C662" s="937"/>
      <c r="D662" s="937"/>
      <c r="E662" s="937"/>
      <c r="F662" s="937"/>
      <c r="G662" s="937"/>
      <c r="H662" s="937"/>
      <c r="I662" s="937"/>
      <c r="J662" s="937"/>
      <c r="K662" s="937"/>
      <c r="L662" s="937"/>
      <c r="M662" s="937"/>
      <c r="N662" s="937"/>
      <c r="O662" s="937"/>
      <c r="P662" s="937"/>
      <c r="Q662" s="937"/>
      <c r="R662" s="937"/>
      <c r="S662" s="937"/>
      <c r="T662" s="937"/>
      <c r="U662" s="937"/>
      <c r="V662" s="937"/>
      <c r="W662" s="937"/>
      <c r="X662" s="937"/>
      <c r="Y662" s="937"/>
      <c r="Z662" s="937"/>
    </row>
    <row r="663" spans="1:26" ht="15.75" customHeight="1">
      <c r="A663" s="937"/>
      <c r="B663" s="937"/>
      <c r="C663" s="937"/>
      <c r="D663" s="937"/>
      <c r="E663" s="937"/>
      <c r="F663" s="937"/>
      <c r="G663" s="937"/>
      <c r="H663" s="937"/>
      <c r="I663" s="937"/>
      <c r="J663" s="937"/>
      <c r="K663" s="937"/>
      <c r="L663" s="937"/>
      <c r="M663" s="937"/>
      <c r="N663" s="937"/>
      <c r="O663" s="937"/>
      <c r="P663" s="937"/>
      <c r="Q663" s="937"/>
      <c r="R663" s="937"/>
      <c r="S663" s="937"/>
      <c r="T663" s="937"/>
      <c r="U663" s="937"/>
      <c r="V663" s="937"/>
      <c r="W663" s="937"/>
      <c r="X663" s="937"/>
      <c r="Y663" s="937"/>
      <c r="Z663" s="937"/>
    </row>
    <row r="664" spans="1:26" ht="15.75" customHeight="1">
      <c r="A664" s="937"/>
      <c r="B664" s="937"/>
      <c r="C664" s="937"/>
      <c r="D664" s="937"/>
      <c r="E664" s="937"/>
      <c r="F664" s="937"/>
      <c r="G664" s="937"/>
      <c r="H664" s="937"/>
      <c r="I664" s="937"/>
      <c r="J664" s="937"/>
      <c r="K664" s="937"/>
      <c r="L664" s="937"/>
      <c r="M664" s="937"/>
      <c r="N664" s="937"/>
      <c r="O664" s="937"/>
      <c r="P664" s="937"/>
      <c r="Q664" s="937"/>
      <c r="R664" s="937"/>
      <c r="S664" s="937"/>
      <c r="T664" s="937"/>
      <c r="U664" s="937"/>
      <c r="V664" s="937"/>
      <c r="W664" s="937"/>
      <c r="X664" s="937"/>
      <c r="Y664" s="937"/>
      <c r="Z664" s="937"/>
    </row>
    <row r="665" spans="1:26" ht="15.75" customHeight="1">
      <c r="A665" s="937"/>
      <c r="B665" s="937"/>
      <c r="C665" s="937"/>
      <c r="D665" s="937"/>
      <c r="E665" s="937"/>
      <c r="F665" s="937"/>
      <c r="G665" s="937"/>
      <c r="H665" s="937"/>
      <c r="I665" s="937"/>
      <c r="J665" s="937"/>
      <c r="K665" s="937"/>
      <c r="L665" s="937"/>
      <c r="M665" s="937"/>
      <c r="N665" s="937"/>
      <c r="O665" s="937"/>
      <c r="P665" s="937"/>
      <c r="Q665" s="937"/>
      <c r="R665" s="937"/>
      <c r="S665" s="937"/>
      <c r="T665" s="937"/>
      <c r="U665" s="937"/>
      <c r="V665" s="937"/>
      <c r="W665" s="937"/>
      <c r="X665" s="937"/>
      <c r="Y665" s="937"/>
      <c r="Z665" s="937"/>
    </row>
    <row r="666" spans="1:26" ht="15.75" customHeight="1">
      <c r="A666" s="937"/>
      <c r="B666" s="937"/>
      <c r="C666" s="937"/>
      <c r="D666" s="937"/>
      <c r="E666" s="937"/>
      <c r="F666" s="937"/>
      <c r="G666" s="937"/>
      <c r="H666" s="937"/>
      <c r="I666" s="937"/>
      <c r="J666" s="937"/>
      <c r="K666" s="937"/>
      <c r="L666" s="937"/>
      <c r="M666" s="937"/>
      <c r="N666" s="937"/>
      <c r="O666" s="937"/>
      <c r="P666" s="937"/>
      <c r="Q666" s="937"/>
      <c r="R666" s="937"/>
      <c r="S666" s="937"/>
      <c r="T666" s="937"/>
      <c r="U666" s="937"/>
      <c r="V666" s="937"/>
      <c r="W666" s="937"/>
      <c r="X666" s="937"/>
      <c r="Y666" s="937"/>
      <c r="Z666" s="937"/>
    </row>
    <row r="667" spans="1:26" ht="15.75" customHeight="1">
      <c r="A667" s="937"/>
      <c r="B667" s="937"/>
      <c r="C667" s="937"/>
      <c r="D667" s="937"/>
      <c r="E667" s="937"/>
      <c r="F667" s="937"/>
      <c r="G667" s="937"/>
      <c r="H667" s="937"/>
      <c r="I667" s="937"/>
      <c r="J667" s="937"/>
      <c r="K667" s="937"/>
      <c r="L667" s="937"/>
      <c r="M667" s="937"/>
      <c r="N667" s="937"/>
      <c r="O667" s="937"/>
      <c r="P667" s="937"/>
      <c r="Q667" s="937"/>
      <c r="R667" s="937"/>
      <c r="S667" s="937"/>
      <c r="T667" s="937"/>
      <c r="U667" s="937"/>
      <c r="V667" s="937"/>
      <c r="W667" s="937"/>
      <c r="X667" s="937"/>
      <c r="Y667" s="937"/>
      <c r="Z667" s="937"/>
    </row>
    <row r="668" spans="1:26" ht="15.75" customHeight="1">
      <c r="A668" s="937"/>
      <c r="B668" s="937"/>
      <c r="C668" s="937"/>
      <c r="D668" s="937"/>
      <c r="E668" s="937"/>
      <c r="F668" s="937"/>
      <c r="G668" s="937"/>
      <c r="H668" s="937"/>
      <c r="I668" s="937"/>
      <c r="J668" s="937"/>
      <c r="K668" s="937"/>
      <c r="L668" s="937"/>
      <c r="M668" s="937"/>
      <c r="N668" s="937"/>
      <c r="O668" s="937"/>
      <c r="P668" s="937"/>
      <c r="Q668" s="937"/>
      <c r="R668" s="937"/>
      <c r="S668" s="937"/>
      <c r="T668" s="937"/>
      <c r="U668" s="937"/>
      <c r="V668" s="937"/>
      <c r="W668" s="937"/>
      <c r="X668" s="937"/>
      <c r="Y668" s="937"/>
      <c r="Z668" s="937"/>
    </row>
    <row r="669" spans="1:26" ht="15.75" customHeight="1">
      <c r="A669" s="937"/>
      <c r="B669" s="937"/>
      <c r="C669" s="937"/>
      <c r="D669" s="937"/>
      <c r="E669" s="937"/>
      <c r="F669" s="937"/>
      <c r="G669" s="937"/>
      <c r="H669" s="937"/>
      <c r="I669" s="937"/>
      <c r="J669" s="937"/>
      <c r="K669" s="937"/>
      <c r="L669" s="937"/>
      <c r="M669" s="937"/>
      <c r="N669" s="937"/>
      <c r="O669" s="937"/>
      <c r="P669" s="937"/>
      <c r="Q669" s="937"/>
      <c r="R669" s="937"/>
      <c r="S669" s="937"/>
      <c r="T669" s="937"/>
      <c r="U669" s="937"/>
      <c r="V669" s="937"/>
      <c r="W669" s="937"/>
      <c r="X669" s="937"/>
      <c r="Y669" s="937"/>
      <c r="Z669" s="937"/>
    </row>
    <row r="670" spans="1:26" ht="15.75" customHeight="1">
      <c r="A670" s="937"/>
      <c r="B670" s="937"/>
      <c r="C670" s="937"/>
      <c r="D670" s="937"/>
      <c r="E670" s="937"/>
      <c r="F670" s="937"/>
      <c r="G670" s="937"/>
      <c r="H670" s="937"/>
      <c r="I670" s="937"/>
      <c r="J670" s="937"/>
      <c r="K670" s="937"/>
      <c r="L670" s="937"/>
      <c r="M670" s="937"/>
      <c r="N670" s="937"/>
      <c r="O670" s="937"/>
      <c r="P670" s="937"/>
      <c r="Q670" s="937"/>
      <c r="R670" s="937"/>
      <c r="S670" s="937"/>
      <c r="T670" s="937"/>
      <c r="U670" s="937"/>
      <c r="V670" s="937"/>
      <c r="W670" s="937"/>
      <c r="X670" s="937"/>
      <c r="Y670" s="937"/>
      <c r="Z670" s="937"/>
    </row>
    <row r="671" spans="1:26" ht="15.75" customHeight="1">
      <c r="A671" s="937"/>
      <c r="B671" s="937"/>
      <c r="C671" s="937"/>
      <c r="D671" s="937"/>
      <c r="E671" s="937"/>
      <c r="F671" s="937"/>
      <c r="G671" s="937"/>
      <c r="H671" s="937"/>
      <c r="I671" s="937"/>
      <c r="J671" s="937"/>
      <c r="K671" s="937"/>
      <c r="L671" s="937"/>
      <c r="M671" s="937"/>
      <c r="N671" s="937"/>
      <c r="O671" s="937"/>
      <c r="P671" s="937"/>
      <c r="Q671" s="937"/>
      <c r="R671" s="937"/>
      <c r="S671" s="937"/>
      <c r="T671" s="937"/>
      <c r="U671" s="937"/>
      <c r="V671" s="937"/>
      <c r="W671" s="937"/>
      <c r="X671" s="937"/>
      <c r="Y671" s="937"/>
      <c r="Z671" s="937"/>
    </row>
    <row r="672" spans="1:26" ht="15.75" customHeight="1">
      <c r="A672" s="937"/>
      <c r="B672" s="937"/>
      <c r="C672" s="937"/>
      <c r="D672" s="937"/>
      <c r="E672" s="937"/>
      <c r="F672" s="937"/>
      <c r="G672" s="937"/>
      <c r="H672" s="937"/>
      <c r="I672" s="937"/>
      <c r="J672" s="937"/>
      <c r="K672" s="937"/>
      <c r="L672" s="937"/>
      <c r="M672" s="937"/>
      <c r="N672" s="937"/>
      <c r="O672" s="937"/>
      <c r="P672" s="937"/>
      <c r="Q672" s="937"/>
      <c r="R672" s="937"/>
      <c r="S672" s="937"/>
      <c r="T672" s="937"/>
      <c r="U672" s="937"/>
      <c r="V672" s="937"/>
      <c r="W672" s="937"/>
      <c r="X672" s="937"/>
      <c r="Y672" s="937"/>
      <c r="Z672" s="937"/>
    </row>
    <row r="673" spans="1:26" ht="15.75" customHeight="1">
      <c r="A673" s="937"/>
      <c r="B673" s="937"/>
      <c r="C673" s="937"/>
      <c r="D673" s="937"/>
      <c r="E673" s="937"/>
      <c r="F673" s="937"/>
      <c r="G673" s="937"/>
      <c r="H673" s="937"/>
      <c r="I673" s="937"/>
      <c r="J673" s="937"/>
      <c r="K673" s="937"/>
      <c r="L673" s="937"/>
      <c r="M673" s="937"/>
      <c r="N673" s="937"/>
      <c r="O673" s="937"/>
      <c r="P673" s="937"/>
      <c r="Q673" s="937"/>
      <c r="R673" s="937"/>
      <c r="S673" s="937"/>
      <c r="T673" s="937"/>
      <c r="U673" s="937"/>
      <c r="V673" s="937"/>
      <c r="W673" s="937"/>
      <c r="X673" s="937"/>
      <c r="Y673" s="937"/>
      <c r="Z673" s="937"/>
    </row>
    <row r="674" spans="1:26" ht="15.75" customHeight="1">
      <c r="A674" s="937"/>
      <c r="B674" s="937"/>
      <c r="C674" s="937"/>
      <c r="D674" s="937"/>
      <c r="E674" s="937"/>
      <c r="F674" s="937"/>
      <c r="G674" s="937"/>
      <c r="H674" s="937"/>
      <c r="I674" s="937"/>
      <c r="J674" s="937"/>
      <c r="K674" s="937"/>
      <c r="L674" s="937"/>
      <c r="M674" s="937"/>
      <c r="N674" s="937"/>
      <c r="O674" s="937"/>
      <c r="P674" s="937"/>
      <c r="Q674" s="937"/>
      <c r="R674" s="937"/>
      <c r="S674" s="937"/>
      <c r="T674" s="937"/>
      <c r="U674" s="937"/>
      <c r="V674" s="937"/>
      <c r="W674" s="937"/>
      <c r="X674" s="937"/>
      <c r="Y674" s="937"/>
      <c r="Z674" s="937"/>
    </row>
    <row r="675" spans="1:26" ht="15.75" customHeight="1">
      <c r="A675" s="937"/>
      <c r="B675" s="937"/>
      <c r="C675" s="937"/>
      <c r="D675" s="937"/>
      <c r="E675" s="937"/>
      <c r="F675" s="937"/>
      <c r="G675" s="937"/>
      <c r="H675" s="937"/>
      <c r="I675" s="937"/>
      <c r="J675" s="937"/>
      <c r="K675" s="937"/>
      <c r="L675" s="937"/>
      <c r="M675" s="937"/>
      <c r="N675" s="937"/>
      <c r="O675" s="937"/>
      <c r="P675" s="937"/>
      <c r="Q675" s="937"/>
      <c r="R675" s="937"/>
      <c r="S675" s="937"/>
      <c r="T675" s="937"/>
      <c r="U675" s="937"/>
      <c r="V675" s="937"/>
      <c r="W675" s="937"/>
      <c r="X675" s="937"/>
      <c r="Y675" s="937"/>
      <c r="Z675" s="937"/>
    </row>
    <row r="676" spans="1:26" ht="15.75" customHeight="1">
      <c r="A676" s="937"/>
      <c r="B676" s="937"/>
      <c r="C676" s="937"/>
      <c r="D676" s="937"/>
      <c r="E676" s="937"/>
      <c r="F676" s="937"/>
      <c r="G676" s="937"/>
      <c r="H676" s="937"/>
      <c r="I676" s="937"/>
      <c r="J676" s="937"/>
      <c r="K676" s="937"/>
      <c r="L676" s="937"/>
      <c r="M676" s="937"/>
      <c r="N676" s="937"/>
      <c r="O676" s="937"/>
      <c r="P676" s="937"/>
      <c r="Q676" s="937"/>
      <c r="R676" s="937"/>
      <c r="S676" s="937"/>
      <c r="T676" s="937"/>
      <c r="U676" s="937"/>
      <c r="V676" s="937"/>
      <c r="W676" s="937"/>
      <c r="X676" s="937"/>
      <c r="Y676" s="937"/>
      <c r="Z676" s="937"/>
    </row>
    <row r="677" spans="1:26" ht="15.75" customHeight="1">
      <c r="A677" s="937"/>
      <c r="B677" s="937"/>
      <c r="C677" s="937"/>
      <c r="D677" s="937"/>
      <c r="E677" s="937"/>
      <c r="F677" s="937"/>
      <c r="G677" s="937"/>
      <c r="H677" s="937"/>
      <c r="I677" s="937"/>
      <c r="J677" s="937"/>
      <c r="K677" s="937"/>
      <c r="L677" s="937"/>
      <c r="M677" s="937"/>
      <c r="N677" s="937"/>
      <c r="O677" s="937"/>
      <c r="P677" s="937"/>
      <c r="Q677" s="937"/>
      <c r="R677" s="937"/>
      <c r="S677" s="937"/>
      <c r="T677" s="937"/>
      <c r="U677" s="937"/>
      <c r="V677" s="937"/>
      <c r="W677" s="937"/>
      <c r="X677" s="937"/>
      <c r="Y677" s="937"/>
      <c r="Z677" s="937"/>
    </row>
    <row r="678" spans="1:26" ht="15.75" customHeight="1">
      <c r="A678" s="937"/>
      <c r="B678" s="937"/>
      <c r="C678" s="937"/>
      <c r="D678" s="937"/>
      <c r="E678" s="937"/>
      <c r="F678" s="937"/>
      <c r="G678" s="937"/>
      <c r="H678" s="937"/>
      <c r="I678" s="937"/>
      <c r="J678" s="937"/>
      <c r="K678" s="937"/>
      <c r="L678" s="937"/>
      <c r="M678" s="937"/>
      <c r="N678" s="937"/>
      <c r="O678" s="937"/>
      <c r="P678" s="937"/>
      <c r="Q678" s="937"/>
      <c r="R678" s="937"/>
      <c r="S678" s="937"/>
      <c r="T678" s="937"/>
      <c r="U678" s="937"/>
      <c r="V678" s="937"/>
      <c r="W678" s="937"/>
      <c r="X678" s="937"/>
      <c r="Y678" s="937"/>
      <c r="Z678" s="937"/>
    </row>
    <row r="679" spans="1:26" ht="15.75" customHeight="1">
      <c r="A679" s="937"/>
      <c r="B679" s="937"/>
      <c r="C679" s="937"/>
      <c r="D679" s="937"/>
      <c r="E679" s="937"/>
      <c r="F679" s="937"/>
      <c r="G679" s="937"/>
      <c r="H679" s="937"/>
      <c r="I679" s="937"/>
      <c r="J679" s="937"/>
      <c r="K679" s="937"/>
      <c r="L679" s="937"/>
      <c r="M679" s="937"/>
      <c r="N679" s="937"/>
      <c r="O679" s="937"/>
      <c r="P679" s="937"/>
      <c r="Q679" s="937"/>
      <c r="R679" s="937"/>
      <c r="S679" s="937"/>
      <c r="T679" s="937"/>
      <c r="U679" s="937"/>
      <c r="V679" s="937"/>
      <c r="W679" s="937"/>
      <c r="X679" s="937"/>
      <c r="Y679" s="937"/>
      <c r="Z679" s="937"/>
    </row>
    <row r="680" spans="1:26" ht="15.75" customHeight="1">
      <c r="A680" s="937"/>
      <c r="B680" s="937"/>
      <c r="C680" s="937"/>
      <c r="D680" s="937"/>
      <c r="E680" s="937"/>
      <c r="F680" s="937"/>
      <c r="G680" s="937"/>
      <c r="H680" s="937"/>
      <c r="I680" s="937"/>
      <c r="J680" s="937"/>
      <c r="K680" s="937"/>
      <c r="L680" s="937"/>
      <c r="M680" s="937"/>
      <c r="N680" s="937"/>
      <c r="O680" s="937"/>
      <c r="P680" s="937"/>
      <c r="Q680" s="937"/>
      <c r="R680" s="937"/>
      <c r="S680" s="937"/>
      <c r="T680" s="937"/>
      <c r="U680" s="937"/>
      <c r="V680" s="937"/>
      <c r="W680" s="937"/>
      <c r="X680" s="937"/>
      <c r="Y680" s="937"/>
      <c r="Z680" s="937"/>
    </row>
    <row r="681" spans="1:26" ht="15.75" customHeight="1">
      <c r="A681" s="937"/>
      <c r="B681" s="937"/>
      <c r="C681" s="937"/>
      <c r="D681" s="937"/>
      <c r="E681" s="937"/>
      <c r="F681" s="937"/>
      <c r="G681" s="937"/>
      <c r="H681" s="937"/>
      <c r="I681" s="937"/>
      <c r="J681" s="937"/>
      <c r="K681" s="937"/>
      <c r="L681" s="937"/>
      <c r="M681" s="937"/>
      <c r="N681" s="937"/>
      <c r="O681" s="937"/>
      <c r="P681" s="937"/>
      <c r="Q681" s="937"/>
      <c r="R681" s="937"/>
      <c r="S681" s="937"/>
      <c r="T681" s="937"/>
      <c r="U681" s="937"/>
      <c r="V681" s="937"/>
      <c r="W681" s="937"/>
      <c r="X681" s="937"/>
      <c r="Y681" s="937"/>
      <c r="Z681" s="937"/>
    </row>
    <row r="682" spans="1:26" ht="15.75" customHeight="1">
      <c r="A682" s="937"/>
      <c r="B682" s="937"/>
      <c r="C682" s="937"/>
      <c r="D682" s="937"/>
      <c r="E682" s="937"/>
      <c r="F682" s="937"/>
      <c r="G682" s="937"/>
      <c r="H682" s="937"/>
      <c r="I682" s="937"/>
      <c r="J682" s="937"/>
      <c r="K682" s="937"/>
      <c r="L682" s="937"/>
      <c r="M682" s="937"/>
      <c r="N682" s="937"/>
      <c r="O682" s="937"/>
      <c r="P682" s="937"/>
      <c r="Q682" s="937"/>
      <c r="R682" s="937"/>
      <c r="S682" s="937"/>
      <c r="T682" s="937"/>
      <c r="U682" s="937"/>
      <c r="V682" s="937"/>
      <c r="W682" s="937"/>
      <c r="X682" s="937"/>
      <c r="Y682" s="937"/>
      <c r="Z682" s="937"/>
    </row>
    <row r="683" spans="1:26" ht="15.75" customHeight="1">
      <c r="A683" s="937"/>
      <c r="B683" s="937"/>
      <c r="C683" s="937"/>
      <c r="D683" s="937"/>
      <c r="E683" s="937"/>
      <c r="F683" s="937"/>
      <c r="G683" s="937"/>
      <c r="H683" s="937"/>
      <c r="I683" s="937"/>
      <c r="J683" s="937"/>
      <c r="K683" s="937"/>
      <c r="L683" s="937"/>
      <c r="M683" s="937"/>
      <c r="N683" s="937"/>
      <c r="O683" s="937"/>
      <c r="P683" s="937"/>
      <c r="Q683" s="937"/>
      <c r="R683" s="937"/>
      <c r="S683" s="937"/>
      <c r="T683" s="937"/>
      <c r="U683" s="937"/>
      <c r="V683" s="937"/>
      <c r="W683" s="937"/>
      <c r="X683" s="937"/>
      <c r="Y683" s="937"/>
      <c r="Z683" s="937"/>
    </row>
    <row r="684" spans="1:26" ht="15.75" customHeight="1">
      <c r="A684" s="937"/>
      <c r="B684" s="937"/>
      <c r="C684" s="937"/>
      <c r="D684" s="937"/>
      <c r="E684" s="937"/>
      <c r="F684" s="937"/>
      <c r="G684" s="937"/>
      <c r="H684" s="937"/>
      <c r="I684" s="937"/>
      <c r="J684" s="937"/>
      <c r="K684" s="937"/>
      <c r="L684" s="937"/>
      <c r="M684" s="937"/>
      <c r="N684" s="937"/>
      <c r="O684" s="937"/>
      <c r="P684" s="937"/>
      <c r="Q684" s="937"/>
      <c r="R684" s="937"/>
      <c r="S684" s="937"/>
      <c r="T684" s="937"/>
      <c r="U684" s="937"/>
      <c r="V684" s="937"/>
      <c r="W684" s="937"/>
      <c r="X684" s="937"/>
      <c r="Y684" s="937"/>
      <c r="Z684" s="937"/>
    </row>
    <row r="685" spans="1:26" ht="15.75" customHeight="1">
      <c r="A685" s="937"/>
      <c r="B685" s="937"/>
      <c r="C685" s="937"/>
      <c r="D685" s="937"/>
      <c r="E685" s="937"/>
      <c r="F685" s="937"/>
      <c r="G685" s="937"/>
      <c r="H685" s="937"/>
      <c r="I685" s="937"/>
      <c r="J685" s="937"/>
      <c r="K685" s="937"/>
      <c r="L685" s="937"/>
      <c r="M685" s="937"/>
      <c r="N685" s="937"/>
      <c r="O685" s="937"/>
      <c r="P685" s="937"/>
      <c r="Q685" s="937"/>
      <c r="R685" s="937"/>
      <c r="S685" s="937"/>
      <c r="T685" s="937"/>
      <c r="U685" s="937"/>
      <c r="V685" s="937"/>
      <c r="W685" s="937"/>
      <c r="X685" s="937"/>
      <c r="Y685" s="937"/>
      <c r="Z685" s="937"/>
    </row>
    <row r="686" spans="1:26" ht="15.75" customHeight="1">
      <c r="A686" s="937"/>
      <c r="B686" s="937"/>
      <c r="C686" s="937"/>
      <c r="D686" s="937"/>
      <c r="E686" s="937"/>
      <c r="F686" s="937"/>
      <c r="G686" s="937"/>
      <c r="H686" s="937"/>
      <c r="I686" s="937"/>
      <c r="J686" s="937"/>
      <c r="K686" s="937"/>
      <c r="L686" s="937"/>
      <c r="M686" s="937"/>
      <c r="N686" s="937"/>
      <c r="O686" s="937"/>
      <c r="P686" s="937"/>
      <c r="Q686" s="937"/>
      <c r="R686" s="937"/>
      <c r="S686" s="937"/>
      <c r="T686" s="937"/>
      <c r="U686" s="937"/>
      <c r="V686" s="937"/>
      <c r="W686" s="937"/>
      <c r="X686" s="937"/>
      <c r="Y686" s="937"/>
      <c r="Z686" s="937"/>
    </row>
    <row r="687" spans="1:26" ht="15.75" customHeight="1">
      <c r="A687" s="937"/>
      <c r="B687" s="937"/>
      <c r="C687" s="937"/>
      <c r="D687" s="937"/>
      <c r="E687" s="937"/>
      <c r="F687" s="937"/>
      <c r="G687" s="937"/>
      <c r="H687" s="937"/>
      <c r="I687" s="937"/>
      <c r="J687" s="937"/>
      <c r="K687" s="937"/>
      <c r="L687" s="937"/>
      <c r="M687" s="937"/>
      <c r="N687" s="937"/>
      <c r="O687" s="937"/>
      <c r="P687" s="937"/>
      <c r="Q687" s="937"/>
      <c r="R687" s="937"/>
      <c r="S687" s="937"/>
      <c r="T687" s="937"/>
      <c r="U687" s="937"/>
      <c r="V687" s="937"/>
      <c r="W687" s="937"/>
      <c r="X687" s="937"/>
      <c r="Y687" s="937"/>
      <c r="Z687" s="937"/>
    </row>
    <row r="688" spans="1:26" ht="15.75" customHeight="1">
      <c r="A688" s="937"/>
      <c r="B688" s="937"/>
      <c r="C688" s="937"/>
      <c r="D688" s="937"/>
      <c r="E688" s="937"/>
      <c r="F688" s="937"/>
      <c r="G688" s="937"/>
      <c r="H688" s="937"/>
      <c r="I688" s="937"/>
      <c r="J688" s="937"/>
      <c r="K688" s="937"/>
      <c r="L688" s="937"/>
      <c r="M688" s="937"/>
      <c r="N688" s="937"/>
      <c r="O688" s="937"/>
      <c r="P688" s="937"/>
      <c r="Q688" s="937"/>
      <c r="R688" s="937"/>
      <c r="S688" s="937"/>
      <c r="T688" s="937"/>
      <c r="U688" s="937"/>
      <c r="V688" s="937"/>
      <c r="W688" s="937"/>
      <c r="X688" s="937"/>
      <c r="Y688" s="937"/>
      <c r="Z688" s="937"/>
    </row>
    <row r="689" spans="1:26" ht="15.75" customHeight="1">
      <c r="A689" s="937"/>
      <c r="B689" s="937"/>
      <c r="C689" s="937"/>
      <c r="D689" s="937"/>
      <c r="E689" s="937"/>
      <c r="F689" s="937"/>
      <c r="G689" s="937"/>
      <c r="H689" s="937"/>
      <c r="I689" s="937"/>
      <c r="J689" s="937"/>
      <c r="K689" s="937"/>
      <c r="L689" s="937"/>
      <c r="M689" s="937"/>
      <c r="N689" s="937"/>
      <c r="O689" s="937"/>
      <c r="P689" s="937"/>
      <c r="Q689" s="937"/>
      <c r="R689" s="937"/>
      <c r="S689" s="937"/>
      <c r="T689" s="937"/>
      <c r="U689" s="937"/>
      <c r="V689" s="937"/>
      <c r="W689" s="937"/>
      <c r="X689" s="937"/>
      <c r="Y689" s="937"/>
      <c r="Z689" s="937"/>
    </row>
    <row r="690" spans="1:26" ht="15.75" customHeight="1">
      <c r="A690" s="937"/>
      <c r="B690" s="937"/>
      <c r="C690" s="937"/>
      <c r="D690" s="937"/>
      <c r="E690" s="937"/>
      <c r="F690" s="937"/>
      <c r="G690" s="937"/>
      <c r="H690" s="937"/>
      <c r="I690" s="937"/>
      <c r="J690" s="937"/>
      <c r="K690" s="937"/>
      <c r="L690" s="937"/>
      <c r="M690" s="937"/>
      <c r="N690" s="937"/>
      <c r="O690" s="937"/>
      <c r="P690" s="937"/>
      <c r="Q690" s="937"/>
      <c r="R690" s="937"/>
      <c r="S690" s="937"/>
      <c r="T690" s="937"/>
      <c r="U690" s="937"/>
      <c r="V690" s="937"/>
      <c r="W690" s="937"/>
      <c r="X690" s="937"/>
      <c r="Y690" s="937"/>
      <c r="Z690" s="937"/>
    </row>
    <row r="691" spans="1:26" ht="15.75" customHeight="1">
      <c r="A691" s="937"/>
      <c r="B691" s="937"/>
      <c r="C691" s="937"/>
      <c r="D691" s="937"/>
      <c r="E691" s="937"/>
      <c r="F691" s="937"/>
      <c r="G691" s="937"/>
      <c r="H691" s="937"/>
      <c r="I691" s="937"/>
      <c r="J691" s="937"/>
      <c r="K691" s="937"/>
      <c r="L691" s="937"/>
      <c r="M691" s="937"/>
      <c r="N691" s="937"/>
      <c r="O691" s="937"/>
      <c r="P691" s="937"/>
      <c r="Q691" s="937"/>
      <c r="R691" s="937"/>
      <c r="S691" s="937"/>
      <c r="T691" s="937"/>
      <c r="U691" s="937"/>
      <c r="V691" s="937"/>
      <c r="W691" s="937"/>
      <c r="X691" s="937"/>
      <c r="Y691" s="937"/>
      <c r="Z691" s="937"/>
    </row>
    <row r="692" spans="1:26" ht="15.75" customHeight="1">
      <c r="A692" s="937"/>
      <c r="B692" s="937"/>
      <c r="C692" s="937"/>
      <c r="D692" s="937"/>
      <c r="E692" s="937"/>
      <c r="F692" s="937"/>
      <c r="G692" s="937"/>
      <c r="H692" s="937"/>
      <c r="I692" s="937"/>
      <c r="J692" s="937"/>
      <c r="K692" s="937"/>
      <c r="L692" s="937"/>
      <c r="M692" s="937"/>
      <c r="N692" s="937"/>
      <c r="O692" s="937"/>
      <c r="P692" s="937"/>
      <c r="Q692" s="937"/>
      <c r="R692" s="937"/>
      <c r="S692" s="937"/>
      <c r="T692" s="937"/>
      <c r="U692" s="937"/>
      <c r="V692" s="937"/>
      <c r="W692" s="937"/>
      <c r="X692" s="937"/>
      <c r="Y692" s="937"/>
      <c r="Z692" s="937"/>
    </row>
    <row r="693" spans="1:26" ht="15.75" customHeight="1">
      <c r="A693" s="937"/>
      <c r="B693" s="937"/>
      <c r="C693" s="937"/>
      <c r="D693" s="937"/>
      <c r="E693" s="937"/>
      <c r="F693" s="937"/>
      <c r="G693" s="937"/>
      <c r="H693" s="937"/>
      <c r="I693" s="937"/>
      <c r="J693" s="937"/>
      <c r="K693" s="937"/>
      <c r="L693" s="937"/>
      <c r="M693" s="937"/>
      <c r="N693" s="937"/>
      <c r="O693" s="937"/>
      <c r="P693" s="937"/>
      <c r="Q693" s="937"/>
      <c r="R693" s="937"/>
      <c r="S693" s="937"/>
      <c r="T693" s="937"/>
      <c r="U693" s="937"/>
      <c r="V693" s="937"/>
      <c r="W693" s="937"/>
      <c r="X693" s="937"/>
      <c r="Y693" s="937"/>
      <c r="Z693" s="937"/>
    </row>
    <row r="694" spans="1:26" ht="15.75" customHeight="1">
      <c r="A694" s="937"/>
      <c r="B694" s="937"/>
      <c r="C694" s="937"/>
      <c r="D694" s="937"/>
      <c r="E694" s="937"/>
      <c r="F694" s="937"/>
      <c r="G694" s="937"/>
      <c r="H694" s="937"/>
      <c r="I694" s="937"/>
      <c r="J694" s="937"/>
      <c r="K694" s="937"/>
      <c r="L694" s="937"/>
      <c r="M694" s="937"/>
      <c r="N694" s="937"/>
      <c r="O694" s="937"/>
      <c r="P694" s="937"/>
      <c r="Q694" s="937"/>
      <c r="R694" s="937"/>
      <c r="S694" s="937"/>
      <c r="T694" s="937"/>
      <c r="U694" s="937"/>
      <c r="V694" s="937"/>
      <c r="W694" s="937"/>
      <c r="X694" s="937"/>
      <c r="Y694" s="937"/>
      <c r="Z694" s="937"/>
    </row>
    <row r="695" spans="1:26" ht="15.75" customHeight="1">
      <c r="A695" s="937"/>
      <c r="B695" s="937"/>
      <c r="C695" s="937"/>
      <c r="D695" s="937"/>
      <c r="E695" s="937"/>
      <c r="F695" s="937"/>
      <c r="G695" s="937"/>
      <c r="H695" s="937"/>
      <c r="I695" s="937"/>
      <c r="J695" s="937"/>
      <c r="K695" s="937"/>
      <c r="L695" s="937"/>
      <c r="M695" s="937"/>
      <c r="N695" s="937"/>
      <c r="O695" s="937"/>
      <c r="P695" s="937"/>
      <c r="Q695" s="937"/>
      <c r="R695" s="937"/>
      <c r="S695" s="937"/>
      <c r="T695" s="937"/>
      <c r="U695" s="937"/>
      <c r="V695" s="937"/>
      <c r="W695" s="937"/>
      <c r="X695" s="937"/>
      <c r="Y695" s="937"/>
      <c r="Z695" s="937"/>
    </row>
    <row r="696" spans="1:26" ht="15.75" customHeight="1">
      <c r="A696" s="937"/>
      <c r="B696" s="937"/>
      <c r="C696" s="937"/>
      <c r="D696" s="937"/>
      <c r="E696" s="937"/>
      <c r="F696" s="937"/>
      <c r="G696" s="937"/>
      <c r="H696" s="937"/>
      <c r="I696" s="937"/>
      <c r="J696" s="937"/>
      <c r="K696" s="937"/>
      <c r="L696" s="937"/>
      <c r="M696" s="937"/>
      <c r="N696" s="937"/>
      <c r="O696" s="937"/>
      <c r="P696" s="937"/>
      <c r="Q696" s="937"/>
      <c r="R696" s="937"/>
      <c r="S696" s="937"/>
      <c r="T696" s="937"/>
      <c r="U696" s="937"/>
      <c r="V696" s="937"/>
      <c r="W696" s="937"/>
      <c r="X696" s="937"/>
      <c r="Y696" s="937"/>
      <c r="Z696" s="937"/>
    </row>
    <row r="697" spans="1:26" ht="15.75" customHeight="1">
      <c r="A697" s="937"/>
      <c r="B697" s="937"/>
      <c r="C697" s="937"/>
      <c r="D697" s="937"/>
      <c r="E697" s="937"/>
      <c r="F697" s="937"/>
      <c r="G697" s="937"/>
      <c r="H697" s="937"/>
      <c r="I697" s="937"/>
      <c r="J697" s="937"/>
      <c r="K697" s="937"/>
      <c r="L697" s="937"/>
      <c r="M697" s="937"/>
      <c r="N697" s="937"/>
      <c r="O697" s="937"/>
      <c r="P697" s="937"/>
      <c r="Q697" s="937"/>
      <c r="R697" s="937"/>
      <c r="S697" s="937"/>
      <c r="T697" s="937"/>
      <c r="U697" s="937"/>
      <c r="V697" s="937"/>
      <c r="W697" s="937"/>
      <c r="X697" s="937"/>
      <c r="Y697" s="937"/>
      <c r="Z697" s="937"/>
    </row>
    <row r="698" spans="1:26" ht="15.75" customHeight="1">
      <c r="A698" s="937"/>
      <c r="B698" s="937"/>
      <c r="C698" s="937"/>
      <c r="D698" s="937"/>
      <c r="E698" s="937"/>
      <c r="F698" s="937"/>
      <c r="G698" s="937"/>
      <c r="H698" s="937"/>
      <c r="I698" s="937"/>
      <c r="J698" s="937"/>
      <c r="K698" s="937"/>
      <c r="L698" s="937"/>
      <c r="M698" s="937"/>
      <c r="N698" s="937"/>
      <c r="O698" s="937"/>
      <c r="P698" s="937"/>
      <c r="Q698" s="937"/>
      <c r="R698" s="937"/>
      <c r="S698" s="937"/>
      <c r="T698" s="937"/>
      <c r="U698" s="937"/>
      <c r="V698" s="937"/>
      <c r="W698" s="937"/>
      <c r="X698" s="937"/>
      <c r="Y698" s="937"/>
      <c r="Z698" s="937"/>
    </row>
    <row r="699" spans="1:26" ht="15.75" customHeight="1">
      <c r="A699" s="937"/>
      <c r="B699" s="937"/>
      <c r="C699" s="937"/>
      <c r="D699" s="937"/>
      <c r="E699" s="937"/>
      <c r="F699" s="937"/>
      <c r="G699" s="937"/>
      <c r="H699" s="937"/>
      <c r="I699" s="937"/>
      <c r="J699" s="937"/>
      <c r="K699" s="937"/>
      <c r="L699" s="937"/>
      <c r="M699" s="937"/>
      <c r="N699" s="937"/>
      <c r="O699" s="937"/>
      <c r="P699" s="937"/>
      <c r="Q699" s="937"/>
      <c r="R699" s="937"/>
      <c r="S699" s="937"/>
      <c r="T699" s="937"/>
      <c r="U699" s="937"/>
      <c r="V699" s="937"/>
      <c r="W699" s="937"/>
      <c r="X699" s="937"/>
      <c r="Y699" s="937"/>
      <c r="Z699" s="937"/>
    </row>
    <row r="700" spans="1:26" ht="15.75" customHeight="1">
      <c r="A700" s="937"/>
      <c r="B700" s="937"/>
      <c r="C700" s="937"/>
      <c r="D700" s="937"/>
      <c r="E700" s="937"/>
      <c r="F700" s="937"/>
      <c r="G700" s="937"/>
      <c r="H700" s="937"/>
      <c r="I700" s="937"/>
      <c r="J700" s="937"/>
      <c r="K700" s="937"/>
      <c r="L700" s="937"/>
      <c r="M700" s="937"/>
      <c r="N700" s="937"/>
      <c r="O700" s="937"/>
      <c r="P700" s="937"/>
      <c r="Q700" s="937"/>
      <c r="R700" s="937"/>
      <c r="S700" s="937"/>
      <c r="T700" s="937"/>
      <c r="U700" s="937"/>
      <c r="V700" s="937"/>
      <c r="W700" s="937"/>
      <c r="X700" s="937"/>
      <c r="Y700" s="937"/>
      <c r="Z700" s="937"/>
    </row>
    <row r="701" spans="1:26" ht="15.75" customHeight="1">
      <c r="A701" s="937"/>
      <c r="B701" s="937"/>
      <c r="C701" s="937"/>
      <c r="D701" s="937"/>
      <c r="E701" s="937"/>
      <c r="F701" s="937"/>
      <c r="G701" s="937"/>
      <c r="H701" s="937"/>
      <c r="I701" s="937"/>
      <c r="J701" s="937"/>
      <c r="K701" s="937"/>
      <c r="L701" s="937"/>
      <c r="M701" s="937"/>
      <c r="N701" s="937"/>
      <c r="O701" s="937"/>
      <c r="P701" s="937"/>
      <c r="Q701" s="937"/>
      <c r="R701" s="937"/>
      <c r="S701" s="937"/>
      <c r="T701" s="937"/>
      <c r="U701" s="937"/>
      <c r="V701" s="937"/>
      <c r="W701" s="937"/>
      <c r="X701" s="937"/>
      <c r="Y701" s="937"/>
      <c r="Z701" s="937"/>
    </row>
    <row r="702" spans="1:26" ht="15.75" customHeight="1">
      <c r="A702" s="937"/>
      <c r="B702" s="937"/>
      <c r="C702" s="937"/>
      <c r="D702" s="937"/>
      <c r="E702" s="937"/>
      <c r="F702" s="937"/>
      <c r="G702" s="937"/>
      <c r="H702" s="937"/>
      <c r="I702" s="937"/>
      <c r="J702" s="937"/>
      <c r="K702" s="937"/>
      <c r="L702" s="937"/>
      <c r="M702" s="937"/>
      <c r="N702" s="937"/>
      <c r="O702" s="937"/>
      <c r="P702" s="937"/>
      <c r="Q702" s="937"/>
      <c r="R702" s="937"/>
      <c r="S702" s="937"/>
      <c r="T702" s="937"/>
      <c r="U702" s="937"/>
      <c r="V702" s="937"/>
      <c r="W702" s="937"/>
      <c r="X702" s="937"/>
      <c r="Y702" s="937"/>
      <c r="Z702" s="937"/>
    </row>
    <row r="703" spans="1:26" ht="15.75" customHeight="1">
      <c r="A703" s="937"/>
      <c r="B703" s="937"/>
      <c r="C703" s="937"/>
      <c r="D703" s="937"/>
      <c r="E703" s="937"/>
      <c r="F703" s="937"/>
      <c r="G703" s="937"/>
      <c r="H703" s="937"/>
      <c r="I703" s="937"/>
      <c r="J703" s="937"/>
      <c r="K703" s="937"/>
      <c r="L703" s="937"/>
      <c r="M703" s="937"/>
      <c r="N703" s="937"/>
      <c r="O703" s="937"/>
      <c r="P703" s="937"/>
      <c r="Q703" s="937"/>
      <c r="R703" s="937"/>
      <c r="S703" s="937"/>
      <c r="T703" s="937"/>
      <c r="U703" s="937"/>
      <c r="V703" s="937"/>
      <c r="W703" s="937"/>
      <c r="X703" s="937"/>
      <c r="Y703" s="937"/>
      <c r="Z703" s="937"/>
    </row>
    <row r="704" spans="1:26" ht="15.75" customHeight="1">
      <c r="A704" s="937"/>
      <c r="B704" s="937"/>
      <c r="C704" s="937"/>
      <c r="D704" s="937"/>
      <c r="E704" s="937"/>
      <c r="F704" s="937"/>
      <c r="G704" s="937"/>
      <c r="H704" s="937"/>
      <c r="I704" s="937"/>
      <c r="J704" s="937"/>
      <c r="K704" s="937"/>
      <c r="L704" s="937"/>
      <c r="M704" s="937"/>
      <c r="N704" s="937"/>
      <c r="O704" s="937"/>
      <c r="P704" s="937"/>
      <c r="Q704" s="937"/>
      <c r="R704" s="937"/>
      <c r="S704" s="937"/>
      <c r="T704" s="937"/>
      <c r="U704" s="937"/>
      <c r="V704" s="937"/>
      <c r="W704" s="937"/>
      <c r="X704" s="937"/>
      <c r="Y704" s="937"/>
      <c r="Z704" s="937"/>
    </row>
    <row r="705" spans="1:26" ht="15.75" customHeight="1">
      <c r="A705" s="937"/>
      <c r="B705" s="937"/>
      <c r="C705" s="937"/>
      <c r="D705" s="937"/>
      <c r="E705" s="937"/>
      <c r="F705" s="937"/>
      <c r="G705" s="937"/>
      <c r="H705" s="937"/>
      <c r="I705" s="937"/>
      <c r="J705" s="937"/>
      <c r="K705" s="937"/>
      <c r="L705" s="937"/>
      <c r="M705" s="937"/>
      <c r="N705" s="937"/>
      <c r="O705" s="937"/>
      <c r="P705" s="937"/>
      <c r="Q705" s="937"/>
      <c r="R705" s="937"/>
      <c r="S705" s="937"/>
      <c r="T705" s="937"/>
      <c r="U705" s="937"/>
      <c r="V705" s="937"/>
      <c r="W705" s="937"/>
      <c r="X705" s="937"/>
      <c r="Y705" s="937"/>
      <c r="Z705" s="937"/>
    </row>
    <row r="706" spans="1:26" ht="15.75" customHeight="1">
      <c r="A706" s="937"/>
      <c r="B706" s="937"/>
      <c r="C706" s="937"/>
      <c r="D706" s="937"/>
      <c r="E706" s="937"/>
      <c r="F706" s="937"/>
      <c r="G706" s="937"/>
      <c r="H706" s="937"/>
      <c r="I706" s="937"/>
      <c r="J706" s="937"/>
      <c r="K706" s="937"/>
      <c r="L706" s="937"/>
      <c r="M706" s="937"/>
      <c r="N706" s="937"/>
      <c r="O706" s="937"/>
      <c r="P706" s="937"/>
      <c r="Q706" s="937"/>
      <c r="R706" s="937"/>
      <c r="S706" s="937"/>
      <c r="T706" s="937"/>
      <c r="U706" s="937"/>
      <c r="V706" s="937"/>
      <c r="W706" s="937"/>
      <c r="X706" s="937"/>
      <c r="Y706" s="937"/>
      <c r="Z706" s="937"/>
    </row>
    <row r="707" spans="1:26" ht="15.75" customHeight="1">
      <c r="A707" s="937"/>
      <c r="B707" s="937"/>
      <c r="C707" s="937"/>
      <c r="D707" s="937"/>
      <c r="E707" s="937"/>
      <c r="F707" s="937"/>
      <c r="G707" s="937"/>
      <c r="H707" s="937"/>
      <c r="I707" s="937"/>
      <c r="J707" s="937"/>
      <c r="K707" s="937"/>
      <c r="L707" s="937"/>
      <c r="M707" s="937"/>
      <c r="N707" s="937"/>
      <c r="O707" s="937"/>
      <c r="P707" s="937"/>
      <c r="Q707" s="937"/>
      <c r="R707" s="937"/>
      <c r="S707" s="937"/>
      <c r="T707" s="937"/>
      <c r="U707" s="937"/>
      <c r="V707" s="937"/>
      <c r="W707" s="937"/>
      <c r="X707" s="937"/>
      <c r="Y707" s="937"/>
      <c r="Z707" s="937"/>
    </row>
    <row r="708" spans="1:26" ht="15.75" customHeight="1">
      <c r="A708" s="937"/>
      <c r="B708" s="937"/>
      <c r="C708" s="937"/>
      <c r="D708" s="937"/>
      <c r="E708" s="937"/>
      <c r="F708" s="937"/>
      <c r="G708" s="937"/>
      <c r="H708" s="937"/>
      <c r="I708" s="937"/>
      <c r="J708" s="937"/>
      <c r="K708" s="937"/>
      <c r="L708" s="937"/>
      <c r="M708" s="937"/>
      <c r="N708" s="937"/>
      <c r="O708" s="937"/>
      <c r="P708" s="937"/>
      <c r="Q708" s="937"/>
      <c r="R708" s="937"/>
      <c r="S708" s="937"/>
      <c r="T708" s="937"/>
      <c r="U708" s="937"/>
      <c r="V708" s="937"/>
      <c r="W708" s="937"/>
      <c r="X708" s="937"/>
      <c r="Y708" s="937"/>
      <c r="Z708" s="937"/>
    </row>
    <row r="709" spans="1:26" ht="15.75" customHeight="1">
      <c r="A709" s="937"/>
      <c r="B709" s="937"/>
      <c r="C709" s="937"/>
      <c r="D709" s="937"/>
      <c r="E709" s="937"/>
      <c r="F709" s="937"/>
      <c r="G709" s="937"/>
      <c r="H709" s="937"/>
      <c r="I709" s="937"/>
      <c r="J709" s="937"/>
      <c r="K709" s="937"/>
      <c r="L709" s="937"/>
      <c r="M709" s="937"/>
      <c r="N709" s="937"/>
      <c r="O709" s="937"/>
      <c r="P709" s="937"/>
      <c r="Q709" s="937"/>
      <c r="R709" s="937"/>
      <c r="S709" s="937"/>
      <c r="T709" s="937"/>
      <c r="U709" s="937"/>
      <c r="V709" s="937"/>
      <c r="W709" s="937"/>
      <c r="X709" s="937"/>
      <c r="Y709" s="937"/>
      <c r="Z709" s="937"/>
    </row>
    <row r="710" spans="1:26" ht="15.75" customHeight="1">
      <c r="A710" s="937"/>
      <c r="B710" s="937"/>
      <c r="C710" s="937"/>
      <c r="D710" s="937"/>
      <c r="E710" s="937"/>
      <c r="F710" s="937"/>
      <c r="G710" s="937"/>
      <c r="H710" s="937"/>
      <c r="I710" s="937"/>
      <c r="J710" s="937"/>
      <c r="K710" s="937"/>
      <c r="L710" s="937"/>
      <c r="M710" s="937"/>
      <c r="N710" s="937"/>
      <c r="O710" s="937"/>
      <c r="P710" s="937"/>
      <c r="Q710" s="937"/>
      <c r="R710" s="937"/>
      <c r="S710" s="937"/>
      <c r="T710" s="937"/>
      <c r="U710" s="937"/>
      <c r="V710" s="937"/>
      <c r="W710" s="937"/>
      <c r="X710" s="937"/>
      <c r="Y710" s="937"/>
      <c r="Z710" s="937"/>
    </row>
    <row r="711" spans="1:26" ht="15.75" customHeight="1">
      <c r="A711" s="937"/>
      <c r="B711" s="937"/>
      <c r="C711" s="937"/>
      <c r="D711" s="937"/>
      <c r="E711" s="937"/>
      <c r="F711" s="937"/>
      <c r="G711" s="937"/>
      <c r="H711" s="937"/>
      <c r="I711" s="937"/>
      <c r="J711" s="937"/>
      <c r="K711" s="937"/>
      <c r="L711" s="937"/>
      <c r="M711" s="937"/>
      <c r="N711" s="937"/>
      <c r="O711" s="937"/>
      <c r="P711" s="937"/>
      <c r="Q711" s="937"/>
      <c r="R711" s="937"/>
      <c r="S711" s="937"/>
      <c r="T711" s="937"/>
      <c r="U711" s="937"/>
      <c r="V711" s="937"/>
      <c r="W711" s="937"/>
      <c r="X711" s="937"/>
      <c r="Y711" s="937"/>
      <c r="Z711" s="937"/>
    </row>
    <row r="712" spans="1:26" ht="15.75" customHeight="1">
      <c r="A712" s="937"/>
      <c r="B712" s="937"/>
      <c r="C712" s="937"/>
      <c r="D712" s="937"/>
      <c r="E712" s="937"/>
      <c r="F712" s="937"/>
      <c r="G712" s="937"/>
      <c r="H712" s="937"/>
      <c r="I712" s="937"/>
      <c r="J712" s="937"/>
      <c r="K712" s="937"/>
      <c r="L712" s="937"/>
      <c r="M712" s="937"/>
      <c r="N712" s="937"/>
      <c r="O712" s="937"/>
      <c r="P712" s="937"/>
      <c r="Q712" s="937"/>
      <c r="R712" s="937"/>
      <c r="S712" s="937"/>
      <c r="T712" s="937"/>
      <c r="U712" s="937"/>
      <c r="V712" s="937"/>
      <c r="W712" s="937"/>
      <c r="X712" s="937"/>
      <c r="Y712" s="937"/>
      <c r="Z712" s="937"/>
    </row>
    <row r="713" spans="1:26" ht="15.75" customHeight="1">
      <c r="A713" s="937"/>
      <c r="B713" s="937"/>
      <c r="C713" s="937"/>
      <c r="D713" s="937"/>
      <c r="E713" s="937"/>
      <c r="F713" s="937"/>
      <c r="G713" s="937"/>
      <c r="H713" s="937"/>
      <c r="I713" s="937"/>
      <c r="J713" s="937"/>
      <c r="K713" s="937"/>
      <c r="L713" s="937"/>
      <c r="M713" s="937"/>
      <c r="N713" s="937"/>
      <c r="O713" s="937"/>
      <c r="P713" s="937"/>
      <c r="Q713" s="937"/>
      <c r="R713" s="937"/>
      <c r="S713" s="937"/>
      <c r="T713" s="937"/>
      <c r="U713" s="937"/>
      <c r="V713" s="937"/>
      <c r="W713" s="937"/>
      <c r="X713" s="937"/>
      <c r="Y713" s="937"/>
      <c r="Z713" s="937"/>
    </row>
    <row r="714" spans="1:26" ht="15.75" customHeight="1">
      <c r="A714" s="937"/>
      <c r="B714" s="937"/>
      <c r="C714" s="937"/>
      <c r="D714" s="937"/>
      <c r="E714" s="937"/>
      <c r="F714" s="937"/>
      <c r="G714" s="937"/>
      <c r="H714" s="937"/>
      <c r="I714" s="937"/>
      <c r="J714" s="937"/>
      <c r="K714" s="937"/>
      <c r="L714" s="937"/>
      <c r="M714" s="937"/>
      <c r="N714" s="937"/>
      <c r="O714" s="937"/>
      <c r="P714" s="937"/>
      <c r="Q714" s="937"/>
      <c r="R714" s="937"/>
      <c r="S714" s="937"/>
      <c r="T714" s="937"/>
      <c r="U714" s="937"/>
      <c r="V714" s="937"/>
      <c r="W714" s="937"/>
      <c r="X714" s="937"/>
      <c r="Y714" s="937"/>
      <c r="Z714" s="937"/>
    </row>
    <row r="715" spans="1:26" ht="15.75" customHeight="1">
      <c r="A715" s="937"/>
      <c r="B715" s="937"/>
      <c r="C715" s="937"/>
      <c r="D715" s="937"/>
      <c r="E715" s="937"/>
      <c r="F715" s="937"/>
      <c r="G715" s="937"/>
      <c r="H715" s="937"/>
      <c r="I715" s="937"/>
      <c r="J715" s="937"/>
      <c r="K715" s="937"/>
      <c r="L715" s="937"/>
      <c r="M715" s="937"/>
      <c r="N715" s="937"/>
      <c r="O715" s="937"/>
      <c r="P715" s="937"/>
      <c r="Q715" s="937"/>
      <c r="R715" s="937"/>
      <c r="S715" s="937"/>
      <c r="T715" s="937"/>
      <c r="U715" s="937"/>
      <c r="V715" s="937"/>
      <c r="W715" s="937"/>
      <c r="X715" s="937"/>
      <c r="Y715" s="937"/>
      <c r="Z715" s="937"/>
    </row>
    <row r="716" spans="1:26" ht="15.75" customHeight="1">
      <c r="A716" s="937"/>
      <c r="B716" s="937"/>
      <c r="C716" s="937"/>
      <c r="D716" s="937"/>
      <c r="E716" s="937"/>
      <c r="F716" s="937"/>
      <c r="G716" s="937"/>
      <c r="H716" s="937"/>
      <c r="I716" s="937"/>
      <c r="J716" s="937"/>
      <c r="K716" s="937"/>
      <c r="L716" s="937"/>
      <c r="M716" s="937"/>
      <c r="N716" s="937"/>
      <c r="O716" s="937"/>
      <c r="P716" s="937"/>
      <c r="Q716" s="937"/>
      <c r="R716" s="937"/>
      <c r="S716" s="937"/>
      <c r="T716" s="937"/>
      <c r="U716" s="937"/>
      <c r="V716" s="937"/>
      <c r="W716" s="937"/>
      <c r="X716" s="937"/>
      <c r="Y716" s="937"/>
      <c r="Z716" s="937"/>
    </row>
    <row r="717" spans="1:26" ht="15.75" customHeight="1">
      <c r="A717" s="937"/>
      <c r="B717" s="937"/>
      <c r="C717" s="937"/>
      <c r="D717" s="937"/>
      <c r="E717" s="937"/>
      <c r="F717" s="937"/>
      <c r="G717" s="937"/>
      <c r="H717" s="937"/>
      <c r="I717" s="937"/>
      <c r="J717" s="937"/>
      <c r="K717" s="937"/>
      <c r="L717" s="937"/>
      <c r="M717" s="937"/>
      <c r="N717" s="937"/>
      <c r="O717" s="937"/>
      <c r="P717" s="937"/>
      <c r="Q717" s="937"/>
      <c r="R717" s="937"/>
      <c r="S717" s="937"/>
      <c r="T717" s="937"/>
      <c r="U717" s="937"/>
      <c r="V717" s="937"/>
      <c r="W717" s="937"/>
      <c r="X717" s="937"/>
      <c r="Y717" s="937"/>
      <c r="Z717" s="937"/>
    </row>
    <row r="718" spans="1:26" ht="15.75" customHeight="1">
      <c r="A718" s="937"/>
      <c r="B718" s="937"/>
      <c r="C718" s="937"/>
      <c r="D718" s="937"/>
      <c r="E718" s="937"/>
      <c r="F718" s="937"/>
      <c r="G718" s="937"/>
      <c r="H718" s="937"/>
      <c r="I718" s="937"/>
      <c r="J718" s="937"/>
      <c r="K718" s="937"/>
      <c r="L718" s="937"/>
      <c r="M718" s="937"/>
      <c r="N718" s="937"/>
      <c r="O718" s="937"/>
      <c r="P718" s="937"/>
      <c r="Q718" s="937"/>
      <c r="R718" s="937"/>
      <c r="S718" s="937"/>
      <c r="T718" s="937"/>
      <c r="U718" s="937"/>
      <c r="V718" s="937"/>
      <c r="W718" s="937"/>
      <c r="X718" s="937"/>
      <c r="Y718" s="937"/>
      <c r="Z718" s="937"/>
    </row>
    <row r="719" spans="1:26" ht="15.75" customHeight="1">
      <c r="A719" s="937"/>
      <c r="B719" s="937"/>
      <c r="C719" s="937"/>
      <c r="D719" s="937"/>
      <c r="E719" s="937"/>
      <c r="F719" s="937"/>
      <c r="G719" s="937"/>
      <c r="H719" s="937"/>
      <c r="I719" s="937"/>
      <c r="J719" s="937"/>
      <c r="K719" s="937"/>
      <c r="L719" s="937"/>
      <c r="M719" s="937"/>
      <c r="N719" s="937"/>
      <c r="O719" s="937"/>
      <c r="P719" s="937"/>
      <c r="Q719" s="937"/>
      <c r="R719" s="937"/>
      <c r="S719" s="937"/>
      <c r="T719" s="937"/>
      <c r="U719" s="937"/>
      <c r="V719" s="937"/>
      <c r="W719" s="937"/>
      <c r="X719" s="937"/>
      <c r="Y719" s="937"/>
      <c r="Z719" s="937"/>
    </row>
    <row r="720" spans="1:26" ht="15.75" customHeight="1">
      <c r="A720" s="937"/>
      <c r="B720" s="937"/>
      <c r="C720" s="937"/>
      <c r="D720" s="937"/>
      <c r="E720" s="937"/>
      <c r="F720" s="937"/>
      <c r="G720" s="937"/>
      <c r="H720" s="937"/>
      <c r="I720" s="937"/>
      <c r="J720" s="937"/>
      <c r="K720" s="937"/>
      <c r="L720" s="937"/>
      <c r="M720" s="937"/>
      <c r="N720" s="937"/>
      <c r="O720" s="937"/>
      <c r="P720" s="937"/>
      <c r="Q720" s="937"/>
      <c r="R720" s="937"/>
      <c r="S720" s="937"/>
      <c r="T720" s="937"/>
      <c r="U720" s="937"/>
      <c r="V720" s="937"/>
      <c r="W720" s="937"/>
      <c r="X720" s="937"/>
      <c r="Y720" s="937"/>
      <c r="Z720" s="937"/>
    </row>
    <row r="721" spans="1:26" ht="15.75" customHeight="1">
      <c r="A721" s="937"/>
      <c r="B721" s="937"/>
      <c r="C721" s="937"/>
      <c r="D721" s="937"/>
      <c r="E721" s="937"/>
      <c r="F721" s="937"/>
      <c r="G721" s="937"/>
      <c r="H721" s="937"/>
      <c r="I721" s="937"/>
      <c r="J721" s="937"/>
      <c r="K721" s="937"/>
      <c r="L721" s="937"/>
      <c r="M721" s="937"/>
      <c r="N721" s="937"/>
      <c r="O721" s="937"/>
      <c r="P721" s="937"/>
      <c r="Q721" s="937"/>
      <c r="R721" s="937"/>
      <c r="S721" s="937"/>
      <c r="T721" s="937"/>
      <c r="U721" s="937"/>
      <c r="V721" s="937"/>
      <c r="W721" s="937"/>
      <c r="X721" s="937"/>
      <c r="Y721" s="937"/>
      <c r="Z721" s="937"/>
    </row>
    <row r="722" spans="1:26" ht="15.75" customHeight="1">
      <c r="A722" s="937"/>
      <c r="B722" s="937"/>
      <c r="C722" s="937"/>
      <c r="D722" s="937"/>
      <c r="E722" s="937"/>
      <c r="F722" s="937"/>
      <c r="G722" s="937"/>
      <c r="H722" s="937"/>
      <c r="I722" s="937"/>
      <c r="J722" s="937"/>
      <c r="K722" s="937"/>
      <c r="L722" s="937"/>
      <c r="M722" s="937"/>
      <c r="N722" s="937"/>
      <c r="O722" s="937"/>
      <c r="P722" s="937"/>
      <c r="Q722" s="937"/>
      <c r="R722" s="937"/>
      <c r="S722" s="937"/>
      <c r="T722" s="937"/>
      <c r="U722" s="937"/>
      <c r="V722" s="937"/>
      <c r="W722" s="937"/>
      <c r="X722" s="937"/>
      <c r="Y722" s="937"/>
      <c r="Z722" s="937"/>
    </row>
    <row r="723" spans="1:26" ht="15.75" customHeight="1">
      <c r="A723" s="937"/>
      <c r="B723" s="937"/>
      <c r="C723" s="937"/>
      <c r="D723" s="937"/>
      <c r="E723" s="937"/>
      <c r="F723" s="937"/>
      <c r="G723" s="937"/>
      <c r="H723" s="937"/>
      <c r="I723" s="937"/>
      <c r="J723" s="937"/>
      <c r="K723" s="937"/>
      <c r="L723" s="937"/>
      <c r="M723" s="937"/>
      <c r="N723" s="937"/>
      <c r="O723" s="937"/>
      <c r="P723" s="937"/>
      <c r="Q723" s="937"/>
      <c r="R723" s="937"/>
      <c r="S723" s="937"/>
      <c r="T723" s="937"/>
      <c r="U723" s="937"/>
      <c r="V723" s="937"/>
      <c r="W723" s="937"/>
      <c r="X723" s="937"/>
      <c r="Y723" s="937"/>
      <c r="Z723" s="937"/>
    </row>
    <row r="724" spans="1:26" ht="15.75" customHeight="1">
      <c r="A724" s="937"/>
      <c r="B724" s="937"/>
      <c r="C724" s="937"/>
      <c r="D724" s="937"/>
      <c r="E724" s="937"/>
      <c r="F724" s="937"/>
      <c r="G724" s="937"/>
      <c r="H724" s="937"/>
      <c r="I724" s="937"/>
      <c r="J724" s="937"/>
      <c r="K724" s="937"/>
      <c r="L724" s="937"/>
      <c r="M724" s="937"/>
      <c r="N724" s="937"/>
      <c r="O724" s="937"/>
      <c r="P724" s="937"/>
      <c r="Q724" s="937"/>
      <c r="R724" s="937"/>
      <c r="S724" s="937"/>
      <c r="T724" s="937"/>
      <c r="U724" s="937"/>
      <c r="V724" s="937"/>
      <c r="W724" s="937"/>
      <c r="X724" s="937"/>
      <c r="Y724" s="937"/>
      <c r="Z724" s="937"/>
    </row>
    <row r="725" spans="1:26" ht="15.75" customHeight="1">
      <c r="A725" s="937"/>
      <c r="B725" s="937"/>
      <c r="C725" s="937"/>
      <c r="D725" s="937"/>
      <c r="E725" s="937"/>
      <c r="F725" s="937"/>
      <c r="G725" s="937"/>
      <c r="H725" s="937"/>
      <c r="I725" s="937"/>
      <c r="J725" s="937"/>
      <c r="K725" s="937"/>
      <c r="L725" s="937"/>
      <c r="M725" s="937"/>
      <c r="N725" s="937"/>
      <c r="O725" s="937"/>
      <c r="P725" s="937"/>
      <c r="Q725" s="937"/>
      <c r="R725" s="937"/>
      <c r="S725" s="937"/>
      <c r="T725" s="937"/>
      <c r="U725" s="937"/>
      <c r="V725" s="937"/>
      <c r="W725" s="937"/>
      <c r="X725" s="937"/>
      <c r="Y725" s="937"/>
      <c r="Z725" s="937"/>
    </row>
    <row r="726" spans="1:26" ht="15.75" customHeight="1">
      <c r="A726" s="937"/>
      <c r="B726" s="937"/>
      <c r="C726" s="937"/>
      <c r="D726" s="937"/>
      <c r="E726" s="937"/>
      <c r="F726" s="937"/>
      <c r="G726" s="937"/>
      <c r="H726" s="937"/>
      <c r="I726" s="937"/>
      <c r="J726" s="937"/>
      <c r="K726" s="937"/>
      <c r="L726" s="937"/>
      <c r="M726" s="937"/>
      <c r="N726" s="937"/>
      <c r="O726" s="937"/>
      <c r="P726" s="937"/>
      <c r="Q726" s="937"/>
      <c r="R726" s="937"/>
      <c r="S726" s="937"/>
      <c r="T726" s="937"/>
      <c r="U726" s="937"/>
      <c r="V726" s="937"/>
      <c r="W726" s="937"/>
      <c r="X726" s="937"/>
      <c r="Y726" s="937"/>
      <c r="Z726" s="937"/>
    </row>
    <row r="727" spans="1:26" ht="15.75" customHeight="1">
      <c r="A727" s="937"/>
      <c r="B727" s="937"/>
      <c r="C727" s="937"/>
      <c r="D727" s="937"/>
      <c r="E727" s="937"/>
      <c r="F727" s="937"/>
      <c r="G727" s="937"/>
      <c r="H727" s="937"/>
      <c r="I727" s="937"/>
      <c r="J727" s="937"/>
      <c r="K727" s="937"/>
      <c r="L727" s="937"/>
      <c r="M727" s="937"/>
      <c r="N727" s="937"/>
      <c r="O727" s="937"/>
      <c r="P727" s="937"/>
      <c r="Q727" s="937"/>
      <c r="R727" s="937"/>
      <c r="S727" s="937"/>
      <c r="T727" s="937"/>
      <c r="U727" s="937"/>
      <c r="V727" s="937"/>
      <c r="W727" s="937"/>
      <c r="X727" s="937"/>
      <c r="Y727" s="937"/>
      <c r="Z727" s="937"/>
    </row>
    <row r="728" spans="1:26" ht="15.75" customHeight="1">
      <c r="A728" s="937"/>
      <c r="B728" s="937"/>
      <c r="C728" s="937"/>
      <c r="D728" s="937"/>
      <c r="E728" s="937"/>
      <c r="F728" s="937"/>
      <c r="G728" s="937"/>
      <c r="H728" s="937"/>
      <c r="I728" s="937"/>
      <c r="J728" s="937"/>
      <c r="K728" s="937"/>
      <c r="L728" s="937"/>
      <c r="M728" s="937"/>
      <c r="N728" s="937"/>
      <c r="O728" s="937"/>
      <c r="P728" s="937"/>
      <c r="Q728" s="937"/>
      <c r="R728" s="937"/>
      <c r="S728" s="937"/>
      <c r="T728" s="937"/>
      <c r="U728" s="937"/>
      <c r="V728" s="937"/>
      <c r="W728" s="937"/>
      <c r="X728" s="937"/>
      <c r="Y728" s="937"/>
      <c r="Z728" s="937"/>
    </row>
    <row r="729" spans="1:26" ht="15.75" customHeight="1">
      <c r="A729" s="937"/>
      <c r="B729" s="937"/>
      <c r="C729" s="937"/>
      <c r="D729" s="937"/>
      <c r="E729" s="937"/>
      <c r="F729" s="937"/>
      <c r="G729" s="937"/>
      <c r="H729" s="937"/>
      <c r="I729" s="937"/>
      <c r="J729" s="937"/>
      <c r="K729" s="937"/>
      <c r="L729" s="937"/>
      <c r="M729" s="937"/>
      <c r="N729" s="937"/>
      <c r="O729" s="937"/>
      <c r="P729" s="937"/>
      <c r="Q729" s="937"/>
      <c r="R729" s="937"/>
      <c r="S729" s="937"/>
      <c r="T729" s="937"/>
      <c r="U729" s="937"/>
      <c r="V729" s="937"/>
      <c r="W729" s="937"/>
      <c r="X729" s="937"/>
      <c r="Y729" s="937"/>
      <c r="Z729" s="937"/>
    </row>
    <row r="730" spans="1:26" ht="15.75" customHeight="1">
      <c r="A730" s="937"/>
      <c r="B730" s="937"/>
      <c r="C730" s="937"/>
      <c r="D730" s="937"/>
      <c r="E730" s="937"/>
      <c r="F730" s="937"/>
      <c r="G730" s="937"/>
      <c r="H730" s="937"/>
      <c r="I730" s="937"/>
      <c r="J730" s="937"/>
      <c r="K730" s="937"/>
      <c r="L730" s="937"/>
      <c r="M730" s="937"/>
      <c r="N730" s="937"/>
      <c r="O730" s="937"/>
      <c r="P730" s="937"/>
      <c r="Q730" s="937"/>
      <c r="R730" s="937"/>
      <c r="S730" s="937"/>
      <c r="T730" s="937"/>
      <c r="U730" s="937"/>
      <c r="V730" s="937"/>
      <c r="W730" s="937"/>
      <c r="X730" s="937"/>
      <c r="Y730" s="937"/>
      <c r="Z730" s="937"/>
    </row>
    <row r="731" spans="1:26" ht="15.75" customHeight="1">
      <c r="A731" s="937"/>
      <c r="B731" s="937"/>
      <c r="C731" s="937"/>
      <c r="D731" s="937"/>
      <c r="E731" s="937"/>
      <c r="F731" s="937"/>
      <c r="G731" s="937"/>
      <c r="H731" s="937"/>
      <c r="I731" s="937"/>
      <c r="J731" s="937"/>
      <c r="K731" s="937"/>
      <c r="L731" s="937"/>
      <c r="M731" s="937"/>
      <c r="N731" s="937"/>
      <c r="O731" s="937"/>
      <c r="P731" s="937"/>
      <c r="Q731" s="937"/>
      <c r="R731" s="937"/>
      <c r="S731" s="937"/>
      <c r="T731" s="937"/>
      <c r="U731" s="937"/>
      <c r="V731" s="937"/>
      <c r="W731" s="937"/>
      <c r="X731" s="937"/>
      <c r="Y731" s="937"/>
      <c r="Z731" s="937"/>
    </row>
    <row r="732" spans="1:26" ht="15.75" customHeight="1">
      <c r="A732" s="937"/>
      <c r="B732" s="937"/>
      <c r="C732" s="937"/>
      <c r="D732" s="937"/>
      <c r="E732" s="937"/>
      <c r="F732" s="937"/>
      <c r="G732" s="937"/>
      <c r="H732" s="937"/>
      <c r="I732" s="937"/>
      <c r="J732" s="937"/>
      <c r="K732" s="937"/>
      <c r="L732" s="937"/>
      <c r="M732" s="937"/>
      <c r="N732" s="937"/>
      <c r="O732" s="937"/>
      <c r="P732" s="937"/>
      <c r="Q732" s="937"/>
      <c r="R732" s="937"/>
      <c r="S732" s="937"/>
      <c r="T732" s="937"/>
      <c r="U732" s="937"/>
      <c r="V732" s="937"/>
      <c r="W732" s="937"/>
      <c r="X732" s="937"/>
      <c r="Y732" s="937"/>
      <c r="Z732" s="937"/>
    </row>
    <row r="733" spans="1:26" ht="15.75" customHeight="1">
      <c r="A733" s="937"/>
      <c r="B733" s="937"/>
      <c r="C733" s="937"/>
      <c r="D733" s="937"/>
      <c r="E733" s="937"/>
      <c r="F733" s="937"/>
      <c r="G733" s="937"/>
      <c r="H733" s="937"/>
      <c r="I733" s="937"/>
      <c r="J733" s="937"/>
      <c r="K733" s="937"/>
      <c r="L733" s="937"/>
      <c r="M733" s="937"/>
      <c r="N733" s="937"/>
      <c r="O733" s="937"/>
      <c r="P733" s="937"/>
      <c r="Q733" s="937"/>
      <c r="R733" s="937"/>
      <c r="S733" s="937"/>
      <c r="T733" s="937"/>
      <c r="U733" s="937"/>
      <c r="V733" s="937"/>
      <c r="W733" s="937"/>
      <c r="X733" s="937"/>
      <c r="Y733" s="937"/>
      <c r="Z733" s="937"/>
    </row>
    <row r="734" spans="1:26" ht="15.75" customHeight="1">
      <c r="A734" s="937"/>
      <c r="B734" s="937"/>
      <c r="C734" s="937"/>
      <c r="D734" s="937"/>
      <c r="E734" s="937"/>
      <c r="F734" s="937"/>
      <c r="G734" s="937"/>
      <c r="H734" s="937"/>
      <c r="I734" s="937"/>
      <c r="J734" s="937"/>
      <c r="K734" s="937"/>
      <c r="L734" s="937"/>
      <c r="M734" s="937"/>
      <c r="N734" s="937"/>
      <c r="O734" s="937"/>
      <c r="P734" s="937"/>
      <c r="Q734" s="937"/>
      <c r="R734" s="937"/>
      <c r="S734" s="937"/>
      <c r="T734" s="937"/>
      <c r="U734" s="937"/>
      <c r="V734" s="937"/>
      <c r="W734" s="937"/>
      <c r="X734" s="937"/>
      <c r="Y734" s="937"/>
      <c r="Z734" s="937"/>
    </row>
    <row r="735" spans="1:26" ht="15.75" customHeight="1">
      <c r="A735" s="937"/>
      <c r="B735" s="937"/>
      <c r="C735" s="937"/>
      <c r="D735" s="937"/>
      <c r="E735" s="937"/>
      <c r="F735" s="937"/>
      <c r="G735" s="937"/>
      <c r="H735" s="937"/>
      <c r="I735" s="937"/>
      <c r="J735" s="937"/>
      <c r="K735" s="937"/>
      <c r="L735" s="937"/>
      <c r="M735" s="937"/>
      <c r="N735" s="937"/>
      <c r="O735" s="937"/>
      <c r="P735" s="937"/>
      <c r="Q735" s="937"/>
      <c r="R735" s="937"/>
      <c r="S735" s="937"/>
      <c r="T735" s="937"/>
      <c r="U735" s="937"/>
      <c r="V735" s="937"/>
      <c r="W735" s="937"/>
      <c r="X735" s="937"/>
      <c r="Y735" s="937"/>
      <c r="Z735" s="937"/>
    </row>
    <row r="736" spans="1:26" ht="15.75" customHeight="1">
      <c r="A736" s="937"/>
      <c r="B736" s="937"/>
      <c r="C736" s="937"/>
      <c r="D736" s="937"/>
      <c r="E736" s="937"/>
      <c r="F736" s="937"/>
      <c r="G736" s="937"/>
      <c r="H736" s="937"/>
      <c r="I736" s="937"/>
      <c r="J736" s="937"/>
      <c r="K736" s="937"/>
      <c r="L736" s="937"/>
      <c r="M736" s="937"/>
      <c r="N736" s="937"/>
      <c r="O736" s="937"/>
      <c r="P736" s="937"/>
      <c r="Q736" s="937"/>
      <c r="R736" s="937"/>
      <c r="S736" s="937"/>
      <c r="T736" s="937"/>
      <c r="U736" s="937"/>
      <c r="V736" s="937"/>
      <c r="W736" s="937"/>
      <c r="X736" s="937"/>
      <c r="Y736" s="937"/>
      <c r="Z736" s="937"/>
    </row>
    <row r="737" spans="1:26" ht="15.75" customHeight="1">
      <c r="A737" s="937"/>
      <c r="B737" s="937"/>
      <c r="C737" s="937"/>
      <c r="D737" s="937"/>
      <c r="E737" s="937"/>
      <c r="F737" s="937"/>
      <c r="G737" s="937"/>
      <c r="H737" s="937"/>
      <c r="I737" s="937"/>
      <c r="J737" s="937"/>
      <c r="K737" s="937"/>
      <c r="L737" s="937"/>
      <c r="M737" s="937"/>
      <c r="N737" s="937"/>
      <c r="O737" s="937"/>
      <c r="P737" s="937"/>
      <c r="Q737" s="937"/>
      <c r="R737" s="937"/>
      <c r="S737" s="937"/>
      <c r="T737" s="937"/>
      <c r="U737" s="937"/>
      <c r="V737" s="937"/>
      <c r="W737" s="937"/>
      <c r="X737" s="937"/>
      <c r="Y737" s="937"/>
      <c r="Z737" s="937"/>
    </row>
    <row r="738" spans="1:26" ht="15.75" customHeight="1">
      <c r="A738" s="937"/>
      <c r="B738" s="937"/>
      <c r="C738" s="937"/>
      <c r="D738" s="937"/>
      <c r="E738" s="937"/>
      <c r="F738" s="937"/>
      <c r="G738" s="937"/>
      <c r="H738" s="937"/>
      <c r="I738" s="937"/>
      <c r="J738" s="937"/>
      <c r="K738" s="937"/>
      <c r="L738" s="937"/>
      <c r="M738" s="937"/>
      <c r="N738" s="937"/>
      <c r="O738" s="937"/>
      <c r="P738" s="937"/>
      <c r="Q738" s="937"/>
      <c r="R738" s="937"/>
      <c r="S738" s="937"/>
      <c r="T738" s="937"/>
      <c r="U738" s="937"/>
      <c r="V738" s="937"/>
      <c r="W738" s="937"/>
      <c r="X738" s="937"/>
      <c r="Y738" s="937"/>
      <c r="Z738" s="937"/>
    </row>
    <row r="739" spans="1:26" ht="15.75" customHeight="1">
      <c r="A739" s="937"/>
      <c r="B739" s="937"/>
      <c r="C739" s="937"/>
      <c r="D739" s="937"/>
      <c r="E739" s="937"/>
      <c r="F739" s="937"/>
      <c r="G739" s="937"/>
      <c r="H739" s="937"/>
      <c r="I739" s="937"/>
      <c r="J739" s="937"/>
      <c r="K739" s="937"/>
      <c r="L739" s="937"/>
      <c r="M739" s="937"/>
      <c r="N739" s="937"/>
      <c r="O739" s="937"/>
      <c r="P739" s="937"/>
      <c r="Q739" s="937"/>
      <c r="R739" s="937"/>
      <c r="S739" s="937"/>
      <c r="T739" s="937"/>
      <c r="U739" s="937"/>
      <c r="V739" s="937"/>
      <c r="W739" s="937"/>
      <c r="X739" s="937"/>
      <c r="Y739" s="937"/>
      <c r="Z739" s="937"/>
    </row>
    <row r="740" spans="1:26" ht="15.75" customHeight="1">
      <c r="A740" s="937"/>
      <c r="B740" s="937"/>
      <c r="C740" s="937"/>
      <c r="D740" s="937"/>
      <c r="E740" s="937"/>
      <c r="F740" s="937"/>
      <c r="G740" s="937"/>
      <c r="H740" s="937"/>
      <c r="I740" s="937"/>
      <c r="J740" s="937"/>
      <c r="K740" s="937"/>
      <c r="L740" s="937"/>
      <c r="M740" s="937"/>
      <c r="N740" s="937"/>
      <c r="O740" s="937"/>
      <c r="P740" s="937"/>
      <c r="Q740" s="937"/>
      <c r="R740" s="937"/>
      <c r="S740" s="937"/>
      <c r="T740" s="937"/>
      <c r="U740" s="937"/>
      <c r="V740" s="937"/>
      <c r="W740" s="937"/>
      <c r="X740" s="937"/>
      <c r="Y740" s="937"/>
      <c r="Z740" s="937"/>
    </row>
    <row r="741" spans="1:26" ht="15.75" customHeight="1">
      <c r="A741" s="937"/>
      <c r="B741" s="937"/>
      <c r="C741" s="937"/>
      <c r="D741" s="937"/>
      <c r="E741" s="937"/>
      <c r="F741" s="937"/>
      <c r="G741" s="937"/>
      <c r="H741" s="937"/>
      <c r="I741" s="937"/>
      <c r="J741" s="937"/>
      <c r="K741" s="937"/>
      <c r="L741" s="937"/>
      <c r="M741" s="937"/>
      <c r="N741" s="937"/>
      <c r="O741" s="937"/>
      <c r="P741" s="937"/>
      <c r="Q741" s="937"/>
      <c r="R741" s="937"/>
      <c r="S741" s="937"/>
      <c r="T741" s="937"/>
      <c r="U741" s="937"/>
      <c r="V741" s="937"/>
      <c r="W741" s="937"/>
      <c r="X741" s="937"/>
      <c r="Y741" s="937"/>
      <c r="Z741" s="937"/>
    </row>
    <row r="742" spans="1:26" ht="15.75" customHeight="1">
      <c r="A742" s="937"/>
      <c r="B742" s="937"/>
      <c r="C742" s="937"/>
      <c r="D742" s="937"/>
      <c r="E742" s="937"/>
      <c r="F742" s="937"/>
      <c r="G742" s="937"/>
      <c r="H742" s="937"/>
      <c r="I742" s="937"/>
      <c r="J742" s="937"/>
      <c r="K742" s="937"/>
      <c r="L742" s="937"/>
      <c r="M742" s="937"/>
      <c r="N742" s="937"/>
      <c r="O742" s="937"/>
      <c r="P742" s="937"/>
      <c r="Q742" s="937"/>
      <c r="R742" s="937"/>
      <c r="S742" s="937"/>
      <c r="T742" s="937"/>
      <c r="U742" s="937"/>
      <c r="V742" s="937"/>
      <c r="W742" s="937"/>
      <c r="X742" s="937"/>
      <c r="Y742" s="937"/>
      <c r="Z742" s="937"/>
    </row>
    <row r="743" spans="1:26" ht="15.75" customHeight="1">
      <c r="A743" s="937"/>
      <c r="B743" s="937"/>
      <c r="C743" s="937"/>
      <c r="D743" s="937"/>
      <c r="E743" s="937"/>
      <c r="F743" s="937"/>
      <c r="G743" s="937"/>
      <c r="H743" s="937"/>
      <c r="I743" s="937"/>
      <c r="J743" s="937"/>
      <c r="K743" s="937"/>
      <c r="L743" s="937"/>
      <c r="M743" s="937"/>
      <c r="N743" s="937"/>
      <c r="O743" s="937"/>
      <c r="P743" s="937"/>
      <c r="Q743" s="937"/>
      <c r="R743" s="937"/>
      <c r="S743" s="937"/>
      <c r="T743" s="937"/>
      <c r="U743" s="937"/>
      <c r="V743" s="937"/>
      <c r="W743" s="937"/>
      <c r="X743" s="937"/>
      <c r="Y743" s="937"/>
      <c r="Z743" s="937"/>
    </row>
    <row r="744" spans="1:26" ht="15.75" customHeight="1">
      <c r="A744" s="937"/>
      <c r="B744" s="937"/>
      <c r="C744" s="937"/>
      <c r="D744" s="937"/>
      <c r="E744" s="937"/>
      <c r="F744" s="937"/>
      <c r="G744" s="937"/>
      <c r="H744" s="937"/>
      <c r="I744" s="937"/>
      <c r="J744" s="937"/>
      <c r="K744" s="937"/>
      <c r="L744" s="937"/>
      <c r="M744" s="937"/>
      <c r="N744" s="937"/>
      <c r="O744" s="937"/>
      <c r="P744" s="937"/>
      <c r="Q744" s="937"/>
      <c r="R744" s="937"/>
      <c r="S744" s="937"/>
      <c r="T744" s="937"/>
      <c r="U744" s="937"/>
      <c r="V744" s="937"/>
      <c r="W744" s="937"/>
      <c r="X744" s="937"/>
      <c r="Y744" s="937"/>
      <c r="Z744" s="937"/>
    </row>
    <row r="745" spans="1:26" ht="15.75" customHeight="1">
      <c r="A745" s="937"/>
      <c r="B745" s="937"/>
      <c r="C745" s="937"/>
      <c r="D745" s="937"/>
      <c r="E745" s="937"/>
      <c r="F745" s="937"/>
      <c r="G745" s="937"/>
      <c r="H745" s="937"/>
      <c r="I745" s="937"/>
      <c r="J745" s="937"/>
      <c r="K745" s="937"/>
      <c r="L745" s="937"/>
      <c r="M745" s="937"/>
      <c r="N745" s="937"/>
      <c r="O745" s="937"/>
      <c r="P745" s="937"/>
      <c r="Q745" s="937"/>
      <c r="R745" s="937"/>
      <c r="S745" s="937"/>
      <c r="T745" s="937"/>
      <c r="U745" s="937"/>
      <c r="V745" s="937"/>
      <c r="W745" s="937"/>
      <c r="X745" s="937"/>
      <c r="Y745" s="937"/>
      <c r="Z745" s="937"/>
    </row>
    <row r="746" spans="1:26" ht="15.75" customHeight="1">
      <c r="A746" s="937"/>
      <c r="B746" s="937"/>
      <c r="C746" s="937"/>
      <c r="D746" s="937"/>
      <c r="E746" s="937"/>
      <c r="F746" s="937"/>
      <c r="G746" s="937"/>
      <c r="H746" s="937"/>
      <c r="I746" s="937"/>
      <c r="J746" s="937"/>
      <c r="K746" s="937"/>
      <c r="L746" s="937"/>
      <c r="M746" s="937"/>
      <c r="N746" s="937"/>
      <c r="O746" s="937"/>
      <c r="P746" s="937"/>
      <c r="Q746" s="937"/>
      <c r="R746" s="937"/>
      <c r="S746" s="937"/>
      <c r="T746" s="937"/>
      <c r="U746" s="937"/>
      <c r="V746" s="937"/>
      <c r="W746" s="937"/>
      <c r="X746" s="937"/>
      <c r="Y746" s="937"/>
      <c r="Z746" s="937"/>
    </row>
    <row r="747" spans="1:26" ht="15.75" customHeight="1">
      <c r="A747" s="937"/>
      <c r="B747" s="937"/>
      <c r="C747" s="937"/>
      <c r="D747" s="937"/>
      <c r="E747" s="937"/>
      <c r="F747" s="937"/>
      <c r="G747" s="937"/>
      <c r="H747" s="937"/>
      <c r="I747" s="937"/>
      <c r="J747" s="937"/>
      <c r="K747" s="937"/>
      <c r="L747" s="937"/>
      <c r="M747" s="937"/>
      <c r="N747" s="937"/>
      <c r="O747" s="937"/>
      <c r="P747" s="937"/>
      <c r="Q747" s="937"/>
      <c r="R747" s="937"/>
      <c r="S747" s="937"/>
      <c r="T747" s="937"/>
      <c r="U747" s="937"/>
      <c r="V747" s="937"/>
      <c r="W747" s="937"/>
      <c r="X747" s="937"/>
      <c r="Y747" s="937"/>
      <c r="Z747" s="937"/>
    </row>
    <row r="748" spans="1:26" ht="15.75" customHeight="1">
      <c r="A748" s="937"/>
      <c r="B748" s="937"/>
      <c r="C748" s="937"/>
      <c r="D748" s="937"/>
      <c r="E748" s="937"/>
      <c r="F748" s="937"/>
      <c r="G748" s="937"/>
      <c r="H748" s="937"/>
      <c r="I748" s="937"/>
      <c r="J748" s="937"/>
      <c r="K748" s="937"/>
      <c r="L748" s="937"/>
      <c r="M748" s="937"/>
      <c r="N748" s="937"/>
      <c r="O748" s="937"/>
      <c r="P748" s="937"/>
      <c r="Q748" s="937"/>
      <c r="R748" s="937"/>
      <c r="S748" s="937"/>
      <c r="T748" s="937"/>
      <c r="U748" s="937"/>
      <c r="V748" s="937"/>
      <c r="W748" s="937"/>
      <c r="X748" s="937"/>
      <c r="Y748" s="937"/>
      <c r="Z748" s="937"/>
    </row>
    <row r="749" spans="1:26" ht="15.75" customHeight="1">
      <c r="A749" s="937"/>
      <c r="B749" s="937"/>
      <c r="C749" s="937"/>
      <c r="D749" s="937"/>
      <c r="E749" s="937"/>
      <c r="F749" s="937"/>
      <c r="G749" s="937"/>
      <c r="H749" s="937"/>
      <c r="I749" s="937"/>
      <c r="J749" s="937"/>
      <c r="K749" s="937"/>
      <c r="L749" s="937"/>
      <c r="M749" s="937"/>
      <c r="N749" s="937"/>
      <c r="O749" s="937"/>
      <c r="P749" s="937"/>
      <c r="Q749" s="937"/>
      <c r="R749" s="937"/>
      <c r="S749" s="937"/>
      <c r="T749" s="937"/>
      <c r="U749" s="937"/>
      <c r="V749" s="937"/>
      <c r="W749" s="937"/>
      <c r="X749" s="937"/>
      <c r="Y749" s="937"/>
      <c r="Z749" s="937"/>
    </row>
    <row r="750" spans="1:26" ht="15.75" customHeight="1">
      <c r="A750" s="937"/>
      <c r="B750" s="937"/>
      <c r="C750" s="937"/>
      <c r="D750" s="937"/>
      <c r="E750" s="937"/>
      <c r="F750" s="937"/>
      <c r="G750" s="937"/>
      <c r="H750" s="937"/>
      <c r="I750" s="937"/>
      <c r="J750" s="937"/>
      <c r="K750" s="937"/>
      <c r="L750" s="937"/>
      <c r="M750" s="937"/>
      <c r="N750" s="937"/>
      <c r="O750" s="937"/>
      <c r="P750" s="937"/>
      <c r="Q750" s="937"/>
      <c r="R750" s="937"/>
      <c r="S750" s="937"/>
      <c r="T750" s="937"/>
      <c r="U750" s="937"/>
      <c r="V750" s="937"/>
      <c r="W750" s="937"/>
      <c r="X750" s="937"/>
      <c r="Y750" s="937"/>
      <c r="Z750" s="937"/>
    </row>
    <row r="751" spans="1:26" ht="15.75" customHeight="1">
      <c r="A751" s="937"/>
      <c r="B751" s="937"/>
      <c r="C751" s="937"/>
      <c r="D751" s="937"/>
      <c r="E751" s="937"/>
      <c r="F751" s="937"/>
      <c r="G751" s="937"/>
      <c r="H751" s="937"/>
      <c r="I751" s="937"/>
      <c r="J751" s="937"/>
      <c r="K751" s="937"/>
      <c r="L751" s="937"/>
      <c r="M751" s="937"/>
      <c r="N751" s="937"/>
      <c r="O751" s="937"/>
      <c r="P751" s="937"/>
      <c r="Q751" s="937"/>
      <c r="R751" s="937"/>
      <c r="S751" s="937"/>
      <c r="T751" s="937"/>
      <c r="U751" s="937"/>
      <c r="V751" s="937"/>
      <c r="W751" s="937"/>
      <c r="X751" s="937"/>
      <c r="Y751" s="937"/>
      <c r="Z751" s="937"/>
    </row>
    <row r="752" spans="1:26" ht="15.75" customHeight="1">
      <c r="A752" s="937"/>
      <c r="B752" s="937"/>
      <c r="C752" s="937"/>
      <c r="D752" s="937"/>
      <c r="E752" s="937"/>
      <c r="F752" s="937"/>
      <c r="G752" s="937"/>
      <c r="H752" s="937"/>
      <c r="I752" s="937"/>
      <c r="J752" s="937"/>
      <c r="K752" s="937"/>
      <c r="L752" s="937"/>
      <c r="M752" s="937"/>
      <c r="N752" s="937"/>
      <c r="O752" s="937"/>
      <c r="P752" s="937"/>
      <c r="Q752" s="937"/>
      <c r="R752" s="937"/>
      <c r="S752" s="937"/>
      <c r="T752" s="937"/>
      <c r="U752" s="937"/>
      <c r="V752" s="937"/>
      <c r="W752" s="937"/>
      <c r="X752" s="937"/>
      <c r="Y752" s="937"/>
      <c r="Z752" s="937"/>
    </row>
    <row r="753" spans="1:26" ht="15.75" customHeight="1">
      <c r="A753" s="937"/>
      <c r="B753" s="937"/>
      <c r="C753" s="937"/>
      <c r="D753" s="937"/>
      <c r="E753" s="937"/>
      <c r="F753" s="937"/>
      <c r="G753" s="937"/>
      <c r="H753" s="937"/>
      <c r="I753" s="937"/>
      <c r="J753" s="937"/>
      <c r="K753" s="937"/>
      <c r="L753" s="937"/>
      <c r="M753" s="937"/>
      <c r="N753" s="937"/>
      <c r="O753" s="937"/>
      <c r="P753" s="937"/>
      <c r="Q753" s="937"/>
      <c r="R753" s="937"/>
      <c r="S753" s="937"/>
      <c r="T753" s="937"/>
      <c r="U753" s="937"/>
      <c r="V753" s="937"/>
      <c r="W753" s="937"/>
      <c r="X753" s="937"/>
      <c r="Y753" s="937"/>
      <c r="Z753" s="937"/>
    </row>
    <row r="754" spans="1:26" ht="15.75" customHeight="1">
      <c r="A754" s="937"/>
      <c r="B754" s="937"/>
      <c r="C754" s="937"/>
      <c r="D754" s="937"/>
      <c r="E754" s="937"/>
      <c r="F754" s="937"/>
      <c r="G754" s="937"/>
      <c r="H754" s="937"/>
      <c r="I754" s="937"/>
      <c r="J754" s="937"/>
      <c r="K754" s="937"/>
      <c r="L754" s="937"/>
      <c r="M754" s="937"/>
      <c r="N754" s="937"/>
      <c r="O754" s="937"/>
      <c r="P754" s="937"/>
      <c r="Q754" s="937"/>
      <c r="R754" s="937"/>
      <c r="S754" s="937"/>
      <c r="T754" s="937"/>
      <c r="U754" s="937"/>
      <c r="V754" s="937"/>
      <c r="W754" s="937"/>
      <c r="X754" s="937"/>
      <c r="Y754" s="937"/>
      <c r="Z754" s="937"/>
    </row>
    <row r="755" spans="1:26" ht="15.75" customHeight="1">
      <c r="A755" s="937"/>
      <c r="B755" s="937"/>
      <c r="C755" s="937"/>
      <c r="D755" s="937"/>
      <c r="E755" s="937"/>
      <c r="F755" s="937"/>
      <c r="G755" s="937"/>
      <c r="H755" s="937"/>
      <c r="I755" s="937"/>
      <c r="J755" s="937"/>
      <c r="K755" s="937"/>
      <c r="L755" s="937"/>
      <c r="M755" s="937"/>
      <c r="N755" s="937"/>
      <c r="O755" s="937"/>
      <c r="P755" s="937"/>
      <c r="Q755" s="937"/>
      <c r="R755" s="937"/>
      <c r="S755" s="937"/>
      <c r="T755" s="937"/>
      <c r="U755" s="937"/>
      <c r="V755" s="937"/>
      <c r="W755" s="937"/>
      <c r="X755" s="937"/>
      <c r="Y755" s="937"/>
      <c r="Z755" s="937"/>
    </row>
    <row r="756" spans="1:26" ht="15.75" customHeight="1">
      <c r="A756" s="937"/>
      <c r="B756" s="937"/>
      <c r="C756" s="937"/>
      <c r="D756" s="937"/>
      <c r="E756" s="937"/>
      <c r="F756" s="937"/>
      <c r="G756" s="937"/>
      <c r="H756" s="937"/>
      <c r="I756" s="937"/>
      <c r="J756" s="937"/>
      <c r="K756" s="937"/>
      <c r="L756" s="937"/>
      <c r="M756" s="937"/>
      <c r="N756" s="937"/>
      <c r="O756" s="937"/>
      <c r="P756" s="937"/>
      <c r="Q756" s="937"/>
      <c r="R756" s="937"/>
      <c r="S756" s="937"/>
      <c r="T756" s="937"/>
      <c r="U756" s="937"/>
      <c r="V756" s="937"/>
      <c r="W756" s="937"/>
      <c r="X756" s="937"/>
      <c r="Y756" s="937"/>
      <c r="Z756" s="937"/>
    </row>
    <row r="757" spans="1:26" ht="15.75" customHeight="1">
      <c r="A757" s="937"/>
      <c r="B757" s="937"/>
      <c r="C757" s="937"/>
      <c r="D757" s="937"/>
      <c r="E757" s="937"/>
      <c r="F757" s="937"/>
      <c r="G757" s="937"/>
      <c r="H757" s="937"/>
      <c r="I757" s="937"/>
      <c r="J757" s="937"/>
      <c r="K757" s="937"/>
      <c r="L757" s="937"/>
      <c r="M757" s="937"/>
      <c r="N757" s="937"/>
      <c r="O757" s="937"/>
      <c r="P757" s="937"/>
      <c r="Q757" s="937"/>
      <c r="R757" s="937"/>
      <c r="S757" s="937"/>
      <c r="T757" s="937"/>
      <c r="U757" s="937"/>
      <c r="V757" s="937"/>
      <c r="W757" s="937"/>
      <c r="X757" s="937"/>
      <c r="Y757" s="937"/>
      <c r="Z757" s="937"/>
    </row>
    <row r="758" spans="1:26" ht="15.75" customHeight="1">
      <c r="A758" s="937"/>
      <c r="B758" s="937"/>
      <c r="C758" s="937"/>
      <c r="D758" s="937"/>
      <c r="E758" s="937"/>
      <c r="F758" s="937"/>
      <c r="G758" s="937"/>
      <c r="H758" s="937"/>
      <c r="I758" s="937"/>
      <c r="J758" s="937"/>
      <c r="K758" s="937"/>
      <c r="L758" s="937"/>
      <c r="M758" s="937"/>
      <c r="N758" s="937"/>
      <c r="O758" s="937"/>
      <c r="P758" s="937"/>
      <c r="Q758" s="937"/>
      <c r="R758" s="937"/>
      <c r="S758" s="937"/>
      <c r="T758" s="937"/>
      <c r="U758" s="937"/>
      <c r="V758" s="937"/>
      <c r="W758" s="937"/>
      <c r="X758" s="937"/>
      <c r="Y758" s="937"/>
      <c r="Z758" s="937"/>
    </row>
    <row r="759" spans="1:26" ht="15.75" customHeight="1">
      <c r="A759" s="937"/>
      <c r="B759" s="937"/>
      <c r="C759" s="937"/>
      <c r="D759" s="937"/>
      <c r="E759" s="937"/>
      <c r="F759" s="937"/>
      <c r="G759" s="937"/>
      <c r="H759" s="937"/>
      <c r="I759" s="937"/>
      <c r="J759" s="937"/>
      <c r="K759" s="937"/>
      <c r="L759" s="937"/>
      <c r="M759" s="937"/>
      <c r="N759" s="937"/>
      <c r="O759" s="937"/>
      <c r="P759" s="937"/>
      <c r="Q759" s="937"/>
      <c r="R759" s="937"/>
      <c r="S759" s="937"/>
      <c r="T759" s="937"/>
      <c r="U759" s="937"/>
      <c r="V759" s="937"/>
      <c r="W759" s="937"/>
      <c r="X759" s="937"/>
      <c r="Y759" s="937"/>
      <c r="Z759" s="937"/>
    </row>
    <row r="760" spans="1:26" ht="15.75" customHeight="1">
      <c r="A760" s="937"/>
      <c r="B760" s="937"/>
      <c r="C760" s="937"/>
      <c r="D760" s="937"/>
      <c r="E760" s="937"/>
      <c r="F760" s="937"/>
      <c r="G760" s="937"/>
      <c r="H760" s="937"/>
      <c r="I760" s="937"/>
      <c r="J760" s="937"/>
      <c r="K760" s="937"/>
      <c r="L760" s="937"/>
      <c r="M760" s="937"/>
      <c r="N760" s="937"/>
      <c r="O760" s="937"/>
      <c r="P760" s="937"/>
      <c r="Q760" s="937"/>
      <c r="R760" s="937"/>
      <c r="S760" s="937"/>
      <c r="T760" s="937"/>
      <c r="U760" s="937"/>
      <c r="V760" s="937"/>
      <c r="W760" s="937"/>
      <c r="X760" s="937"/>
      <c r="Y760" s="937"/>
      <c r="Z760" s="937"/>
    </row>
    <row r="761" spans="1:26" ht="15.75" customHeight="1">
      <c r="A761" s="937"/>
      <c r="B761" s="937"/>
      <c r="C761" s="937"/>
      <c r="D761" s="937"/>
      <c r="E761" s="937"/>
      <c r="F761" s="937"/>
      <c r="G761" s="937"/>
      <c r="H761" s="937"/>
      <c r="I761" s="937"/>
      <c r="J761" s="937"/>
      <c r="K761" s="937"/>
      <c r="L761" s="937"/>
      <c r="M761" s="937"/>
      <c r="N761" s="937"/>
      <c r="O761" s="937"/>
      <c r="P761" s="937"/>
      <c r="Q761" s="937"/>
      <c r="R761" s="937"/>
      <c r="S761" s="937"/>
      <c r="T761" s="937"/>
      <c r="U761" s="937"/>
      <c r="V761" s="937"/>
      <c r="W761" s="937"/>
      <c r="X761" s="937"/>
      <c r="Y761" s="937"/>
      <c r="Z761" s="937"/>
    </row>
    <row r="762" spans="1:26" ht="15.75" customHeight="1">
      <c r="A762" s="937"/>
      <c r="B762" s="937"/>
      <c r="C762" s="937"/>
      <c r="D762" s="937"/>
      <c r="E762" s="937"/>
      <c r="F762" s="937"/>
      <c r="G762" s="937"/>
      <c r="H762" s="937"/>
      <c r="I762" s="937"/>
      <c r="J762" s="937"/>
      <c r="K762" s="937"/>
      <c r="L762" s="937"/>
      <c r="M762" s="937"/>
      <c r="N762" s="937"/>
      <c r="O762" s="937"/>
      <c r="P762" s="937"/>
      <c r="Q762" s="937"/>
      <c r="R762" s="937"/>
      <c r="S762" s="937"/>
      <c r="T762" s="937"/>
      <c r="U762" s="937"/>
      <c r="V762" s="937"/>
      <c r="W762" s="937"/>
      <c r="X762" s="937"/>
      <c r="Y762" s="937"/>
      <c r="Z762" s="937"/>
    </row>
    <row r="763" spans="1:26" ht="15.75" customHeight="1">
      <c r="A763" s="937"/>
      <c r="B763" s="937"/>
      <c r="C763" s="937"/>
      <c r="D763" s="937"/>
      <c r="E763" s="937"/>
      <c r="F763" s="937"/>
      <c r="G763" s="937"/>
      <c r="H763" s="937"/>
      <c r="I763" s="937"/>
      <c r="J763" s="937"/>
      <c r="K763" s="937"/>
      <c r="L763" s="937"/>
      <c r="M763" s="937"/>
      <c r="N763" s="937"/>
      <c r="O763" s="937"/>
      <c r="P763" s="937"/>
      <c r="Q763" s="937"/>
      <c r="R763" s="937"/>
      <c r="S763" s="937"/>
      <c r="T763" s="937"/>
      <c r="U763" s="937"/>
      <c r="V763" s="937"/>
      <c r="W763" s="937"/>
      <c r="X763" s="937"/>
      <c r="Y763" s="937"/>
      <c r="Z763" s="937"/>
    </row>
    <row r="764" spans="1:26" ht="15.75" customHeight="1">
      <c r="A764" s="937"/>
      <c r="B764" s="937"/>
      <c r="C764" s="937"/>
      <c r="D764" s="937"/>
      <c r="E764" s="937"/>
      <c r="F764" s="937"/>
      <c r="G764" s="937"/>
      <c r="H764" s="937"/>
      <c r="I764" s="937"/>
      <c r="J764" s="937"/>
      <c r="K764" s="937"/>
      <c r="L764" s="937"/>
      <c r="M764" s="937"/>
      <c r="N764" s="937"/>
      <c r="O764" s="937"/>
      <c r="P764" s="937"/>
      <c r="Q764" s="937"/>
      <c r="R764" s="937"/>
      <c r="S764" s="937"/>
      <c r="T764" s="937"/>
      <c r="U764" s="937"/>
      <c r="V764" s="937"/>
      <c r="W764" s="937"/>
      <c r="X764" s="937"/>
      <c r="Y764" s="937"/>
      <c r="Z764" s="937"/>
    </row>
    <row r="765" spans="1:26" ht="15.75" customHeight="1">
      <c r="A765" s="937"/>
      <c r="B765" s="937"/>
      <c r="C765" s="937"/>
      <c r="D765" s="937"/>
      <c r="E765" s="937"/>
      <c r="F765" s="937"/>
      <c r="G765" s="937"/>
      <c r="H765" s="937"/>
      <c r="I765" s="937"/>
      <c r="J765" s="937"/>
      <c r="K765" s="937"/>
      <c r="L765" s="937"/>
      <c r="M765" s="937"/>
      <c r="N765" s="937"/>
      <c r="O765" s="937"/>
      <c r="P765" s="937"/>
      <c r="Q765" s="937"/>
      <c r="R765" s="937"/>
      <c r="S765" s="937"/>
      <c r="T765" s="937"/>
      <c r="U765" s="937"/>
      <c r="V765" s="937"/>
      <c r="W765" s="937"/>
      <c r="X765" s="937"/>
      <c r="Y765" s="937"/>
      <c r="Z765" s="937"/>
    </row>
    <row r="766" spans="1:26" ht="15.75" customHeight="1">
      <c r="A766" s="937"/>
      <c r="B766" s="937"/>
      <c r="C766" s="937"/>
      <c r="D766" s="937"/>
      <c r="E766" s="937"/>
      <c r="F766" s="937"/>
      <c r="G766" s="937"/>
      <c r="H766" s="937"/>
      <c r="I766" s="937"/>
      <c r="J766" s="937"/>
      <c r="K766" s="937"/>
      <c r="L766" s="937"/>
      <c r="M766" s="937"/>
      <c r="N766" s="937"/>
      <c r="O766" s="937"/>
      <c r="P766" s="937"/>
      <c r="Q766" s="937"/>
      <c r="R766" s="937"/>
      <c r="S766" s="937"/>
      <c r="T766" s="937"/>
      <c r="U766" s="937"/>
      <c r="V766" s="937"/>
      <c r="W766" s="937"/>
      <c r="X766" s="937"/>
      <c r="Y766" s="937"/>
      <c r="Z766" s="937"/>
    </row>
    <row r="767" spans="1:26" ht="15.75" customHeight="1">
      <c r="A767" s="937"/>
      <c r="B767" s="937"/>
      <c r="C767" s="937"/>
      <c r="D767" s="937"/>
      <c r="E767" s="937"/>
      <c r="F767" s="937"/>
      <c r="G767" s="937"/>
      <c r="H767" s="937"/>
      <c r="I767" s="937"/>
      <c r="J767" s="937"/>
      <c r="K767" s="937"/>
      <c r="L767" s="937"/>
      <c r="M767" s="937"/>
      <c r="N767" s="937"/>
      <c r="O767" s="937"/>
      <c r="P767" s="937"/>
      <c r="Q767" s="937"/>
      <c r="R767" s="937"/>
      <c r="S767" s="937"/>
      <c r="T767" s="937"/>
      <c r="U767" s="937"/>
      <c r="V767" s="937"/>
      <c r="W767" s="937"/>
      <c r="X767" s="937"/>
      <c r="Y767" s="937"/>
      <c r="Z767" s="937"/>
    </row>
    <row r="768" spans="1:26" ht="15.75" customHeight="1">
      <c r="A768" s="937"/>
      <c r="B768" s="937"/>
      <c r="C768" s="937"/>
      <c r="D768" s="937"/>
      <c r="E768" s="937"/>
      <c r="F768" s="937"/>
      <c r="G768" s="937"/>
      <c r="H768" s="937"/>
      <c r="I768" s="937"/>
      <c r="J768" s="937"/>
      <c r="K768" s="937"/>
      <c r="L768" s="937"/>
      <c r="M768" s="937"/>
      <c r="N768" s="937"/>
      <c r="O768" s="937"/>
      <c r="P768" s="937"/>
      <c r="Q768" s="937"/>
      <c r="R768" s="937"/>
      <c r="S768" s="937"/>
      <c r="T768" s="937"/>
      <c r="U768" s="937"/>
      <c r="V768" s="937"/>
      <c r="W768" s="937"/>
      <c r="X768" s="937"/>
      <c r="Y768" s="937"/>
      <c r="Z768" s="937"/>
    </row>
    <row r="769" spans="1:26" ht="15.75" customHeight="1">
      <c r="A769" s="937"/>
      <c r="B769" s="937"/>
      <c r="C769" s="937"/>
      <c r="D769" s="937"/>
      <c r="E769" s="937"/>
      <c r="F769" s="937"/>
      <c r="G769" s="937"/>
      <c r="H769" s="937"/>
      <c r="I769" s="937"/>
      <c r="J769" s="937"/>
      <c r="K769" s="937"/>
      <c r="L769" s="937"/>
      <c r="M769" s="937"/>
      <c r="N769" s="937"/>
      <c r="O769" s="937"/>
      <c r="P769" s="937"/>
      <c r="Q769" s="937"/>
      <c r="R769" s="937"/>
      <c r="S769" s="937"/>
      <c r="T769" s="937"/>
      <c r="U769" s="937"/>
      <c r="V769" s="937"/>
      <c r="W769" s="937"/>
      <c r="X769" s="937"/>
      <c r="Y769" s="937"/>
      <c r="Z769" s="937"/>
    </row>
    <row r="770" spans="1:26" ht="15.75" customHeight="1">
      <c r="A770" s="937"/>
      <c r="B770" s="937"/>
      <c r="C770" s="937"/>
      <c r="D770" s="937"/>
      <c r="E770" s="937"/>
      <c r="F770" s="937"/>
      <c r="G770" s="937"/>
      <c r="H770" s="937"/>
      <c r="I770" s="937"/>
      <c r="J770" s="937"/>
      <c r="K770" s="937"/>
      <c r="L770" s="937"/>
      <c r="M770" s="937"/>
      <c r="N770" s="937"/>
      <c r="O770" s="937"/>
      <c r="P770" s="937"/>
      <c r="Q770" s="937"/>
      <c r="R770" s="937"/>
      <c r="S770" s="937"/>
      <c r="T770" s="937"/>
      <c r="U770" s="937"/>
      <c r="V770" s="937"/>
      <c r="W770" s="937"/>
      <c r="X770" s="937"/>
      <c r="Y770" s="937"/>
      <c r="Z770" s="937"/>
    </row>
    <row r="771" spans="1:26" ht="15.75" customHeight="1">
      <c r="A771" s="937"/>
      <c r="B771" s="937"/>
      <c r="C771" s="937"/>
      <c r="D771" s="937"/>
      <c r="E771" s="937"/>
      <c r="F771" s="937"/>
      <c r="G771" s="937"/>
      <c r="H771" s="937"/>
      <c r="I771" s="937"/>
      <c r="J771" s="937"/>
      <c r="K771" s="937"/>
      <c r="L771" s="937"/>
      <c r="M771" s="937"/>
      <c r="N771" s="937"/>
      <c r="O771" s="937"/>
      <c r="P771" s="937"/>
      <c r="Q771" s="937"/>
      <c r="R771" s="937"/>
      <c r="S771" s="937"/>
      <c r="T771" s="937"/>
      <c r="U771" s="937"/>
      <c r="V771" s="937"/>
      <c r="W771" s="937"/>
      <c r="X771" s="937"/>
      <c r="Y771" s="937"/>
      <c r="Z771" s="937"/>
    </row>
    <row r="772" spans="1:26" ht="15.75" customHeight="1">
      <c r="A772" s="937"/>
      <c r="B772" s="937"/>
      <c r="C772" s="937"/>
      <c r="D772" s="937"/>
      <c r="E772" s="937"/>
      <c r="F772" s="937"/>
      <c r="G772" s="937"/>
      <c r="H772" s="937"/>
      <c r="I772" s="937"/>
      <c r="J772" s="937"/>
      <c r="K772" s="937"/>
      <c r="L772" s="937"/>
      <c r="M772" s="937"/>
      <c r="N772" s="937"/>
      <c r="O772" s="937"/>
      <c r="P772" s="937"/>
      <c r="Q772" s="937"/>
      <c r="R772" s="937"/>
      <c r="S772" s="937"/>
      <c r="T772" s="937"/>
      <c r="U772" s="937"/>
      <c r="V772" s="937"/>
      <c r="W772" s="937"/>
      <c r="X772" s="937"/>
      <c r="Y772" s="937"/>
      <c r="Z772" s="937"/>
    </row>
    <row r="773" spans="1:26" ht="15.75" customHeight="1">
      <c r="A773" s="937"/>
      <c r="B773" s="937"/>
      <c r="C773" s="937"/>
      <c r="D773" s="937"/>
      <c r="E773" s="937"/>
      <c r="F773" s="937"/>
      <c r="G773" s="937"/>
      <c r="H773" s="937"/>
      <c r="I773" s="937"/>
      <c r="J773" s="937"/>
      <c r="K773" s="937"/>
      <c r="L773" s="937"/>
      <c r="M773" s="937"/>
      <c r="N773" s="937"/>
      <c r="O773" s="937"/>
      <c r="P773" s="937"/>
      <c r="Q773" s="937"/>
      <c r="R773" s="937"/>
      <c r="S773" s="937"/>
      <c r="T773" s="937"/>
      <c r="U773" s="937"/>
      <c r="V773" s="937"/>
      <c r="W773" s="937"/>
      <c r="X773" s="937"/>
      <c r="Y773" s="937"/>
      <c r="Z773" s="937"/>
    </row>
    <row r="774" spans="1:26" ht="15.75" customHeight="1">
      <c r="A774" s="937"/>
      <c r="B774" s="937"/>
      <c r="C774" s="937"/>
      <c r="D774" s="937"/>
      <c r="E774" s="937"/>
      <c r="F774" s="937"/>
      <c r="G774" s="937"/>
      <c r="H774" s="937"/>
      <c r="I774" s="937"/>
      <c r="J774" s="937"/>
      <c r="K774" s="937"/>
      <c r="L774" s="937"/>
      <c r="M774" s="937"/>
      <c r="N774" s="937"/>
      <c r="O774" s="937"/>
      <c r="P774" s="937"/>
      <c r="Q774" s="937"/>
      <c r="R774" s="937"/>
      <c r="S774" s="937"/>
      <c r="T774" s="937"/>
      <c r="U774" s="937"/>
      <c r="V774" s="937"/>
      <c r="W774" s="937"/>
      <c r="X774" s="937"/>
      <c r="Y774" s="937"/>
      <c r="Z774" s="937"/>
    </row>
    <row r="775" spans="1:26" ht="15.75" customHeight="1">
      <c r="A775" s="937"/>
      <c r="B775" s="937"/>
      <c r="C775" s="937"/>
      <c r="D775" s="937"/>
      <c r="E775" s="937"/>
      <c r="F775" s="937"/>
      <c r="G775" s="937"/>
      <c r="H775" s="937"/>
      <c r="I775" s="937"/>
      <c r="J775" s="937"/>
      <c r="K775" s="937"/>
      <c r="L775" s="937"/>
      <c r="M775" s="937"/>
      <c r="N775" s="937"/>
      <c r="O775" s="937"/>
      <c r="P775" s="937"/>
      <c r="Q775" s="937"/>
      <c r="R775" s="937"/>
      <c r="S775" s="937"/>
      <c r="T775" s="937"/>
      <c r="U775" s="937"/>
      <c r="V775" s="937"/>
      <c r="W775" s="937"/>
      <c r="X775" s="937"/>
      <c r="Y775" s="937"/>
      <c r="Z775" s="937"/>
    </row>
    <row r="776" spans="1:26" ht="15.75" customHeight="1">
      <c r="A776" s="937"/>
      <c r="B776" s="937"/>
      <c r="C776" s="937"/>
      <c r="D776" s="937"/>
      <c r="E776" s="937"/>
      <c r="F776" s="937"/>
      <c r="G776" s="937"/>
      <c r="H776" s="937"/>
      <c r="I776" s="937"/>
      <c r="J776" s="937"/>
      <c r="K776" s="937"/>
      <c r="L776" s="937"/>
      <c r="M776" s="937"/>
      <c r="N776" s="937"/>
      <c r="O776" s="937"/>
      <c r="P776" s="937"/>
      <c r="Q776" s="937"/>
      <c r="R776" s="937"/>
      <c r="S776" s="937"/>
      <c r="T776" s="937"/>
      <c r="U776" s="937"/>
      <c r="V776" s="937"/>
      <c r="W776" s="937"/>
      <c r="X776" s="937"/>
      <c r="Y776" s="937"/>
      <c r="Z776" s="937"/>
    </row>
    <row r="777" spans="1:26" ht="15.75" customHeight="1">
      <c r="A777" s="937"/>
      <c r="B777" s="937"/>
      <c r="C777" s="937"/>
      <c r="D777" s="937"/>
      <c r="E777" s="937"/>
      <c r="F777" s="937"/>
      <c r="G777" s="937"/>
      <c r="H777" s="937"/>
      <c r="I777" s="937"/>
      <c r="J777" s="937"/>
      <c r="K777" s="937"/>
      <c r="L777" s="937"/>
      <c r="M777" s="937"/>
      <c r="N777" s="937"/>
      <c r="O777" s="937"/>
      <c r="P777" s="937"/>
      <c r="Q777" s="937"/>
      <c r="R777" s="937"/>
      <c r="S777" s="937"/>
      <c r="T777" s="937"/>
      <c r="U777" s="937"/>
      <c r="V777" s="937"/>
      <c r="W777" s="937"/>
      <c r="X777" s="937"/>
      <c r="Y777" s="937"/>
      <c r="Z777" s="937"/>
    </row>
    <row r="778" spans="1:26" ht="15.75" customHeight="1">
      <c r="A778" s="937"/>
      <c r="B778" s="937"/>
      <c r="C778" s="937"/>
      <c r="D778" s="937"/>
      <c r="E778" s="937"/>
      <c r="F778" s="937"/>
      <c r="G778" s="937"/>
      <c r="H778" s="937"/>
      <c r="I778" s="937"/>
      <c r="J778" s="937"/>
      <c r="K778" s="937"/>
      <c r="L778" s="937"/>
      <c r="M778" s="937"/>
      <c r="N778" s="937"/>
      <c r="O778" s="937"/>
      <c r="P778" s="937"/>
      <c r="Q778" s="937"/>
      <c r="R778" s="937"/>
      <c r="S778" s="937"/>
      <c r="T778" s="937"/>
      <c r="U778" s="937"/>
      <c r="V778" s="937"/>
      <c r="W778" s="937"/>
      <c r="X778" s="937"/>
      <c r="Y778" s="937"/>
      <c r="Z778" s="937"/>
    </row>
    <row r="779" spans="1:26" ht="15.75" customHeight="1">
      <c r="A779" s="937"/>
      <c r="B779" s="937"/>
      <c r="C779" s="937"/>
      <c r="D779" s="937"/>
      <c r="E779" s="937"/>
      <c r="F779" s="937"/>
      <c r="G779" s="937"/>
      <c r="H779" s="937"/>
      <c r="I779" s="937"/>
      <c r="J779" s="937"/>
      <c r="K779" s="937"/>
      <c r="L779" s="937"/>
      <c r="M779" s="937"/>
      <c r="N779" s="937"/>
      <c r="O779" s="937"/>
      <c r="P779" s="937"/>
      <c r="Q779" s="937"/>
      <c r="R779" s="937"/>
      <c r="S779" s="937"/>
      <c r="T779" s="937"/>
      <c r="U779" s="937"/>
      <c r="V779" s="937"/>
      <c r="W779" s="937"/>
      <c r="X779" s="937"/>
      <c r="Y779" s="937"/>
      <c r="Z779" s="937"/>
    </row>
    <row r="780" spans="1:26" ht="15.75" customHeight="1">
      <c r="A780" s="937"/>
      <c r="B780" s="937"/>
      <c r="C780" s="937"/>
      <c r="D780" s="937"/>
      <c r="E780" s="937"/>
      <c r="F780" s="937"/>
      <c r="G780" s="937"/>
      <c r="H780" s="937"/>
      <c r="I780" s="937"/>
      <c r="J780" s="937"/>
      <c r="K780" s="937"/>
      <c r="L780" s="937"/>
      <c r="M780" s="937"/>
      <c r="N780" s="937"/>
      <c r="O780" s="937"/>
      <c r="P780" s="937"/>
      <c r="Q780" s="937"/>
      <c r="R780" s="937"/>
      <c r="S780" s="937"/>
      <c r="T780" s="937"/>
      <c r="U780" s="937"/>
      <c r="V780" s="937"/>
      <c r="W780" s="937"/>
      <c r="X780" s="937"/>
      <c r="Y780" s="937"/>
      <c r="Z780" s="937"/>
    </row>
    <row r="781" spans="1:26" ht="15.75" customHeight="1">
      <c r="A781" s="937"/>
      <c r="B781" s="937"/>
      <c r="C781" s="937"/>
      <c r="D781" s="937"/>
      <c r="E781" s="937"/>
      <c r="F781" s="937"/>
      <c r="G781" s="937"/>
      <c r="H781" s="937"/>
      <c r="I781" s="937"/>
      <c r="J781" s="937"/>
      <c r="K781" s="937"/>
      <c r="L781" s="937"/>
      <c r="M781" s="937"/>
      <c r="N781" s="937"/>
      <c r="O781" s="937"/>
      <c r="P781" s="937"/>
      <c r="Q781" s="937"/>
      <c r="R781" s="937"/>
      <c r="S781" s="937"/>
      <c r="T781" s="937"/>
      <c r="U781" s="937"/>
      <c r="V781" s="937"/>
      <c r="W781" s="937"/>
      <c r="X781" s="937"/>
      <c r="Y781" s="937"/>
      <c r="Z781" s="937"/>
    </row>
    <row r="782" spans="1:26" ht="15.75" customHeight="1">
      <c r="A782" s="937"/>
      <c r="B782" s="937"/>
      <c r="C782" s="937"/>
      <c r="D782" s="937"/>
      <c r="E782" s="937"/>
      <c r="F782" s="937"/>
      <c r="G782" s="937"/>
      <c r="H782" s="937"/>
      <c r="I782" s="937"/>
      <c r="J782" s="937"/>
      <c r="K782" s="937"/>
      <c r="L782" s="937"/>
      <c r="M782" s="937"/>
      <c r="N782" s="937"/>
      <c r="O782" s="937"/>
      <c r="P782" s="937"/>
      <c r="Q782" s="937"/>
      <c r="R782" s="937"/>
      <c r="S782" s="937"/>
      <c r="T782" s="937"/>
      <c r="U782" s="937"/>
      <c r="V782" s="937"/>
      <c r="W782" s="937"/>
      <c r="X782" s="937"/>
      <c r="Y782" s="937"/>
      <c r="Z782" s="937"/>
    </row>
    <row r="783" spans="1:26" ht="15.75" customHeight="1">
      <c r="A783" s="937"/>
      <c r="B783" s="937"/>
      <c r="C783" s="937"/>
      <c r="D783" s="937"/>
      <c r="E783" s="937"/>
      <c r="F783" s="937"/>
      <c r="G783" s="937"/>
      <c r="H783" s="937"/>
      <c r="I783" s="937"/>
      <c r="J783" s="937"/>
      <c r="K783" s="937"/>
      <c r="L783" s="937"/>
      <c r="M783" s="937"/>
      <c r="N783" s="937"/>
      <c r="O783" s="937"/>
      <c r="P783" s="937"/>
      <c r="Q783" s="937"/>
      <c r="R783" s="937"/>
      <c r="S783" s="937"/>
      <c r="T783" s="937"/>
      <c r="U783" s="937"/>
      <c r="V783" s="937"/>
      <c r="W783" s="937"/>
      <c r="X783" s="937"/>
      <c r="Y783" s="937"/>
      <c r="Z783" s="937"/>
    </row>
    <row r="784" spans="1:26" ht="15.75" customHeight="1">
      <c r="A784" s="937"/>
      <c r="B784" s="937"/>
      <c r="C784" s="937"/>
      <c r="D784" s="937"/>
      <c r="E784" s="937"/>
      <c r="F784" s="937"/>
      <c r="G784" s="937"/>
      <c r="H784" s="937"/>
      <c r="I784" s="937"/>
      <c r="J784" s="937"/>
      <c r="K784" s="937"/>
      <c r="L784" s="937"/>
      <c r="M784" s="937"/>
      <c r="N784" s="937"/>
      <c r="O784" s="937"/>
      <c r="P784" s="937"/>
      <c r="Q784" s="937"/>
      <c r="R784" s="937"/>
      <c r="S784" s="937"/>
      <c r="T784" s="937"/>
      <c r="U784" s="937"/>
      <c r="V784" s="937"/>
      <c r="W784" s="937"/>
      <c r="X784" s="937"/>
      <c r="Y784" s="937"/>
      <c r="Z784" s="937"/>
    </row>
    <row r="785" spans="1:26" ht="15.75" customHeight="1">
      <c r="A785" s="937"/>
      <c r="B785" s="937"/>
      <c r="C785" s="937"/>
      <c r="D785" s="937"/>
      <c r="E785" s="937"/>
      <c r="F785" s="937"/>
      <c r="G785" s="937"/>
      <c r="H785" s="937"/>
      <c r="I785" s="937"/>
      <c r="J785" s="937"/>
      <c r="K785" s="937"/>
      <c r="L785" s="937"/>
      <c r="M785" s="937"/>
      <c r="N785" s="937"/>
      <c r="O785" s="937"/>
      <c r="P785" s="937"/>
      <c r="Q785" s="937"/>
      <c r="R785" s="937"/>
      <c r="S785" s="937"/>
      <c r="T785" s="937"/>
      <c r="U785" s="937"/>
      <c r="V785" s="937"/>
      <c r="W785" s="937"/>
      <c r="X785" s="937"/>
      <c r="Y785" s="937"/>
      <c r="Z785" s="937"/>
    </row>
    <row r="786" spans="1:26" ht="15.75" customHeight="1">
      <c r="A786" s="937"/>
      <c r="B786" s="937"/>
      <c r="C786" s="937"/>
      <c r="D786" s="937"/>
      <c r="E786" s="937"/>
      <c r="F786" s="937"/>
      <c r="G786" s="937"/>
      <c r="H786" s="937"/>
      <c r="I786" s="937"/>
      <c r="J786" s="937"/>
      <c r="K786" s="937"/>
      <c r="L786" s="937"/>
      <c r="M786" s="937"/>
      <c r="N786" s="937"/>
      <c r="O786" s="937"/>
      <c r="P786" s="937"/>
      <c r="Q786" s="937"/>
      <c r="R786" s="937"/>
      <c r="S786" s="937"/>
      <c r="T786" s="937"/>
      <c r="U786" s="937"/>
      <c r="V786" s="937"/>
      <c r="W786" s="937"/>
      <c r="X786" s="937"/>
      <c r="Y786" s="937"/>
      <c r="Z786" s="937"/>
    </row>
    <row r="787" spans="1:26" ht="15.75" customHeight="1">
      <c r="A787" s="937"/>
      <c r="B787" s="937"/>
      <c r="C787" s="937"/>
      <c r="D787" s="937"/>
      <c r="E787" s="937"/>
      <c r="F787" s="937"/>
      <c r="G787" s="937"/>
      <c r="H787" s="937"/>
      <c r="I787" s="937"/>
      <c r="J787" s="937"/>
      <c r="K787" s="937"/>
      <c r="L787" s="937"/>
      <c r="M787" s="937"/>
      <c r="N787" s="937"/>
      <c r="O787" s="937"/>
      <c r="P787" s="937"/>
      <c r="Q787" s="937"/>
      <c r="R787" s="937"/>
      <c r="S787" s="937"/>
      <c r="T787" s="937"/>
      <c r="U787" s="937"/>
      <c r="V787" s="937"/>
      <c r="W787" s="937"/>
      <c r="X787" s="937"/>
      <c r="Y787" s="937"/>
      <c r="Z787" s="937"/>
    </row>
    <row r="788" spans="1:26" ht="15.75" customHeight="1">
      <c r="A788" s="937"/>
      <c r="B788" s="937"/>
      <c r="C788" s="937"/>
      <c r="D788" s="937"/>
      <c r="E788" s="937"/>
      <c r="F788" s="937"/>
      <c r="G788" s="937"/>
      <c r="H788" s="937"/>
      <c r="I788" s="937"/>
      <c r="J788" s="937"/>
      <c r="K788" s="937"/>
      <c r="L788" s="937"/>
      <c r="M788" s="937"/>
      <c r="N788" s="937"/>
      <c r="O788" s="937"/>
      <c r="P788" s="937"/>
      <c r="Q788" s="937"/>
      <c r="R788" s="937"/>
      <c r="S788" s="937"/>
      <c r="T788" s="937"/>
      <c r="U788" s="937"/>
      <c r="V788" s="937"/>
      <c r="W788" s="937"/>
      <c r="X788" s="937"/>
      <c r="Y788" s="937"/>
      <c r="Z788" s="937"/>
    </row>
    <row r="789" spans="1:26" ht="15.75" customHeight="1">
      <c r="A789" s="937"/>
      <c r="B789" s="937"/>
      <c r="C789" s="937"/>
      <c r="D789" s="937"/>
      <c r="E789" s="937"/>
      <c r="F789" s="937"/>
      <c r="G789" s="937"/>
      <c r="H789" s="937"/>
      <c r="I789" s="937"/>
      <c r="J789" s="937"/>
      <c r="K789" s="937"/>
      <c r="L789" s="937"/>
      <c r="M789" s="937"/>
      <c r="N789" s="937"/>
      <c r="O789" s="937"/>
      <c r="P789" s="937"/>
      <c r="Q789" s="937"/>
      <c r="R789" s="937"/>
      <c r="S789" s="937"/>
      <c r="T789" s="937"/>
      <c r="U789" s="937"/>
      <c r="V789" s="937"/>
      <c r="W789" s="937"/>
      <c r="X789" s="937"/>
      <c r="Y789" s="937"/>
      <c r="Z789" s="937"/>
    </row>
    <row r="790" spans="1:26" ht="15.75" customHeight="1">
      <c r="A790" s="937"/>
      <c r="B790" s="937"/>
      <c r="C790" s="937"/>
      <c r="D790" s="937"/>
      <c r="E790" s="937"/>
      <c r="F790" s="937"/>
      <c r="G790" s="937"/>
      <c r="H790" s="937"/>
      <c r="I790" s="937"/>
      <c r="J790" s="937"/>
      <c r="K790" s="937"/>
      <c r="L790" s="937"/>
      <c r="M790" s="937"/>
      <c r="N790" s="937"/>
      <c r="O790" s="937"/>
      <c r="P790" s="937"/>
      <c r="Q790" s="937"/>
      <c r="R790" s="937"/>
      <c r="S790" s="937"/>
      <c r="T790" s="937"/>
      <c r="U790" s="937"/>
      <c r="V790" s="937"/>
      <c r="W790" s="937"/>
      <c r="X790" s="937"/>
      <c r="Y790" s="937"/>
      <c r="Z790" s="937"/>
    </row>
    <row r="791" spans="1:26" ht="15.75" customHeight="1">
      <c r="A791" s="937"/>
      <c r="B791" s="937"/>
      <c r="C791" s="937"/>
      <c r="D791" s="937"/>
      <c r="E791" s="937"/>
      <c r="F791" s="937"/>
      <c r="G791" s="937"/>
      <c r="H791" s="937"/>
      <c r="I791" s="937"/>
      <c r="J791" s="937"/>
      <c r="K791" s="937"/>
      <c r="L791" s="937"/>
      <c r="M791" s="937"/>
      <c r="N791" s="937"/>
      <c r="O791" s="937"/>
      <c r="P791" s="937"/>
      <c r="Q791" s="937"/>
      <c r="R791" s="937"/>
      <c r="S791" s="937"/>
      <c r="T791" s="937"/>
      <c r="U791" s="937"/>
      <c r="V791" s="937"/>
      <c r="W791" s="937"/>
      <c r="X791" s="937"/>
      <c r="Y791" s="937"/>
      <c r="Z791" s="937"/>
    </row>
    <row r="792" spans="1:26" ht="15.75" customHeight="1">
      <c r="A792" s="937"/>
      <c r="B792" s="937"/>
      <c r="C792" s="937"/>
      <c r="D792" s="937"/>
      <c r="E792" s="937"/>
      <c r="F792" s="937"/>
      <c r="G792" s="937"/>
      <c r="H792" s="937"/>
      <c r="I792" s="937"/>
      <c r="J792" s="937"/>
      <c r="K792" s="937"/>
      <c r="L792" s="937"/>
      <c r="M792" s="937"/>
      <c r="N792" s="937"/>
      <c r="O792" s="937"/>
      <c r="P792" s="937"/>
      <c r="Q792" s="937"/>
      <c r="R792" s="937"/>
      <c r="S792" s="937"/>
      <c r="T792" s="937"/>
      <c r="U792" s="937"/>
      <c r="V792" s="937"/>
      <c r="W792" s="937"/>
      <c r="X792" s="937"/>
      <c r="Y792" s="937"/>
      <c r="Z792" s="937"/>
    </row>
    <row r="793" spans="1:26" ht="15.75" customHeight="1">
      <c r="A793" s="937"/>
      <c r="B793" s="937"/>
      <c r="C793" s="937"/>
      <c r="D793" s="937"/>
      <c r="E793" s="937"/>
      <c r="F793" s="937"/>
      <c r="G793" s="937"/>
      <c r="H793" s="937"/>
      <c r="I793" s="937"/>
      <c r="J793" s="937"/>
      <c r="K793" s="937"/>
      <c r="L793" s="937"/>
      <c r="M793" s="937"/>
      <c r="N793" s="937"/>
      <c r="O793" s="937"/>
      <c r="P793" s="937"/>
      <c r="Q793" s="937"/>
      <c r="R793" s="937"/>
      <c r="S793" s="937"/>
      <c r="T793" s="937"/>
      <c r="U793" s="937"/>
      <c r="V793" s="937"/>
      <c r="W793" s="937"/>
      <c r="X793" s="937"/>
      <c r="Y793" s="937"/>
      <c r="Z793" s="937"/>
    </row>
    <row r="794" spans="1:26" ht="15.75" customHeight="1">
      <c r="A794" s="937"/>
      <c r="B794" s="937"/>
      <c r="C794" s="937"/>
      <c r="D794" s="937"/>
      <c r="E794" s="937"/>
      <c r="F794" s="937"/>
      <c r="G794" s="937"/>
      <c r="H794" s="937"/>
      <c r="I794" s="937"/>
      <c r="J794" s="937"/>
      <c r="K794" s="937"/>
      <c r="L794" s="937"/>
      <c r="M794" s="937"/>
      <c r="N794" s="937"/>
      <c r="O794" s="937"/>
      <c r="P794" s="937"/>
      <c r="Q794" s="937"/>
      <c r="R794" s="937"/>
      <c r="S794" s="937"/>
      <c r="T794" s="937"/>
      <c r="U794" s="937"/>
      <c r="V794" s="937"/>
      <c r="W794" s="937"/>
      <c r="X794" s="937"/>
      <c r="Y794" s="937"/>
      <c r="Z794" s="937"/>
    </row>
    <row r="795" spans="1:26" ht="15.75" customHeight="1">
      <c r="A795" s="937"/>
      <c r="B795" s="937"/>
      <c r="C795" s="937"/>
      <c r="D795" s="937"/>
      <c r="E795" s="937"/>
      <c r="F795" s="937"/>
      <c r="G795" s="937"/>
      <c r="H795" s="937"/>
      <c r="I795" s="937"/>
      <c r="J795" s="937"/>
      <c r="K795" s="937"/>
      <c r="L795" s="937"/>
      <c r="M795" s="937"/>
      <c r="N795" s="937"/>
      <c r="O795" s="937"/>
      <c r="P795" s="937"/>
      <c r="Q795" s="937"/>
      <c r="R795" s="937"/>
      <c r="S795" s="937"/>
      <c r="T795" s="937"/>
      <c r="U795" s="937"/>
      <c r="V795" s="937"/>
      <c r="W795" s="937"/>
      <c r="X795" s="937"/>
      <c r="Y795" s="937"/>
      <c r="Z795" s="937"/>
    </row>
    <row r="796" spans="1:26" ht="15.75" customHeight="1">
      <c r="A796" s="937"/>
      <c r="B796" s="937"/>
      <c r="C796" s="937"/>
      <c r="D796" s="937"/>
      <c r="E796" s="937"/>
      <c r="F796" s="937"/>
      <c r="G796" s="937"/>
      <c r="H796" s="937"/>
      <c r="I796" s="937"/>
      <c r="J796" s="937"/>
      <c r="K796" s="937"/>
      <c r="L796" s="937"/>
      <c r="M796" s="937"/>
      <c r="N796" s="937"/>
      <c r="O796" s="937"/>
      <c r="P796" s="937"/>
      <c r="Q796" s="937"/>
      <c r="R796" s="937"/>
      <c r="S796" s="937"/>
      <c r="T796" s="937"/>
      <c r="U796" s="937"/>
      <c r="V796" s="937"/>
      <c r="W796" s="937"/>
      <c r="X796" s="937"/>
      <c r="Y796" s="937"/>
      <c r="Z796" s="937"/>
    </row>
    <row r="797" spans="1:26" ht="15.75" customHeight="1">
      <c r="A797" s="937"/>
      <c r="B797" s="937"/>
      <c r="C797" s="937"/>
      <c r="D797" s="937"/>
      <c r="E797" s="937"/>
      <c r="F797" s="937"/>
      <c r="G797" s="937"/>
      <c r="H797" s="937"/>
      <c r="I797" s="937"/>
      <c r="J797" s="937"/>
      <c r="K797" s="937"/>
      <c r="L797" s="937"/>
      <c r="M797" s="937"/>
      <c r="N797" s="937"/>
      <c r="O797" s="937"/>
      <c r="P797" s="937"/>
      <c r="Q797" s="937"/>
      <c r="R797" s="937"/>
      <c r="S797" s="937"/>
      <c r="T797" s="937"/>
      <c r="U797" s="937"/>
      <c r="V797" s="937"/>
      <c r="W797" s="937"/>
      <c r="X797" s="937"/>
      <c r="Y797" s="937"/>
      <c r="Z797" s="937"/>
    </row>
    <row r="798" spans="1:26" ht="15.75" customHeight="1">
      <c r="A798" s="937"/>
      <c r="B798" s="937"/>
      <c r="C798" s="937"/>
      <c r="D798" s="937"/>
      <c r="E798" s="937"/>
      <c r="F798" s="937"/>
      <c r="G798" s="937"/>
      <c r="H798" s="937"/>
      <c r="I798" s="937"/>
      <c r="J798" s="937"/>
      <c r="K798" s="937"/>
      <c r="L798" s="937"/>
      <c r="M798" s="937"/>
      <c r="N798" s="937"/>
      <c r="O798" s="937"/>
      <c r="P798" s="937"/>
      <c r="Q798" s="937"/>
      <c r="R798" s="937"/>
      <c r="S798" s="937"/>
      <c r="T798" s="937"/>
      <c r="U798" s="937"/>
      <c r="V798" s="937"/>
      <c r="W798" s="937"/>
      <c r="X798" s="937"/>
      <c r="Y798" s="937"/>
      <c r="Z798" s="937"/>
    </row>
    <row r="799" spans="1:26" ht="15.75" customHeight="1">
      <c r="A799" s="937"/>
      <c r="B799" s="937"/>
      <c r="C799" s="937"/>
      <c r="D799" s="937"/>
      <c r="E799" s="937"/>
      <c r="F799" s="937"/>
      <c r="G799" s="937"/>
      <c r="H799" s="937"/>
      <c r="I799" s="937"/>
      <c r="J799" s="937"/>
      <c r="K799" s="937"/>
      <c r="L799" s="937"/>
      <c r="M799" s="937"/>
      <c r="N799" s="937"/>
      <c r="O799" s="937"/>
      <c r="P799" s="937"/>
      <c r="Q799" s="937"/>
      <c r="R799" s="937"/>
      <c r="S799" s="937"/>
      <c r="T799" s="937"/>
      <c r="U799" s="937"/>
      <c r="V799" s="937"/>
      <c r="W799" s="937"/>
      <c r="X799" s="937"/>
      <c r="Y799" s="937"/>
      <c r="Z799" s="937"/>
    </row>
    <row r="800" spans="1:26" ht="15.75" customHeight="1">
      <c r="A800" s="937"/>
      <c r="B800" s="937"/>
      <c r="C800" s="937"/>
      <c r="D800" s="937"/>
      <c r="E800" s="937"/>
      <c r="F800" s="937"/>
      <c r="G800" s="937"/>
      <c r="H800" s="937"/>
      <c r="I800" s="937"/>
      <c r="J800" s="937"/>
      <c r="K800" s="937"/>
      <c r="L800" s="937"/>
      <c r="M800" s="937"/>
      <c r="N800" s="937"/>
      <c r="O800" s="937"/>
      <c r="P800" s="937"/>
      <c r="Q800" s="937"/>
      <c r="R800" s="937"/>
      <c r="S800" s="937"/>
      <c r="T800" s="937"/>
      <c r="U800" s="937"/>
      <c r="V800" s="937"/>
      <c r="W800" s="937"/>
      <c r="X800" s="937"/>
      <c r="Y800" s="937"/>
      <c r="Z800" s="937"/>
    </row>
    <row r="801" spans="1:26" ht="15.75" customHeight="1">
      <c r="A801" s="937"/>
      <c r="B801" s="937"/>
      <c r="C801" s="937"/>
      <c r="D801" s="937"/>
      <c r="E801" s="937"/>
      <c r="F801" s="937"/>
      <c r="G801" s="937"/>
      <c r="H801" s="937"/>
      <c r="I801" s="937"/>
      <c r="J801" s="937"/>
      <c r="K801" s="937"/>
      <c r="L801" s="937"/>
      <c r="M801" s="937"/>
      <c r="N801" s="937"/>
      <c r="O801" s="937"/>
      <c r="P801" s="937"/>
      <c r="Q801" s="937"/>
      <c r="R801" s="937"/>
      <c r="S801" s="937"/>
      <c r="T801" s="937"/>
      <c r="U801" s="937"/>
      <c r="V801" s="937"/>
      <c r="W801" s="937"/>
      <c r="X801" s="937"/>
      <c r="Y801" s="937"/>
      <c r="Z801" s="937"/>
    </row>
    <row r="802" spans="1:26" ht="15.75" customHeight="1">
      <c r="A802" s="937"/>
      <c r="B802" s="937"/>
      <c r="C802" s="937"/>
      <c r="D802" s="937"/>
      <c r="E802" s="937"/>
      <c r="F802" s="937"/>
      <c r="G802" s="937"/>
      <c r="H802" s="937"/>
      <c r="I802" s="937"/>
      <c r="J802" s="937"/>
      <c r="K802" s="937"/>
      <c r="L802" s="937"/>
      <c r="M802" s="937"/>
      <c r="N802" s="937"/>
      <c r="O802" s="937"/>
      <c r="P802" s="937"/>
      <c r="Q802" s="937"/>
      <c r="R802" s="937"/>
      <c r="S802" s="937"/>
      <c r="T802" s="937"/>
      <c r="U802" s="937"/>
      <c r="V802" s="937"/>
      <c r="W802" s="937"/>
      <c r="X802" s="937"/>
      <c r="Y802" s="937"/>
      <c r="Z802" s="937"/>
    </row>
    <row r="803" spans="1:26" ht="15.75" customHeight="1">
      <c r="A803" s="937"/>
      <c r="B803" s="937"/>
      <c r="C803" s="937"/>
      <c r="D803" s="937"/>
      <c r="E803" s="937"/>
      <c r="F803" s="937"/>
      <c r="G803" s="937"/>
      <c r="H803" s="937"/>
      <c r="I803" s="937"/>
      <c r="J803" s="937"/>
      <c r="K803" s="937"/>
      <c r="L803" s="937"/>
      <c r="M803" s="937"/>
      <c r="N803" s="937"/>
      <c r="O803" s="937"/>
      <c r="P803" s="937"/>
      <c r="Q803" s="937"/>
      <c r="R803" s="937"/>
      <c r="S803" s="937"/>
      <c r="T803" s="937"/>
      <c r="U803" s="937"/>
      <c r="V803" s="937"/>
      <c r="W803" s="937"/>
      <c r="X803" s="937"/>
      <c r="Y803" s="937"/>
      <c r="Z803" s="937"/>
    </row>
    <row r="804" spans="1:26" ht="15.75" customHeight="1">
      <c r="A804" s="937"/>
      <c r="B804" s="937"/>
      <c r="C804" s="937"/>
      <c r="D804" s="937"/>
      <c r="E804" s="937"/>
      <c r="F804" s="937"/>
      <c r="G804" s="937"/>
      <c r="H804" s="937"/>
      <c r="I804" s="937"/>
      <c r="J804" s="937"/>
      <c r="K804" s="937"/>
      <c r="L804" s="937"/>
      <c r="M804" s="937"/>
      <c r="N804" s="937"/>
      <c r="O804" s="937"/>
      <c r="P804" s="937"/>
      <c r="Q804" s="937"/>
      <c r="R804" s="937"/>
      <c r="S804" s="937"/>
      <c r="T804" s="937"/>
      <c r="U804" s="937"/>
      <c r="V804" s="937"/>
      <c r="W804" s="937"/>
      <c r="X804" s="937"/>
      <c r="Y804" s="937"/>
      <c r="Z804" s="937"/>
    </row>
    <row r="805" spans="1:26" ht="15.75" customHeight="1">
      <c r="A805" s="937"/>
      <c r="B805" s="937"/>
      <c r="C805" s="937"/>
      <c r="D805" s="937"/>
      <c r="E805" s="937"/>
      <c r="F805" s="937"/>
      <c r="G805" s="937"/>
      <c r="H805" s="937"/>
      <c r="I805" s="937"/>
      <c r="J805" s="937"/>
      <c r="K805" s="937"/>
      <c r="L805" s="937"/>
      <c r="M805" s="937"/>
      <c r="N805" s="937"/>
      <c r="O805" s="937"/>
      <c r="P805" s="937"/>
      <c r="Q805" s="937"/>
      <c r="R805" s="937"/>
      <c r="S805" s="937"/>
      <c r="T805" s="937"/>
      <c r="U805" s="937"/>
      <c r="V805" s="937"/>
      <c r="W805" s="937"/>
      <c r="X805" s="937"/>
      <c r="Y805" s="937"/>
      <c r="Z805" s="937"/>
    </row>
    <row r="806" spans="1:26" ht="15.75" customHeight="1">
      <c r="A806" s="937"/>
      <c r="B806" s="937"/>
      <c r="C806" s="937"/>
      <c r="D806" s="937"/>
      <c r="E806" s="937"/>
      <c r="F806" s="937"/>
      <c r="G806" s="937"/>
      <c r="H806" s="937"/>
      <c r="I806" s="937"/>
      <c r="J806" s="937"/>
      <c r="K806" s="937"/>
      <c r="L806" s="937"/>
      <c r="M806" s="937"/>
      <c r="N806" s="937"/>
      <c r="O806" s="937"/>
      <c r="P806" s="937"/>
      <c r="Q806" s="937"/>
      <c r="R806" s="937"/>
      <c r="S806" s="937"/>
      <c r="T806" s="937"/>
      <c r="U806" s="937"/>
      <c r="V806" s="937"/>
      <c r="W806" s="937"/>
      <c r="X806" s="937"/>
      <c r="Y806" s="937"/>
      <c r="Z806" s="937"/>
    </row>
    <row r="807" spans="1:26" ht="15.75" customHeight="1">
      <c r="A807" s="937"/>
      <c r="B807" s="937"/>
      <c r="C807" s="937"/>
      <c r="D807" s="937"/>
      <c r="E807" s="937"/>
      <c r="F807" s="937"/>
      <c r="G807" s="937"/>
      <c r="H807" s="937"/>
      <c r="I807" s="937"/>
      <c r="J807" s="937"/>
      <c r="K807" s="937"/>
      <c r="L807" s="937"/>
      <c r="M807" s="937"/>
      <c r="N807" s="937"/>
      <c r="O807" s="937"/>
      <c r="P807" s="937"/>
      <c r="Q807" s="937"/>
      <c r="R807" s="937"/>
      <c r="S807" s="937"/>
      <c r="T807" s="937"/>
      <c r="U807" s="937"/>
      <c r="V807" s="937"/>
      <c r="W807" s="937"/>
      <c r="X807" s="937"/>
      <c r="Y807" s="937"/>
      <c r="Z807" s="937"/>
    </row>
    <row r="808" spans="1:26" ht="15.75" customHeight="1">
      <c r="A808" s="937"/>
      <c r="B808" s="937"/>
      <c r="C808" s="937"/>
      <c r="D808" s="937"/>
      <c r="E808" s="937"/>
      <c r="F808" s="937"/>
      <c r="G808" s="937"/>
      <c r="H808" s="937"/>
      <c r="I808" s="937"/>
      <c r="J808" s="937"/>
      <c r="K808" s="937"/>
      <c r="L808" s="937"/>
      <c r="M808" s="937"/>
      <c r="N808" s="937"/>
      <c r="O808" s="937"/>
      <c r="P808" s="937"/>
      <c r="Q808" s="937"/>
      <c r="R808" s="937"/>
      <c r="S808" s="937"/>
      <c r="T808" s="937"/>
      <c r="U808" s="937"/>
      <c r="V808" s="937"/>
      <c r="W808" s="937"/>
      <c r="X808" s="937"/>
      <c r="Y808" s="937"/>
      <c r="Z808" s="937"/>
    </row>
    <row r="809" spans="1:26" ht="15.75" customHeight="1">
      <c r="A809" s="937"/>
      <c r="B809" s="937"/>
      <c r="C809" s="937"/>
      <c r="D809" s="937"/>
      <c r="E809" s="937"/>
      <c r="F809" s="937"/>
      <c r="G809" s="937"/>
      <c r="H809" s="937"/>
      <c r="I809" s="937"/>
      <c r="J809" s="937"/>
      <c r="K809" s="937"/>
      <c r="L809" s="937"/>
      <c r="M809" s="937"/>
      <c r="N809" s="937"/>
      <c r="O809" s="937"/>
      <c r="P809" s="937"/>
      <c r="Q809" s="937"/>
      <c r="R809" s="937"/>
      <c r="S809" s="937"/>
      <c r="T809" s="937"/>
      <c r="U809" s="937"/>
      <c r="V809" s="937"/>
      <c r="W809" s="937"/>
      <c r="X809" s="937"/>
      <c r="Y809" s="937"/>
      <c r="Z809" s="937"/>
    </row>
    <row r="810" spans="1:26" ht="15.75" customHeight="1">
      <c r="A810" s="937"/>
      <c r="B810" s="937"/>
      <c r="C810" s="937"/>
      <c r="D810" s="937"/>
      <c r="E810" s="937"/>
      <c r="F810" s="937"/>
      <c r="G810" s="937"/>
      <c r="H810" s="937"/>
      <c r="I810" s="937"/>
      <c r="J810" s="937"/>
      <c r="K810" s="937"/>
      <c r="L810" s="937"/>
      <c r="M810" s="937"/>
      <c r="N810" s="937"/>
      <c r="O810" s="937"/>
      <c r="P810" s="937"/>
      <c r="Q810" s="937"/>
      <c r="R810" s="937"/>
      <c r="S810" s="937"/>
      <c r="T810" s="937"/>
      <c r="U810" s="937"/>
      <c r="V810" s="937"/>
      <c r="W810" s="937"/>
      <c r="X810" s="937"/>
      <c r="Y810" s="937"/>
      <c r="Z810" s="937"/>
    </row>
    <row r="811" spans="1:26" ht="15.75" customHeight="1">
      <c r="A811" s="937"/>
      <c r="B811" s="937"/>
      <c r="C811" s="937"/>
      <c r="D811" s="937"/>
      <c r="E811" s="937"/>
      <c r="F811" s="937"/>
      <c r="G811" s="937"/>
      <c r="H811" s="937"/>
      <c r="I811" s="937"/>
      <c r="J811" s="937"/>
      <c r="K811" s="937"/>
      <c r="L811" s="937"/>
      <c r="M811" s="937"/>
      <c r="N811" s="937"/>
      <c r="O811" s="937"/>
      <c r="P811" s="937"/>
      <c r="Q811" s="937"/>
      <c r="R811" s="937"/>
      <c r="S811" s="937"/>
      <c r="T811" s="937"/>
      <c r="U811" s="937"/>
      <c r="V811" s="937"/>
      <c r="W811" s="937"/>
      <c r="X811" s="937"/>
      <c r="Y811" s="937"/>
      <c r="Z811" s="937"/>
    </row>
    <row r="812" spans="1:26" ht="15.75" customHeight="1">
      <c r="A812" s="937"/>
      <c r="B812" s="937"/>
      <c r="C812" s="937"/>
      <c r="D812" s="937"/>
      <c r="E812" s="937"/>
      <c r="F812" s="937"/>
      <c r="G812" s="937"/>
      <c r="H812" s="937"/>
      <c r="I812" s="937"/>
      <c r="J812" s="937"/>
      <c r="K812" s="937"/>
      <c r="L812" s="937"/>
      <c r="M812" s="937"/>
      <c r="N812" s="937"/>
      <c r="O812" s="937"/>
      <c r="P812" s="937"/>
      <c r="Q812" s="937"/>
      <c r="R812" s="937"/>
      <c r="S812" s="937"/>
      <c r="T812" s="937"/>
      <c r="U812" s="937"/>
      <c r="V812" s="937"/>
      <c r="W812" s="937"/>
      <c r="X812" s="937"/>
      <c r="Y812" s="937"/>
      <c r="Z812" s="937"/>
    </row>
    <row r="813" spans="1:26" ht="15.75" customHeight="1">
      <c r="A813" s="937"/>
      <c r="B813" s="937"/>
      <c r="C813" s="937"/>
      <c r="D813" s="937"/>
      <c r="E813" s="937"/>
      <c r="F813" s="937"/>
      <c r="G813" s="937"/>
      <c r="H813" s="937"/>
      <c r="I813" s="937"/>
      <c r="J813" s="937"/>
      <c r="K813" s="937"/>
      <c r="L813" s="937"/>
      <c r="M813" s="937"/>
      <c r="N813" s="937"/>
      <c r="O813" s="937"/>
      <c r="P813" s="937"/>
      <c r="Q813" s="937"/>
      <c r="R813" s="937"/>
      <c r="S813" s="937"/>
      <c r="T813" s="937"/>
      <c r="U813" s="937"/>
      <c r="V813" s="937"/>
      <c r="W813" s="937"/>
      <c r="X813" s="937"/>
      <c r="Y813" s="937"/>
      <c r="Z813" s="937"/>
    </row>
    <row r="814" spans="1:26" ht="15.75" customHeight="1">
      <c r="A814" s="937"/>
      <c r="B814" s="937"/>
      <c r="C814" s="937"/>
      <c r="D814" s="937"/>
      <c r="E814" s="937"/>
      <c r="F814" s="937"/>
      <c r="G814" s="937"/>
      <c r="H814" s="937"/>
      <c r="I814" s="937"/>
      <c r="J814" s="937"/>
      <c r="K814" s="937"/>
      <c r="L814" s="937"/>
      <c r="M814" s="937"/>
      <c r="N814" s="937"/>
      <c r="O814" s="937"/>
      <c r="P814" s="937"/>
      <c r="Q814" s="937"/>
      <c r="R814" s="937"/>
      <c r="S814" s="937"/>
      <c r="T814" s="937"/>
      <c r="U814" s="937"/>
      <c r="V814" s="937"/>
      <c r="W814" s="937"/>
      <c r="X814" s="937"/>
      <c r="Y814" s="937"/>
      <c r="Z814" s="937"/>
    </row>
    <row r="815" spans="1:26" ht="15.75" customHeight="1">
      <c r="A815" s="937"/>
      <c r="B815" s="937"/>
      <c r="C815" s="937"/>
      <c r="D815" s="937"/>
      <c r="E815" s="937"/>
      <c r="F815" s="937"/>
      <c r="G815" s="937"/>
      <c r="H815" s="937"/>
      <c r="I815" s="937"/>
      <c r="J815" s="937"/>
      <c r="K815" s="937"/>
      <c r="L815" s="937"/>
      <c r="M815" s="937"/>
      <c r="N815" s="937"/>
      <c r="O815" s="937"/>
      <c r="P815" s="937"/>
      <c r="Q815" s="937"/>
      <c r="R815" s="937"/>
      <c r="S815" s="937"/>
      <c r="T815" s="937"/>
      <c r="U815" s="937"/>
      <c r="V815" s="937"/>
      <c r="W815" s="937"/>
      <c r="X815" s="937"/>
      <c r="Y815" s="937"/>
      <c r="Z815" s="937"/>
    </row>
    <row r="816" spans="1:26" ht="15.75" customHeight="1">
      <c r="A816" s="937"/>
      <c r="B816" s="937"/>
      <c r="C816" s="937"/>
      <c r="D816" s="937"/>
      <c r="E816" s="937"/>
      <c r="F816" s="937"/>
      <c r="G816" s="937"/>
      <c r="H816" s="937"/>
      <c r="I816" s="937"/>
      <c r="J816" s="937"/>
      <c r="K816" s="937"/>
      <c r="L816" s="937"/>
      <c r="M816" s="937"/>
      <c r="N816" s="937"/>
      <c r="O816" s="937"/>
      <c r="P816" s="937"/>
      <c r="Q816" s="937"/>
      <c r="R816" s="937"/>
      <c r="S816" s="937"/>
      <c r="T816" s="937"/>
      <c r="U816" s="937"/>
      <c r="V816" s="937"/>
      <c r="W816" s="937"/>
      <c r="X816" s="937"/>
      <c r="Y816" s="937"/>
      <c r="Z816" s="937"/>
    </row>
    <row r="817" spans="1:26" ht="15.75" customHeight="1">
      <c r="A817" s="937"/>
      <c r="B817" s="937"/>
      <c r="C817" s="937"/>
      <c r="D817" s="937"/>
      <c r="E817" s="937"/>
      <c r="F817" s="937"/>
      <c r="G817" s="937"/>
      <c r="H817" s="937"/>
      <c r="I817" s="937"/>
      <c r="J817" s="937"/>
      <c r="K817" s="937"/>
      <c r="L817" s="937"/>
      <c r="M817" s="937"/>
      <c r="N817" s="937"/>
      <c r="O817" s="937"/>
      <c r="P817" s="937"/>
      <c r="Q817" s="937"/>
      <c r="R817" s="937"/>
      <c r="S817" s="937"/>
      <c r="T817" s="937"/>
      <c r="U817" s="937"/>
      <c r="V817" s="937"/>
      <c r="W817" s="937"/>
      <c r="X817" s="937"/>
      <c r="Y817" s="937"/>
      <c r="Z817" s="937"/>
    </row>
    <row r="818" spans="1:26" ht="15.75" customHeight="1">
      <c r="A818" s="937"/>
      <c r="B818" s="937"/>
      <c r="C818" s="937"/>
      <c r="D818" s="937"/>
      <c r="E818" s="937"/>
      <c r="F818" s="937"/>
      <c r="G818" s="937"/>
      <c r="H818" s="937"/>
      <c r="I818" s="937"/>
      <c r="J818" s="937"/>
      <c r="K818" s="937"/>
      <c r="L818" s="937"/>
      <c r="M818" s="937"/>
      <c r="N818" s="937"/>
      <c r="O818" s="937"/>
      <c r="P818" s="937"/>
      <c r="Q818" s="937"/>
      <c r="R818" s="937"/>
      <c r="S818" s="937"/>
      <c r="T818" s="937"/>
      <c r="U818" s="937"/>
      <c r="V818" s="937"/>
      <c r="W818" s="937"/>
      <c r="X818" s="937"/>
      <c r="Y818" s="937"/>
      <c r="Z818" s="937"/>
    </row>
    <row r="819" spans="1:26" ht="15.75" customHeight="1">
      <c r="A819" s="937"/>
      <c r="B819" s="937"/>
      <c r="C819" s="937"/>
      <c r="D819" s="937"/>
      <c r="E819" s="937"/>
      <c r="F819" s="937"/>
      <c r="G819" s="937"/>
      <c r="H819" s="937"/>
      <c r="I819" s="937"/>
      <c r="J819" s="937"/>
      <c r="K819" s="937"/>
      <c r="L819" s="937"/>
      <c r="M819" s="937"/>
      <c r="N819" s="937"/>
      <c r="O819" s="937"/>
      <c r="P819" s="937"/>
      <c r="Q819" s="937"/>
      <c r="R819" s="937"/>
      <c r="S819" s="937"/>
      <c r="T819" s="937"/>
      <c r="U819" s="937"/>
      <c r="V819" s="937"/>
      <c r="W819" s="937"/>
      <c r="X819" s="937"/>
      <c r="Y819" s="937"/>
      <c r="Z819" s="937"/>
    </row>
    <row r="820" spans="1:26" ht="15.75" customHeight="1">
      <c r="A820" s="937"/>
      <c r="B820" s="937"/>
      <c r="C820" s="937"/>
      <c r="D820" s="937"/>
      <c r="E820" s="937"/>
      <c r="F820" s="937"/>
      <c r="G820" s="937"/>
      <c r="H820" s="937"/>
      <c r="I820" s="937"/>
      <c r="J820" s="937"/>
      <c r="K820" s="937"/>
      <c r="L820" s="937"/>
      <c r="M820" s="937"/>
      <c r="N820" s="937"/>
      <c r="O820" s="937"/>
      <c r="P820" s="937"/>
      <c r="Q820" s="937"/>
      <c r="R820" s="937"/>
      <c r="S820" s="937"/>
      <c r="T820" s="937"/>
      <c r="U820" s="937"/>
      <c r="V820" s="937"/>
      <c r="W820" s="937"/>
      <c r="X820" s="937"/>
      <c r="Y820" s="937"/>
      <c r="Z820" s="937"/>
    </row>
    <row r="821" spans="1:26" ht="15.75" customHeight="1">
      <c r="A821" s="937"/>
      <c r="B821" s="937"/>
      <c r="C821" s="937"/>
      <c r="D821" s="937"/>
      <c r="E821" s="937"/>
      <c r="F821" s="937"/>
      <c r="G821" s="937"/>
      <c r="H821" s="937"/>
      <c r="I821" s="937"/>
      <c r="J821" s="937"/>
      <c r="K821" s="937"/>
      <c r="L821" s="937"/>
      <c r="M821" s="937"/>
      <c r="N821" s="937"/>
      <c r="O821" s="937"/>
      <c r="P821" s="937"/>
      <c r="Q821" s="937"/>
      <c r="R821" s="937"/>
      <c r="S821" s="937"/>
      <c r="T821" s="937"/>
      <c r="U821" s="937"/>
      <c r="V821" s="937"/>
      <c r="W821" s="937"/>
      <c r="X821" s="937"/>
      <c r="Y821" s="937"/>
      <c r="Z821" s="937"/>
    </row>
    <row r="822" spans="1:26" ht="15.75" customHeight="1">
      <c r="A822" s="937"/>
      <c r="B822" s="937"/>
      <c r="C822" s="937"/>
      <c r="D822" s="937"/>
      <c r="E822" s="937"/>
      <c r="F822" s="937"/>
      <c r="G822" s="937"/>
      <c r="H822" s="937"/>
      <c r="I822" s="937"/>
      <c r="J822" s="937"/>
      <c r="K822" s="937"/>
      <c r="L822" s="937"/>
      <c r="M822" s="937"/>
      <c r="N822" s="937"/>
      <c r="O822" s="937"/>
      <c r="P822" s="937"/>
      <c r="Q822" s="937"/>
      <c r="R822" s="937"/>
      <c r="S822" s="937"/>
      <c r="T822" s="937"/>
      <c r="U822" s="937"/>
      <c r="V822" s="937"/>
      <c r="W822" s="937"/>
      <c r="X822" s="937"/>
      <c r="Y822" s="937"/>
      <c r="Z822" s="937"/>
    </row>
    <row r="823" spans="1:26" ht="15.75" customHeight="1">
      <c r="A823" s="937"/>
      <c r="B823" s="937"/>
      <c r="C823" s="937"/>
      <c r="D823" s="937"/>
      <c r="E823" s="937"/>
      <c r="F823" s="937"/>
      <c r="G823" s="937"/>
      <c r="H823" s="937"/>
      <c r="I823" s="937"/>
      <c r="J823" s="937"/>
      <c r="K823" s="937"/>
      <c r="L823" s="937"/>
      <c r="M823" s="937"/>
      <c r="N823" s="937"/>
      <c r="O823" s="937"/>
      <c r="P823" s="937"/>
      <c r="Q823" s="937"/>
      <c r="R823" s="937"/>
      <c r="S823" s="937"/>
      <c r="T823" s="937"/>
      <c r="U823" s="937"/>
      <c r="V823" s="937"/>
      <c r="W823" s="937"/>
      <c r="X823" s="937"/>
      <c r="Y823" s="937"/>
      <c r="Z823" s="937"/>
    </row>
    <row r="824" spans="1:26" ht="15.75" customHeight="1">
      <c r="A824" s="937"/>
      <c r="B824" s="937"/>
      <c r="C824" s="937"/>
      <c r="D824" s="937"/>
      <c r="E824" s="937"/>
      <c r="F824" s="937"/>
      <c r="G824" s="937"/>
      <c r="H824" s="937"/>
      <c r="I824" s="937"/>
      <c r="J824" s="937"/>
      <c r="K824" s="937"/>
      <c r="L824" s="937"/>
      <c r="M824" s="937"/>
      <c r="N824" s="937"/>
      <c r="O824" s="937"/>
      <c r="P824" s="937"/>
      <c r="Q824" s="937"/>
      <c r="R824" s="937"/>
      <c r="S824" s="937"/>
      <c r="T824" s="937"/>
      <c r="U824" s="937"/>
      <c r="V824" s="937"/>
      <c r="W824" s="937"/>
      <c r="X824" s="937"/>
      <c r="Y824" s="937"/>
      <c r="Z824" s="937"/>
    </row>
    <row r="825" spans="1:26" ht="15.75" customHeight="1">
      <c r="A825" s="937"/>
      <c r="B825" s="937"/>
      <c r="C825" s="937"/>
      <c r="D825" s="937"/>
      <c r="E825" s="937"/>
      <c r="F825" s="937"/>
      <c r="G825" s="937"/>
      <c r="H825" s="937"/>
      <c r="I825" s="937"/>
      <c r="J825" s="937"/>
      <c r="K825" s="937"/>
      <c r="L825" s="937"/>
      <c r="M825" s="937"/>
      <c r="N825" s="937"/>
      <c r="O825" s="937"/>
      <c r="P825" s="937"/>
      <c r="Q825" s="937"/>
      <c r="R825" s="937"/>
      <c r="S825" s="937"/>
      <c r="T825" s="937"/>
      <c r="U825" s="937"/>
      <c r="V825" s="937"/>
      <c r="W825" s="937"/>
      <c r="X825" s="937"/>
      <c r="Y825" s="937"/>
      <c r="Z825" s="937"/>
    </row>
    <row r="826" spans="1:26" ht="15.75" customHeight="1">
      <c r="A826" s="937"/>
      <c r="B826" s="937"/>
      <c r="C826" s="937"/>
      <c r="D826" s="937"/>
      <c r="E826" s="937"/>
      <c r="F826" s="937"/>
      <c r="G826" s="937"/>
      <c r="H826" s="937"/>
      <c r="I826" s="937"/>
      <c r="J826" s="937"/>
      <c r="K826" s="937"/>
      <c r="L826" s="937"/>
      <c r="M826" s="937"/>
      <c r="N826" s="937"/>
      <c r="O826" s="937"/>
      <c r="P826" s="937"/>
      <c r="Q826" s="937"/>
      <c r="R826" s="937"/>
      <c r="S826" s="937"/>
      <c r="T826" s="937"/>
      <c r="U826" s="937"/>
      <c r="V826" s="937"/>
      <c r="W826" s="937"/>
      <c r="X826" s="937"/>
      <c r="Y826" s="937"/>
      <c r="Z826" s="937"/>
    </row>
    <row r="827" spans="1:26" ht="15.75" customHeight="1">
      <c r="A827" s="937"/>
      <c r="B827" s="937"/>
      <c r="C827" s="937"/>
      <c r="D827" s="937"/>
      <c r="E827" s="937"/>
      <c r="F827" s="937"/>
      <c r="G827" s="937"/>
      <c r="H827" s="937"/>
      <c r="I827" s="937"/>
      <c r="J827" s="937"/>
      <c r="K827" s="937"/>
      <c r="L827" s="937"/>
      <c r="M827" s="937"/>
      <c r="N827" s="937"/>
      <c r="O827" s="937"/>
      <c r="P827" s="937"/>
      <c r="Q827" s="937"/>
      <c r="R827" s="937"/>
      <c r="S827" s="937"/>
      <c r="T827" s="937"/>
      <c r="U827" s="937"/>
      <c r="V827" s="937"/>
      <c r="W827" s="937"/>
      <c r="X827" s="937"/>
      <c r="Y827" s="937"/>
      <c r="Z827" s="937"/>
    </row>
    <row r="828" spans="1:26" ht="15.75" customHeight="1">
      <c r="A828" s="937"/>
      <c r="B828" s="937"/>
      <c r="C828" s="937"/>
      <c r="D828" s="937"/>
      <c r="E828" s="937"/>
      <c r="F828" s="937"/>
      <c r="G828" s="937"/>
      <c r="H828" s="937"/>
      <c r="I828" s="937"/>
      <c r="J828" s="937"/>
      <c r="K828" s="937"/>
      <c r="L828" s="937"/>
      <c r="M828" s="937"/>
      <c r="N828" s="937"/>
      <c r="O828" s="937"/>
      <c r="P828" s="937"/>
      <c r="Q828" s="937"/>
      <c r="R828" s="937"/>
      <c r="S828" s="937"/>
      <c r="T828" s="937"/>
      <c r="U828" s="937"/>
      <c r="V828" s="937"/>
      <c r="W828" s="937"/>
      <c r="X828" s="937"/>
      <c r="Y828" s="937"/>
      <c r="Z828" s="937"/>
    </row>
    <row r="829" spans="1:26" ht="15.75" customHeight="1">
      <c r="A829" s="937"/>
      <c r="B829" s="937"/>
      <c r="C829" s="937"/>
      <c r="D829" s="937"/>
      <c r="E829" s="937"/>
      <c r="F829" s="937"/>
      <c r="G829" s="937"/>
      <c r="H829" s="937"/>
      <c r="I829" s="937"/>
      <c r="J829" s="937"/>
      <c r="K829" s="937"/>
      <c r="L829" s="937"/>
      <c r="M829" s="937"/>
      <c r="N829" s="937"/>
      <c r="O829" s="937"/>
      <c r="P829" s="937"/>
      <c r="Q829" s="937"/>
      <c r="R829" s="937"/>
      <c r="S829" s="937"/>
      <c r="T829" s="937"/>
      <c r="U829" s="937"/>
      <c r="V829" s="937"/>
      <c r="W829" s="937"/>
      <c r="X829" s="937"/>
      <c r="Y829" s="937"/>
      <c r="Z829" s="937"/>
    </row>
    <row r="830" spans="1:26" ht="15.75" customHeight="1">
      <c r="A830" s="937"/>
      <c r="B830" s="937"/>
      <c r="C830" s="937"/>
      <c r="D830" s="937"/>
      <c r="E830" s="937"/>
      <c r="F830" s="937"/>
      <c r="G830" s="937"/>
      <c r="H830" s="937"/>
      <c r="I830" s="937"/>
      <c r="J830" s="937"/>
      <c r="K830" s="937"/>
      <c r="L830" s="937"/>
      <c r="M830" s="937"/>
      <c r="N830" s="937"/>
      <c r="O830" s="937"/>
      <c r="P830" s="937"/>
      <c r="Q830" s="937"/>
      <c r="R830" s="937"/>
      <c r="S830" s="937"/>
      <c r="T830" s="937"/>
      <c r="U830" s="937"/>
      <c r="V830" s="937"/>
      <c r="W830" s="937"/>
      <c r="X830" s="937"/>
      <c r="Y830" s="937"/>
      <c r="Z830" s="937"/>
    </row>
    <row r="831" spans="1:26" ht="15.75" customHeight="1">
      <c r="A831" s="937"/>
      <c r="B831" s="937"/>
      <c r="C831" s="937"/>
      <c r="D831" s="937"/>
      <c r="E831" s="937"/>
      <c r="F831" s="937"/>
      <c r="G831" s="937"/>
      <c r="H831" s="937"/>
      <c r="I831" s="937"/>
      <c r="J831" s="937"/>
      <c r="K831" s="937"/>
      <c r="L831" s="937"/>
      <c r="M831" s="937"/>
      <c r="N831" s="937"/>
      <c r="O831" s="937"/>
      <c r="P831" s="937"/>
      <c r="Q831" s="937"/>
      <c r="R831" s="937"/>
      <c r="S831" s="937"/>
      <c r="T831" s="937"/>
      <c r="U831" s="937"/>
      <c r="V831" s="937"/>
      <c r="W831" s="937"/>
      <c r="X831" s="937"/>
      <c r="Y831" s="937"/>
      <c r="Z831" s="937"/>
    </row>
    <row r="832" spans="1:26" ht="15.75" customHeight="1">
      <c r="A832" s="937"/>
      <c r="B832" s="937"/>
      <c r="C832" s="937"/>
      <c r="D832" s="937"/>
      <c r="E832" s="937"/>
      <c r="F832" s="937"/>
      <c r="G832" s="937"/>
      <c r="H832" s="937"/>
      <c r="I832" s="937"/>
      <c r="J832" s="937"/>
      <c r="K832" s="937"/>
      <c r="L832" s="937"/>
      <c r="M832" s="937"/>
      <c r="N832" s="937"/>
      <c r="O832" s="937"/>
      <c r="P832" s="937"/>
      <c r="Q832" s="937"/>
      <c r="R832" s="937"/>
      <c r="S832" s="937"/>
      <c r="T832" s="937"/>
      <c r="U832" s="937"/>
      <c r="V832" s="937"/>
      <c r="W832" s="937"/>
      <c r="X832" s="937"/>
      <c r="Y832" s="937"/>
      <c r="Z832" s="937"/>
    </row>
    <row r="833" spans="1:26" ht="15.75" customHeight="1">
      <c r="A833" s="937"/>
      <c r="B833" s="937"/>
      <c r="C833" s="937"/>
      <c r="D833" s="937"/>
      <c r="E833" s="937"/>
      <c r="F833" s="937"/>
      <c r="G833" s="937"/>
      <c r="H833" s="937"/>
      <c r="I833" s="937"/>
      <c r="J833" s="937"/>
      <c r="K833" s="937"/>
      <c r="L833" s="937"/>
      <c r="M833" s="937"/>
      <c r="N833" s="937"/>
      <c r="O833" s="937"/>
      <c r="P833" s="937"/>
      <c r="Q833" s="937"/>
      <c r="R833" s="937"/>
      <c r="S833" s="937"/>
      <c r="T833" s="937"/>
      <c r="U833" s="937"/>
      <c r="V833" s="937"/>
      <c r="W833" s="937"/>
      <c r="X833" s="937"/>
      <c r="Y833" s="937"/>
      <c r="Z833" s="937"/>
    </row>
    <row r="834" spans="1:26" ht="15.75" customHeight="1">
      <c r="A834" s="937"/>
      <c r="B834" s="937"/>
      <c r="C834" s="937"/>
      <c r="D834" s="937"/>
      <c r="E834" s="937"/>
      <c r="F834" s="937"/>
      <c r="G834" s="937"/>
      <c r="H834" s="937"/>
      <c r="I834" s="937"/>
      <c r="J834" s="937"/>
      <c r="K834" s="937"/>
      <c r="L834" s="937"/>
      <c r="M834" s="937"/>
      <c r="N834" s="937"/>
      <c r="O834" s="937"/>
      <c r="P834" s="937"/>
      <c r="Q834" s="937"/>
      <c r="R834" s="937"/>
      <c r="S834" s="937"/>
      <c r="T834" s="937"/>
      <c r="U834" s="937"/>
      <c r="V834" s="937"/>
      <c r="W834" s="937"/>
      <c r="X834" s="937"/>
      <c r="Y834" s="937"/>
      <c r="Z834" s="937"/>
    </row>
    <row r="835" spans="1:26" ht="15.75" customHeight="1">
      <c r="A835" s="937"/>
      <c r="B835" s="937"/>
      <c r="C835" s="937"/>
      <c r="D835" s="937"/>
      <c r="E835" s="937"/>
      <c r="F835" s="937"/>
      <c r="G835" s="937"/>
      <c r="H835" s="937"/>
      <c r="I835" s="937"/>
      <c r="J835" s="937"/>
      <c r="K835" s="937"/>
      <c r="L835" s="937"/>
      <c r="M835" s="937"/>
      <c r="N835" s="937"/>
      <c r="O835" s="937"/>
      <c r="P835" s="937"/>
      <c r="Q835" s="937"/>
      <c r="R835" s="937"/>
      <c r="S835" s="937"/>
      <c r="T835" s="937"/>
      <c r="U835" s="937"/>
      <c r="V835" s="937"/>
      <c r="W835" s="937"/>
      <c r="X835" s="937"/>
      <c r="Y835" s="937"/>
      <c r="Z835" s="937"/>
    </row>
    <row r="836" spans="1:26" ht="15.75" customHeight="1">
      <c r="A836" s="937"/>
      <c r="B836" s="937"/>
      <c r="C836" s="937"/>
      <c r="D836" s="937"/>
      <c r="E836" s="937"/>
      <c r="F836" s="937"/>
      <c r="G836" s="937"/>
      <c r="H836" s="937"/>
      <c r="I836" s="937"/>
      <c r="J836" s="937"/>
      <c r="K836" s="937"/>
      <c r="L836" s="937"/>
      <c r="M836" s="937"/>
      <c r="N836" s="937"/>
      <c r="O836" s="937"/>
      <c r="P836" s="937"/>
      <c r="Q836" s="937"/>
      <c r="R836" s="937"/>
      <c r="S836" s="937"/>
      <c r="T836" s="937"/>
      <c r="U836" s="937"/>
      <c r="V836" s="937"/>
      <c r="W836" s="937"/>
      <c r="X836" s="937"/>
      <c r="Y836" s="937"/>
      <c r="Z836" s="937"/>
    </row>
    <row r="837" spans="1:26" ht="15.75" customHeight="1">
      <c r="A837" s="937"/>
      <c r="B837" s="937"/>
      <c r="C837" s="937"/>
      <c r="D837" s="937"/>
      <c r="E837" s="937"/>
      <c r="F837" s="937"/>
      <c r="G837" s="937"/>
      <c r="H837" s="937"/>
      <c r="I837" s="937"/>
      <c r="J837" s="937"/>
      <c r="K837" s="937"/>
      <c r="L837" s="937"/>
      <c r="M837" s="937"/>
      <c r="N837" s="937"/>
      <c r="O837" s="937"/>
      <c r="P837" s="937"/>
      <c r="Q837" s="937"/>
      <c r="R837" s="937"/>
      <c r="S837" s="937"/>
      <c r="T837" s="937"/>
      <c r="U837" s="937"/>
      <c r="V837" s="937"/>
      <c r="W837" s="937"/>
      <c r="X837" s="937"/>
      <c r="Y837" s="937"/>
      <c r="Z837" s="937"/>
    </row>
    <row r="838" spans="1:26" ht="15.75" customHeight="1">
      <c r="A838" s="937"/>
      <c r="B838" s="937"/>
      <c r="C838" s="937"/>
      <c r="D838" s="937"/>
      <c r="E838" s="937"/>
      <c r="F838" s="937"/>
      <c r="G838" s="937"/>
      <c r="H838" s="937"/>
      <c r="I838" s="937"/>
      <c r="J838" s="937"/>
      <c r="K838" s="937"/>
      <c r="L838" s="937"/>
      <c r="M838" s="937"/>
      <c r="N838" s="937"/>
      <c r="O838" s="937"/>
      <c r="P838" s="937"/>
      <c r="Q838" s="937"/>
      <c r="R838" s="937"/>
      <c r="S838" s="937"/>
      <c r="T838" s="937"/>
      <c r="U838" s="937"/>
      <c r="V838" s="937"/>
      <c r="W838" s="937"/>
      <c r="X838" s="937"/>
      <c r="Y838" s="937"/>
      <c r="Z838" s="937"/>
    </row>
    <row r="839" spans="1:26" ht="15.75" customHeight="1">
      <c r="A839" s="937"/>
      <c r="B839" s="937"/>
      <c r="C839" s="937"/>
      <c r="D839" s="937"/>
      <c r="E839" s="937"/>
      <c r="F839" s="937"/>
      <c r="G839" s="937"/>
      <c r="H839" s="937"/>
      <c r="I839" s="937"/>
      <c r="J839" s="937"/>
      <c r="K839" s="937"/>
      <c r="L839" s="937"/>
      <c r="M839" s="937"/>
      <c r="N839" s="937"/>
      <c r="O839" s="937"/>
      <c r="P839" s="937"/>
      <c r="Q839" s="937"/>
      <c r="R839" s="937"/>
      <c r="S839" s="937"/>
      <c r="T839" s="937"/>
      <c r="U839" s="937"/>
      <c r="V839" s="937"/>
      <c r="W839" s="937"/>
      <c r="X839" s="937"/>
      <c r="Y839" s="937"/>
      <c r="Z839" s="937"/>
    </row>
    <row r="840" spans="1:26" ht="15.75" customHeight="1">
      <c r="A840" s="937"/>
      <c r="B840" s="937"/>
      <c r="C840" s="937"/>
      <c r="D840" s="937"/>
      <c r="E840" s="937"/>
      <c r="F840" s="937"/>
      <c r="G840" s="937"/>
      <c r="H840" s="937"/>
      <c r="I840" s="937"/>
      <c r="J840" s="937"/>
      <c r="K840" s="937"/>
      <c r="L840" s="937"/>
      <c r="M840" s="937"/>
      <c r="N840" s="937"/>
      <c r="O840" s="937"/>
      <c r="P840" s="937"/>
      <c r="Q840" s="937"/>
      <c r="R840" s="937"/>
      <c r="S840" s="937"/>
      <c r="T840" s="937"/>
      <c r="U840" s="937"/>
      <c r="V840" s="937"/>
      <c r="W840" s="937"/>
      <c r="X840" s="937"/>
      <c r="Y840" s="937"/>
      <c r="Z840" s="937"/>
    </row>
    <row r="841" spans="1:26" ht="15.75" customHeight="1">
      <c r="A841" s="937"/>
      <c r="B841" s="937"/>
      <c r="C841" s="937"/>
      <c r="D841" s="937"/>
      <c r="E841" s="937"/>
      <c r="F841" s="937"/>
      <c r="G841" s="937"/>
      <c r="H841" s="937"/>
      <c r="I841" s="937"/>
      <c r="J841" s="937"/>
      <c r="K841" s="937"/>
      <c r="L841" s="937"/>
      <c r="M841" s="937"/>
      <c r="N841" s="937"/>
      <c r="O841" s="937"/>
      <c r="P841" s="937"/>
      <c r="Q841" s="937"/>
      <c r="R841" s="937"/>
      <c r="S841" s="937"/>
      <c r="T841" s="937"/>
      <c r="U841" s="937"/>
      <c r="V841" s="937"/>
      <c r="W841" s="937"/>
      <c r="X841" s="937"/>
      <c r="Y841" s="937"/>
      <c r="Z841" s="937"/>
    </row>
    <row r="842" spans="1:26" ht="15.75" customHeight="1">
      <c r="A842" s="937"/>
      <c r="B842" s="937"/>
      <c r="C842" s="937"/>
      <c r="D842" s="937"/>
      <c r="E842" s="937"/>
      <c r="F842" s="937"/>
      <c r="G842" s="937"/>
      <c r="H842" s="937"/>
      <c r="I842" s="937"/>
      <c r="J842" s="937"/>
      <c r="K842" s="937"/>
      <c r="L842" s="937"/>
      <c r="M842" s="937"/>
      <c r="N842" s="937"/>
      <c r="O842" s="937"/>
      <c r="P842" s="937"/>
      <c r="Q842" s="937"/>
      <c r="R842" s="937"/>
      <c r="S842" s="937"/>
      <c r="T842" s="937"/>
      <c r="U842" s="937"/>
      <c r="V842" s="937"/>
      <c r="W842" s="937"/>
      <c r="X842" s="937"/>
      <c r="Y842" s="937"/>
      <c r="Z842" s="937"/>
    </row>
    <row r="843" spans="1:26" ht="15.75" customHeight="1">
      <c r="A843" s="937"/>
      <c r="B843" s="937"/>
      <c r="C843" s="937"/>
      <c r="D843" s="937"/>
      <c r="E843" s="937"/>
      <c r="F843" s="937"/>
      <c r="G843" s="937"/>
      <c r="H843" s="937"/>
      <c r="I843" s="937"/>
      <c r="J843" s="937"/>
      <c r="K843" s="937"/>
      <c r="L843" s="937"/>
      <c r="M843" s="937"/>
      <c r="N843" s="937"/>
      <c r="O843" s="937"/>
      <c r="P843" s="937"/>
      <c r="Q843" s="937"/>
      <c r="R843" s="937"/>
      <c r="S843" s="937"/>
      <c r="T843" s="937"/>
      <c r="U843" s="937"/>
      <c r="V843" s="937"/>
      <c r="W843" s="937"/>
      <c r="X843" s="937"/>
      <c r="Y843" s="937"/>
      <c r="Z843" s="937"/>
    </row>
    <row r="844" spans="1:26" ht="15.75" customHeight="1">
      <c r="A844" s="937"/>
      <c r="B844" s="937"/>
      <c r="C844" s="937"/>
      <c r="D844" s="937"/>
      <c r="E844" s="937"/>
      <c r="F844" s="937"/>
      <c r="G844" s="937"/>
      <c r="H844" s="937"/>
      <c r="I844" s="937"/>
      <c r="J844" s="937"/>
      <c r="K844" s="937"/>
      <c r="L844" s="937"/>
      <c r="M844" s="937"/>
      <c r="N844" s="937"/>
      <c r="O844" s="937"/>
      <c r="P844" s="937"/>
      <c r="Q844" s="937"/>
      <c r="R844" s="937"/>
      <c r="S844" s="937"/>
      <c r="T844" s="937"/>
      <c r="U844" s="937"/>
      <c r="V844" s="937"/>
      <c r="W844" s="937"/>
      <c r="X844" s="937"/>
      <c r="Y844" s="937"/>
      <c r="Z844" s="937"/>
    </row>
    <row r="845" spans="1:26" ht="15.75" customHeight="1">
      <c r="A845" s="937"/>
      <c r="B845" s="937"/>
      <c r="C845" s="937"/>
      <c r="D845" s="937"/>
      <c r="E845" s="937"/>
      <c r="F845" s="937"/>
      <c r="G845" s="937"/>
      <c r="H845" s="937"/>
      <c r="I845" s="937"/>
      <c r="J845" s="937"/>
      <c r="K845" s="937"/>
      <c r="L845" s="937"/>
      <c r="M845" s="937"/>
      <c r="N845" s="937"/>
      <c r="O845" s="937"/>
      <c r="P845" s="937"/>
      <c r="Q845" s="937"/>
      <c r="R845" s="937"/>
      <c r="S845" s="937"/>
      <c r="T845" s="937"/>
      <c r="U845" s="937"/>
      <c r="V845" s="937"/>
      <c r="W845" s="937"/>
      <c r="X845" s="937"/>
      <c r="Y845" s="937"/>
      <c r="Z845" s="937"/>
    </row>
    <row r="846" spans="1:26" ht="15.75" customHeight="1">
      <c r="A846" s="937"/>
      <c r="B846" s="937"/>
      <c r="C846" s="937"/>
      <c r="D846" s="937"/>
      <c r="E846" s="937"/>
      <c r="F846" s="937"/>
      <c r="G846" s="937"/>
      <c r="H846" s="937"/>
      <c r="I846" s="937"/>
      <c r="J846" s="937"/>
      <c r="K846" s="937"/>
      <c r="L846" s="937"/>
      <c r="M846" s="937"/>
      <c r="N846" s="937"/>
      <c r="O846" s="937"/>
      <c r="P846" s="937"/>
      <c r="Q846" s="937"/>
      <c r="R846" s="937"/>
      <c r="S846" s="937"/>
      <c r="T846" s="937"/>
      <c r="U846" s="937"/>
      <c r="V846" s="937"/>
      <c r="W846" s="937"/>
      <c r="X846" s="937"/>
      <c r="Y846" s="937"/>
      <c r="Z846" s="937"/>
    </row>
    <row r="847" spans="1:26" ht="15.75" customHeight="1">
      <c r="A847" s="937"/>
      <c r="B847" s="937"/>
      <c r="C847" s="937"/>
      <c r="D847" s="937"/>
      <c r="E847" s="937"/>
      <c r="F847" s="937"/>
      <c r="G847" s="937"/>
      <c r="H847" s="937"/>
      <c r="I847" s="937"/>
      <c r="J847" s="937"/>
      <c r="K847" s="937"/>
      <c r="L847" s="937"/>
      <c r="M847" s="937"/>
      <c r="N847" s="937"/>
      <c r="O847" s="937"/>
      <c r="P847" s="937"/>
      <c r="Q847" s="937"/>
      <c r="R847" s="937"/>
      <c r="S847" s="937"/>
      <c r="T847" s="937"/>
      <c r="U847" s="937"/>
      <c r="V847" s="937"/>
      <c r="W847" s="937"/>
      <c r="X847" s="937"/>
      <c r="Y847" s="937"/>
      <c r="Z847" s="937"/>
    </row>
    <row r="848" spans="1:26" ht="15.75" customHeight="1">
      <c r="A848" s="937"/>
      <c r="B848" s="937"/>
      <c r="C848" s="937"/>
      <c r="D848" s="937"/>
      <c r="E848" s="937"/>
      <c r="F848" s="937"/>
      <c r="G848" s="937"/>
      <c r="H848" s="937"/>
      <c r="I848" s="937"/>
      <c r="J848" s="937"/>
      <c r="K848" s="937"/>
      <c r="L848" s="937"/>
      <c r="M848" s="937"/>
      <c r="N848" s="937"/>
      <c r="O848" s="937"/>
      <c r="P848" s="937"/>
      <c r="Q848" s="937"/>
      <c r="R848" s="937"/>
      <c r="S848" s="937"/>
      <c r="T848" s="937"/>
      <c r="U848" s="937"/>
      <c r="V848" s="937"/>
      <c r="W848" s="937"/>
      <c r="X848" s="937"/>
      <c r="Y848" s="937"/>
      <c r="Z848" s="937"/>
    </row>
    <row r="849" spans="1:26" ht="15.75" customHeight="1">
      <c r="A849" s="937"/>
      <c r="B849" s="937"/>
      <c r="C849" s="937"/>
      <c r="D849" s="937"/>
      <c r="E849" s="937"/>
      <c r="F849" s="937"/>
      <c r="G849" s="937"/>
      <c r="H849" s="937"/>
      <c r="I849" s="937"/>
      <c r="J849" s="937"/>
      <c r="K849" s="937"/>
      <c r="L849" s="937"/>
      <c r="M849" s="937"/>
      <c r="N849" s="937"/>
      <c r="O849" s="937"/>
      <c r="P849" s="937"/>
      <c r="Q849" s="937"/>
      <c r="R849" s="937"/>
      <c r="S849" s="937"/>
      <c r="T849" s="937"/>
      <c r="U849" s="937"/>
      <c r="V849" s="937"/>
      <c r="W849" s="937"/>
      <c r="X849" s="937"/>
      <c r="Y849" s="937"/>
      <c r="Z849" s="937"/>
    </row>
    <row r="850" spans="1:26" ht="15.75" customHeight="1">
      <c r="A850" s="937"/>
      <c r="B850" s="937"/>
      <c r="C850" s="937"/>
      <c r="D850" s="937"/>
      <c r="E850" s="937"/>
      <c r="F850" s="937"/>
      <c r="G850" s="937"/>
      <c r="H850" s="937"/>
      <c r="I850" s="937"/>
      <c r="J850" s="937"/>
      <c r="K850" s="937"/>
      <c r="L850" s="937"/>
      <c r="M850" s="937"/>
      <c r="N850" s="937"/>
      <c r="O850" s="937"/>
      <c r="P850" s="937"/>
      <c r="Q850" s="937"/>
      <c r="R850" s="937"/>
      <c r="S850" s="937"/>
      <c r="T850" s="937"/>
      <c r="U850" s="937"/>
      <c r="V850" s="937"/>
      <c r="W850" s="937"/>
      <c r="X850" s="937"/>
      <c r="Y850" s="937"/>
      <c r="Z850" s="937"/>
    </row>
    <row r="851" spans="1:26" ht="15.75" customHeight="1">
      <c r="A851" s="937"/>
      <c r="B851" s="937"/>
      <c r="C851" s="937"/>
      <c r="D851" s="937"/>
      <c r="E851" s="937"/>
      <c r="F851" s="937"/>
      <c r="G851" s="937"/>
      <c r="H851" s="937"/>
      <c r="I851" s="937"/>
      <c r="J851" s="937"/>
      <c r="K851" s="937"/>
      <c r="L851" s="937"/>
      <c r="M851" s="937"/>
      <c r="N851" s="937"/>
      <c r="O851" s="937"/>
      <c r="P851" s="937"/>
      <c r="Q851" s="937"/>
      <c r="R851" s="937"/>
      <c r="S851" s="937"/>
      <c r="T851" s="937"/>
      <c r="U851" s="937"/>
      <c r="V851" s="937"/>
      <c r="W851" s="937"/>
      <c r="X851" s="937"/>
      <c r="Y851" s="937"/>
      <c r="Z851" s="937"/>
    </row>
    <row r="852" spans="1:26" ht="15.75" customHeight="1">
      <c r="A852" s="937"/>
      <c r="B852" s="937"/>
      <c r="C852" s="937"/>
      <c r="D852" s="937"/>
      <c r="E852" s="937"/>
      <c r="F852" s="937"/>
      <c r="G852" s="937"/>
      <c r="H852" s="937"/>
      <c r="I852" s="937"/>
      <c r="J852" s="937"/>
      <c r="K852" s="937"/>
      <c r="L852" s="937"/>
      <c r="M852" s="937"/>
      <c r="N852" s="937"/>
      <c r="O852" s="937"/>
      <c r="P852" s="937"/>
      <c r="Q852" s="937"/>
      <c r="R852" s="937"/>
      <c r="S852" s="937"/>
      <c r="T852" s="937"/>
      <c r="U852" s="937"/>
      <c r="V852" s="937"/>
      <c r="W852" s="937"/>
      <c r="X852" s="937"/>
      <c r="Y852" s="937"/>
      <c r="Z852" s="937"/>
    </row>
    <row r="853" spans="1:26" ht="15.75" customHeight="1">
      <c r="A853" s="937"/>
      <c r="B853" s="937"/>
      <c r="C853" s="937"/>
      <c r="D853" s="937"/>
      <c r="E853" s="937"/>
      <c r="F853" s="937"/>
      <c r="G853" s="937"/>
      <c r="H853" s="937"/>
      <c r="I853" s="937"/>
      <c r="J853" s="937"/>
      <c r="K853" s="937"/>
      <c r="L853" s="937"/>
      <c r="M853" s="937"/>
      <c r="N853" s="937"/>
      <c r="O853" s="937"/>
      <c r="P853" s="937"/>
      <c r="Q853" s="937"/>
      <c r="R853" s="937"/>
      <c r="S853" s="937"/>
      <c r="T853" s="937"/>
      <c r="U853" s="937"/>
      <c r="V853" s="937"/>
      <c r="W853" s="937"/>
      <c r="X853" s="937"/>
      <c r="Y853" s="937"/>
      <c r="Z853" s="937"/>
    </row>
    <row r="854" spans="1:26" ht="15.75" customHeight="1">
      <c r="A854" s="937"/>
      <c r="B854" s="937"/>
      <c r="C854" s="937"/>
      <c r="D854" s="937"/>
      <c r="E854" s="937"/>
      <c r="F854" s="937"/>
      <c r="G854" s="937"/>
      <c r="H854" s="937"/>
      <c r="I854" s="937"/>
      <c r="J854" s="937"/>
      <c r="K854" s="937"/>
      <c r="L854" s="937"/>
      <c r="M854" s="937"/>
      <c r="N854" s="937"/>
      <c r="O854" s="937"/>
      <c r="P854" s="937"/>
      <c r="Q854" s="937"/>
      <c r="R854" s="937"/>
      <c r="S854" s="937"/>
      <c r="T854" s="937"/>
      <c r="U854" s="937"/>
      <c r="V854" s="937"/>
      <c r="W854" s="937"/>
      <c r="X854" s="937"/>
      <c r="Y854" s="937"/>
      <c r="Z854" s="937"/>
    </row>
    <row r="855" spans="1:26" ht="15.75" customHeight="1">
      <c r="A855" s="937"/>
      <c r="B855" s="937"/>
      <c r="C855" s="937"/>
      <c r="D855" s="937"/>
      <c r="E855" s="937"/>
      <c r="F855" s="937"/>
      <c r="G855" s="937"/>
      <c r="H855" s="937"/>
      <c r="I855" s="937"/>
      <c r="J855" s="937"/>
      <c r="K855" s="937"/>
      <c r="L855" s="937"/>
      <c r="M855" s="937"/>
      <c r="N855" s="937"/>
      <c r="O855" s="937"/>
      <c r="P855" s="937"/>
      <c r="Q855" s="937"/>
      <c r="R855" s="937"/>
      <c r="S855" s="937"/>
      <c r="T855" s="937"/>
      <c r="U855" s="937"/>
      <c r="V855" s="937"/>
      <c r="W855" s="937"/>
      <c r="X855" s="937"/>
      <c r="Y855" s="937"/>
      <c r="Z855" s="937"/>
    </row>
    <row r="856" spans="1:26" ht="15.75" customHeight="1">
      <c r="A856" s="937"/>
      <c r="B856" s="937"/>
      <c r="C856" s="937"/>
      <c r="D856" s="937"/>
      <c r="E856" s="937"/>
      <c r="F856" s="937"/>
      <c r="G856" s="937"/>
      <c r="H856" s="937"/>
      <c r="I856" s="937"/>
      <c r="J856" s="937"/>
      <c r="K856" s="937"/>
      <c r="L856" s="937"/>
      <c r="M856" s="937"/>
      <c r="N856" s="937"/>
      <c r="O856" s="937"/>
      <c r="P856" s="937"/>
      <c r="Q856" s="937"/>
      <c r="R856" s="937"/>
      <c r="S856" s="937"/>
      <c r="T856" s="937"/>
      <c r="U856" s="937"/>
      <c r="V856" s="937"/>
      <c r="W856" s="937"/>
      <c r="X856" s="937"/>
      <c r="Y856" s="937"/>
      <c r="Z856" s="937"/>
    </row>
    <row r="857" spans="1:26" ht="15.75" customHeight="1">
      <c r="A857" s="937"/>
      <c r="B857" s="937"/>
      <c r="C857" s="937"/>
      <c r="D857" s="937"/>
      <c r="E857" s="937"/>
      <c r="F857" s="937"/>
      <c r="G857" s="937"/>
      <c r="H857" s="937"/>
      <c r="I857" s="937"/>
      <c r="J857" s="937"/>
      <c r="K857" s="937"/>
      <c r="L857" s="937"/>
      <c r="M857" s="937"/>
      <c r="N857" s="937"/>
      <c r="O857" s="937"/>
      <c r="P857" s="937"/>
      <c r="Q857" s="937"/>
      <c r="R857" s="937"/>
      <c r="S857" s="937"/>
      <c r="T857" s="937"/>
      <c r="U857" s="937"/>
      <c r="V857" s="937"/>
      <c r="W857" s="937"/>
      <c r="X857" s="937"/>
      <c r="Y857" s="937"/>
      <c r="Z857" s="937"/>
    </row>
    <row r="858" spans="1:26" ht="15.75" customHeight="1">
      <c r="A858" s="937"/>
      <c r="B858" s="937"/>
      <c r="C858" s="937"/>
      <c r="D858" s="937"/>
      <c r="E858" s="937"/>
      <c r="F858" s="937"/>
      <c r="G858" s="937"/>
      <c r="H858" s="937"/>
      <c r="I858" s="937"/>
      <c r="J858" s="937"/>
      <c r="K858" s="937"/>
      <c r="L858" s="937"/>
      <c r="M858" s="937"/>
      <c r="N858" s="937"/>
      <c r="O858" s="937"/>
      <c r="P858" s="937"/>
      <c r="Q858" s="937"/>
      <c r="R858" s="937"/>
      <c r="S858" s="937"/>
      <c r="T858" s="937"/>
      <c r="U858" s="937"/>
      <c r="V858" s="937"/>
      <c r="W858" s="937"/>
      <c r="X858" s="937"/>
      <c r="Y858" s="937"/>
      <c r="Z858" s="937"/>
    </row>
    <row r="859" spans="1:26" ht="15.75" customHeight="1">
      <c r="A859" s="937"/>
      <c r="B859" s="937"/>
      <c r="C859" s="937"/>
      <c r="D859" s="937"/>
      <c r="E859" s="937"/>
      <c r="F859" s="937"/>
      <c r="G859" s="937"/>
      <c r="H859" s="937"/>
      <c r="I859" s="937"/>
      <c r="J859" s="937"/>
      <c r="K859" s="937"/>
      <c r="L859" s="937"/>
      <c r="M859" s="937"/>
      <c r="N859" s="937"/>
      <c r="O859" s="937"/>
      <c r="P859" s="937"/>
      <c r="Q859" s="937"/>
      <c r="R859" s="937"/>
      <c r="S859" s="937"/>
      <c r="T859" s="937"/>
      <c r="U859" s="937"/>
      <c r="V859" s="937"/>
      <c r="W859" s="937"/>
      <c r="X859" s="937"/>
      <c r="Y859" s="937"/>
      <c r="Z859" s="937"/>
    </row>
    <row r="860" spans="1:26" ht="15.75" customHeight="1">
      <c r="A860" s="937"/>
      <c r="B860" s="937"/>
      <c r="C860" s="937"/>
      <c r="D860" s="937"/>
      <c r="E860" s="937"/>
      <c r="F860" s="937"/>
      <c r="G860" s="937"/>
      <c r="H860" s="937"/>
      <c r="I860" s="937"/>
      <c r="J860" s="937"/>
      <c r="K860" s="937"/>
      <c r="L860" s="937"/>
      <c r="M860" s="937"/>
      <c r="N860" s="937"/>
      <c r="O860" s="937"/>
      <c r="P860" s="937"/>
      <c r="Q860" s="937"/>
      <c r="R860" s="937"/>
      <c r="S860" s="937"/>
      <c r="T860" s="937"/>
      <c r="U860" s="937"/>
      <c r="V860" s="937"/>
      <c r="W860" s="937"/>
      <c r="X860" s="937"/>
      <c r="Y860" s="937"/>
      <c r="Z860" s="937"/>
    </row>
    <row r="861" spans="1:26" ht="15.75" customHeight="1">
      <c r="A861" s="937"/>
      <c r="B861" s="937"/>
      <c r="C861" s="937"/>
      <c r="D861" s="937"/>
      <c r="E861" s="937"/>
      <c r="F861" s="937"/>
      <c r="G861" s="937"/>
      <c r="H861" s="937"/>
      <c r="I861" s="937"/>
      <c r="J861" s="937"/>
      <c r="K861" s="937"/>
      <c r="L861" s="937"/>
      <c r="M861" s="937"/>
      <c r="N861" s="937"/>
      <c r="O861" s="937"/>
      <c r="P861" s="937"/>
      <c r="Q861" s="937"/>
      <c r="R861" s="937"/>
      <c r="S861" s="937"/>
      <c r="T861" s="937"/>
      <c r="U861" s="937"/>
      <c r="V861" s="937"/>
      <c r="W861" s="937"/>
      <c r="X861" s="937"/>
      <c r="Y861" s="937"/>
      <c r="Z861" s="937"/>
    </row>
    <row r="862" spans="1:26" ht="15.75" customHeight="1">
      <c r="A862" s="937"/>
      <c r="B862" s="937"/>
      <c r="C862" s="937"/>
      <c r="D862" s="937"/>
      <c r="E862" s="937"/>
      <c r="F862" s="937"/>
      <c r="G862" s="937"/>
      <c r="H862" s="937"/>
      <c r="I862" s="937"/>
      <c r="J862" s="937"/>
      <c r="K862" s="937"/>
      <c r="L862" s="937"/>
      <c r="M862" s="937"/>
      <c r="N862" s="937"/>
      <c r="O862" s="937"/>
      <c r="P862" s="937"/>
      <c r="Q862" s="937"/>
      <c r="R862" s="937"/>
      <c r="S862" s="937"/>
      <c r="T862" s="937"/>
      <c r="U862" s="937"/>
      <c r="V862" s="937"/>
      <c r="W862" s="937"/>
      <c r="X862" s="937"/>
      <c r="Y862" s="937"/>
      <c r="Z862" s="937"/>
    </row>
    <row r="863" spans="1:26" ht="15.75" customHeight="1">
      <c r="A863" s="937"/>
      <c r="B863" s="937"/>
      <c r="C863" s="937"/>
      <c r="D863" s="937"/>
      <c r="E863" s="937"/>
      <c r="F863" s="937"/>
      <c r="G863" s="937"/>
      <c r="H863" s="937"/>
      <c r="I863" s="937"/>
      <c r="J863" s="937"/>
      <c r="K863" s="937"/>
      <c r="L863" s="937"/>
      <c r="M863" s="937"/>
      <c r="N863" s="937"/>
      <c r="O863" s="937"/>
      <c r="P863" s="937"/>
      <c r="Q863" s="937"/>
      <c r="R863" s="937"/>
      <c r="S863" s="937"/>
      <c r="T863" s="937"/>
      <c r="U863" s="937"/>
      <c r="V863" s="937"/>
      <c r="W863" s="937"/>
      <c r="X863" s="937"/>
      <c r="Y863" s="937"/>
      <c r="Z863" s="937"/>
    </row>
    <row r="864" spans="1:26" ht="15.75" customHeight="1">
      <c r="A864" s="937"/>
      <c r="B864" s="937"/>
      <c r="C864" s="937"/>
      <c r="D864" s="937"/>
      <c r="E864" s="937"/>
      <c r="F864" s="937"/>
      <c r="G864" s="937"/>
      <c r="H864" s="937"/>
      <c r="I864" s="937"/>
      <c r="J864" s="937"/>
      <c r="K864" s="937"/>
      <c r="L864" s="937"/>
      <c r="M864" s="937"/>
      <c r="N864" s="937"/>
      <c r="O864" s="937"/>
      <c r="P864" s="937"/>
      <c r="Q864" s="937"/>
      <c r="R864" s="937"/>
      <c r="S864" s="937"/>
      <c r="T864" s="937"/>
      <c r="U864" s="937"/>
      <c r="V864" s="937"/>
      <c r="W864" s="937"/>
      <c r="X864" s="937"/>
      <c r="Y864" s="937"/>
      <c r="Z864" s="937"/>
    </row>
    <row r="865" spans="1:26" ht="15.75" customHeight="1">
      <c r="A865" s="937"/>
      <c r="B865" s="937"/>
      <c r="C865" s="937"/>
      <c r="D865" s="937"/>
      <c r="E865" s="937"/>
      <c r="F865" s="937"/>
      <c r="G865" s="937"/>
      <c r="H865" s="937"/>
      <c r="I865" s="937"/>
      <c r="J865" s="937"/>
      <c r="K865" s="937"/>
      <c r="L865" s="937"/>
      <c r="M865" s="937"/>
      <c r="N865" s="937"/>
      <c r="O865" s="937"/>
      <c r="P865" s="937"/>
      <c r="Q865" s="937"/>
      <c r="R865" s="937"/>
      <c r="S865" s="937"/>
      <c r="T865" s="937"/>
      <c r="U865" s="937"/>
      <c r="V865" s="937"/>
      <c r="W865" s="937"/>
      <c r="X865" s="937"/>
      <c r="Y865" s="937"/>
      <c r="Z865" s="937"/>
    </row>
    <row r="866" spans="1:26" ht="15.75" customHeight="1">
      <c r="A866" s="937"/>
      <c r="B866" s="937"/>
      <c r="C866" s="937"/>
      <c r="D866" s="937"/>
      <c r="E866" s="937"/>
      <c r="F866" s="937"/>
      <c r="G866" s="937"/>
      <c r="H866" s="937"/>
      <c r="I866" s="937"/>
      <c r="J866" s="937"/>
      <c r="K866" s="937"/>
      <c r="L866" s="937"/>
      <c r="M866" s="937"/>
      <c r="N866" s="937"/>
      <c r="O866" s="937"/>
      <c r="P866" s="937"/>
      <c r="Q866" s="937"/>
      <c r="R866" s="937"/>
      <c r="S866" s="937"/>
      <c r="T866" s="937"/>
      <c r="U866" s="937"/>
      <c r="V866" s="937"/>
      <c r="W866" s="937"/>
      <c r="X866" s="937"/>
      <c r="Y866" s="937"/>
      <c r="Z866" s="937"/>
    </row>
    <row r="867" spans="1:26" ht="15.75" customHeight="1">
      <c r="A867" s="937"/>
      <c r="B867" s="937"/>
      <c r="C867" s="937"/>
      <c r="D867" s="937"/>
      <c r="E867" s="937"/>
      <c r="F867" s="937"/>
      <c r="G867" s="937"/>
      <c r="H867" s="937"/>
      <c r="I867" s="937"/>
      <c r="J867" s="937"/>
      <c r="K867" s="937"/>
      <c r="L867" s="937"/>
      <c r="M867" s="937"/>
      <c r="N867" s="937"/>
      <c r="O867" s="937"/>
      <c r="P867" s="937"/>
      <c r="Q867" s="937"/>
      <c r="R867" s="937"/>
      <c r="S867" s="937"/>
      <c r="T867" s="937"/>
      <c r="U867" s="937"/>
      <c r="V867" s="937"/>
      <c r="W867" s="937"/>
      <c r="X867" s="937"/>
      <c r="Y867" s="937"/>
      <c r="Z867" s="937"/>
    </row>
    <row r="868" spans="1:26" ht="15.75" customHeight="1">
      <c r="A868" s="937"/>
      <c r="B868" s="937"/>
      <c r="C868" s="937"/>
      <c r="D868" s="937"/>
      <c r="E868" s="937"/>
      <c r="F868" s="937"/>
      <c r="G868" s="937"/>
      <c r="H868" s="937"/>
      <c r="I868" s="937"/>
      <c r="J868" s="937"/>
      <c r="K868" s="937"/>
      <c r="L868" s="937"/>
      <c r="M868" s="937"/>
      <c r="N868" s="937"/>
      <c r="O868" s="937"/>
      <c r="P868" s="937"/>
      <c r="Q868" s="937"/>
      <c r="R868" s="937"/>
      <c r="S868" s="937"/>
      <c r="T868" s="937"/>
      <c r="U868" s="937"/>
      <c r="V868" s="937"/>
      <c r="W868" s="937"/>
      <c r="X868" s="937"/>
      <c r="Y868" s="937"/>
      <c r="Z868" s="937"/>
    </row>
    <row r="869" spans="1:26" ht="15.75" customHeight="1">
      <c r="A869" s="937"/>
      <c r="B869" s="937"/>
      <c r="C869" s="937"/>
      <c r="D869" s="937"/>
      <c r="E869" s="937"/>
      <c r="F869" s="937"/>
      <c r="G869" s="937"/>
      <c r="H869" s="937"/>
      <c r="I869" s="937"/>
      <c r="J869" s="937"/>
      <c r="K869" s="937"/>
      <c r="L869" s="937"/>
      <c r="M869" s="937"/>
      <c r="N869" s="937"/>
      <c r="O869" s="937"/>
      <c r="P869" s="937"/>
      <c r="Q869" s="937"/>
      <c r="R869" s="937"/>
      <c r="S869" s="937"/>
      <c r="T869" s="937"/>
      <c r="U869" s="937"/>
      <c r="V869" s="937"/>
      <c r="W869" s="937"/>
      <c r="X869" s="937"/>
      <c r="Y869" s="937"/>
      <c r="Z869" s="937"/>
    </row>
    <row r="870" spans="1:26" ht="15.75" customHeight="1">
      <c r="A870" s="937"/>
      <c r="B870" s="937"/>
      <c r="C870" s="937"/>
      <c r="D870" s="937"/>
      <c r="E870" s="937"/>
      <c r="F870" s="937"/>
      <c r="G870" s="937"/>
      <c r="H870" s="937"/>
      <c r="I870" s="937"/>
      <c r="J870" s="937"/>
      <c r="K870" s="937"/>
      <c r="L870" s="937"/>
      <c r="M870" s="937"/>
      <c r="N870" s="937"/>
      <c r="O870" s="937"/>
      <c r="P870" s="937"/>
      <c r="Q870" s="937"/>
      <c r="R870" s="937"/>
      <c r="S870" s="937"/>
      <c r="T870" s="937"/>
      <c r="U870" s="937"/>
      <c r="V870" s="937"/>
      <c r="W870" s="937"/>
      <c r="X870" s="937"/>
      <c r="Y870" s="937"/>
      <c r="Z870" s="937"/>
    </row>
    <row r="871" spans="1:26" ht="15.75" customHeight="1">
      <c r="A871" s="937"/>
      <c r="B871" s="937"/>
      <c r="C871" s="937"/>
      <c r="D871" s="937"/>
      <c r="E871" s="937"/>
      <c r="F871" s="937"/>
      <c r="G871" s="937"/>
      <c r="H871" s="937"/>
      <c r="I871" s="937"/>
      <c r="J871" s="937"/>
      <c r="K871" s="937"/>
      <c r="L871" s="937"/>
      <c r="M871" s="937"/>
      <c r="N871" s="937"/>
      <c r="O871" s="937"/>
      <c r="P871" s="937"/>
      <c r="Q871" s="937"/>
      <c r="R871" s="937"/>
      <c r="S871" s="937"/>
      <c r="T871" s="937"/>
      <c r="U871" s="937"/>
      <c r="V871" s="937"/>
      <c r="W871" s="937"/>
      <c r="X871" s="937"/>
      <c r="Y871" s="937"/>
      <c r="Z871" s="937"/>
    </row>
    <row r="872" spans="1:26" ht="15.75" customHeight="1">
      <c r="A872" s="937"/>
      <c r="B872" s="937"/>
      <c r="C872" s="937"/>
      <c r="D872" s="937"/>
      <c r="E872" s="937"/>
      <c r="F872" s="937"/>
      <c r="G872" s="937"/>
      <c r="H872" s="937"/>
      <c r="I872" s="937"/>
      <c r="J872" s="937"/>
      <c r="K872" s="937"/>
      <c r="L872" s="937"/>
      <c r="M872" s="937"/>
      <c r="N872" s="937"/>
      <c r="O872" s="937"/>
      <c r="P872" s="937"/>
      <c r="Q872" s="937"/>
      <c r="R872" s="937"/>
      <c r="S872" s="937"/>
      <c r="T872" s="937"/>
      <c r="U872" s="937"/>
      <c r="V872" s="937"/>
      <c r="W872" s="937"/>
      <c r="X872" s="937"/>
      <c r="Y872" s="937"/>
      <c r="Z872" s="937"/>
    </row>
    <row r="873" spans="1:26" ht="15.75" customHeight="1">
      <c r="A873" s="937"/>
      <c r="B873" s="937"/>
      <c r="C873" s="937"/>
      <c r="D873" s="937"/>
      <c r="E873" s="937"/>
      <c r="F873" s="937"/>
      <c r="G873" s="937"/>
      <c r="H873" s="937"/>
      <c r="I873" s="937"/>
      <c r="J873" s="937"/>
      <c r="K873" s="937"/>
      <c r="L873" s="937"/>
      <c r="M873" s="937"/>
      <c r="N873" s="937"/>
      <c r="O873" s="937"/>
      <c r="P873" s="937"/>
      <c r="Q873" s="937"/>
      <c r="R873" s="937"/>
      <c r="S873" s="937"/>
      <c r="T873" s="937"/>
      <c r="U873" s="937"/>
      <c r="V873" s="937"/>
      <c r="W873" s="937"/>
      <c r="X873" s="937"/>
      <c r="Y873" s="937"/>
      <c r="Z873" s="937"/>
    </row>
    <row r="874" spans="1:26" ht="15.75" customHeight="1">
      <c r="A874" s="937"/>
      <c r="B874" s="937"/>
      <c r="C874" s="937"/>
      <c r="D874" s="937"/>
      <c r="E874" s="937"/>
      <c r="F874" s="937"/>
      <c r="G874" s="937"/>
      <c r="H874" s="937"/>
      <c r="I874" s="937"/>
      <c r="J874" s="937"/>
      <c r="K874" s="937"/>
      <c r="L874" s="937"/>
      <c r="M874" s="937"/>
      <c r="N874" s="937"/>
      <c r="O874" s="937"/>
      <c r="P874" s="937"/>
      <c r="Q874" s="937"/>
      <c r="R874" s="937"/>
      <c r="S874" s="937"/>
      <c r="T874" s="937"/>
      <c r="U874" s="937"/>
      <c r="V874" s="937"/>
      <c r="W874" s="937"/>
      <c r="X874" s="937"/>
      <c r="Y874" s="937"/>
      <c r="Z874" s="937"/>
    </row>
    <row r="875" spans="1:26" ht="15.75" customHeight="1">
      <c r="A875" s="937"/>
      <c r="B875" s="937"/>
      <c r="C875" s="937"/>
      <c r="D875" s="937"/>
      <c r="E875" s="937"/>
      <c r="F875" s="937"/>
      <c r="G875" s="937"/>
      <c r="H875" s="937"/>
      <c r="I875" s="937"/>
      <c r="J875" s="937"/>
      <c r="K875" s="937"/>
      <c r="L875" s="937"/>
      <c r="M875" s="937"/>
      <c r="N875" s="937"/>
      <c r="O875" s="937"/>
      <c r="P875" s="937"/>
      <c r="Q875" s="937"/>
      <c r="R875" s="937"/>
      <c r="S875" s="937"/>
      <c r="T875" s="937"/>
      <c r="U875" s="937"/>
      <c r="V875" s="937"/>
      <c r="W875" s="937"/>
      <c r="X875" s="937"/>
      <c r="Y875" s="937"/>
      <c r="Z875" s="937"/>
    </row>
    <row r="876" spans="1:26" ht="15.75" customHeight="1">
      <c r="A876" s="937"/>
      <c r="B876" s="937"/>
      <c r="C876" s="937"/>
      <c r="D876" s="937"/>
      <c r="E876" s="937"/>
      <c r="F876" s="937"/>
      <c r="G876" s="937"/>
      <c r="H876" s="937"/>
      <c r="I876" s="937"/>
      <c r="J876" s="937"/>
      <c r="K876" s="937"/>
      <c r="L876" s="937"/>
      <c r="M876" s="937"/>
      <c r="N876" s="937"/>
      <c r="O876" s="937"/>
      <c r="P876" s="937"/>
      <c r="Q876" s="937"/>
      <c r="R876" s="937"/>
      <c r="S876" s="937"/>
      <c r="T876" s="937"/>
      <c r="U876" s="937"/>
      <c r="V876" s="937"/>
      <c r="W876" s="937"/>
      <c r="X876" s="937"/>
      <c r="Y876" s="937"/>
      <c r="Z876" s="937"/>
    </row>
    <row r="877" spans="1:26" ht="15.75" customHeight="1">
      <c r="A877" s="937"/>
      <c r="B877" s="937"/>
      <c r="C877" s="937"/>
      <c r="D877" s="937"/>
      <c r="E877" s="937"/>
      <c r="F877" s="937"/>
      <c r="G877" s="937"/>
      <c r="H877" s="937"/>
      <c r="I877" s="937"/>
      <c r="J877" s="937"/>
      <c r="K877" s="937"/>
      <c r="L877" s="937"/>
      <c r="M877" s="937"/>
      <c r="N877" s="937"/>
      <c r="O877" s="937"/>
      <c r="P877" s="937"/>
      <c r="Q877" s="937"/>
      <c r="R877" s="937"/>
      <c r="S877" s="937"/>
      <c r="T877" s="937"/>
      <c r="U877" s="937"/>
      <c r="V877" s="937"/>
      <c r="W877" s="937"/>
      <c r="X877" s="937"/>
      <c r="Y877" s="937"/>
      <c r="Z877" s="937"/>
    </row>
    <row r="878" spans="1:26" ht="15.75" customHeight="1">
      <c r="A878" s="937"/>
      <c r="B878" s="937"/>
      <c r="C878" s="937"/>
      <c r="D878" s="937"/>
      <c r="E878" s="937"/>
      <c r="F878" s="937"/>
      <c r="G878" s="937"/>
      <c r="H878" s="937"/>
      <c r="I878" s="937"/>
      <c r="J878" s="937"/>
      <c r="K878" s="937"/>
      <c r="L878" s="937"/>
      <c r="M878" s="937"/>
      <c r="N878" s="937"/>
      <c r="O878" s="937"/>
      <c r="P878" s="937"/>
      <c r="Q878" s="937"/>
      <c r="R878" s="937"/>
      <c r="S878" s="937"/>
      <c r="T878" s="937"/>
      <c r="U878" s="937"/>
      <c r="V878" s="937"/>
      <c r="W878" s="937"/>
      <c r="X878" s="937"/>
      <c r="Y878" s="937"/>
      <c r="Z878" s="937"/>
    </row>
    <row r="879" spans="1:26" ht="15.75" customHeight="1">
      <c r="A879" s="937"/>
      <c r="B879" s="937"/>
      <c r="C879" s="937"/>
      <c r="D879" s="937"/>
      <c r="E879" s="937"/>
      <c r="F879" s="937"/>
      <c r="G879" s="937"/>
      <c r="H879" s="937"/>
      <c r="I879" s="937"/>
      <c r="J879" s="937"/>
      <c r="K879" s="937"/>
      <c r="L879" s="937"/>
      <c r="M879" s="937"/>
      <c r="N879" s="937"/>
      <c r="O879" s="937"/>
      <c r="P879" s="937"/>
      <c r="Q879" s="937"/>
      <c r="R879" s="937"/>
      <c r="S879" s="937"/>
      <c r="T879" s="937"/>
      <c r="U879" s="937"/>
      <c r="V879" s="937"/>
      <c r="W879" s="937"/>
      <c r="X879" s="937"/>
      <c r="Y879" s="937"/>
      <c r="Z879" s="937"/>
    </row>
    <row r="880" spans="1:26" ht="15.75" customHeight="1">
      <c r="A880" s="937"/>
      <c r="B880" s="937"/>
      <c r="C880" s="937"/>
      <c r="D880" s="937"/>
      <c r="E880" s="937"/>
      <c r="F880" s="937"/>
      <c r="G880" s="937"/>
      <c r="H880" s="937"/>
      <c r="I880" s="937"/>
      <c r="J880" s="937"/>
      <c r="K880" s="937"/>
      <c r="L880" s="937"/>
      <c r="M880" s="937"/>
      <c r="N880" s="937"/>
      <c r="O880" s="937"/>
      <c r="P880" s="937"/>
      <c r="Q880" s="937"/>
      <c r="R880" s="937"/>
      <c r="S880" s="937"/>
      <c r="T880" s="937"/>
      <c r="U880" s="937"/>
      <c r="V880" s="937"/>
      <c r="W880" s="937"/>
      <c r="X880" s="937"/>
      <c r="Y880" s="937"/>
      <c r="Z880" s="937"/>
    </row>
    <row r="881" spans="1:26" ht="15.75" customHeight="1">
      <c r="A881" s="937"/>
      <c r="B881" s="937"/>
      <c r="C881" s="937"/>
      <c r="D881" s="937"/>
      <c r="E881" s="937"/>
      <c r="F881" s="937"/>
      <c r="G881" s="937"/>
      <c r="H881" s="937"/>
      <c r="I881" s="937"/>
      <c r="J881" s="937"/>
      <c r="K881" s="937"/>
      <c r="L881" s="937"/>
      <c r="M881" s="937"/>
      <c r="N881" s="937"/>
      <c r="O881" s="937"/>
      <c r="P881" s="937"/>
      <c r="Q881" s="937"/>
      <c r="R881" s="937"/>
      <c r="S881" s="937"/>
      <c r="T881" s="937"/>
      <c r="U881" s="937"/>
      <c r="V881" s="937"/>
      <c r="W881" s="937"/>
      <c r="X881" s="937"/>
      <c r="Y881" s="937"/>
      <c r="Z881" s="937"/>
    </row>
    <row r="882" spans="1:26" ht="15.75" customHeight="1">
      <c r="A882" s="937"/>
      <c r="B882" s="937"/>
      <c r="C882" s="937"/>
      <c r="D882" s="937"/>
      <c r="E882" s="937"/>
      <c r="F882" s="937"/>
      <c r="G882" s="937"/>
      <c r="H882" s="937"/>
      <c r="I882" s="937"/>
      <c r="J882" s="937"/>
      <c r="K882" s="937"/>
      <c r="L882" s="937"/>
      <c r="M882" s="937"/>
      <c r="N882" s="937"/>
      <c r="O882" s="937"/>
      <c r="P882" s="937"/>
      <c r="Q882" s="937"/>
      <c r="R882" s="937"/>
      <c r="S882" s="937"/>
      <c r="T882" s="937"/>
      <c r="U882" s="937"/>
      <c r="V882" s="937"/>
      <c r="W882" s="937"/>
      <c r="X882" s="937"/>
      <c r="Y882" s="937"/>
      <c r="Z882" s="937"/>
    </row>
    <row r="883" spans="1:26" ht="15.75" customHeight="1">
      <c r="A883" s="937"/>
      <c r="B883" s="937"/>
      <c r="C883" s="937"/>
      <c r="D883" s="937"/>
      <c r="E883" s="937"/>
      <c r="F883" s="937"/>
      <c r="G883" s="937"/>
      <c r="H883" s="937"/>
      <c r="I883" s="937"/>
      <c r="J883" s="937"/>
      <c r="K883" s="937"/>
      <c r="L883" s="937"/>
      <c r="M883" s="937"/>
      <c r="N883" s="937"/>
      <c r="O883" s="937"/>
      <c r="P883" s="937"/>
      <c r="Q883" s="937"/>
      <c r="R883" s="937"/>
      <c r="S883" s="937"/>
      <c r="T883" s="937"/>
      <c r="U883" s="937"/>
      <c r="V883" s="937"/>
      <c r="W883" s="937"/>
      <c r="X883" s="937"/>
      <c r="Y883" s="937"/>
      <c r="Z883" s="937"/>
    </row>
    <row r="884" spans="1:26" ht="15.75" customHeight="1">
      <c r="A884" s="937"/>
      <c r="B884" s="937"/>
      <c r="C884" s="937"/>
      <c r="D884" s="937"/>
      <c r="E884" s="937"/>
      <c r="F884" s="937"/>
      <c r="G884" s="937"/>
      <c r="H884" s="937"/>
      <c r="I884" s="937"/>
      <c r="J884" s="937"/>
      <c r="K884" s="937"/>
      <c r="L884" s="937"/>
      <c r="M884" s="937"/>
      <c r="N884" s="937"/>
      <c r="O884" s="937"/>
      <c r="P884" s="937"/>
      <c r="Q884" s="937"/>
      <c r="R884" s="937"/>
      <c r="S884" s="937"/>
      <c r="T884" s="937"/>
      <c r="U884" s="937"/>
      <c r="V884" s="937"/>
      <c r="W884" s="937"/>
      <c r="X884" s="937"/>
      <c r="Y884" s="937"/>
      <c r="Z884" s="937"/>
    </row>
    <row r="885" spans="1:26" ht="15.75" customHeight="1">
      <c r="A885" s="937"/>
      <c r="B885" s="937"/>
      <c r="C885" s="937"/>
      <c r="D885" s="937"/>
      <c r="E885" s="937"/>
      <c r="F885" s="937"/>
      <c r="G885" s="937"/>
      <c r="H885" s="937"/>
      <c r="I885" s="937"/>
      <c r="J885" s="937"/>
      <c r="K885" s="937"/>
      <c r="L885" s="937"/>
      <c r="M885" s="937"/>
      <c r="N885" s="937"/>
      <c r="O885" s="937"/>
      <c r="P885" s="937"/>
      <c r="Q885" s="937"/>
      <c r="R885" s="937"/>
      <c r="S885" s="937"/>
      <c r="T885" s="937"/>
      <c r="U885" s="937"/>
      <c r="V885" s="937"/>
      <c r="W885" s="937"/>
      <c r="X885" s="937"/>
      <c r="Y885" s="937"/>
      <c r="Z885" s="937"/>
    </row>
    <row r="886" spans="1:26" ht="15.75" customHeight="1">
      <c r="A886" s="937"/>
      <c r="B886" s="937"/>
      <c r="C886" s="937"/>
      <c r="D886" s="937"/>
      <c r="E886" s="937"/>
      <c r="F886" s="937"/>
      <c r="G886" s="937"/>
      <c r="H886" s="937"/>
      <c r="I886" s="937"/>
      <c r="J886" s="937"/>
      <c r="K886" s="937"/>
      <c r="L886" s="937"/>
      <c r="M886" s="937"/>
      <c r="N886" s="937"/>
      <c r="O886" s="937"/>
      <c r="P886" s="937"/>
      <c r="Q886" s="937"/>
      <c r="R886" s="937"/>
      <c r="S886" s="937"/>
      <c r="T886" s="937"/>
      <c r="U886" s="937"/>
      <c r="V886" s="937"/>
      <c r="W886" s="937"/>
      <c r="X886" s="937"/>
      <c r="Y886" s="937"/>
      <c r="Z886" s="937"/>
    </row>
    <row r="887" spans="1:26" ht="15.75" customHeight="1">
      <c r="A887" s="937"/>
      <c r="B887" s="937"/>
      <c r="C887" s="937"/>
      <c r="D887" s="937"/>
      <c r="E887" s="937"/>
      <c r="F887" s="937"/>
      <c r="G887" s="937"/>
      <c r="H887" s="937"/>
      <c r="I887" s="937"/>
      <c r="J887" s="937"/>
      <c r="K887" s="937"/>
      <c r="L887" s="937"/>
      <c r="M887" s="937"/>
      <c r="N887" s="937"/>
      <c r="O887" s="937"/>
      <c r="P887" s="937"/>
      <c r="Q887" s="937"/>
      <c r="R887" s="937"/>
      <c r="S887" s="937"/>
      <c r="T887" s="937"/>
      <c r="U887" s="937"/>
      <c r="V887" s="937"/>
      <c r="W887" s="937"/>
      <c r="X887" s="937"/>
      <c r="Y887" s="937"/>
      <c r="Z887" s="937"/>
    </row>
    <row r="888" spans="1:26" ht="15.75" customHeight="1">
      <c r="A888" s="937"/>
      <c r="B888" s="937"/>
      <c r="C888" s="937"/>
      <c r="D888" s="937"/>
      <c r="E888" s="937"/>
      <c r="F888" s="937"/>
      <c r="G888" s="937"/>
      <c r="H888" s="937"/>
      <c r="I888" s="937"/>
      <c r="J888" s="937"/>
      <c r="K888" s="937"/>
      <c r="L888" s="937"/>
      <c r="M888" s="937"/>
      <c r="N888" s="937"/>
      <c r="O888" s="937"/>
      <c r="P888" s="937"/>
      <c r="Q888" s="937"/>
      <c r="R888" s="937"/>
      <c r="S888" s="937"/>
      <c r="T888" s="937"/>
      <c r="U888" s="937"/>
      <c r="V888" s="937"/>
      <c r="W888" s="937"/>
      <c r="X888" s="937"/>
      <c r="Y888" s="937"/>
      <c r="Z888" s="937"/>
    </row>
    <row r="889" spans="1:26" ht="15.75" customHeight="1">
      <c r="A889" s="937"/>
      <c r="B889" s="937"/>
      <c r="C889" s="937"/>
      <c r="D889" s="937"/>
      <c r="E889" s="937"/>
      <c r="F889" s="937"/>
      <c r="G889" s="937"/>
      <c r="H889" s="937"/>
      <c r="I889" s="937"/>
      <c r="J889" s="937"/>
      <c r="K889" s="937"/>
      <c r="L889" s="937"/>
      <c r="M889" s="937"/>
      <c r="N889" s="937"/>
      <c r="O889" s="937"/>
      <c r="P889" s="937"/>
      <c r="Q889" s="937"/>
      <c r="R889" s="937"/>
      <c r="S889" s="937"/>
      <c r="T889" s="937"/>
      <c r="U889" s="937"/>
      <c r="V889" s="937"/>
      <c r="W889" s="937"/>
      <c r="X889" s="937"/>
      <c r="Y889" s="937"/>
      <c r="Z889" s="937"/>
    </row>
    <row r="890" spans="1:26" ht="15.75" customHeight="1">
      <c r="A890" s="937"/>
      <c r="B890" s="937"/>
      <c r="C890" s="937"/>
      <c r="D890" s="937"/>
      <c r="E890" s="937"/>
      <c r="F890" s="937"/>
      <c r="G890" s="937"/>
      <c r="H890" s="937"/>
      <c r="I890" s="937"/>
      <c r="J890" s="937"/>
      <c r="K890" s="937"/>
      <c r="L890" s="937"/>
      <c r="M890" s="937"/>
      <c r="N890" s="937"/>
      <c r="O890" s="937"/>
      <c r="P890" s="937"/>
      <c r="Q890" s="937"/>
      <c r="R890" s="937"/>
      <c r="S890" s="937"/>
      <c r="T890" s="937"/>
      <c r="U890" s="937"/>
      <c r="V890" s="937"/>
      <c r="W890" s="937"/>
      <c r="X890" s="937"/>
      <c r="Y890" s="937"/>
      <c r="Z890" s="937"/>
    </row>
    <row r="891" spans="1:26" ht="15.75" customHeight="1">
      <c r="A891" s="937"/>
      <c r="B891" s="937"/>
      <c r="C891" s="937"/>
      <c r="D891" s="937"/>
      <c r="E891" s="937"/>
      <c r="F891" s="937"/>
      <c r="G891" s="937"/>
      <c r="H891" s="937"/>
      <c r="I891" s="937"/>
      <c r="J891" s="937"/>
      <c r="K891" s="937"/>
      <c r="L891" s="937"/>
      <c r="M891" s="937"/>
      <c r="N891" s="937"/>
      <c r="O891" s="937"/>
      <c r="P891" s="937"/>
      <c r="Q891" s="937"/>
      <c r="R891" s="937"/>
      <c r="S891" s="937"/>
      <c r="T891" s="937"/>
      <c r="U891" s="937"/>
      <c r="V891" s="937"/>
      <c r="W891" s="937"/>
      <c r="X891" s="937"/>
      <c r="Y891" s="937"/>
      <c r="Z891" s="937"/>
    </row>
    <row r="892" spans="1:26" ht="15.75" customHeight="1">
      <c r="A892" s="937"/>
      <c r="B892" s="937"/>
      <c r="C892" s="937"/>
      <c r="D892" s="937"/>
      <c r="E892" s="937"/>
      <c r="F892" s="937"/>
      <c r="G892" s="937"/>
      <c r="H892" s="937"/>
      <c r="I892" s="937"/>
      <c r="J892" s="937"/>
      <c r="K892" s="937"/>
      <c r="L892" s="937"/>
      <c r="M892" s="937"/>
      <c r="N892" s="937"/>
      <c r="O892" s="937"/>
      <c r="P892" s="937"/>
      <c r="Q892" s="937"/>
      <c r="R892" s="937"/>
      <c r="S892" s="937"/>
      <c r="T892" s="937"/>
      <c r="U892" s="937"/>
      <c r="V892" s="937"/>
      <c r="W892" s="937"/>
      <c r="X892" s="937"/>
      <c r="Y892" s="937"/>
      <c r="Z892" s="937"/>
    </row>
    <row r="893" spans="1:26" ht="15.75" customHeight="1">
      <c r="A893" s="937"/>
      <c r="B893" s="937"/>
      <c r="C893" s="937"/>
      <c r="D893" s="937"/>
      <c r="E893" s="937"/>
      <c r="F893" s="937"/>
      <c r="G893" s="937"/>
      <c r="H893" s="937"/>
      <c r="I893" s="937"/>
      <c r="J893" s="937"/>
      <c r="K893" s="937"/>
      <c r="L893" s="937"/>
      <c r="M893" s="937"/>
      <c r="N893" s="937"/>
      <c r="O893" s="937"/>
      <c r="P893" s="937"/>
      <c r="Q893" s="937"/>
      <c r="R893" s="937"/>
      <c r="S893" s="937"/>
      <c r="T893" s="937"/>
      <c r="U893" s="937"/>
      <c r="V893" s="937"/>
      <c r="W893" s="937"/>
      <c r="X893" s="937"/>
      <c r="Y893" s="937"/>
      <c r="Z893" s="937"/>
    </row>
    <row r="894" spans="1:26" ht="15.75" customHeight="1">
      <c r="A894" s="937"/>
      <c r="B894" s="937"/>
      <c r="C894" s="937"/>
      <c r="D894" s="937"/>
      <c r="E894" s="937"/>
      <c r="F894" s="937"/>
      <c r="G894" s="937"/>
      <c r="H894" s="937"/>
      <c r="I894" s="937"/>
      <c r="J894" s="937"/>
      <c r="K894" s="937"/>
      <c r="L894" s="937"/>
      <c r="M894" s="937"/>
      <c r="N894" s="937"/>
      <c r="O894" s="937"/>
      <c r="P894" s="937"/>
      <c r="Q894" s="937"/>
      <c r="R894" s="937"/>
      <c r="S894" s="937"/>
      <c r="T894" s="937"/>
      <c r="U894" s="937"/>
      <c r="V894" s="937"/>
      <c r="W894" s="937"/>
      <c r="X894" s="937"/>
      <c r="Y894" s="937"/>
      <c r="Z894" s="937"/>
    </row>
    <row r="895" spans="1:26" ht="15.75" customHeight="1">
      <c r="A895" s="937"/>
      <c r="B895" s="937"/>
      <c r="C895" s="937"/>
      <c r="D895" s="937"/>
      <c r="E895" s="937"/>
      <c r="F895" s="937"/>
      <c r="G895" s="937"/>
      <c r="H895" s="937"/>
      <c r="I895" s="937"/>
      <c r="J895" s="937"/>
      <c r="K895" s="937"/>
      <c r="L895" s="937"/>
      <c r="M895" s="937"/>
      <c r="N895" s="937"/>
      <c r="O895" s="937"/>
      <c r="P895" s="937"/>
      <c r="Q895" s="937"/>
      <c r="R895" s="937"/>
      <c r="S895" s="937"/>
      <c r="T895" s="937"/>
      <c r="U895" s="937"/>
      <c r="V895" s="937"/>
      <c r="W895" s="937"/>
      <c r="X895" s="937"/>
      <c r="Y895" s="937"/>
      <c r="Z895" s="937"/>
    </row>
    <row r="896" spans="1:26" ht="15.75" customHeight="1">
      <c r="A896" s="937"/>
      <c r="B896" s="937"/>
      <c r="C896" s="937"/>
      <c r="D896" s="937"/>
      <c r="E896" s="937"/>
      <c r="F896" s="937"/>
      <c r="G896" s="937"/>
      <c r="H896" s="937"/>
      <c r="I896" s="937"/>
      <c r="J896" s="937"/>
      <c r="K896" s="937"/>
      <c r="L896" s="937"/>
      <c r="M896" s="937"/>
      <c r="N896" s="937"/>
      <c r="O896" s="937"/>
      <c r="P896" s="937"/>
      <c r="Q896" s="937"/>
      <c r="R896" s="937"/>
      <c r="S896" s="937"/>
      <c r="T896" s="937"/>
      <c r="U896" s="937"/>
      <c r="V896" s="937"/>
      <c r="W896" s="937"/>
      <c r="X896" s="937"/>
      <c r="Y896" s="937"/>
      <c r="Z896" s="937"/>
    </row>
    <row r="897" spans="1:26" ht="15.75" customHeight="1">
      <c r="A897" s="937"/>
      <c r="B897" s="937"/>
      <c r="C897" s="937"/>
      <c r="D897" s="937"/>
      <c r="E897" s="937"/>
      <c r="F897" s="937"/>
      <c r="G897" s="937"/>
      <c r="H897" s="937"/>
      <c r="I897" s="937"/>
      <c r="J897" s="937"/>
      <c r="K897" s="937"/>
      <c r="L897" s="937"/>
      <c r="M897" s="937"/>
      <c r="N897" s="937"/>
      <c r="O897" s="937"/>
      <c r="P897" s="937"/>
      <c r="Q897" s="937"/>
      <c r="R897" s="937"/>
      <c r="S897" s="937"/>
      <c r="T897" s="937"/>
      <c r="U897" s="937"/>
      <c r="V897" s="937"/>
      <c r="W897" s="937"/>
      <c r="X897" s="937"/>
      <c r="Y897" s="937"/>
      <c r="Z897" s="937"/>
    </row>
    <row r="898" spans="1:26" ht="15.75" customHeight="1">
      <c r="A898" s="937"/>
      <c r="B898" s="937"/>
      <c r="C898" s="937"/>
      <c r="D898" s="937"/>
      <c r="E898" s="937"/>
      <c r="F898" s="937"/>
      <c r="G898" s="937"/>
      <c r="H898" s="937"/>
      <c r="I898" s="937"/>
      <c r="J898" s="937"/>
      <c r="K898" s="937"/>
      <c r="L898" s="937"/>
      <c r="M898" s="937"/>
      <c r="N898" s="937"/>
      <c r="O898" s="937"/>
      <c r="P898" s="937"/>
      <c r="Q898" s="937"/>
      <c r="R898" s="937"/>
      <c r="S898" s="937"/>
      <c r="T898" s="937"/>
      <c r="U898" s="937"/>
      <c r="V898" s="937"/>
      <c r="W898" s="937"/>
      <c r="X898" s="937"/>
      <c r="Y898" s="937"/>
      <c r="Z898" s="937"/>
    </row>
    <row r="899" spans="1:26" ht="15.75" customHeight="1">
      <c r="A899" s="937"/>
      <c r="B899" s="937"/>
      <c r="C899" s="937"/>
      <c r="D899" s="937"/>
      <c r="E899" s="937"/>
      <c r="F899" s="937"/>
      <c r="G899" s="937"/>
      <c r="H899" s="937"/>
      <c r="I899" s="937"/>
      <c r="J899" s="937"/>
      <c r="K899" s="937"/>
      <c r="L899" s="937"/>
      <c r="M899" s="937"/>
      <c r="N899" s="937"/>
      <c r="O899" s="937"/>
      <c r="P899" s="937"/>
      <c r="Q899" s="937"/>
      <c r="R899" s="937"/>
      <c r="S899" s="937"/>
      <c r="T899" s="937"/>
      <c r="U899" s="937"/>
      <c r="V899" s="937"/>
      <c r="W899" s="937"/>
      <c r="X899" s="937"/>
      <c r="Y899" s="937"/>
      <c r="Z899" s="937"/>
    </row>
    <row r="900" spans="1:26" ht="15.75" customHeight="1">
      <c r="A900" s="937"/>
      <c r="B900" s="937"/>
      <c r="C900" s="937"/>
      <c r="D900" s="937"/>
      <c r="E900" s="937"/>
      <c r="F900" s="937"/>
      <c r="G900" s="937"/>
      <c r="H900" s="937"/>
      <c r="I900" s="937"/>
      <c r="J900" s="937"/>
      <c r="K900" s="937"/>
      <c r="L900" s="937"/>
      <c r="M900" s="937"/>
      <c r="N900" s="937"/>
      <c r="O900" s="937"/>
      <c r="P900" s="937"/>
      <c r="Q900" s="937"/>
      <c r="R900" s="937"/>
      <c r="S900" s="937"/>
      <c r="T900" s="937"/>
      <c r="U900" s="937"/>
      <c r="V900" s="937"/>
      <c r="W900" s="937"/>
      <c r="X900" s="937"/>
      <c r="Y900" s="937"/>
      <c r="Z900" s="937"/>
    </row>
    <row r="901" spans="1:26" ht="15.75" customHeight="1">
      <c r="A901" s="937"/>
      <c r="B901" s="937"/>
      <c r="C901" s="937"/>
      <c r="D901" s="937"/>
      <c r="E901" s="937"/>
      <c r="F901" s="937"/>
      <c r="G901" s="937"/>
      <c r="H901" s="937"/>
      <c r="I901" s="937"/>
      <c r="J901" s="937"/>
      <c r="K901" s="937"/>
      <c r="L901" s="937"/>
      <c r="M901" s="937"/>
      <c r="N901" s="937"/>
      <c r="O901" s="937"/>
      <c r="P901" s="937"/>
      <c r="Q901" s="937"/>
      <c r="R901" s="937"/>
      <c r="S901" s="937"/>
      <c r="T901" s="937"/>
      <c r="U901" s="937"/>
      <c r="V901" s="937"/>
      <c r="W901" s="937"/>
      <c r="X901" s="937"/>
      <c r="Y901" s="937"/>
      <c r="Z901" s="937"/>
    </row>
    <row r="902" spans="1:26" ht="15.75" customHeight="1">
      <c r="A902" s="937"/>
      <c r="B902" s="937"/>
      <c r="C902" s="937"/>
      <c r="D902" s="937"/>
      <c r="E902" s="937"/>
      <c r="F902" s="937"/>
      <c r="G902" s="937"/>
      <c r="H902" s="937"/>
      <c r="I902" s="937"/>
      <c r="J902" s="937"/>
      <c r="K902" s="937"/>
      <c r="L902" s="937"/>
      <c r="M902" s="937"/>
      <c r="N902" s="937"/>
      <c r="O902" s="937"/>
      <c r="P902" s="937"/>
      <c r="Q902" s="937"/>
      <c r="R902" s="937"/>
      <c r="S902" s="937"/>
      <c r="T902" s="937"/>
      <c r="U902" s="937"/>
      <c r="V902" s="937"/>
      <c r="W902" s="937"/>
      <c r="X902" s="937"/>
      <c r="Y902" s="937"/>
      <c r="Z902" s="937"/>
    </row>
    <row r="903" spans="1:26" ht="15.75" customHeight="1">
      <c r="A903" s="937"/>
      <c r="B903" s="937"/>
      <c r="C903" s="937"/>
      <c r="D903" s="937"/>
      <c r="E903" s="937"/>
      <c r="F903" s="937"/>
      <c r="G903" s="937"/>
      <c r="H903" s="937"/>
      <c r="I903" s="937"/>
      <c r="J903" s="937"/>
      <c r="K903" s="937"/>
      <c r="L903" s="937"/>
      <c r="M903" s="937"/>
      <c r="N903" s="937"/>
      <c r="O903" s="937"/>
      <c r="P903" s="937"/>
      <c r="Q903" s="937"/>
      <c r="R903" s="937"/>
      <c r="S903" s="937"/>
      <c r="T903" s="937"/>
      <c r="U903" s="937"/>
      <c r="V903" s="937"/>
      <c r="W903" s="937"/>
      <c r="X903" s="937"/>
      <c r="Y903" s="937"/>
      <c r="Z903" s="937"/>
    </row>
    <row r="904" spans="1:26" ht="15.75" customHeight="1">
      <c r="A904" s="937"/>
      <c r="B904" s="937"/>
      <c r="C904" s="937"/>
      <c r="D904" s="937"/>
      <c r="E904" s="937"/>
      <c r="F904" s="937"/>
      <c r="G904" s="937"/>
      <c r="H904" s="937"/>
      <c r="I904" s="937"/>
      <c r="J904" s="937"/>
      <c r="K904" s="937"/>
      <c r="L904" s="937"/>
      <c r="M904" s="937"/>
      <c r="N904" s="937"/>
      <c r="O904" s="937"/>
      <c r="P904" s="937"/>
      <c r="Q904" s="937"/>
      <c r="R904" s="937"/>
      <c r="S904" s="937"/>
      <c r="T904" s="937"/>
      <c r="U904" s="937"/>
      <c r="V904" s="937"/>
      <c r="W904" s="937"/>
      <c r="X904" s="937"/>
      <c r="Y904" s="937"/>
      <c r="Z904" s="937"/>
    </row>
    <row r="905" spans="1:26" ht="15.75" customHeight="1">
      <c r="A905" s="937"/>
      <c r="B905" s="937"/>
      <c r="C905" s="937"/>
      <c r="D905" s="937"/>
      <c r="E905" s="937"/>
      <c r="F905" s="937"/>
      <c r="G905" s="937"/>
      <c r="H905" s="937"/>
      <c r="I905" s="937"/>
      <c r="J905" s="937"/>
      <c r="K905" s="937"/>
      <c r="L905" s="937"/>
      <c r="M905" s="937"/>
      <c r="N905" s="937"/>
      <c r="O905" s="937"/>
      <c r="P905" s="937"/>
      <c r="Q905" s="937"/>
      <c r="R905" s="937"/>
      <c r="S905" s="937"/>
      <c r="T905" s="937"/>
      <c r="U905" s="937"/>
      <c r="V905" s="937"/>
      <c r="W905" s="937"/>
      <c r="X905" s="937"/>
      <c r="Y905" s="937"/>
      <c r="Z905" s="937"/>
    </row>
    <row r="906" spans="1:26" ht="15.75" customHeight="1">
      <c r="A906" s="937"/>
      <c r="B906" s="937"/>
      <c r="C906" s="937"/>
      <c r="D906" s="937"/>
      <c r="E906" s="937"/>
      <c r="F906" s="937"/>
      <c r="G906" s="937"/>
      <c r="H906" s="937"/>
      <c r="I906" s="937"/>
      <c r="J906" s="937"/>
      <c r="K906" s="937"/>
      <c r="L906" s="937"/>
      <c r="M906" s="937"/>
      <c r="N906" s="937"/>
      <c r="O906" s="937"/>
      <c r="P906" s="937"/>
      <c r="Q906" s="937"/>
      <c r="R906" s="937"/>
      <c r="S906" s="937"/>
      <c r="T906" s="937"/>
      <c r="U906" s="937"/>
      <c r="V906" s="937"/>
      <c r="W906" s="937"/>
      <c r="X906" s="937"/>
      <c r="Y906" s="937"/>
      <c r="Z906" s="937"/>
    </row>
    <row r="907" spans="1:26" ht="15.75" customHeight="1">
      <c r="A907" s="937"/>
      <c r="B907" s="937"/>
      <c r="C907" s="937"/>
      <c r="D907" s="937"/>
      <c r="E907" s="937"/>
      <c r="F907" s="937"/>
      <c r="G907" s="937"/>
      <c r="H907" s="937"/>
      <c r="I907" s="937"/>
      <c r="J907" s="937"/>
      <c r="K907" s="937"/>
      <c r="L907" s="937"/>
      <c r="M907" s="937"/>
      <c r="N907" s="937"/>
      <c r="O907" s="937"/>
      <c r="P907" s="937"/>
      <c r="Q907" s="937"/>
      <c r="R907" s="937"/>
      <c r="S907" s="937"/>
      <c r="T907" s="937"/>
      <c r="U907" s="937"/>
      <c r="V907" s="937"/>
      <c r="W907" s="937"/>
      <c r="X907" s="937"/>
      <c r="Y907" s="937"/>
      <c r="Z907" s="937"/>
    </row>
    <row r="908" spans="1:26" ht="15.75" customHeight="1">
      <c r="A908" s="937"/>
      <c r="B908" s="937"/>
      <c r="C908" s="937"/>
      <c r="D908" s="937"/>
      <c r="E908" s="937"/>
      <c r="F908" s="937"/>
      <c r="G908" s="937"/>
      <c r="H908" s="937"/>
      <c r="I908" s="937"/>
      <c r="J908" s="937"/>
      <c r="K908" s="937"/>
      <c r="L908" s="937"/>
      <c r="M908" s="937"/>
      <c r="N908" s="937"/>
      <c r="O908" s="937"/>
      <c r="P908" s="937"/>
      <c r="Q908" s="937"/>
      <c r="R908" s="937"/>
      <c r="S908" s="937"/>
      <c r="T908" s="937"/>
      <c r="U908" s="937"/>
      <c r="V908" s="937"/>
      <c r="W908" s="937"/>
      <c r="X908" s="937"/>
      <c r="Y908" s="937"/>
      <c r="Z908" s="937"/>
    </row>
    <row r="909" spans="1:26" ht="15.75" customHeight="1">
      <c r="A909" s="937"/>
      <c r="B909" s="937"/>
      <c r="C909" s="937"/>
      <c r="D909" s="937"/>
      <c r="E909" s="937"/>
      <c r="F909" s="937"/>
      <c r="G909" s="937"/>
      <c r="H909" s="937"/>
      <c r="I909" s="937"/>
      <c r="J909" s="937"/>
      <c r="K909" s="937"/>
      <c r="L909" s="937"/>
      <c r="M909" s="937"/>
      <c r="N909" s="937"/>
      <c r="O909" s="937"/>
      <c r="P909" s="937"/>
      <c r="Q909" s="937"/>
      <c r="R909" s="937"/>
      <c r="S909" s="937"/>
      <c r="T909" s="937"/>
      <c r="U909" s="937"/>
      <c r="V909" s="937"/>
      <c r="W909" s="937"/>
      <c r="X909" s="937"/>
      <c r="Y909" s="937"/>
      <c r="Z909" s="937"/>
    </row>
    <row r="910" spans="1:26" ht="15.75" customHeight="1">
      <c r="A910" s="937"/>
      <c r="B910" s="937"/>
      <c r="C910" s="937"/>
      <c r="D910" s="937"/>
      <c r="E910" s="937"/>
      <c r="F910" s="937"/>
      <c r="G910" s="937"/>
      <c r="H910" s="937"/>
      <c r="I910" s="937"/>
      <c r="J910" s="937"/>
      <c r="K910" s="937"/>
      <c r="L910" s="937"/>
      <c r="M910" s="937"/>
      <c r="N910" s="937"/>
      <c r="O910" s="937"/>
      <c r="P910" s="937"/>
      <c r="Q910" s="937"/>
      <c r="R910" s="937"/>
      <c r="S910" s="937"/>
      <c r="T910" s="937"/>
      <c r="U910" s="937"/>
      <c r="V910" s="937"/>
      <c r="W910" s="937"/>
      <c r="X910" s="937"/>
      <c r="Y910" s="937"/>
      <c r="Z910" s="937"/>
    </row>
    <row r="911" spans="1:26" ht="15.75" customHeight="1">
      <c r="A911" s="937"/>
      <c r="B911" s="937"/>
      <c r="C911" s="937"/>
      <c r="D911" s="937"/>
      <c r="E911" s="937"/>
      <c r="F911" s="937"/>
      <c r="G911" s="937"/>
      <c r="H911" s="937"/>
      <c r="I911" s="937"/>
      <c r="J911" s="937"/>
      <c r="K911" s="937"/>
      <c r="L911" s="937"/>
      <c r="M911" s="937"/>
      <c r="N911" s="937"/>
      <c r="O911" s="937"/>
      <c r="P911" s="937"/>
      <c r="Q911" s="937"/>
      <c r="R911" s="937"/>
      <c r="S911" s="937"/>
      <c r="T911" s="937"/>
      <c r="U911" s="937"/>
      <c r="V911" s="937"/>
      <c r="W911" s="937"/>
      <c r="X911" s="937"/>
      <c r="Y911" s="937"/>
      <c r="Z911" s="937"/>
    </row>
    <row r="912" spans="1:26" ht="15.75" customHeight="1">
      <c r="A912" s="937"/>
      <c r="B912" s="937"/>
      <c r="C912" s="937"/>
      <c r="D912" s="937"/>
      <c r="E912" s="937"/>
      <c r="F912" s="937"/>
      <c r="G912" s="937"/>
      <c r="H912" s="937"/>
      <c r="I912" s="937"/>
      <c r="J912" s="937"/>
      <c r="K912" s="937"/>
      <c r="L912" s="937"/>
      <c r="M912" s="937"/>
      <c r="N912" s="937"/>
      <c r="O912" s="937"/>
      <c r="P912" s="937"/>
      <c r="Q912" s="937"/>
      <c r="R912" s="937"/>
      <c r="S912" s="937"/>
      <c r="T912" s="937"/>
      <c r="U912" s="937"/>
      <c r="V912" s="937"/>
      <c r="W912" s="937"/>
      <c r="X912" s="937"/>
      <c r="Y912" s="937"/>
      <c r="Z912" s="937"/>
    </row>
    <row r="913" spans="1:26" ht="15.75" customHeight="1">
      <c r="A913" s="937"/>
      <c r="B913" s="937"/>
      <c r="C913" s="937"/>
      <c r="D913" s="937"/>
      <c r="E913" s="937"/>
      <c r="F913" s="937"/>
      <c r="G913" s="937"/>
      <c r="H913" s="937"/>
      <c r="I913" s="937"/>
      <c r="J913" s="937"/>
      <c r="K913" s="937"/>
      <c r="L913" s="937"/>
      <c r="M913" s="937"/>
      <c r="N913" s="937"/>
      <c r="O913" s="937"/>
      <c r="P913" s="937"/>
      <c r="Q913" s="937"/>
      <c r="R913" s="937"/>
      <c r="S913" s="937"/>
      <c r="T913" s="937"/>
      <c r="U913" s="937"/>
      <c r="V913" s="937"/>
      <c r="W913" s="937"/>
      <c r="X913" s="937"/>
      <c r="Y913" s="937"/>
      <c r="Z913" s="937"/>
    </row>
    <row r="914" spans="1:26" ht="15.75" customHeight="1">
      <c r="A914" s="937"/>
      <c r="B914" s="937"/>
      <c r="C914" s="937"/>
      <c r="D914" s="937"/>
      <c r="E914" s="937"/>
      <c r="F914" s="937"/>
      <c r="G914" s="937"/>
      <c r="H914" s="937"/>
      <c r="I914" s="937"/>
      <c r="J914" s="937"/>
      <c r="K914" s="937"/>
      <c r="L914" s="937"/>
      <c r="M914" s="937"/>
      <c r="N914" s="937"/>
      <c r="O914" s="937"/>
      <c r="P914" s="937"/>
      <c r="Q914" s="937"/>
      <c r="R914" s="937"/>
      <c r="S914" s="937"/>
      <c r="T914" s="937"/>
      <c r="U914" s="937"/>
      <c r="V914" s="937"/>
      <c r="W914" s="937"/>
      <c r="X914" s="937"/>
      <c r="Y914" s="937"/>
      <c r="Z914" s="937"/>
    </row>
    <row r="915" spans="1:26" ht="15.75" customHeight="1">
      <c r="A915" s="937"/>
      <c r="B915" s="937"/>
      <c r="C915" s="937"/>
      <c r="D915" s="937"/>
      <c r="E915" s="937"/>
      <c r="F915" s="937"/>
      <c r="G915" s="937"/>
      <c r="H915" s="937"/>
      <c r="I915" s="937"/>
      <c r="J915" s="937"/>
      <c r="K915" s="937"/>
      <c r="L915" s="937"/>
      <c r="M915" s="937"/>
      <c r="N915" s="937"/>
      <c r="O915" s="937"/>
      <c r="P915" s="937"/>
      <c r="Q915" s="937"/>
      <c r="R915" s="937"/>
      <c r="S915" s="937"/>
      <c r="T915" s="937"/>
      <c r="U915" s="937"/>
      <c r="V915" s="937"/>
      <c r="W915" s="937"/>
      <c r="X915" s="937"/>
      <c r="Y915" s="937"/>
      <c r="Z915" s="937"/>
    </row>
    <row r="916" spans="1:26" ht="15.75" customHeight="1">
      <c r="A916" s="937"/>
      <c r="B916" s="937"/>
      <c r="C916" s="937"/>
      <c r="D916" s="937"/>
      <c r="E916" s="937"/>
      <c r="F916" s="937"/>
      <c r="G916" s="937"/>
      <c r="H916" s="937"/>
      <c r="I916" s="937"/>
      <c r="J916" s="937"/>
      <c r="K916" s="937"/>
      <c r="L916" s="937"/>
      <c r="M916" s="937"/>
      <c r="N916" s="937"/>
      <c r="O916" s="937"/>
      <c r="P916" s="937"/>
      <c r="Q916" s="937"/>
      <c r="R916" s="937"/>
      <c r="S916" s="937"/>
      <c r="T916" s="937"/>
      <c r="U916" s="937"/>
      <c r="V916" s="937"/>
      <c r="W916" s="937"/>
      <c r="X916" s="937"/>
      <c r="Y916" s="937"/>
      <c r="Z916" s="937"/>
    </row>
    <row r="917" spans="1:26" ht="15.75" customHeight="1">
      <c r="A917" s="937"/>
      <c r="B917" s="937"/>
      <c r="C917" s="937"/>
      <c r="D917" s="937"/>
      <c r="E917" s="937"/>
      <c r="F917" s="937"/>
      <c r="G917" s="937"/>
      <c r="H917" s="937"/>
      <c r="I917" s="937"/>
      <c r="J917" s="937"/>
      <c r="K917" s="937"/>
      <c r="L917" s="937"/>
      <c r="M917" s="937"/>
      <c r="N917" s="937"/>
      <c r="O917" s="937"/>
      <c r="P917" s="937"/>
      <c r="Q917" s="937"/>
      <c r="R917" s="937"/>
      <c r="S917" s="937"/>
      <c r="T917" s="937"/>
      <c r="U917" s="937"/>
      <c r="V917" s="937"/>
      <c r="W917" s="937"/>
      <c r="X917" s="937"/>
      <c r="Y917" s="937"/>
      <c r="Z917" s="937"/>
    </row>
    <row r="918" spans="1:26" ht="15.75" customHeight="1">
      <c r="A918" s="937"/>
      <c r="B918" s="937"/>
      <c r="C918" s="937"/>
      <c r="D918" s="937"/>
      <c r="E918" s="937"/>
      <c r="F918" s="937"/>
      <c r="G918" s="937"/>
      <c r="H918" s="937"/>
      <c r="I918" s="937"/>
      <c r="J918" s="937"/>
      <c r="K918" s="937"/>
      <c r="L918" s="937"/>
      <c r="M918" s="937"/>
      <c r="N918" s="937"/>
      <c r="O918" s="937"/>
      <c r="P918" s="937"/>
      <c r="Q918" s="937"/>
      <c r="R918" s="937"/>
      <c r="S918" s="937"/>
      <c r="T918" s="937"/>
      <c r="U918" s="937"/>
      <c r="V918" s="937"/>
      <c r="W918" s="937"/>
      <c r="X918" s="937"/>
      <c r="Y918" s="937"/>
      <c r="Z918" s="937"/>
    </row>
    <row r="919" spans="1:26" ht="15.75" customHeight="1">
      <c r="A919" s="937"/>
      <c r="B919" s="937"/>
      <c r="C919" s="937"/>
      <c r="D919" s="937"/>
      <c r="E919" s="937"/>
      <c r="F919" s="937"/>
      <c r="G919" s="937"/>
      <c r="H919" s="937"/>
      <c r="I919" s="937"/>
      <c r="J919" s="937"/>
      <c r="K919" s="937"/>
      <c r="L919" s="937"/>
      <c r="M919" s="937"/>
      <c r="N919" s="937"/>
      <c r="O919" s="937"/>
      <c r="P919" s="937"/>
      <c r="Q919" s="937"/>
      <c r="R919" s="937"/>
      <c r="S919" s="937"/>
      <c r="T919" s="937"/>
      <c r="U919" s="937"/>
      <c r="V919" s="937"/>
      <c r="W919" s="937"/>
      <c r="X919" s="937"/>
      <c r="Y919" s="937"/>
      <c r="Z919" s="937"/>
    </row>
    <row r="920" spans="1:26" ht="15.75" customHeight="1">
      <c r="A920" s="937"/>
      <c r="B920" s="937"/>
      <c r="C920" s="937"/>
      <c r="D920" s="937"/>
      <c r="E920" s="937"/>
      <c r="F920" s="937"/>
      <c r="G920" s="937"/>
      <c r="H920" s="937"/>
      <c r="I920" s="937"/>
      <c r="J920" s="937"/>
      <c r="K920" s="937"/>
      <c r="L920" s="937"/>
      <c r="M920" s="937"/>
      <c r="N920" s="937"/>
      <c r="O920" s="937"/>
      <c r="P920" s="937"/>
      <c r="Q920" s="937"/>
      <c r="R920" s="937"/>
      <c r="S920" s="937"/>
      <c r="T920" s="937"/>
      <c r="U920" s="937"/>
      <c r="V920" s="937"/>
      <c r="W920" s="937"/>
      <c r="X920" s="937"/>
      <c r="Y920" s="937"/>
      <c r="Z920" s="937"/>
    </row>
    <row r="921" spans="1:26" ht="15.75" customHeight="1">
      <c r="A921" s="937"/>
      <c r="B921" s="937"/>
      <c r="C921" s="937"/>
      <c r="D921" s="937"/>
      <c r="E921" s="937"/>
      <c r="F921" s="937"/>
      <c r="G921" s="937"/>
      <c r="H921" s="937"/>
      <c r="I921" s="937"/>
      <c r="J921" s="937"/>
      <c r="K921" s="937"/>
      <c r="L921" s="937"/>
      <c r="M921" s="937"/>
      <c r="N921" s="937"/>
      <c r="O921" s="937"/>
      <c r="P921" s="937"/>
      <c r="Q921" s="937"/>
      <c r="R921" s="937"/>
      <c r="S921" s="937"/>
      <c r="T921" s="937"/>
      <c r="U921" s="937"/>
      <c r="V921" s="937"/>
      <c r="W921" s="937"/>
      <c r="X921" s="937"/>
      <c r="Y921" s="937"/>
      <c r="Z921" s="937"/>
    </row>
    <row r="922" spans="1:26" ht="15.75" customHeight="1">
      <c r="A922" s="937"/>
      <c r="B922" s="937"/>
      <c r="C922" s="937"/>
      <c r="D922" s="937"/>
      <c r="E922" s="937"/>
      <c r="F922" s="937"/>
      <c r="G922" s="937"/>
      <c r="H922" s="937"/>
      <c r="I922" s="937"/>
      <c r="J922" s="937"/>
      <c r="K922" s="937"/>
      <c r="L922" s="937"/>
      <c r="M922" s="937"/>
      <c r="N922" s="937"/>
      <c r="O922" s="937"/>
      <c r="P922" s="937"/>
      <c r="Q922" s="937"/>
      <c r="R922" s="937"/>
      <c r="S922" s="937"/>
      <c r="T922" s="937"/>
      <c r="U922" s="937"/>
      <c r="V922" s="937"/>
      <c r="W922" s="937"/>
      <c r="X922" s="937"/>
      <c r="Y922" s="937"/>
      <c r="Z922" s="937"/>
    </row>
    <row r="923" spans="1:26" ht="15.75" customHeight="1">
      <c r="A923" s="937"/>
      <c r="B923" s="937"/>
      <c r="C923" s="937"/>
      <c r="D923" s="937"/>
      <c r="E923" s="937"/>
      <c r="F923" s="937"/>
      <c r="G923" s="937"/>
      <c r="H923" s="937"/>
      <c r="I923" s="937"/>
      <c r="J923" s="937"/>
      <c r="K923" s="937"/>
      <c r="L923" s="937"/>
      <c r="M923" s="937"/>
      <c r="N923" s="937"/>
      <c r="O923" s="937"/>
      <c r="P923" s="937"/>
      <c r="Q923" s="937"/>
      <c r="R923" s="937"/>
      <c r="S923" s="937"/>
      <c r="T923" s="937"/>
      <c r="U923" s="937"/>
      <c r="V923" s="937"/>
      <c r="W923" s="937"/>
      <c r="X923" s="937"/>
      <c r="Y923" s="937"/>
      <c r="Z923" s="937"/>
    </row>
    <row r="924" spans="1:26" ht="15.75" customHeight="1">
      <c r="A924" s="937"/>
      <c r="B924" s="937"/>
      <c r="C924" s="937"/>
      <c r="D924" s="937"/>
      <c r="E924" s="937"/>
      <c r="F924" s="937"/>
      <c r="G924" s="937"/>
      <c r="H924" s="937"/>
      <c r="I924" s="937"/>
      <c r="J924" s="937"/>
      <c r="K924" s="937"/>
      <c r="L924" s="937"/>
      <c r="M924" s="937"/>
      <c r="N924" s="937"/>
      <c r="O924" s="937"/>
      <c r="P924" s="937"/>
      <c r="Q924" s="937"/>
      <c r="R924" s="937"/>
      <c r="S924" s="937"/>
      <c r="T924" s="937"/>
      <c r="U924" s="937"/>
      <c r="V924" s="937"/>
      <c r="W924" s="937"/>
      <c r="X924" s="937"/>
      <c r="Y924" s="937"/>
      <c r="Z924" s="937"/>
    </row>
    <row r="925" spans="1:26" ht="15.75" customHeight="1">
      <c r="A925" s="937"/>
      <c r="B925" s="937"/>
      <c r="C925" s="937"/>
      <c r="D925" s="937"/>
      <c r="E925" s="937"/>
      <c r="F925" s="937"/>
      <c r="G925" s="937"/>
      <c r="H925" s="937"/>
      <c r="I925" s="937"/>
      <c r="J925" s="937"/>
      <c r="K925" s="937"/>
      <c r="L925" s="937"/>
      <c r="M925" s="937"/>
      <c r="N925" s="937"/>
      <c r="O925" s="937"/>
      <c r="P925" s="937"/>
      <c r="Q925" s="937"/>
      <c r="R925" s="937"/>
      <c r="S925" s="937"/>
      <c r="T925" s="937"/>
      <c r="U925" s="937"/>
      <c r="V925" s="937"/>
      <c r="W925" s="937"/>
      <c r="X925" s="937"/>
      <c r="Y925" s="937"/>
      <c r="Z925" s="937"/>
    </row>
    <row r="926" spans="1:26" ht="15.75" customHeight="1">
      <c r="A926" s="937"/>
      <c r="B926" s="937"/>
      <c r="C926" s="937"/>
      <c r="D926" s="937"/>
      <c r="E926" s="937"/>
      <c r="F926" s="937"/>
      <c r="G926" s="937"/>
      <c r="H926" s="937"/>
      <c r="I926" s="937"/>
      <c r="J926" s="937"/>
      <c r="K926" s="937"/>
      <c r="L926" s="937"/>
      <c r="M926" s="937"/>
      <c r="N926" s="937"/>
      <c r="O926" s="937"/>
      <c r="P926" s="937"/>
      <c r="Q926" s="937"/>
      <c r="R926" s="937"/>
      <c r="S926" s="937"/>
      <c r="T926" s="937"/>
      <c r="U926" s="937"/>
      <c r="V926" s="937"/>
      <c r="W926" s="937"/>
      <c r="X926" s="937"/>
      <c r="Y926" s="937"/>
      <c r="Z926" s="937"/>
    </row>
    <row r="927" spans="1:26" ht="15.75" customHeight="1">
      <c r="A927" s="937"/>
      <c r="B927" s="937"/>
      <c r="C927" s="937"/>
      <c r="D927" s="937"/>
      <c r="E927" s="937"/>
      <c r="F927" s="937"/>
      <c r="G927" s="937"/>
      <c r="H927" s="937"/>
      <c r="I927" s="937"/>
      <c r="J927" s="937"/>
      <c r="K927" s="937"/>
      <c r="L927" s="937"/>
      <c r="M927" s="937"/>
      <c r="N927" s="937"/>
      <c r="O927" s="937"/>
      <c r="P927" s="937"/>
      <c r="Q927" s="937"/>
      <c r="R927" s="937"/>
      <c r="S927" s="937"/>
      <c r="T927" s="937"/>
      <c r="U927" s="937"/>
      <c r="V927" s="937"/>
      <c r="W927" s="937"/>
      <c r="X927" s="937"/>
      <c r="Y927" s="937"/>
      <c r="Z927" s="937"/>
    </row>
    <row r="928" spans="1:26" ht="15.75" customHeight="1">
      <c r="A928" s="937"/>
      <c r="B928" s="937"/>
      <c r="C928" s="937"/>
      <c r="D928" s="937"/>
      <c r="E928" s="937"/>
      <c r="F928" s="937"/>
      <c r="G928" s="937"/>
      <c r="H928" s="937"/>
      <c r="I928" s="937"/>
      <c r="J928" s="937"/>
      <c r="K928" s="937"/>
      <c r="L928" s="937"/>
      <c r="M928" s="937"/>
      <c r="N928" s="937"/>
      <c r="O928" s="937"/>
      <c r="P928" s="937"/>
      <c r="Q928" s="937"/>
      <c r="R928" s="937"/>
      <c r="S928" s="937"/>
      <c r="T928" s="937"/>
      <c r="U928" s="937"/>
      <c r="V928" s="937"/>
      <c r="W928" s="937"/>
      <c r="X928" s="937"/>
      <c r="Y928" s="937"/>
      <c r="Z928" s="937"/>
    </row>
    <row r="929" spans="1:26" ht="15.75" customHeight="1">
      <c r="A929" s="937"/>
      <c r="B929" s="937"/>
      <c r="C929" s="937"/>
      <c r="D929" s="937"/>
      <c r="E929" s="937"/>
      <c r="F929" s="937"/>
      <c r="G929" s="937"/>
      <c r="H929" s="937"/>
      <c r="I929" s="937"/>
      <c r="J929" s="937"/>
      <c r="K929" s="937"/>
      <c r="L929" s="937"/>
      <c r="M929" s="937"/>
      <c r="N929" s="937"/>
      <c r="O929" s="937"/>
      <c r="P929" s="937"/>
      <c r="Q929" s="937"/>
      <c r="R929" s="937"/>
      <c r="S929" s="937"/>
      <c r="T929" s="937"/>
      <c r="U929" s="937"/>
      <c r="V929" s="937"/>
      <c r="W929" s="937"/>
      <c r="X929" s="937"/>
      <c r="Y929" s="937"/>
      <c r="Z929" s="937"/>
    </row>
    <row r="930" spans="1:26" ht="15.75" customHeight="1">
      <c r="A930" s="937"/>
      <c r="B930" s="937"/>
      <c r="C930" s="937"/>
      <c r="D930" s="937"/>
      <c r="E930" s="937"/>
      <c r="F930" s="937"/>
      <c r="G930" s="937"/>
      <c r="H930" s="937"/>
      <c r="I930" s="937"/>
      <c r="J930" s="937"/>
      <c r="K930" s="937"/>
      <c r="L930" s="937"/>
      <c r="M930" s="937"/>
      <c r="N930" s="937"/>
      <c r="O930" s="937"/>
      <c r="P930" s="937"/>
      <c r="Q930" s="937"/>
      <c r="R930" s="937"/>
      <c r="S930" s="937"/>
      <c r="T930" s="937"/>
      <c r="U930" s="937"/>
      <c r="V930" s="937"/>
      <c r="W930" s="937"/>
      <c r="X930" s="937"/>
      <c r="Y930" s="937"/>
      <c r="Z930" s="937"/>
    </row>
    <row r="931" spans="1:26" ht="15.75" customHeight="1">
      <c r="A931" s="937"/>
      <c r="B931" s="937"/>
      <c r="C931" s="937"/>
      <c r="D931" s="937"/>
      <c r="E931" s="937"/>
      <c r="F931" s="937"/>
      <c r="G931" s="937"/>
      <c r="H931" s="937"/>
      <c r="I931" s="937"/>
      <c r="J931" s="937"/>
      <c r="K931" s="937"/>
      <c r="L931" s="937"/>
      <c r="M931" s="937"/>
      <c r="N931" s="937"/>
      <c r="O931" s="937"/>
      <c r="P931" s="937"/>
      <c r="Q931" s="937"/>
      <c r="R931" s="937"/>
      <c r="S931" s="937"/>
      <c r="T931" s="937"/>
      <c r="U931" s="937"/>
      <c r="V931" s="937"/>
      <c r="W931" s="937"/>
      <c r="X931" s="937"/>
      <c r="Y931" s="937"/>
      <c r="Z931" s="937"/>
    </row>
    <row r="932" spans="1:26" ht="15.75" customHeight="1">
      <c r="A932" s="937"/>
      <c r="B932" s="937"/>
      <c r="C932" s="937"/>
      <c r="D932" s="937"/>
      <c r="E932" s="937"/>
      <c r="F932" s="937"/>
      <c r="G932" s="937"/>
      <c r="H932" s="937"/>
      <c r="I932" s="937"/>
      <c r="J932" s="937"/>
      <c r="K932" s="937"/>
      <c r="L932" s="937"/>
      <c r="M932" s="937"/>
      <c r="N932" s="937"/>
      <c r="O932" s="937"/>
      <c r="P932" s="937"/>
      <c r="Q932" s="937"/>
      <c r="R932" s="937"/>
      <c r="S932" s="937"/>
      <c r="T932" s="937"/>
      <c r="U932" s="937"/>
      <c r="V932" s="937"/>
      <c r="W932" s="937"/>
      <c r="X932" s="937"/>
      <c r="Y932" s="937"/>
      <c r="Z932" s="937"/>
    </row>
    <row r="933" spans="1:26" ht="15.75" customHeight="1">
      <c r="A933" s="937"/>
      <c r="B933" s="937"/>
      <c r="C933" s="937"/>
      <c r="D933" s="937"/>
      <c r="E933" s="937"/>
      <c r="F933" s="937"/>
      <c r="G933" s="937"/>
      <c r="H933" s="937"/>
      <c r="I933" s="937"/>
      <c r="J933" s="937"/>
      <c r="K933" s="937"/>
      <c r="L933" s="937"/>
      <c r="M933" s="937"/>
      <c r="N933" s="937"/>
      <c r="O933" s="937"/>
      <c r="P933" s="937"/>
      <c r="Q933" s="937"/>
      <c r="R933" s="937"/>
      <c r="S933" s="937"/>
      <c r="T933" s="937"/>
      <c r="U933" s="937"/>
      <c r="V933" s="937"/>
      <c r="W933" s="937"/>
      <c r="X933" s="937"/>
      <c r="Y933" s="937"/>
      <c r="Z933" s="937"/>
    </row>
    <row r="934" spans="1:26" ht="15.75" customHeight="1">
      <c r="A934" s="937"/>
      <c r="B934" s="937"/>
      <c r="C934" s="937"/>
      <c r="D934" s="937"/>
      <c r="E934" s="937"/>
      <c r="F934" s="937"/>
      <c r="G934" s="937"/>
      <c r="H934" s="937"/>
      <c r="I934" s="937"/>
      <c r="J934" s="937"/>
      <c r="K934" s="937"/>
      <c r="L934" s="937"/>
      <c r="M934" s="937"/>
      <c r="N934" s="937"/>
      <c r="O934" s="937"/>
      <c r="P934" s="937"/>
      <c r="Q934" s="937"/>
      <c r="R934" s="937"/>
      <c r="S934" s="937"/>
      <c r="T934" s="937"/>
      <c r="U934" s="937"/>
      <c r="V934" s="937"/>
      <c r="W934" s="937"/>
      <c r="X934" s="937"/>
      <c r="Y934" s="937"/>
      <c r="Z934" s="937"/>
    </row>
    <row r="935" spans="1:26" ht="15.75" customHeight="1">
      <c r="A935" s="937"/>
      <c r="B935" s="937"/>
      <c r="C935" s="937"/>
      <c r="D935" s="937"/>
      <c r="E935" s="937"/>
      <c r="F935" s="937"/>
      <c r="G935" s="937"/>
      <c r="H935" s="937"/>
      <c r="I935" s="937"/>
      <c r="J935" s="937"/>
      <c r="K935" s="937"/>
      <c r="L935" s="937"/>
      <c r="M935" s="937"/>
      <c r="N935" s="937"/>
      <c r="O935" s="937"/>
      <c r="P935" s="937"/>
      <c r="Q935" s="937"/>
      <c r="R935" s="937"/>
      <c r="S935" s="937"/>
      <c r="T935" s="937"/>
      <c r="U935" s="937"/>
      <c r="V935" s="937"/>
      <c r="W935" s="937"/>
      <c r="X935" s="937"/>
      <c r="Y935" s="937"/>
      <c r="Z935" s="937"/>
    </row>
    <row r="936" spans="1:26" ht="15.75" customHeight="1">
      <c r="A936" s="937"/>
      <c r="B936" s="937"/>
      <c r="C936" s="937"/>
      <c r="D936" s="937"/>
      <c r="E936" s="937"/>
      <c r="F936" s="937"/>
      <c r="G936" s="937"/>
      <c r="H936" s="937"/>
      <c r="I936" s="937"/>
      <c r="J936" s="937"/>
      <c r="K936" s="937"/>
      <c r="L936" s="937"/>
      <c r="M936" s="937"/>
      <c r="N936" s="937"/>
      <c r="O936" s="937"/>
      <c r="P936" s="937"/>
      <c r="Q936" s="937"/>
      <c r="R936" s="937"/>
      <c r="S936" s="937"/>
      <c r="T936" s="937"/>
      <c r="U936" s="937"/>
      <c r="V936" s="937"/>
      <c r="W936" s="937"/>
      <c r="X936" s="937"/>
      <c r="Y936" s="937"/>
      <c r="Z936" s="937"/>
    </row>
    <row r="937" spans="1:26" ht="15.75" customHeight="1">
      <c r="A937" s="937"/>
      <c r="B937" s="937"/>
      <c r="C937" s="937"/>
      <c r="D937" s="937"/>
      <c r="E937" s="937"/>
      <c r="F937" s="937"/>
      <c r="G937" s="937"/>
      <c r="H937" s="937"/>
      <c r="I937" s="937"/>
      <c r="J937" s="937"/>
      <c r="K937" s="937"/>
      <c r="L937" s="937"/>
      <c r="M937" s="937"/>
      <c r="N937" s="937"/>
      <c r="O937" s="937"/>
      <c r="P937" s="937"/>
      <c r="Q937" s="937"/>
      <c r="R937" s="937"/>
      <c r="S937" s="937"/>
      <c r="T937" s="937"/>
      <c r="U937" s="937"/>
      <c r="V937" s="937"/>
      <c r="W937" s="937"/>
      <c r="X937" s="937"/>
      <c r="Y937" s="937"/>
      <c r="Z937" s="937"/>
    </row>
    <row r="938" spans="1:26" ht="15.75" customHeight="1">
      <c r="A938" s="937"/>
      <c r="B938" s="937"/>
      <c r="C938" s="937"/>
      <c r="D938" s="937"/>
      <c r="E938" s="937"/>
      <c r="F938" s="937"/>
      <c r="G938" s="937"/>
      <c r="H938" s="937"/>
      <c r="I938" s="937"/>
      <c r="J938" s="937"/>
      <c r="K938" s="937"/>
      <c r="L938" s="937"/>
      <c r="M938" s="937"/>
      <c r="N938" s="937"/>
      <c r="O938" s="937"/>
      <c r="P938" s="937"/>
      <c r="Q938" s="937"/>
      <c r="R938" s="937"/>
      <c r="S938" s="937"/>
      <c r="T938" s="937"/>
      <c r="U938" s="937"/>
      <c r="V938" s="937"/>
      <c r="W938" s="937"/>
      <c r="X938" s="937"/>
      <c r="Y938" s="937"/>
      <c r="Z938" s="937"/>
    </row>
    <row r="939" spans="1:26" ht="15.75" customHeight="1">
      <c r="A939" s="937"/>
      <c r="B939" s="937"/>
      <c r="C939" s="937"/>
      <c r="D939" s="937"/>
      <c r="E939" s="937"/>
      <c r="F939" s="937"/>
      <c r="G939" s="937"/>
      <c r="H939" s="937"/>
      <c r="I939" s="937"/>
      <c r="J939" s="937"/>
      <c r="K939" s="937"/>
      <c r="L939" s="937"/>
      <c r="M939" s="937"/>
      <c r="N939" s="937"/>
      <c r="O939" s="937"/>
      <c r="P939" s="937"/>
      <c r="Q939" s="937"/>
      <c r="R939" s="937"/>
      <c r="S939" s="937"/>
      <c r="T939" s="937"/>
      <c r="U939" s="937"/>
      <c r="V939" s="937"/>
      <c r="W939" s="937"/>
      <c r="X939" s="937"/>
      <c r="Y939" s="937"/>
      <c r="Z939" s="937"/>
    </row>
    <row r="940" spans="1:26" ht="15.75" customHeight="1">
      <c r="A940" s="937"/>
      <c r="B940" s="937"/>
      <c r="C940" s="937"/>
      <c r="D940" s="937"/>
      <c r="E940" s="937"/>
      <c r="F940" s="937"/>
      <c r="G940" s="937"/>
      <c r="H940" s="937"/>
      <c r="I940" s="937"/>
      <c r="J940" s="937"/>
      <c r="K940" s="937"/>
      <c r="L940" s="937"/>
      <c r="M940" s="937"/>
      <c r="N940" s="937"/>
      <c r="O940" s="937"/>
      <c r="P940" s="937"/>
      <c r="Q940" s="937"/>
      <c r="R940" s="937"/>
      <c r="S940" s="937"/>
      <c r="T940" s="937"/>
      <c r="U940" s="937"/>
      <c r="V940" s="937"/>
      <c r="W940" s="937"/>
      <c r="X940" s="937"/>
      <c r="Y940" s="937"/>
      <c r="Z940" s="937"/>
    </row>
    <row r="941" spans="1:26" ht="15.75" customHeight="1">
      <c r="A941" s="937"/>
      <c r="B941" s="937"/>
      <c r="C941" s="937"/>
      <c r="D941" s="937"/>
      <c r="E941" s="937"/>
      <c r="F941" s="937"/>
      <c r="G941" s="937"/>
      <c r="H941" s="937"/>
      <c r="I941" s="937"/>
      <c r="J941" s="937"/>
      <c r="K941" s="937"/>
      <c r="L941" s="937"/>
      <c r="M941" s="937"/>
      <c r="N941" s="937"/>
      <c r="O941" s="937"/>
      <c r="P941" s="937"/>
      <c r="Q941" s="937"/>
      <c r="R941" s="937"/>
      <c r="S941" s="937"/>
      <c r="T941" s="937"/>
      <c r="U941" s="937"/>
      <c r="V941" s="937"/>
      <c r="W941" s="937"/>
      <c r="X941" s="937"/>
      <c r="Y941" s="937"/>
      <c r="Z941" s="937"/>
    </row>
    <row r="942" spans="1:26" ht="15.75" customHeight="1">
      <c r="A942" s="937"/>
      <c r="B942" s="937"/>
      <c r="C942" s="937"/>
      <c r="D942" s="937"/>
      <c r="E942" s="937"/>
      <c r="F942" s="937"/>
      <c r="G942" s="937"/>
      <c r="H942" s="937"/>
      <c r="I942" s="937"/>
      <c r="J942" s="937"/>
      <c r="K942" s="937"/>
      <c r="L942" s="937"/>
      <c r="M942" s="937"/>
      <c r="N942" s="937"/>
      <c r="O942" s="937"/>
      <c r="P942" s="937"/>
      <c r="Q942" s="937"/>
      <c r="R942" s="937"/>
      <c r="S942" s="937"/>
      <c r="T942" s="937"/>
      <c r="U942" s="937"/>
      <c r="V942" s="937"/>
      <c r="W942" s="937"/>
      <c r="X942" s="937"/>
      <c r="Y942" s="937"/>
      <c r="Z942" s="937"/>
    </row>
    <row r="943" spans="1:26" ht="15.75" customHeight="1">
      <c r="A943" s="937"/>
      <c r="B943" s="937"/>
      <c r="C943" s="937"/>
      <c r="D943" s="937"/>
      <c r="E943" s="937"/>
      <c r="F943" s="937"/>
      <c r="G943" s="937"/>
      <c r="H943" s="937"/>
      <c r="I943" s="937"/>
      <c r="J943" s="937"/>
      <c r="K943" s="937"/>
      <c r="L943" s="937"/>
      <c r="M943" s="937"/>
      <c r="N943" s="937"/>
      <c r="O943" s="937"/>
      <c r="P943" s="937"/>
      <c r="Q943" s="937"/>
      <c r="R943" s="937"/>
      <c r="S943" s="937"/>
      <c r="T943" s="937"/>
      <c r="U943" s="937"/>
      <c r="V943" s="937"/>
      <c r="W943" s="937"/>
      <c r="X943" s="937"/>
      <c r="Y943" s="937"/>
      <c r="Z943" s="937"/>
    </row>
    <row r="944" spans="1:26" ht="15.75" customHeight="1">
      <c r="A944" s="937"/>
      <c r="B944" s="937"/>
      <c r="C944" s="937"/>
      <c r="D944" s="937"/>
      <c r="E944" s="937"/>
      <c r="F944" s="937"/>
      <c r="G944" s="937"/>
      <c r="H944" s="937"/>
      <c r="I944" s="937"/>
      <c r="J944" s="937"/>
      <c r="K944" s="937"/>
      <c r="L944" s="937"/>
      <c r="M944" s="937"/>
      <c r="N944" s="937"/>
      <c r="O944" s="937"/>
      <c r="P944" s="937"/>
      <c r="Q944" s="937"/>
      <c r="R944" s="937"/>
      <c r="S944" s="937"/>
      <c r="T944" s="937"/>
      <c r="U944" s="937"/>
      <c r="V944" s="937"/>
      <c r="W944" s="937"/>
      <c r="X944" s="937"/>
      <c r="Y944" s="937"/>
      <c r="Z944" s="937"/>
    </row>
    <row r="945" spans="1:26" ht="15.75" customHeight="1">
      <c r="A945" s="937"/>
      <c r="B945" s="937"/>
      <c r="C945" s="937"/>
      <c r="D945" s="937"/>
      <c r="E945" s="937"/>
      <c r="F945" s="937"/>
      <c r="G945" s="937"/>
      <c r="H945" s="937"/>
      <c r="I945" s="937"/>
      <c r="J945" s="937"/>
      <c r="K945" s="937"/>
      <c r="L945" s="937"/>
      <c r="M945" s="937"/>
      <c r="N945" s="937"/>
      <c r="O945" s="937"/>
      <c r="P945" s="937"/>
      <c r="Q945" s="937"/>
      <c r="R945" s="937"/>
      <c r="S945" s="937"/>
      <c r="T945" s="937"/>
      <c r="U945" s="937"/>
      <c r="V945" s="937"/>
      <c r="W945" s="937"/>
      <c r="X945" s="937"/>
      <c r="Y945" s="937"/>
      <c r="Z945" s="937"/>
    </row>
    <row r="946" spans="1:26" ht="15.75" customHeight="1">
      <c r="A946" s="937"/>
      <c r="B946" s="937"/>
      <c r="C946" s="937"/>
      <c r="D946" s="937"/>
      <c r="E946" s="937"/>
      <c r="F946" s="937"/>
      <c r="G946" s="937"/>
      <c r="H946" s="937"/>
      <c r="I946" s="937"/>
      <c r="J946" s="937"/>
      <c r="K946" s="937"/>
      <c r="L946" s="937"/>
      <c r="M946" s="937"/>
      <c r="N946" s="937"/>
      <c r="O946" s="937"/>
      <c r="P946" s="937"/>
      <c r="Q946" s="937"/>
      <c r="R946" s="937"/>
      <c r="S946" s="937"/>
      <c r="T946" s="937"/>
      <c r="U946" s="937"/>
      <c r="V946" s="937"/>
      <c r="W946" s="937"/>
      <c r="X946" s="937"/>
      <c r="Y946" s="937"/>
      <c r="Z946" s="937"/>
    </row>
    <row r="947" spans="1:26" ht="15.75" customHeight="1">
      <c r="A947" s="937"/>
      <c r="B947" s="937"/>
      <c r="C947" s="937"/>
      <c r="D947" s="937"/>
      <c r="E947" s="937"/>
      <c r="F947" s="937"/>
      <c r="G947" s="937"/>
      <c r="H947" s="937"/>
      <c r="I947" s="937"/>
      <c r="J947" s="937"/>
      <c r="K947" s="937"/>
      <c r="L947" s="937"/>
      <c r="M947" s="937"/>
      <c r="N947" s="937"/>
      <c r="O947" s="937"/>
      <c r="P947" s="937"/>
      <c r="Q947" s="937"/>
      <c r="R947" s="937"/>
      <c r="S947" s="937"/>
      <c r="T947" s="937"/>
      <c r="U947" s="937"/>
      <c r="V947" s="937"/>
      <c r="W947" s="937"/>
      <c r="X947" s="937"/>
      <c r="Y947" s="937"/>
      <c r="Z947" s="937"/>
    </row>
    <row r="948" spans="1:26" ht="15.75" customHeight="1">
      <c r="A948" s="937"/>
      <c r="B948" s="937"/>
      <c r="C948" s="937"/>
      <c r="D948" s="937"/>
      <c r="E948" s="937"/>
      <c r="F948" s="937"/>
      <c r="G948" s="937"/>
      <c r="H948" s="937"/>
      <c r="I948" s="937"/>
      <c r="J948" s="937"/>
      <c r="K948" s="937"/>
      <c r="L948" s="937"/>
      <c r="M948" s="937"/>
      <c r="N948" s="937"/>
      <c r="O948" s="937"/>
      <c r="P948" s="937"/>
      <c r="Q948" s="937"/>
      <c r="R948" s="937"/>
      <c r="S948" s="937"/>
      <c r="T948" s="937"/>
      <c r="U948" s="937"/>
      <c r="V948" s="937"/>
      <c r="W948" s="937"/>
      <c r="X948" s="937"/>
      <c r="Y948" s="937"/>
      <c r="Z948" s="937"/>
    </row>
    <row r="949" spans="1:26" ht="15.75" customHeight="1">
      <c r="A949" s="937"/>
      <c r="B949" s="937"/>
      <c r="C949" s="937"/>
      <c r="D949" s="937"/>
      <c r="E949" s="937"/>
      <c r="F949" s="937"/>
      <c r="G949" s="937"/>
      <c r="H949" s="937"/>
      <c r="I949" s="937"/>
      <c r="J949" s="937"/>
      <c r="K949" s="937"/>
      <c r="L949" s="937"/>
      <c r="M949" s="937"/>
      <c r="N949" s="937"/>
      <c r="O949" s="937"/>
      <c r="P949" s="937"/>
      <c r="Q949" s="937"/>
      <c r="R949" s="937"/>
      <c r="S949" s="937"/>
      <c r="T949" s="937"/>
      <c r="U949" s="937"/>
      <c r="V949" s="937"/>
      <c r="W949" s="937"/>
      <c r="X949" s="937"/>
      <c r="Y949" s="937"/>
      <c r="Z949" s="937"/>
    </row>
    <row r="950" spans="1:26" ht="15.75" customHeight="1">
      <c r="A950" s="937"/>
      <c r="B950" s="937"/>
      <c r="C950" s="937"/>
      <c r="D950" s="937"/>
      <c r="E950" s="937"/>
      <c r="F950" s="937"/>
      <c r="G950" s="937"/>
      <c r="H950" s="937"/>
      <c r="I950" s="937"/>
      <c r="J950" s="937"/>
      <c r="K950" s="937"/>
      <c r="L950" s="937"/>
      <c r="M950" s="937"/>
      <c r="N950" s="937"/>
      <c r="O950" s="937"/>
      <c r="P950" s="937"/>
      <c r="Q950" s="937"/>
      <c r="R950" s="937"/>
      <c r="S950" s="937"/>
      <c r="T950" s="937"/>
      <c r="U950" s="937"/>
      <c r="V950" s="937"/>
      <c r="W950" s="937"/>
      <c r="X950" s="937"/>
      <c r="Y950" s="937"/>
      <c r="Z950" s="937"/>
    </row>
    <row r="951" spans="1:26" ht="15.75" customHeight="1">
      <c r="A951" s="937"/>
      <c r="B951" s="937"/>
      <c r="C951" s="937"/>
      <c r="D951" s="937"/>
      <c r="E951" s="937"/>
      <c r="F951" s="937"/>
      <c r="G951" s="937"/>
      <c r="H951" s="937"/>
      <c r="I951" s="937"/>
      <c r="J951" s="937"/>
      <c r="K951" s="937"/>
      <c r="L951" s="937"/>
      <c r="M951" s="937"/>
      <c r="N951" s="937"/>
      <c r="O951" s="937"/>
      <c r="P951" s="937"/>
      <c r="Q951" s="937"/>
      <c r="R951" s="937"/>
      <c r="S951" s="937"/>
      <c r="T951" s="937"/>
      <c r="U951" s="937"/>
      <c r="V951" s="937"/>
      <c r="W951" s="937"/>
      <c r="X951" s="937"/>
      <c r="Y951" s="937"/>
      <c r="Z951" s="937"/>
    </row>
    <row r="952" spans="1:26" ht="15.75" customHeight="1">
      <c r="A952" s="937"/>
      <c r="B952" s="937"/>
      <c r="C952" s="937"/>
      <c r="D952" s="937"/>
      <c r="E952" s="937"/>
      <c r="F952" s="937"/>
      <c r="G952" s="937"/>
      <c r="H952" s="937"/>
      <c r="I952" s="937"/>
      <c r="J952" s="937"/>
      <c r="K952" s="937"/>
      <c r="L952" s="937"/>
      <c r="M952" s="937"/>
      <c r="N952" s="937"/>
      <c r="O952" s="937"/>
      <c r="P952" s="937"/>
      <c r="Q952" s="937"/>
      <c r="R952" s="937"/>
      <c r="S952" s="937"/>
      <c r="T952" s="937"/>
      <c r="U952" s="937"/>
      <c r="V952" s="937"/>
      <c r="W952" s="937"/>
      <c r="X952" s="937"/>
      <c r="Y952" s="937"/>
      <c r="Z952" s="937"/>
    </row>
    <row r="953" spans="1:26" ht="15.75" customHeight="1">
      <c r="A953" s="937"/>
      <c r="B953" s="937"/>
      <c r="C953" s="937"/>
      <c r="D953" s="937"/>
      <c r="E953" s="937"/>
      <c r="F953" s="937"/>
      <c r="G953" s="937"/>
      <c r="H953" s="937"/>
      <c r="I953" s="937"/>
      <c r="J953" s="937"/>
      <c r="K953" s="937"/>
      <c r="L953" s="937"/>
      <c r="M953" s="937"/>
      <c r="N953" s="937"/>
      <c r="O953" s="937"/>
      <c r="P953" s="937"/>
      <c r="Q953" s="937"/>
      <c r="R953" s="937"/>
      <c r="S953" s="937"/>
      <c r="T953" s="937"/>
      <c r="U953" s="937"/>
      <c r="V953" s="937"/>
      <c r="W953" s="937"/>
      <c r="X953" s="937"/>
      <c r="Y953" s="937"/>
      <c r="Z953" s="937"/>
    </row>
    <row r="954" spans="1:26" ht="15.75" customHeight="1">
      <c r="A954" s="937"/>
      <c r="B954" s="937"/>
      <c r="C954" s="937"/>
      <c r="D954" s="937"/>
      <c r="E954" s="937"/>
      <c r="F954" s="937"/>
      <c r="G954" s="937"/>
      <c r="H954" s="937"/>
      <c r="I954" s="937"/>
      <c r="J954" s="937"/>
      <c r="K954" s="937"/>
      <c r="L954" s="937"/>
      <c r="M954" s="937"/>
      <c r="N954" s="937"/>
      <c r="O954" s="937"/>
      <c r="P954" s="937"/>
      <c r="Q954" s="937"/>
      <c r="R954" s="937"/>
      <c r="S954" s="937"/>
      <c r="T954" s="937"/>
      <c r="U954" s="937"/>
      <c r="V954" s="937"/>
      <c r="W954" s="937"/>
      <c r="X954" s="937"/>
      <c r="Y954" s="937"/>
      <c r="Z954" s="937"/>
    </row>
    <row r="955" spans="1:26" ht="15.75" customHeight="1">
      <c r="A955" s="937"/>
      <c r="B955" s="937"/>
      <c r="C955" s="937"/>
      <c r="D955" s="937"/>
      <c r="E955" s="937"/>
      <c r="F955" s="937"/>
      <c r="G955" s="937"/>
      <c r="H955" s="937"/>
      <c r="I955" s="937"/>
      <c r="J955" s="937"/>
      <c r="K955" s="937"/>
      <c r="L955" s="937"/>
      <c r="M955" s="937"/>
      <c r="N955" s="937"/>
      <c r="O955" s="937"/>
      <c r="P955" s="937"/>
      <c r="Q955" s="937"/>
      <c r="R955" s="937"/>
      <c r="S955" s="937"/>
      <c r="T955" s="937"/>
      <c r="U955" s="937"/>
      <c r="V955" s="937"/>
      <c r="W955" s="937"/>
      <c r="X955" s="937"/>
      <c r="Y955" s="937"/>
      <c r="Z955" s="937"/>
    </row>
    <row r="956" spans="1:26" ht="15.75" customHeight="1">
      <c r="A956" s="937"/>
      <c r="B956" s="937"/>
      <c r="C956" s="937"/>
      <c r="D956" s="937"/>
      <c r="E956" s="937"/>
      <c r="F956" s="937"/>
      <c r="G956" s="937"/>
      <c r="H956" s="937"/>
      <c r="I956" s="937"/>
      <c r="J956" s="937"/>
      <c r="K956" s="937"/>
      <c r="L956" s="937"/>
      <c r="M956" s="937"/>
      <c r="N956" s="937"/>
      <c r="O956" s="937"/>
      <c r="P956" s="937"/>
      <c r="Q956" s="937"/>
      <c r="R956" s="937"/>
      <c r="S956" s="937"/>
      <c r="T956" s="937"/>
      <c r="U956" s="937"/>
      <c r="V956" s="937"/>
      <c r="W956" s="937"/>
      <c r="X956" s="937"/>
      <c r="Y956" s="937"/>
      <c r="Z956" s="937"/>
    </row>
    <row r="957" spans="1:26" ht="15.75" customHeight="1">
      <c r="A957" s="937"/>
      <c r="B957" s="937"/>
      <c r="C957" s="937"/>
      <c r="D957" s="937"/>
      <c r="E957" s="937"/>
      <c r="F957" s="937"/>
      <c r="G957" s="937"/>
      <c r="H957" s="937"/>
      <c r="I957" s="937"/>
      <c r="J957" s="937"/>
      <c r="K957" s="937"/>
      <c r="L957" s="937"/>
      <c r="M957" s="937"/>
      <c r="N957" s="937"/>
      <c r="O957" s="937"/>
      <c r="P957" s="937"/>
      <c r="Q957" s="937"/>
      <c r="R957" s="937"/>
      <c r="S957" s="937"/>
      <c r="T957" s="937"/>
      <c r="U957" s="937"/>
      <c r="V957" s="937"/>
      <c r="W957" s="937"/>
      <c r="X957" s="937"/>
      <c r="Y957" s="937"/>
      <c r="Z957" s="937"/>
    </row>
    <row r="958" spans="1:26" ht="15.75" customHeight="1">
      <c r="A958" s="937"/>
      <c r="B958" s="937"/>
      <c r="C958" s="937"/>
      <c r="D958" s="937"/>
      <c r="E958" s="937"/>
      <c r="F958" s="937"/>
      <c r="G958" s="937"/>
      <c r="H958" s="937"/>
      <c r="I958" s="937"/>
      <c r="J958" s="937"/>
      <c r="K958" s="937"/>
      <c r="L958" s="937"/>
      <c r="M958" s="937"/>
      <c r="N958" s="937"/>
      <c r="O958" s="937"/>
      <c r="P958" s="937"/>
      <c r="Q958" s="937"/>
      <c r="R958" s="937"/>
      <c r="S958" s="937"/>
      <c r="T958" s="937"/>
      <c r="U958" s="937"/>
      <c r="V958" s="937"/>
      <c r="W958" s="937"/>
      <c r="X958" s="937"/>
      <c r="Y958" s="937"/>
      <c r="Z958" s="937"/>
    </row>
    <row r="959" spans="1:26" ht="15.75" customHeight="1">
      <c r="A959" s="937"/>
      <c r="B959" s="937"/>
      <c r="C959" s="937"/>
      <c r="D959" s="937"/>
      <c r="E959" s="937"/>
      <c r="F959" s="937"/>
      <c r="G959" s="937"/>
      <c r="H959" s="937"/>
      <c r="I959" s="937"/>
      <c r="J959" s="937"/>
      <c r="K959" s="937"/>
      <c r="L959" s="937"/>
      <c r="M959" s="937"/>
      <c r="N959" s="937"/>
      <c r="O959" s="937"/>
      <c r="P959" s="937"/>
      <c r="Q959" s="937"/>
      <c r="R959" s="937"/>
      <c r="S959" s="937"/>
      <c r="T959" s="937"/>
      <c r="U959" s="937"/>
      <c r="V959" s="937"/>
      <c r="W959" s="937"/>
      <c r="X959" s="937"/>
      <c r="Y959" s="937"/>
      <c r="Z959" s="937"/>
    </row>
    <row r="960" spans="1:26" ht="15.75" customHeight="1">
      <c r="A960" s="937"/>
      <c r="B960" s="937"/>
      <c r="C960" s="937"/>
      <c r="D960" s="937"/>
      <c r="E960" s="937"/>
      <c r="F960" s="937"/>
      <c r="G960" s="937"/>
      <c r="H960" s="937"/>
      <c r="I960" s="937"/>
      <c r="J960" s="937"/>
      <c r="K960" s="937"/>
      <c r="L960" s="937"/>
      <c r="M960" s="937"/>
      <c r="N960" s="937"/>
      <c r="O960" s="937"/>
      <c r="P960" s="937"/>
      <c r="Q960" s="937"/>
      <c r="R960" s="937"/>
      <c r="S960" s="937"/>
      <c r="T960" s="937"/>
      <c r="U960" s="937"/>
      <c r="V960" s="937"/>
      <c r="W960" s="937"/>
      <c r="X960" s="937"/>
      <c r="Y960" s="937"/>
      <c r="Z960" s="937"/>
    </row>
    <row r="961" spans="1:26" ht="15.75" customHeight="1">
      <c r="A961" s="937"/>
      <c r="B961" s="937"/>
      <c r="C961" s="937"/>
      <c r="D961" s="937"/>
      <c r="E961" s="937"/>
      <c r="F961" s="937"/>
      <c r="G961" s="937"/>
      <c r="H961" s="937"/>
      <c r="I961" s="937"/>
      <c r="J961" s="937"/>
      <c r="K961" s="937"/>
      <c r="L961" s="937"/>
      <c r="M961" s="937"/>
      <c r="N961" s="937"/>
      <c r="O961" s="937"/>
      <c r="P961" s="937"/>
      <c r="Q961" s="937"/>
      <c r="R961" s="937"/>
      <c r="S961" s="937"/>
      <c r="T961" s="937"/>
      <c r="U961" s="937"/>
      <c r="V961" s="937"/>
      <c r="W961" s="937"/>
      <c r="X961" s="937"/>
      <c r="Y961" s="937"/>
      <c r="Z961" s="937"/>
    </row>
    <row r="962" spans="1:26" ht="15.75" customHeight="1">
      <c r="A962" s="937"/>
      <c r="B962" s="937"/>
      <c r="C962" s="937"/>
      <c r="D962" s="937"/>
      <c r="E962" s="937"/>
      <c r="F962" s="937"/>
      <c r="G962" s="937"/>
      <c r="H962" s="937"/>
      <c r="I962" s="937"/>
      <c r="J962" s="937"/>
      <c r="K962" s="937"/>
      <c r="L962" s="937"/>
      <c r="M962" s="937"/>
      <c r="N962" s="937"/>
      <c r="O962" s="937"/>
      <c r="P962" s="937"/>
      <c r="Q962" s="937"/>
      <c r="R962" s="937"/>
      <c r="S962" s="937"/>
      <c r="T962" s="937"/>
      <c r="U962" s="937"/>
      <c r="V962" s="937"/>
      <c r="W962" s="937"/>
      <c r="X962" s="937"/>
      <c r="Y962" s="937"/>
      <c r="Z962" s="937"/>
    </row>
    <row r="963" spans="1:26" ht="15.75" customHeight="1">
      <c r="A963" s="937"/>
      <c r="B963" s="937"/>
      <c r="C963" s="937"/>
      <c r="D963" s="937"/>
      <c r="E963" s="937"/>
      <c r="F963" s="937"/>
      <c r="G963" s="937"/>
      <c r="H963" s="937"/>
      <c r="I963" s="937"/>
      <c r="J963" s="937"/>
      <c r="K963" s="937"/>
      <c r="L963" s="937"/>
      <c r="M963" s="937"/>
      <c r="N963" s="937"/>
      <c r="O963" s="937"/>
      <c r="P963" s="937"/>
      <c r="Q963" s="937"/>
      <c r="R963" s="937"/>
      <c r="S963" s="937"/>
      <c r="T963" s="937"/>
      <c r="U963" s="937"/>
      <c r="V963" s="937"/>
      <c r="W963" s="937"/>
      <c r="X963" s="937"/>
      <c r="Y963" s="937"/>
      <c r="Z963" s="937"/>
    </row>
    <row r="964" spans="1:26" ht="15.75" customHeight="1">
      <c r="A964" s="937"/>
      <c r="B964" s="937"/>
      <c r="C964" s="937"/>
      <c r="D964" s="937"/>
      <c r="E964" s="937"/>
      <c r="F964" s="937"/>
      <c r="G964" s="937"/>
      <c r="H964" s="937"/>
      <c r="I964" s="937"/>
      <c r="J964" s="937"/>
      <c r="K964" s="937"/>
      <c r="L964" s="937"/>
      <c r="M964" s="937"/>
      <c r="N964" s="937"/>
      <c r="O964" s="937"/>
      <c r="P964" s="937"/>
      <c r="Q964" s="937"/>
      <c r="R964" s="937"/>
      <c r="S964" s="937"/>
      <c r="T964" s="937"/>
      <c r="U964" s="937"/>
      <c r="V964" s="937"/>
      <c r="W964" s="937"/>
      <c r="X964" s="937"/>
      <c r="Y964" s="937"/>
      <c r="Z964" s="937"/>
    </row>
    <row r="965" spans="1:26" ht="15.75" customHeight="1">
      <c r="A965" s="937"/>
      <c r="B965" s="937"/>
      <c r="C965" s="937"/>
      <c r="D965" s="937"/>
      <c r="E965" s="937"/>
      <c r="F965" s="937"/>
      <c r="G965" s="937"/>
      <c r="H965" s="937"/>
      <c r="I965" s="937"/>
      <c r="J965" s="937"/>
      <c r="K965" s="937"/>
      <c r="L965" s="937"/>
      <c r="M965" s="937"/>
      <c r="N965" s="937"/>
      <c r="O965" s="937"/>
      <c r="P965" s="937"/>
      <c r="Q965" s="937"/>
      <c r="R965" s="937"/>
      <c r="S965" s="937"/>
      <c r="T965" s="937"/>
      <c r="U965" s="937"/>
      <c r="V965" s="937"/>
      <c r="W965" s="937"/>
      <c r="X965" s="937"/>
      <c r="Y965" s="937"/>
      <c r="Z965" s="937"/>
    </row>
    <row r="966" spans="1:26" ht="15.75" customHeight="1">
      <c r="A966" s="937"/>
      <c r="B966" s="937"/>
      <c r="C966" s="937"/>
      <c r="D966" s="937"/>
      <c r="E966" s="937"/>
      <c r="F966" s="937"/>
      <c r="G966" s="937"/>
      <c r="H966" s="937"/>
      <c r="I966" s="937"/>
      <c r="J966" s="937"/>
      <c r="K966" s="937"/>
      <c r="L966" s="937"/>
      <c r="M966" s="937"/>
      <c r="N966" s="937"/>
      <c r="O966" s="937"/>
      <c r="P966" s="937"/>
      <c r="Q966" s="937"/>
      <c r="R966" s="937"/>
      <c r="S966" s="937"/>
      <c r="T966" s="937"/>
      <c r="U966" s="937"/>
      <c r="V966" s="937"/>
      <c r="W966" s="937"/>
      <c r="X966" s="937"/>
      <c r="Y966" s="937"/>
      <c r="Z966" s="937"/>
    </row>
    <row r="967" spans="1:26" ht="15.75" customHeight="1">
      <c r="A967" s="937"/>
      <c r="B967" s="937"/>
      <c r="C967" s="937"/>
      <c r="D967" s="937"/>
      <c r="E967" s="937"/>
      <c r="F967" s="937"/>
      <c r="G967" s="937"/>
      <c r="H967" s="937"/>
      <c r="I967" s="937"/>
      <c r="J967" s="937"/>
      <c r="K967" s="937"/>
      <c r="L967" s="937"/>
      <c r="M967" s="937"/>
      <c r="N967" s="937"/>
      <c r="O967" s="937"/>
      <c r="P967" s="937"/>
      <c r="Q967" s="937"/>
      <c r="R967" s="937"/>
      <c r="S967" s="937"/>
      <c r="T967" s="937"/>
      <c r="U967" s="937"/>
      <c r="V967" s="937"/>
      <c r="W967" s="937"/>
      <c r="X967" s="937"/>
      <c r="Y967" s="937"/>
      <c r="Z967" s="937"/>
    </row>
    <row r="968" spans="1:26" ht="15.75" customHeight="1">
      <c r="A968" s="937"/>
      <c r="B968" s="937"/>
      <c r="C968" s="937"/>
      <c r="D968" s="937"/>
      <c r="E968" s="937"/>
      <c r="F968" s="937"/>
      <c r="G968" s="937"/>
      <c r="H968" s="937"/>
      <c r="I968" s="937"/>
      <c r="J968" s="937"/>
      <c r="K968" s="937"/>
      <c r="L968" s="937"/>
      <c r="M968" s="937"/>
      <c r="N968" s="937"/>
      <c r="O968" s="937"/>
      <c r="P968" s="937"/>
      <c r="Q968" s="937"/>
      <c r="R968" s="937"/>
      <c r="S968" s="937"/>
      <c r="T968" s="937"/>
      <c r="U968" s="937"/>
      <c r="V968" s="937"/>
      <c r="W968" s="937"/>
      <c r="X968" s="937"/>
      <c r="Y968" s="937"/>
      <c r="Z968" s="937"/>
    </row>
    <row r="969" spans="1:26" ht="15.75" customHeight="1">
      <c r="A969" s="937"/>
      <c r="B969" s="937"/>
      <c r="C969" s="937"/>
      <c r="D969" s="937"/>
      <c r="E969" s="937"/>
      <c r="F969" s="937"/>
      <c r="G969" s="937"/>
      <c r="H969" s="937"/>
      <c r="I969" s="937"/>
      <c r="J969" s="937"/>
      <c r="K969" s="937"/>
      <c r="L969" s="937"/>
      <c r="M969" s="937"/>
      <c r="N969" s="937"/>
      <c r="O969" s="937"/>
      <c r="P969" s="937"/>
      <c r="Q969" s="937"/>
      <c r="R969" s="937"/>
      <c r="S969" s="937"/>
      <c r="T969" s="937"/>
      <c r="U969" s="937"/>
      <c r="V969" s="937"/>
      <c r="W969" s="937"/>
      <c r="X969" s="937"/>
      <c r="Y969" s="937"/>
      <c r="Z969" s="937"/>
    </row>
    <row r="970" spans="1:26" ht="15.75" customHeight="1">
      <c r="A970" s="937"/>
      <c r="B970" s="937"/>
      <c r="C970" s="937"/>
      <c r="D970" s="937"/>
      <c r="E970" s="937"/>
      <c r="F970" s="937"/>
      <c r="G970" s="937"/>
      <c r="H970" s="937"/>
      <c r="I970" s="937"/>
      <c r="J970" s="937"/>
      <c r="K970" s="937"/>
      <c r="L970" s="937"/>
      <c r="M970" s="937"/>
      <c r="N970" s="937"/>
      <c r="O970" s="937"/>
      <c r="P970" s="937"/>
      <c r="Q970" s="937"/>
      <c r="R970" s="937"/>
      <c r="S970" s="937"/>
      <c r="T970" s="937"/>
      <c r="U970" s="937"/>
      <c r="V970" s="937"/>
      <c r="W970" s="937"/>
      <c r="X970" s="937"/>
      <c r="Y970" s="937"/>
      <c r="Z970" s="937"/>
    </row>
    <row r="971" spans="1:26" ht="15.75" customHeight="1">
      <c r="A971" s="937"/>
      <c r="B971" s="937"/>
      <c r="C971" s="937"/>
      <c r="D971" s="937"/>
      <c r="E971" s="937"/>
      <c r="F971" s="937"/>
      <c r="G971" s="937"/>
      <c r="H971" s="937"/>
      <c r="I971" s="937"/>
      <c r="J971" s="937"/>
      <c r="K971" s="937"/>
      <c r="L971" s="937"/>
      <c r="M971" s="937"/>
      <c r="N971" s="937"/>
      <c r="O971" s="937"/>
      <c r="P971" s="937"/>
      <c r="Q971" s="937"/>
      <c r="R971" s="937"/>
      <c r="S971" s="937"/>
      <c r="T971" s="937"/>
      <c r="U971" s="937"/>
      <c r="V971" s="937"/>
      <c r="W971" s="937"/>
      <c r="X971" s="937"/>
      <c r="Y971" s="937"/>
      <c r="Z971" s="937"/>
    </row>
    <row r="972" spans="1:26" ht="15.75" customHeight="1">
      <c r="A972" s="937"/>
      <c r="B972" s="937"/>
      <c r="C972" s="937"/>
      <c r="D972" s="937"/>
      <c r="E972" s="937"/>
      <c r="F972" s="937"/>
      <c r="G972" s="937"/>
      <c r="H972" s="937"/>
      <c r="I972" s="937"/>
      <c r="J972" s="937"/>
      <c r="K972" s="937"/>
      <c r="L972" s="937"/>
      <c r="M972" s="937"/>
      <c r="N972" s="937"/>
      <c r="O972" s="937"/>
      <c r="P972" s="937"/>
      <c r="Q972" s="937"/>
      <c r="R972" s="937"/>
      <c r="S972" s="937"/>
      <c r="T972" s="937"/>
      <c r="U972" s="937"/>
      <c r="V972" s="937"/>
      <c r="W972" s="937"/>
      <c r="X972" s="937"/>
      <c r="Y972" s="937"/>
      <c r="Z972" s="937"/>
    </row>
    <row r="973" spans="1:26" ht="15.75" customHeight="1">
      <c r="A973" s="937"/>
      <c r="B973" s="937"/>
      <c r="C973" s="937"/>
      <c r="D973" s="937"/>
      <c r="E973" s="937"/>
      <c r="F973" s="937"/>
      <c r="G973" s="937"/>
      <c r="H973" s="937"/>
      <c r="I973" s="937"/>
      <c r="J973" s="937"/>
      <c r="K973" s="937"/>
      <c r="L973" s="937"/>
      <c r="M973" s="937"/>
      <c r="N973" s="937"/>
      <c r="O973" s="937"/>
      <c r="P973" s="937"/>
      <c r="Q973" s="937"/>
      <c r="R973" s="937"/>
      <c r="S973" s="937"/>
      <c r="T973" s="937"/>
      <c r="U973" s="937"/>
      <c r="V973" s="937"/>
      <c r="W973" s="937"/>
      <c r="X973" s="937"/>
      <c r="Y973" s="937"/>
      <c r="Z973" s="937"/>
    </row>
    <row r="974" spans="1:26" ht="15.75" customHeight="1">
      <c r="A974" s="937"/>
      <c r="B974" s="937"/>
      <c r="C974" s="937"/>
      <c r="D974" s="937"/>
      <c r="E974" s="937"/>
      <c r="F974" s="937"/>
      <c r="G974" s="937"/>
      <c r="H974" s="937"/>
      <c r="I974" s="937"/>
      <c r="J974" s="937"/>
      <c r="K974" s="937"/>
      <c r="L974" s="937"/>
      <c r="M974" s="937"/>
      <c r="N974" s="937"/>
      <c r="O974" s="937"/>
      <c r="P974" s="937"/>
      <c r="Q974" s="937"/>
      <c r="R974" s="937"/>
      <c r="S974" s="937"/>
      <c r="T974" s="937"/>
      <c r="U974" s="937"/>
      <c r="V974" s="937"/>
      <c r="W974" s="937"/>
      <c r="X974" s="937"/>
      <c r="Y974" s="937"/>
      <c r="Z974" s="937"/>
    </row>
    <row r="975" spans="1:26" ht="15.75" customHeight="1">
      <c r="A975" s="937"/>
      <c r="B975" s="937"/>
      <c r="C975" s="937"/>
      <c r="D975" s="937"/>
      <c r="E975" s="937"/>
      <c r="F975" s="937"/>
      <c r="G975" s="937"/>
      <c r="H975" s="937"/>
      <c r="I975" s="937"/>
      <c r="J975" s="937"/>
      <c r="K975" s="937"/>
      <c r="L975" s="937"/>
      <c r="M975" s="937"/>
      <c r="N975" s="937"/>
      <c r="O975" s="937"/>
      <c r="P975" s="937"/>
      <c r="Q975" s="937"/>
      <c r="R975" s="937"/>
      <c r="S975" s="937"/>
      <c r="T975" s="937"/>
      <c r="U975" s="937"/>
      <c r="V975" s="937"/>
      <c r="W975" s="937"/>
      <c r="X975" s="937"/>
      <c r="Y975" s="937"/>
      <c r="Z975" s="937"/>
    </row>
    <row r="976" spans="1:26" ht="15.75" customHeight="1">
      <c r="A976" s="937"/>
      <c r="B976" s="937"/>
      <c r="C976" s="937"/>
      <c r="D976" s="937"/>
      <c r="E976" s="937"/>
      <c r="F976" s="937"/>
      <c r="G976" s="937"/>
      <c r="H976" s="937"/>
      <c r="I976" s="937"/>
      <c r="J976" s="937"/>
      <c r="K976" s="937"/>
      <c r="L976" s="937"/>
      <c r="M976" s="937"/>
      <c r="N976" s="937"/>
      <c r="O976" s="937"/>
      <c r="P976" s="937"/>
      <c r="Q976" s="937"/>
      <c r="R976" s="937"/>
      <c r="S976" s="937"/>
      <c r="T976" s="937"/>
      <c r="U976" s="937"/>
      <c r="V976" s="937"/>
      <c r="W976" s="937"/>
      <c r="X976" s="937"/>
      <c r="Y976" s="937"/>
      <c r="Z976" s="937"/>
    </row>
    <row r="977" spans="1:26" ht="15.75" customHeight="1">
      <c r="A977" s="937"/>
      <c r="B977" s="937"/>
      <c r="C977" s="937"/>
      <c r="D977" s="937"/>
      <c r="E977" s="937"/>
      <c r="F977" s="937"/>
      <c r="G977" s="937"/>
      <c r="H977" s="937"/>
      <c r="I977" s="937"/>
      <c r="J977" s="937"/>
      <c r="K977" s="937"/>
      <c r="L977" s="937"/>
      <c r="M977" s="937"/>
      <c r="N977" s="937"/>
      <c r="O977" s="937"/>
      <c r="P977" s="937"/>
      <c r="Q977" s="937"/>
      <c r="R977" s="937"/>
      <c r="S977" s="937"/>
      <c r="T977" s="937"/>
      <c r="U977" s="937"/>
      <c r="V977" s="937"/>
      <c r="W977" s="937"/>
      <c r="X977" s="937"/>
      <c r="Y977" s="937"/>
      <c r="Z977" s="937"/>
    </row>
    <row r="978" spans="1:26" ht="15.75" customHeight="1">
      <c r="A978" s="937"/>
      <c r="B978" s="937"/>
      <c r="C978" s="937"/>
      <c r="D978" s="937"/>
      <c r="E978" s="937"/>
      <c r="F978" s="937"/>
      <c r="G978" s="937"/>
      <c r="H978" s="937"/>
      <c r="I978" s="937"/>
      <c r="J978" s="937"/>
      <c r="K978" s="937"/>
      <c r="L978" s="937"/>
      <c r="M978" s="937"/>
      <c r="N978" s="937"/>
      <c r="O978" s="937"/>
      <c r="P978" s="937"/>
      <c r="Q978" s="937"/>
      <c r="R978" s="937"/>
      <c r="S978" s="937"/>
      <c r="T978" s="937"/>
      <c r="U978" s="937"/>
      <c r="V978" s="937"/>
      <c r="W978" s="937"/>
      <c r="X978" s="937"/>
      <c r="Y978" s="937"/>
      <c r="Z978" s="937"/>
    </row>
    <row r="979" spans="1:26" ht="15.75" customHeight="1">
      <c r="A979" s="937"/>
      <c r="B979" s="937"/>
      <c r="C979" s="937"/>
      <c r="D979" s="937"/>
      <c r="E979" s="937"/>
      <c r="F979" s="937"/>
      <c r="G979" s="937"/>
      <c r="H979" s="937"/>
      <c r="I979" s="937"/>
      <c r="J979" s="937"/>
      <c r="K979" s="937"/>
      <c r="L979" s="937"/>
      <c r="M979" s="937"/>
      <c r="N979" s="937"/>
      <c r="O979" s="937"/>
      <c r="P979" s="937"/>
      <c r="Q979" s="937"/>
      <c r="R979" s="937"/>
      <c r="S979" s="937"/>
      <c r="T979" s="937"/>
      <c r="U979" s="937"/>
      <c r="V979" s="937"/>
      <c r="W979" s="937"/>
      <c r="X979" s="937"/>
      <c r="Y979" s="937"/>
      <c r="Z979" s="937"/>
    </row>
    <row r="980" spans="1:26" ht="15.75" customHeight="1">
      <c r="A980" s="937"/>
      <c r="B980" s="937"/>
      <c r="C980" s="937"/>
      <c r="D980" s="937"/>
      <c r="E980" s="937"/>
      <c r="F980" s="937"/>
      <c r="G980" s="937"/>
      <c r="H980" s="937"/>
      <c r="I980" s="937"/>
      <c r="J980" s="937"/>
      <c r="K980" s="937"/>
      <c r="L980" s="937"/>
      <c r="M980" s="937"/>
      <c r="N980" s="937"/>
      <c r="O980" s="937"/>
      <c r="P980" s="937"/>
      <c r="Q980" s="937"/>
      <c r="R980" s="937"/>
      <c r="S980" s="937"/>
      <c r="T980" s="937"/>
      <c r="U980" s="937"/>
      <c r="V980" s="937"/>
      <c r="W980" s="937"/>
      <c r="X980" s="937"/>
      <c r="Y980" s="937"/>
      <c r="Z980" s="937"/>
    </row>
    <row r="981" spans="1:26" ht="15.75" customHeight="1">
      <c r="A981" s="937"/>
      <c r="B981" s="937"/>
      <c r="C981" s="937"/>
      <c r="D981" s="937"/>
      <c r="E981" s="937"/>
      <c r="F981" s="937"/>
      <c r="G981" s="937"/>
      <c r="H981" s="937"/>
      <c r="I981" s="937"/>
      <c r="J981" s="937"/>
      <c r="K981" s="937"/>
      <c r="L981" s="937"/>
      <c r="M981" s="937"/>
      <c r="N981" s="937"/>
      <c r="O981" s="937"/>
      <c r="P981" s="937"/>
      <c r="Q981" s="937"/>
      <c r="R981" s="937"/>
      <c r="S981" s="937"/>
      <c r="T981" s="937"/>
      <c r="U981" s="937"/>
      <c r="V981" s="937"/>
      <c r="W981" s="937"/>
      <c r="X981" s="937"/>
      <c r="Y981" s="937"/>
      <c r="Z981" s="937"/>
    </row>
    <row r="982" spans="1:26" ht="15.75" customHeight="1">
      <c r="A982" s="937"/>
      <c r="B982" s="937"/>
      <c r="C982" s="937"/>
      <c r="D982" s="937"/>
      <c r="E982" s="937"/>
      <c r="F982" s="937"/>
      <c r="G982" s="937"/>
      <c r="H982" s="937"/>
      <c r="I982" s="937"/>
      <c r="J982" s="937"/>
      <c r="K982" s="937"/>
      <c r="L982" s="937"/>
      <c r="M982" s="937"/>
      <c r="N982" s="937"/>
      <c r="O982" s="937"/>
      <c r="P982" s="937"/>
      <c r="Q982" s="937"/>
      <c r="R982" s="937"/>
      <c r="S982" s="937"/>
      <c r="T982" s="937"/>
      <c r="U982" s="937"/>
      <c r="V982" s="937"/>
      <c r="W982" s="937"/>
      <c r="X982" s="937"/>
      <c r="Y982" s="937"/>
      <c r="Z982" s="937"/>
    </row>
    <row r="983" spans="1:26" ht="15.75" customHeight="1">
      <c r="A983" s="937"/>
      <c r="B983" s="937"/>
      <c r="C983" s="937"/>
      <c r="D983" s="937"/>
      <c r="E983" s="937"/>
      <c r="F983" s="937"/>
      <c r="G983" s="937"/>
      <c r="H983" s="937"/>
      <c r="I983" s="937"/>
      <c r="J983" s="937"/>
      <c r="K983" s="937"/>
      <c r="L983" s="937"/>
      <c r="M983" s="937"/>
      <c r="N983" s="937"/>
      <c r="O983" s="937"/>
      <c r="P983" s="937"/>
      <c r="Q983" s="937"/>
      <c r="R983" s="937"/>
      <c r="S983" s="937"/>
      <c r="T983" s="937"/>
      <c r="U983" s="937"/>
      <c r="V983" s="937"/>
      <c r="W983" s="937"/>
      <c r="X983" s="937"/>
      <c r="Y983" s="937"/>
      <c r="Z983" s="937"/>
    </row>
    <row r="984" spans="1:26" ht="15.75" customHeight="1">
      <c r="A984" s="937"/>
      <c r="B984" s="937"/>
      <c r="C984" s="937"/>
      <c r="D984" s="937"/>
      <c r="E984" s="937"/>
      <c r="F984" s="937"/>
      <c r="G984" s="937"/>
      <c r="H984" s="937"/>
      <c r="I984" s="937"/>
      <c r="J984" s="937"/>
      <c r="K984" s="937"/>
      <c r="L984" s="937"/>
      <c r="M984" s="937"/>
      <c r="N984" s="937"/>
      <c r="O984" s="937"/>
      <c r="P984" s="937"/>
      <c r="Q984" s="937"/>
      <c r="R984" s="937"/>
      <c r="S984" s="937"/>
      <c r="T984" s="937"/>
      <c r="U984" s="937"/>
      <c r="V984" s="937"/>
      <c r="W984" s="937"/>
      <c r="X984" s="937"/>
      <c r="Y984" s="937"/>
      <c r="Z984" s="937"/>
    </row>
    <row r="985" spans="1:26" ht="15.75" customHeight="1">
      <c r="A985" s="937"/>
      <c r="B985" s="937"/>
      <c r="C985" s="937"/>
      <c r="D985" s="937"/>
      <c r="E985" s="937"/>
      <c r="F985" s="937"/>
      <c r="G985" s="937"/>
      <c r="H985" s="937"/>
      <c r="I985" s="937"/>
      <c r="J985" s="937"/>
      <c r="K985" s="937"/>
      <c r="L985" s="937"/>
      <c r="M985" s="937"/>
      <c r="N985" s="937"/>
      <c r="O985" s="937"/>
      <c r="P985" s="937"/>
      <c r="Q985" s="937"/>
      <c r="R985" s="937"/>
      <c r="S985" s="937"/>
      <c r="T985" s="937"/>
      <c r="U985" s="937"/>
      <c r="V985" s="937"/>
      <c r="W985" s="937"/>
      <c r="X985" s="937"/>
      <c r="Y985" s="937"/>
      <c r="Z985" s="937"/>
    </row>
    <row r="986" spans="1:26" ht="15.75" customHeight="1">
      <c r="A986" s="937"/>
      <c r="B986" s="937"/>
      <c r="C986" s="937"/>
      <c r="D986" s="937"/>
      <c r="E986" s="937"/>
      <c r="F986" s="937"/>
      <c r="G986" s="937"/>
      <c r="H986" s="937"/>
      <c r="I986" s="937"/>
      <c r="J986" s="937"/>
      <c r="K986" s="937"/>
      <c r="L986" s="937"/>
      <c r="M986" s="937"/>
      <c r="N986" s="937"/>
      <c r="O986" s="937"/>
      <c r="P986" s="937"/>
      <c r="Q986" s="937"/>
      <c r="R986" s="937"/>
      <c r="S986" s="937"/>
      <c r="T986" s="937"/>
      <c r="U986" s="937"/>
      <c r="V986" s="937"/>
      <c r="W986" s="937"/>
      <c r="X986" s="937"/>
      <c r="Y986" s="937"/>
      <c r="Z986" s="937"/>
    </row>
    <row r="987" spans="1:26" ht="15.75" customHeight="1">
      <c r="A987" s="937"/>
      <c r="B987" s="937"/>
      <c r="C987" s="937"/>
      <c r="D987" s="937"/>
      <c r="E987" s="937"/>
      <c r="F987" s="937"/>
      <c r="G987" s="937"/>
      <c r="H987" s="937"/>
      <c r="I987" s="937"/>
      <c r="J987" s="937"/>
      <c r="K987" s="937"/>
      <c r="L987" s="937"/>
      <c r="M987" s="937"/>
      <c r="N987" s="937"/>
      <c r="O987" s="937"/>
      <c r="P987" s="937"/>
      <c r="Q987" s="937"/>
      <c r="R987" s="937"/>
      <c r="S987" s="937"/>
      <c r="T987" s="937"/>
      <c r="U987" s="937"/>
      <c r="V987" s="937"/>
      <c r="W987" s="937"/>
      <c r="X987" s="937"/>
      <c r="Y987" s="937"/>
      <c r="Z987" s="937"/>
    </row>
    <row r="988" spans="1:26" ht="15.75" customHeight="1">
      <c r="A988" s="937"/>
      <c r="B988" s="937"/>
      <c r="C988" s="937"/>
      <c r="D988" s="937"/>
      <c r="E988" s="937"/>
      <c r="F988" s="937"/>
      <c r="G988" s="937"/>
      <c r="H988" s="937"/>
      <c r="I988" s="937"/>
      <c r="J988" s="937"/>
      <c r="K988" s="937"/>
      <c r="L988" s="937"/>
      <c r="M988" s="937"/>
      <c r="N988" s="937"/>
      <c r="O988" s="937"/>
      <c r="P988" s="937"/>
      <c r="Q988" s="937"/>
      <c r="R988" s="937"/>
      <c r="S988" s="937"/>
      <c r="T988" s="937"/>
      <c r="U988" s="937"/>
      <c r="V988" s="937"/>
      <c r="W988" s="937"/>
      <c r="X988" s="937"/>
      <c r="Y988" s="937"/>
      <c r="Z988" s="937"/>
    </row>
    <row r="989" spans="1:26" ht="15.75" customHeight="1">
      <c r="A989" s="937"/>
      <c r="B989" s="937"/>
      <c r="C989" s="937"/>
      <c r="D989" s="937"/>
      <c r="E989" s="937"/>
      <c r="F989" s="937"/>
      <c r="G989" s="937"/>
      <c r="H989" s="937"/>
      <c r="I989" s="937"/>
      <c r="J989" s="937"/>
      <c r="K989" s="937"/>
      <c r="L989" s="937"/>
      <c r="M989" s="937"/>
      <c r="N989" s="937"/>
      <c r="O989" s="937"/>
      <c r="P989" s="937"/>
      <c r="Q989" s="937"/>
      <c r="R989" s="937"/>
      <c r="S989" s="937"/>
      <c r="T989" s="937"/>
      <c r="U989" s="937"/>
      <c r="V989" s="937"/>
      <c r="W989" s="937"/>
      <c r="X989" s="937"/>
      <c r="Y989" s="937"/>
      <c r="Z989" s="937"/>
    </row>
    <row r="990" spans="1:26" ht="15.75" customHeight="1">
      <c r="A990" s="937"/>
      <c r="B990" s="937"/>
      <c r="C990" s="937"/>
      <c r="D990" s="937"/>
      <c r="E990" s="937"/>
      <c r="F990" s="937"/>
      <c r="G990" s="937"/>
      <c r="H990" s="937"/>
      <c r="I990" s="937"/>
      <c r="J990" s="937"/>
      <c r="K990" s="937"/>
      <c r="L990" s="937"/>
      <c r="M990" s="937"/>
      <c r="N990" s="937"/>
      <c r="O990" s="937"/>
      <c r="P990" s="937"/>
      <c r="Q990" s="937"/>
      <c r="R990" s="937"/>
      <c r="S990" s="937"/>
      <c r="T990" s="937"/>
      <c r="U990" s="937"/>
      <c r="V990" s="937"/>
      <c r="W990" s="937"/>
      <c r="X990" s="937"/>
      <c r="Y990" s="937"/>
      <c r="Z990" s="937"/>
    </row>
    <row r="991" spans="1:26" ht="15.75" customHeight="1">
      <c r="A991" s="937"/>
      <c r="B991" s="937"/>
      <c r="C991" s="937"/>
      <c r="D991" s="937"/>
      <c r="E991" s="937"/>
      <c r="F991" s="937"/>
      <c r="G991" s="937"/>
      <c r="H991" s="937"/>
      <c r="I991" s="937"/>
      <c r="J991" s="937"/>
      <c r="K991" s="937"/>
      <c r="L991" s="937"/>
      <c r="M991" s="937"/>
      <c r="N991" s="937"/>
      <c r="O991" s="937"/>
      <c r="P991" s="937"/>
      <c r="Q991" s="937"/>
      <c r="R991" s="937"/>
      <c r="S991" s="937"/>
      <c r="T991" s="937"/>
      <c r="U991" s="937"/>
      <c r="V991" s="937"/>
      <c r="W991" s="937"/>
      <c r="X991" s="937"/>
      <c r="Y991" s="937"/>
      <c r="Z991" s="937"/>
    </row>
    <row r="992" spans="1:26" ht="15.75" customHeight="1">
      <c r="A992" s="937"/>
      <c r="B992" s="937"/>
      <c r="C992" s="937"/>
      <c r="D992" s="937"/>
      <c r="E992" s="937"/>
      <c r="F992" s="937"/>
      <c r="G992" s="937"/>
      <c r="H992" s="937"/>
      <c r="I992" s="937"/>
      <c r="J992" s="937"/>
      <c r="K992" s="937"/>
      <c r="L992" s="937"/>
      <c r="M992" s="937"/>
      <c r="N992" s="937"/>
      <c r="O992" s="937"/>
      <c r="P992" s="937"/>
      <c r="Q992" s="937"/>
      <c r="R992" s="937"/>
      <c r="S992" s="937"/>
      <c r="T992" s="937"/>
      <c r="U992" s="937"/>
      <c r="V992" s="937"/>
      <c r="W992" s="937"/>
      <c r="X992" s="937"/>
      <c r="Y992" s="937"/>
      <c r="Z992" s="937"/>
    </row>
    <row r="993" spans="1:26" ht="15.75" customHeight="1">
      <c r="A993" s="937"/>
      <c r="B993" s="937"/>
      <c r="C993" s="937"/>
      <c r="D993" s="937"/>
      <c r="E993" s="937"/>
      <c r="F993" s="937"/>
      <c r="G993" s="937"/>
      <c r="H993" s="937"/>
      <c r="I993" s="937"/>
      <c r="J993" s="937"/>
      <c r="K993" s="937"/>
      <c r="L993" s="937"/>
      <c r="M993" s="937"/>
      <c r="N993" s="937"/>
      <c r="O993" s="937"/>
      <c r="P993" s="937"/>
      <c r="Q993" s="937"/>
      <c r="R993" s="937"/>
      <c r="S993" s="937"/>
      <c r="T993" s="937"/>
      <c r="U993" s="937"/>
      <c r="V993" s="937"/>
      <c r="W993" s="937"/>
      <c r="X993" s="937"/>
      <c r="Y993" s="937"/>
      <c r="Z993" s="937"/>
    </row>
    <row r="994" spans="1:26" ht="15.75" customHeight="1">
      <c r="A994" s="937"/>
      <c r="B994" s="937"/>
      <c r="C994" s="937"/>
      <c r="D994" s="937"/>
      <c r="E994" s="937"/>
      <c r="F994" s="937"/>
      <c r="G994" s="937"/>
      <c r="H994" s="937"/>
      <c r="I994" s="937"/>
      <c r="J994" s="937"/>
      <c r="K994" s="937"/>
      <c r="L994" s="937"/>
      <c r="M994" s="937"/>
      <c r="N994" s="937"/>
      <c r="O994" s="937"/>
      <c r="P994" s="937"/>
      <c r="Q994" s="937"/>
      <c r="R994" s="937"/>
      <c r="S994" s="937"/>
      <c r="T994" s="937"/>
      <c r="U994" s="937"/>
      <c r="V994" s="937"/>
      <c r="W994" s="937"/>
      <c r="X994" s="937"/>
      <c r="Y994" s="937"/>
      <c r="Z994" s="937"/>
    </row>
    <row r="995" spans="1:26" ht="15.75" customHeight="1">
      <c r="A995" s="937"/>
      <c r="B995" s="937"/>
      <c r="C995" s="937"/>
      <c r="D995" s="937"/>
      <c r="E995" s="937"/>
      <c r="F995" s="937"/>
      <c r="G995" s="937"/>
      <c r="H995" s="937"/>
      <c r="I995" s="937"/>
      <c r="J995" s="937"/>
      <c r="K995" s="937"/>
      <c r="L995" s="937"/>
      <c r="M995" s="937"/>
      <c r="N995" s="937"/>
      <c r="O995" s="937"/>
      <c r="P995" s="937"/>
      <c r="Q995" s="937"/>
      <c r="R995" s="937"/>
      <c r="S995" s="937"/>
      <c r="T995" s="937"/>
      <c r="U995" s="937"/>
      <c r="V995" s="937"/>
      <c r="W995" s="937"/>
      <c r="X995" s="937"/>
      <c r="Y995" s="937"/>
      <c r="Z995" s="937"/>
    </row>
    <row r="996" spans="1:26" ht="15.75" customHeight="1">
      <c r="A996" s="937"/>
      <c r="B996" s="937"/>
      <c r="C996" s="937"/>
      <c r="D996" s="937"/>
      <c r="E996" s="937"/>
      <c r="F996" s="937"/>
      <c r="G996" s="937"/>
      <c r="H996" s="937"/>
      <c r="I996" s="937"/>
      <c r="J996" s="937"/>
      <c r="K996" s="937"/>
      <c r="L996" s="937"/>
      <c r="M996" s="937"/>
      <c r="N996" s="937"/>
      <c r="O996" s="937"/>
      <c r="P996" s="937"/>
      <c r="Q996" s="937"/>
      <c r="R996" s="937"/>
      <c r="S996" s="937"/>
      <c r="T996" s="937"/>
      <c r="U996" s="937"/>
      <c r="V996" s="937"/>
      <c r="W996" s="937"/>
      <c r="X996" s="937"/>
      <c r="Y996" s="937"/>
      <c r="Z996" s="937"/>
    </row>
    <row r="997" spans="1:26" ht="15.75" customHeight="1">
      <c r="A997" s="937"/>
      <c r="B997" s="937"/>
      <c r="C997" s="937"/>
      <c r="D997" s="937"/>
      <c r="E997" s="937"/>
      <c r="F997" s="937"/>
      <c r="G997" s="937"/>
      <c r="H997" s="937"/>
      <c r="I997" s="937"/>
      <c r="J997" s="937"/>
      <c r="K997" s="937"/>
      <c r="L997" s="937"/>
      <c r="M997" s="937"/>
      <c r="N997" s="937"/>
      <c r="O997" s="937"/>
      <c r="P997" s="937"/>
      <c r="Q997" s="937"/>
      <c r="R997" s="937"/>
      <c r="S997" s="937"/>
      <c r="T997" s="937"/>
      <c r="U997" s="937"/>
      <c r="V997" s="937"/>
      <c r="W997" s="937"/>
      <c r="X997" s="937"/>
      <c r="Y997" s="937"/>
      <c r="Z997" s="937"/>
    </row>
    <row r="998" spans="1:26" ht="15.75" customHeight="1">
      <c r="A998" s="937"/>
      <c r="B998" s="937"/>
      <c r="C998" s="937"/>
      <c r="D998" s="937"/>
      <c r="E998" s="937"/>
      <c r="F998" s="937"/>
      <c r="G998" s="937"/>
      <c r="H998" s="937"/>
      <c r="I998" s="937"/>
      <c r="J998" s="937"/>
      <c r="K998" s="937"/>
      <c r="L998" s="937"/>
      <c r="M998" s="937"/>
      <c r="N998" s="937"/>
      <c r="O998" s="937"/>
      <c r="P998" s="937"/>
      <c r="Q998" s="937"/>
      <c r="R998" s="937"/>
      <c r="S998" s="937"/>
      <c r="T998" s="937"/>
      <c r="U998" s="937"/>
      <c r="V998" s="937"/>
      <c r="W998" s="937"/>
      <c r="X998" s="937"/>
      <c r="Y998" s="937"/>
      <c r="Z998" s="937"/>
    </row>
    <row r="999" spans="1:26" ht="15.75" customHeight="1">
      <c r="A999" s="937"/>
      <c r="B999" s="937"/>
      <c r="C999" s="937"/>
      <c r="D999" s="937"/>
      <c r="E999" s="937"/>
      <c r="F999" s="937"/>
      <c r="G999" s="937"/>
      <c r="H999" s="937"/>
      <c r="I999" s="937"/>
      <c r="J999" s="937"/>
      <c r="K999" s="937"/>
      <c r="L999" s="937"/>
      <c r="M999" s="937"/>
      <c r="N999" s="937"/>
      <c r="O999" s="937"/>
      <c r="P999" s="937"/>
      <c r="Q999" s="937"/>
      <c r="R999" s="937"/>
      <c r="S999" s="937"/>
      <c r="T999" s="937"/>
      <c r="U999" s="937"/>
      <c r="V999" s="937"/>
      <c r="W999" s="937"/>
      <c r="X999" s="937"/>
      <c r="Y999" s="937"/>
      <c r="Z999" s="937"/>
    </row>
    <row r="1000" spans="1:26" ht="15.75" customHeight="1">
      <c r="A1000" s="937"/>
      <c r="B1000" s="937"/>
      <c r="C1000" s="937"/>
      <c r="D1000" s="937"/>
      <c r="E1000" s="937"/>
      <c r="F1000" s="937"/>
      <c r="G1000" s="937"/>
      <c r="H1000" s="937"/>
      <c r="I1000" s="937"/>
      <c r="J1000" s="937"/>
      <c r="K1000" s="937"/>
      <c r="L1000" s="937"/>
      <c r="M1000" s="937"/>
      <c r="N1000" s="937"/>
      <c r="O1000" s="937"/>
      <c r="P1000" s="937"/>
      <c r="Q1000" s="937"/>
      <c r="R1000" s="937"/>
      <c r="S1000" s="937"/>
      <c r="T1000" s="937"/>
      <c r="U1000" s="937"/>
      <c r="V1000" s="937"/>
      <c r="W1000" s="937"/>
      <c r="X1000" s="937"/>
      <c r="Y1000" s="937"/>
      <c r="Z1000" s="937"/>
    </row>
    <row r="1001" spans="1:26" ht="15.75" customHeight="1">
      <c r="A1001" s="937"/>
      <c r="B1001" s="937"/>
      <c r="C1001" s="937"/>
      <c r="D1001" s="937"/>
      <c r="E1001" s="937"/>
      <c r="F1001" s="937"/>
      <c r="G1001" s="937"/>
      <c r="H1001" s="937"/>
      <c r="I1001" s="937"/>
      <c r="J1001" s="937"/>
      <c r="K1001" s="937"/>
      <c r="L1001" s="937"/>
      <c r="M1001" s="937"/>
      <c r="N1001" s="937"/>
      <c r="O1001" s="937"/>
      <c r="P1001" s="937"/>
      <c r="Q1001" s="937"/>
      <c r="R1001" s="937"/>
      <c r="S1001" s="937"/>
      <c r="T1001" s="937"/>
      <c r="U1001" s="937"/>
      <c r="V1001" s="937"/>
      <c r="W1001" s="937"/>
      <c r="X1001" s="937"/>
      <c r="Y1001" s="937"/>
      <c r="Z1001" s="937"/>
    </row>
    <row r="1002" spans="1:26" ht="15.75" customHeight="1">
      <c r="A1002" s="937"/>
      <c r="B1002" s="937"/>
      <c r="C1002" s="937"/>
      <c r="D1002" s="937"/>
      <c r="E1002" s="937"/>
      <c r="F1002" s="937"/>
      <c r="G1002" s="937"/>
      <c r="H1002" s="937"/>
      <c r="I1002" s="937"/>
      <c r="J1002" s="937"/>
      <c r="K1002" s="937"/>
      <c r="L1002" s="937"/>
      <c r="M1002" s="937"/>
      <c r="N1002" s="937"/>
      <c r="O1002" s="937"/>
      <c r="P1002" s="937"/>
      <c r="Q1002" s="937"/>
      <c r="R1002" s="937"/>
      <c r="S1002" s="937"/>
      <c r="T1002" s="937"/>
      <c r="U1002" s="937"/>
      <c r="V1002" s="937"/>
      <c r="W1002" s="937"/>
      <c r="X1002" s="937"/>
      <c r="Y1002" s="937"/>
      <c r="Z1002" s="937"/>
    </row>
    <row r="1003" spans="1:26" ht="15.75" customHeight="1">
      <c r="A1003" s="937"/>
      <c r="B1003" s="937"/>
      <c r="C1003" s="937"/>
      <c r="D1003" s="937"/>
      <c r="E1003" s="937"/>
      <c r="F1003" s="937"/>
      <c r="G1003" s="937"/>
      <c r="H1003" s="937"/>
      <c r="I1003" s="937"/>
      <c r="J1003" s="937"/>
      <c r="K1003" s="937"/>
      <c r="L1003" s="937"/>
      <c r="M1003" s="937"/>
      <c r="N1003" s="937"/>
      <c r="O1003" s="937"/>
      <c r="P1003" s="937"/>
      <c r="Q1003" s="937"/>
      <c r="R1003" s="937"/>
      <c r="S1003" s="937"/>
      <c r="T1003" s="937"/>
      <c r="U1003" s="937"/>
      <c r="V1003" s="937"/>
      <c r="W1003" s="937"/>
      <c r="X1003" s="937"/>
      <c r="Y1003" s="937"/>
      <c r="Z1003" s="937"/>
    </row>
    <row r="1004" spans="1:26" ht="15.75" customHeight="1">
      <c r="A1004" s="937"/>
      <c r="B1004" s="937"/>
      <c r="C1004" s="937"/>
      <c r="D1004" s="937"/>
      <c r="E1004" s="937"/>
      <c r="F1004" s="937"/>
      <c r="G1004" s="937"/>
      <c r="H1004" s="937"/>
      <c r="I1004" s="937"/>
      <c r="J1004" s="937"/>
      <c r="K1004" s="937"/>
      <c r="L1004" s="937"/>
      <c r="M1004" s="937"/>
      <c r="N1004" s="937"/>
      <c r="O1004" s="937"/>
      <c r="P1004" s="937"/>
      <c r="Q1004" s="937"/>
      <c r="R1004" s="937"/>
      <c r="S1004" s="937"/>
      <c r="T1004" s="937"/>
      <c r="U1004" s="937"/>
      <c r="V1004" s="937"/>
      <c r="W1004" s="937"/>
      <c r="X1004" s="937"/>
      <c r="Y1004" s="937"/>
      <c r="Z1004" s="937"/>
    </row>
    <row r="1005" spans="1:26" ht="15.75" customHeight="1">
      <c r="A1005" s="937"/>
      <c r="B1005" s="937"/>
      <c r="C1005" s="937"/>
      <c r="D1005" s="937"/>
      <c r="E1005" s="937"/>
      <c r="F1005" s="937"/>
      <c r="G1005" s="937"/>
      <c r="H1005" s="937"/>
      <c r="I1005" s="937"/>
      <c r="J1005" s="937"/>
      <c r="K1005" s="937"/>
      <c r="L1005" s="937"/>
      <c r="M1005" s="937"/>
      <c r="N1005" s="937"/>
      <c r="O1005" s="937"/>
      <c r="P1005" s="937"/>
      <c r="Q1005" s="937"/>
      <c r="R1005" s="937"/>
      <c r="S1005" s="937"/>
      <c r="T1005" s="937"/>
      <c r="U1005" s="937"/>
      <c r="V1005" s="937"/>
      <c r="W1005" s="937"/>
      <c r="X1005" s="937"/>
      <c r="Y1005" s="937"/>
      <c r="Z1005" s="937"/>
    </row>
    <row r="1006" spans="1:26" ht="15.75" customHeight="1">
      <c r="A1006" s="937"/>
      <c r="B1006" s="937"/>
      <c r="C1006" s="937"/>
      <c r="D1006" s="937"/>
      <c r="E1006" s="937"/>
      <c r="F1006" s="937"/>
      <c r="G1006" s="937"/>
      <c r="H1006" s="937"/>
      <c r="I1006" s="937"/>
      <c r="J1006" s="937"/>
      <c r="K1006" s="937"/>
      <c r="L1006" s="937"/>
      <c r="M1006" s="937"/>
      <c r="N1006" s="937"/>
      <c r="O1006" s="937"/>
      <c r="P1006" s="937"/>
      <c r="Q1006" s="937"/>
      <c r="R1006" s="937"/>
      <c r="S1006" s="937"/>
      <c r="T1006" s="937"/>
      <c r="U1006" s="937"/>
      <c r="V1006" s="937"/>
      <c r="W1006" s="937"/>
      <c r="X1006" s="937"/>
      <c r="Y1006" s="937"/>
      <c r="Z1006" s="937"/>
    </row>
    <row r="1007" spans="1:26" ht="15.75" customHeight="1">
      <c r="A1007" s="937"/>
      <c r="B1007" s="937"/>
      <c r="C1007" s="937"/>
      <c r="D1007" s="937"/>
      <c r="E1007" s="937"/>
      <c r="F1007" s="937"/>
      <c r="G1007" s="937"/>
      <c r="H1007" s="937"/>
      <c r="I1007" s="937"/>
      <c r="J1007" s="937"/>
      <c r="K1007" s="937"/>
      <c r="L1007" s="937"/>
      <c r="M1007" s="937"/>
      <c r="N1007" s="937"/>
      <c r="O1007" s="937"/>
      <c r="P1007" s="937"/>
      <c r="Q1007" s="937"/>
      <c r="R1007" s="937"/>
      <c r="S1007" s="937"/>
      <c r="T1007" s="937"/>
      <c r="U1007" s="937"/>
      <c r="V1007" s="937"/>
      <c r="W1007" s="937"/>
      <c r="X1007" s="937"/>
      <c r="Y1007" s="937"/>
      <c r="Z1007" s="937"/>
    </row>
    <row r="1008" spans="1:26" ht="15.75" customHeight="1">
      <c r="A1008" s="937"/>
      <c r="B1008" s="937"/>
      <c r="C1008" s="937"/>
      <c r="D1008" s="937"/>
      <c r="E1008" s="937"/>
      <c r="F1008" s="937"/>
      <c r="G1008" s="937"/>
      <c r="H1008" s="937"/>
      <c r="I1008" s="937"/>
      <c r="J1008" s="937"/>
      <c r="K1008" s="937"/>
      <c r="L1008" s="937"/>
      <c r="M1008" s="937"/>
      <c r="N1008" s="937"/>
      <c r="O1008" s="937"/>
      <c r="P1008" s="937"/>
      <c r="Q1008" s="937"/>
      <c r="R1008" s="937"/>
      <c r="S1008" s="937"/>
      <c r="T1008" s="937"/>
      <c r="U1008" s="937"/>
      <c r="V1008" s="937"/>
      <c r="W1008" s="937"/>
      <c r="X1008" s="937"/>
      <c r="Y1008" s="937"/>
      <c r="Z1008" s="937"/>
    </row>
    <row r="1009" spans="1:26" ht="15.75" customHeight="1">
      <c r="A1009" s="937"/>
      <c r="B1009" s="937"/>
      <c r="C1009" s="937"/>
      <c r="D1009" s="937"/>
      <c r="E1009" s="937"/>
      <c r="F1009" s="937"/>
      <c r="G1009" s="937"/>
      <c r="H1009" s="937"/>
      <c r="I1009" s="937"/>
      <c r="J1009" s="937"/>
      <c r="K1009" s="937"/>
      <c r="L1009" s="937"/>
      <c r="M1009" s="937"/>
      <c r="N1009" s="937"/>
      <c r="O1009" s="937"/>
      <c r="P1009" s="937"/>
      <c r="Q1009" s="937"/>
      <c r="R1009" s="937"/>
      <c r="S1009" s="937"/>
      <c r="T1009" s="937"/>
      <c r="U1009" s="937"/>
      <c r="V1009" s="937"/>
      <c r="W1009" s="937"/>
      <c r="X1009" s="937"/>
      <c r="Y1009" s="937"/>
      <c r="Z1009" s="937"/>
    </row>
    <row r="1010" spans="1:26" ht="15.75" customHeight="1">
      <c r="A1010" s="937"/>
      <c r="B1010" s="937"/>
      <c r="C1010" s="937"/>
      <c r="D1010" s="937"/>
      <c r="E1010" s="937"/>
      <c r="F1010" s="937"/>
      <c r="G1010" s="937"/>
      <c r="H1010" s="937"/>
      <c r="I1010" s="937"/>
      <c r="J1010" s="937"/>
      <c r="K1010" s="937"/>
      <c r="L1010" s="937"/>
      <c r="M1010" s="937"/>
      <c r="N1010" s="937"/>
      <c r="O1010" s="937"/>
      <c r="P1010" s="937"/>
      <c r="Q1010" s="937"/>
      <c r="R1010" s="937"/>
      <c r="S1010" s="937"/>
      <c r="T1010" s="937"/>
      <c r="U1010" s="937"/>
      <c r="V1010" s="937"/>
      <c r="W1010" s="937"/>
      <c r="X1010" s="937"/>
      <c r="Y1010" s="937"/>
      <c r="Z1010" s="937"/>
    </row>
    <row r="1011" spans="1:26" ht="15.75" customHeight="1">
      <c r="A1011" s="937"/>
      <c r="B1011" s="937"/>
      <c r="C1011" s="937"/>
      <c r="D1011" s="937"/>
      <c r="E1011" s="937"/>
      <c r="F1011" s="937"/>
      <c r="G1011" s="937"/>
      <c r="H1011" s="937"/>
      <c r="I1011" s="937"/>
      <c r="J1011" s="937"/>
      <c r="K1011" s="937"/>
      <c r="L1011" s="937"/>
      <c r="M1011" s="937"/>
      <c r="N1011" s="937"/>
      <c r="O1011" s="937"/>
      <c r="P1011" s="937"/>
      <c r="Q1011" s="937"/>
      <c r="R1011" s="937"/>
      <c r="S1011" s="937"/>
      <c r="T1011" s="937"/>
      <c r="U1011" s="937"/>
      <c r="V1011" s="937"/>
      <c r="W1011" s="937"/>
      <c r="X1011" s="937"/>
      <c r="Y1011" s="937"/>
      <c r="Z1011" s="937"/>
    </row>
    <row r="1012" spans="1:26" ht="15.75" customHeight="1">
      <c r="A1012" s="937"/>
      <c r="B1012" s="937"/>
      <c r="C1012" s="937"/>
      <c r="D1012" s="937"/>
      <c r="E1012" s="937"/>
      <c r="F1012" s="937"/>
      <c r="G1012" s="937"/>
      <c r="H1012" s="937"/>
      <c r="I1012" s="937"/>
      <c r="J1012" s="937"/>
      <c r="K1012" s="937"/>
      <c r="L1012" s="937"/>
      <c r="M1012" s="937"/>
      <c r="N1012" s="937"/>
      <c r="O1012" s="937"/>
      <c r="P1012" s="937"/>
      <c r="Q1012" s="937"/>
      <c r="R1012" s="937"/>
      <c r="S1012" s="937"/>
      <c r="T1012" s="937"/>
      <c r="U1012" s="937"/>
      <c r="V1012" s="937"/>
      <c r="W1012" s="937"/>
      <c r="X1012" s="937"/>
      <c r="Y1012" s="937"/>
      <c r="Z1012" s="937"/>
    </row>
    <row r="1013" spans="1:26" ht="15.75" customHeight="1">
      <c r="A1013" s="937"/>
      <c r="B1013" s="937"/>
      <c r="C1013" s="937"/>
      <c r="D1013" s="937"/>
      <c r="E1013" s="937"/>
      <c r="F1013" s="937"/>
      <c r="G1013" s="937"/>
      <c r="H1013" s="937"/>
      <c r="I1013" s="937"/>
      <c r="J1013" s="937"/>
      <c r="K1013" s="937"/>
      <c r="L1013" s="937"/>
      <c r="M1013" s="937"/>
      <c r="N1013" s="937"/>
      <c r="O1013" s="937"/>
      <c r="P1013" s="937"/>
      <c r="Q1013" s="937"/>
      <c r="R1013" s="937"/>
      <c r="S1013" s="937"/>
      <c r="T1013" s="937"/>
      <c r="U1013" s="937"/>
      <c r="V1013" s="937"/>
      <c r="W1013" s="937"/>
      <c r="X1013" s="937"/>
      <c r="Y1013" s="937"/>
      <c r="Z1013" s="937"/>
    </row>
    <row r="1014" spans="1:26" ht="15.75" customHeight="1">
      <c r="A1014" s="937"/>
      <c r="B1014" s="937"/>
      <c r="C1014" s="937"/>
      <c r="D1014" s="937"/>
      <c r="E1014" s="937"/>
      <c r="F1014" s="937"/>
      <c r="G1014" s="937"/>
      <c r="H1014" s="937"/>
      <c r="I1014" s="937"/>
      <c r="J1014" s="937"/>
      <c r="K1014" s="937"/>
      <c r="L1014" s="937"/>
      <c r="M1014" s="937"/>
      <c r="N1014" s="937"/>
      <c r="O1014" s="937"/>
      <c r="P1014" s="937"/>
      <c r="Q1014" s="937"/>
      <c r="R1014" s="937"/>
      <c r="S1014" s="937"/>
      <c r="T1014" s="937"/>
      <c r="U1014" s="937"/>
      <c r="V1014" s="937"/>
      <c r="W1014" s="937"/>
      <c r="X1014" s="937"/>
      <c r="Y1014" s="937"/>
      <c r="Z1014" s="937"/>
    </row>
    <row r="1015" spans="1:26" ht="15.75" customHeight="1">
      <c r="A1015" s="937"/>
      <c r="B1015" s="937"/>
      <c r="C1015" s="937"/>
      <c r="D1015" s="937"/>
      <c r="E1015" s="937"/>
      <c r="F1015" s="937"/>
      <c r="G1015" s="937"/>
      <c r="H1015" s="937"/>
      <c r="I1015" s="937"/>
      <c r="J1015" s="937"/>
      <c r="K1015" s="937"/>
      <c r="L1015" s="937"/>
      <c r="M1015" s="937"/>
      <c r="N1015" s="937"/>
      <c r="O1015" s="937"/>
      <c r="P1015" s="937"/>
      <c r="Q1015" s="937"/>
      <c r="R1015" s="937"/>
      <c r="S1015" s="937"/>
      <c r="T1015" s="937"/>
      <c r="U1015" s="937"/>
      <c r="V1015" s="937"/>
      <c r="W1015" s="937"/>
      <c r="X1015" s="937"/>
      <c r="Y1015" s="937"/>
      <c r="Z1015" s="937"/>
    </row>
    <row r="1016" spans="1:26" ht="15.75" customHeight="1">
      <c r="A1016" s="937"/>
      <c r="B1016" s="937"/>
      <c r="C1016" s="937"/>
      <c r="D1016" s="937"/>
      <c r="E1016" s="937"/>
      <c r="F1016" s="937"/>
      <c r="G1016" s="937"/>
      <c r="H1016" s="937"/>
      <c r="I1016" s="937"/>
      <c r="J1016" s="937"/>
      <c r="K1016" s="937"/>
      <c r="L1016" s="937"/>
      <c r="M1016" s="937"/>
      <c r="N1016" s="937"/>
      <c r="O1016" s="937"/>
      <c r="P1016" s="937"/>
      <c r="Q1016" s="937"/>
      <c r="R1016" s="937"/>
      <c r="S1016" s="937"/>
      <c r="T1016" s="937"/>
      <c r="U1016" s="937"/>
      <c r="V1016" s="937"/>
      <c r="W1016" s="937"/>
      <c r="X1016" s="937"/>
      <c r="Y1016" s="937"/>
      <c r="Z1016" s="937"/>
    </row>
    <row r="1017" spans="1:26" ht="15.75" customHeight="1">
      <c r="A1017" s="937"/>
      <c r="B1017" s="937"/>
      <c r="C1017" s="937"/>
      <c r="D1017" s="937"/>
      <c r="E1017" s="937"/>
      <c r="F1017" s="937"/>
      <c r="G1017" s="937"/>
      <c r="H1017" s="937"/>
      <c r="I1017" s="937"/>
      <c r="J1017" s="937"/>
      <c r="K1017" s="937"/>
      <c r="L1017" s="937"/>
      <c r="M1017" s="937"/>
      <c r="N1017" s="937"/>
      <c r="O1017" s="937"/>
      <c r="P1017" s="937"/>
      <c r="Q1017" s="937"/>
      <c r="R1017" s="937"/>
      <c r="S1017" s="937"/>
      <c r="T1017" s="937"/>
      <c r="U1017" s="937"/>
      <c r="V1017" s="937"/>
      <c r="W1017" s="937"/>
      <c r="X1017" s="937"/>
      <c r="Y1017" s="937"/>
      <c r="Z1017" s="937"/>
    </row>
    <row r="1018" spans="1:26" ht="15.75" customHeight="1">
      <c r="A1018" s="937"/>
      <c r="B1018" s="937"/>
      <c r="C1018" s="937"/>
      <c r="D1018" s="937"/>
      <c r="E1018" s="937"/>
      <c r="F1018" s="937"/>
      <c r="G1018" s="937"/>
      <c r="H1018" s="937"/>
      <c r="I1018" s="937"/>
      <c r="J1018" s="937"/>
      <c r="K1018" s="937"/>
      <c r="L1018" s="937"/>
      <c r="M1018" s="937"/>
      <c r="N1018" s="937"/>
      <c r="O1018" s="937"/>
      <c r="P1018" s="937"/>
      <c r="Q1018" s="937"/>
      <c r="R1018" s="937"/>
      <c r="S1018" s="937"/>
      <c r="T1018" s="937"/>
      <c r="U1018" s="937"/>
      <c r="V1018" s="937"/>
      <c r="W1018" s="937"/>
      <c r="X1018" s="937"/>
      <c r="Y1018" s="937"/>
      <c r="Z1018" s="937"/>
    </row>
    <row r="1019" spans="1:26" ht="15.75" customHeight="1">
      <c r="A1019" s="937"/>
      <c r="B1019" s="937"/>
      <c r="C1019" s="937"/>
      <c r="D1019" s="937"/>
      <c r="E1019" s="937"/>
      <c r="F1019" s="937"/>
      <c r="G1019" s="937"/>
      <c r="H1019" s="937"/>
      <c r="I1019" s="937"/>
      <c r="J1019" s="937"/>
      <c r="K1019" s="937"/>
      <c r="L1019" s="937"/>
      <c r="M1019" s="937"/>
      <c r="N1019" s="937"/>
      <c r="O1019" s="937"/>
      <c r="P1019" s="937"/>
      <c r="Q1019" s="937"/>
      <c r="R1019" s="937"/>
      <c r="S1019" s="937"/>
      <c r="T1019" s="937"/>
      <c r="U1019" s="937"/>
      <c r="V1019" s="937"/>
      <c r="W1019" s="937"/>
      <c r="X1019" s="937"/>
      <c r="Y1019" s="937"/>
      <c r="Z1019" s="937"/>
    </row>
    <row r="1020" spans="1:26" ht="15.75" customHeight="1">
      <c r="A1020" s="937"/>
      <c r="B1020" s="937"/>
      <c r="C1020" s="937"/>
      <c r="D1020" s="937"/>
      <c r="E1020" s="937"/>
      <c r="F1020" s="937"/>
      <c r="G1020" s="937"/>
      <c r="H1020" s="937"/>
      <c r="I1020" s="937"/>
      <c r="J1020" s="937"/>
      <c r="K1020" s="937"/>
      <c r="L1020" s="937"/>
      <c r="M1020" s="937"/>
      <c r="N1020" s="937"/>
      <c r="O1020" s="937"/>
      <c r="P1020" s="937"/>
      <c r="Q1020" s="937"/>
      <c r="R1020" s="937"/>
      <c r="S1020" s="937"/>
      <c r="T1020" s="937"/>
      <c r="U1020" s="937"/>
      <c r="V1020" s="937"/>
      <c r="W1020" s="937"/>
      <c r="X1020" s="937"/>
      <c r="Y1020" s="937"/>
      <c r="Z1020" s="937"/>
    </row>
    <row r="1021" spans="1:26" ht="15.75" customHeight="1">
      <c r="A1021" s="937"/>
      <c r="B1021" s="937"/>
      <c r="C1021" s="937"/>
      <c r="D1021" s="937"/>
      <c r="E1021" s="937"/>
      <c r="F1021" s="937"/>
      <c r="G1021" s="937"/>
      <c r="H1021" s="937"/>
      <c r="I1021" s="937"/>
      <c r="J1021" s="937"/>
      <c r="K1021" s="937"/>
      <c r="L1021" s="937"/>
      <c r="M1021" s="937"/>
      <c r="N1021" s="937"/>
      <c r="O1021" s="937"/>
      <c r="P1021" s="937"/>
      <c r="Q1021" s="937"/>
      <c r="R1021" s="937"/>
      <c r="S1021" s="937"/>
      <c r="T1021" s="937"/>
      <c r="U1021" s="937"/>
      <c r="V1021" s="937"/>
      <c r="W1021" s="937"/>
      <c r="X1021" s="937"/>
      <c r="Y1021" s="937"/>
      <c r="Z1021" s="937"/>
    </row>
    <row r="1022" spans="1:26" ht="15.75" customHeight="1">
      <c r="A1022" s="937"/>
      <c r="B1022" s="937"/>
      <c r="C1022" s="937"/>
      <c r="D1022" s="937"/>
      <c r="E1022" s="937"/>
      <c r="F1022" s="937"/>
      <c r="G1022" s="937"/>
      <c r="H1022" s="937"/>
      <c r="I1022" s="937"/>
      <c r="J1022" s="937"/>
      <c r="K1022" s="937"/>
      <c r="L1022" s="937"/>
      <c r="M1022" s="937"/>
      <c r="N1022" s="937"/>
      <c r="O1022" s="937"/>
      <c r="P1022" s="937"/>
      <c r="Q1022" s="937"/>
      <c r="R1022" s="937"/>
      <c r="S1022" s="937"/>
      <c r="T1022" s="937"/>
      <c r="U1022" s="937"/>
      <c r="V1022" s="937"/>
      <c r="W1022" s="937"/>
      <c r="X1022" s="937"/>
      <c r="Y1022" s="937"/>
      <c r="Z1022" s="937"/>
    </row>
    <row r="1023" spans="1:26" ht="15.75" customHeight="1">
      <c r="A1023" s="937"/>
      <c r="B1023" s="937"/>
      <c r="C1023" s="937"/>
      <c r="D1023" s="937"/>
      <c r="E1023" s="937"/>
      <c r="F1023" s="937"/>
      <c r="G1023" s="937"/>
      <c r="H1023" s="937"/>
      <c r="I1023" s="937"/>
      <c r="J1023" s="937"/>
      <c r="K1023" s="937"/>
      <c r="L1023" s="937"/>
      <c r="M1023" s="937"/>
      <c r="N1023" s="937"/>
      <c r="O1023" s="937"/>
      <c r="P1023" s="937"/>
      <c r="Q1023" s="937"/>
      <c r="R1023" s="937"/>
      <c r="S1023" s="937"/>
      <c r="T1023" s="937"/>
      <c r="U1023" s="937"/>
      <c r="V1023" s="937"/>
      <c r="W1023" s="937"/>
      <c r="X1023" s="937"/>
      <c r="Y1023" s="937"/>
      <c r="Z1023" s="937"/>
    </row>
    <row r="1024" spans="1:26" ht="15.75" customHeight="1">
      <c r="A1024" s="937"/>
      <c r="B1024" s="937"/>
      <c r="C1024" s="937"/>
      <c r="D1024" s="937"/>
      <c r="E1024" s="937"/>
      <c r="F1024" s="937"/>
      <c r="G1024" s="937"/>
      <c r="H1024" s="937"/>
      <c r="I1024" s="937"/>
      <c r="J1024" s="937"/>
      <c r="K1024" s="937"/>
      <c r="L1024" s="937"/>
      <c r="M1024" s="937"/>
      <c r="N1024" s="937"/>
      <c r="O1024" s="937"/>
      <c r="P1024" s="937"/>
      <c r="Q1024" s="937"/>
      <c r="R1024" s="937"/>
      <c r="S1024" s="937"/>
      <c r="T1024" s="937"/>
      <c r="U1024" s="937"/>
      <c r="V1024" s="937"/>
      <c r="W1024" s="937"/>
      <c r="X1024" s="937"/>
      <c r="Y1024" s="937"/>
      <c r="Z1024" s="937"/>
    </row>
    <row r="1025" spans="1:26" ht="15.75" customHeight="1">
      <c r="A1025" s="937"/>
      <c r="B1025" s="937"/>
      <c r="C1025" s="937"/>
      <c r="D1025" s="937"/>
      <c r="E1025" s="937"/>
      <c r="F1025" s="937"/>
      <c r="G1025" s="937"/>
      <c r="H1025" s="937"/>
      <c r="I1025" s="937"/>
      <c r="J1025" s="937"/>
      <c r="K1025" s="937"/>
      <c r="L1025" s="937"/>
      <c r="M1025" s="937"/>
      <c r="N1025" s="937"/>
      <c r="O1025" s="937"/>
      <c r="P1025" s="937"/>
      <c r="Q1025" s="937"/>
      <c r="R1025" s="937"/>
      <c r="S1025" s="937"/>
      <c r="T1025" s="937"/>
      <c r="U1025" s="937"/>
      <c r="V1025" s="937"/>
      <c r="W1025" s="937"/>
      <c r="X1025" s="937"/>
      <c r="Y1025" s="937"/>
      <c r="Z1025" s="937"/>
    </row>
    <row r="1026" spans="1:26" ht="15.75" customHeight="1">
      <c r="A1026" s="937"/>
      <c r="B1026" s="937"/>
      <c r="C1026" s="937"/>
      <c r="D1026" s="937"/>
      <c r="E1026" s="937"/>
      <c r="F1026" s="937"/>
      <c r="G1026" s="937"/>
      <c r="H1026" s="937"/>
      <c r="I1026" s="937"/>
      <c r="J1026" s="937"/>
      <c r="K1026" s="937"/>
      <c r="L1026" s="937"/>
      <c r="M1026" s="937"/>
      <c r="N1026" s="937"/>
      <c r="O1026" s="937"/>
      <c r="P1026" s="937"/>
      <c r="Q1026" s="937"/>
      <c r="R1026" s="937"/>
      <c r="S1026" s="937"/>
      <c r="T1026" s="937"/>
      <c r="U1026" s="937"/>
      <c r="V1026" s="937"/>
      <c r="W1026" s="937"/>
      <c r="X1026" s="937"/>
      <c r="Y1026" s="937"/>
      <c r="Z1026" s="937"/>
    </row>
    <row r="1027" spans="1:26" ht="15.75" customHeight="1">
      <c r="A1027" s="937"/>
      <c r="B1027" s="937"/>
      <c r="C1027" s="937"/>
      <c r="D1027" s="937"/>
      <c r="E1027" s="937"/>
      <c r="F1027" s="937"/>
      <c r="G1027" s="937"/>
      <c r="H1027" s="937"/>
      <c r="I1027" s="937"/>
      <c r="J1027" s="937"/>
      <c r="K1027" s="937"/>
      <c r="L1027" s="937"/>
      <c r="M1027" s="937"/>
      <c r="N1027" s="937"/>
      <c r="O1027" s="937"/>
      <c r="P1027" s="937"/>
      <c r="Q1027" s="937"/>
      <c r="R1027" s="937"/>
      <c r="S1027" s="937"/>
      <c r="T1027" s="937"/>
      <c r="U1027" s="937"/>
      <c r="V1027" s="937"/>
      <c r="W1027" s="937"/>
      <c r="X1027" s="937"/>
      <c r="Y1027" s="937"/>
      <c r="Z1027" s="937"/>
    </row>
    <row r="1028" spans="1:26" ht="15.75" customHeight="1">
      <c r="A1028" s="937"/>
      <c r="B1028" s="937"/>
      <c r="C1028" s="937"/>
      <c r="D1028" s="937"/>
      <c r="E1028" s="937"/>
      <c r="F1028" s="937"/>
      <c r="G1028" s="937"/>
      <c r="H1028" s="937"/>
      <c r="I1028" s="937"/>
      <c r="J1028" s="937"/>
      <c r="K1028" s="937"/>
      <c r="L1028" s="937"/>
      <c r="M1028" s="937"/>
      <c r="N1028" s="937"/>
      <c r="O1028" s="937"/>
      <c r="P1028" s="937"/>
      <c r="Q1028" s="937"/>
      <c r="R1028" s="937"/>
      <c r="S1028" s="937"/>
      <c r="T1028" s="937"/>
      <c r="U1028" s="937"/>
      <c r="V1028" s="937"/>
      <c r="W1028" s="937"/>
      <c r="X1028" s="937"/>
      <c r="Y1028" s="937"/>
      <c r="Z1028" s="937"/>
    </row>
    <row r="1029" spans="1:26" ht="15.75" customHeight="1">
      <c r="A1029" s="937"/>
      <c r="B1029" s="937"/>
      <c r="C1029" s="937"/>
      <c r="D1029" s="937"/>
      <c r="E1029" s="937"/>
      <c r="F1029" s="937"/>
      <c r="G1029" s="937"/>
      <c r="H1029" s="937"/>
      <c r="I1029" s="937"/>
      <c r="J1029" s="937"/>
      <c r="K1029" s="937"/>
      <c r="L1029" s="937"/>
      <c r="M1029" s="937"/>
      <c r="N1029" s="937"/>
      <c r="O1029" s="937"/>
      <c r="P1029" s="937"/>
      <c r="Q1029" s="937"/>
      <c r="R1029" s="937"/>
      <c r="S1029" s="937"/>
      <c r="T1029" s="937"/>
      <c r="U1029" s="937"/>
      <c r="V1029" s="937"/>
      <c r="W1029" s="937"/>
      <c r="X1029" s="937"/>
      <c r="Y1029" s="937"/>
      <c r="Z1029" s="937"/>
    </row>
    <row r="1030" spans="1:26" ht="15.75" customHeight="1">
      <c r="A1030" s="937"/>
      <c r="B1030" s="937"/>
      <c r="C1030" s="937"/>
      <c r="D1030" s="937"/>
      <c r="E1030" s="937"/>
      <c r="F1030" s="937"/>
      <c r="G1030" s="937"/>
      <c r="H1030" s="937"/>
      <c r="I1030" s="937"/>
      <c r="J1030" s="937"/>
      <c r="K1030" s="937"/>
      <c r="L1030" s="937"/>
      <c r="M1030" s="937"/>
      <c r="N1030" s="937"/>
      <c r="O1030" s="937"/>
      <c r="P1030" s="937"/>
      <c r="Q1030" s="937"/>
      <c r="R1030" s="937"/>
      <c r="S1030" s="937"/>
      <c r="T1030" s="937"/>
      <c r="U1030" s="937"/>
      <c r="V1030" s="937"/>
      <c r="W1030" s="937"/>
      <c r="X1030" s="937"/>
      <c r="Y1030" s="937"/>
      <c r="Z1030" s="937"/>
    </row>
    <row r="1031" spans="1:26" ht="15.75" customHeight="1">
      <c r="A1031" s="937"/>
      <c r="B1031" s="937"/>
      <c r="C1031" s="937"/>
      <c r="D1031" s="937"/>
      <c r="E1031" s="937"/>
      <c r="F1031" s="937"/>
      <c r="G1031" s="937"/>
      <c r="H1031" s="937"/>
      <c r="I1031" s="937"/>
      <c r="J1031" s="937"/>
      <c r="K1031" s="937"/>
      <c r="L1031" s="937"/>
      <c r="M1031" s="937"/>
      <c r="N1031" s="937"/>
      <c r="O1031" s="937"/>
      <c r="P1031" s="937"/>
      <c r="Q1031" s="937"/>
      <c r="R1031" s="937"/>
      <c r="S1031" s="937"/>
      <c r="T1031" s="937"/>
      <c r="U1031" s="937"/>
      <c r="V1031" s="937"/>
      <c r="W1031" s="937"/>
      <c r="X1031" s="937"/>
      <c r="Y1031" s="937"/>
      <c r="Z1031" s="937"/>
    </row>
    <row r="1032" spans="1:26" ht="15.75" customHeight="1">
      <c r="A1032" s="937"/>
      <c r="B1032" s="937"/>
      <c r="C1032" s="937"/>
      <c r="D1032" s="937"/>
      <c r="E1032" s="937"/>
      <c r="F1032" s="937"/>
      <c r="G1032" s="937"/>
      <c r="H1032" s="937"/>
      <c r="I1032" s="937"/>
      <c r="J1032" s="937"/>
      <c r="K1032" s="937"/>
      <c r="L1032" s="937"/>
      <c r="M1032" s="937"/>
      <c r="N1032" s="937"/>
      <c r="O1032" s="937"/>
      <c r="P1032" s="937"/>
      <c r="Q1032" s="937"/>
      <c r="R1032" s="937"/>
      <c r="S1032" s="937"/>
      <c r="T1032" s="937"/>
      <c r="U1032" s="937"/>
      <c r="V1032" s="937"/>
      <c r="W1032" s="937"/>
      <c r="X1032" s="937"/>
      <c r="Y1032" s="937"/>
      <c r="Z1032" s="937"/>
    </row>
    <row r="1033" spans="1:26" ht="15.75" customHeight="1">
      <c r="A1033" s="937"/>
      <c r="B1033" s="937"/>
      <c r="C1033" s="937"/>
      <c r="D1033" s="937"/>
      <c r="E1033" s="937"/>
      <c r="F1033" s="937"/>
      <c r="G1033" s="937"/>
      <c r="H1033" s="937"/>
      <c r="I1033" s="937"/>
      <c r="J1033" s="937"/>
      <c r="K1033" s="937"/>
      <c r="L1033" s="937"/>
      <c r="M1033" s="937"/>
      <c r="N1033" s="937"/>
      <c r="O1033" s="937"/>
      <c r="P1033" s="937"/>
      <c r="Q1033" s="937"/>
      <c r="R1033" s="937"/>
      <c r="S1033" s="937"/>
      <c r="T1033" s="937"/>
      <c r="U1033" s="937"/>
      <c r="V1033" s="937"/>
      <c r="W1033" s="937"/>
      <c r="X1033" s="937"/>
      <c r="Y1033" s="937"/>
      <c r="Z1033" s="937"/>
    </row>
    <row r="1034" spans="1:26" ht="15.75" customHeight="1">
      <c r="A1034" s="937"/>
      <c r="B1034" s="937"/>
      <c r="C1034" s="937"/>
      <c r="D1034" s="937"/>
      <c r="E1034" s="937"/>
      <c r="F1034" s="937"/>
      <c r="G1034" s="937"/>
      <c r="H1034" s="937"/>
      <c r="I1034" s="937"/>
      <c r="J1034" s="937"/>
      <c r="K1034" s="937"/>
      <c r="L1034" s="937"/>
      <c r="M1034" s="937"/>
      <c r="N1034" s="937"/>
      <c r="O1034" s="937"/>
      <c r="P1034" s="937"/>
      <c r="Q1034" s="937"/>
      <c r="R1034" s="937"/>
      <c r="S1034" s="937"/>
      <c r="T1034" s="937"/>
      <c r="U1034" s="937"/>
      <c r="V1034" s="937"/>
      <c r="W1034" s="937"/>
      <c r="X1034" s="937"/>
      <c r="Y1034" s="937"/>
      <c r="Z1034" s="937"/>
    </row>
    <row r="1035" spans="1:26" ht="15.75" customHeight="1">
      <c r="A1035" s="937"/>
      <c r="B1035" s="937"/>
      <c r="C1035" s="937"/>
      <c r="D1035" s="937"/>
      <c r="E1035" s="937"/>
      <c r="F1035" s="937"/>
      <c r="G1035" s="937"/>
      <c r="H1035" s="937"/>
      <c r="I1035" s="937"/>
      <c r="J1035" s="937"/>
      <c r="K1035" s="937"/>
      <c r="L1035" s="937"/>
      <c r="M1035" s="937"/>
      <c r="N1035" s="937"/>
      <c r="O1035" s="937"/>
      <c r="P1035" s="937"/>
      <c r="Q1035" s="937"/>
      <c r="R1035" s="937"/>
      <c r="S1035" s="937"/>
      <c r="T1035" s="937"/>
      <c r="U1035" s="937"/>
      <c r="V1035" s="937"/>
      <c r="W1035" s="937"/>
      <c r="X1035" s="937"/>
      <c r="Y1035" s="937"/>
      <c r="Z1035" s="937"/>
    </row>
    <row r="1036" spans="1:26" ht="15.75" customHeight="1">
      <c r="A1036" s="937"/>
      <c r="B1036" s="937"/>
      <c r="C1036" s="937"/>
      <c r="D1036" s="937"/>
      <c r="E1036" s="937"/>
      <c r="F1036" s="937"/>
      <c r="G1036" s="937"/>
      <c r="H1036" s="937"/>
      <c r="I1036" s="937"/>
      <c r="J1036" s="937"/>
      <c r="K1036" s="937"/>
      <c r="L1036" s="937"/>
      <c r="M1036" s="937"/>
      <c r="N1036" s="937"/>
      <c r="O1036" s="937"/>
      <c r="P1036" s="937"/>
      <c r="Q1036" s="937"/>
      <c r="R1036" s="937"/>
      <c r="S1036" s="937"/>
      <c r="T1036" s="937"/>
      <c r="U1036" s="937"/>
      <c r="V1036" s="937"/>
      <c r="W1036" s="937"/>
      <c r="X1036" s="937"/>
      <c r="Y1036" s="937"/>
      <c r="Z1036" s="937"/>
    </row>
    <row r="1037" spans="1:26" ht="15.75" customHeight="1">
      <c r="A1037" s="937"/>
      <c r="B1037" s="937"/>
      <c r="C1037" s="937"/>
      <c r="D1037" s="937"/>
      <c r="E1037" s="937"/>
      <c r="F1037" s="937"/>
      <c r="G1037" s="937"/>
      <c r="H1037" s="937"/>
      <c r="I1037" s="937"/>
      <c r="J1037" s="937"/>
      <c r="K1037" s="937"/>
      <c r="L1037" s="937"/>
      <c r="M1037" s="937"/>
      <c r="N1037" s="937"/>
      <c r="O1037" s="937"/>
      <c r="P1037" s="937"/>
      <c r="Q1037" s="937"/>
      <c r="R1037" s="937"/>
      <c r="S1037" s="937"/>
      <c r="T1037" s="937"/>
      <c r="U1037" s="937"/>
      <c r="V1037" s="937"/>
      <c r="W1037" s="937"/>
      <c r="X1037" s="937"/>
      <c r="Y1037" s="937"/>
      <c r="Z1037" s="937"/>
    </row>
    <row r="1038" spans="1:26" ht="15.75" customHeight="1">
      <c r="A1038" s="937"/>
      <c r="B1038" s="937"/>
      <c r="C1038" s="937"/>
      <c r="D1038" s="937"/>
      <c r="E1038" s="937"/>
      <c r="F1038" s="937"/>
      <c r="G1038" s="937"/>
      <c r="H1038" s="937"/>
      <c r="I1038" s="937"/>
      <c r="J1038" s="937"/>
      <c r="K1038" s="937"/>
      <c r="L1038" s="937"/>
      <c r="M1038" s="937"/>
      <c r="N1038" s="937"/>
      <c r="O1038" s="937"/>
      <c r="P1038" s="937"/>
      <c r="Q1038" s="937"/>
      <c r="R1038" s="937"/>
      <c r="S1038" s="937"/>
      <c r="T1038" s="937"/>
      <c r="U1038" s="937"/>
      <c r="V1038" s="937"/>
      <c r="W1038" s="937"/>
      <c r="X1038" s="937"/>
      <c r="Y1038" s="937"/>
      <c r="Z1038" s="937"/>
    </row>
    <row r="1039" spans="1:26" ht="15.75" customHeight="1">
      <c r="A1039" s="937"/>
      <c r="B1039" s="937"/>
      <c r="C1039" s="937"/>
      <c r="D1039" s="937"/>
      <c r="E1039" s="937"/>
      <c r="F1039" s="937"/>
      <c r="G1039" s="937"/>
      <c r="H1039" s="937"/>
      <c r="I1039" s="937"/>
      <c r="J1039" s="937"/>
      <c r="K1039" s="937"/>
      <c r="L1039" s="937"/>
      <c r="M1039" s="937"/>
      <c r="N1039" s="937"/>
      <c r="O1039" s="937"/>
      <c r="P1039" s="937"/>
      <c r="Q1039" s="937"/>
      <c r="R1039" s="937"/>
      <c r="S1039" s="937"/>
      <c r="T1039" s="937"/>
      <c r="U1039" s="937"/>
      <c r="V1039" s="937"/>
      <c r="W1039" s="937"/>
      <c r="X1039" s="937"/>
      <c r="Y1039" s="937"/>
      <c r="Z1039" s="937"/>
    </row>
    <row r="1040" spans="1:26" ht="15.75" customHeight="1">
      <c r="A1040" s="937"/>
      <c r="B1040" s="937"/>
      <c r="C1040" s="937"/>
      <c r="D1040" s="937"/>
      <c r="E1040" s="937"/>
      <c r="F1040" s="937"/>
      <c r="G1040" s="937"/>
      <c r="H1040" s="937"/>
      <c r="I1040" s="937"/>
      <c r="J1040" s="937"/>
      <c r="K1040" s="937"/>
      <c r="L1040" s="937"/>
      <c r="M1040" s="937"/>
      <c r="N1040" s="937"/>
      <c r="O1040" s="937"/>
      <c r="P1040" s="937"/>
      <c r="Q1040" s="937"/>
      <c r="R1040" s="937"/>
      <c r="S1040" s="937"/>
      <c r="T1040" s="937"/>
      <c r="U1040" s="937"/>
      <c r="V1040" s="937"/>
      <c r="W1040" s="937"/>
      <c r="X1040" s="937"/>
      <c r="Y1040" s="937"/>
      <c r="Z1040" s="937"/>
    </row>
    <row r="1041" spans="1:26" ht="15.75" customHeight="1">
      <c r="A1041" s="937"/>
      <c r="B1041" s="937"/>
      <c r="C1041" s="937"/>
      <c r="D1041" s="937"/>
      <c r="E1041" s="937"/>
      <c r="F1041" s="937"/>
      <c r="G1041" s="937"/>
      <c r="H1041" s="937"/>
      <c r="I1041" s="937"/>
      <c r="J1041" s="937"/>
      <c r="K1041" s="937"/>
      <c r="L1041" s="937"/>
      <c r="M1041" s="937"/>
      <c r="N1041" s="937"/>
      <c r="O1041" s="937"/>
      <c r="P1041" s="937"/>
      <c r="Q1041" s="937"/>
      <c r="R1041" s="937"/>
      <c r="S1041" s="937"/>
      <c r="T1041" s="937"/>
      <c r="U1041" s="937"/>
      <c r="V1041" s="937"/>
      <c r="W1041" s="937"/>
      <c r="X1041" s="937"/>
      <c r="Y1041" s="937"/>
      <c r="Z1041" s="937"/>
    </row>
    <row r="1042" spans="1:26" ht="15.75" customHeight="1">
      <c r="A1042" s="937"/>
      <c r="B1042" s="937"/>
      <c r="C1042" s="937"/>
      <c r="D1042" s="937"/>
      <c r="E1042" s="937"/>
      <c r="F1042" s="937"/>
      <c r="G1042" s="937"/>
      <c r="H1042" s="937"/>
      <c r="I1042" s="937"/>
      <c r="J1042" s="937"/>
      <c r="K1042" s="937"/>
      <c r="L1042" s="937"/>
      <c r="M1042" s="937"/>
      <c r="N1042" s="937"/>
      <c r="O1042" s="937"/>
      <c r="P1042" s="937"/>
      <c r="Q1042" s="937"/>
      <c r="R1042" s="937"/>
      <c r="S1042" s="937"/>
      <c r="T1042" s="937"/>
      <c r="U1042" s="937"/>
      <c r="V1042" s="937"/>
      <c r="W1042" s="937"/>
      <c r="X1042" s="937"/>
      <c r="Y1042" s="937"/>
      <c r="Z1042" s="937"/>
    </row>
    <row r="1043" spans="1:26" ht="15.75" customHeight="1">
      <c r="A1043" s="937"/>
      <c r="B1043" s="937"/>
      <c r="C1043" s="937"/>
      <c r="D1043" s="937"/>
      <c r="E1043" s="937"/>
      <c r="F1043" s="937"/>
      <c r="G1043" s="937"/>
      <c r="H1043" s="937"/>
      <c r="I1043" s="937"/>
      <c r="J1043" s="937"/>
      <c r="K1043" s="937"/>
      <c r="L1043" s="937"/>
      <c r="M1043" s="937"/>
      <c r="N1043" s="937"/>
      <c r="O1043" s="937"/>
      <c r="P1043" s="937"/>
      <c r="Q1043" s="937"/>
      <c r="R1043" s="937"/>
      <c r="S1043" s="937"/>
      <c r="T1043" s="937"/>
      <c r="U1043" s="937"/>
      <c r="V1043" s="937"/>
      <c r="W1043" s="937"/>
      <c r="X1043" s="937"/>
      <c r="Y1043" s="937"/>
      <c r="Z1043" s="937"/>
    </row>
    <row r="1044" spans="1:26" ht="15.75" customHeight="1">
      <c r="A1044" s="937"/>
      <c r="B1044" s="937"/>
      <c r="C1044" s="937"/>
      <c r="D1044" s="937"/>
      <c r="E1044" s="937"/>
      <c r="F1044" s="937"/>
      <c r="G1044" s="937"/>
      <c r="H1044" s="937"/>
      <c r="I1044" s="937"/>
      <c r="J1044" s="937"/>
      <c r="K1044" s="937"/>
      <c r="L1044" s="937"/>
      <c r="M1044" s="937"/>
      <c r="N1044" s="937"/>
      <c r="O1044" s="937"/>
      <c r="P1044" s="937"/>
      <c r="Q1044" s="937"/>
      <c r="R1044" s="937"/>
      <c r="S1044" s="937"/>
      <c r="T1044" s="937"/>
      <c r="U1044" s="937"/>
      <c r="V1044" s="937"/>
      <c r="W1044" s="937"/>
      <c r="X1044" s="937"/>
      <c r="Y1044" s="937"/>
      <c r="Z1044" s="937"/>
    </row>
    <row r="1045" spans="1:26" ht="15.75" customHeight="1">
      <c r="A1045" s="937"/>
      <c r="B1045" s="937"/>
      <c r="C1045" s="937"/>
      <c r="D1045" s="937"/>
      <c r="E1045" s="937"/>
      <c r="F1045" s="937"/>
      <c r="G1045" s="937"/>
      <c r="H1045" s="937"/>
      <c r="I1045" s="937"/>
      <c r="J1045" s="937"/>
      <c r="K1045" s="937"/>
      <c r="L1045" s="937"/>
      <c r="M1045" s="937"/>
      <c r="N1045" s="937"/>
      <c r="O1045" s="937"/>
      <c r="P1045" s="937"/>
      <c r="Q1045" s="937"/>
      <c r="R1045" s="937"/>
      <c r="S1045" s="937"/>
      <c r="T1045" s="937"/>
      <c r="U1045" s="937"/>
      <c r="V1045" s="937"/>
      <c r="W1045" s="937"/>
      <c r="X1045" s="937"/>
      <c r="Y1045" s="937"/>
      <c r="Z1045" s="937"/>
    </row>
    <row r="1046" spans="1:26" ht="15.75" customHeight="1">
      <c r="A1046" s="937"/>
      <c r="B1046" s="937"/>
      <c r="C1046" s="937"/>
      <c r="D1046" s="937"/>
      <c r="E1046" s="937"/>
      <c r="F1046" s="937"/>
      <c r="G1046" s="937"/>
      <c r="H1046" s="937"/>
      <c r="I1046" s="937"/>
      <c r="J1046" s="937"/>
      <c r="K1046" s="937"/>
      <c r="L1046" s="937"/>
      <c r="M1046" s="937"/>
      <c r="N1046" s="937"/>
      <c r="O1046" s="937"/>
      <c r="P1046" s="937"/>
      <c r="Q1046" s="937"/>
      <c r="R1046" s="937"/>
      <c r="S1046" s="937"/>
      <c r="T1046" s="937"/>
      <c r="U1046" s="937"/>
      <c r="V1046" s="937"/>
      <c r="W1046" s="937"/>
      <c r="X1046" s="937"/>
      <c r="Y1046" s="937"/>
      <c r="Z1046" s="937"/>
    </row>
    <row r="1047" spans="1:26" ht="15.75" customHeight="1">
      <c r="A1047" s="937"/>
      <c r="B1047" s="937"/>
      <c r="C1047" s="937"/>
      <c r="D1047" s="937"/>
      <c r="E1047" s="937"/>
      <c r="F1047" s="937"/>
      <c r="G1047" s="937"/>
      <c r="H1047" s="937"/>
      <c r="I1047" s="937"/>
      <c r="J1047" s="937"/>
      <c r="K1047" s="937"/>
      <c r="L1047" s="937"/>
      <c r="M1047" s="937"/>
      <c r="N1047" s="937"/>
      <c r="O1047" s="937"/>
      <c r="P1047" s="937"/>
      <c r="Q1047" s="937"/>
      <c r="R1047" s="937"/>
      <c r="S1047" s="937"/>
      <c r="T1047" s="937"/>
      <c r="U1047" s="937"/>
      <c r="V1047" s="937"/>
      <c r="W1047" s="937"/>
      <c r="X1047" s="937"/>
      <c r="Y1047" s="937"/>
      <c r="Z1047" s="937"/>
    </row>
    <row r="1048" spans="1:26" ht="15.75" customHeight="1">
      <c r="A1048" s="937"/>
      <c r="B1048" s="937"/>
      <c r="C1048" s="937"/>
      <c r="D1048" s="937"/>
      <c r="E1048" s="937"/>
      <c r="F1048" s="937"/>
      <c r="G1048" s="937"/>
      <c r="H1048" s="937"/>
      <c r="I1048" s="937"/>
      <c r="J1048" s="937"/>
      <c r="K1048" s="937"/>
      <c r="L1048" s="937"/>
      <c r="M1048" s="937"/>
      <c r="N1048" s="937"/>
      <c r="O1048" s="937"/>
      <c r="P1048" s="937"/>
      <c r="Q1048" s="937"/>
      <c r="R1048" s="937"/>
      <c r="S1048" s="937"/>
      <c r="T1048" s="937"/>
      <c r="U1048" s="937"/>
      <c r="V1048" s="937"/>
      <c r="W1048" s="937"/>
      <c r="X1048" s="937"/>
      <c r="Y1048" s="937"/>
      <c r="Z1048" s="937"/>
    </row>
    <row r="1049" spans="1:26" ht="15.75" customHeight="1">
      <c r="A1049" s="937"/>
      <c r="B1049" s="937"/>
      <c r="C1049" s="937"/>
      <c r="D1049" s="937"/>
      <c r="E1049" s="937"/>
      <c r="F1049" s="937"/>
      <c r="G1049" s="937"/>
      <c r="H1049" s="937"/>
      <c r="I1049" s="937"/>
      <c r="J1049" s="937"/>
      <c r="K1049" s="937"/>
      <c r="L1049" s="937"/>
      <c r="M1049" s="937"/>
      <c r="N1049" s="937"/>
      <c r="O1049" s="937"/>
      <c r="P1049" s="937"/>
      <c r="Q1049" s="937"/>
      <c r="R1049" s="937"/>
      <c r="S1049" s="937"/>
      <c r="T1049" s="937"/>
      <c r="U1049" s="937"/>
      <c r="V1049" s="937"/>
      <c r="W1049" s="937"/>
      <c r="X1049" s="937"/>
      <c r="Y1049" s="937"/>
      <c r="Z1049" s="937"/>
    </row>
    <row r="1050" spans="1:26" ht="15.75" customHeight="1">
      <c r="A1050" s="937"/>
      <c r="B1050" s="937"/>
      <c r="C1050" s="937"/>
      <c r="D1050" s="937"/>
      <c r="E1050" s="937"/>
      <c r="F1050" s="937"/>
      <c r="G1050" s="937"/>
      <c r="H1050" s="937"/>
      <c r="I1050" s="937"/>
      <c r="J1050" s="937"/>
      <c r="K1050" s="937"/>
      <c r="L1050" s="937"/>
      <c r="M1050" s="937"/>
      <c r="N1050" s="937"/>
      <c r="O1050" s="937"/>
      <c r="P1050" s="937"/>
      <c r="Q1050" s="937"/>
      <c r="R1050" s="937"/>
      <c r="S1050" s="937"/>
      <c r="T1050" s="937"/>
      <c r="U1050" s="937"/>
      <c r="V1050" s="937"/>
      <c r="W1050" s="937"/>
      <c r="X1050" s="937"/>
      <c r="Y1050" s="937"/>
      <c r="Z1050" s="937"/>
    </row>
    <row r="1051" spans="1:26" ht="15.75" customHeight="1">
      <c r="A1051" s="937"/>
      <c r="B1051" s="937"/>
      <c r="C1051" s="937"/>
      <c r="D1051" s="937"/>
      <c r="E1051" s="937"/>
      <c r="F1051" s="937"/>
      <c r="G1051" s="937"/>
      <c r="H1051" s="937"/>
      <c r="I1051" s="937"/>
      <c r="J1051" s="937"/>
      <c r="K1051" s="937"/>
      <c r="L1051" s="937"/>
      <c r="M1051" s="937"/>
      <c r="N1051" s="937"/>
      <c r="O1051" s="937"/>
      <c r="P1051" s="937"/>
      <c r="Q1051" s="937"/>
      <c r="R1051" s="937"/>
      <c r="S1051" s="937"/>
      <c r="T1051" s="937"/>
      <c r="U1051" s="937"/>
      <c r="V1051" s="937"/>
      <c r="W1051" s="937"/>
      <c r="X1051" s="937"/>
      <c r="Y1051" s="937"/>
      <c r="Z1051" s="937"/>
    </row>
    <row r="1052" spans="1:26" ht="15.75" customHeight="1">
      <c r="A1052" s="937"/>
      <c r="B1052" s="937"/>
      <c r="C1052" s="937"/>
      <c r="D1052" s="937"/>
      <c r="E1052" s="937"/>
      <c r="F1052" s="937"/>
      <c r="G1052" s="937"/>
      <c r="H1052" s="937"/>
      <c r="I1052" s="937"/>
      <c r="J1052" s="937"/>
      <c r="K1052" s="937"/>
      <c r="L1052" s="937"/>
      <c r="M1052" s="937"/>
      <c r="N1052" s="937"/>
      <c r="O1052" s="937"/>
      <c r="P1052" s="937"/>
      <c r="Q1052" s="937"/>
      <c r="R1052" s="937"/>
      <c r="S1052" s="937"/>
      <c r="T1052" s="937"/>
      <c r="U1052" s="937"/>
      <c r="V1052" s="937"/>
      <c r="W1052" s="937"/>
      <c r="X1052" s="937"/>
      <c r="Y1052" s="937"/>
      <c r="Z1052" s="937"/>
    </row>
    <row r="1053" spans="1:26" ht="15.75" customHeight="1">
      <c r="A1053" s="937"/>
      <c r="B1053" s="937"/>
      <c r="C1053" s="937"/>
      <c r="D1053" s="937"/>
      <c r="E1053" s="937"/>
      <c r="F1053" s="937"/>
      <c r="G1053" s="937"/>
      <c r="H1053" s="937"/>
      <c r="I1053" s="937"/>
      <c r="J1053" s="937"/>
      <c r="K1053" s="937"/>
      <c r="L1053" s="937"/>
      <c r="M1053" s="937"/>
      <c r="N1053" s="937"/>
      <c r="O1053" s="937"/>
      <c r="P1053" s="937"/>
      <c r="Q1053" s="937"/>
      <c r="R1053" s="937"/>
      <c r="S1053" s="937"/>
      <c r="T1053" s="937"/>
      <c r="U1053" s="937"/>
      <c r="V1053" s="937"/>
      <c r="W1053" s="937"/>
      <c r="X1053" s="937"/>
      <c r="Y1053" s="937"/>
      <c r="Z1053" s="937"/>
    </row>
    <row r="1054" spans="1:26" ht="15.75" customHeight="1">
      <c r="A1054" s="937"/>
      <c r="B1054" s="937"/>
      <c r="C1054" s="937"/>
      <c r="D1054" s="937"/>
      <c r="E1054" s="937"/>
      <c r="F1054" s="937"/>
      <c r="G1054" s="937"/>
      <c r="H1054" s="937"/>
      <c r="I1054" s="937"/>
      <c r="J1054" s="937"/>
      <c r="K1054" s="937"/>
      <c r="L1054" s="937"/>
      <c r="M1054" s="937"/>
      <c r="N1054" s="937"/>
      <c r="O1054" s="937"/>
      <c r="P1054" s="937"/>
      <c r="Q1054" s="937"/>
      <c r="R1054" s="937"/>
      <c r="S1054" s="937"/>
      <c r="T1054" s="937"/>
      <c r="U1054" s="937"/>
      <c r="V1054" s="937"/>
      <c r="W1054" s="937"/>
      <c r="X1054" s="937"/>
      <c r="Y1054" s="937"/>
      <c r="Z1054" s="937"/>
    </row>
    <row r="1055" spans="1:26" ht="15.75" customHeight="1">
      <c r="A1055" s="937"/>
      <c r="B1055" s="937"/>
      <c r="C1055" s="937"/>
      <c r="D1055" s="937"/>
      <c r="E1055" s="937"/>
      <c r="F1055" s="937"/>
      <c r="G1055" s="937"/>
      <c r="H1055" s="937"/>
      <c r="I1055" s="937"/>
      <c r="J1055" s="937"/>
      <c r="K1055" s="937"/>
      <c r="L1055" s="937"/>
      <c r="M1055" s="937"/>
      <c r="N1055" s="937"/>
      <c r="O1055" s="937"/>
      <c r="P1055" s="937"/>
      <c r="Q1055" s="937"/>
      <c r="R1055" s="937"/>
      <c r="S1055" s="937"/>
      <c r="T1055" s="937"/>
      <c r="U1055" s="937"/>
      <c r="V1055" s="937"/>
      <c r="W1055" s="937"/>
      <c r="X1055" s="937"/>
      <c r="Y1055" s="937"/>
      <c r="Z1055" s="937"/>
    </row>
    <row r="1056" spans="1:26" ht="15.75" customHeight="1">
      <c r="A1056" s="937"/>
      <c r="B1056" s="937"/>
      <c r="C1056" s="937"/>
      <c r="D1056" s="937"/>
      <c r="E1056" s="937"/>
      <c r="F1056" s="937"/>
      <c r="G1056" s="937"/>
      <c r="H1056" s="937"/>
      <c r="I1056" s="937"/>
      <c r="J1056" s="937"/>
      <c r="K1056" s="937"/>
      <c r="L1056" s="937"/>
      <c r="M1056" s="937"/>
      <c r="N1056" s="937"/>
      <c r="O1056" s="937"/>
      <c r="P1056" s="937"/>
      <c r="Q1056" s="937"/>
      <c r="R1056" s="937"/>
      <c r="S1056" s="937"/>
      <c r="T1056" s="937"/>
      <c r="U1056" s="937"/>
      <c r="V1056" s="937"/>
      <c r="W1056" s="937"/>
      <c r="X1056" s="937"/>
      <c r="Y1056" s="937"/>
      <c r="Z1056" s="937"/>
    </row>
    <row r="1057" spans="1:26" ht="15.75" customHeight="1">
      <c r="A1057" s="937"/>
      <c r="B1057" s="937"/>
      <c r="C1057" s="937"/>
      <c r="D1057" s="937"/>
      <c r="E1057" s="937"/>
      <c r="F1057" s="937"/>
      <c r="G1057" s="937"/>
      <c r="H1057" s="937"/>
      <c r="I1057" s="937"/>
      <c r="J1057" s="937"/>
      <c r="K1057" s="937"/>
      <c r="L1057" s="937"/>
      <c r="M1057" s="937"/>
      <c r="N1057" s="937"/>
      <c r="O1057" s="937"/>
      <c r="P1057" s="937"/>
      <c r="Q1057" s="937"/>
      <c r="R1057" s="937"/>
      <c r="S1057" s="937"/>
      <c r="T1057" s="937"/>
      <c r="U1057" s="937"/>
      <c r="V1057" s="937"/>
      <c r="W1057" s="937"/>
      <c r="X1057" s="937"/>
      <c r="Y1057" s="937"/>
      <c r="Z1057" s="937"/>
    </row>
    <row r="1058" spans="1:26" ht="15.75" customHeight="1">
      <c r="A1058" s="937"/>
      <c r="B1058" s="937"/>
      <c r="C1058" s="937"/>
      <c r="D1058" s="937"/>
      <c r="E1058" s="937"/>
      <c r="F1058" s="937"/>
      <c r="G1058" s="937"/>
      <c r="H1058" s="937"/>
      <c r="I1058" s="937"/>
      <c r="J1058" s="937"/>
      <c r="K1058" s="937"/>
      <c r="L1058" s="937"/>
      <c r="M1058" s="937"/>
      <c r="N1058" s="937"/>
      <c r="O1058" s="937"/>
      <c r="P1058" s="937"/>
      <c r="Q1058" s="937"/>
      <c r="R1058" s="937"/>
      <c r="S1058" s="937"/>
      <c r="T1058" s="937"/>
      <c r="U1058" s="937"/>
      <c r="V1058" s="937"/>
      <c r="W1058" s="937"/>
      <c r="X1058" s="937"/>
      <c r="Y1058" s="937"/>
      <c r="Z1058" s="937"/>
    </row>
    <row r="1059" spans="1:26" ht="15.75" customHeight="1">
      <c r="A1059" s="937"/>
      <c r="B1059" s="937"/>
      <c r="C1059" s="937"/>
      <c r="D1059" s="937"/>
      <c r="E1059" s="937"/>
      <c r="F1059" s="937"/>
      <c r="G1059" s="937"/>
      <c r="H1059" s="937"/>
      <c r="I1059" s="937"/>
      <c r="J1059" s="937"/>
      <c r="K1059" s="937"/>
      <c r="L1059" s="937"/>
      <c r="M1059" s="937"/>
      <c r="N1059" s="937"/>
      <c r="O1059" s="937"/>
      <c r="P1059" s="937"/>
      <c r="Q1059" s="937"/>
      <c r="R1059" s="937"/>
      <c r="S1059" s="937"/>
      <c r="T1059" s="937"/>
      <c r="U1059" s="937"/>
      <c r="V1059" s="937"/>
      <c r="W1059" s="937"/>
      <c r="X1059" s="937"/>
      <c r="Y1059" s="937"/>
      <c r="Z1059" s="937"/>
    </row>
    <row r="1060" spans="1:26" ht="15.75" customHeight="1">
      <c r="A1060" s="937"/>
      <c r="B1060" s="937"/>
      <c r="C1060" s="937"/>
      <c r="D1060" s="937"/>
      <c r="E1060" s="937"/>
      <c r="F1060" s="937"/>
      <c r="G1060" s="937"/>
      <c r="H1060" s="937"/>
      <c r="I1060" s="937"/>
      <c r="J1060" s="937"/>
      <c r="K1060" s="937"/>
      <c r="L1060" s="937"/>
      <c r="M1060" s="937"/>
      <c r="N1060" s="937"/>
      <c r="O1060" s="937"/>
      <c r="P1060" s="937"/>
      <c r="Q1060" s="937"/>
      <c r="R1060" s="937"/>
      <c r="S1060" s="937"/>
      <c r="T1060" s="937"/>
      <c r="U1060" s="937"/>
      <c r="V1060" s="937"/>
      <c r="W1060" s="937"/>
      <c r="X1060" s="937"/>
      <c r="Y1060" s="937"/>
      <c r="Z1060" s="937"/>
    </row>
    <row r="1061" spans="1:26" ht="15.75" customHeight="1">
      <c r="A1061" s="937"/>
      <c r="B1061" s="937"/>
      <c r="C1061" s="937"/>
      <c r="D1061" s="937"/>
      <c r="E1061" s="937"/>
      <c r="F1061" s="937"/>
      <c r="G1061" s="937"/>
      <c r="H1061" s="937"/>
      <c r="I1061" s="937"/>
      <c r="J1061" s="937"/>
      <c r="K1061" s="937"/>
      <c r="L1061" s="937"/>
      <c r="M1061" s="937"/>
      <c r="N1061" s="937"/>
      <c r="O1061" s="937"/>
      <c r="P1061" s="937"/>
      <c r="Q1061" s="937"/>
      <c r="R1061" s="937"/>
      <c r="S1061" s="937"/>
      <c r="T1061" s="937"/>
      <c r="U1061" s="937"/>
      <c r="V1061" s="937"/>
      <c r="W1061" s="937"/>
      <c r="X1061" s="937"/>
      <c r="Y1061" s="937"/>
      <c r="Z1061" s="937"/>
    </row>
    <row r="1062" spans="1:26" ht="15.75" customHeight="1">
      <c r="A1062" s="937"/>
      <c r="B1062" s="937"/>
      <c r="C1062" s="937"/>
      <c r="D1062" s="937"/>
      <c r="E1062" s="937"/>
      <c r="F1062" s="937"/>
      <c r="G1062" s="937"/>
      <c r="H1062" s="937"/>
      <c r="I1062" s="937"/>
      <c r="J1062" s="937"/>
      <c r="K1062" s="937"/>
      <c r="L1062" s="937"/>
      <c r="M1062" s="937"/>
      <c r="N1062" s="937"/>
      <c r="O1062" s="937"/>
      <c r="P1062" s="937"/>
      <c r="Q1062" s="937"/>
      <c r="R1062" s="937"/>
      <c r="S1062" s="937"/>
      <c r="T1062" s="937"/>
      <c r="U1062" s="937"/>
      <c r="V1062" s="937"/>
      <c r="W1062" s="937"/>
      <c r="X1062" s="937"/>
      <c r="Y1062" s="937"/>
      <c r="Z1062" s="937"/>
    </row>
    <row r="1063" spans="1:26" ht="15.75" customHeight="1">
      <c r="A1063" s="937"/>
      <c r="B1063" s="937"/>
      <c r="C1063" s="937"/>
      <c r="D1063" s="937"/>
      <c r="E1063" s="937"/>
      <c r="F1063" s="937"/>
      <c r="G1063" s="937"/>
      <c r="H1063" s="937"/>
      <c r="I1063" s="937"/>
      <c r="J1063" s="937"/>
      <c r="K1063" s="937"/>
      <c r="L1063" s="937"/>
      <c r="M1063" s="937"/>
      <c r="N1063" s="937"/>
      <c r="O1063" s="937"/>
      <c r="P1063" s="937"/>
      <c r="Q1063" s="937"/>
      <c r="R1063" s="937"/>
      <c r="S1063" s="937"/>
      <c r="T1063" s="937"/>
      <c r="U1063" s="937"/>
      <c r="V1063" s="937"/>
      <c r="W1063" s="937"/>
      <c r="X1063" s="937"/>
      <c r="Y1063" s="937"/>
      <c r="Z1063" s="937"/>
    </row>
    <row r="1064" spans="1:26" ht="15.75" customHeight="1">
      <c r="A1064" s="937"/>
      <c r="B1064" s="937"/>
      <c r="C1064" s="937"/>
      <c r="D1064" s="937"/>
      <c r="E1064" s="937"/>
      <c r="F1064" s="937"/>
      <c r="G1064" s="937"/>
      <c r="H1064" s="937"/>
      <c r="I1064" s="937"/>
      <c r="J1064" s="937"/>
      <c r="K1064" s="937"/>
      <c r="L1064" s="937"/>
      <c r="M1064" s="937"/>
      <c r="N1064" s="937"/>
      <c r="O1064" s="937"/>
      <c r="P1064" s="937"/>
      <c r="Q1064" s="937"/>
      <c r="R1064" s="937"/>
      <c r="S1064" s="937"/>
      <c r="T1064" s="937"/>
      <c r="U1064" s="937"/>
      <c r="V1064" s="937"/>
      <c r="W1064" s="937"/>
      <c r="X1064" s="937"/>
      <c r="Y1064" s="937"/>
      <c r="Z1064" s="937"/>
    </row>
    <row r="1065" spans="1:26" ht="15.75" customHeight="1">
      <c r="A1065" s="937"/>
      <c r="B1065" s="937"/>
      <c r="C1065" s="937"/>
      <c r="D1065" s="937"/>
      <c r="E1065" s="937"/>
      <c r="F1065" s="937"/>
      <c r="G1065" s="937"/>
      <c r="H1065" s="937"/>
      <c r="I1065" s="937"/>
      <c r="J1065" s="937"/>
      <c r="K1065" s="937"/>
      <c r="L1065" s="937"/>
      <c r="M1065" s="937"/>
      <c r="N1065" s="937"/>
      <c r="O1065" s="937"/>
      <c r="P1065" s="937"/>
      <c r="Q1065" s="937"/>
      <c r="R1065" s="937"/>
      <c r="S1065" s="937"/>
      <c r="T1065" s="937"/>
      <c r="U1065" s="937"/>
      <c r="V1065" s="937"/>
      <c r="W1065" s="937"/>
      <c r="X1065" s="937"/>
      <c r="Y1065" s="937"/>
      <c r="Z1065" s="937"/>
    </row>
    <row r="1066" spans="1:26" ht="15.75" customHeight="1">
      <c r="A1066" s="937"/>
      <c r="B1066" s="937"/>
      <c r="C1066" s="937"/>
      <c r="D1066" s="937"/>
      <c r="E1066" s="937"/>
      <c r="F1066" s="937"/>
      <c r="G1066" s="937"/>
      <c r="H1066" s="937"/>
      <c r="I1066" s="937"/>
      <c r="J1066" s="937"/>
      <c r="K1066" s="937"/>
      <c r="L1066" s="937"/>
      <c r="M1066" s="937"/>
      <c r="N1066" s="937"/>
      <c r="O1066" s="937"/>
      <c r="P1066" s="937"/>
      <c r="Q1066" s="937"/>
      <c r="R1066" s="937"/>
      <c r="S1066" s="937"/>
      <c r="T1066" s="937"/>
      <c r="U1066" s="937"/>
      <c r="V1066" s="937"/>
      <c r="W1066" s="937"/>
      <c r="X1066" s="937"/>
      <c r="Y1066" s="937"/>
      <c r="Z1066" s="937"/>
    </row>
    <row r="1067" spans="1:26" ht="15.75" customHeight="1">
      <c r="A1067" s="937"/>
      <c r="B1067" s="937"/>
      <c r="C1067" s="937"/>
      <c r="D1067" s="937"/>
      <c r="E1067" s="937"/>
      <c r="F1067" s="937"/>
      <c r="G1067" s="937"/>
      <c r="H1067" s="937"/>
      <c r="I1067" s="937"/>
      <c r="J1067" s="937"/>
      <c r="K1067" s="937"/>
      <c r="L1067" s="937"/>
      <c r="M1067" s="937"/>
      <c r="N1067" s="937"/>
      <c r="O1067" s="937"/>
      <c r="P1067" s="937"/>
      <c r="Q1067" s="937"/>
      <c r="R1067" s="937"/>
      <c r="S1067" s="937"/>
      <c r="T1067" s="937"/>
      <c r="U1067" s="937"/>
      <c r="V1067" s="937"/>
      <c r="W1067" s="937"/>
      <c r="X1067" s="937"/>
      <c r="Y1067" s="937"/>
      <c r="Z1067" s="937"/>
    </row>
    <row r="1068" spans="1:26" ht="15.75" customHeight="1">
      <c r="A1068" s="937"/>
      <c r="B1068" s="937"/>
      <c r="C1068" s="937"/>
      <c r="D1068" s="937"/>
      <c r="E1068" s="937"/>
      <c r="F1068" s="937"/>
      <c r="G1068" s="937"/>
      <c r="H1068" s="937"/>
      <c r="I1068" s="937"/>
      <c r="J1068" s="937"/>
      <c r="K1068" s="937"/>
      <c r="L1068" s="937"/>
      <c r="M1068" s="937"/>
      <c r="N1068" s="937"/>
      <c r="O1068" s="937"/>
      <c r="P1068" s="937"/>
      <c r="Q1068" s="937"/>
      <c r="R1068" s="937"/>
      <c r="S1068" s="937"/>
      <c r="T1068" s="937"/>
      <c r="U1068" s="937"/>
      <c r="V1068" s="937"/>
      <c r="W1068" s="937"/>
      <c r="X1068" s="937"/>
      <c r="Y1068" s="937"/>
      <c r="Z1068" s="937"/>
    </row>
    <row r="1069" spans="1:26" ht="15.75" customHeight="1">
      <c r="A1069" s="937"/>
      <c r="B1069" s="937"/>
      <c r="C1069" s="937"/>
      <c r="D1069" s="937"/>
      <c r="E1069" s="937"/>
      <c r="F1069" s="937"/>
      <c r="G1069" s="937"/>
      <c r="H1069" s="937"/>
      <c r="I1069" s="937"/>
      <c r="J1069" s="937"/>
      <c r="K1069" s="937"/>
      <c r="L1069" s="937"/>
      <c r="M1069" s="937"/>
      <c r="N1069" s="937"/>
      <c r="O1069" s="937"/>
      <c r="P1069" s="937"/>
      <c r="Q1069" s="937"/>
      <c r="R1069" s="937"/>
      <c r="S1069" s="937"/>
      <c r="T1069" s="937"/>
      <c r="U1069" s="937"/>
      <c r="V1069" s="937"/>
      <c r="W1069" s="937"/>
      <c r="X1069" s="937"/>
      <c r="Y1069" s="937"/>
      <c r="Z1069" s="937"/>
    </row>
    <row r="1070" spans="1:26" ht="15.75" customHeight="1">
      <c r="A1070" s="937"/>
      <c r="B1070" s="937"/>
      <c r="C1070" s="937"/>
      <c r="D1070" s="937"/>
      <c r="E1070" s="937"/>
      <c r="F1070" s="937"/>
      <c r="G1070" s="937"/>
      <c r="H1070" s="937"/>
      <c r="I1070" s="937"/>
      <c r="J1070" s="937"/>
      <c r="K1070" s="937"/>
      <c r="L1070" s="937"/>
      <c r="M1070" s="937"/>
      <c r="N1070" s="937"/>
      <c r="O1070" s="937"/>
      <c r="P1070" s="937"/>
      <c r="Q1070" s="937"/>
      <c r="R1070" s="937"/>
      <c r="S1070" s="937"/>
      <c r="T1070" s="937"/>
      <c r="U1070" s="937"/>
      <c r="V1070" s="937"/>
      <c r="W1070" s="937"/>
      <c r="X1070" s="937"/>
      <c r="Y1070" s="937"/>
      <c r="Z1070" s="937"/>
    </row>
    <row r="1071" spans="1:26" ht="15.75" customHeight="1">
      <c r="A1071" s="937"/>
      <c r="B1071" s="937"/>
      <c r="C1071" s="937"/>
      <c r="D1071" s="937"/>
      <c r="E1071" s="937"/>
      <c r="F1071" s="937"/>
      <c r="G1071" s="937"/>
      <c r="H1071" s="937"/>
      <c r="I1071" s="937"/>
      <c r="J1071" s="937"/>
      <c r="K1071" s="937"/>
      <c r="L1071" s="937"/>
      <c r="M1071" s="937"/>
      <c r="N1071" s="937"/>
      <c r="O1071" s="937"/>
      <c r="P1071" s="937"/>
      <c r="Q1071" s="937"/>
      <c r="R1071" s="937"/>
      <c r="S1071" s="937"/>
      <c r="T1071" s="937"/>
      <c r="U1071" s="937"/>
      <c r="V1071" s="937"/>
      <c r="W1071" s="937"/>
      <c r="X1071" s="937"/>
      <c r="Y1071" s="937"/>
      <c r="Z1071" s="937"/>
    </row>
    <row r="1072" spans="1:26" ht="15.75" customHeight="1">
      <c r="A1072" s="937"/>
      <c r="B1072" s="937"/>
      <c r="C1072" s="937"/>
      <c r="D1072" s="937"/>
      <c r="E1072" s="937"/>
      <c r="F1072" s="937"/>
      <c r="G1072" s="937"/>
      <c r="H1072" s="937"/>
      <c r="I1072" s="937"/>
      <c r="J1072" s="937"/>
      <c r="K1072" s="937"/>
      <c r="L1072" s="937"/>
      <c r="M1072" s="937"/>
      <c r="N1072" s="937"/>
      <c r="O1072" s="937"/>
      <c r="P1072" s="937"/>
      <c r="Q1072" s="937"/>
      <c r="R1072" s="937"/>
      <c r="S1072" s="937"/>
      <c r="T1072" s="937"/>
      <c r="U1072" s="937"/>
      <c r="V1072" s="937"/>
      <c r="W1072" s="937"/>
      <c r="X1072" s="937"/>
      <c r="Y1072" s="937"/>
      <c r="Z1072" s="937"/>
    </row>
    <row r="1073" spans="1:26" ht="15.75" customHeight="1">
      <c r="A1073" s="937"/>
      <c r="B1073" s="937"/>
      <c r="C1073" s="937"/>
      <c r="D1073" s="937"/>
      <c r="E1073" s="937"/>
      <c r="F1073" s="937"/>
      <c r="G1073" s="937"/>
      <c r="H1073" s="937"/>
      <c r="I1073" s="937"/>
      <c r="J1073" s="937"/>
      <c r="K1073" s="937"/>
      <c r="L1073" s="937"/>
      <c r="M1073" s="937"/>
      <c r="N1073" s="937"/>
      <c r="O1073" s="937"/>
      <c r="P1073" s="937"/>
      <c r="Q1073" s="937"/>
      <c r="R1073" s="937"/>
      <c r="S1073" s="937"/>
      <c r="T1073" s="937"/>
      <c r="U1073" s="937"/>
      <c r="V1073" s="937"/>
      <c r="W1073" s="937"/>
      <c r="X1073" s="937"/>
      <c r="Y1073" s="937"/>
      <c r="Z1073" s="937"/>
    </row>
    <row r="1074" spans="1:26" ht="15.75" customHeight="1">
      <c r="A1074" s="937"/>
      <c r="B1074" s="937"/>
      <c r="C1074" s="937"/>
      <c r="D1074" s="937"/>
      <c r="E1074" s="937"/>
      <c r="F1074" s="937"/>
      <c r="G1074" s="937"/>
      <c r="H1074" s="937"/>
      <c r="I1074" s="937"/>
      <c r="J1074" s="937"/>
      <c r="K1074" s="937"/>
      <c r="L1074" s="937"/>
      <c r="M1074" s="937"/>
      <c r="N1074" s="937"/>
      <c r="O1074" s="937"/>
      <c r="P1074" s="937"/>
      <c r="Q1074" s="937"/>
      <c r="R1074" s="937"/>
      <c r="S1074" s="937"/>
      <c r="T1074" s="937"/>
      <c r="U1074" s="937"/>
      <c r="V1074" s="937"/>
      <c r="W1074" s="937"/>
      <c r="X1074" s="937"/>
      <c r="Y1074" s="937"/>
      <c r="Z1074" s="937"/>
    </row>
    <row r="1075" spans="1:26" ht="15.75" customHeight="1">
      <c r="A1075" s="937"/>
      <c r="B1075" s="937"/>
      <c r="C1075" s="937"/>
      <c r="D1075" s="937"/>
      <c r="E1075" s="937"/>
      <c r="F1075" s="937"/>
      <c r="G1075" s="937"/>
      <c r="H1075" s="937"/>
      <c r="I1075" s="937"/>
      <c r="J1075" s="937"/>
      <c r="K1075" s="937"/>
      <c r="L1075" s="937"/>
      <c r="M1075" s="937"/>
      <c r="N1075" s="937"/>
      <c r="O1075" s="937"/>
      <c r="P1075" s="937"/>
      <c r="Q1075" s="937"/>
      <c r="R1075" s="937"/>
      <c r="S1075" s="937"/>
      <c r="T1075" s="937"/>
      <c r="U1075" s="937"/>
      <c r="V1075" s="937"/>
      <c r="W1075" s="937"/>
      <c r="X1075" s="937"/>
      <c r="Y1075" s="937"/>
      <c r="Z1075" s="937"/>
    </row>
    <row r="1076" spans="1:26" ht="15.75" customHeight="1">
      <c r="A1076" s="937"/>
      <c r="B1076" s="937"/>
      <c r="C1076" s="937"/>
      <c r="D1076" s="937"/>
      <c r="E1076" s="937"/>
      <c r="F1076" s="937"/>
      <c r="G1076" s="937"/>
      <c r="H1076" s="937"/>
      <c r="I1076" s="937"/>
      <c r="J1076" s="937"/>
      <c r="K1076" s="937"/>
      <c r="L1076" s="937"/>
      <c r="M1076" s="937"/>
      <c r="N1076" s="937"/>
      <c r="O1076" s="937"/>
      <c r="P1076" s="937"/>
      <c r="Q1076" s="937"/>
      <c r="R1076" s="937"/>
      <c r="S1076" s="937"/>
      <c r="T1076" s="937"/>
      <c r="U1076" s="937"/>
      <c r="V1076" s="937"/>
      <c r="W1076" s="937"/>
      <c r="X1076" s="937"/>
      <c r="Y1076" s="937"/>
      <c r="Z1076" s="937"/>
    </row>
    <row r="1077" spans="1:26" ht="15.75" customHeight="1">
      <c r="A1077" s="937"/>
      <c r="B1077" s="937"/>
      <c r="C1077" s="937"/>
      <c r="D1077" s="937"/>
      <c r="E1077" s="937"/>
      <c r="F1077" s="937"/>
      <c r="G1077" s="937"/>
      <c r="H1077" s="937"/>
      <c r="I1077" s="937"/>
      <c r="J1077" s="937"/>
      <c r="K1077" s="937"/>
      <c r="L1077" s="937"/>
      <c r="M1077" s="937"/>
      <c r="N1077" s="937"/>
      <c r="O1077" s="937"/>
      <c r="P1077" s="937"/>
      <c r="Q1077" s="937"/>
      <c r="R1077" s="937"/>
      <c r="S1077" s="937"/>
      <c r="T1077" s="937"/>
      <c r="U1077" s="937"/>
      <c r="V1077" s="937"/>
      <c r="W1077" s="937"/>
      <c r="X1077" s="937"/>
      <c r="Y1077" s="937"/>
      <c r="Z1077" s="937"/>
    </row>
    <row r="1078" spans="1:26" ht="15.75" customHeight="1">
      <c r="A1078" s="937"/>
      <c r="B1078" s="937"/>
      <c r="C1078" s="937"/>
      <c r="D1078" s="937"/>
      <c r="E1078" s="937"/>
      <c r="F1078" s="937"/>
      <c r="G1078" s="937"/>
      <c r="H1078" s="937"/>
      <c r="I1078" s="937"/>
      <c r="J1078" s="937"/>
      <c r="K1078" s="937"/>
      <c r="L1078" s="937"/>
      <c r="M1078" s="937"/>
      <c r="N1078" s="937"/>
      <c r="O1078" s="937"/>
      <c r="P1078" s="937"/>
      <c r="Q1078" s="937"/>
      <c r="R1078" s="937"/>
      <c r="S1078" s="937"/>
      <c r="T1078" s="937"/>
      <c r="U1078" s="937"/>
      <c r="V1078" s="937"/>
      <c r="W1078" s="937"/>
      <c r="X1078" s="937"/>
      <c r="Y1078" s="937"/>
      <c r="Z1078" s="937"/>
    </row>
    <row r="1079" spans="1:26" ht="15.75" customHeight="1">
      <c r="A1079" s="937"/>
      <c r="B1079" s="937"/>
      <c r="C1079" s="937"/>
      <c r="D1079" s="937"/>
      <c r="E1079" s="937"/>
      <c r="F1079" s="937"/>
      <c r="G1079" s="937"/>
      <c r="H1079" s="937"/>
      <c r="I1079" s="937"/>
      <c r="J1079" s="937"/>
      <c r="K1079" s="937"/>
      <c r="L1079" s="937"/>
      <c r="M1079" s="937"/>
      <c r="N1079" s="937"/>
      <c r="O1079" s="937"/>
      <c r="P1079" s="937"/>
      <c r="Q1079" s="937"/>
      <c r="R1079" s="937"/>
      <c r="S1079" s="937"/>
      <c r="T1079" s="937"/>
      <c r="U1079" s="937"/>
      <c r="V1079" s="937"/>
      <c r="W1079" s="937"/>
      <c r="X1079" s="937"/>
      <c r="Y1079" s="937"/>
      <c r="Z1079" s="937"/>
    </row>
    <row r="1080" spans="1:26" ht="15.75" customHeight="1">
      <c r="A1080" s="937"/>
      <c r="B1080" s="937"/>
      <c r="C1080" s="937"/>
      <c r="D1080" s="937"/>
      <c r="E1080" s="937"/>
      <c r="F1080" s="937"/>
      <c r="G1080" s="937"/>
      <c r="H1080" s="937"/>
      <c r="I1080" s="937"/>
      <c r="J1080" s="937"/>
      <c r="K1080" s="937"/>
      <c r="L1080" s="937"/>
      <c r="M1080" s="937"/>
      <c r="N1080" s="937"/>
      <c r="O1080" s="937"/>
      <c r="P1080" s="937"/>
      <c r="Q1080" s="937"/>
      <c r="R1080" s="937"/>
      <c r="S1080" s="937"/>
      <c r="T1080" s="937"/>
      <c r="U1080" s="937"/>
      <c r="V1080" s="937"/>
      <c r="W1080" s="937"/>
      <c r="X1080" s="937"/>
      <c r="Y1080" s="937"/>
      <c r="Z1080" s="937"/>
    </row>
    <row r="1081" spans="1:26" ht="15.75" customHeight="1">
      <c r="A1081" s="937"/>
      <c r="B1081" s="937"/>
      <c r="C1081" s="937"/>
      <c r="D1081" s="937"/>
      <c r="E1081" s="937"/>
      <c r="F1081" s="937"/>
      <c r="G1081" s="937"/>
      <c r="H1081" s="937"/>
      <c r="I1081" s="937"/>
      <c r="J1081" s="937"/>
      <c r="K1081" s="937"/>
      <c r="L1081" s="937"/>
      <c r="M1081" s="937"/>
      <c r="N1081" s="937"/>
      <c r="O1081" s="937"/>
      <c r="P1081" s="937"/>
      <c r="Q1081" s="937"/>
      <c r="R1081" s="937"/>
      <c r="S1081" s="937"/>
      <c r="T1081" s="937"/>
      <c r="U1081" s="937"/>
      <c r="V1081" s="937"/>
      <c r="W1081" s="937"/>
      <c r="X1081" s="937"/>
      <c r="Y1081" s="937"/>
      <c r="Z1081" s="937"/>
    </row>
    <row r="1082" spans="1:26" ht="15.75" customHeight="1">
      <c r="A1082" s="937"/>
      <c r="B1082" s="937"/>
      <c r="C1082" s="937"/>
      <c r="D1082" s="937"/>
      <c r="E1082" s="937"/>
      <c r="F1082" s="937"/>
      <c r="G1082" s="937"/>
      <c r="H1082" s="937"/>
      <c r="I1082" s="937"/>
      <c r="J1082" s="937"/>
      <c r="K1082" s="937"/>
      <c r="L1082" s="937"/>
      <c r="M1082" s="937"/>
      <c r="N1082" s="937"/>
      <c r="O1082" s="937"/>
      <c r="P1082" s="937"/>
      <c r="Q1082" s="937"/>
      <c r="R1082" s="937"/>
      <c r="S1082" s="937"/>
      <c r="T1082" s="937"/>
      <c r="U1082" s="937"/>
      <c r="V1082" s="937"/>
      <c r="W1082" s="937"/>
      <c r="X1082" s="937"/>
      <c r="Y1082" s="937"/>
      <c r="Z1082" s="937"/>
    </row>
    <row r="1083" spans="1:26" ht="15.75" customHeight="1">
      <c r="A1083" s="937"/>
      <c r="B1083" s="937"/>
      <c r="C1083" s="937"/>
      <c r="D1083" s="937"/>
      <c r="E1083" s="937"/>
      <c r="F1083" s="937"/>
      <c r="G1083" s="937"/>
      <c r="H1083" s="937"/>
      <c r="I1083" s="937"/>
      <c r="J1083" s="937"/>
      <c r="K1083" s="937"/>
      <c r="L1083" s="937"/>
      <c r="M1083" s="937"/>
      <c r="N1083" s="937"/>
      <c r="O1083" s="937"/>
      <c r="P1083" s="937"/>
      <c r="Q1083" s="937"/>
      <c r="R1083" s="937"/>
      <c r="S1083" s="937"/>
      <c r="T1083" s="937"/>
      <c r="U1083" s="937"/>
      <c r="V1083" s="937"/>
      <c r="W1083" s="937"/>
      <c r="X1083" s="937"/>
      <c r="Y1083" s="937"/>
      <c r="Z1083" s="937"/>
    </row>
    <row r="1084" spans="1:26" ht="15.75" customHeight="1">
      <c r="A1084" s="937"/>
      <c r="B1084" s="937"/>
      <c r="C1084" s="937"/>
      <c r="D1084" s="937"/>
      <c r="E1084" s="937"/>
      <c r="F1084" s="937"/>
      <c r="G1084" s="937"/>
      <c r="H1084" s="937"/>
      <c r="I1084" s="937"/>
      <c r="J1084" s="937"/>
      <c r="K1084" s="937"/>
      <c r="L1084" s="937"/>
      <c r="M1084" s="937"/>
      <c r="N1084" s="937"/>
      <c r="O1084" s="937"/>
      <c r="P1084" s="937"/>
      <c r="Q1084" s="937"/>
      <c r="R1084" s="937"/>
      <c r="S1084" s="937"/>
      <c r="T1084" s="937"/>
      <c r="U1084" s="937"/>
      <c r="V1084" s="937"/>
      <c r="W1084" s="937"/>
      <c r="X1084" s="937"/>
      <c r="Y1084" s="937"/>
      <c r="Z1084" s="937"/>
    </row>
    <row r="1085" spans="1:26" ht="15.75" customHeight="1">
      <c r="A1085" s="937"/>
      <c r="B1085" s="937"/>
      <c r="C1085" s="937"/>
      <c r="D1085" s="937"/>
      <c r="E1085" s="937"/>
      <c r="F1085" s="937"/>
      <c r="G1085" s="937"/>
      <c r="H1085" s="937"/>
      <c r="I1085" s="937"/>
      <c r="J1085" s="937"/>
      <c r="K1085" s="937"/>
      <c r="L1085" s="937"/>
      <c r="M1085" s="937"/>
      <c r="N1085" s="937"/>
      <c r="O1085" s="937"/>
      <c r="P1085" s="937"/>
      <c r="Q1085" s="937"/>
      <c r="R1085" s="937"/>
      <c r="S1085" s="937"/>
      <c r="T1085" s="937"/>
      <c r="U1085" s="937"/>
      <c r="V1085" s="937"/>
      <c r="W1085" s="937"/>
      <c r="X1085" s="937"/>
      <c r="Y1085" s="937"/>
      <c r="Z1085" s="937"/>
    </row>
    <row r="1086" spans="1:26" ht="15.75" customHeight="1">
      <c r="A1086" s="937"/>
      <c r="B1086" s="937"/>
      <c r="C1086" s="937"/>
      <c r="D1086" s="937"/>
      <c r="E1086" s="937"/>
      <c r="F1086" s="937"/>
      <c r="G1086" s="937"/>
      <c r="H1086" s="937"/>
      <c r="I1086" s="937"/>
      <c r="J1086" s="937"/>
      <c r="K1086" s="937"/>
      <c r="L1086" s="937"/>
      <c r="M1086" s="937"/>
      <c r="N1086" s="937"/>
      <c r="O1086" s="937"/>
      <c r="P1086" s="937"/>
      <c r="Q1086" s="937"/>
      <c r="R1086" s="937"/>
      <c r="S1086" s="937"/>
      <c r="T1086" s="937"/>
      <c r="U1086" s="937"/>
      <c r="V1086" s="937"/>
      <c r="W1086" s="937"/>
      <c r="X1086" s="937"/>
      <c r="Y1086" s="937"/>
      <c r="Z1086" s="937"/>
    </row>
    <row r="1087" spans="1:26" ht="15.75" customHeight="1">
      <c r="A1087" s="937"/>
      <c r="B1087" s="937"/>
      <c r="C1087" s="937"/>
      <c r="D1087" s="937"/>
      <c r="E1087" s="937"/>
      <c r="F1087" s="937"/>
      <c r="G1087" s="937"/>
      <c r="H1087" s="937"/>
      <c r="I1087" s="937"/>
      <c r="J1087" s="937"/>
      <c r="K1087" s="937"/>
      <c r="L1087" s="937"/>
      <c r="M1087" s="937"/>
      <c r="N1087" s="937"/>
      <c r="O1087" s="937"/>
      <c r="P1087" s="937"/>
      <c r="Q1087" s="937"/>
      <c r="R1087" s="937"/>
      <c r="S1087" s="937"/>
      <c r="T1087" s="937"/>
      <c r="U1087" s="937"/>
      <c r="V1087" s="937"/>
      <c r="W1087" s="937"/>
      <c r="X1087" s="937"/>
      <c r="Y1087" s="937"/>
      <c r="Z1087" s="937"/>
    </row>
    <row r="1088" spans="1:26" ht="15.75" customHeight="1">
      <c r="A1088" s="937"/>
      <c r="B1088" s="937"/>
      <c r="C1088" s="937"/>
      <c r="D1088" s="937"/>
      <c r="E1088" s="937"/>
      <c r="F1088" s="937"/>
      <c r="G1088" s="937"/>
      <c r="H1088" s="937"/>
      <c r="I1088" s="937"/>
      <c r="J1088" s="937"/>
      <c r="K1088" s="937"/>
      <c r="L1088" s="937"/>
      <c r="M1088" s="937"/>
      <c r="N1088" s="937"/>
      <c r="O1088" s="937"/>
      <c r="P1088" s="937"/>
      <c r="Q1088" s="937"/>
      <c r="R1088" s="937"/>
      <c r="S1088" s="937"/>
      <c r="T1088" s="937"/>
      <c r="U1088" s="937"/>
      <c r="V1088" s="937"/>
      <c r="W1088" s="937"/>
      <c r="X1088" s="937"/>
      <c r="Y1088" s="937"/>
      <c r="Z1088" s="937"/>
    </row>
    <row r="1089" spans="1:26" ht="15.75" customHeight="1">
      <c r="A1089" s="937"/>
      <c r="B1089" s="937"/>
      <c r="C1089" s="937"/>
      <c r="D1089" s="937"/>
      <c r="E1089" s="937"/>
      <c r="F1089" s="937"/>
      <c r="G1089" s="937"/>
      <c r="H1089" s="937"/>
      <c r="I1089" s="937"/>
      <c r="J1089" s="937"/>
      <c r="K1089" s="937"/>
      <c r="L1089" s="937"/>
      <c r="M1089" s="937"/>
      <c r="N1089" s="937"/>
      <c r="O1089" s="937"/>
      <c r="P1089" s="937"/>
      <c r="Q1089" s="937"/>
      <c r="R1089" s="937"/>
      <c r="S1089" s="937"/>
      <c r="T1089" s="937"/>
      <c r="U1089" s="937"/>
      <c r="V1089" s="937"/>
      <c r="W1089" s="937"/>
      <c r="X1089" s="937"/>
      <c r="Y1089" s="937"/>
      <c r="Z1089" s="937"/>
    </row>
    <row r="1090" spans="1:26" ht="15.75" customHeight="1">
      <c r="A1090" s="937"/>
      <c r="B1090" s="937"/>
      <c r="C1090" s="937"/>
      <c r="D1090" s="937"/>
      <c r="E1090" s="937"/>
      <c r="F1090" s="937"/>
      <c r="G1090" s="937"/>
      <c r="H1090" s="937"/>
      <c r="I1090" s="937"/>
      <c r="J1090" s="937"/>
      <c r="K1090" s="937"/>
      <c r="L1090" s="937"/>
      <c r="M1090" s="937"/>
      <c r="N1090" s="937"/>
      <c r="O1090" s="937"/>
      <c r="P1090" s="937"/>
      <c r="Q1090" s="937"/>
      <c r="R1090" s="937"/>
      <c r="S1090" s="937"/>
      <c r="T1090" s="937"/>
      <c r="U1090" s="937"/>
      <c r="V1090" s="937"/>
      <c r="W1090" s="937"/>
      <c r="X1090" s="937"/>
      <c r="Y1090" s="937"/>
      <c r="Z1090" s="937"/>
    </row>
    <row r="1091" spans="1:26" ht="15.75" customHeight="1">
      <c r="A1091" s="937"/>
      <c r="B1091" s="937"/>
      <c r="C1091" s="937"/>
      <c r="D1091" s="937"/>
      <c r="E1091" s="937"/>
      <c r="F1091" s="937"/>
      <c r="G1091" s="937"/>
      <c r="H1091" s="937"/>
      <c r="I1091" s="937"/>
      <c r="J1091" s="937"/>
      <c r="K1091" s="937"/>
      <c r="L1091" s="937"/>
      <c r="M1091" s="937"/>
      <c r="N1091" s="937"/>
      <c r="O1091" s="937"/>
      <c r="P1091" s="937"/>
      <c r="Q1091" s="937"/>
      <c r="R1091" s="937"/>
      <c r="S1091" s="937"/>
      <c r="T1091" s="937"/>
      <c r="U1091" s="937"/>
      <c r="V1091" s="937"/>
      <c r="W1091" s="937"/>
      <c r="X1091" s="937"/>
      <c r="Y1091" s="937"/>
      <c r="Z1091" s="937"/>
    </row>
    <row r="1092" spans="1:26" ht="15.75" customHeight="1">
      <c r="A1092" s="937"/>
      <c r="B1092" s="937"/>
      <c r="C1092" s="937"/>
      <c r="D1092" s="937"/>
      <c r="E1092" s="937"/>
      <c r="F1092" s="937"/>
      <c r="G1092" s="937"/>
      <c r="H1092" s="937"/>
      <c r="I1092" s="937"/>
      <c r="J1092" s="937"/>
      <c r="K1092" s="937"/>
      <c r="L1092" s="937"/>
      <c r="M1092" s="937"/>
      <c r="N1092" s="937"/>
      <c r="O1092" s="937"/>
      <c r="P1092" s="937"/>
      <c r="Q1092" s="937"/>
      <c r="R1092" s="937"/>
      <c r="S1092" s="937"/>
      <c r="T1092" s="937"/>
      <c r="U1092" s="937"/>
      <c r="V1092" s="937"/>
      <c r="W1092" s="937"/>
      <c r="X1092" s="937"/>
      <c r="Y1092" s="937"/>
      <c r="Z1092" s="937"/>
    </row>
    <row r="1093" spans="1:26" ht="15.75" customHeight="1">
      <c r="A1093" s="937"/>
      <c r="B1093" s="937"/>
      <c r="C1093" s="937"/>
      <c r="D1093" s="937"/>
      <c r="E1093" s="937"/>
      <c r="F1093" s="937"/>
      <c r="G1093" s="937"/>
      <c r="H1093" s="937"/>
      <c r="I1093" s="937"/>
      <c r="J1093" s="937"/>
      <c r="K1093" s="937"/>
      <c r="L1093" s="937"/>
      <c r="M1093" s="937"/>
      <c r="N1093" s="937"/>
      <c r="O1093" s="937"/>
      <c r="P1093" s="937"/>
      <c r="Q1093" s="937"/>
      <c r="R1093" s="937"/>
      <c r="S1093" s="937"/>
      <c r="T1093" s="937"/>
      <c r="U1093" s="937"/>
      <c r="V1093" s="937"/>
      <c r="W1093" s="937"/>
      <c r="X1093" s="937"/>
      <c r="Y1093" s="937"/>
      <c r="Z1093" s="937"/>
    </row>
    <row r="1094" spans="1:26" ht="15.75" customHeight="1">
      <c r="A1094" s="937"/>
      <c r="B1094" s="937"/>
      <c r="C1094" s="937"/>
      <c r="D1094" s="937"/>
      <c r="E1094" s="937"/>
      <c r="F1094" s="937"/>
      <c r="G1094" s="937"/>
      <c r="H1094" s="937"/>
      <c r="I1094" s="937"/>
      <c r="J1094" s="937"/>
      <c r="K1094" s="937"/>
      <c r="L1094" s="937"/>
      <c r="M1094" s="937"/>
      <c r="N1094" s="937"/>
      <c r="O1094" s="937"/>
      <c r="P1094" s="937"/>
      <c r="Q1094" s="937"/>
      <c r="R1094" s="937"/>
      <c r="S1094" s="937"/>
      <c r="T1094" s="937"/>
      <c r="U1094" s="937"/>
      <c r="V1094" s="937"/>
      <c r="W1094" s="937"/>
      <c r="X1094" s="937"/>
      <c r="Y1094" s="937"/>
      <c r="Z1094" s="937"/>
    </row>
    <row r="1095" spans="1:26" ht="15.75" customHeight="1">
      <c r="A1095" s="937"/>
      <c r="B1095" s="937"/>
      <c r="C1095" s="937"/>
      <c r="D1095" s="937"/>
      <c r="E1095" s="937"/>
      <c r="F1095" s="937"/>
      <c r="G1095" s="937"/>
      <c r="H1095" s="937"/>
      <c r="I1095" s="937"/>
      <c r="J1095" s="937"/>
      <c r="K1095" s="937"/>
      <c r="L1095" s="937"/>
      <c r="M1095" s="937"/>
      <c r="N1095" s="937"/>
      <c r="O1095" s="937"/>
      <c r="P1095" s="937"/>
      <c r="Q1095" s="937"/>
      <c r="R1095" s="937"/>
      <c r="S1095" s="937"/>
      <c r="T1095" s="937"/>
      <c r="U1095" s="937"/>
      <c r="V1095" s="937"/>
      <c r="W1095" s="937"/>
      <c r="X1095" s="937"/>
      <c r="Y1095" s="937"/>
      <c r="Z1095" s="937"/>
    </row>
    <row r="1096" spans="1:26" ht="15.75" customHeight="1">
      <c r="A1096" s="937"/>
      <c r="B1096" s="937"/>
      <c r="C1096" s="937"/>
      <c r="D1096" s="937"/>
      <c r="E1096" s="937"/>
      <c r="F1096" s="937"/>
      <c r="G1096" s="937"/>
      <c r="H1096" s="937"/>
      <c r="I1096" s="937"/>
      <c r="J1096" s="937"/>
      <c r="K1096" s="937"/>
      <c r="L1096" s="937"/>
      <c r="M1096" s="937"/>
      <c r="N1096" s="937"/>
      <c r="O1096" s="937"/>
      <c r="P1096" s="937"/>
      <c r="Q1096" s="937"/>
      <c r="R1096" s="937"/>
      <c r="S1096" s="937"/>
      <c r="T1096" s="937"/>
      <c r="U1096" s="937"/>
      <c r="V1096" s="937"/>
      <c r="W1096" s="937"/>
      <c r="X1096" s="937"/>
      <c r="Y1096" s="937"/>
      <c r="Z1096" s="937"/>
    </row>
    <row r="1097" spans="1:26" ht="15.75" customHeight="1">
      <c r="A1097" s="937"/>
      <c r="B1097" s="937"/>
      <c r="C1097" s="937"/>
      <c r="D1097" s="937"/>
      <c r="E1097" s="937"/>
      <c r="F1097" s="937"/>
      <c r="G1097" s="937"/>
      <c r="H1097" s="937"/>
      <c r="I1097" s="937"/>
      <c r="J1097" s="937"/>
      <c r="K1097" s="937"/>
      <c r="L1097" s="937"/>
      <c r="M1097" s="937"/>
      <c r="N1097" s="937"/>
      <c r="O1097" s="937"/>
      <c r="P1097" s="937"/>
      <c r="Q1097" s="937"/>
      <c r="R1097" s="937"/>
      <c r="S1097" s="937"/>
      <c r="T1097" s="937"/>
      <c r="U1097" s="937"/>
      <c r="V1097" s="937"/>
      <c r="W1097" s="937"/>
      <c r="X1097" s="937"/>
      <c r="Y1097" s="937"/>
      <c r="Z1097" s="937"/>
    </row>
    <row r="1098" spans="1:26" ht="15.75" customHeight="1">
      <c r="A1098" s="937"/>
      <c r="B1098" s="937"/>
      <c r="C1098" s="937"/>
      <c r="D1098" s="937"/>
      <c r="E1098" s="937"/>
      <c r="F1098" s="937"/>
      <c r="G1098" s="937"/>
      <c r="H1098" s="937"/>
      <c r="I1098" s="937"/>
      <c r="J1098" s="937"/>
      <c r="K1098" s="937"/>
      <c r="L1098" s="937"/>
      <c r="M1098" s="937"/>
      <c r="N1098" s="937"/>
      <c r="O1098" s="937"/>
      <c r="P1098" s="937"/>
      <c r="Q1098" s="937"/>
      <c r="R1098" s="937"/>
      <c r="S1098" s="937"/>
      <c r="T1098" s="937"/>
      <c r="U1098" s="937"/>
      <c r="V1098" s="937"/>
      <c r="W1098" s="937"/>
      <c r="X1098" s="937"/>
      <c r="Y1098" s="937"/>
      <c r="Z1098" s="937"/>
    </row>
    <row r="1099" spans="1:26" ht="15.75" customHeight="1">
      <c r="A1099" s="937"/>
      <c r="B1099" s="937"/>
      <c r="C1099" s="937"/>
      <c r="D1099" s="937"/>
      <c r="E1099" s="937"/>
      <c r="F1099" s="937"/>
      <c r="G1099" s="937"/>
      <c r="H1099" s="937"/>
      <c r="I1099" s="937"/>
      <c r="J1099" s="937"/>
      <c r="K1099" s="937"/>
      <c r="L1099" s="937"/>
      <c r="M1099" s="937"/>
      <c r="N1099" s="937"/>
      <c r="O1099" s="937"/>
      <c r="P1099" s="937"/>
      <c r="Q1099" s="937"/>
      <c r="R1099" s="937"/>
      <c r="S1099" s="937"/>
      <c r="T1099" s="937"/>
      <c r="U1099" s="937"/>
      <c r="V1099" s="937"/>
      <c r="W1099" s="937"/>
      <c r="X1099" s="937"/>
      <c r="Y1099" s="937"/>
      <c r="Z1099" s="937"/>
    </row>
    <row r="1100" spans="1:26" ht="15.75" customHeight="1">
      <c r="A1100" s="937"/>
      <c r="B1100" s="937"/>
      <c r="C1100" s="937"/>
      <c r="D1100" s="937"/>
      <c r="E1100" s="937"/>
      <c r="F1100" s="937"/>
      <c r="G1100" s="937"/>
      <c r="H1100" s="937"/>
      <c r="I1100" s="937"/>
      <c r="J1100" s="937"/>
      <c r="K1100" s="937"/>
      <c r="L1100" s="937"/>
      <c r="M1100" s="937"/>
      <c r="N1100" s="937"/>
      <c r="O1100" s="937"/>
      <c r="P1100" s="937"/>
      <c r="Q1100" s="937"/>
      <c r="R1100" s="937"/>
      <c r="S1100" s="937"/>
      <c r="T1100" s="937"/>
      <c r="U1100" s="937"/>
      <c r="V1100" s="937"/>
      <c r="W1100" s="937"/>
      <c r="X1100" s="937"/>
      <c r="Y1100" s="937"/>
      <c r="Z1100" s="937"/>
    </row>
    <row r="1101" spans="1:26" ht="15.75" customHeight="1">
      <c r="A1101" s="937"/>
      <c r="B1101" s="937"/>
      <c r="C1101" s="937"/>
      <c r="D1101" s="937"/>
      <c r="E1101" s="937"/>
      <c r="F1101" s="937"/>
      <c r="G1101" s="937"/>
      <c r="H1101" s="937"/>
      <c r="I1101" s="937"/>
      <c r="J1101" s="937"/>
      <c r="K1101" s="937"/>
      <c r="L1101" s="937"/>
      <c r="M1101" s="937"/>
      <c r="N1101" s="937"/>
      <c r="O1101" s="937"/>
      <c r="P1101" s="937"/>
      <c r="Q1101" s="937"/>
      <c r="R1101" s="937"/>
      <c r="S1101" s="937"/>
      <c r="T1101" s="937"/>
      <c r="U1101" s="937"/>
      <c r="V1101" s="937"/>
      <c r="W1101" s="937"/>
      <c r="X1101" s="937"/>
      <c r="Y1101" s="937"/>
      <c r="Z1101" s="937"/>
    </row>
    <row r="1102" spans="1:26" ht="15.75" customHeight="1">
      <c r="A1102" s="937"/>
      <c r="B1102" s="937"/>
      <c r="C1102" s="937"/>
      <c r="D1102" s="937"/>
      <c r="E1102" s="937"/>
      <c r="F1102" s="937"/>
      <c r="G1102" s="937"/>
      <c r="H1102" s="937"/>
      <c r="I1102" s="937"/>
      <c r="J1102" s="937"/>
      <c r="K1102" s="937"/>
      <c r="L1102" s="937"/>
      <c r="M1102" s="937"/>
      <c r="N1102" s="937"/>
      <c r="O1102" s="937"/>
      <c r="P1102" s="937"/>
      <c r="Q1102" s="937"/>
      <c r="R1102" s="937"/>
      <c r="S1102" s="937"/>
      <c r="T1102" s="937"/>
      <c r="U1102" s="937"/>
      <c r="V1102" s="937"/>
      <c r="W1102" s="937"/>
      <c r="X1102" s="937"/>
      <c r="Y1102" s="937"/>
      <c r="Z1102" s="937"/>
    </row>
    <row r="1103" spans="1:26" ht="15.75" customHeight="1">
      <c r="A1103" s="937"/>
      <c r="B1103" s="937"/>
      <c r="C1103" s="937"/>
      <c r="D1103" s="937"/>
      <c r="E1103" s="937"/>
      <c r="F1103" s="937"/>
      <c r="G1103" s="937"/>
      <c r="H1103" s="937"/>
      <c r="I1103" s="937"/>
      <c r="J1103" s="937"/>
      <c r="K1103" s="937"/>
      <c r="L1103" s="937"/>
      <c r="M1103" s="937"/>
      <c r="N1103" s="937"/>
      <c r="O1103" s="937"/>
      <c r="P1103" s="937"/>
      <c r="Q1103" s="937"/>
      <c r="R1103" s="937"/>
      <c r="S1103" s="937"/>
      <c r="T1103" s="937"/>
      <c r="U1103" s="937"/>
      <c r="V1103" s="937"/>
      <c r="W1103" s="937"/>
      <c r="X1103" s="937"/>
      <c r="Y1103" s="937"/>
      <c r="Z1103" s="937"/>
    </row>
    <row r="1104" spans="1:26" ht="15.75" customHeight="1">
      <c r="A1104" s="937"/>
      <c r="B1104" s="937"/>
      <c r="C1104" s="937"/>
      <c r="D1104" s="937"/>
      <c r="E1104" s="937"/>
      <c r="F1104" s="937"/>
      <c r="G1104" s="937"/>
      <c r="H1104" s="937"/>
      <c r="I1104" s="937"/>
      <c r="J1104" s="937"/>
      <c r="K1104" s="937"/>
      <c r="L1104" s="937"/>
      <c r="M1104" s="937"/>
      <c r="N1104" s="937"/>
      <c r="O1104" s="937"/>
      <c r="P1104" s="937"/>
      <c r="Q1104" s="937"/>
      <c r="R1104" s="937"/>
      <c r="S1104" s="937"/>
      <c r="T1104" s="937"/>
      <c r="U1104" s="937"/>
      <c r="V1104" s="937"/>
      <c r="W1104" s="937"/>
      <c r="X1104" s="937"/>
      <c r="Y1104" s="937"/>
      <c r="Z1104" s="937"/>
    </row>
    <row r="1105" spans="1:26" ht="15.75" customHeight="1">
      <c r="A1105" s="937"/>
      <c r="B1105" s="937"/>
      <c r="C1105" s="937"/>
      <c r="D1105" s="937"/>
      <c r="E1105" s="937"/>
      <c r="F1105" s="937"/>
      <c r="G1105" s="937"/>
      <c r="H1105" s="937"/>
      <c r="I1105" s="937"/>
      <c r="J1105" s="937"/>
      <c r="K1105" s="937"/>
      <c r="L1105" s="937"/>
      <c r="M1105" s="937"/>
      <c r="N1105" s="937"/>
      <c r="O1105" s="937"/>
      <c r="P1105" s="937"/>
      <c r="Q1105" s="937"/>
      <c r="R1105" s="937"/>
      <c r="S1105" s="937"/>
      <c r="T1105" s="937"/>
      <c r="U1105" s="937"/>
      <c r="V1105" s="937"/>
      <c r="W1105" s="937"/>
      <c r="X1105" s="937"/>
      <c r="Y1105" s="937"/>
      <c r="Z1105" s="937"/>
    </row>
    <row r="1106" spans="1:26" ht="15.75" customHeight="1">
      <c r="A1106" s="937"/>
      <c r="B1106" s="937"/>
      <c r="C1106" s="937"/>
      <c r="D1106" s="937"/>
      <c r="E1106" s="937"/>
      <c r="F1106" s="937"/>
      <c r="G1106" s="937"/>
      <c r="H1106" s="937"/>
      <c r="I1106" s="937"/>
      <c r="J1106" s="937"/>
      <c r="K1106" s="937"/>
      <c r="L1106" s="937"/>
      <c r="M1106" s="937"/>
      <c r="N1106" s="937"/>
      <c r="O1106" s="937"/>
      <c r="P1106" s="937"/>
      <c r="Q1106" s="937"/>
      <c r="R1106" s="937"/>
      <c r="S1106" s="937"/>
      <c r="T1106" s="937"/>
      <c r="U1106" s="937"/>
      <c r="V1106" s="937"/>
      <c r="W1106" s="937"/>
      <c r="X1106" s="937"/>
      <c r="Y1106" s="937"/>
      <c r="Z1106" s="937"/>
    </row>
    <row r="1107" spans="1:26" ht="15.75" customHeight="1">
      <c r="A1107" s="937"/>
      <c r="B1107" s="937"/>
      <c r="C1107" s="937"/>
      <c r="D1107" s="937"/>
      <c r="E1107" s="937"/>
      <c r="F1107" s="937"/>
      <c r="G1107" s="937"/>
      <c r="H1107" s="937"/>
      <c r="I1107" s="937"/>
      <c r="J1107" s="937"/>
      <c r="K1107" s="937"/>
      <c r="L1107" s="937"/>
      <c r="M1107" s="937"/>
      <c r="N1107" s="937"/>
      <c r="O1107" s="937"/>
      <c r="P1107" s="937"/>
      <c r="Q1107" s="937"/>
      <c r="R1107" s="937"/>
      <c r="S1107" s="937"/>
      <c r="T1107" s="937"/>
      <c r="U1107" s="937"/>
      <c r="V1107" s="937"/>
      <c r="W1107" s="937"/>
      <c r="X1107" s="937"/>
      <c r="Y1107" s="937"/>
      <c r="Z1107" s="937"/>
    </row>
    <row r="1108" spans="1:26" ht="15.75" customHeight="1">
      <c r="A1108" s="937"/>
      <c r="B1108" s="937"/>
      <c r="C1108" s="937"/>
      <c r="D1108" s="937"/>
      <c r="E1108" s="937"/>
      <c r="F1108" s="937"/>
      <c r="G1108" s="937"/>
      <c r="H1108" s="937"/>
      <c r="I1108" s="937"/>
      <c r="J1108" s="937"/>
      <c r="K1108" s="937"/>
      <c r="L1108" s="937"/>
      <c r="M1108" s="937"/>
      <c r="N1108" s="937"/>
      <c r="O1108" s="937"/>
      <c r="P1108" s="937"/>
      <c r="Q1108" s="937"/>
      <c r="R1108" s="937"/>
      <c r="S1108" s="937"/>
      <c r="T1108" s="937"/>
      <c r="U1108" s="937"/>
      <c r="V1108" s="937"/>
      <c r="W1108" s="937"/>
      <c r="X1108" s="937"/>
      <c r="Y1108" s="937"/>
      <c r="Z1108" s="937"/>
    </row>
    <row r="1109" spans="1:26" ht="15.75" customHeight="1">
      <c r="A1109" s="937"/>
      <c r="B1109" s="937"/>
      <c r="C1109" s="937"/>
      <c r="D1109" s="937"/>
      <c r="E1109" s="937"/>
      <c r="F1109" s="937"/>
      <c r="G1109" s="937"/>
      <c r="H1109" s="937"/>
      <c r="I1109" s="937"/>
      <c r="J1109" s="937"/>
      <c r="K1109" s="937"/>
      <c r="L1109" s="937"/>
      <c r="M1109" s="937"/>
      <c r="N1109" s="937"/>
      <c r="O1109" s="937"/>
      <c r="P1109" s="937"/>
      <c r="Q1109" s="937"/>
      <c r="R1109" s="937"/>
      <c r="S1109" s="937"/>
      <c r="T1109" s="937"/>
      <c r="U1109" s="937"/>
      <c r="V1109" s="937"/>
      <c r="W1109" s="937"/>
      <c r="X1109" s="937"/>
      <c r="Y1109" s="937"/>
      <c r="Z1109" s="937"/>
    </row>
    <row r="1110" spans="1:26" ht="15.75" customHeight="1">
      <c r="A1110" s="937"/>
      <c r="B1110" s="937"/>
      <c r="C1110" s="937"/>
      <c r="D1110" s="937"/>
      <c r="E1110" s="937"/>
      <c r="F1110" s="937"/>
      <c r="G1110" s="937"/>
      <c r="H1110" s="937"/>
      <c r="I1110" s="937"/>
      <c r="J1110" s="937"/>
      <c r="K1110" s="937"/>
      <c r="L1110" s="937"/>
      <c r="M1110" s="937"/>
      <c r="N1110" s="937"/>
      <c r="O1110" s="937"/>
      <c r="P1110" s="937"/>
      <c r="Q1110" s="937"/>
      <c r="R1110" s="937"/>
      <c r="S1110" s="937"/>
      <c r="T1110" s="937"/>
      <c r="U1110" s="937"/>
      <c r="V1110" s="937"/>
      <c r="W1110" s="937"/>
      <c r="X1110" s="937"/>
      <c r="Y1110" s="937"/>
      <c r="Z1110" s="937"/>
    </row>
    <row r="1111" spans="1:26" ht="15.75" customHeight="1">
      <c r="A1111" s="937"/>
      <c r="B1111" s="937"/>
      <c r="C1111" s="937"/>
      <c r="D1111" s="937"/>
      <c r="E1111" s="937"/>
      <c r="F1111" s="937"/>
      <c r="G1111" s="937"/>
      <c r="H1111" s="937"/>
      <c r="I1111" s="937"/>
      <c r="J1111" s="937"/>
      <c r="K1111" s="937"/>
      <c r="L1111" s="937"/>
      <c r="M1111" s="937"/>
      <c r="N1111" s="937"/>
      <c r="O1111" s="937"/>
      <c r="P1111" s="937"/>
      <c r="Q1111" s="937"/>
      <c r="R1111" s="937"/>
      <c r="S1111" s="937"/>
      <c r="T1111" s="937"/>
      <c r="U1111" s="937"/>
      <c r="V1111" s="937"/>
      <c r="W1111" s="937"/>
      <c r="X1111" s="937"/>
      <c r="Y1111" s="937"/>
      <c r="Z1111" s="937"/>
    </row>
    <row r="1112" spans="1:26" ht="15.75" customHeight="1">
      <c r="A1112" s="937"/>
      <c r="B1112" s="937"/>
      <c r="C1112" s="937"/>
      <c r="D1112" s="937"/>
      <c r="E1112" s="937"/>
      <c r="F1112" s="937"/>
      <c r="G1112" s="937"/>
      <c r="H1112" s="937"/>
      <c r="I1112" s="937"/>
      <c r="J1112" s="937"/>
      <c r="K1112" s="937"/>
      <c r="L1112" s="937"/>
      <c r="M1112" s="937"/>
      <c r="N1112" s="937"/>
      <c r="O1112" s="937"/>
      <c r="P1112" s="937"/>
      <c r="Q1112" s="937"/>
      <c r="R1112" s="937"/>
      <c r="S1112" s="937"/>
      <c r="T1112" s="937"/>
      <c r="U1112" s="937"/>
      <c r="V1112" s="937"/>
      <c r="W1112" s="937"/>
      <c r="X1112" s="937"/>
      <c r="Y1112" s="937"/>
      <c r="Z1112" s="937"/>
    </row>
    <row r="1113" spans="1:26" ht="15.75" customHeight="1">
      <c r="A1113" s="937"/>
      <c r="B1113" s="937"/>
      <c r="C1113" s="937"/>
      <c r="D1113" s="937"/>
      <c r="E1113" s="937"/>
      <c r="F1113" s="937"/>
      <c r="G1113" s="937"/>
      <c r="H1113" s="937"/>
      <c r="I1113" s="937"/>
      <c r="J1113" s="937"/>
      <c r="K1113" s="937"/>
      <c r="L1113" s="937"/>
      <c r="M1113" s="937"/>
      <c r="N1113" s="937"/>
      <c r="O1113" s="937"/>
      <c r="P1113" s="937"/>
      <c r="Q1113" s="937"/>
      <c r="R1113" s="937"/>
      <c r="S1113" s="937"/>
      <c r="T1113" s="937"/>
      <c r="U1113" s="937"/>
      <c r="V1113" s="937"/>
      <c r="W1113" s="937"/>
      <c r="X1113" s="937"/>
      <c r="Y1113" s="937"/>
      <c r="Z1113" s="937"/>
    </row>
    <row r="1114" spans="1:26" ht="15.75" customHeight="1">
      <c r="A1114" s="937"/>
      <c r="B1114" s="937"/>
      <c r="C1114" s="937"/>
      <c r="D1114" s="937"/>
      <c r="E1114" s="937"/>
      <c r="F1114" s="937"/>
      <c r="G1114" s="937"/>
      <c r="H1114" s="937"/>
      <c r="I1114" s="937"/>
      <c r="J1114" s="937"/>
      <c r="K1114" s="937"/>
      <c r="L1114" s="937"/>
      <c r="M1114" s="937"/>
      <c r="N1114" s="937"/>
      <c r="O1114" s="937"/>
      <c r="P1114" s="937"/>
      <c r="Q1114" s="937"/>
      <c r="R1114" s="937"/>
      <c r="S1114" s="937"/>
      <c r="T1114" s="937"/>
      <c r="U1114" s="937"/>
      <c r="V1114" s="937"/>
      <c r="W1114" s="937"/>
      <c r="X1114" s="937"/>
      <c r="Y1114" s="937"/>
      <c r="Z1114" s="937"/>
    </row>
    <row r="1115" spans="1:26" ht="15.75" customHeight="1">
      <c r="A1115" s="937"/>
      <c r="B1115" s="937"/>
      <c r="C1115" s="937"/>
      <c r="D1115" s="937"/>
      <c r="E1115" s="937"/>
      <c r="F1115" s="937"/>
      <c r="G1115" s="937"/>
      <c r="H1115" s="937"/>
      <c r="I1115" s="937"/>
      <c r="J1115" s="937"/>
      <c r="K1115" s="937"/>
      <c r="L1115" s="937"/>
      <c r="M1115" s="937"/>
      <c r="N1115" s="937"/>
      <c r="O1115" s="937"/>
      <c r="P1115" s="937"/>
      <c r="Q1115" s="937"/>
      <c r="R1115" s="937"/>
      <c r="S1115" s="937"/>
      <c r="T1115" s="937"/>
      <c r="U1115" s="937"/>
      <c r="V1115" s="937"/>
      <c r="W1115" s="937"/>
      <c r="X1115" s="937"/>
      <c r="Y1115" s="937"/>
      <c r="Z1115" s="937"/>
    </row>
    <row r="1116" spans="1:26" ht="15.75" customHeight="1">
      <c r="A1116" s="937"/>
      <c r="B1116" s="937"/>
      <c r="C1116" s="937"/>
      <c r="D1116" s="937"/>
      <c r="E1116" s="937"/>
      <c r="F1116" s="937"/>
      <c r="G1116" s="937"/>
      <c r="H1116" s="937"/>
      <c r="I1116" s="937"/>
      <c r="J1116" s="937"/>
      <c r="K1116" s="937"/>
      <c r="L1116" s="937"/>
      <c r="M1116" s="937"/>
      <c r="N1116" s="937"/>
      <c r="O1116" s="937"/>
      <c r="P1116" s="937"/>
      <c r="Q1116" s="937"/>
      <c r="R1116" s="937"/>
      <c r="S1116" s="937"/>
      <c r="T1116" s="937"/>
      <c r="U1116" s="937"/>
      <c r="V1116" s="937"/>
      <c r="W1116" s="937"/>
      <c r="X1116" s="937"/>
      <c r="Y1116" s="937"/>
      <c r="Z1116" s="937"/>
    </row>
    <row r="1117" spans="1:26" ht="15.75" customHeight="1">
      <c r="A1117" s="937"/>
      <c r="B1117" s="937"/>
      <c r="C1117" s="937"/>
      <c r="D1117" s="937"/>
      <c r="E1117" s="937"/>
      <c r="F1117" s="937"/>
      <c r="G1117" s="937"/>
      <c r="H1117" s="937"/>
      <c r="I1117" s="937"/>
      <c r="J1117" s="937"/>
      <c r="K1117" s="937"/>
      <c r="L1117" s="937"/>
      <c r="M1117" s="937"/>
      <c r="N1117" s="937"/>
      <c r="O1117" s="937"/>
      <c r="P1117" s="937"/>
      <c r="Q1117" s="937"/>
      <c r="R1117" s="937"/>
      <c r="S1117" s="937"/>
      <c r="T1117" s="937"/>
      <c r="U1117" s="937"/>
      <c r="V1117" s="937"/>
      <c r="W1117" s="937"/>
      <c r="X1117" s="937"/>
      <c r="Y1117" s="937"/>
      <c r="Z1117" s="937"/>
    </row>
    <row r="1118" spans="1:26" ht="15.75" customHeight="1">
      <c r="A1118" s="937"/>
      <c r="B1118" s="937"/>
      <c r="C1118" s="937"/>
      <c r="D1118" s="937"/>
      <c r="E1118" s="937"/>
      <c r="F1118" s="937"/>
      <c r="G1118" s="937"/>
      <c r="H1118" s="937"/>
      <c r="I1118" s="937"/>
      <c r="J1118" s="937"/>
      <c r="K1118" s="937"/>
      <c r="L1118" s="937"/>
      <c r="M1118" s="937"/>
      <c r="N1118" s="937"/>
      <c r="O1118" s="937"/>
      <c r="P1118" s="937"/>
      <c r="Q1118" s="937"/>
      <c r="R1118" s="937"/>
      <c r="S1118" s="937"/>
      <c r="T1118" s="937"/>
      <c r="U1118" s="937"/>
      <c r="V1118" s="937"/>
      <c r="W1118" s="937"/>
      <c r="X1118" s="937"/>
      <c r="Y1118" s="937"/>
      <c r="Z1118" s="937"/>
    </row>
    <row r="1119" spans="1:26" ht="15.75" customHeight="1">
      <c r="A1119" s="937"/>
      <c r="B1119" s="937"/>
      <c r="C1119" s="937"/>
      <c r="D1119" s="937"/>
      <c r="E1119" s="937"/>
      <c r="F1119" s="937"/>
      <c r="G1119" s="937"/>
      <c r="H1119" s="937"/>
      <c r="I1119" s="937"/>
      <c r="J1119" s="937"/>
      <c r="K1119" s="937"/>
      <c r="L1119" s="937"/>
      <c r="M1119" s="937"/>
      <c r="N1119" s="937"/>
      <c r="O1119" s="937"/>
      <c r="P1119" s="937"/>
      <c r="Q1119" s="937"/>
      <c r="R1119" s="937"/>
      <c r="S1119" s="937"/>
      <c r="T1119" s="937"/>
      <c r="U1119" s="937"/>
      <c r="V1119" s="937"/>
      <c r="W1119" s="937"/>
      <c r="X1119" s="937"/>
      <c r="Y1119" s="937"/>
      <c r="Z1119" s="937"/>
    </row>
    <row r="1120" spans="1:26" ht="15.75" customHeight="1">
      <c r="A1120" s="937"/>
      <c r="B1120" s="937"/>
      <c r="C1120" s="937"/>
      <c r="D1120" s="937"/>
      <c r="E1120" s="937"/>
      <c r="F1120" s="937"/>
      <c r="G1120" s="937"/>
      <c r="H1120" s="937"/>
      <c r="I1120" s="937"/>
      <c r="J1120" s="937"/>
      <c r="K1120" s="937"/>
      <c r="L1120" s="937"/>
      <c r="M1120" s="937"/>
      <c r="N1120" s="937"/>
      <c r="O1120" s="937"/>
      <c r="P1120" s="937"/>
      <c r="Q1120" s="937"/>
      <c r="R1120" s="937"/>
      <c r="S1120" s="937"/>
      <c r="T1120" s="937"/>
      <c r="U1120" s="937"/>
      <c r="V1120" s="937"/>
      <c r="W1120" s="937"/>
      <c r="X1120" s="937"/>
      <c r="Y1120" s="937"/>
      <c r="Z1120" s="937"/>
    </row>
    <row r="1121" spans="1:26" ht="15.75" customHeight="1">
      <c r="A1121" s="937"/>
      <c r="B1121" s="937"/>
      <c r="C1121" s="937"/>
      <c r="D1121" s="937"/>
      <c r="E1121" s="937"/>
      <c r="F1121" s="937"/>
      <c r="G1121" s="937"/>
      <c r="H1121" s="937"/>
      <c r="I1121" s="937"/>
      <c r="J1121" s="937"/>
      <c r="K1121" s="937"/>
      <c r="L1121" s="937"/>
      <c r="M1121" s="937"/>
      <c r="N1121" s="937"/>
      <c r="O1121" s="937"/>
      <c r="P1121" s="937"/>
      <c r="Q1121" s="937"/>
      <c r="R1121" s="937"/>
      <c r="S1121" s="937"/>
      <c r="T1121" s="937"/>
      <c r="U1121" s="937"/>
      <c r="V1121" s="937"/>
      <c r="W1121" s="937"/>
      <c r="X1121" s="937"/>
      <c r="Y1121" s="937"/>
      <c r="Z1121" s="937"/>
    </row>
    <row r="1122" spans="1:26" ht="15.75" customHeight="1">
      <c r="A1122" s="937"/>
      <c r="B1122" s="937"/>
      <c r="C1122" s="937"/>
      <c r="D1122" s="937"/>
      <c r="E1122" s="937"/>
      <c r="F1122" s="937"/>
      <c r="G1122" s="937"/>
      <c r="H1122" s="937"/>
      <c r="I1122" s="937"/>
      <c r="J1122" s="937"/>
      <c r="K1122" s="937"/>
      <c r="L1122" s="937"/>
      <c r="M1122" s="937"/>
      <c r="N1122" s="937"/>
      <c r="O1122" s="937"/>
      <c r="P1122" s="937"/>
      <c r="Q1122" s="937"/>
      <c r="R1122" s="937"/>
      <c r="S1122" s="937"/>
      <c r="T1122" s="937"/>
      <c r="U1122" s="937"/>
      <c r="V1122" s="937"/>
      <c r="W1122" s="937"/>
      <c r="X1122" s="937"/>
      <c r="Y1122" s="937"/>
      <c r="Z1122" s="937"/>
    </row>
    <row r="1123" spans="1:26" ht="15.75" customHeight="1">
      <c r="A1123" s="937"/>
      <c r="B1123" s="937"/>
      <c r="C1123" s="937"/>
      <c r="D1123" s="937"/>
      <c r="E1123" s="937"/>
      <c r="F1123" s="937"/>
      <c r="G1123" s="937"/>
      <c r="H1123" s="937"/>
      <c r="I1123" s="937"/>
      <c r="J1123" s="937"/>
      <c r="K1123" s="937"/>
      <c r="L1123" s="937"/>
      <c r="M1123" s="937"/>
      <c r="N1123" s="937"/>
      <c r="O1123" s="937"/>
      <c r="P1123" s="937"/>
      <c r="Q1123" s="937"/>
      <c r="R1123" s="937"/>
      <c r="S1123" s="937"/>
      <c r="T1123" s="937"/>
      <c r="U1123" s="937"/>
      <c r="V1123" s="937"/>
      <c r="W1123" s="937"/>
      <c r="X1123" s="937"/>
      <c r="Y1123" s="937"/>
      <c r="Z1123" s="937"/>
    </row>
    <row r="1124" spans="1:26" ht="15.75" customHeight="1">
      <c r="A1124" s="937"/>
      <c r="B1124" s="937"/>
      <c r="C1124" s="937"/>
      <c r="D1124" s="937"/>
      <c r="E1124" s="937"/>
      <c r="F1124" s="937"/>
      <c r="G1124" s="937"/>
      <c r="H1124" s="937"/>
      <c r="I1124" s="937"/>
      <c r="J1124" s="937"/>
      <c r="K1124" s="937"/>
      <c r="L1124" s="937"/>
      <c r="M1124" s="937"/>
      <c r="N1124" s="937"/>
      <c r="O1124" s="937"/>
      <c r="P1124" s="937"/>
      <c r="Q1124" s="937"/>
      <c r="R1124" s="937"/>
      <c r="S1124" s="937"/>
      <c r="T1124" s="937"/>
      <c r="U1124" s="937"/>
      <c r="V1124" s="937"/>
      <c r="W1124" s="937"/>
      <c r="X1124" s="937"/>
      <c r="Y1124" s="937"/>
      <c r="Z1124" s="937"/>
    </row>
    <row r="1125" spans="1:26" ht="15.75" customHeight="1">
      <c r="A1125" s="937"/>
      <c r="B1125" s="937"/>
      <c r="C1125" s="937"/>
      <c r="D1125" s="937"/>
      <c r="E1125" s="937"/>
      <c r="F1125" s="937"/>
      <c r="G1125" s="937"/>
      <c r="H1125" s="937"/>
      <c r="I1125" s="937"/>
      <c r="J1125" s="937"/>
      <c r="K1125" s="937"/>
      <c r="L1125" s="937"/>
      <c r="M1125" s="937"/>
      <c r="N1125" s="937"/>
      <c r="O1125" s="937"/>
      <c r="P1125" s="937"/>
      <c r="Q1125" s="937"/>
      <c r="R1125" s="937"/>
      <c r="S1125" s="937"/>
      <c r="T1125" s="937"/>
      <c r="U1125" s="937"/>
      <c r="V1125" s="937"/>
      <c r="W1125" s="937"/>
      <c r="X1125" s="937"/>
      <c r="Y1125" s="937"/>
      <c r="Z1125" s="937"/>
    </row>
    <row r="1126" spans="1:26" ht="15.75" customHeight="1">
      <c r="A1126" s="937"/>
      <c r="B1126" s="937"/>
      <c r="C1126" s="937"/>
      <c r="D1126" s="937"/>
      <c r="E1126" s="937"/>
      <c r="F1126" s="937"/>
      <c r="G1126" s="937"/>
      <c r="H1126" s="937"/>
      <c r="I1126" s="937"/>
      <c r="J1126" s="937"/>
      <c r="K1126" s="937"/>
      <c r="L1126" s="937"/>
      <c r="M1126" s="937"/>
      <c r="N1126" s="937"/>
      <c r="O1126" s="937"/>
      <c r="P1126" s="937"/>
      <c r="Q1126" s="937"/>
      <c r="R1126" s="937"/>
      <c r="S1126" s="937"/>
      <c r="T1126" s="937"/>
      <c r="U1126" s="937"/>
      <c r="V1126" s="937"/>
      <c r="W1126" s="937"/>
      <c r="X1126" s="937"/>
      <c r="Y1126" s="937"/>
      <c r="Z1126" s="937"/>
    </row>
    <row r="1127" spans="1:26" ht="15.75" customHeight="1">
      <c r="A1127" s="937"/>
      <c r="B1127" s="937"/>
      <c r="C1127" s="937"/>
      <c r="D1127" s="937"/>
      <c r="E1127" s="937"/>
      <c r="F1127" s="937"/>
      <c r="G1127" s="937"/>
      <c r="H1127" s="937"/>
      <c r="I1127" s="937"/>
      <c r="J1127" s="937"/>
      <c r="K1127" s="937"/>
      <c r="L1127" s="937"/>
      <c r="M1127" s="937"/>
      <c r="N1127" s="937"/>
      <c r="O1127" s="937"/>
      <c r="P1127" s="937"/>
      <c r="Q1127" s="937"/>
      <c r="R1127" s="937"/>
      <c r="S1127" s="937"/>
      <c r="T1127" s="937"/>
      <c r="U1127" s="937"/>
      <c r="V1127" s="937"/>
      <c r="W1127" s="937"/>
      <c r="X1127" s="937"/>
      <c r="Y1127" s="937"/>
      <c r="Z1127" s="937"/>
    </row>
    <row r="1128" spans="1:26" ht="15.75" customHeight="1">
      <c r="A1128" s="937"/>
      <c r="B1128" s="937"/>
      <c r="C1128" s="937"/>
      <c r="D1128" s="937"/>
      <c r="E1128" s="937"/>
      <c r="F1128" s="937"/>
      <c r="G1128" s="937"/>
      <c r="H1128" s="937"/>
      <c r="I1128" s="937"/>
      <c r="J1128" s="937"/>
      <c r="K1128" s="937"/>
      <c r="L1128" s="937"/>
      <c r="M1128" s="937"/>
      <c r="N1128" s="937"/>
      <c r="O1128" s="937"/>
      <c r="P1128" s="937"/>
      <c r="Q1128" s="937"/>
      <c r="R1128" s="937"/>
      <c r="S1128" s="937"/>
      <c r="T1128" s="937"/>
      <c r="U1128" s="937"/>
      <c r="V1128" s="937"/>
      <c r="W1128" s="937"/>
      <c r="X1128" s="937"/>
      <c r="Y1128" s="937"/>
      <c r="Z1128" s="937"/>
    </row>
    <row r="1129" spans="1:26" ht="15.75" customHeight="1">
      <c r="A1129" s="937"/>
      <c r="B1129" s="937"/>
      <c r="C1129" s="937"/>
      <c r="D1129" s="937"/>
      <c r="E1129" s="937"/>
      <c r="F1129" s="937"/>
      <c r="G1129" s="937"/>
      <c r="H1129" s="937"/>
      <c r="I1129" s="937"/>
      <c r="J1129" s="937"/>
      <c r="K1129" s="937"/>
      <c r="L1129" s="937"/>
      <c r="M1129" s="937"/>
      <c r="N1129" s="937"/>
      <c r="O1129" s="937"/>
      <c r="P1129" s="937"/>
      <c r="Q1129" s="937"/>
      <c r="R1129" s="937"/>
      <c r="S1129" s="937"/>
      <c r="T1129" s="937"/>
      <c r="U1129" s="937"/>
      <c r="V1129" s="937"/>
      <c r="W1129" s="937"/>
      <c r="X1129" s="937"/>
      <c r="Y1129" s="937"/>
      <c r="Z1129" s="937"/>
    </row>
    <row r="1130" spans="1:26" ht="15.75" customHeight="1">
      <c r="A1130" s="937"/>
      <c r="B1130" s="937"/>
      <c r="C1130" s="937"/>
      <c r="D1130" s="937"/>
      <c r="E1130" s="937"/>
      <c r="F1130" s="937"/>
      <c r="G1130" s="937"/>
      <c r="H1130" s="937"/>
      <c r="I1130" s="937"/>
      <c r="J1130" s="937"/>
      <c r="K1130" s="937"/>
      <c r="L1130" s="937"/>
      <c r="M1130" s="937"/>
      <c r="N1130" s="937"/>
      <c r="O1130" s="937"/>
      <c r="P1130" s="937"/>
      <c r="Q1130" s="937"/>
      <c r="R1130" s="937"/>
      <c r="S1130" s="937"/>
      <c r="T1130" s="937"/>
      <c r="U1130" s="937"/>
      <c r="V1130" s="937"/>
      <c r="W1130" s="937"/>
      <c r="X1130" s="937"/>
      <c r="Y1130" s="937"/>
      <c r="Z1130" s="937"/>
    </row>
  </sheetData>
  <autoFilter ref="B14:K126" xr:uid="{00000000-0009-0000-0000-000006000000}"/>
  <conditionalFormatting sqref="F301">
    <cfRule type="cellIs" dxfId="5" priority="1" operator="greaterThanOrEqual">
      <formula>0.4</formula>
    </cfRule>
    <cfRule type="cellIs" dxfId="4" priority="2" operator="between">
      <formula>0.35</formula>
      <formula>0.3999</formula>
    </cfRule>
    <cfRule type="cellIs" dxfId="3" priority="3" operator="between">
      <formula>0.3</formula>
      <formula>0.3499</formula>
    </cfRule>
    <cfRule type="cellIs" dxfId="2" priority="4" operator="lessThan">
      <formula>0.3</formula>
    </cfRule>
  </conditionalFormatting>
  <conditionalFormatting sqref="K4:K6 J5:J12 I7:I11 K12 G291:G299">
    <cfRule type="cellIs" dxfId="1" priority="5" stopIfTrue="1" operator="lessThan">
      <formula>0</formula>
    </cfRule>
  </conditionalFormatting>
  <dataValidations count="14">
    <dataValidation type="list" allowBlank="1" sqref="E8" xr:uid="{00000000-0002-0000-0600-000000000000}">
      <formula1>$N$2:$N$21</formula1>
    </dataValidation>
    <dataValidation type="list" allowBlank="1" showErrorMessage="1" sqref="E15:E125 E268" xr:uid="{00000000-0002-0000-0600-000001000000}">
      <formula1>"MT,MTcod,MTCoach,ET,ETcod,ETCoach,ST,STcod,STCoach,T,Tcod,TCoach,HTS,STS,TS"</formula1>
    </dataValidation>
    <dataValidation type="list" allowBlank="1" sqref="J298" xr:uid="{00000000-0002-0000-0600-000002000000}">
      <formula1>"Bruno,Davide Z."</formula1>
    </dataValidation>
    <dataValidation type="list" allowBlank="1" showErrorMessage="1" sqref="B285:B286" xr:uid="{00000000-0002-0000-0600-000003000000}">
      <formula1>"Corsi,Ricavi da Spese Fatturate al Cliente"</formula1>
    </dataValidation>
    <dataValidation type="list" allowBlank="1" showErrorMessage="1" sqref="I3" xr:uid="{00000000-0002-0000-0600-000004000000}">
      <formula1>"Finanziato,Autofinanziato"</formula1>
    </dataValidation>
    <dataValidation type="list" allowBlank="1" showErrorMessage="1" sqref="B130" xr:uid="{00000000-0002-0000-0600-000005000000}">
      <formula1>"Royalties"</formula1>
    </dataValidation>
    <dataValidation type="list" allowBlank="1" showErrorMessage="1" sqref="C15:C125 C130 C133:C263 C268 C271:C280 C285:C286" xr:uid="{00000000-0002-0000-0600-000006000000}">
      <formula1>"blackship,Master in Vendita"</formula1>
    </dataValidation>
    <dataValidation type="list" allowBlank="1" showErrorMessage="1" sqref="D133:D263 F268" xr:uid="{00000000-0002-0000-0600-000007000000}">
      <formula1>"x"</formula1>
    </dataValidation>
    <dataValidation type="list" allowBlank="1" showErrorMessage="1" sqref="B268 B271:B280" xr:uid="{00000000-0002-0000-0600-000008000000}">
      <formula1>"Provvigioni"</formula1>
    </dataValidation>
    <dataValidation type="list" allowBlank="1" showErrorMessage="1" sqref="B133:B263" xr:uid="{00000000-0002-0000-0600-000009000000}">
      <formula1>"Rimborsi Spese,Sale &amp; Hotel,Service,Manuali &amp; Materiali,Gadget,Furgone &amp; Facchino"</formula1>
    </dataValidation>
    <dataValidation type="list" allowBlank="1" showErrorMessage="1" sqref="K10" xr:uid="{00000000-0002-0000-0600-00000A000000}">
      <formula1>$O$2:$O$19</formula1>
    </dataValidation>
    <dataValidation type="list" allowBlank="1" showErrorMessage="1" sqref="K3" xr:uid="{00000000-0002-0000-0600-00000B000000}">
      <formula1>"Incluse,Escluse"</formula1>
    </dataValidation>
    <dataValidation type="list" allowBlank="1" sqref="E7" xr:uid="{00000000-0002-0000-0600-00000C000000}">
      <formula1>$M$2:$M$56</formula1>
    </dataValidation>
    <dataValidation type="list" allowBlank="1" showErrorMessage="1" sqref="B15:B125" xr:uid="{00000000-0002-0000-0600-00000D000000}">
      <formula1>"Docenze e Assistenze"</formula1>
    </dataValidation>
  </dataValidations>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BQ386"/>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 customHeight="1" outlineLevelCol="1"/>
  <cols>
    <col min="1" max="1" width="6.140625" customWidth="1"/>
    <col min="2" max="2" width="20.42578125" customWidth="1"/>
    <col min="3" max="3" width="14.28515625" customWidth="1"/>
    <col min="4" max="4" width="38" customWidth="1" outlineLevel="1"/>
    <col min="5" max="5" width="19.140625" customWidth="1" outlineLevel="1"/>
    <col min="6" max="6" width="82.7109375" customWidth="1" outlineLevel="1"/>
    <col min="7" max="7" width="54.28515625" customWidth="1" outlineLevel="1"/>
    <col min="8" max="8" width="21.140625" customWidth="1" outlineLevel="1"/>
    <col min="9" max="9" width="21.28515625" customWidth="1" outlineLevel="1"/>
    <col min="10" max="10" width="14.5703125" customWidth="1" outlineLevel="1"/>
    <col min="11" max="11" width="15.5703125" customWidth="1" outlineLevel="1"/>
    <col min="12" max="12" width="32.140625" customWidth="1" outlineLevel="1"/>
    <col min="13" max="13" width="20" customWidth="1" outlineLevel="1"/>
    <col min="14" max="14" width="12.28515625" customWidth="1" outlineLevel="1"/>
    <col min="15" max="15" width="69.85546875" customWidth="1"/>
    <col min="16" max="16" width="8.28515625" customWidth="1"/>
    <col min="17" max="17" width="8.42578125" customWidth="1"/>
    <col min="18" max="18" width="9.85546875" customWidth="1"/>
    <col min="19" max="19" width="2.140625" customWidth="1"/>
    <col min="20" max="20" width="8.28515625" customWidth="1"/>
    <col min="21" max="21" width="8.42578125" customWidth="1"/>
    <col min="22" max="22" width="9.85546875" customWidth="1"/>
    <col min="23" max="23" width="2.140625" customWidth="1"/>
    <col min="24" max="25" width="8.7109375" customWidth="1"/>
    <col min="26" max="26" width="9.85546875" customWidth="1"/>
    <col min="27" max="27" width="2.140625" customWidth="1"/>
    <col min="28" max="29" width="8.7109375" customWidth="1"/>
    <col min="30" max="30" width="9.140625" customWidth="1"/>
    <col min="31" max="31" width="16.28515625" customWidth="1"/>
    <col min="32" max="32" width="19.28515625" customWidth="1"/>
    <col min="33" max="33" width="23.42578125" customWidth="1"/>
    <col min="34" max="34" width="24.28515625" customWidth="1"/>
    <col min="35" max="35" width="30" customWidth="1"/>
    <col min="36" max="37" width="15.7109375" customWidth="1"/>
    <col min="38" max="38" width="28.140625" customWidth="1"/>
    <col min="39" max="39" width="14" customWidth="1"/>
    <col min="40" max="40" width="16.140625" customWidth="1"/>
    <col min="41" max="41" width="13.42578125" customWidth="1" outlineLevel="1"/>
    <col min="42" max="42" width="10.7109375" customWidth="1" outlineLevel="1"/>
    <col min="43" max="43" width="12.7109375" customWidth="1" outlineLevel="1"/>
    <col min="44" max="44" width="8.7109375" customWidth="1" outlineLevel="1"/>
    <col min="45" max="45" width="11.42578125" customWidth="1" outlineLevel="1"/>
    <col min="46" max="46" width="10.7109375" customWidth="1" outlineLevel="1"/>
    <col min="47" max="47" width="13.7109375" customWidth="1" outlineLevel="1"/>
    <col min="48" max="48" width="8.7109375" customWidth="1" outlineLevel="1"/>
    <col min="49" max="49" width="12" customWidth="1" outlineLevel="1"/>
    <col min="50" max="50" width="10.7109375" customWidth="1" outlineLevel="1"/>
    <col min="51" max="51" width="18.140625" customWidth="1" outlineLevel="1"/>
    <col min="52" max="52" width="8.7109375" customWidth="1" outlineLevel="1"/>
    <col min="53" max="53" width="12.140625" customWidth="1" outlineLevel="1"/>
    <col min="54" max="55" width="10.7109375" customWidth="1" outlineLevel="1"/>
    <col min="56" max="56" width="8.7109375" customWidth="1" outlineLevel="1"/>
    <col min="57" max="57" width="12.140625" customWidth="1" outlineLevel="1"/>
    <col min="58" max="59" width="10.7109375" customWidth="1" outlineLevel="1"/>
    <col min="60" max="60" width="8.7109375" customWidth="1" outlineLevel="1"/>
    <col min="61" max="69" width="8.7109375" customWidth="1"/>
  </cols>
  <sheetData>
    <row r="1" spans="1:69" ht="96" customHeight="1">
      <c r="A1" s="684" t="s">
        <v>115</v>
      </c>
      <c r="B1" s="121" t="s">
        <v>3375</v>
      </c>
      <c r="C1" s="121" t="s">
        <v>4844</v>
      </c>
      <c r="D1" s="121" t="s">
        <v>21</v>
      </c>
      <c r="E1" s="121" t="s">
        <v>23</v>
      </c>
      <c r="F1" s="121" t="s">
        <v>4845</v>
      </c>
      <c r="G1" s="121" t="s">
        <v>4846</v>
      </c>
      <c r="H1" s="37" t="s">
        <v>4847</v>
      </c>
      <c r="I1" s="37" t="s">
        <v>4848</v>
      </c>
      <c r="J1" s="37" t="s">
        <v>4849</v>
      </c>
      <c r="K1" s="37" t="s">
        <v>4850</v>
      </c>
      <c r="L1" s="37" t="s">
        <v>40</v>
      </c>
      <c r="M1" s="37" t="s">
        <v>4851</v>
      </c>
      <c r="N1" s="37" t="s">
        <v>41</v>
      </c>
      <c r="O1" s="121" t="s">
        <v>3377</v>
      </c>
      <c r="P1" s="956" t="s">
        <v>3651</v>
      </c>
      <c r="Q1" s="956" t="s">
        <v>43</v>
      </c>
      <c r="R1" s="956" t="s">
        <v>44</v>
      </c>
      <c r="S1" s="121"/>
      <c r="T1" s="956" t="s">
        <v>45</v>
      </c>
      <c r="U1" s="956" t="s">
        <v>46</v>
      </c>
      <c r="V1" s="956" t="s">
        <v>47</v>
      </c>
      <c r="W1" s="121"/>
      <c r="X1" s="956" t="s">
        <v>48</v>
      </c>
      <c r="Y1" s="956" t="s">
        <v>49</v>
      </c>
      <c r="Z1" s="956" t="s">
        <v>50</v>
      </c>
      <c r="AA1" s="121"/>
      <c r="AB1" s="956" t="s">
        <v>51</v>
      </c>
      <c r="AC1" s="956" t="s">
        <v>52</v>
      </c>
      <c r="AD1" s="956" t="s">
        <v>53</v>
      </c>
      <c r="AE1" s="121" t="s">
        <v>63</v>
      </c>
      <c r="AF1" s="121" t="s">
        <v>64</v>
      </c>
      <c r="AG1" s="121" t="s">
        <v>4852</v>
      </c>
      <c r="AH1" s="121" t="s">
        <v>4853</v>
      </c>
      <c r="AI1" s="121" t="s">
        <v>4854</v>
      </c>
      <c r="AJ1" s="121" t="s">
        <v>4855</v>
      </c>
      <c r="AK1" s="121" t="s">
        <v>4856</v>
      </c>
      <c r="AL1" s="121" t="s">
        <v>4857</v>
      </c>
      <c r="AM1" s="121" t="s">
        <v>4858</v>
      </c>
      <c r="AN1" s="121" t="s">
        <v>4859</v>
      </c>
      <c r="AO1" s="121" t="s">
        <v>83</v>
      </c>
      <c r="AP1" s="121" t="s">
        <v>84</v>
      </c>
      <c r="AQ1" s="121" t="s">
        <v>85</v>
      </c>
      <c r="AR1" s="121" t="s">
        <v>41</v>
      </c>
      <c r="AS1" s="121" t="s">
        <v>86</v>
      </c>
      <c r="AT1" s="121" t="s">
        <v>84</v>
      </c>
      <c r="AU1" s="121" t="s">
        <v>85</v>
      </c>
      <c r="AV1" s="121" t="s">
        <v>41</v>
      </c>
      <c r="AW1" s="121" t="s">
        <v>87</v>
      </c>
      <c r="AX1" s="121" t="s">
        <v>84</v>
      </c>
      <c r="AY1" s="121" t="s">
        <v>85</v>
      </c>
      <c r="AZ1" s="121" t="s">
        <v>41</v>
      </c>
      <c r="BA1" s="121" t="s">
        <v>88</v>
      </c>
      <c r="BB1" s="121" t="s">
        <v>84</v>
      </c>
      <c r="BC1" s="121" t="s">
        <v>85</v>
      </c>
      <c r="BD1" s="121" t="s">
        <v>41</v>
      </c>
      <c r="BE1" s="121" t="s">
        <v>89</v>
      </c>
      <c r="BF1" s="121" t="s">
        <v>84</v>
      </c>
      <c r="BG1" s="121" t="s">
        <v>85</v>
      </c>
      <c r="BH1" s="121" t="s">
        <v>41</v>
      </c>
      <c r="BI1" s="3" t="s">
        <v>4860</v>
      </c>
      <c r="BJ1" s="3"/>
      <c r="BK1" s="3"/>
      <c r="BL1" s="3"/>
      <c r="BM1" s="3"/>
      <c r="BN1" s="3"/>
      <c r="BO1" s="3"/>
      <c r="BP1" s="3"/>
      <c r="BQ1" s="3"/>
    </row>
    <row r="2" spans="1:69" ht="30" hidden="1" customHeight="1">
      <c r="A2" s="293">
        <v>1</v>
      </c>
      <c r="B2" s="338" t="s">
        <v>135</v>
      </c>
      <c r="C2" s="338" t="s">
        <v>2903</v>
      </c>
      <c r="D2" s="207" t="s">
        <v>2904</v>
      </c>
      <c r="E2" s="224">
        <v>3294198816</v>
      </c>
      <c r="F2" s="598" t="s">
        <v>2906</v>
      </c>
      <c r="G2" s="598" t="s">
        <v>2907</v>
      </c>
      <c r="H2" s="255" t="s">
        <v>2905</v>
      </c>
      <c r="I2" s="255" t="s">
        <v>2905</v>
      </c>
      <c r="J2" s="258"/>
      <c r="K2" s="255" t="s">
        <v>1283</v>
      </c>
      <c r="L2" s="256" t="s">
        <v>2908</v>
      </c>
      <c r="M2" s="255"/>
      <c r="N2" s="598"/>
      <c r="O2" s="207"/>
      <c r="P2" s="1471"/>
      <c r="Q2" s="1471"/>
      <c r="R2" s="1471"/>
      <c r="S2" s="515"/>
      <c r="T2" s="155"/>
      <c r="U2" s="155"/>
      <c r="V2" s="155"/>
      <c r="W2" s="515"/>
      <c r="X2" s="155"/>
      <c r="Y2" s="155"/>
      <c r="Z2" s="155" t="s">
        <v>27</v>
      </c>
      <c r="AA2" s="515"/>
      <c r="AB2" s="155"/>
      <c r="AC2" s="155"/>
      <c r="AD2" s="155"/>
      <c r="AE2" s="808">
        <f t="shared" ref="AE2:AE90" si="0">AO2+AS2+AW2+BA2+BE2</f>
        <v>2997</v>
      </c>
      <c r="AF2" s="761">
        <f t="shared" ref="AF2:AF90" si="1">AQ2+AU2+AY2+BC2+BG2</f>
        <v>2997</v>
      </c>
      <c r="AG2" s="110">
        <v>0</v>
      </c>
      <c r="AH2" s="808">
        <v>757</v>
      </c>
      <c r="AI2" s="1472" t="s">
        <v>2909</v>
      </c>
      <c r="AJ2" s="206">
        <v>0.15</v>
      </c>
      <c r="AK2" s="191">
        <v>0</v>
      </c>
      <c r="AL2" s="1472" t="s">
        <v>2909</v>
      </c>
      <c r="AM2" s="206">
        <v>0.05</v>
      </c>
      <c r="AN2" s="191">
        <v>0</v>
      </c>
      <c r="AO2" s="110">
        <v>2997</v>
      </c>
      <c r="AP2" s="226">
        <v>43585</v>
      </c>
      <c r="AQ2" s="110">
        <v>2997</v>
      </c>
      <c r="AR2" s="263"/>
      <c r="AS2" s="110"/>
      <c r="AT2" s="226"/>
      <c r="AU2" s="110"/>
      <c r="AV2" s="263"/>
      <c r="AW2" s="110"/>
      <c r="AX2" s="226"/>
      <c r="AY2" s="110"/>
      <c r="AZ2" s="263"/>
      <c r="BA2" s="110"/>
      <c r="BB2" s="226"/>
      <c r="BC2" s="110"/>
      <c r="BD2" s="263"/>
      <c r="BE2" s="110"/>
      <c r="BF2" s="226"/>
      <c r="BG2" s="110">
        <v>0</v>
      </c>
      <c r="BH2" s="263"/>
      <c r="BI2" s="3"/>
      <c r="BJ2" s="729"/>
      <c r="BK2" s="729"/>
      <c r="BL2" s="729"/>
      <c r="BM2" s="729"/>
      <c r="BN2" s="729"/>
      <c r="BO2" s="729"/>
      <c r="BP2" s="729"/>
      <c r="BQ2" s="729"/>
    </row>
    <row r="3" spans="1:69" ht="30" hidden="1" customHeight="1">
      <c r="A3" s="293">
        <f t="shared" ref="A3:A74" si="2">A2+1</f>
        <v>2</v>
      </c>
      <c r="B3" s="338" t="s">
        <v>135</v>
      </c>
      <c r="C3" s="338" t="s">
        <v>4617</v>
      </c>
      <c r="D3" s="207" t="s">
        <v>4618</v>
      </c>
      <c r="E3" s="1473">
        <v>335214123</v>
      </c>
      <c r="F3" s="1384" t="s">
        <v>4620</v>
      </c>
      <c r="G3" s="131" t="s">
        <v>4621</v>
      </c>
      <c r="H3" s="564" t="s">
        <v>4619</v>
      </c>
      <c r="I3" s="564" t="s">
        <v>4619</v>
      </c>
      <c r="J3" s="258" t="s">
        <v>3338</v>
      </c>
      <c r="K3" s="255" t="s">
        <v>3266</v>
      </c>
      <c r="L3" s="256"/>
      <c r="M3" s="155" t="s">
        <v>4618</v>
      </c>
      <c r="N3" s="598"/>
      <c r="O3" s="207"/>
      <c r="P3" s="1471" t="s">
        <v>115</v>
      </c>
      <c r="Q3" s="1471" t="s">
        <v>115</v>
      </c>
      <c r="R3" s="1471" t="s">
        <v>115</v>
      </c>
      <c r="S3" s="515"/>
      <c r="T3" s="155"/>
      <c r="U3" s="155"/>
      <c r="V3" s="937"/>
      <c r="W3" s="515"/>
      <c r="X3" s="155"/>
      <c r="Y3" s="155" t="s">
        <v>2404</v>
      </c>
      <c r="Z3" s="155" t="s">
        <v>2404</v>
      </c>
      <c r="AA3" s="515"/>
      <c r="AB3" s="155"/>
      <c r="AC3" s="155"/>
      <c r="AD3" s="155"/>
      <c r="AE3" s="808">
        <f t="shared" si="0"/>
        <v>3496.98</v>
      </c>
      <c r="AF3" s="761">
        <f t="shared" si="1"/>
        <v>3496.99</v>
      </c>
      <c r="AG3" s="110">
        <v>0</v>
      </c>
      <c r="AH3" s="808">
        <v>0</v>
      </c>
      <c r="AI3" s="1472" t="s">
        <v>4623</v>
      </c>
      <c r="AJ3" s="206">
        <v>0</v>
      </c>
      <c r="AK3" s="191">
        <v>0</v>
      </c>
      <c r="AL3" s="1472" t="s">
        <v>152</v>
      </c>
      <c r="AM3" s="206">
        <v>0.05</v>
      </c>
      <c r="AN3" s="191">
        <v>0</v>
      </c>
      <c r="AO3" s="110">
        <v>163.93</v>
      </c>
      <c r="AP3" s="226">
        <v>44092</v>
      </c>
      <c r="AQ3" s="110">
        <v>163.93</v>
      </c>
      <c r="AR3" s="263"/>
      <c r="AS3" s="110">
        <v>1409.83</v>
      </c>
      <c r="AT3" s="226">
        <v>44141</v>
      </c>
      <c r="AU3" s="110">
        <v>1409.84</v>
      </c>
      <c r="AV3" s="263"/>
      <c r="AW3" s="110">
        <v>1923.22</v>
      </c>
      <c r="AX3" s="226">
        <v>44169</v>
      </c>
      <c r="AY3" s="110">
        <v>1923.22</v>
      </c>
      <c r="AZ3" s="263"/>
      <c r="BA3" s="110">
        <v>0</v>
      </c>
      <c r="BB3" s="226"/>
      <c r="BC3" s="110">
        <v>0</v>
      </c>
      <c r="BD3" s="263"/>
      <c r="BE3" s="110">
        <v>0</v>
      </c>
      <c r="BF3" s="226"/>
      <c r="BG3" s="110">
        <v>0</v>
      </c>
      <c r="BH3" s="263"/>
      <c r="BI3" s="3" t="s">
        <v>126</v>
      </c>
      <c r="BJ3" s="779"/>
      <c r="BK3" s="779"/>
      <c r="BL3" s="779"/>
      <c r="BM3" s="779"/>
      <c r="BN3" s="779"/>
      <c r="BO3" s="779"/>
      <c r="BP3" s="779"/>
      <c r="BQ3" s="779"/>
    </row>
    <row r="4" spans="1:69" ht="30" customHeight="1">
      <c r="A4" s="293">
        <f t="shared" si="2"/>
        <v>3</v>
      </c>
      <c r="B4" s="338" t="s">
        <v>188</v>
      </c>
      <c r="C4" s="338" t="s">
        <v>4501</v>
      </c>
      <c r="D4" s="207" t="s">
        <v>4861</v>
      </c>
      <c r="E4" s="1473">
        <v>3291564437</v>
      </c>
      <c r="F4" s="207" t="s">
        <v>4862</v>
      </c>
      <c r="G4" s="131" t="s">
        <v>4863</v>
      </c>
      <c r="H4" s="564" t="s">
        <v>4864</v>
      </c>
      <c r="I4" s="564" t="s">
        <v>4864</v>
      </c>
      <c r="J4" s="258" t="s">
        <v>3338</v>
      </c>
      <c r="K4" s="255" t="s">
        <v>2275</v>
      </c>
      <c r="L4" s="256"/>
      <c r="M4" s="155"/>
      <c r="N4" s="598"/>
      <c r="O4" s="207" t="s">
        <v>4865</v>
      </c>
      <c r="P4" s="1471" t="s">
        <v>115</v>
      </c>
      <c r="Q4" s="1471" t="s">
        <v>115</v>
      </c>
      <c r="R4" s="1471" t="s">
        <v>115</v>
      </c>
      <c r="S4" s="515"/>
      <c r="T4" s="155" t="s">
        <v>116</v>
      </c>
      <c r="U4" s="155" t="s">
        <v>2992</v>
      </c>
      <c r="V4" s="155" t="s">
        <v>2992</v>
      </c>
      <c r="W4" s="515"/>
      <c r="X4" s="155"/>
      <c r="Y4" s="155"/>
      <c r="Z4" s="155"/>
      <c r="AA4" s="515"/>
      <c r="AB4" s="155"/>
      <c r="AC4" s="155"/>
      <c r="AD4" s="155"/>
      <c r="AE4" s="808">
        <f t="shared" si="0"/>
        <v>2997</v>
      </c>
      <c r="AF4" s="761">
        <f t="shared" si="1"/>
        <v>2997</v>
      </c>
      <c r="AG4" s="110">
        <v>0</v>
      </c>
      <c r="AH4" s="808">
        <v>0</v>
      </c>
      <c r="AI4" s="1472" t="s">
        <v>3146</v>
      </c>
      <c r="AJ4" s="983">
        <v>0.1</v>
      </c>
      <c r="AK4" s="1474">
        <v>0</v>
      </c>
      <c r="AL4" s="1475" t="s">
        <v>3078</v>
      </c>
      <c r="AM4" s="206">
        <v>0.05</v>
      </c>
      <c r="AN4" s="1474">
        <v>0</v>
      </c>
      <c r="AO4" s="262">
        <v>2997</v>
      </c>
      <c r="AP4" s="226">
        <v>44104</v>
      </c>
      <c r="AQ4" s="110">
        <v>2997</v>
      </c>
      <c r="AR4" s="263"/>
      <c r="AS4" s="110">
        <v>0</v>
      </c>
      <c r="AT4" s="226"/>
      <c r="AU4" s="110">
        <v>0</v>
      </c>
      <c r="AV4" s="263"/>
      <c r="AW4" s="110">
        <v>0</v>
      </c>
      <c r="AX4" s="226"/>
      <c r="AY4" s="110">
        <v>0</v>
      </c>
      <c r="AZ4" s="263"/>
      <c r="BA4" s="110">
        <v>0</v>
      </c>
      <c r="BB4" s="226"/>
      <c r="BC4" s="110">
        <v>0</v>
      </c>
      <c r="BD4" s="263"/>
      <c r="BE4" s="110">
        <v>0</v>
      </c>
      <c r="BF4" s="226"/>
      <c r="BG4" s="110">
        <v>0</v>
      </c>
      <c r="BH4" s="263"/>
      <c r="BI4" s="3" t="s">
        <v>2612</v>
      </c>
      <c r="BJ4" s="779"/>
      <c r="BK4" s="779"/>
      <c r="BL4" s="779"/>
      <c r="BM4" s="779"/>
      <c r="BN4" s="779"/>
      <c r="BO4" s="779"/>
      <c r="BP4" s="779"/>
      <c r="BQ4" s="779"/>
    </row>
    <row r="5" spans="1:69" ht="30" customHeight="1">
      <c r="A5" s="293">
        <f t="shared" si="2"/>
        <v>4</v>
      </c>
      <c r="B5" s="338" t="s">
        <v>1128</v>
      </c>
      <c r="C5" s="338" t="s">
        <v>4866</v>
      </c>
      <c r="D5" s="207" t="s">
        <v>4867</v>
      </c>
      <c r="E5" s="1476" t="s">
        <v>4868</v>
      </c>
      <c r="F5" s="398" t="s">
        <v>4869</v>
      </c>
      <c r="G5" s="131" t="s">
        <v>4870</v>
      </c>
      <c r="H5" s="155" t="s">
        <v>4871</v>
      </c>
      <c r="I5" s="255"/>
      <c r="J5" s="258" t="s">
        <v>3338</v>
      </c>
      <c r="K5" s="255"/>
      <c r="L5" s="256"/>
      <c r="M5" s="155"/>
      <c r="N5" s="131"/>
      <c r="O5" s="207"/>
      <c r="P5" s="1471"/>
      <c r="Q5" s="1471"/>
      <c r="R5" s="1471"/>
      <c r="S5" s="198"/>
      <c r="T5" s="258" t="s">
        <v>115</v>
      </c>
      <c r="U5" s="258" t="s">
        <v>115</v>
      </c>
      <c r="V5" s="258" t="s">
        <v>115</v>
      </c>
      <c r="W5" s="198"/>
      <c r="X5" s="258"/>
      <c r="Y5" s="155"/>
      <c r="Z5" s="155"/>
      <c r="AA5" s="198"/>
      <c r="AB5" s="258"/>
      <c r="AC5" s="155"/>
      <c r="AD5" s="155"/>
      <c r="AE5" s="808">
        <f t="shared" si="0"/>
        <v>2997</v>
      </c>
      <c r="AF5" s="808">
        <f t="shared" si="1"/>
        <v>2997</v>
      </c>
      <c r="AG5" s="110">
        <f>AF5</f>
        <v>2997</v>
      </c>
      <c r="AH5" s="808">
        <f t="shared" ref="AH5:AH6" si="3">AE5-AG5</f>
        <v>0</v>
      </c>
      <c r="AI5" s="1477" t="s">
        <v>4872</v>
      </c>
      <c r="AJ5" s="206">
        <v>0.1</v>
      </c>
      <c r="AK5" s="808">
        <f>AF5*AJ5</f>
        <v>299.7</v>
      </c>
      <c r="AL5" s="1472" t="s">
        <v>4873</v>
      </c>
      <c r="AM5" s="1478">
        <v>0.1</v>
      </c>
      <c r="AN5" s="808">
        <f>AF5*AM5</f>
        <v>299.7</v>
      </c>
      <c r="AO5" s="110">
        <v>2997</v>
      </c>
      <c r="AP5" s="365">
        <v>43742</v>
      </c>
      <c r="AQ5" s="110">
        <v>2997</v>
      </c>
      <c r="AR5" s="338"/>
      <c r="AS5" s="338"/>
      <c r="AT5" s="338"/>
      <c r="AU5" s="338"/>
      <c r="AV5" s="338"/>
      <c r="AW5" s="338"/>
      <c r="AX5" s="338"/>
      <c r="AY5" s="338"/>
      <c r="AZ5" s="338"/>
      <c r="BA5" s="338"/>
      <c r="BB5" s="338"/>
      <c r="BC5" s="338"/>
      <c r="BD5" s="338"/>
      <c r="BE5" s="338"/>
      <c r="BF5" s="338"/>
      <c r="BG5" s="338"/>
      <c r="BH5" s="338"/>
      <c r="BI5" s="3"/>
      <c r="BJ5" s="779"/>
      <c r="BK5" s="779"/>
      <c r="BL5" s="779"/>
      <c r="BM5" s="779"/>
      <c r="BN5" s="779"/>
      <c r="BO5" s="779"/>
      <c r="BP5" s="779"/>
      <c r="BQ5" s="779"/>
    </row>
    <row r="6" spans="1:69" ht="30" hidden="1" customHeight="1">
      <c r="A6" s="293">
        <f t="shared" si="2"/>
        <v>5</v>
      </c>
      <c r="B6" s="338" t="s">
        <v>1185</v>
      </c>
      <c r="C6" s="338" t="s">
        <v>2349</v>
      </c>
      <c r="D6" s="207" t="s">
        <v>2350</v>
      </c>
      <c r="E6" s="1473">
        <v>3482731340</v>
      </c>
      <c r="F6" s="207" t="s">
        <v>4874</v>
      </c>
      <c r="G6" s="131" t="s">
        <v>4875</v>
      </c>
      <c r="H6" s="564" t="s">
        <v>4876</v>
      </c>
      <c r="I6" s="564" t="s">
        <v>4876</v>
      </c>
      <c r="J6" s="258" t="s">
        <v>3338</v>
      </c>
      <c r="K6" s="255" t="s">
        <v>4877</v>
      </c>
      <c r="L6" s="256" t="s">
        <v>4878</v>
      </c>
      <c r="M6" s="255" t="s">
        <v>2350</v>
      </c>
      <c r="N6" s="598"/>
      <c r="O6" s="207"/>
      <c r="P6" s="1471" t="s">
        <v>115</v>
      </c>
      <c r="Q6" s="1471" t="s">
        <v>115</v>
      </c>
      <c r="R6" s="1471" t="s">
        <v>115</v>
      </c>
      <c r="S6" s="515"/>
      <c r="T6" s="155" t="s">
        <v>116</v>
      </c>
      <c r="U6" s="155" t="s">
        <v>2992</v>
      </c>
      <c r="V6" s="155"/>
      <c r="W6" s="515"/>
      <c r="X6" s="155"/>
      <c r="Y6" s="155"/>
      <c r="Z6" s="155" t="s">
        <v>2404</v>
      </c>
      <c r="AA6" s="515"/>
      <c r="AB6" s="155"/>
      <c r="AC6" s="155"/>
      <c r="AD6" s="155"/>
      <c r="AE6" s="808">
        <f t="shared" si="0"/>
        <v>2997</v>
      </c>
      <c r="AF6" s="761">
        <f t="shared" si="1"/>
        <v>2997</v>
      </c>
      <c r="AG6" s="110">
        <v>0</v>
      </c>
      <c r="AH6" s="808">
        <f t="shared" si="3"/>
        <v>2997</v>
      </c>
      <c r="AI6" s="1472" t="s">
        <v>4879</v>
      </c>
      <c r="AJ6" s="111">
        <v>0.15</v>
      </c>
      <c r="AK6" s="116">
        <v>0</v>
      </c>
      <c r="AL6" s="1479" t="s">
        <v>4879</v>
      </c>
      <c r="AM6" s="206">
        <v>0.05</v>
      </c>
      <c r="AN6" s="116">
        <v>0</v>
      </c>
      <c r="AO6" s="108">
        <v>2997</v>
      </c>
      <c r="AP6" s="226">
        <v>44092</v>
      </c>
      <c r="AQ6" s="110">
        <v>2997</v>
      </c>
      <c r="AR6" s="263"/>
      <c r="AS6" s="110">
        <v>0</v>
      </c>
      <c r="AT6" s="226"/>
      <c r="AU6" s="110">
        <v>0</v>
      </c>
      <c r="AV6" s="263"/>
      <c r="AW6" s="110">
        <v>0</v>
      </c>
      <c r="AX6" s="226"/>
      <c r="AY6" s="110">
        <v>0</v>
      </c>
      <c r="AZ6" s="263"/>
      <c r="BA6" s="110">
        <v>0</v>
      </c>
      <c r="BB6" s="226"/>
      <c r="BC6" s="110">
        <v>0</v>
      </c>
      <c r="BD6" s="263"/>
      <c r="BE6" s="110">
        <v>0</v>
      </c>
      <c r="BF6" s="226"/>
      <c r="BG6" s="110">
        <v>0</v>
      </c>
      <c r="BH6" s="263"/>
      <c r="BI6" s="3" t="s">
        <v>2612</v>
      </c>
      <c r="BJ6" s="779"/>
      <c r="BK6" s="779"/>
      <c r="BL6" s="779"/>
      <c r="BM6" s="779"/>
      <c r="BN6" s="779"/>
      <c r="BO6" s="779"/>
      <c r="BP6" s="779"/>
      <c r="BQ6" s="779"/>
    </row>
    <row r="7" spans="1:69" ht="30" hidden="1" customHeight="1">
      <c r="A7" s="293">
        <f t="shared" si="2"/>
        <v>6</v>
      </c>
      <c r="B7" s="338" t="s">
        <v>414</v>
      </c>
      <c r="C7" s="338" t="s">
        <v>2948</v>
      </c>
      <c r="D7" s="207" t="s">
        <v>2949</v>
      </c>
      <c r="E7" s="224">
        <v>3481307497</v>
      </c>
      <c r="F7" s="131"/>
      <c r="G7" s="131" t="s">
        <v>2951</v>
      </c>
      <c r="H7" s="131"/>
      <c r="I7" s="564" t="s">
        <v>2950</v>
      </c>
      <c r="J7" s="255"/>
      <c r="K7" s="255"/>
      <c r="L7" s="256"/>
      <c r="M7" s="255"/>
      <c r="N7" s="255"/>
      <c r="O7" s="255"/>
      <c r="P7" s="1471" t="s">
        <v>116</v>
      </c>
      <c r="Q7" s="1471" t="s">
        <v>116</v>
      </c>
      <c r="R7" s="1471" t="s">
        <v>115</v>
      </c>
      <c r="S7" s="515"/>
      <c r="T7" s="155"/>
      <c r="U7" s="155"/>
      <c r="V7" s="937"/>
      <c r="W7" s="515"/>
      <c r="X7" s="155"/>
      <c r="Y7" s="155"/>
      <c r="Z7" s="155" t="s">
        <v>2404</v>
      </c>
      <c r="AA7" s="515"/>
      <c r="AB7" s="155"/>
      <c r="AC7" s="155"/>
      <c r="AD7" s="155"/>
      <c r="AE7" s="808">
        <f t="shared" si="0"/>
        <v>2997</v>
      </c>
      <c r="AF7" s="761">
        <f t="shared" si="1"/>
        <v>2997</v>
      </c>
      <c r="AG7" s="110">
        <v>0</v>
      </c>
      <c r="AH7" s="808">
        <v>0</v>
      </c>
      <c r="AI7" s="1472" t="s">
        <v>2952</v>
      </c>
      <c r="AJ7" s="206">
        <v>0.15</v>
      </c>
      <c r="AK7" s="191">
        <v>0</v>
      </c>
      <c r="AL7" s="1472" t="s">
        <v>2953</v>
      </c>
      <c r="AM7" s="206">
        <v>0.05</v>
      </c>
      <c r="AN7" s="191">
        <v>0</v>
      </c>
      <c r="AO7" s="110">
        <v>2997</v>
      </c>
      <c r="AP7" s="226">
        <v>43364</v>
      </c>
      <c r="AQ7" s="110">
        <v>2997</v>
      </c>
      <c r="AR7" s="263"/>
      <c r="AS7" s="110">
        <v>0</v>
      </c>
      <c r="AT7" s="226"/>
      <c r="AU7" s="110">
        <v>0</v>
      </c>
      <c r="AV7" s="263"/>
      <c r="AW7" s="110">
        <v>0</v>
      </c>
      <c r="AX7" s="226"/>
      <c r="AY7" s="110">
        <v>0</v>
      </c>
      <c r="AZ7" s="263"/>
      <c r="BA7" s="110">
        <v>0</v>
      </c>
      <c r="BB7" s="226"/>
      <c r="BC7" s="110">
        <v>0</v>
      </c>
      <c r="BD7" s="263"/>
      <c r="BE7" s="110">
        <v>0</v>
      </c>
      <c r="BF7" s="226"/>
      <c r="BG7" s="110">
        <v>0</v>
      </c>
      <c r="BH7" s="263"/>
      <c r="BI7" s="228"/>
      <c r="BJ7" s="729"/>
      <c r="BK7" s="729"/>
      <c r="BL7" s="729"/>
      <c r="BM7" s="729"/>
      <c r="BN7" s="729"/>
      <c r="BO7" s="729"/>
      <c r="BP7" s="729"/>
      <c r="BQ7" s="729"/>
    </row>
    <row r="8" spans="1:69" ht="30" hidden="1" customHeight="1">
      <c r="A8" s="293">
        <f t="shared" si="2"/>
        <v>7</v>
      </c>
      <c r="B8" s="338" t="s">
        <v>414</v>
      </c>
      <c r="C8" s="338" t="s">
        <v>2954</v>
      </c>
      <c r="D8" s="207" t="s">
        <v>2955</v>
      </c>
      <c r="E8" s="1473">
        <v>3355680761</v>
      </c>
      <c r="F8" s="207" t="s">
        <v>2957</v>
      </c>
      <c r="G8" s="131" t="s">
        <v>2958</v>
      </c>
      <c r="H8" s="564" t="s">
        <v>2956</v>
      </c>
      <c r="I8" s="255" t="s">
        <v>2956</v>
      </c>
      <c r="J8" s="258" t="s">
        <v>3338</v>
      </c>
      <c r="K8" s="255" t="s">
        <v>2412</v>
      </c>
      <c r="L8" s="256"/>
      <c r="M8" s="155" t="s">
        <v>2955</v>
      </c>
      <c r="N8" s="598"/>
      <c r="O8" s="207"/>
      <c r="P8" s="1471" t="s">
        <v>115</v>
      </c>
      <c r="Q8" s="1471" t="s">
        <v>115</v>
      </c>
      <c r="R8" s="1471" t="s">
        <v>115</v>
      </c>
      <c r="S8" s="515"/>
      <c r="T8" s="155"/>
      <c r="U8" s="155"/>
      <c r="V8" s="155"/>
      <c r="W8" s="515"/>
      <c r="X8" s="155" t="s">
        <v>116</v>
      </c>
      <c r="Y8" s="155" t="s">
        <v>2404</v>
      </c>
      <c r="Z8" s="155" t="s">
        <v>2404</v>
      </c>
      <c r="AA8" s="515"/>
      <c r="AB8" s="155"/>
      <c r="AC8" s="155"/>
      <c r="AD8" s="155"/>
      <c r="AE8" s="808">
        <f t="shared" si="0"/>
        <v>2997</v>
      </c>
      <c r="AF8" s="761">
        <f t="shared" si="1"/>
        <v>2997</v>
      </c>
      <c r="AG8" s="110">
        <v>0</v>
      </c>
      <c r="AH8" s="808">
        <v>0</v>
      </c>
      <c r="AI8" s="1472" t="s">
        <v>2959</v>
      </c>
      <c r="AJ8" s="206">
        <v>0.15</v>
      </c>
      <c r="AK8" s="191">
        <v>0</v>
      </c>
      <c r="AL8" s="1472" t="s">
        <v>2959</v>
      </c>
      <c r="AM8" s="206">
        <v>0.05</v>
      </c>
      <c r="AN8" s="191">
        <v>0</v>
      </c>
      <c r="AO8" s="110">
        <v>2997</v>
      </c>
      <c r="AP8" s="226">
        <v>44092</v>
      </c>
      <c r="AQ8" s="110">
        <v>2997</v>
      </c>
      <c r="AR8" s="263"/>
      <c r="AS8" s="110">
        <v>0</v>
      </c>
      <c r="AT8" s="226"/>
      <c r="AU8" s="110">
        <v>0</v>
      </c>
      <c r="AV8" s="263"/>
      <c r="AW8" s="110">
        <v>0</v>
      </c>
      <c r="AX8" s="226"/>
      <c r="AY8" s="110">
        <v>0</v>
      </c>
      <c r="AZ8" s="263"/>
      <c r="BA8" s="110">
        <v>0</v>
      </c>
      <c r="BB8" s="226"/>
      <c r="BC8" s="110">
        <v>0</v>
      </c>
      <c r="BD8" s="263"/>
      <c r="BE8" s="110">
        <v>0</v>
      </c>
      <c r="BF8" s="226"/>
      <c r="BG8" s="110">
        <v>0</v>
      </c>
      <c r="BH8" s="263"/>
      <c r="BI8" s="3" t="s">
        <v>2612</v>
      </c>
      <c r="BJ8" s="779"/>
      <c r="BK8" s="779"/>
      <c r="BL8" s="779"/>
      <c r="BM8" s="779"/>
      <c r="BN8" s="779"/>
      <c r="BO8" s="779"/>
      <c r="BP8" s="779"/>
      <c r="BQ8" s="779"/>
    </row>
    <row r="9" spans="1:69" ht="30" hidden="1" customHeight="1">
      <c r="A9" s="293">
        <f t="shared" si="2"/>
        <v>8</v>
      </c>
      <c r="B9" s="338" t="s">
        <v>2960</v>
      </c>
      <c r="C9" s="338" t="s">
        <v>2961</v>
      </c>
      <c r="D9" s="207" t="s">
        <v>2962</v>
      </c>
      <c r="E9" s="1473">
        <v>3420208244</v>
      </c>
      <c r="F9" s="207" t="s">
        <v>2966</v>
      </c>
      <c r="G9" s="131" t="s">
        <v>2967</v>
      </c>
      <c r="H9" s="564" t="s">
        <v>2965</v>
      </c>
      <c r="I9" s="255" t="s">
        <v>2964</v>
      </c>
      <c r="J9" s="155" t="s">
        <v>3338</v>
      </c>
      <c r="K9" s="255" t="s">
        <v>2968</v>
      </c>
      <c r="L9" s="256" t="s">
        <v>2969</v>
      </c>
      <c r="M9" s="155" t="s">
        <v>2927</v>
      </c>
      <c r="N9" s="598"/>
      <c r="O9" s="1251" t="s">
        <v>4880</v>
      </c>
      <c r="P9" s="263"/>
      <c r="Q9" s="263"/>
      <c r="R9" s="263"/>
      <c r="S9" s="515"/>
      <c r="T9" s="155"/>
      <c r="U9" s="155"/>
      <c r="V9" s="155"/>
      <c r="W9" s="515"/>
      <c r="X9" s="565" t="s">
        <v>245</v>
      </c>
      <c r="Y9" s="565" t="s">
        <v>245</v>
      </c>
      <c r="Z9" s="565" t="s">
        <v>245</v>
      </c>
      <c r="AA9" s="515"/>
      <c r="AB9" s="155"/>
      <c r="AC9" s="155"/>
      <c r="AD9" s="155"/>
      <c r="AE9" s="808">
        <f t="shared" si="0"/>
        <v>3496.98</v>
      </c>
      <c r="AF9" s="761">
        <f t="shared" si="1"/>
        <v>163.93</v>
      </c>
      <c r="AG9" s="110">
        <v>0</v>
      </c>
      <c r="AH9" s="808">
        <f t="shared" ref="AH9:AH10" si="4">AE9-AG9</f>
        <v>3496.98</v>
      </c>
      <c r="AI9" s="1472" t="s">
        <v>2971</v>
      </c>
      <c r="AJ9" s="206">
        <v>0</v>
      </c>
      <c r="AK9" s="191">
        <v>0</v>
      </c>
      <c r="AL9" s="1472" t="s">
        <v>152</v>
      </c>
      <c r="AM9" s="206">
        <v>0.05</v>
      </c>
      <c r="AN9" s="808">
        <f>AM9*AF9</f>
        <v>8.1965000000000003</v>
      </c>
      <c r="AO9" s="110">
        <v>163.93</v>
      </c>
      <c r="AP9" s="226">
        <v>44092</v>
      </c>
      <c r="AQ9" s="110">
        <v>163.93</v>
      </c>
      <c r="AR9" s="263"/>
      <c r="AS9" s="110">
        <v>1409.83</v>
      </c>
      <c r="AT9" s="226">
        <v>44141</v>
      </c>
      <c r="AU9" s="110">
        <v>0</v>
      </c>
      <c r="AV9" s="263"/>
      <c r="AW9" s="110">
        <v>1923.22</v>
      </c>
      <c r="AX9" s="226">
        <v>44169</v>
      </c>
      <c r="AY9" s="110">
        <v>0</v>
      </c>
      <c r="AZ9" s="263"/>
      <c r="BA9" s="110">
        <v>0</v>
      </c>
      <c r="BB9" s="226"/>
      <c r="BC9" s="110">
        <v>0</v>
      </c>
      <c r="BD9" s="263"/>
      <c r="BE9" s="110">
        <v>0</v>
      </c>
      <c r="BF9" s="226"/>
      <c r="BG9" s="110">
        <v>0</v>
      </c>
      <c r="BH9" s="263"/>
      <c r="BI9" s="3" t="s">
        <v>2612</v>
      </c>
      <c r="BJ9" s="779"/>
      <c r="BK9" s="779"/>
      <c r="BL9" s="779"/>
      <c r="BM9" s="779"/>
      <c r="BN9" s="779"/>
      <c r="BO9" s="779"/>
      <c r="BP9" s="779"/>
      <c r="BQ9" s="779"/>
    </row>
    <row r="10" spans="1:69" ht="30" customHeight="1">
      <c r="A10" s="293">
        <f t="shared" si="2"/>
        <v>9</v>
      </c>
      <c r="B10" s="338" t="s">
        <v>2588</v>
      </c>
      <c r="C10" s="338" t="s">
        <v>884</v>
      </c>
      <c r="D10" s="207" t="s">
        <v>4570</v>
      </c>
      <c r="E10" s="1473"/>
      <c r="F10" s="598" t="s">
        <v>4881</v>
      </c>
      <c r="G10" s="131"/>
      <c r="H10" s="1011"/>
      <c r="I10" s="255"/>
      <c r="J10" s="155"/>
      <c r="K10" s="255"/>
      <c r="L10" s="256"/>
      <c r="M10" s="255"/>
      <c r="N10" s="598"/>
      <c r="O10" s="207"/>
      <c r="P10" s="263" t="s">
        <v>116</v>
      </c>
      <c r="Q10" s="263"/>
      <c r="R10" s="263" t="s">
        <v>116</v>
      </c>
      <c r="S10" s="515"/>
      <c r="T10" s="155" t="s">
        <v>116</v>
      </c>
      <c r="U10" s="155" t="s">
        <v>116</v>
      </c>
      <c r="V10" s="155" t="s">
        <v>116</v>
      </c>
      <c r="W10" s="515"/>
      <c r="X10" s="155"/>
      <c r="Y10" s="155"/>
      <c r="Z10" s="155"/>
      <c r="AA10" s="515"/>
      <c r="AB10" s="155"/>
      <c r="AC10" s="155"/>
      <c r="AD10" s="155"/>
      <c r="AE10" s="808">
        <f t="shared" si="0"/>
        <v>0</v>
      </c>
      <c r="AF10" s="761">
        <f t="shared" si="1"/>
        <v>0</v>
      </c>
      <c r="AG10" s="110">
        <v>0</v>
      </c>
      <c r="AH10" s="808">
        <f t="shared" si="4"/>
        <v>0</v>
      </c>
      <c r="AI10" s="1472"/>
      <c r="AJ10" s="206"/>
      <c r="AK10" s="191">
        <v>0</v>
      </c>
      <c r="AL10" s="1472"/>
      <c r="AM10" s="206"/>
      <c r="AN10" s="191">
        <v>0</v>
      </c>
      <c r="AO10" s="110"/>
      <c r="AP10" s="226"/>
      <c r="AQ10" s="110"/>
      <c r="AR10" s="263"/>
      <c r="AS10" s="110"/>
      <c r="AT10" s="226"/>
      <c r="AU10" s="110"/>
      <c r="AV10" s="263"/>
      <c r="AW10" s="110"/>
      <c r="AX10" s="226"/>
      <c r="AY10" s="110"/>
      <c r="AZ10" s="263"/>
      <c r="BA10" s="110">
        <v>0</v>
      </c>
      <c r="BB10" s="226"/>
      <c r="BC10" s="110">
        <v>0</v>
      </c>
      <c r="BD10" s="263"/>
      <c r="BE10" s="110">
        <v>0</v>
      </c>
      <c r="BF10" s="226"/>
      <c r="BG10" s="110">
        <v>0</v>
      </c>
      <c r="BH10" s="263"/>
      <c r="BI10" s="3"/>
      <c r="BJ10" s="779"/>
      <c r="BK10" s="779"/>
      <c r="BL10" s="779"/>
      <c r="BM10" s="779"/>
      <c r="BN10" s="779"/>
      <c r="BO10" s="779"/>
      <c r="BP10" s="779"/>
      <c r="BQ10" s="779"/>
    </row>
    <row r="11" spans="1:69" ht="30" customHeight="1">
      <c r="A11" s="293">
        <f t="shared" si="2"/>
        <v>10</v>
      </c>
      <c r="B11" s="338" t="s">
        <v>290</v>
      </c>
      <c r="C11" s="338" t="s">
        <v>2987</v>
      </c>
      <c r="D11" s="207" t="s">
        <v>2988</v>
      </c>
      <c r="E11" s="1480"/>
      <c r="F11" s="131" t="s">
        <v>2990</v>
      </c>
      <c r="G11" s="207" t="s">
        <v>2991</v>
      </c>
      <c r="H11" s="564" t="s">
        <v>2989</v>
      </c>
      <c r="I11" s="564" t="s">
        <v>2989</v>
      </c>
      <c r="J11" s="155" t="s">
        <v>3338</v>
      </c>
      <c r="K11" s="255" t="s">
        <v>2968</v>
      </c>
      <c r="L11" s="256"/>
      <c r="M11" s="1481" t="s">
        <v>2988</v>
      </c>
      <c r="N11" s="598"/>
      <c r="O11" s="131" t="s">
        <v>3259</v>
      </c>
      <c r="P11" s="263" t="s">
        <v>115</v>
      </c>
      <c r="Q11" s="263" t="s">
        <v>115</v>
      </c>
      <c r="R11" s="263" t="s">
        <v>115</v>
      </c>
      <c r="S11" s="515"/>
      <c r="T11" s="155"/>
      <c r="U11" s="155" t="s">
        <v>2992</v>
      </c>
      <c r="V11" s="155" t="s">
        <v>2992</v>
      </c>
      <c r="W11" s="515"/>
      <c r="X11" s="155"/>
      <c r="Y11" s="155"/>
      <c r="Z11" s="155"/>
      <c r="AA11" s="515"/>
      <c r="AB11" s="155"/>
      <c r="AC11" s="155"/>
      <c r="AD11" s="155"/>
      <c r="AE11" s="808">
        <f t="shared" si="0"/>
        <v>2997</v>
      </c>
      <c r="AF11" s="761">
        <f t="shared" si="1"/>
        <v>2997</v>
      </c>
      <c r="AG11" s="110">
        <v>0</v>
      </c>
      <c r="AH11" s="808">
        <v>0</v>
      </c>
      <c r="AI11" s="1472" t="s">
        <v>2920</v>
      </c>
      <c r="AJ11" s="206">
        <v>0.15</v>
      </c>
      <c r="AK11" s="191">
        <v>0</v>
      </c>
      <c r="AL11" s="1472" t="s">
        <v>2920</v>
      </c>
      <c r="AM11" s="206">
        <v>0.05</v>
      </c>
      <c r="AN11" s="191">
        <v>0</v>
      </c>
      <c r="AO11" s="110">
        <v>2997</v>
      </c>
      <c r="AP11" s="226">
        <v>44103</v>
      </c>
      <c r="AQ11" s="110">
        <v>2997</v>
      </c>
      <c r="AR11" s="263"/>
      <c r="AS11" s="110">
        <v>0</v>
      </c>
      <c r="AT11" s="226"/>
      <c r="AU11" s="110">
        <v>0</v>
      </c>
      <c r="AV11" s="263"/>
      <c r="AW11" s="110">
        <v>0</v>
      </c>
      <c r="AX11" s="226"/>
      <c r="AY11" s="110">
        <v>0</v>
      </c>
      <c r="AZ11" s="263"/>
      <c r="BA11" s="110">
        <v>0</v>
      </c>
      <c r="BB11" s="226"/>
      <c r="BC11" s="110">
        <v>0</v>
      </c>
      <c r="BD11" s="263"/>
      <c r="BE11" s="110">
        <v>0</v>
      </c>
      <c r="BF11" s="226"/>
      <c r="BG11" s="110">
        <v>0</v>
      </c>
      <c r="BH11" s="263"/>
      <c r="BI11" s="3" t="s">
        <v>2612</v>
      </c>
      <c r="BJ11" s="779"/>
      <c r="BK11" s="779"/>
      <c r="BL11" s="779"/>
      <c r="BM11" s="779"/>
      <c r="BN11" s="779"/>
      <c r="BO11" s="779"/>
      <c r="BP11" s="779"/>
      <c r="BQ11" s="779"/>
    </row>
    <row r="12" spans="1:69" ht="30" customHeight="1">
      <c r="A12" s="293">
        <f t="shared" si="2"/>
        <v>11</v>
      </c>
      <c r="B12" s="338" t="s">
        <v>1561</v>
      </c>
      <c r="C12" s="338" t="s">
        <v>2993</v>
      </c>
      <c r="D12" s="207" t="s">
        <v>2994</v>
      </c>
      <c r="E12" s="1473">
        <v>3281916850</v>
      </c>
      <c r="F12" s="207" t="s">
        <v>2996</v>
      </c>
      <c r="G12" s="131" t="s">
        <v>2997</v>
      </c>
      <c r="H12" s="564" t="s">
        <v>2995</v>
      </c>
      <c r="I12" s="564" t="s">
        <v>2995</v>
      </c>
      <c r="J12" s="155" t="s">
        <v>3338</v>
      </c>
      <c r="K12" s="255" t="s">
        <v>2412</v>
      </c>
      <c r="L12" s="256" t="s">
        <v>2999</v>
      </c>
      <c r="M12" s="155" t="s">
        <v>2998</v>
      </c>
      <c r="N12" s="598"/>
      <c r="O12" s="207"/>
      <c r="P12" s="263" t="s">
        <v>115</v>
      </c>
      <c r="Q12" s="263" t="s">
        <v>115</v>
      </c>
      <c r="R12" s="263" t="s">
        <v>115</v>
      </c>
      <c r="S12" s="515"/>
      <c r="T12" s="155"/>
      <c r="U12" s="155"/>
      <c r="V12" s="155" t="s">
        <v>2992</v>
      </c>
      <c r="W12" s="515"/>
      <c r="X12" s="155"/>
      <c r="Y12" s="155" t="s">
        <v>2404</v>
      </c>
      <c r="Z12" s="155"/>
      <c r="AA12" s="515"/>
      <c r="AB12" s="155"/>
      <c r="AC12" s="155"/>
      <c r="AD12" s="155"/>
      <c r="AE12" s="808">
        <f t="shared" si="0"/>
        <v>2997</v>
      </c>
      <c r="AF12" s="761">
        <f t="shared" si="1"/>
        <v>2997</v>
      </c>
      <c r="AG12" s="110">
        <v>0</v>
      </c>
      <c r="AH12" s="808">
        <v>0</v>
      </c>
      <c r="AI12" s="1472" t="s">
        <v>3000</v>
      </c>
      <c r="AJ12" s="206">
        <v>0</v>
      </c>
      <c r="AK12" s="191">
        <v>0</v>
      </c>
      <c r="AL12" s="1472" t="s">
        <v>3001</v>
      </c>
      <c r="AM12" s="206">
        <v>0.05</v>
      </c>
      <c r="AN12" s="191">
        <v>0</v>
      </c>
      <c r="AO12" s="110">
        <v>2997</v>
      </c>
      <c r="AP12" s="226">
        <v>44092</v>
      </c>
      <c r="AQ12" s="110">
        <v>2997</v>
      </c>
      <c r="AR12" s="263"/>
      <c r="AS12" s="110">
        <v>0</v>
      </c>
      <c r="AT12" s="226"/>
      <c r="AU12" s="110">
        <v>0</v>
      </c>
      <c r="AV12" s="263"/>
      <c r="AW12" s="110">
        <v>0</v>
      </c>
      <c r="AX12" s="226"/>
      <c r="AY12" s="110">
        <v>0</v>
      </c>
      <c r="AZ12" s="263"/>
      <c r="BA12" s="110">
        <v>0</v>
      </c>
      <c r="BB12" s="226"/>
      <c r="BC12" s="110">
        <v>0</v>
      </c>
      <c r="BD12" s="263"/>
      <c r="BE12" s="110">
        <v>0</v>
      </c>
      <c r="BF12" s="226"/>
      <c r="BG12" s="110">
        <v>0</v>
      </c>
      <c r="BH12" s="263"/>
      <c r="BI12" s="3" t="s">
        <v>3002</v>
      </c>
      <c r="BJ12" s="779"/>
      <c r="BK12" s="779"/>
      <c r="BL12" s="779"/>
      <c r="BM12" s="779"/>
      <c r="BN12" s="779"/>
      <c r="BO12" s="779"/>
      <c r="BP12" s="779"/>
      <c r="BQ12" s="779"/>
    </row>
    <row r="13" spans="1:69" ht="30" customHeight="1">
      <c r="A13" s="293">
        <f t="shared" si="2"/>
        <v>12</v>
      </c>
      <c r="B13" s="338" t="s">
        <v>300</v>
      </c>
      <c r="C13" s="338" t="s">
        <v>4882</v>
      </c>
      <c r="D13" s="207" t="s">
        <v>4883</v>
      </c>
      <c r="E13" s="1473">
        <v>3492211900</v>
      </c>
      <c r="F13" s="207" t="s">
        <v>4862</v>
      </c>
      <c r="G13" s="131" t="s">
        <v>4863</v>
      </c>
      <c r="H13" s="564" t="s">
        <v>4864</v>
      </c>
      <c r="I13" s="564" t="s">
        <v>4864</v>
      </c>
      <c r="J13" s="155" t="s">
        <v>3338</v>
      </c>
      <c r="K13" s="255" t="s">
        <v>2275</v>
      </c>
      <c r="L13" s="256"/>
      <c r="M13" s="155"/>
      <c r="N13" s="598"/>
      <c r="O13" s="207" t="s">
        <v>4865</v>
      </c>
      <c r="P13" s="263" t="s">
        <v>115</v>
      </c>
      <c r="Q13" s="263" t="s">
        <v>115</v>
      </c>
      <c r="R13" s="263" t="s">
        <v>115</v>
      </c>
      <c r="S13" s="515"/>
      <c r="T13" s="155" t="s">
        <v>116</v>
      </c>
      <c r="U13" s="155" t="s">
        <v>2992</v>
      </c>
      <c r="V13" s="155" t="s">
        <v>2992</v>
      </c>
      <c r="W13" s="515"/>
      <c r="X13" s="155"/>
      <c r="Y13" s="155"/>
      <c r="Z13" s="155"/>
      <c r="AA13" s="515"/>
      <c r="AB13" s="155"/>
      <c r="AC13" s="155"/>
      <c r="AD13" s="155"/>
      <c r="AE13" s="808">
        <f t="shared" si="0"/>
        <v>2997</v>
      </c>
      <c r="AF13" s="761">
        <f t="shared" si="1"/>
        <v>2997</v>
      </c>
      <c r="AG13" s="110">
        <v>0</v>
      </c>
      <c r="AH13" s="808">
        <v>0</v>
      </c>
      <c r="AI13" s="1472" t="s">
        <v>3146</v>
      </c>
      <c r="AJ13" s="206">
        <v>0.1</v>
      </c>
      <c r="AK13" s="191">
        <v>0</v>
      </c>
      <c r="AL13" s="1472" t="s">
        <v>3078</v>
      </c>
      <c r="AM13" s="206">
        <v>0.05</v>
      </c>
      <c r="AN13" s="191">
        <v>0</v>
      </c>
      <c r="AO13" s="110">
        <v>2997</v>
      </c>
      <c r="AP13" s="226">
        <v>44104</v>
      </c>
      <c r="AQ13" s="110">
        <v>2997</v>
      </c>
      <c r="AR13" s="263"/>
      <c r="AS13" s="110">
        <v>0</v>
      </c>
      <c r="AT13" s="226"/>
      <c r="AU13" s="110">
        <v>0</v>
      </c>
      <c r="AV13" s="263"/>
      <c r="AW13" s="110">
        <v>0</v>
      </c>
      <c r="AX13" s="226"/>
      <c r="AY13" s="110">
        <v>0</v>
      </c>
      <c r="AZ13" s="263"/>
      <c r="BA13" s="110">
        <v>0</v>
      </c>
      <c r="BB13" s="226"/>
      <c r="BC13" s="110">
        <v>0</v>
      </c>
      <c r="BD13" s="263"/>
      <c r="BE13" s="110">
        <v>0</v>
      </c>
      <c r="BF13" s="226"/>
      <c r="BG13" s="110">
        <v>0</v>
      </c>
      <c r="BH13" s="263"/>
      <c r="BI13" s="3" t="s">
        <v>126</v>
      </c>
      <c r="BJ13" s="779"/>
      <c r="BK13" s="779"/>
      <c r="BL13" s="779"/>
      <c r="BM13" s="779"/>
      <c r="BN13" s="779"/>
      <c r="BO13" s="779"/>
      <c r="BP13" s="779"/>
      <c r="BQ13" s="779"/>
    </row>
    <row r="14" spans="1:69" ht="30" hidden="1" customHeight="1">
      <c r="A14" s="293">
        <f t="shared" si="2"/>
        <v>13</v>
      </c>
      <c r="B14" s="338" t="s">
        <v>3014</v>
      </c>
      <c r="C14" s="338" t="s">
        <v>3015</v>
      </c>
      <c r="D14" s="207" t="s">
        <v>3016</v>
      </c>
      <c r="E14" s="907" t="s">
        <v>3017</v>
      </c>
      <c r="F14" s="131" t="s">
        <v>3020</v>
      </c>
      <c r="G14" s="131" t="s">
        <v>3021</v>
      </c>
      <c r="H14" s="908" t="s">
        <v>3019</v>
      </c>
      <c r="I14" s="908" t="s">
        <v>3018</v>
      </c>
      <c r="J14" s="258" t="s">
        <v>3338</v>
      </c>
      <c r="K14" s="255" t="s">
        <v>3022</v>
      </c>
      <c r="L14" s="256" t="s">
        <v>3023</v>
      </c>
      <c r="M14" s="155"/>
      <c r="N14" s="598"/>
      <c r="O14" s="207"/>
      <c r="P14" s="1471" t="s">
        <v>115</v>
      </c>
      <c r="Q14" s="1471" t="s">
        <v>115</v>
      </c>
      <c r="R14" s="1471" t="s">
        <v>115</v>
      </c>
      <c r="S14" s="515"/>
      <c r="T14" s="155"/>
      <c r="U14" s="155"/>
      <c r="V14" s="155"/>
      <c r="W14" s="515"/>
      <c r="X14" s="155"/>
      <c r="Y14" s="155" t="s">
        <v>2404</v>
      </c>
      <c r="Z14" s="155" t="s">
        <v>2404</v>
      </c>
      <c r="AA14" s="515"/>
      <c r="AB14" s="155"/>
      <c r="AC14" s="155"/>
      <c r="AD14" s="155"/>
      <c r="AE14" s="808">
        <f t="shared" si="0"/>
        <v>2997</v>
      </c>
      <c r="AF14" s="761">
        <f t="shared" si="1"/>
        <v>2997</v>
      </c>
      <c r="AG14" s="110">
        <v>0</v>
      </c>
      <c r="AH14" s="808">
        <v>0</v>
      </c>
      <c r="AI14" s="1472" t="s">
        <v>3024</v>
      </c>
      <c r="AJ14" s="206">
        <v>0.15</v>
      </c>
      <c r="AK14" s="191">
        <v>0</v>
      </c>
      <c r="AL14" s="1472" t="s">
        <v>3025</v>
      </c>
      <c r="AM14" s="206">
        <v>0.15</v>
      </c>
      <c r="AN14" s="191">
        <v>0</v>
      </c>
      <c r="AO14" s="110">
        <v>2997</v>
      </c>
      <c r="AP14" s="226">
        <v>44105</v>
      </c>
      <c r="AQ14" s="110">
        <v>2997</v>
      </c>
      <c r="AR14" s="263"/>
      <c r="AS14" s="110"/>
      <c r="AT14" s="110"/>
      <c r="AU14" s="110"/>
      <c r="AV14" s="263"/>
      <c r="AW14" s="226"/>
      <c r="AX14" s="226"/>
      <c r="AY14" s="110"/>
      <c r="AZ14" s="263"/>
      <c r="BA14" s="110">
        <v>0</v>
      </c>
      <c r="BB14" s="226"/>
      <c r="BC14" s="110">
        <v>0</v>
      </c>
      <c r="BD14" s="263"/>
      <c r="BE14" s="110">
        <v>0</v>
      </c>
      <c r="BF14" s="226"/>
      <c r="BG14" s="110">
        <v>0</v>
      </c>
      <c r="BH14" s="263"/>
      <c r="BI14" s="3" t="s">
        <v>3002</v>
      </c>
      <c r="BJ14" s="779"/>
      <c r="BK14" s="779"/>
      <c r="BL14" s="779"/>
      <c r="BM14" s="779"/>
      <c r="BN14" s="779"/>
      <c r="BO14" s="779"/>
      <c r="BP14" s="779"/>
      <c r="BQ14" s="779"/>
    </row>
    <row r="15" spans="1:69" ht="30" customHeight="1">
      <c r="A15" s="293">
        <f t="shared" si="2"/>
        <v>14</v>
      </c>
      <c r="B15" s="338" t="s">
        <v>2354</v>
      </c>
      <c r="C15" s="338" t="s">
        <v>3027</v>
      </c>
      <c r="D15" s="207" t="s">
        <v>3028</v>
      </c>
      <c r="E15" s="1473">
        <v>392451669</v>
      </c>
      <c r="F15" s="131" t="s">
        <v>3029</v>
      </c>
      <c r="G15" s="131"/>
      <c r="H15" s="255"/>
      <c r="I15" s="255"/>
      <c r="J15" s="258"/>
      <c r="K15" s="255"/>
      <c r="L15" s="256"/>
      <c r="M15" s="155"/>
      <c r="N15" s="598"/>
      <c r="O15" s="207" t="s">
        <v>3177</v>
      </c>
      <c r="P15" s="1471" t="s">
        <v>115</v>
      </c>
      <c r="Q15" s="1471" t="s">
        <v>115</v>
      </c>
      <c r="R15" s="1471" t="s">
        <v>115</v>
      </c>
      <c r="S15" s="515"/>
      <c r="T15" s="155"/>
      <c r="U15" s="155" t="s">
        <v>2992</v>
      </c>
      <c r="V15" s="155" t="s">
        <v>2992</v>
      </c>
      <c r="W15" s="515"/>
      <c r="X15" s="155"/>
      <c r="Y15" s="155"/>
      <c r="Z15" s="155"/>
      <c r="AA15" s="515"/>
      <c r="AB15" s="155"/>
      <c r="AC15" s="155"/>
      <c r="AD15" s="155"/>
      <c r="AE15" s="808">
        <f t="shared" si="0"/>
        <v>2797</v>
      </c>
      <c r="AF15" s="761">
        <f t="shared" si="1"/>
        <v>2797</v>
      </c>
      <c r="AG15" s="110">
        <v>0</v>
      </c>
      <c r="AH15" s="808">
        <v>0</v>
      </c>
      <c r="AI15" s="1472" t="s">
        <v>2920</v>
      </c>
      <c r="AJ15" s="206">
        <v>0.15</v>
      </c>
      <c r="AK15" s="191">
        <v>0</v>
      </c>
      <c r="AL15" s="1472" t="s">
        <v>2920</v>
      </c>
      <c r="AM15" s="206">
        <v>0.05</v>
      </c>
      <c r="AN15" s="191">
        <v>0</v>
      </c>
      <c r="AO15" s="110">
        <v>2797</v>
      </c>
      <c r="AP15" s="226">
        <v>44092</v>
      </c>
      <c r="AQ15" s="110">
        <v>2797</v>
      </c>
      <c r="AR15" s="263"/>
      <c r="AS15" s="110"/>
      <c r="AT15" s="226"/>
      <c r="AU15" s="110"/>
      <c r="AV15" s="263"/>
      <c r="AW15" s="110"/>
      <c r="AX15" s="226"/>
      <c r="AY15" s="110"/>
      <c r="AZ15" s="263"/>
      <c r="BA15" s="110">
        <v>0</v>
      </c>
      <c r="BB15" s="226"/>
      <c r="BC15" s="110">
        <v>0</v>
      </c>
      <c r="BD15" s="263"/>
      <c r="BE15" s="110">
        <v>0</v>
      </c>
      <c r="BF15" s="226"/>
      <c r="BG15" s="110">
        <v>0</v>
      </c>
      <c r="BH15" s="263"/>
      <c r="BI15" s="3" t="s">
        <v>2612</v>
      </c>
      <c r="BJ15" s="779"/>
      <c r="BK15" s="779"/>
      <c r="BL15" s="779"/>
      <c r="BM15" s="779"/>
      <c r="BN15" s="779"/>
      <c r="BO15" s="779"/>
      <c r="BP15" s="779"/>
      <c r="BQ15" s="779"/>
    </row>
    <row r="16" spans="1:69" ht="30" hidden="1" customHeight="1">
      <c r="A16" s="293">
        <f t="shared" si="2"/>
        <v>15</v>
      </c>
      <c r="B16" s="338" t="s">
        <v>141</v>
      </c>
      <c r="C16" s="338" t="s">
        <v>3031</v>
      </c>
      <c r="D16" s="207" t="s">
        <v>3032</v>
      </c>
      <c r="E16" s="224"/>
      <c r="F16" s="131" t="s">
        <v>3020</v>
      </c>
      <c r="G16" s="131" t="s">
        <v>3021</v>
      </c>
      <c r="H16" s="908" t="s">
        <v>3019</v>
      </c>
      <c r="I16" s="908" t="s">
        <v>3018</v>
      </c>
      <c r="J16" s="258" t="s">
        <v>3338</v>
      </c>
      <c r="K16" s="255" t="s">
        <v>3022</v>
      </c>
      <c r="L16" s="256" t="s">
        <v>3023</v>
      </c>
      <c r="M16" s="155"/>
      <c r="N16" s="598"/>
      <c r="O16" s="207"/>
      <c r="P16" s="1471" t="s">
        <v>115</v>
      </c>
      <c r="Q16" s="1471" t="s">
        <v>115</v>
      </c>
      <c r="R16" s="1471" t="s">
        <v>115</v>
      </c>
      <c r="S16" s="515"/>
      <c r="T16" s="155"/>
      <c r="U16" s="155"/>
      <c r="V16" s="155"/>
      <c r="W16" s="515"/>
      <c r="X16" s="155"/>
      <c r="Y16" s="155" t="s">
        <v>2404</v>
      </c>
      <c r="Z16" s="155" t="s">
        <v>2404</v>
      </c>
      <c r="AA16" s="515"/>
      <c r="AB16" s="155"/>
      <c r="AC16" s="155"/>
      <c r="AD16" s="155"/>
      <c r="AE16" s="808">
        <f t="shared" si="0"/>
        <v>2997</v>
      </c>
      <c r="AF16" s="761">
        <f t="shared" si="1"/>
        <v>2997</v>
      </c>
      <c r="AG16" s="110">
        <v>0</v>
      </c>
      <c r="AH16" s="808">
        <v>0</v>
      </c>
      <c r="AI16" s="1472" t="s">
        <v>3024</v>
      </c>
      <c r="AJ16" s="206">
        <v>0.15</v>
      </c>
      <c r="AK16" s="191">
        <v>0</v>
      </c>
      <c r="AL16" s="1472" t="s">
        <v>3025</v>
      </c>
      <c r="AM16" s="206">
        <v>0.15</v>
      </c>
      <c r="AN16" s="191">
        <v>0</v>
      </c>
      <c r="AO16" s="110">
        <v>2997</v>
      </c>
      <c r="AP16" s="226">
        <v>44105</v>
      </c>
      <c r="AQ16" s="110">
        <v>2997</v>
      </c>
      <c r="AR16" s="263"/>
      <c r="AS16" s="110"/>
      <c r="AT16" s="110"/>
      <c r="AU16" s="110"/>
      <c r="AV16" s="263"/>
      <c r="AW16" s="226"/>
      <c r="AX16" s="226"/>
      <c r="AY16" s="110"/>
      <c r="AZ16" s="263"/>
      <c r="BA16" s="110">
        <v>0</v>
      </c>
      <c r="BB16" s="226"/>
      <c r="BC16" s="110">
        <v>0</v>
      </c>
      <c r="BD16" s="263"/>
      <c r="BE16" s="110">
        <v>0</v>
      </c>
      <c r="BF16" s="226"/>
      <c r="BG16" s="110">
        <v>0</v>
      </c>
      <c r="BH16" s="263"/>
      <c r="BI16" s="3" t="s">
        <v>3002</v>
      </c>
      <c r="BJ16" s="779"/>
      <c r="BK16" s="779"/>
      <c r="BL16" s="779"/>
      <c r="BM16" s="779"/>
      <c r="BN16" s="779"/>
      <c r="BO16" s="779"/>
      <c r="BP16" s="779"/>
      <c r="BQ16" s="779"/>
    </row>
    <row r="17" spans="1:69" ht="30" hidden="1" customHeight="1">
      <c r="A17" s="293">
        <f t="shared" si="2"/>
        <v>16</v>
      </c>
      <c r="B17" s="338" t="s">
        <v>141</v>
      </c>
      <c r="C17" s="338" t="s">
        <v>2257</v>
      </c>
      <c r="D17" s="207" t="s">
        <v>2258</v>
      </c>
      <c r="E17" s="224">
        <v>3480910652</v>
      </c>
      <c r="F17" s="131" t="s">
        <v>2262</v>
      </c>
      <c r="G17" s="131" t="s">
        <v>2263</v>
      </c>
      <c r="H17" s="255" t="s">
        <v>2261</v>
      </c>
      <c r="I17" s="255" t="s">
        <v>2261</v>
      </c>
      <c r="J17" s="258" t="s">
        <v>2264</v>
      </c>
      <c r="K17" s="256" t="s">
        <v>2265</v>
      </c>
      <c r="L17" s="256"/>
      <c r="M17" s="255"/>
      <c r="N17" s="255"/>
      <c r="O17" s="207"/>
      <c r="P17" s="1471"/>
      <c r="Q17" s="1471" t="s">
        <v>115</v>
      </c>
      <c r="R17" s="1471" t="s">
        <v>115</v>
      </c>
      <c r="S17" s="515"/>
      <c r="T17" s="155"/>
      <c r="U17" s="155"/>
      <c r="V17" s="155"/>
      <c r="W17" s="515"/>
      <c r="X17" s="155" t="s">
        <v>27</v>
      </c>
      <c r="Y17" s="155" t="s">
        <v>2404</v>
      </c>
      <c r="Z17" s="155" t="s">
        <v>2404</v>
      </c>
      <c r="AA17" s="515"/>
      <c r="AB17" s="155"/>
      <c r="AC17" s="155"/>
      <c r="AD17" s="155"/>
      <c r="AE17" s="808">
        <f t="shared" si="0"/>
        <v>2997</v>
      </c>
      <c r="AF17" s="808">
        <f t="shared" si="1"/>
        <v>2997</v>
      </c>
      <c r="AG17" s="110">
        <v>0</v>
      </c>
      <c r="AH17" s="808">
        <v>900</v>
      </c>
      <c r="AI17" s="1472" t="s">
        <v>4884</v>
      </c>
      <c r="AJ17" s="206">
        <v>0.15</v>
      </c>
      <c r="AK17" s="808">
        <f>AF17*AJ17</f>
        <v>449.55</v>
      </c>
      <c r="AL17" s="1472" t="s">
        <v>4884</v>
      </c>
      <c r="AM17" s="206">
        <v>0.15</v>
      </c>
      <c r="AN17" s="808">
        <f>AM17*AF17</f>
        <v>449.55</v>
      </c>
      <c r="AO17" s="110">
        <v>2997</v>
      </c>
      <c r="AP17" s="226">
        <v>43763</v>
      </c>
      <c r="AQ17" s="110">
        <v>2997</v>
      </c>
      <c r="AR17" s="263"/>
      <c r="AS17" s="110"/>
      <c r="AT17" s="226"/>
      <c r="AU17" s="110"/>
      <c r="AV17" s="263"/>
      <c r="AW17" s="110"/>
      <c r="AX17" s="226"/>
      <c r="AY17" s="110"/>
      <c r="AZ17" s="263"/>
      <c r="BA17" s="110"/>
      <c r="BB17" s="226"/>
      <c r="BC17" s="110"/>
      <c r="BD17" s="263"/>
      <c r="BE17" s="110"/>
      <c r="BF17" s="226"/>
      <c r="BG17" s="110"/>
      <c r="BH17" s="263"/>
      <c r="BI17" s="3"/>
      <c r="BJ17" s="779"/>
      <c r="BK17" s="779"/>
      <c r="BL17" s="779"/>
      <c r="BM17" s="779"/>
      <c r="BN17" s="779"/>
      <c r="BO17" s="779"/>
      <c r="BP17" s="779"/>
      <c r="BQ17" s="779"/>
    </row>
    <row r="18" spans="1:69" ht="30" customHeight="1">
      <c r="A18" s="293">
        <f t="shared" si="2"/>
        <v>17</v>
      </c>
      <c r="B18" s="338" t="s">
        <v>141</v>
      </c>
      <c r="C18" s="338" t="s">
        <v>3037</v>
      </c>
      <c r="D18" s="207" t="s">
        <v>3038</v>
      </c>
      <c r="E18" s="224">
        <v>3805250485</v>
      </c>
      <c r="F18" s="131" t="s">
        <v>3040</v>
      </c>
      <c r="G18" s="131" t="s">
        <v>3041</v>
      </c>
      <c r="H18" s="255" t="s">
        <v>3039</v>
      </c>
      <c r="I18" s="255" t="s">
        <v>3039</v>
      </c>
      <c r="J18" s="514"/>
      <c r="K18" s="255" t="s">
        <v>2968</v>
      </c>
      <c r="L18" s="256"/>
      <c r="M18" s="1482" t="s">
        <v>3042</v>
      </c>
      <c r="N18" s="598"/>
      <c r="O18" s="207"/>
      <c r="P18" s="1471"/>
      <c r="Q18" s="1471"/>
      <c r="R18" s="1471" t="s">
        <v>115</v>
      </c>
      <c r="S18" s="515"/>
      <c r="T18" s="155"/>
      <c r="U18" s="155"/>
      <c r="V18" s="155" t="s">
        <v>2992</v>
      </c>
      <c r="W18" s="515"/>
      <c r="X18" s="155"/>
      <c r="Y18" s="155"/>
      <c r="Z18" s="155"/>
      <c r="AA18" s="515"/>
      <c r="AB18" s="155"/>
      <c r="AC18" s="155"/>
      <c r="AD18" s="155"/>
      <c r="AE18" s="808">
        <f t="shared" si="0"/>
        <v>2997</v>
      </c>
      <c r="AF18" s="761">
        <f t="shared" si="1"/>
        <v>2997</v>
      </c>
      <c r="AG18" s="110">
        <v>0</v>
      </c>
      <c r="AH18" s="808">
        <v>0</v>
      </c>
      <c r="AI18" s="1472" t="s">
        <v>3043</v>
      </c>
      <c r="AJ18" s="206">
        <v>0.15</v>
      </c>
      <c r="AK18" s="191">
        <v>0</v>
      </c>
      <c r="AL18" s="1472" t="s">
        <v>3043</v>
      </c>
      <c r="AM18" s="206">
        <v>0.05</v>
      </c>
      <c r="AN18" s="191">
        <v>0</v>
      </c>
      <c r="AO18" s="110">
        <v>2997</v>
      </c>
      <c r="AP18" s="226">
        <v>43553</v>
      </c>
      <c r="AQ18" s="110">
        <v>2997</v>
      </c>
      <c r="AR18" s="263"/>
      <c r="AS18" s="110"/>
      <c r="AT18" s="226"/>
      <c r="AU18" s="110"/>
      <c r="AV18" s="263"/>
      <c r="AW18" s="110"/>
      <c r="AX18" s="226"/>
      <c r="AY18" s="110"/>
      <c r="AZ18" s="263"/>
      <c r="BA18" s="110"/>
      <c r="BB18" s="226"/>
      <c r="BC18" s="110"/>
      <c r="BD18" s="263"/>
      <c r="BE18" s="110"/>
      <c r="BF18" s="226"/>
      <c r="BG18" s="110">
        <v>0</v>
      </c>
      <c r="BH18" s="263"/>
      <c r="BI18" s="3"/>
      <c r="BJ18" s="729"/>
      <c r="BK18" s="729"/>
      <c r="BL18" s="729"/>
      <c r="BM18" s="729"/>
      <c r="BN18" s="729"/>
      <c r="BO18" s="729"/>
      <c r="BP18" s="729"/>
      <c r="BQ18" s="729"/>
    </row>
    <row r="19" spans="1:69" ht="30" customHeight="1">
      <c r="A19" s="293">
        <f t="shared" si="2"/>
        <v>18</v>
      </c>
      <c r="B19" s="338" t="s">
        <v>321</v>
      </c>
      <c r="C19" s="338" t="s">
        <v>4885</v>
      </c>
      <c r="D19" s="207" t="s">
        <v>4886</v>
      </c>
      <c r="E19" s="1473">
        <v>3914747772</v>
      </c>
      <c r="F19" s="131" t="s">
        <v>3029</v>
      </c>
      <c r="G19" s="131"/>
      <c r="H19" s="255"/>
      <c r="I19" s="255"/>
      <c r="J19" s="258"/>
      <c r="K19" s="255"/>
      <c r="L19" s="256"/>
      <c r="M19" s="255"/>
      <c r="N19" s="598"/>
      <c r="O19" s="207" t="s">
        <v>4887</v>
      </c>
      <c r="P19" s="1471" t="s">
        <v>115</v>
      </c>
      <c r="Q19" s="1471" t="s">
        <v>115</v>
      </c>
      <c r="R19" s="1471" t="s">
        <v>115</v>
      </c>
      <c r="S19" s="515"/>
      <c r="T19" s="155" t="s">
        <v>116</v>
      </c>
      <c r="U19" s="155" t="s">
        <v>2992</v>
      </c>
      <c r="V19" s="155" t="s">
        <v>2992</v>
      </c>
      <c r="W19" s="515"/>
      <c r="X19" s="155"/>
      <c r="Y19" s="155"/>
      <c r="Z19" s="155"/>
      <c r="AA19" s="515"/>
      <c r="AB19" s="155"/>
      <c r="AC19" s="155"/>
      <c r="AD19" s="155"/>
      <c r="AE19" s="808">
        <f t="shared" si="0"/>
        <v>2797</v>
      </c>
      <c r="AF19" s="761">
        <f t="shared" si="1"/>
        <v>2797</v>
      </c>
      <c r="AG19" s="110">
        <v>0</v>
      </c>
      <c r="AH19" s="808">
        <v>0</v>
      </c>
      <c r="AI19" s="1472" t="s">
        <v>2920</v>
      </c>
      <c r="AJ19" s="206">
        <v>0.15</v>
      </c>
      <c r="AK19" s="191">
        <v>0</v>
      </c>
      <c r="AL19" s="1472" t="s">
        <v>2920</v>
      </c>
      <c r="AM19" s="206">
        <v>0.05</v>
      </c>
      <c r="AN19" s="191">
        <v>0</v>
      </c>
      <c r="AO19" s="110">
        <v>2797</v>
      </c>
      <c r="AP19" s="226">
        <v>44092</v>
      </c>
      <c r="AQ19" s="110">
        <v>2797</v>
      </c>
      <c r="AR19" s="263"/>
      <c r="AS19" s="110"/>
      <c r="AT19" s="226"/>
      <c r="AU19" s="110"/>
      <c r="AV19" s="263"/>
      <c r="AW19" s="110"/>
      <c r="AX19" s="226"/>
      <c r="AY19" s="110"/>
      <c r="AZ19" s="263"/>
      <c r="BA19" s="110">
        <v>0</v>
      </c>
      <c r="BB19" s="226"/>
      <c r="BC19" s="110">
        <v>0</v>
      </c>
      <c r="BD19" s="263"/>
      <c r="BE19" s="110">
        <v>0</v>
      </c>
      <c r="BF19" s="226"/>
      <c r="BG19" s="110">
        <v>0</v>
      </c>
      <c r="BH19" s="263"/>
      <c r="BI19" s="3" t="s">
        <v>2612</v>
      </c>
      <c r="BJ19" s="779"/>
      <c r="BK19" s="779"/>
      <c r="BL19" s="779"/>
      <c r="BM19" s="779"/>
      <c r="BN19" s="779"/>
      <c r="BO19" s="779"/>
      <c r="BP19" s="779"/>
      <c r="BQ19" s="779"/>
    </row>
    <row r="20" spans="1:69" ht="30" hidden="1" customHeight="1">
      <c r="A20" s="293">
        <f t="shared" si="2"/>
        <v>19</v>
      </c>
      <c r="B20" s="338" t="s">
        <v>3047</v>
      </c>
      <c r="C20" s="338" t="s">
        <v>3048</v>
      </c>
      <c r="D20" s="207" t="s">
        <v>3049</v>
      </c>
      <c r="E20" s="1473">
        <v>3387902054</v>
      </c>
      <c r="F20" s="131" t="s">
        <v>3051</v>
      </c>
      <c r="G20" s="131" t="s">
        <v>3052</v>
      </c>
      <c r="H20" s="564" t="s">
        <v>3050</v>
      </c>
      <c r="I20" s="564" t="s">
        <v>3050</v>
      </c>
      <c r="J20" s="258" t="s">
        <v>3338</v>
      </c>
      <c r="K20" s="255" t="s">
        <v>2917</v>
      </c>
      <c r="L20" s="256"/>
      <c r="M20" s="155" t="s">
        <v>3049</v>
      </c>
      <c r="N20" s="598"/>
      <c r="O20" s="207"/>
      <c r="P20" s="1471" t="s">
        <v>115</v>
      </c>
      <c r="Q20" s="1471" t="s">
        <v>115</v>
      </c>
      <c r="R20" s="1471" t="s">
        <v>115</v>
      </c>
      <c r="S20" s="515"/>
      <c r="T20" s="155"/>
      <c r="U20" s="155"/>
      <c r="V20" s="155"/>
      <c r="W20" s="515"/>
      <c r="X20" s="155"/>
      <c r="Y20" s="155" t="s">
        <v>2404</v>
      </c>
      <c r="Z20" s="155" t="s">
        <v>2404</v>
      </c>
      <c r="AA20" s="515"/>
      <c r="AB20" s="155"/>
      <c r="AC20" s="155"/>
      <c r="AD20" s="155"/>
      <c r="AE20" s="808">
        <f t="shared" si="0"/>
        <v>2997</v>
      </c>
      <c r="AF20" s="761">
        <f t="shared" si="1"/>
        <v>2997</v>
      </c>
      <c r="AG20" s="110">
        <v>0</v>
      </c>
      <c r="AH20" s="808">
        <v>0</v>
      </c>
      <c r="AI20" s="1472" t="s">
        <v>3053</v>
      </c>
      <c r="AJ20" s="206">
        <v>0.15</v>
      </c>
      <c r="AK20" s="191">
        <v>0</v>
      </c>
      <c r="AL20" s="1472" t="s">
        <v>3001</v>
      </c>
      <c r="AM20" s="206">
        <v>0.05</v>
      </c>
      <c r="AN20" s="191">
        <v>0</v>
      </c>
      <c r="AO20" s="110">
        <v>2997</v>
      </c>
      <c r="AP20" s="226">
        <v>44092</v>
      </c>
      <c r="AQ20" s="110">
        <v>2997</v>
      </c>
      <c r="AR20" s="263"/>
      <c r="AS20" s="110">
        <v>0</v>
      </c>
      <c r="AT20" s="226"/>
      <c r="AU20" s="110">
        <v>0</v>
      </c>
      <c r="AV20" s="263"/>
      <c r="AW20" s="110">
        <v>0</v>
      </c>
      <c r="AX20" s="226"/>
      <c r="AY20" s="110">
        <v>0</v>
      </c>
      <c r="AZ20" s="263"/>
      <c r="BA20" s="110">
        <v>0</v>
      </c>
      <c r="BB20" s="226"/>
      <c r="BC20" s="110">
        <v>0</v>
      </c>
      <c r="BD20" s="263"/>
      <c r="BE20" s="110">
        <v>0</v>
      </c>
      <c r="BF20" s="226"/>
      <c r="BG20" s="110">
        <v>0</v>
      </c>
      <c r="BH20" s="263"/>
      <c r="BI20" s="3" t="s">
        <v>2612</v>
      </c>
      <c r="BJ20" s="779"/>
      <c r="BK20" s="779"/>
      <c r="BL20" s="779"/>
      <c r="BM20" s="779"/>
      <c r="BN20" s="779"/>
      <c r="BO20" s="779"/>
      <c r="BP20" s="779"/>
      <c r="BQ20" s="779"/>
    </row>
    <row r="21" spans="1:69" ht="30" hidden="1" customHeight="1">
      <c r="A21" s="293">
        <f t="shared" si="2"/>
        <v>20</v>
      </c>
      <c r="B21" s="338" t="s">
        <v>1733</v>
      </c>
      <c r="C21" s="338" t="s">
        <v>2279</v>
      </c>
      <c r="D21" s="207" t="s">
        <v>2280</v>
      </c>
      <c r="E21" s="1473">
        <v>3383494173</v>
      </c>
      <c r="F21" s="131"/>
      <c r="G21" s="131"/>
      <c r="H21" s="255"/>
      <c r="I21" s="155"/>
      <c r="J21" s="258"/>
      <c r="K21" s="255"/>
      <c r="L21" s="256"/>
      <c r="M21" s="155"/>
      <c r="N21" s="131"/>
      <c r="O21" s="207"/>
      <c r="P21" s="1471" t="s">
        <v>115</v>
      </c>
      <c r="Q21" s="1471"/>
      <c r="R21" s="1471"/>
      <c r="S21" s="515"/>
      <c r="T21" s="155"/>
      <c r="U21" s="155"/>
      <c r="V21" s="155"/>
      <c r="W21" s="515"/>
      <c r="X21" s="155"/>
      <c r="Y21" s="155" t="s">
        <v>27</v>
      </c>
      <c r="Z21" s="155" t="s">
        <v>27</v>
      </c>
      <c r="AA21" s="515"/>
      <c r="AB21" s="155"/>
      <c r="AC21" s="155"/>
      <c r="AD21" s="155"/>
      <c r="AE21" s="808">
        <f t="shared" si="0"/>
        <v>2997</v>
      </c>
      <c r="AF21" s="808">
        <f t="shared" si="1"/>
        <v>2997</v>
      </c>
      <c r="AG21" s="110">
        <v>0</v>
      </c>
      <c r="AH21" s="808">
        <f>1340+757</f>
        <v>2097</v>
      </c>
      <c r="AI21" s="1472" t="s">
        <v>2936</v>
      </c>
      <c r="AJ21" s="206">
        <v>0.15</v>
      </c>
      <c r="AK21" s="191">
        <v>0</v>
      </c>
      <c r="AL21" s="1472" t="s">
        <v>2936</v>
      </c>
      <c r="AM21" s="206">
        <v>0.05</v>
      </c>
      <c r="AN21" s="191">
        <v>0</v>
      </c>
      <c r="AO21" s="110">
        <v>2997</v>
      </c>
      <c r="AP21" s="226">
        <v>43742</v>
      </c>
      <c r="AQ21" s="110">
        <v>2997</v>
      </c>
      <c r="AR21" s="338"/>
      <c r="AS21" s="338"/>
      <c r="AT21" s="338"/>
      <c r="AU21" s="338"/>
      <c r="AV21" s="338"/>
      <c r="AW21" s="338"/>
      <c r="AX21" s="338"/>
      <c r="AY21" s="338"/>
      <c r="AZ21" s="338"/>
      <c r="BA21" s="338"/>
      <c r="BB21" s="338"/>
      <c r="BC21" s="338"/>
      <c r="BD21" s="338"/>
      <c r="BE21" s="338"/>
      <c r="BF21" s="338"/>
      <c r="BG21" s="338"/>
      <c r="BH21" s="338"/>
      <c r="BI21" s="228"/>
      <c r="BJ21" s="729"/>
      <c r="BK21" s="729"/>
      <c r="BL21" s="729"/>
      <c r="BM21" s="729"/>
      <c r="BN21" s="729"/>
      <c r="BO21" s="729"/>
      <c r="BP21" s="729"/>
      <c r="BQ21" s="729"/>
    </row>
    <row r="22" spans="1:69" ht="30" customHeight="1">
      <c r="A22" s="293">
        <f t="shared" si="2"/>
        <v>21</v>
      </c>
      <c r="B22" s="338" t="s">
        <v>4888</v>
      </c>
      <c r="C22" s="338" t="s">
        <v>4889</v>
      </c>
      <c r="D22" s="207" t="s">
        <v>4890</v>
      </c>
      <c r="E22" s="1473">
        <v>3884449524</v>
      </c>
      <c r="F22" s="131"/>
      <c r="G22" s="131"/>
      <c r="H22" s="255"/>
      <c r="I22" s="255"/>
      <c r="J22" s="258"/>
      <c r="K22" s="255"/>
      <c r="L22" s="256"/>
      <c r="M22" s="255"/>
      <c r="N22" s="598"/>
      <c r="O22" s="207"/>
      <c r="P22" s="1471" t="s">
        <v>116</v>
      </c>
      <c r="Q22" s="1471" t="s">
        <v>116</v>
      </c>
      <c r="R22" s="1471" t="s">
        <v>116</v>
      </c>
      <c r="S22" s="515"/>
      <c r="T22" s="155" t="s">
        <v>116</v>
      </c>
      <c r="U22" s="155" t="s">
        <v>116</v>
      </c>
      <c r="V22" s="155" t="s">
        <v>116</v>
      </c>
      <c r="W22" s="515"/>
      <c r="X22" s="155"/>
      <c r="Y22" s="155"/>
      <c r="Z22" s="155"/>
      <c r="AA22" s="515"/>
      <c r="AB22" s="155"/>
      <c r="AC22" s="155"/>
      <c r="AD22" s="155"/>
      <c r="AE22" s="808">
        <f t="shared" si="0"/>
        <v>0</v>
      </c>
      <c r="AF22" s="761">
        <f t="shared" si="1"/>
        <v>0</v>
      </c>
      <c r="AG22" s="110">
        <v>0</v>
      </c>
      <c r="AH22" s="808">
        <f>AE22-AG22</f>
        <v>0</v>
      </c>
      <c r="AI22" s="1472"/>
      <c r="AJ22" s="206"/>
      <c r="AK22" s="191">
        <v>0</v>
      </c>
      <c r="AL22" s="1472"/>
      <c r="AM22" s="206"/>
      <c r="AN22" s="191">
        <v>0</v>
      </c>
      <c r="AO22" s="110"/>
      <c r="AP22" s="226"/>
      <c r="AQ22" s="110"/>
      <c r="AR22" s="263"/>
      <c r="AS22" s="110"/>
      <c r="AT22" s="226"/>
      <c r="AU22" s="110"/>
      <c r="AV22" s="263"/>
      <c r="AW22" s="110"/>
      <c r="AX22" s="226"/>
      <c r="AY22" s="110"/>
      <c r="AZ22" s="263"/>
      <c r="BA22" s="110">
        <v>0</v>
      </c>
      <c r="BB22" s="226"/>
      <c r="BC22" s="110">
        <v>0</v>
      </c>
      <c r="BD22" s="263"/>
      <c r="BE22" s="110">
        <v>0</v>
      </c>
      <c r="BF22" s="226"/>
      <c r="BG22" s="110">
        <v>0</v>
      </c>
      <c r="BH22" s="263"/>
      <c r="BI22" s="3"/>
      <c r="BJ22" s="779"/>
      <c r="BK22" s="779"/>
      <c r="BL22" s="779"/>
      <c r="BM22" s="779"/>
      <c r="BN22" s="779"/>
      <c r="BO22" s="779"/>
      <c r="BP22" s="779"/>
      <c r="BQ22" s="779"/>
    </row>
    <row r="23" spans="1:69" ht="30" customHeight="1">
      <c r="A23" s="293">
        <f t="shared" si="2"/>
        <v>22</v>
      </c>
      <c r="B23" s="338" t="s">
        <v>3959</v>
      </c>
      <c r="C23" s="338" t="s">
        <v>4891</v>
      </c>
      <c r="D23" s="207" t="s">
        <v>4892</v>
      </c>
      <c r="E23" s="1473">
        <v>3460301646</v>
      </c>
      <c r="F23" s="131" t="s">
        <v>4893</v>
      </c>
      <c r="G23" s="131" t="s">
        <v>4894</v>
      </c>
      <c r="H23" s="564" t="s">
        <v>4895</v>
      </c>
      <c r="I23" s="255" t="s">
        <v>4895</v>
      </c>
      <c r="J23" s="258" t="s">
        <v>3338</v>
      </c>
      <c r="K23" s="255" t="s">
        <v>4896</v>
      </c>
      <c r="L23" s="256"/>
      <c r="M23" s="155" t="s">
        <v>4892</v>
      </c>
      <c r="N23" s="598"/>
      <c r="O23" s="207"/>
      <c r="P23" s="1471" t="s">
        <v>115</v>
      </c>
      <c r="Q23" s="1471" t="s">
        <v>115</v>
      </c>
      <c r="R23" s="1471" t="s">
        <v>115</v>
      </c>
      <c r="S23" s="515"/>
      <c r="T23" s="155" t="s">
        <v>116</v>
      </c>
      <c r="U23" s="155" t="s">
        <v>2992</v>
      </c>
      <c r="V23" s="155" t="s">
        <v>2992</v>
      </c>
      <c r="W23" s="515"/>
      <c r="X23" s="155"/>
      <c r="Y23" s="155"/>
      <c r="Z23" s="155"/>
      <c r="AA23" s="515"/>
      <c r="AB23" s="155"/>
      <c r="AC23" s="155"/>
      <c r="AD23" s="155"/>
      <c r="AE23" s="808">
        <f t="shared" si="0"/>
        <v>2997</v>
      </c>
      <c r="AF23" s="761">
        <f t="shared" si="1"/>
        <v>2997</v>
      </c>
      <c r="AG23" s="110">
        <v>0</v>
      </c>
      <c r="AH23" s="808">
        <v>0</v>
      </c>
      <c r="AI23" s="1472" t="s">
        <v>3159</v>
      </c>
      <c r="AJ23" s="206">
        <v>0.15</v>
      </c>
      <c r="AK23" s="191">
        <v>0</v>
      </c>
      <c r="AL23" s="1472" t="s">
        <v>3159</v>
      </c>
      <c r="AM23" s="206">
        <v>0.05</v>
      </c>
      <c r="AN23" s="191">
        <v>0</v>
      </c>
      <c r="AO23" s="110">
        <v>2997</v>
      </c>
      <c r="AP23" s="226">
        <v>44105</v>
      </c>
      <c r="AQ23" s="110">
        <v>2997</v>
      </c>
      <c r="AR23" s="263"/>
      <c r="AS23" s="110">
        <v>0</v>
      </c>
      <c r="AT23" s="226"/>
      <c r="AU23" s="110">
        <v>0</v>
      </c>
      <c r="AV23" s="263"/>
      <c r="AW23" s="110">
        <v>0</v>
      </c>
      <c r="AX23" s="226"/>
      <c r="AY23" s="110">
        <v>0</v>
      </c>
      <c r="AZ23" s="263"/>
      <c r="BA23" s="110">
        <v>0</v>
      </c>
      <c r="BB23" s="226"/>
      <c r="BC23" s="110">
        <v>0</v>
      </c>
      <c r="BD23" s="263"/>
      <c r="BE23" s="110">
        <v>0</v>
      </c>
      <c r="BF23" s="226"/>
      <c r="BG23" s="110">
        <v>0</v>
      </c>
      <c r="BH23" s="263"/>
      <c r="BI23" s="3" t="s">
        <v>2612</v>
      </c>
      <c r="BJ23" s="779"/>
      <c r="BK23" s="779"/>
      <c r="BL23" s="779"/>
      <c r="BM23" s="779"/>
      <c r="BN23" s="779"/>
      <c r="BO23" s="779"/>
      <c r="BP23" s="779"/>
      <c r="BQ23" s="779"/>
    </row>
    <row r="24" spans="1:69" ht="30" customHeight="1">
      <c r="A24" s="293">
        <f t="shared" si="2"/>
        <v>23</v>
      </c>
      <c r="B24" s="338" t="s">
        <v>2805</v>
      </c>
      <c r="C24" s="338" t="s">
        <v>4897</v>
      </c>
      <c r="D24" s="207" t="s">
        <v>4898</v>
      </c>
      <c r="E24" s="1473">
        <v>3392762221</v>
      </c>
      <c r="F24" s="131" t="s">
        <v>4899</v>
      </c>
      <c r="G24" s="131" t="s">
        <v>4900</v>
      </c>
      <c r="H24" s="564" t="s">
        <v>4901</v>
      </c>
      <c r="I24" s="564" t="s">
        <v>4901</v>
      </c>
      <c r="J24" s="258" t="s">
        <v>3338</v>
      </c>
      <c r="K24" s="255" t="s">
        <v>2300</v>
      </c>
      <c r="L24" s="256"/>
      <c r="M24" s="155" t="s">
        <v>4902</v>
      </c>
      <c r="N24" s="598"/>
      <c r="O24" s="1483" t="s">
        <v>4903</v>
      </c>
      <c r="P24" s="1471" t="s">
        <v>115</v>
      </c>
      <c r="Q24" s="1471"/>
      <c r="R24" s="1471"/>
      <c r="S24" s="515"/>
      <c r="T24" s="155"/>
      <c r="U24" s="155"/>
      <c r="V24" s="155" t="s">
        <v>115</v>
      </c>
      <c r="W24" s="515"/>
      <c r="X24" s="155" t="s">
        <v>115</v>
      </c>
      <c r="Y24" s="155" t="s">
        <v>115</v>
      </c>
      <c r="Z24" s="155"/>
      <c r="AA24" s="515"/>
      <c r="AB24" s="155"/>
      <c r="AC24" s="155"/>
      <c r="AD24" s="155"/>
      <c r="AE24" s="808">
        <f t="shared" si="0"/>
        <v>2997</v>
      </c>
      <c r="AF24" s="761">
        <f t="shared" si="1"/>
        <v>2997</v>
      </c>
      <c r="AG24" s="110">
        <v>757</v>
      </c>
      <c r="AH24" s="808">
        <v>0</v>
      </c>
      <c r="AI24" s="1472" t="s">
        <v>4904</v>
      </c>
      <c r="AJ24" s="206">
        <v>0</v>
      </c>
      <c r="AK24" s="808">
        <f>AF24*AJ24</f>
        <v>0</v>
      </c>
      <c r="AL24" s="1472" t="s">
        <v>4905</v>
      </c>
      <c r="AM24" s="206">
        <v>0.05</v>
      </c>
      <c r="AN24" s="808">
        <f>AM24*AF24</f>
        <v>149.85</v>
      </c>
      <c r="AO24" s="110">
        <v>2997</v>
      </c>
      <c r="AP24" s="226">
        <v>44092</v>
      </c>
      <c r="AQ24" s="110">
        <v>2997</v>
      </c>
      <c r="AR24" s="263"/>
      <c r="AS24" s="110">
        <v>0</v>
      </c>
      <c r="AT24" s="226"/>
      <c r="AU24" s="110">
        <v>0</v>
      </c>
      <c r="AV24" s="263"/>
      <c r="AW24" s="110">
        <v>0</v>
      </c>
      <c r="AX24" s="226"/>
      <c r="AY24" s="110">
        <v>0</v>
      </c>
      <c r="AZ24" s="263"/>
      <c r="BA24" s="110">
        <v>0</v>
      </c>
      <c r="BB24" s="226"/>
      <c r="BC24" s="110">
        <v>0</v>
      </c>
      <c r="BD24" s="263"/>
      <c r="BE24" s="110">
        <v>0</v>
      </c>
      <c r="BF24" s="226"/>
      <c r="BG24" s="110">
        <v>0</v>
      </c>
      <c r="BH24" s="263"/>
      <c r="BI24" s="3" t="s">
        <v>126</v>
      </c>
      <c r="BJ24" s="779"/>
      <c r="BK24" s="779"/>
      <c r="BL24" s="779"/>
      <c r="BM24" s="779"/>
      <c r="BN24" s="779"/>
      <c r="BO24" s="779"/>
      <c r="BP24" s="779"/>
      <c r="BQ24" s="779"/>
    </row>
    <row r="25" spans="1:69" ht="30" hidden="1" customHeight="1">
      <c r="A25" s="293">
        <f t="shared" si="2"/>
        <v>24</v>
      </c>
      <c r="B25" s="338" t="s">
        <v>912</v>
      </c>
      <c r="C25" s="338" t="s">
        <v>3071</v>
      </c>
      <c r="D25" s="207" t="s">
        <v>3072</v>
      </c>
      <c r="E25" s="224"/>
      <c r="F25" s="131" t="s">
        <v>3074</v>
      </c>
      <c r="G25" s="131" t="s">
        <v>3075</v>
      </c>
      <c r="H25" s="908" t="s">
        <v>3073</v>
      </c>
      <c r="I25" s="908" t="s">
        <v>3073</v>
      </c>
      <c r="J25" s="258" t="s">
        <v>3338</v>
      </c>
      <c r="K25" s="255" t="s">
        <v>2412</v>
      </c>
      <c r="L25" s="256"/>
      <c r="M25" s="155"/>
      <c r="N25" s="598"/>
      <c r="O25" s="207" t="s">
        <v>3076</v>
      </c>
      <c r="P25" s="1471" t="s">
        <v>115</v>
      </c>
      <c r="Q25" s="1471" t="s">
        <v>115</v>
      </c>
      <c r="R25" s="1471"/>
      <c r="S25" s="515"/>
      <c r="T25" s="155"/>
      <c r="U25" s="155"/>
      <c r="V25" s="155"/>
      <c r="W25" s="515"/>
      <c r="X25" s="155"/>
      <c r="Y25" s="155"/>
      <c r="Z25" s="155"/>
      <c r="AA25" s="515"/>
      <c r="AB25" s="155"/>
      <c r="AC25" s="155"/>
      <c r="AD25" s="155"/>
      <c r="AE25" s="808">
        <f t="shared" si="0"/>
        <v>2297</v>
      </c>
      <c r="AF25" s="761">
        <f t="shared" si="1"/>
        <v>2997</v>
      </c>
      <c r="AG25" s="110">
        <v>0</v>
      </c>
      <c r="AH25" s="808"/>
      <c r="AI25" s="1472" t="s">
        <v>3077</v>
      </c>
      <c r="AJ25" s="206">
        <v>0.15</v>
      </c>
      <c r="AK25" s="191">
        <v>0</v>
      </c>
      <c r="AL25" s="1472" t="s">
        <v>3078</v>
      </c>
      <c r="AM25" s="206">
        <v>0.15</v>
      </c>
      <c r="AN25" s="191">
        <v>0</v>
      </c>
      <c r="AO25" s="110">
        <v>2297</v>
      </c>
      <c r="AP25" s="226">
        <v>44165</v>
      </c>
      <c r="AQ25" s="110">
        <v>2997</v>
      </c>
      <c r="AR25" s="263"/>
      <c r="AS25" s="110"/>
      <c r="AT25" s="226"/>
      <c r="AU25" s="110"/>
      <c r="AV25" s="263"/>
      <c r="AW25" s="110"/>
      <c r="AX25" s="226"/>
      <c r="AY25" s="110"/>
      <c r="AZ25" s="263"/>
      <c r="BA25" s="110"/>
      <c r="BB25" s="226"/>
      <c r="BC25" s="110"/>
      <c r="BD25" s="263"/>
      <c r="BE25" s="110"/>
      <c r="BF25" s="226"/>
      <c r="BG25" s="110"/>
      <c r="BH25" s="263"/>
      <c r="BI25" s="3"/>
      <c r="BJ25" s="779"/>
      <c r="BK25" s="779"/>
      <c r="BL25" s="779"/>
      <c r="BM25" s="779"/>
      <c r="BN25" s="779"/>
      <c r="BO25" s="779"/>
      <c r="BP25" s="779"/>
      <c r="BQ25" s="779"/>
    </row>
    <row r="26" spans="1:69" ht="30" customHeight="1">
      <c r="A26" s="293">
        <f t="shared" si="2"/>
        <v>25</v>
      </c>
      <c r="B26" s="338" t="s">
        <v>2317</v>
      </c>
      <c r="C26" s="338" t="s">
        <v>2318</v>
      </c>
      <c r="D26" s="207" t="s">
        <v>2319</v>
      </c>
      <c r="E26" s="224"/>
      <c r="F26" s="131"/>
      <c r="G26" s="131"/>
      <c r="H26" s="255"/>
      <c r="I26" s="255"/>
      <c r="J26" s="514"/>
      <c r="K26" s="255"/>
      <c r="L26" s="256"/>
      <c r="M26" s="255"/>
      <c r="N26" s="598"/>
      <c r="O26" s="1484" t="s">
        <v>4906</v>
      </c>
      <c r="P26" s="1471"/>
      <c r="Q26" s="1471"/>
      <c r="R26" s="1471"/>
      <c r="S26" s="515"/>
      <c r="T26" s="155" t="s">
        <v>116</v>
      </c>
      <c r="U26" s="155" t="s">
        <v>116</v>
      </c>
      <c r="V26" s="155" t="s">
        <v>116</v>
      </c>
      <c r="W26" s="515"/>
      <c r="X26" s="155"/>
      <c r="Y26" s="155"/>
      <c r="Z26" s="155"/>
      <c r="AA26" s="515"/>
      <c r="AB26" s="155"/>
      <c r="AC26" s="155"/>
      <c r="AD26" s="155"/>
      <c r="AE26" s="808">
        <f t="shared" si="0"/>
        <v>0</v>
      </c>
      <c r="AF26" s="761">
        <f t="shared" si="1"/>
        <v>0</v>
      </c>
      <c r="AG26" s="110">
        <v>0</v>
      </c>
      <c r="AH26" s="808">
        <f>AE26-AG26</f>
        <v>0</v>
      </c>
      <c r="AI26" s="1472"/>
      <c r="AJ26" s="206"/>
      <c r="AK26" s="191">
        <v>0</v>
      </c>
      <c r="AL26" s="1472"/>
      <c r="AM26" s="206"/>
      <c r="AN26" s="191">
        <v>0</v>
      </c>
      <c r="AO26" s="110"/>
      <c r="AP26" s="226"/>
      <c r="AQ26" s="110"/>
      <c r="AR26" s="263"/>
      <c r="AS26" s="110"/>
      <c r="AT26" s="226"/>
      <c r="AU26" s="110"/>
      <c r="AV26" s="263"/>
      <c r="AW26" s="110"/>
      <c r="AX26" s="226"/>
      <c r="AY26" s="110"/>
      <c r="AZ26" s="263"/>
      <c r="BA26" s="110"/>
      <c r="BB26" s="226"/>
      <c r="BC26" s="110"/>
      <c r="BD26" s="263"/>
      <c r="BE26" s="110"/>
      <c r="BF26" s="226"/>
      <c r="BG26" s="110"/>
      <c r="BH26" s="263"/>
      <c r="BI26" s="228" t="s">
        <v>2612</v>
      </c>
      <c r="BJ26" s="729"/>
      <c r="BK26" s="729"/>
      <c r="BL26" s="729"/>
      <c r="BM26" s="729"/>
      <c r="BN26" s="729"/>
      <c r="BO26" s="729"/>
      <c r="BP26" s="729"/>
      <c r="BQ26" s="729"/>
    </row>
    <row r="27" spans="1:69" ht="30" hidden="1" customHeight="1">
      <c r="A27" s="293">
        <f t="shared" si="2"/>
        <v>26</v>
      </c>
      <c r="B27" s="338" t="s">
        <v>570</v>
      </c>
      <c r="C27" s="338" t="s">
        <v>3093</v>
      </c>
      <c r="D27" s="207" t="s">
        <v>3094</v>
      </c>
      <c r="E27" s="224" t="s">
        <v>3095</v>
      </c>
      <c r="F27" s="131" t="s">
        <v>3098</v>
      </c>
      <c r="G27" s="131" t="s">
        <v>3099</v>
      </c>
      <c r="H27" s="131" t="s">
        <v>3097</v>
      </c>
      <c r="I27" s="255" t="s">
        <v>3096</v>
      </c>
      <c r="J27" s="258"/>
      <c r="K27" s="255"/>
      <c r="L27" s="256"/>
      <c r="M27" s="207"/>
      <c r="N27" s="207"/>
      <c r="O27" s="207" t="s">
        <v>3100</v>
      </c>
      <c r="P27" s="1471" t="s">
        <v>116</v>
      </c>
      <c r="Q27" s="1471" t="s">
        <v>116</v>
      </c>
      <c r="R27" s="1471" t="s">
        <v>115</v>
      </c>
      <c r="S27" s="515"/>
      <c r="T27" s="155"/>
      <c r="U27" s="155"/>
      <c r="V27" s="155"/>
      <c r="W27" s="515"/>
      <c r="X27" s="155"/>
      <c r="Y27" s="155"/>
      <c r="Z27" s="155" t="s">
        <v>2404</v>
      </c>
      <c r="AA27" s="515"/>
      <c r="AB27" s="155"/>
      <c r="AC27" s="155"/>
      <c r="AD27" s="155"/>
      <c r="AE27" s="808">
        <f t="shared" si="0"/>
        <v>3497.0044262295078</v>
      </c>
      <c r="AF27" s="761">
        <f t="shared" si="1"/>
        <v>3497.0044262295078</v>
      </c>
      <c r="AG27" s="110">
        <v>0</v>
      </c>
      <c r="AH27" s="808">
        <v>0</v>
      </c>
      <c r="AI27" s="1472" t="s">
        <v>3101</v>
      </c>
      <c r="AJ27" s="206">
        <v>0</v>
      </c>
      <c r="AK27" s="191">
        <v>0</v>
      </c>
      <c r="AL27" s="1472" t="s">
        <v>3102</v>
      </c>
      <c r="AM27" s="206">
        <v>0.05</v>
      </c>
      <c r="AN27" s="191">
        <v>0</v>
      </c>
      <c r="AO27" s="110">
        <f>200/1.22</f>
        <v>163.9344262295082</v>
      </c>
      <c r="AP27" s="226"/>
      <c r="AQ27" s="110">
        <f>200/1.22</f>
        <v>163.9344262295082</v>
      </c>
      <c r="AR27" s="263" t="s">
        <v>122</v>
      </c>
      <c r="AS27" s="110">
        <v>555.5</v>
      </c>
      <c r="AT27" s="226">
        <v>43559</v>
      </c>
      <c r="AU27" s="110">
        <v>555.5</v>
      </c>
      <c r="AV27" s="263"/>
      <c r="AW27" s="110">
        <v>555.5</v>
      </c>
      <c r="AX27" s="226">
        <v>43591</v>
      </c>
      <c r="AY27" s="110">
        <v>555.5</v>
      </c>
      <c r="AZ27" s="263"/>
      <c r="BA27" s="110">
        <v>555.5</v>
      </c>
      <c r="BB27" s="226">
        <v>43626</v>
      </c>
      <c r="BC27" s="110">
        <v>555.5</v>
      </c>
      <c r="BD27" s="263"/>
      <c r="BE27" s="110">
        <v>1666.57</v>
      </c>
      <c r="BF27" s="226">
        <v>43901</v>
      </c>
      <c r="BG27" s="110">
        <v>1666.57</v>
      </c>
      <c r="BH27" s="263"/>
      <c r="BI27" s="228"/>
      <c r="BJ27" s="729"/>
      <c r="BK27" s="729"/>
      <c r="BL27" s="729"/>
      <c r="BM27" s="729"/>
      <c r="BN27" s="729"/>
      <c r="BO27" s="729"/>
      <c r="BP27" s="729"/>
      <c r="BQ27" s="729"/>
    </row>
    <row r="28" spans="1:69" ht="30" hidden="1" customHeight="1">
      <c r="A28" s="293">
        <f t="shared" si="2"/>
        <v>27</v>
      </c>
      <c r="B28" s="338" t="s">
        <v>570</v>
      </c>
      <c r="C28" s="338" t="s">
        <v>2293</v>
      </c>
      <c r="D28" s="207" t="s">
        <v>2294</v>
      </c>
      <c r="E28" s="224">
        <v>3356027818</v>
      </c>
      <c r="F28" s="598" t="s">
        <v>2297</v>
      </c>
      <c r="G28" s="598" t="s">
        <v>2298</v>
      </c>
      <c r="H28" s="255" t="s">
        <v>2296</v>
      </c>
      <c r="I28" s="255" t="s">
        <v>2296</v>
      </c>
      <c r="J28" s="1485"/>
      <c r="K28" s="255" t="s">
        <v>2300</v>
      </c>
      <c r="L28" s="256"/>
      <c r="M28" s="1486" t="s">
        <v>2299</v>
      </c>
      <c r="N28" s="512"/>
      <c r="O28" s="595"/>
      <c r="P28" s="1471"/>
      <c r="Q28" s="1471"/>
      <c r="R28" s="1471"/>
      <c r="S28" s="515"/>
      <c r="T28" s="155"/>
      <c r="U28" s="155"/>
      <c r="V28" s="155"/>
      <c r="W28" s="515"/>
      <c r="X28" s="155"/>
      <c r="Y28" s="155" t="s">
        <v>27</v>
      </c>
      <c r="Z28" s="155"/>
      <c r="AA28" s="515"/>
      <c r="AB28" s="155"/>
      <c r="AC28" s="155"/>
      <c r="AD28" s="155"/>
      <c r="AE28" s="808">
        <f t="shared" si="0"/>
        <v>2997</v>
      </c>
      <c r="AF28" s="808">
        <f t="shared" si="1"/>
        <v>2997</v>
      </c>
      <c r="AG28" s="110">
        <v>0</v>
      </c>
      <c r="AH28" s="808">
        <v>1340</v>
      </c>
      <c r="AI28" s="1472" t="s">
        <v>3101</v>
      </c>
      <c r="AJ28" s="206">
        <v>0</v>
      </c>
      <c r="AK28" s="191">
        <v>0</v>
      </c>
      <c r="AL28" s="1472" t="s">
        <v>4907</v>
      </c>
      <c r="AM28" s="206">
        <v>0.05</v>
      </c>
      <c r="AN28" s="191">
        <v>0</v>
      </c>
      <c r="AO28" s="110">
        <v>2997</v>
      </c>
      <c r="AP28" s="226">
        <v>43563</v>
      </c>
      <c r="AQ28" s="110">
        <v>2997</v>
      </c>
      <c r="AR28" s="263"/>
      <c r="AS28" s="110"/>
      <c r="AT28" s="226"/>
      <c r="AU28" s="110"/>
      <c r="AV28" s="263"/>
      <c r="AW28" s="110"/>
      <c r="AX28" s="226"/>
      <c r="AY28" s="110"/>
      <c r="AZ28" s="263"/>
      <c r="BA28" s="110"/>
      <c r="BB28" s="226"/>
      <c r="BC28" s="110"/>
      <c r="BD28" s="263"/>
      <c r="BE28" s="110"/>
      <c r="BF28" s="226"/>
      <c r="BG28" s="110">
        <v>0</v>
      </c>
      <c r="BH28" s="263"/>
      <c r="BI28" s="228"/>
      <c r="BJ28" s="729"/>
      <c r="BK28" s="729"/>
      <c r="BL28" s="729"/>
      <c r="BM28" s="729"/>
      <c r="BN28" s="729"/>
      <c r="BO28" s="729"/>
      <c r="BP28" s="729"/>
      <c r="BQ28" s="729"/>
    </row>
    <row r="29" spans="1:69" ht="30" customHeight="1">
      <c r="A29" s="293">
        <f t="shared" si="2"/>
        <v>28</v>
      </c>
      <c r="B29" s="338" t="s">
        <v>216</v>
      </c>
      <c r="C29" s="338" t="s">
        <v>4908</v>
      </c>
      <c r="D29" s="207" t="s">
        <v>4909</v>
      </c>
      <c r="E29" s="1487">
        <v>3338351082</v>
      </c>
      <c r="F29" s="131"/>
      <c r="G29" s="131"/>
      <c r="H29" s="255"/>
      <c r="I29" s="255"/>
      <c r="J29" s="258"/>
      <c r="K29" s="255"/>
      <c r="L29" s="256"/>
      <c r="M29" s="90"/>
      <c r="N29" s="842"/>
      <c r="O29" s="207" t="s">
        <v>4910</v>
      </c>
      <c r="P29" s="1471" t="s">
        <v>115</v>
      </c>
      <c r="Q29" s="1471" t="s">
        <v>115</v>
      </c>
      <c r="R29" s="1471" t="s">
        <v>115</v>
      </c>
      <c r="S29" s="515"/>
      <c r="T29" s="155"/>
      <c r="U29" s="155" t="s">
        <v>2992</v>
      </c>
      <c r="V29" s="155" t="s">
        <v>2992</v>
      </c>
      <c r="W29" s="515"/>
      <c r="X29" s="155"/>
      <c r="Y29" s="155"/>
      <c r="Z29" s="155"/>
      <c r="AA29" s="515"/>
      <c r="AB29" s="155"/>
      <c r="AC29" s="155"/>
      <c r="AD29" s="155"/>
      <c r="AE29" s="808">
        <f t="shared" si="0"/>
        <v>2997</v>
      </c>
      <c r="AF29" s="761">
        <f t="shared" si="1"/>
        <v>2997</v>
      </c>
      <c r="AG29" s="110">
        <v>0</v>
      </c>
      <c r="AH29" s="808">
        <v>0</v>
      </c>
      <c r="AI29" s="1472" t="s">
        <v>3078</v>
      </c>
      <c r="AJ29" s="206">
        <v>0.15</v>
      </c>
      <c r="AK29" s="191">
        <v>0</v>
      </c>
      <c r="AL29" s="1472" t="s">
        <v>3078</v>
      </c>
      <c r="AM29" s="206">
        <v>0.05</v>
      </c>
      <c r="AN29" s="191">
        <v>0</v>
      </c>
      <c r="AO29" s="110">
        <v>2997</v>
      </c>
      <c r="AP29" s="226">
        <v>44104</v>
      </c>
      <c r="AQ29" s="110">
        <v>2997</v>
      </c>
      <c r="AR29" s="263"/>
      <c r="AS29" s="110">
        <v>0</v>
      </c>
      <c r="AT29" s="226"/>
      <c r="AU29" s="110">
        <v>0</v>
      </c>
      <c r="AV29" s="263"/>
      <c r="AW29" s="110">
        <v>0</v>
      </c>
      <c r="AX29" s="226"/>
      <c r="AY29" s="110">
        <v>0</v>
      </c>
      <c r="AZ29" s="263"/>
      <c r="BA29" s="110">
        <v>0</v>
      </c>
      <c r="BB29" s="226"/>
      <c r="BC29" s="110">
        <v>0</v>
      </c>
      <c r="BD29" s="263"/>
      <c r="BE29" s="110">
        <v>0</v>
      </c>
      <c r="BF29" s="226"/>
      <c r="BG29" s="110">
        <v>0</v>
      </c>
      <c r="BH29" s="263"/>
      <c r="BI29" s="3" t="s">
        <v>126</v>
      </c>
      <c r="BJ29" s="779"/>
      <c r="BK29" s="779"/>
      <c r="BL29" s="779"/>
      <c r="BM29" s="779"/>
      <c r="BN29" s="779"/>
      <c r="BO29" s="779"/>
      <c r="BP29" s="779"/>
      <c r="BQ29" s="779"/>
    </row>
    <row r="30" spans="1:69" ht="30" customHeight="1">
      <c r="A30" s="293">
        <f t="shared" si="2"/>
        <v>29</v>
      </c>
      <c r="B30" s="338" t="s">
        <v>595</v>
      </c>
      <c r="C30" s="338" t="s">
        <v>4911</v>
      </c>
      <c r="D30" s="207" t="s">
        <v>4912</v>
      </c>
      <c r="E30" s="1473">
        <v>3343190411</v>
      </c>
      <c r="F30" s="131" t="s">
        <v>4913</v>
      </c>
      <c r="G30" s="131" t="s">
        <v>4914</v>
      </c>
      <c r="H30" s="255"/>
      <c r="I30" s="255" t="s">
        <v>4915</v>
      </c>
      <c r="J30" s="1485" t="s">
        <v>4916</v>
      </c>
      <c r="K30" s="255"/>
      <c r="L30" s="256"/>
      <c r="M30" s="90" t="s">
        <v>4912</v>
      </c>
      <c r="N30" s="842"/>
      <c r="O30" s="207"/>
      <c r="P30" s="1471" t="s">
        <v>115</v>
      </c>
      <c r="Q30" s="1471" t="s">
        <v>115</v>
      </c>
      <c r="R30" s="1471" t="s">
        <v>115</v>
      </c>
      <c r="S30" s="515"/>
      <c r="T30" s="155"/>
      <c r="U30" s="155" t="s">
        <v>2992</v>
      </c>
      <c r="V30" s="155" t="s">
        <v>2992</v>
      </c>
      <c r="W30" s="515"/>
      <c r="X30" s="155"/>
      <c r="Y30" s="155"/>
      <c r="Z30" s="155"/>
      <c r="AA30" s="515"/>
      <c r="AB30" s="155"/>
      <c r="AC30" s="155"/>
      <c r="AD30" s="155"/>
      <c r="AE30" s="808">
        <f t="shared" si="0"/>
        <v>2997</v>
      </c>
      <c r="AF30" s="761">
        <f t="shared" si="1"/>
        <v>2997</v>
      </c>
      <c r="AG30" s="110">
        <v>0</v>
      </c>
      <c r="AH30" s="808">
        <v>0</v>
      </c>
      <c r="AI30" s="1472" t="s">
        <v>4917</v>
      </c>
      <c r="AJ30" s="206">
        <v>0</v>
      </c>
      <c r="AK30" s="191">
        <v>0</v>
      </c>
      <c r="AL30" s="1472" t="s">
        <v>3067</v>
      </c>
      <c r="AM30" s="206">
        <v>0.05</v>
      </c>
      <c r="AN30" s="191">
        <v>0</v>
      </c>
      <c r="AO30" s="110">
        <v>2997</v>
      </c>
      <c r="AP30" s="226">
        <v>44104</v>
      </c>
      <c r="AQ30" s="110">
        <v>2997</v>
      </c>
      <c r="AR30" s="263"/>
      <c r="AS30" s="110">
        <v>0</v>
      </c>
      <c r="AT30" s="226"/>
      <c r="AU30" s="110">
        <v>0</v>
      </c>
      <c r="AV30" s="263"/>
      <c r="AW30" s="110">
        <v>0</v>
      </c>
      <c r="AX30" s="226"/>
      <c r="AY30" s="110">
        <v>0</v>
      </c>
      <c r="AZ30" s="263"/>
      <c r="BA30" s="110">
        <v>0</v>
      </c>
      <c r="BB30" s="226"/>
      <c r="BC30" s="110">
        <v>0</v>
      </c>
      <c r="BD30" s="263"/>
      <c r="BE30" s="110">
        <v>0</v>
      </c>
      <c r="BF30" s="226"/>
      <c r="BG30" s="110">
        <v>0</v>
      </c>
      <c r="BH30" s="263"/>
      <c r="BI30" s="3" t="s">
        <v>126</v>
      </c>
      <c r="BJ30" s="779"/>
      <c r="BK30" s="779"/>
      <c r="BL30" s="779"/>
      <c r="BM30" s="779"/>
      <c r="BN30" s="779"/>
      <c r="BO30" s="779"/>
      <c r="BP30" s="779"/>
      <c r="BQ30" s="779"/>
    </row>
    <row r="31" spans="1:69" ht="30" hidden="1" customHeight="1">
      <c r="A31" s="293">
        <f t="shared" si="2"/>
        <v>30</v>
      </c>
      <c r="B31" s="338" t="s">
        <v>1828</v>
      </c>
      <c r="C31" s="338" t="s">
        <v>2394</v>
      </c>
      <c r="D31" s="207" t="s">
        <v>2395</v>
      </c>
      <c r="E31" s="224" t="s">
        <v>2396</v>
      </c>
      <c r="F31" s="131" t="s">
        <v>2399</v>
      </c>
      <c r="G31" s="131" t="s">
        <v>2400</v>
      </c>
      <c r="H31" s="1488" t="s">
        <v>2398</v>
      </c>
      <c r="I31" s="895" t="s">
        <v>2398</v>
      </c>
      <c r="J31" s="1489" t="s">
        <v>3338</v>
      </c>
      <c r="K31" s="255" t="s">
        <v>2402</v>
      </c>
      <c r="L31" s="256" t="s">
        <v>2403</v>
      </c>
      <c r="M31" s="1490" t="s">
        <v>2401</v>
      </c>
      <c r="N31" s="1491"/>
      <c r="O31" s="875" t="s">
        <v>2397</v>
      </c>
      <c r="P31" s="1471" t="s">
        <v>115</v>
      </c>
      <c r="Q31" s="1471"/>
      <c r="R31" s="1471" t="s">
        <v>115</v>
      </c>
      <c r="S31" s="1492"/>
      <c r="T31" s="895"/>
      <c r="U31" s="895"/>
      <c r="V31" s="895"/>
      <c r="W31" s="1492"/>
      <c r="X31" s="895"/>
      <c r="Y31" s="895" t="s">
        <v>115</v>
      </c>
      <c r="Z31" s="895" t="s">
        <v>2404</v>
      </c>
      <c r="AA31" s="1492"/>
      <c r="AB31" s="895"/>
      <c r="AC31" s="895"/>
      <c r="AD31" s="895"/>
      <c r="AE31" s="902">
        <f t="shared" si="0"/>
        <v>2997</v>
      </c>
      <c r="AF31" s="932">
        <f t="shared" si="1"/>
        <v>2997</v>
      </c>
      <c r="AG31" s="262"/>
      <c r="AH31" s="902">
        <v>1340</v>
      </c>
      <c r="AI31" s="1472" t="s">
        <v>4918</v>
      </c>
      <c r="AJ31" s="983">
        <v>0.15</v>
      </c>
      <c r="AK31" s="191">
        <v>0</v>
      </c>
      <c r="AL31" s="1472" t="s">
        <v>4918</v>
      </c>
      <c r="AM31" s="983">
        <v>0.05</v>
      </c>
      <c r="AN31" s="191">
        <v>0</v>
      </c>
      <c r="AO31" s="262">
        <v>2997</v>
      </c>
      <c r="AP31" s="226">
        <v>44092</v>
      </c>
      <c r="AQ31" s="262">
        <v>2997</v>
      </c>
      <c r="AR31" s="871"/>
      <c r="AS31" s="262">
        <v>0</v>
      </c>
      <c r="AT31" s="984"/>
      <c r="AU31" s="262">
        <v>0</v>
      </c>
      <c r="AV31" s="871"/>
      <c r="AW31" s="262">
        <v>0</v>
      </c>
      <c r="AX31" s="984"/>
      <c r="AY31" s="262">
        <v>0</v>
      </c>
      <c r="AZ31" s="871"/>
      <c r="BA31" s="110">
        <v>0</v>
      </c>
      <c r="BB31" s="226"/>
      <c r="BC31" s="110">
        <v>0</v>
      </c>
      <c r="BD31" s="263"/>
      <c r="BE31" s="110">
        <v>0</v>
      </c>
      <c r="BF31" s="226"/>
      <c r="BG31" s="110">
        <v>0</v>
      </c>
      <c r="BH31" s="263"/>
      <c r="BI31" s="3" t="s">
        <v>2612</v>
      </c>
      <c r="BJ31" s="779"/>
      <c r="BK31" s="779"/>
      <c r="BL31" s="779"/>
      <c r="BM31" s="779"/>
      <c r="BN31" s="779"/>
      <c r="BO31" s="779"/>
      <c r="BP31" s="779"/>
      <c r="BQ31" s="779"/>
    </row>
    <row r="32" spans="1:69" ht="30" hidden="1" customHeight="1">
      <c r="A32" s="293">
        <f t="shared" si="2"/>
        <v>31</v>
      </c>
      <c r="B32" s="338" t="s">
        <v>622</v>
      </c>
      <c r="C32" s="338" t="s">
        <v>4593</v>
      </c>
      <c r="D32" s="207" t="s">
        <v>4594</v>
      </c>
      <c r="E32" s="1473"/>
      <c r="F32" s="131"/>
      <c r="G32" s="131"/>
      <c r="H32" s="255"/>
      <c r="I32" s="255"/>
      <c r="J32" s="1485"/>
      <c r="K32" s="255"/>
      <c r="L32" s="256"/>
      <c r="M32" s="512"/>
      <c r="N32" s="598"/>
      <c r="O32" s="449" t="s">
        <v>4919</v>
      </c>
      <c r="P32" s="1471" t="s">
        <v>116</v>
      </c>
      <c r="Q32" s="1471" t="s">
        <v>116</v>
      </c>
      <c r="R32" s="1471" t="s">
        <v>116</v>
      </c>
      <c r="S32" s="515"/>
      <c r="T32" s="155" t="s">
        <v>116</v>
      </c>
      <c r="U32" s="155" t="s">
        <v>116</v>
      </c>
      <c r="V32" s="155"/>
      <c r="W32" s="515"/>
      <c r="X32" s="155"/>
      <c r="Y32" s="155"/>
      <c r="Z32" s="155"/>
      <c r="AA32" s="515"/>
      <c r="AB32" s="155"/>
      <c r="AC32" s="155"/>
      <c r="AD32" s="155"/>
      <c r="AE32" s="808">
        <f t="shared" si="0"/>
        <v>0</v>
      </c>
      <c r="AF32" s="761">
        <f t="shared" si="1"/>
        <v>0</v>
      </c>
      <c r="AG32" s="110">
        <v>0</v>
      </c>
      <c r="AH32" s="808">
        <f>AE32-AG32</f>
        <v>0</v>
      </c>
      <c r="AI32" s="1472"/>
      <c r="AJ32" s="206"/>
      <c r="AK32" s="191">
        <v>0</v>
      </c>
      <c r="AL32" s="1472"/>
      <c r="AM32" s="206"/>
      <c r="AN32" s="191">
        <v>0</v>
      </c>
      <c r="AO32" s="262"/>
      <c r="AP32" s="226"/>
      <c r="AQ32" s="110"/>
      <c r="AR32" s="263"/>
      <c r="AS32" s="110"/>
      <c r="AT32" s="226"/>
      <c r="AU32" s="110"/>
      <c r="AV32" s="263"/>
      <c r="AW32" s="110"/>
      <c r="AX32" s="226"/>
      <c r="AY32" s="110"/>
      <c r="AZ32" s="263"/>
      <c r="BA32" s="110">
        <v>0</v>
      </c>
      <c r="BB32" s="226"/>
      <c r="BC32" s="110">
        <v>0</v>
      </c>
      <c r="BD32" s="263"/>
      <c r="BE32" s="110">
        <v>0</v>
      </c>
      <c r="BF32" s="226"/>
      <c r="BG32" s="110">
        <v>0</v>
      </c>
      <c r="BH32" s="263"/>
      <c r="BI32" s="3"/>
      <c r="BJ32" s="779"/>
      <c r="BK32" s="779"/>
      <c r="BL32" s="779"/>
      <c r="BM32" s="779"/>
      <c r="BN32" s="779"/>
      <c r="BO32" s="779"/>
      <c r="BP32" s="779"/>
      <c r="BQ32" s="779"/>
    </row>
    <row r="33" spans="1:69" ht="30" hidden="1" customHeight="1">
      <c r="A33" s="293">
        <f t="shared" si="2"/>
        <v>32</v>
      </c>
      <c r="B33" s="338" t="s">
        <v>622</v>
      </c>
      <c r="C33" s="338" t="s">
        <v>4630</v>
      </c>
      <c r="D33" s="207" t="s">
        <v>4631</v>
      </c>
      <c r="E33" s="1473">
        <v>33935003312</v>
      </c>
      <c r="F33" s="207" t="s">
        <v>4634</v>
      </c>
      <c r="G33" s="131" t="s">
        <v>4635</v>
      </c>
      <c r="H33" s="564" t="s">
        <v>4633</v>
      </c>
      <c r="I33" s="255" t="s">
        <v>4632</v>
      </c>
      <c r="J33" s="1485" t="s">
        <v>3338</v>
      </c>
      <c r="K33" s="255" t="s">
        <v>3022</v>
      </c>
      <c r="L33" s="256" t="s">
        <v>4636</v>
      </c>
      <c r="M33" s="90"/>
      <c r="N33" s="598"/>
      <c r="O33" s="207" t="s">
        <v>3177</v>
      </c>
      <c r="P33" s="1471" t="s">
        <v>115</v>
      </c>
      <c r="Q33" s="1471"/>
      <c r="R33" s="1471" t="s">
        <v>115</v>
      </c>
      <c r="S33" s="515"/>
      <c r="T33" s="155"/>
      <c r="U33" s="155"/>
      <c r="V33" s="155"/>
      <c r="W33" s="515"/>
      <c r="X33" s="155"/>
      <c r="Y33" s="155" t="s">
        <v>115</v>
      </c>
      <c r="Z33" s="895" t="s">
        <v>2404</v>
      </c>
      <c r="AA33" s="515"/>
      <c r="AB33" s="155"/>
      <c r="AC33" s="155"/>
      <c r="AD33" s="155"/>
      <c r="AE33" s="808">
        <f t="shared" si="0"/>
        <v>2797</v>
      </c>
      <c r="AF33" s="761">
        <f t="shared" si="1"/>
        <v>2797</v>
      </c>
      <c r="AG33" s="110">
        <v>0</v>
      </c>
      <c r="AH33" s="808">
        <v>1340</v>
      </c>
      <c r="AI33" s="1472" t="s">
        <v>2920</v>
      </c>
      <c r="AJ33" s="206">
        <v>0.15</v>
      </c>
      <c r="AK33" s="191">
        <v>0</v>
      </c>
      <c r="AL33" s="1472" t="s">
        <v>2920</v>
      </c>
      <c r="AM33" s="206">
        <v>0.05</v>
      </c>
      <c r="AN33" s="191">
        <v>0</v>
      </c>
      <c r="AO33" s="262">
        <v>2797</v>
      </c>
      <c r="AP33" s="226">
        <v>44092</v>
      </c>
      <c r="AQ33" s="110">
        <v>2797</v>
      </c>
      <c r="AR33" s="263"/>
      <c r="AS33" s="110"/>
      <c r="AT33" s="226"/>
      <c r="AU33" s="110"/>
      <c r="AV33" s="263"/>
      <c r="AW33" s="110"/>
      <c r="AX33" s="226"/>
      <c r="AY33" s="110"/>
      <c r="AZ33" s="263"/>
      <c r="BA33" s="110">
        <v>0</v>
      </c>
      <c r="BB33" s="226"/>
      <c r="BC33" s="110">
        <v>0</v>
      </c>
      <c r="BD33" s="263"/>
      <c r="BE33" s="110">
        <v>0</v>
      </c>
      <c r="BF33" s="226"/>
      <c r="BG33" s="110">
        <v>0</v>
      </c>
      <c r="BH33" s="263"/>
      <c r="BI33" s="3" t="s">
        <v>2612</v>
      </c>
      <c r="BJ33" s="779"/>
      <c r="BK33" s="779"/>
      <c r="BL33" s="779"/>
      <c r="BM33" s="779"/>
      <c r="BN33" s="779"/>
      <c r="BO33" s="779"/>
      <c r="BP33" s="779"/>
      <c r="BQ33" s="779"/>
    </row>
    <row r="34" spans="1:69" ht="30" customHeight="1">
      <c r="A34" s="293">
        <f t="shared" si="2"/>
        <v>33</v>
      </c>
      <c r="B34" s="338" t="s">
        <v>4365</v>
      </c>
      <c r="C34" s="338" t="s">
        <v>2549</v>
      </c>
      <c r="D34" s="207" t="s">
        <v>4920</v>
      </c>
      <c r="E34" s="1473">
        <v>3383908728</v>
      </c>
      <c r="F34" s="131" t="s">
        <v>4921</v>
      </c>
      <c r="G34" s="131" t="s">
        <v>4922</v>
      </c>
      <c r="H34" s="564" t="s">
        <v>4923</v>
      </c>
      <c r="I34" s="564" t="s">
        <v>4923</v>
      </c>
      <c r="J34" s="1485" t="s">
        <v>3338</v>
      </c>
      <c r="K34" s="255" t="s">
        <v>2300</v>
      </c>
      <c r="L34" s="256"/>
      <c r="M34" s="90" t="s">
        <v>4920</v>
      </c>
      <c r="N34" s="598"/>
      <c r="O34" s="207"/>
      <c r="P34" s="1471" t="s">
        <v>115</v>
      </c>
      <c r="Q34" s="1471" t="s">
        <v>115</v>
      </c>
      <c r="R34" s="1471" t="s">
        <v>115</v>
      </c>
      <c r="S34" s="515"/>
      <c r="T34" s="155" t="s">
        <v>116</v>
      </c>
      <c r="U34" s="155" t="s">
        <v>2992</v>
      </c>
      <c r="V34" s="155" t="s">
        <v>2992</v>
      </c>
      <c r="W34" s="515"/>
      <c r="X34" s="155"/>
      <c r="Y34" s="155"/>
      <c r="Z34" s="155"/>
      <c r="AA34" s="515"/>
      <c r="AB34" s="155"/>
      <c r="AC34" s="155"/>
      <c r="AD34" s="155"/>
      <c r="AE34" s="808">
        <f t="shared" si="0"/>
        <v>2997</v>
      </c>
      <c r="AF34" s="761">
        <f t="shared" si="1"/>
        <v>2997</v>
      </c>
      <c r="AG34" s="110">
        <v>0</v>
      </c>
      <c r="AH34" s="808">
        <v>0</v>
      </c>
      <c r="AI34" s="1472" t="s">
        <v>4924</v>
      </c>
      <c r="AJ34" s="206">
        <v>0</v>
      </c>
      <c r="AK34" s="191">
        <v>0</v>
      </c>
      <c r="AL34" s="1472" t="s">
        <v>3067</v>
      </c>
      <c r="AM34" s="206">
        <v>0.05</v>
      </c>
      <c r="AN34" s="191">
        <v>0</v>
      </c>
      <c r="AO34" s="262">
        <v>2997</v>
      </c>
      <c r="AP34" s="226">
        <v>44092</v>
      </c>
      <c r="AQ34" s="110">
        <v>2997</v>
      </c>
      <c r="AR34" s="263"/>
      <c r="AS34" s="110">
        <v>0</v>
      </c>
      <c r="AT34" s="226"/>
      <c r="AU34" s="110">
        <v>0</v>
      </c>
      <c r="AV34" s="263"/>
      <c r="AW34" s="110">
        <v>0</v>
      </c>
      <c r="AX34" s="226"/>
      <c r="AY34" s="110">
        <v>0</v>
      </c>
      <c r="AZ34" s="263"/>
      <c r="BA34" s="110">
        <v>0</v>
      </c>
      <c r="BB34" s="226"/>
      <c r="BC34" s="110">
        <v>0</v>
      </c>
      <c r="BD34" s="263"/>
      <c r="BE34" s="110">
        <v>0</v>
      </c>
      <c r="BF34" s="226"/>
      <c r="BG34" s="110">
        <v>0</v>
      </c>
      <c r="BH34" s="263"/>
      <c r="BI34" s="3" t="s">
        <v>2612</v>
      </c>
      <c r="BJ34" s="779"/>
      <c r="BK34" s="779"/>
      <c r="BL34" s="779"/>
      <c r="BM34" s="779"/>
      <c r="BN34" s="779"/>
      <c r="BO34" s="779"/>
      <c r="BP34" s="779"/>
      <c r="BQ34" s="779"/>
    </row>
    <row r="35" spans="1:69" ht="30" hidden="1" customHeight="1">
      <c r="A35" s="293">
        <f t="shared" si="2"/>
        <v>34</v>
      </c>
      <c r="B35" s="338" t="s">
        <v>204</v>
      </c>
      <c r="C35" s="338" t="s">
        <v>3123</v>
      </c>
      <c r="D35" s="207" t="s">
        <v>3124</v>
      </c>
      <c r="E35" s="1473">
        <v>3925763444</v>
      </c>
      <c r="F35" s="289" t="s">
        <v>3126</v>
      </c>
      <c r="G35" s="289" t="s">
        <v>3127</v>
      </c>
      <c r="H35" s="289"/>
      <c r="I35" s="289" t="s">
        <v>3125</v>
      </c>
      <c r="J35" s="1493" t="s">
        <v>4916</v>
      </c>
      <c r="K35" s="255"/>
      <c r="L35" s="256"/>
      <c r="M35" s="155" t="s">
        <v>3124</v>
      </c>
      <c r="N35" s="598"/>
      <c r="O35" s="207"/>
      <c r="P35" s="1471" t="s">
        <v>115</v>
      </c>
      <c r="Q35" s="1471" t="s">
        <v>115</v>
      </c>
      <c r="R35" s="1471" t="s">
        <v>115</v>
      </c>
      <c r="S35" s="515"/>
      <c r="T35" s="155"/>
      <c r="U35" s="155"/>
      <c r="V35" s="155"/>
      <c r="W35" s="515"/>
      <c r="X35" s="155"/>
      <c r="Y35" s="155" t="s">
        <v>2404</v>
      </c>
      <c r="Z35" s="155" t="s">
        <v>2404</v>
      </c>
      <c r="AA35" s="515"/>
      <c r="AB35" s="155"/>
      <c r="AC35" s="155"/>
      <c r="AD35" s="155"/>
      <c r="AE35" s="808">
        <f t="shared" si="0"/>
        <v>2997</v>
      </c>
      <c r="AF35" s="761">
        <f t="shared" si="1"/>
        <v>2997</v>
      </c>
      <c r="AG35" s="110">
        <v>0</v>
      </c>
      <c r="AH35" s="808">
        <v>0</v>
      </c>
      <c r="AI35" s="1472" t="s">
        <v>3128</v>
      </c>
      <c r="AJ35" s="206">
        <v>0</v>
      </c>
      <c r="AK35" s="191">
        <v>0</v>
      </c>
      <c r="AL35" s="1472" t="s">
        <v>3067</v>
      </c>
      <c r="AM35" s="206">
        <v>0.05</v>
      </c>
      <c r="AN35" s="191">
        <v>0</v>
      </c>
      <c r="AO35" s="110">
        <v>2997</v>
      </c>
      <c r="AP35" s="226">
        <v>44092</v>
      </c>
      <c r="AQ35" s="110">
        <v>2997</v>
      </c>
      <c r="AR35" s="263"/>
      <c r="AS35" s="110">
        <v>0</v>
      </c>
      <c r="AT35" s="226"/>
      <c r="AU35" s="110">
        <v>0</v>
      </c>
      <c r="AV35" s="263"/>
      <c r="AW35" s="110">
        <v>0</v>
      </c>
      <c r="AX35" s="226"/>
      <c r="AY35" s="110">
        <v>0</v>
      </c>
      <c r="AZ35" s="263"/>
      <c r="BA35" s="110">
        <v>0</v>
      </c>
      <c r="BB35" s="226"/>
      <c r="BC35" s="110">
        <v>0</v>
      </c>
      <c r="BD35" s="263"/>
      <c r="BE35" s="110">
        <v>0</v>
      </c>
      <c r="BF35" s="226"/>
      <c r="BG35" s="110">
        <v>0</v>
      </c>
      <c r="BH35" s="263"/>
      <c r="BI35" s="3" t="s">
        <v>2612</v>
      </c>
      <c r="BJ35" s="779"/>
      <c r="BK35" s="779"/>
      <c r="BL35" s="779"/>
      <c r="BM35" s="779"/>
      <c r="BN35" s="779"/>
      <c r="BO35" s="779"/>
      <c r="BP35" s="779"/>
      <c r="BQ35" s="779"/>
    </row>
    <row r="36" spans="1:69" ht="30" customHeight="1">
      <c r="A36" s="293">
        <f t="shared" si="2"/>
        <v>35</v>
      </c>
      <c r="B36" s="338" t="s">
        <v>246</v>
      </c>
      <c r="C36" s="338" t="s">
        <v>2528</v>
      </c>
      <c r="D36" s="207" t="s">
        <v>2529</v>
      </c>
      <c r="E36" s="1473">
        <v>3299293872</v>
      </c>
      <c r="F36" s="131"/>
      <c r="G36" s="131"/>
      <c r="H36" s="255"/>
      <c r="I36" s="255"/>
      <c r="J36" s="1485"/>
      <c r="K36" s="255"/>
      <c r="L36" s="256"/>
      <c r="M36" s="90"/>
      <c r="N36" s="131"/>
      <c r="O36" s="207"/>
      <c r="P36" s="1471" t="s">
        <v>115</v>
      </c>
      <c r="Q36" s="1471" t="s">
        <v>115</v>
      </c>
      <c r="R36" s="1471" t="s">
        <v>115</v>
      </c>
      <c r="S36" s="198"/>
      <c r="T36" s="155" t="s">
        <v>116</v>
      </c>
      <c r="U36" s="155"/>
      <c r="V36" s="155" t="s">
        <v>2992</v>
      </c>
      <c r="W36" s="198"/>
      <c r="X36" s="155"/>
      <c r="Y36" s="155" t="s">
        <v>2404</v>
      </c>
      <c r="Z36" s="155"/>
      <c r="AA36" s="198"/>
      <c r="AB36" s="155"/>
      <c r="AC36" s="155"/>
      <c r="AD36" s="155"/>
      <c r="AE36" s="808">
        <f t="shared" si="0"/>
        <v>2847</v>
      </c>
      <c r="AF36" s="808">
        <f t="shared" si="1"/>
        <v>2847</v>
      </c>
      <c r="AG36" s="110">
        <v>0</v>
      </c>
      <c r="AH36" s="808">
        <v>0</v>
      </c>
      <c r="AI36" s="1472" t="s">
        <v>3146</v>
      </c>
      <c r="AJ36" s="206">
        <v>0.1</v>
      </c>
      <c r="AK36" s="191">
        <v>0</v>
      </c>
      <c r="AL36" s="1472" t="s">
        <v>3078</v>
      </c>
      <c r="AM36" s="206">
        <v>0.05</v>
      </c>
      <c r="AN36" s="191">
        <v>0</v>
      </c>
      <c r="AO36" s="110">
        <v>2847</v>
      </c>
      <c r="AP36" s="226">
        <v>43742</v>
      </c>
      <c r="AQ36" s="110">
        <v>2847</v>
      </c>
      <c r="AR36" s="338"/>
      <c r="AS36" s="338"/>
      <c r="AT36" s="338"/>
      <c r="AU36" s="338"/>
      <c r="AV36" s="338"/>
      <c r="AW36" s="338"/>
      <c r="AX36" s="338"/>
      <c r="AY36" s="338"/>
      <c r="AZ36" s="338"/>
      <c r="BA36" s="338"/>
      <c r="BB36" s="338"/>
      <c r="BC36" s="338"/>
      <c r="BD36" s="338"/>
      <c r="BE36" s="338"/>
      <c r="BF36" s="338"/>
      <c r="BG36" s="338"/>
      <c r="BH36" s="338"/>
      <c r="BI36" s="3"/>
      <c r="BJ36" s="779"/>
      <c r="BK36" s="779"/>
      <c r="BL36" s="779"/>
      <c r="BM36" s="779"/>
      <c r="BN36" s="779"/>
      <c r="BO36" s="779"/>
      <c r="BP36" s="779"/>
      <c r="BQ36" s="779"/>
    </row>
    <row r="37" spans="1:69" ht="30" customHeight="1">
      <c r="A37" s="293">
        <f t="shared" si="2"/>
        <v>36</v>
      </c>
      <c r="B37" s="338" t="s">
        <v>246</v>
      </c>
      <c r="C37" s="338" t="s">
        <v>4925</v>
      </c>
      <c r="D37" s="207" t="s">
        <v>4926</v>
      </c>
      <c r="E37" s="1384">
        <v>3488025567</v>
      </c>
      <c r="F37" s="131" t="s">
        <v>4927</v>
      </c>
      <c r="G37" s="1494" t="s">
        <v>4928</v>
      </c>
      <c r="H37" s="564" t="s">
        <v>4929</v>
      </c>
      <c r="I37" s="564" t="s">
        <v>4929</v>
      </c>
      <c r="J37" s="1485" t="s">
        <v>3338</v>
      </c>
      <c r="K37" s="255" t="s">
        <v>2412</v>
      </c>
      <c r="L37" s="256" t="s">
        <v>4930</v>
      </c>
      <c r="M37" s="1495" t="s">
        <v>4926</v>
      </c>
      <c r="N37" s="598"/>
      <c r="O37" s="207"/>
      <c r="P37" s="1471" t="s">
        <v>115</v>
      </c>
      <c r="Q37" s="1471" t="s">
        <v>115</v>
      </c>
      <c r="R37" s="1471"/>
      <c r="S37" s="515"/>
      <c r="T37" s="155"/>
      <c r="U37" s="155" t="s">
        <v>2992</v>
      </c>
      <c r="V37" s="155" t="s">
        <v>115</v>
      </c>
      <c r="W37" s="515"/>
      <c r="X37" s="155"/>
      <c r="Y37" s="155"/>
      <c r="Z37" s="155"/>
      <c r="AA37" s="515"/>
      <c r="AB37" s="155"/>
      <c r="AC37" s="155"/>
      <c r="AD37" s="155"/>
      <c r="AE37" s="808">
        <f t="shared" si="0"/>
        <v>2997</v>
      </c>
      <c r="AF37" s="761">
        <f t="shared" si="1"/>
        <v>2997</v>
      </c>
      <c r="AG37" s="110">
        <v>757</v>
      </c>
      <c r="AH37" s="808">
        <v>0</v>
      </c>
      <c r="AI37" s="1472" t="s">
        <v>4931</v>
      </c>
      <c r="AJ37" s="206">
        <v>0.15</v>
      </c>
      <c r="AK37" s="191">
        <v>0</v>
      </c>
      <c r="AL37" s="1472" t="s">
        <v>3067</v>
      </c>
      <c r="AM37" s="206">
        <v>0.05</v>
      </c>
      <c r="AN37" s="191">
        <v>0</v>
      </c>
      <c r="AO37" s="110">
        <v>2997</v>
      </c>
      <c r="AP37" s="226">
        <v>44092</v>
      </c>
      <c r="AQ37" s="110">
        <v>2997</v>
      </c>
      <c r="AR37" s="263"/>
      <c r="AS37" s="110">
        <v>0</v>
      </c>
      <c r="AT37" s="226"/>
      <c r="AU37" s="110">
        <v>0</v>
      </c>
      <c r="AV37" s="263"/>
      <c r="AW37" s="110">
        <v>0</v>
      </c>
      <c r="AX37" s="226"/>
      <c r="AY37" s="110">
        <v>0</v>
      </c>
      <c r="AZ37" s="263"/>
      <c r="BA37" s="110">
        <v>0</v>
      </c>
      <c r="BB37" s="226"/>
      <c r="BC37" s="110">
        <v>0</v>
      </c>
      <c r="BD37" s="263"/>
      <c r="BE37" s="110">
        <v>0</v>
      </c>
      <c r="BF37" s="226"/>
      <c r="BG37" s="110">
        <v>0</v>
      </c>
      <c r="BH37" s="263"/>
      <c r="BI37" s="3" t="s">
        <v>2612</v>
      </c>
      <c r="BJ37" s="779"/>
      <c r="BK37" s="779"/>
      <c r="BL37" s="779"/>
      <c r="BM37" s="779"/>
      <c r="BN37" s="779"/>
      <c r="BO37" s="779"/>
      <c r="BP37" s="779"/>
      <c r="BQ37" s="779"/>
    </row>
    <row r="38" spans="1:69" ht="30" hidden="1" customHeight="1">
      <c r="A38" s="293">
        <f t="shared" si="2"/>
        <v>37</v>
      </c>
      <c r="B38" s="338" t="s">
        <v>246</v>
      </c>
      <c r="C38" s="338" t="s">
        <v>2406</v>
      </c>
      <c r="D38" s="207" t="s">
        <v>2407</v>
      </c>
      <c r="E38" s="224">
        <v>3461081171</v>
      </c>
      <c r="F38" s="289" t="s">
        <v>2409</v>
      </c>
      <c r="G38" s="598" t="s">
        <v>2410</v>
      </c>
      <c r="H38" s="255" t="s">
        <v>2408</v>
      </c>
      <c r="I38" s="255" t="s">
        <v>2408</v>
      </c>
      <c r="J38" s="1485"/>
      <c r="K38" s="255" t="s">
        <v>2412</v>
      </c>
      <c r="L38" s="256"/>
      <c r="M38" s="256" t="s">
        <v>2411</v>
      </c>
      <c r="N38" s="255"/>
      <c r="O38" s="207"/>
      <c r="P38" s="1471"/>
      <c r="Q38" s="1471"/>
      <c r="R38" s="1471"/>
      <c r="S38" s="515"/>
      <c r="T38" s="155" t="s">
        <v>115</v>
      </c>
      <c r="U38" s="155"/>
      <c r="V38" s="155"/>
      <c r="W38" s="515"/>
      <c r="X38" s="155"/>
      <c r="Y38" s="155" t="s">
        <v>27</v>
      </c>
      <c r="Z38" s="155" t="s">
        <v>27</v>
      </c>
      <c r="AA38" s="515"/>
      <c r="AB38" s="155"/>
      <c r="AC38" s="155"/>
      <c r="AD38" s="155"/>
      <c r="AE38" s="808">
        <f t="shared" si="0"/>
        <v>2997</v>
      </c>
      <c r="AF38" s="808">
        <f t="shared" si="1"/>
        <v>2997</v>
      </c>
      <c r="AG38" s="110">
        <v>900</v>
      </c>
      <c r="AH38" s="808">
        <f>AE38-AG38</f>
        <v>2097</v>
      </c>
      <c r="AI38" s="1472" t="s">
        <v>4932</v>
      </c>
      <c r="AJ38" s="206">
        <v>0.15</v>
      </c>
      <c r="AK38" s="902">
        <f>AF38*AJ38</f>
        <v>449.55</v>
      </c>
      <c r="AL38" s="1472" t="s">
        <v>4932</v>
      </c>
      <c r="AM38" s="206">
        <v>0.05</v>
      </c>
      <c r="AN38" s="902">
        <f>AM38*AF38</f>
        <v>149.85</v>
      </c>
      <c r="AO38" s="110">
        <v>2997</v>
      </c>
      <c r="AP38" s="226">
        <v>43566</v>
      </c>
      <c r="AQ38" s="110">
        <v>2997</v>
      </c>
      <c r="AR38" s="263"/>
      <c r="AS38" s="110"/>
      <c r="AT38" s="226"/>
      <c r="AU38" s="110"/>
      <c r="AV38" s="263"/>
      <c r="AW38" s="110"/>
      <c r="AX38" s="226"/>
      <c r="AY38" s="110"/>
      <c r="AZ38" s="263"/>
      <c r="BA38" s="110"/>
      <c r="BB38" s="226"/>
      <c r="BC38" s="110"/>
      <c r="BD38" s="263"/>
      <c r="BE38" s="110"/>
      <c r="BF38" s="226"/>
      <c r="BG38" s="110">
        <v>0</v>
      </c>
      <c r="BH38" s="263"/>
      <c r="BI38" s="3"/>
      <c r="BJ38" s="729"/>
      <c r="BK38" s="729"/>
      <c r="BL38" s="729"/>
      <c r="BM38" s="729"/>
      <c r="BN38" s="729"/>
      <c r="BO38" s="729"/>
      <c r="BP38" s="729"/>
      <c r="BQ38" s="729"/>
    </row>
    <row r="39" spans="1:69" ht="30" customHeight="1">
      <c r="A39" s="293">
        <f t="shared" si="2"/>
        <v>38</v>
      </c>
      <c r="B39" s="338" t="s">
        <v>246</v>
      </c>
      <c r="C39" s="338" t="s">
        <v>4933</v>
      </c>
      <c r="D39" s="207" t="s">
        <v>4934</v>
      </c>
      <c r="E39" s="1384">
        <v>3394941612</v>
      </c>
      <c r="F39" s="131" t="s">
        <v>4935</v>
      </c>
      <c r="G39" s="131" t="s">
        <v>4936</v>
      </c>
      <c r="H39" s="564" t="s">
        <v>4937</v>
      </c>
      <c r="I39" s="255"/>
      <c r="J39" s="1485" t="s">
        <v>3338</v>
      </c>
      <c r="K39" s="255" t="s">
        <v>2412</v>
      </c>
      <c r="L39" s="256"/>
      <c r="M39" s="1496" t="s">
        <v>4938</v>
      </c>
      <c r="N39" s="598"/>
      <c r="O39" s="629" t="s">
        <v>4939</v>
      </c>
      <c r="P39" s="1471" t="s">
        <v>115</v>
      </c>
      <c r="Q39" s="1471" t="s">
        <v>115</v>
      </c>
      <c r="R39" s="1471" t="s">
        <v>115</v>
      </c>
      <c r="S39" s="515"/>
      <c r="T39" s="155" t="s">
        <v>116</v>
      </c>
      <c r="U39" s="155" t="s">
        <v>2992</v>
      </c>
      <c r="V39" s="155" t="s">
        <v>2992</v>
      </c>
      <c r="W39" s="515"/>
      <c r="X39" s="155"/>
      <c r="Y39" s="155"/>
      <c r="Z39" s="155"/>
      <c r="AA39" s="515"/>
      <c r="AB39" s="155"/>
      <c r="AC39" s="155"/>
      <c r="AD39" s="155"/>
      <c r="AE39" s="808">
        <f t="shared" si="0"/>
        <v>2997</v>
      </c>
      <c r="AF39" s="761">
        <f t="shared" si="1"/>
        <v>2997</v>
      </c>
      <c r="AG39" s="110">
        <v>0</v>
      </c>
      <c r="AH39" s="808">
        <v>0</v>
      </c>
      <c r="AI39" s="1472" t="s">
        <v>4940</v>
      </c>
      <c r="AJ39" s="206">
        <v>0</v>
      </c>
      <c r="AK39" s="191">
        <v>0</v>
      </c>
      <c r="AL39" s="1472" t="s">
        <v>3067</v>
      </c>
      <c r="AM39" s="206">
        <v>0.05</v>
      </c>
      <c r="AN39" s="191">
        <v>0</v>
      </c>
      <c r="AO39" s="110">
        <v>2997</v>
      </c>
      <c r="AP39" s="226">
        <v>44092</v>
      </c>
      <c r="AQ39" s="110">
        <v>2997</v>
      </c>
      <c r="AR39" s="263"/>
      <c r="AS39" s="110">
        <v>0</v>
      </c>
      <c r="AT39" s="226"/>
      <c r="AU39" s="110">
        <v>0</v>
      </c>
      <c r="AV39" s="263"/>
      <c r="AW39" s="110">
        <v>0</v>
      </c>
      <c r="AX39" s="226"/>
      <c r="AY39" s="110">
        <v>0</v>
      </c>
      <c r="AZ39" s="263"/>
      <c r="BA39" s="110">
        <v>0</v>
      </c>
      <c r="BB39" s="226"/>
      <c r="BC39" s="110">
        <v>0</v>
      </c>
      <c r="BD39" s="263"/>
      <c r="BE39" s="110">
        <v>0</v>
      </c>
      <c r="BF39" s="226"/>
      <c r="BG39" s="110">
        <v>0</v>
      </c>
      <c r="BH39" s="263"/>
      <c r="BI39" s="3" t="s">
        <v>2612</v>
      </c>
      <c r="BJ39" s="779"/>
      <c r="BK39" s="779"/>
      <c r="BL39" s="779"/>
      <c r="BM39" s="779"/>
      <c r="BN39" s="779"/>
      <c r="BO39" s="779"/>
      <c r="BP39" s="779"/>
      <c r="BQ39" s="779"/>
    </row>
    <row r="40" spans="1:69" ht="30" customHeight="1">
      <c r="A40" s="293">
        <f t="shared" si="2"/>
        <v>39</v>
      </c>
      <c r="B40" s="338" t="s">
        <v>2668</v>
      </c>
      <c r="C40" s="338" t="s">
        <v>3148</v>
      </c>
      <c r="D40" s="207" t="s">
        <v>2998</v>
      </c>
      <c r="E40" s="1473">
        <v>3479459658</v>
      </c>
      <c r="F40" s="131" t="s">
        <v>2996</v>
      </c>
      <c r="G40" s="131" t="s">
        <v>2997</v>
      </c>
      <c r="H40" s="564" t="s">
        <v>2995</v>
      </c>
      <c r="I40" s="564" t="s">
        <v>2995</v>
      </c>
      <c r="J40" s="1485" t="s">
        <v>3338</v>
      </c>
      <c r="K40" s="255" t="s">
        <v>2412</v>
      </c>
      <c r="L40" s="256" t="s">
        <v>2999</v>
      </c>
      <c r="M40" s="90" t="s">
        <v>2998</v>
      </c>
      <c r="N40" s="598"/>
      <c r="O40" s="207" t="s">
        <v>3149</v>
      </c>
      <c r="P40" s="1471" t="s">
        <v>115</v>
      </c>
      <c r="Q40" s="1471" t="s">
        <v>115</v>
      </c>
      <c r="R40" s="1471" t="s">
        <v>115</v>
      </c>
      <c r="S40" s="515"/>
      <c r="T40" s="155"/>
      <c r="U40" s="155"/>
      <c r="V40" s="155" t="s">
        <v>2992</v>
      </c>
      <c r="W40" s="515"/>
      <c r="X40" s="155"/>
      <c r="Y40" s="155" t="s">
        <v>2404</v>
      </c>
      <c r="Z40" s="155"/>
      <c r="AA40" s="515"/>
      <c r="AB40" s="155"/>
      <c r="AC40" s="155"/>
      <c r="AD40" s="155"/>
      <c r="AE40" s="808">
        <f t="shared" si="0"/>
        <v>3496.9700000000003</v>
      </c>
      <c r="AF40" s="761">
        <f t="shared" si="1"/>
        <v>3496.9795081967213</v>
      </c>
      <c r="AG40" s="110">
        <v>0</v>
      </c>
      <c r="AH40" s="808">
        <v>0</v>
      </c>
      <c r="AI40" s="1472" t="s">
        <v>2613</v>
      </c>
      <c r="AJ40" s="206">
        <v>0</v>
      </c>
      <c r="AK40" s="191">
        <v>0</v>
      </c>
      <c r="AL40" s="1472" t="s">
        <v>3150</v>
      </c>
      <c r="AM40" s="206">
        <v>0.05</v>
      </c>
      <c r="AN40" s="191">
        <v>0</v>
      </c>
      <c r="AO40" s="110">
        <v>163.93</v>
      </c>
      <c r="AP40" s="226">
        <v>44092</v>
      </c>
      <c r="AQ40" s="110">
        <v>163.93</v>
      </c>
      <c r="AR40" s="263"/>
      <c r="AS40" s="110">
        <v>1409.82</v>
      </c>
      <c r="AT40" s="226">
        <v>44112</v>
      </c>
      <c r="AU40" s="110">
        <v>1409.82</v>
      </c>
      <c r="AV40" s="263"/>
      <c r="AW40" s="110">
        <v>1923.22</v>
      </c>
      <c r="AX40" s="226">
        <v>44169</v>
      </c>
      <c r="AY40" s="110">
        <f>2346.34/1.22</f>
        <v>1923.2295081967216</v>
      </c>
      <c r="AZ40" s="263"/>
      <c r="BA40" s="110">
        <v>0</v>
      </c>
      <c r="BB40" s="226"/>
      <c r="BC40" s="110">
        <v>0</v>
      </c>
      <c r="BD40" s="263"/>
      <c r="BE40" s="110">
        <v>0</v>
      </c>
      <c r="BF40" s="226"/>
      <c r="BG40" s="110">
        <v>0</v>
      </c>
      <c r="BH40" s="263"/>
      <c r="BI40" s="3" t="s">
        <v>3002</v>
      </c>
      <c r="BJ40" s="779"/>
      <c r="BK40" s="779"/>
      <c r="BL40" s="779"/>
      <c r="BM40" s="779"/>
      <c r="BN40" s="779"/>
      <c r="BO40" s="779"/>
      <c r="BP40" s="779"/>
      <c r="BQ40" s="779"/>
    </row>
    <row r="41" spans="1:69" ht="30" hidden="1" customHeight="1">
      <c r="A41" s="293">
        <f t="shared" si="2"/>
        <v>40</v>
      </c>
      <c r="B41" s="338" t="s">
        <v>2418</v>
      </c>
      <c r="C41" s="338" t="s">
        <v>2419</v>
      </c>
      <c r="D41" s="207" t="s">
        <v>2420</v>
      </c>
      <c r="E41" s="676"/>
      <c r="F41" s="131" t="s">
        <v>2423</v>
      </c>
      <c r="G41" s="207"/>
      <c r="H41" s="255"/>
      <c r="I41" s="255"/>
      <c r="J41" s="1485"/>
      <c r="K41" s="255"/>
      <c r="L41" s="256"/>
      <c r="M41" s="1486"/>
      <c r="N41" s="598"/>
      <c r="O41" s="207" t="s">
        <v>2421</v>
      </c>
      <c r="P41" s="1471"/>
      <c r="Q41" s="1471"/>
      <c r="R41" s="1471"/>
      <c r="S41" s="515"/>
      <c r="T41" s="155" t="s">
        <v>115</v>
      </c>
      <c r="U41" s="155" t="s">
        <v>115</v>
      </c>
      <c r="V41" s="155"/>
      <c r="W41" s="515"/>
      <c r="X41" s="155"/>
      <c r="Y41" s="155"/>
      <c r="Z41" s="155" t="s">
        <v>115</v>
      </c>
      <c r="AA41" s="515"/>
      <c r="AB41" s="155"/>
      <c r="AC41" s="155"/>
      <c r="AD41" s="155"/>
      <c r="AE41" s="808">
        <f t="shared" si="0"/>
        <v>0</v>
      </c>
      <c r="AF41" s="761">
        <f t="shared" si="1"/>
        <v>0</v>
      </c>
      <c r="AG41" s="110">
        <v>0</v>
      </c>
      <c r="AH41" s="808">
        <f>AE41-AG41</f>
        <v>0</v>
      </c>
      <c r="AI41" s="1472" t="s">
        <v>3128</v>
      </c>
      <c r="AJ41" s="206">
        <v>0</v>
      </c>
      <c r="AK41" s="191">
        <v>0</v>
      </c>
      <c r="AL41" s="1472" t="s">
        <v>152</v>
      </c>
      <c r="AM41" s="206">
        <v>0.05</v>
      </c>
      <c r="AN41" s="191">
        <v>0</v>
      </c>
      <c r="AO41" s="110">
        <v>0</v>
      </c>
      <c r="AP41" s="226"/>
      <c r="AQ41" s="110"/>
      <c r="AR41" s="263"/>
      <c r="AS41" s="110">
        <v>0</v>
      </c>
      <c r="AT41" s="226"/>
      <c r="AU41" s="110">
        <v>0</v>
      </c>
      <c r="AV41" s="263"/>
      <c r="AW41" s="110">
        <v>0</v>
      </c>
      <c r="AX41" s="226"/>
      <c r="AY41" s="110">
        <v>0</v>
      </c>
      <c r="AZ41" s="263"/>
      <c r="BA41" s="110">
        <v>0</v>
      </c>
      <c r="BB41" s="226"/>
      <c r="BC41" s="110">
        <v>0</v>
      </c>
      <c r="BD41" s="263"/>
      <c r="BE41" s="110">
        <v>0</v>
      </c>
      <c r="BF41" s="226"/>
      <c r="BG41" s="110">
        <v>0</v>
      </c>
      <c r="BH41" s="263"/>
      <c r="BI41" s="3" t="s">
        <v>2612</v>
      </c>
      <c r="BJ41" s="779"/>
      <c r="BK41" s="779"/>
      <c r="BL41" s="779"/>
      <c r="BM41" s="779"/>
      <c r="BN41" s="779"/>
      <c r="BO41" s="779"/>
      <c r="BP41" s="779"/>
      <c r="BQ41" s="779"/>
    </row>
    <row r="42" spans="1:69" ht="30" customHeight="1">
      <c r="A42" s="293">
        <f t="shared" si="2"/>
        <v>41</v>
      </c>
      <c r="B42" s="338" t="s">
        <v>3165</v>
      </c>
      <c r="C42" s="338" t="s">
        <v>4941</v>
      </c>
      <c r="D42" s="207" t="s">
        <v>4942</v>
      </c>
      <c r="E42" s="1473">
        <v>3403495936</v>
      </c>
      <c r="F42" s="131" t="s">
        <v>4943</v>
      </c>
      <c r="G42" s="12" t="s">
        <v>4944</v>
      </c>
      <c r="H42" s="564" t="s">
        <v>4945</v>
      </c>
      <c r="I42" s="255" t="s">
        <v>4945</v>
      </c>
      <c r="J42" s="1485" t="s">
        <v>3338</v>
      </c>
      <c r="K42" s="255" t="s">
        <v>2412</v>
      </c>
      <c r="L42" s="256"/>
      <c r="M42" s="155"/>
      <c r="N42" s="598"/>
      <c r="O42" s="449" t="s">
        <v>4946</v>
      </c>
      <c r="P42" s="1471" t="s">
        <v>115</v>
      </c>
      <c r="Q42" s="1471" t="s">
        <v>115</v>
      </c>
      <c r="R42" s="1471"/>
      <c r="S42" s="515"/>
      <c r="T42" s="155" t="s">
        <v>116</v>
      </c>
      <c r="U42" s="155" t="s">
        <v>2992</v>
      </c>
      <c r="V42" s="155" t="s">
        <v>115</v>
      </c>
      <c r="W42" s="515"/>
      <c r="X42" s="155"/>
      <c r="Y42" s="155"/>
      <c r="Z42" s="155"/>
      <c r="AA42" s="515"/>
      <c r="AB42" s="155"/>
      <c r="AC42" s="155"/>
      <c r="AD42" s="155"/>
      <c r="AE42" s="808">
        <f t="shared" si="0"/>
        <v>2997</v>
      </c>
      <c r="AF42" s="761">
        <f t="shared" si="1"/>
        <v>2997</v>
      </c>
      <c r="AG42" s="110">
        <v>757</v>
      </c>
      <c r="AH42" s="808">
        <v>0</v>
      </c>
      <c r="AI42" s="1472" t="s">
        <v>4947</v>
      </c>
      <c r="AJ42" s="206">
        <v>0.15</v>
      </c>
      <c r="AK42" s="191">
        <v>0</v>
      </c>
      <c r="AL42" s="1472" t="s">
        <v>2936</v>
      </c>
      <c r="AM42" s="206">
        <v>0.05</v>
      </c>
      <c r="AN42" s="191">
        <v>0</v>
      </c>
      <c r="AO42" s="110">
        <v>2997</v>
      </c>
      <c r="AP42" s="226">
        <v>44092</v>
      </c>
      <c r="AQ42" s="110">
        <v>2997</v>
      </c>
      <c r="AR42" s="263"/>
      <c r="AS42" s="110">
        <v>0</v>
      </c>
      <c r="AT42" s="226"/>
      <c r="AU42" s="110">
        <v>0</v>
      </c>
      <c r="AV42" s="263"/>
      <c r="AW42" s="110">
        <v>0</v>
      </c>
      <c r="AX42" s="226"/>
      <c r="AY42" s="110">
        <v>0</v>
      </c>
      <c r="AZ42" s="263"/>
      <c r="BA42" s="110">
        <v>0</v>
      </c>
      <c r="BB42" s="226"/>
      <c r="BC42" s="110">
        <v>0</v>
      </c>
      <c r="BD42" s="263"/>
      <c r="BE42" s="110">
        <v>0</v>
      </c>
      <c r="BF42" s="226"/>
      <c r="BG42" s="110">
        <v>0</v>
      </c>
      <c r="BH42" s="263"/>
      <c r="BI42" s="3" t="s">
        <v>2612</v>
      </c>
      <c r="BJ42" s="779"/>
      <c r="BK42" s="779"/>
      <c r="BL42" s="779"/>
      <c r="BM42" s="779"/>
      <c r="BN42" s="779"/>
      <c r="BO42" s="779"/>
      <c r="BP42" s="779"/>
      <c r="BQ42" s="779"/>
    </row>
    <row r="43" spans="1:69" ht="30" hidden="1" customHeight="1">
      <c r="A43" s="293">
        <f t="shared" si="2"/>
        <v>42</v>
      </c>
      <c r="B43" s="338" t="s">
        <v>1134</v>
      </c>
      <c r="C43" s="338" t="s">
        <v>4596</v>
      </c>
      <c r="D43" s="207" t="s">
        <v>4597</v>
      </c>
      <c r="E43" s="1473"/>
      <c r="F43" s="131"/>
      <c r="G43" s="131"/>
      <c r="H43" s="255"/>
      <c r="I43" s="1011"/>
      <c r="J43" s="1485"/>
      <c r="K43" s="255"/>
      <c r="L43" s="256"/>
      <c r="M43" s="255"/>
      <c r="N43" s="598"/>
      <c r="O43" s="449" t="s">
        <v>4948</v>
      </c>
      <c r="P43" s="1471" t="s">
        <v>116</v>
      </c>
      <c r="Q43" s="1471" t="s">
        <v>116</v>
      </c>
      <c r="R43" s="1471" t="s">
        <v>116</v>
      </c>
      <c r="S43" s="515"/>
      <c r="T43" s="155"/>
      <c r="U43" s="155" t="s">
        <v>116</v>
      </c>
      <c r="V43" s="155"/>
      <c r="W43" s="515"/>
      <c r="X43" s="155"/>
      <c r="Y43" s="155"/>
      <c r="Z43" s="155"/>
      <c r="AA43" s="515"/>
      <c r="AB43" s="155"/>
      <c r="AC43" s="155"/>
      <c r="AD43" s="155"/>
      <c r="AE43" s="808">
        <f t="shared" si="0"/>
        <v>0</v>
      </c>
      <c r="AF43" s="761">
        <f t="shared" si="1"/>
        <v>0</v>
      </c>
      <c r="AG43" s="110">
        <v>0</v>
      </c>
      <c r="AH43" s="808">
        <f>AE43-AG43</f>
        <v>0</v>
      </c>
      <c r="AI43" s="1472"/>
      <c r="AJ43" s="206"/>
      <c r="AK43" s="191">
        <v>0</v>
      </c>
      <c r="AL43" s="1472"/>
      <c r="AM43" s="206"/>
      <c r="AN43" s="191">
        <v>0</v>
      </c>
      <c r="AO43" s="110"/>
      <c r="AP43" s="226"/>
      <c r="AQ43" s="110"/>
      <c r="AR43" s="263"/>
      <c r="AS43" s="110"/>
      <c r="AT43" s="226"/>
      <c r="AU43" s="110"/>
      <c r="AV43" s="263"/>
      <c r="AW43" s="110"/>
      <c r="AX43" s="226"/>
      <c r="AY43" s="110"/>
      <c r="AZ43" s="263"/>
      <c r="BA43" s="110">
        <v>0</v>
      </c>
      <c r="BB43" s="226"/>
      <c r="BC43" s="110">
        <v>0</v>
      </c>
      <c r="BD43" s="263"/>
      <c r="BE43" s="110">
        <v>0</v>
      </c>
      <c r="BF43" s="226"/>
      <c r="BG43" s="110">
        <v>0</v>
      </c>
      <c r="BH43" s="263"/>
      <c r="BI43" s="3"/>
      <c r="BJ43" s="779"/>
      <c r="BK43" s="779"/>
      <c r="BL43" s="779"/>
      <c r="BM43" s="779"/>
      <c r="BN43" s="779"/>
      <c r="BO43" s="779"/>
      <c r="BP43" s="779"/>
      <c r="BQ43" s="779"/>
    </row>
    <row r="44" spans="1:69" ht="30" hidden="1" customHeight="1">
      <c r="A44" s="293">
        <f t="shared" si="2"/>
        <v>43</v>
      </c>
      <c r="B44" s="338" t="s">
        <v>166</v>
      </c>
      <c r="C44" s="338" t="s">
        <v>3175</v>
      </c>
      <c r="D44" s="207" t="s">
        <v>3176</v>
      </c>
      <c r="E44" s="1473"/>
      <c r="F44" s="131" t="s">
        <v>3029</v>
      </c>
      <c r="G44" s="131"/>
      <c r="H44" s="255"/>
      <c r="I44" s="255"/>
      <c r="J44" s="1485"/>
      <c r="K44" s="255"/>
      <c r="L44" s="256"/>
      <c r="M44" s="255"/>
      <c r="N44" s="598"/>
      <c r="O44" s="207" t="s">
        <v>3177</v>
      </c>
      <c r="P44" s="1471" t="s">
        <v>115</v>
      </c>
      <c r="Q44" s="1471" t="s">
        <v>115</v>
      </c>
      <c r="R44" s="1471" t="s">
        <v>115</v>
      </c>
      <c r="S44" s="515"/>
      <c r="T44" s="155"/>
      <c r="U44" s="155"/>
      <c r="V44" s="155"/>
      <c r="W44" s="515"/>
      <c r="X44" s="155"/>
      <c r="Y44" s="155" t="s">
        <v>2404</v>
      </c>
      <c r="Z44" s="155" t="s">
        <v>2404</v>
      </c>
      <c r="AA44" s="515"/>
      <c r="AB44" s="155"/>
      <c r="AC44" s="155"/>
      <c r="AD44" s="155"/>
      <c r="AE44" s="808">
        <f t="shared" si="0"/>
        <v>2797</v>
      </c>
      <c r="AF44" s="761">
        <f t="shared" si="1"/>
        <v>2797</v>
      </c>
      <c r="AG44" s="110">
        <v>0</v>
      </c>
      <c r="AH44" s="808">
        <v>0</v>
      </c>
      <c r="AI44" s="1472" t="s">
        <v>2920</v>
      </c>
      <c r="AJ44" s="206">
        <v>0.15</v>
      </c>
      <c r="AK44" s="191">
        <v>0</v>
      </c>
      <c r="AL44" s="1472" t="s">
        <v>2920</v>
      </c>
      <c r="AM44" s="206">
        <v>0.05</v>
      </c>
      <c r="AN44" s="191">
        <v>0</v>
      </c>
      <c r="AO44" s="110">
        <v>2797</v>
      </c>
      <c r="AP44" s="226">
        <v>44092</v>
      </c>
      <c r="AQ44" s="110">
        <v>2797</v>
      </c>
      <c r="AR44" s="263"/>
      <c r="AS44" s="110"/>
      <c r="AT44" s="226"/>
      <c r="AU44" s="110"/>
      <c r="AV44" s="263"/>
      <c r="AW44" s="110"/>
      <c r="AX44" s="226"/>
      <c r="AY44" s="110"/>
      <c r="AZ44" s="263"/>
      <c r="BA44" s="110">
        <v>0</v>
      </c>
      <c r="BB44" s="226"/>
      <c r="BC44" s="110">
        <v>0</v>
      </c>
      <c r="BD44" s="263"/>
      <c r="BE44" s="110">
        <v>0</v>
      </c>
      <c r="BF44" s="226"/>
      <c r="BG44" s="110">
        <v>0</v>
      </c>
      <c r="BH44" s="263"/>
      <c r="BI44" s="3" t="s">
        <v>2612</v>
      </c>
      <c r="BJ44" s="779"/>
      <c r="BK44" s="779"/>
      <c r="BL44" s="779"/>
      <c r="BM44" s="779"/>
      <c r="BN44" s="779"/>
      <c r="BO44" s="779"/>
      <c r="BP44" s="779"/>
      <c r="BQ44" s="779"/>
    </row>
    <row r="45" spans="1:69" ht="30" hidden="1" customHeight="1">
      <c r="A45" s="293">
        <f t="shared" si="2"/>
        <v>44</v>
      </c>
      <c r="B45" s="338" t="s">
        <v>166</v>
      </c>
      <c r="C45" s="338" t="s">
        <v>2424</v>
      </c>
      <c r="D45" s="207" t="s">
        <v>2425</v>
      </c>
      <c r="E45" s="1473">
        <v>3393104949</v>
      </c>
      <c r="F45" s="131" t="s">
        <v>2428</v>
      </c>
      <c r="G45" s="131" t="s">
        <v>2429</v>
      </c>
      <c r="H45" s="564" t="s">
        <v>2427</v>
      </c>
      <c r="I45" s="255" t="s">
        <v>2427</v>
      </c>
      <c r="J45" s="1485" t="s">
        <v>3338</v>
      </c>
      <c r="K45" s="255" t="s">
        <v>2412</v>
      </c>
      <c r="L45" s="256"/>
      <c r="M45" s="155" t="s">
        <v>2425</v>
      </c>
      <c r="N45" s="598"/>
      <c r="O45" s="207"/>
      <c r="P45" s="1471" t="s">
        <v>115</v>
      </c>
      <c r="Q45" s="1471" t="s">
        <v>115</v>
      </c>
      <c r="R45" s="1471"/>
      <c r="S45" s="515"/>
      <c r="T45" s="155" t="s">
        <v>116</v>
      </c>
      <c r="U45" s="155"/>
      <c r="V45" s="155"/>
      <c r="W45" s="515"/>
      <c r="X45" s="155"/>
      <c r="Y45" s="155" t="s">
        <v>2404</v>
      </c>
      <c r="Z45" s="155" t="s">
        <v>27</v>
      </c>
      <c r="AA45" s="515"/>
      <c r="AB45" s="155"/>
      <c r="AC45" s="155"/>
      <c r="AD45" s="155"/>
      <c r="AE45" s="808">
        <f t="shared" si="0"/>
        <v>2997</v>
      </c>
      <c r="AF45" s="761">
        <f t="shared" si="1"/>
        <v>2997</v>
      </c>
      <c r="AG45" s="110">
        <v>0</v>
      </c>
      <c r="AH45" s="808">
        <v>757</v>
      </c>
      <c r="AI45" s="1472" t="s">
        <v>3305</v>
      </c>
      <c r="AJ45" s="206">
        <v>0.1</v>
      </c>
      <c r="AK45" s="191">
        <v>0</v>
      </c>
      <c r="AL45" s="1472" t="s">
        <v>3067</v>
      </c>
      <c r="AM45" s="206">
        <v>0.05</v>
      </c>
      <c r="AN45" s="191">
        <v>0</v>
      </c>
      <c r="AO45" s="110">
        <v>2997</v>
      </c>
      <c r="AP45" s="226">
        <v>44099</v>
      </c>
      <c r="AQ45" s="110">
        <v>2997</v>
      </c>
      <c r="AR45" s="263"/>
      <c r="AS45" s="110">
        <v>0</v>
      </c>
      <c r="AT45" s="226"/>
      <c r="AU45" s="110">
        <v>0</v>
      </c>
      <c r="AV45" s="263"/>
      <c r="AW45" s="110">
        <v>0</v>
      </c>
      <c r="AX45" s="226"/>
      <c r="AY45" s="110">
        <v>0</v>
      </c>
      <c r="AZ45" s="263"/>
      <c r="BA45" s="110">
        <v>0</v>
      </c>
      <c r="BB45" s="226"/>
      <c r="BC45" s="110">
        <v>0</v>
      </c>
      <c r="BD45" s="263"/>
      <c r="BE45" s="110">
        <v>0</v>
      </c>
      <c r="BF45" s="226"/>
      <c r="BG45" s="110">
        <v>0</v>
      </c>
      <c r="BH45" s="263"/>
      <c r="BI45" s="3" t="s">
        <v>126</v>
      </c>
      <c r="BJ45" s="779"/>
      <c r="BK45" s="779"/>
      <c r="BL45" s="779"/>
      <c r="BM45" s="779"/>
      <c r="BN45" s="779"/>
      <c r="BO45" s="779"/>
      <c r="BP45" s="779"/>
      <c r="BQ45" s="779"/>
    </row>
    <row r="46" spans="1:69" ht="30" hidden="1" customHeight="1">
      <c r="A46" s="293">
        <f t="shared" si="2"/>
        <v>45</v>
      </c>
      <c r="B46" s="338" t="s">
        <v>166</v>
      </c>
      <c r="C46" s="338" t="s">
        <v>4949</v>
      </c>
      <c r="D46" s="207" t="s">
        <v>4950</v>
      </c>
      <c r="E46" s="1473"/>
      <c r="F46" s="131"/>
      <c r="G46" s="131"/>
      <c r="H46" s="255"/>
      <c r="I46" s="255"/>
      <c r="J46" s="1485"/>
      <c r="K46" s="255"/>
      <c r="L46" s="256"/>
      <c r="M46" s="255"/>
      <c r="N46" s="598"/>
      <c r="O46" s="207"/>
      <c r="P46" s="1471" t="s">
        <v>116</v>
      </c>
      <c r="Q46" s="1471" t="s">
        <v>116</v>
      </c>
      <c r="R46" s="1471" t="s">
        <v>116</v>
      </c>
      <c r="S46" s="515"/>
      <c r="T46" s="155" t="s">
        <v>116</v>
      </c>
      <c r="U46" s="155" t="s">
        <v>116</v>
      </c>
      <c r="V46" s="155"/>
      <c r="W46" s="515"/>
      <c r="X46" s="155"/>
      <c r="Y46" s="155"/>
      <c r="Z46" s="155"/>
      <c r="AA46" s="515"/>
      <c r="AB46" s="155"/>
      <c r="AC46" s="155"/>
      <c r="AD46" s="155"/>
      <c r="AE46" s="808">
        <f t="shared" si="0"/>
        <v>0</v>
      </c>
      <c r="AF46" s="761">
        <f t="shared" si="1"/>
        <v>0</v>
      </c>
      <c r="AG46" s="110">
        <v>0</v>
      </c>
      <c r="AH46" s="808">
        <f>AE46-AG46</f>
        <v>0</v>
      </c>
      <c r="AI46" s="1472"/>
      <c r="AJ46" s="206"/>
      <c r="AK46" s="191">
        <v>0</v>
      </c>
      <c r="AL46" s="1472"/>
      <c r="AM46" s="206"/>
      <c r="AN46" s="191">
        <v>0</v>
      </c>
      <c r="AO46" s="110"/>
      <c r="AP46" s="226"/>
      <c r="AQ46" s="110"/>
      <c r="AR46" s="263"/>
      <c r="AS46" s="110"/>
      <c r="AT46" s="226"/>
      <c r="AU46" s="110"/>
      <c r="AV46" s="263"/>
      <c r="AW46" s="110"/>
      <c r="AX46" s="226"/>
      <c r="AY46" s="110"/>
      <c r="AZ46" s="263"/>
      <c r="BA46" s="110">
        <v>0</v>
      </c>
      <c r="BB46" s="226"/>
      <c r="BC46" s="110">
        <v>0</v>
      </c>
      <c r="BD46" s="263"/>
      <c r="BE46" s="110">
        <v>0</v>
      </c>
      <c r="BF46" s="226"/>
      <c r="BG46" s="110">
        <v>0</v>
      </c>
      <c r="BH46" s="263"/>
      <c r="BI46" s="3"/>
      <c r="BJ46" s="779"/>
      <c r="BK46" s="779"/>
      <c r="BL46" s="779"/>
      <c r="BM46" s="779"/>
      <c r="BN46" s="779"/>
      <c r="BO46" s="779"/>
      <c r="BP46" s="779"/>
      <c r="BQ46" s="779"/>
    </row>
    <row r="47" spans="1:69" ht="30" customHeight="1">
      <c r="A47" s="293">
        <f t="shared" si="2"/>
        <v>46</v>
      </c>
      <c r="B47" s="338" t="s">
        <v>730</v>
      </c>
      <c r="C47" s="338" t="s">
        <v>4951</v>
      </c>
      <c r="D47" s="207" t="s">
        <v>4952</v>
      </c>
      <c r="E47" s="1473">
        <v>3355828457</v>
      </c>
      <c r="F47" s="131" t="s">
        <v>4953</v>
      </c>
      <c r="G47" s="131" t="s">
        <v>4954</v>
      </c>
      <c r="H47" s="255"/>
      <c r="I47" s="255" t="s">
        <v>4955</v>
      </c>
      <c r="J47" s="1485" t="s">
        <v>4916</v>
      </c>
      <c r="K47" s="255"/>
      <c r="L47" s="256"/>
      <c r="M47" s="1497" t="s">
        <v>4952</v>
      </c>
      <c r="N47" s="598"/>
      <c r="O47" s="207"/>
      <c r="P47" s="1471" t="s">
        <v>115</v>
      </c>
      <c r="Q47" s="1471" t="s">
        <v>115</v>
      </c>
      <c r="R47" s="1471" t="s">
        <v>115</v>
      </c>
      <c r="S47" s="515"/>
      <c r="T47" s="155"/>
      <c r="U47" s="155" t="s">
        <v>2992</v>
      </c>
      <c r="V47" s="155" t="s">
        <v>2992</v>
      </c>
      <c r="W47" s="515"/>
      <c r="X47" s="155"/>
      <c r="Y47" s="155"/>
      <c r="Z47" s="155"/>
      <c r="AA47" s="515"/>
      <c r="AB47" s="155"/>
      <c r="AC47" s="155"/>
      <c r="AD47" s="155"/>
      <c r="AE47" s="808">
        <f t="shared" si="0"/>
        <v>2997</v>
      </c>
      <c r="AF47" s="761">
        <f t="shared" si="1"/>
        <v>2997</v>
      </c>
      <c r="AG47" s="110">
        <v>0</v>
      </c>
      <c r="AH47" s="808">
        <v>0</v>
      </c>
      <c r="AI47" s="1472" t="s">
        <v>4931</v>
      </c>
      <c r="AJ47" s="206">
        <v>0.15</v>
      </c>
      <c r="AK47" s="191">
        <v>0</v>
      </c>
      <c r="AL47" s="1472" t="s">
        <v>3067</v>
      </c>
      <c r="AM47" s="206">
        <v>0.05</v>
      </c>
      <c r="AN47" s="191">
        <v>0</v>
      </c>
      <c r="AO47" s="110">
        <v>2997</v>
      </c>
      <c r="AP47" s="226">
        <v>44092</v>
      </c>
      <c r="AQ47" s="110">
        <v>2997</v>
      </c>
      <c r="AR47" s="263"/>
      <c r="AS47" s="110">
        <v>0</v>
      </c>
      <c r="AT47" s="226"/>
      <c r="AU47" s="110">
        <v>0</v>
      </c>
      <c r="AV47" s="263"/>
      <c r="AW47" s="110">
        <v>0</v>
      </c>
      <c r="AX47" s="226"/>
      <c r="AY47" s="110">
        <v>0</v>
      </c>
      <c r="AZ47" s="263"/>
      <c r="BA47" s="110">
        <v>0</v>
      </c>
      <c r="BB47" s="226"/>
      <c r="BC47" s="110">
        <v>0</v>
      </c>
      <c r="BD47" s="263"/>
      <c r="BE47" s="110">
        <v>0</v>
      </c>
      <c r="BF47" s="226"/>
      <c r="BG47" s="110">
        <v>0</v>
      </c>
      <c r="BH47" s="263"/>
      <c r="BI47" s="3" t="s">
        <v>3002</v>
      </c>
      <c r="BJ47" s="779"/>
      <c r="BK47" s="779"/>
      <c r="BL47" s="779"/>
      <c r="BM47" s="779"/>
      <c r="BN47" s="779"/>
      <c r="BO47" s="779"/>
      <c r="BP47" s="779"/>
      <c r="BQ47" s="779"/>
    </row>
    <row r="48" spans="1:69" ht="30" customHeight="1">
      <c r="A48" s="293">
        <f t="shared" si="2"/>
        <v>47</v>
      </c>
      <c r="B48" s="338" t="s">
        <v>730</v>
      </c>
      <c r="C48" s="338" t="s">
        <v>2363</v>
      </c>
      <c r="D48" s="207" t="s">
        <v>4956</v>
      </c>
      <c r="E48" s="224" t="s">
        <v>4957</v>
      </c>
      <c r="F48" s="131" t="s">
        <v>2720</v>
      </c>
      <c r="G48" s="131" t="s">
        <v>4958</v>
      </c>
      <c r="H48" s="131" t="s">
        <v>4959</v>
      </c>
      <c r="I48" s="255" t="s">
        <v>4960</v>
      </c>
      <c r="J48" s="255"/>
      <c r="K48" s="255"/>
      <c r="L48" s="256"/>
      <c r="M48" s="255"/>
      <c r="N48" s="255"/>
      <c r="O48" s="255"/>
      <c r="P48" s="1471" t="s">
        <v>116</v>
      </c>
      <c r="Q48" s="1471"/>
      <c r="R48" s="1471"/>
      <c r="S48" s="515"/>
      <c r="T48" s="155" t="s">
        <v>116</v>
      </c>
      <c r="U48" s="155" t="s">
        <v>116</v>
      </c>
      <c r="V48" s="155" t="s">
        <v>116</v>
      </c>
      <c r="W48" s="515"/>
      <c r="X48" s="155"/>
      <c r="Y48" s="155"/>
      <c r="Z48" s="155"/>
      <c r="AA48" s="515"/>
      <c r="AB48" s="155"/>
      <c r="AC48" s="155"/>
      <c r="AD48" s="155"/>
      <c r="AE48" s="808">
        <f t="shared" si="0"/>
        <v>0</v>
      </c>
      <c r="AF48" s="761">
        <f t="shared" si="1"/>
        <v>0</v>
      </c>
      <c r="AG48" s="110">
        <v>0</v>
      </c>
      <c r="AH48" s="808">
        <f>AE48-AG48</f>
        <v>0</v>
      </c>
      <c r="AI48" s="1472" t="s">
        <v>262</v>
      </c>
      <c r="AJ48" s="206"/>
      <c r="AK48" s="191">
        <v>0</v>
      </c>
      <c r="AL48" s="1472" t="s">
        <v>262</v>
      </c>
      <c r="AM48" s="206"/>
      <c r="AN48" s="191">
        <v>0</v>
      </c>
      <c r="AO48" s="110"/>
      <c r="AP48" s="226"/>
      <c r="AQ48" s="110"/>
      <c r="AR48" s="263"/>
      <c r="AS48" s="110"/>
      <c r="AT48" s="226"/>
      <c r="AU48" s="110"/>
      <c r="AV48" s="263"/>
      <c r="AW48" s="110"/>
      <c r="AX48" s="226"/>
      <c r="AY48" s="110"/>
      <c r="AZ48" s="263"/>
      <c r="BA48" s="110"/>
      <c r="BB48" s="226"/>
      <c r="BC48" s="110"/>
      <c r="BD48" s="263"/>
      <c r="BE48" s="110"/>
      <c r="BF48" s="226"/>
      <c r="BG48" s="110"/>
      <c r="BH48" s="263"/>
      <c r="BI48" s="228"/>
      <c r="BJ48" s="729"/>
      <c r="BK48" s="729"/>
      <c r="BL48" s="729"/>
      <c r="BM48" s="729"/>
      <c r="BN48" s="729"/>
      <c r="BO48" s="729"/>
      <c r="BP48" s="729"/>
      <c r="BQ48" s="729"/>
    </row>
    <row r="49" spans="1:69" ht="30" hidden="1" customHeight="1">
      <c r="A49" s="293">
        <f t="shared" si="2"/>
        <v>48</v>
      </c>
      <c r="B49" s="338" t="s">
        <v>4961</v>
      </c>
      <c r="C49" s="338" t="s">
        <v>4962</v>
      </c>
      <c r="D49" s="207" t="s">
        <v>4963</v>
      </c>
      <c r="E49" s="1473">
        <v>3489323346</v>
      </c>
      <c r="F49" s="131" t="s">
        <v>4964</v>
      </c>
      <c r="G49" s="131" t="s">
        <v>4965</v>
      </c>
      <c r="H49" s="255"/>
      <c r="I49" s="255" t="s">
        <v>4966</v>
      </c>
      <c r="J49" s="1485" t="s">
        <v>4916</v>
      </c>
      <c r="K49" s="255"/>
      <c r="L49" s="256"/>
      <c r="M49" s="1497" t="s">
        <v>4963</v>
      </c>
      <c r="N49" s="598"/>
      <c r="O49" s="207"/>
      <c r="P49" s="1471" t="s">
        <v>115</v>
      </c>
      <c r="Q49" s="1471" t="s">
        <v>115</v>
      </c>
      <c r="R49" s="1471" t="s">
        <v>115</v>
      </c>
      <c r="S49" s="515"/>
      <c r="T49" s="155" t="s">
        <v>116</v>
      </c>
      <c r="U49" s="155"/>
      <c r="V49" s="155"/>
      <c r="W49" s="515"/>
      <c r="X49" s="155"/>
      <c r="Y49" s="155" t="s">
        <v>2404</v>
      </c>
      <c r="Z49" s="155" t="s">
        <v>2404</v>
      </c>
      <c r="AA49" s="515"/>
      <c r="AB49" s="155"/>
      <c r="AC49" s="155"/>
      <c r="AD49" s="155"/>
      <c r="AE49" s="808">
        <f t="shared" si="0"/>
        <v>2997</v>
      </c>
      <c r="AF49" s="761">
        <f t="shared" si="1"/>
        <v>2997</v>
      </c>
      <c r="AG49" s="110">
        <v>0</v>
      </c>
      <c r="AH49" s="808">
        <v>0</v>
      </c>
      <c r="AI49" s="1472" t="s">
        <v>4967</v>
      </c>
      <c r="AJ49" s="206">
        <v>0</v>
      </c>
      <c r="AK49" s="191">
        <v>0</v>
      </c>
      <c r="AL49" s="1472" t="s">
        <v>3067</v>
      </c>
      <c r="AM49" s="206">
        <v>0.05</v>
      </c>
      <c r="AN49" s="191">
        <v>0</v>
      </c>
      <c r="AO49" s="110">
        <v>2997</v>
      </c>
      <c r="AP49" s="226">
        <v>44092</v>
      </c>
      <c r="AQ49" s="110">
        <v>2997</v>
      </c>
      <c r="AR49" s="263"/>
      <c r="AS49" s="110">
        <v>0</v>
      </c>
      <c r="AT49" s="226"/>
      <c r="AU49" s="110">
        <v>0</v>
      </c>
      <c r="AV49" s="263"/>
      <c r="AW49" s="110">
        <v>0</v>
      </c>
      <c r="AX49" s="226"/>
      <c r="AY49" s="110">
        <v>0</v>
      </c>
      <c r="AZ49" s="263"/>
      <c r="BA49" s="110">
        <v>0</v>
      </c>
      <c r="BB49" s="226"/>
      <c r="BC49" s="110">
        <v>0</v>
      </c>
      <c r="BD49" s="263"/>
      <c r="BE49" s="110">
        <v>0</v>
      </c>
      <c r="BF49" s="226"/>
      <c r="BG49" s="110">
        <v>0</v>
      </c>
      <c r="BH49" s="263"/>
      <c r="BI49" s="3" t="s">
        <v>2612</v>
      </c>
      <c r="BJ49" s="779"/>
      <c r="BK49" s="779"/>
      <c r="BL49" s="779"/>
      <c r="BM49" s="779"/>
      <c r="BN49" s="779"/>
      <c r="BO49" s="779"/>
      <c r="BP49" s="779"/>
      <c r="BQ49" s="779"/>
    </row>
    <row r="50" spans="1:69" ht="30" customHeight="1">
      <c r="A50" s="293">
        <f t="shared" si="2"/>
        <v>49</v>
      </c>
      <c r="B50" s="338" t="s">
        <v>741</v>
      </c>
      <c r="C50" s="338" t="s">
        <v>4968</v>
      </c>
      <c r="D50" s="207" t="s">
        <v>4969</v>
      </c>
      <c r="E50" s="1498">
        <v>3456195665</v>
      </c>
      <c r="F50" s="801" t="s">
        <v>4970</v>
      </c>
      <c r="G50" s="801" t="s">
        <v>4971</v>
      </c>
      <c r="H50" s="1499" t="s">
        <v>4972</v>
      </c>
      <c r="I50" s="1500" t="s">
        <v>4973</v>
      </c>
      <c r="J50" s="1489" t="s">
        <v>3338</v>
      </c>
      <c r="K50" s="255" t="s">
        <v>2917</v>
      </c>
      <c r="L50" s="256"/>
      <c r="M50" s="1500"/>
      <c r="N50" s="598"/>
      <c r="O50" s="207"/>
      <c r="P50" s="1471" t="s">
        <v>115</v>
      </c>
      <c r="Q50" s="1471" t="s">
        <v>115</v>
      </c>
      <c r="R50" s="1471" t="s">
        <v>115</v>
      </c>
      <c r="S50" s="515"/>
      <c r="T50" s="155"/>
      <c r="U50" s="155" t="s">
        <v>2992</v>
      </c>
      <c r="V50" s="155" t="s">
        <v>2992</v>
      </c>
      <c r="W50" s="515"/>
      <c r="X50" s="155"/>
      <c r="Y50" s="155"/>
      <c r="Z50" s="155"/>
      <c r="AA50" s="515"/>
      <c r="AB50" s="155"/>
      <c r="AC50" s="155"/>
      <c r="AD50" s="155"/>
      <c r="AE50" s="808">
        <f t="shared" si="0"/>
        <v>2997</v>
      </c>
      <c r="AF50" s="808">
        <f t="shared" si="1"/>
        <v>2997</v>
      </c>
      <c r="AG50" s="110">
        <v>0</v>
      </c>
      <c r="AH50" s="808">
        <v>0</v>
      </c>
      <c r="AI50" s="1472" t="s">
        <v>2936</v>
      </c>
      <c r="AJ50" s="206">
        <v>0.15</v>
      </c>
      <c r="AK50" s="191">
        <v>0</v>
      </c>
      <c r="AL50" s="1472" t="s">
        <v>2936</v>
      </c>
      <c r="AM50" s="206">
        <v>0.15</v>
      </c>
      <c r="AN50" s="191">
        <v>0</v>
      </c>
      <c r="AO50" s="110">
        <v>2997</v>
      </c>
      <c r="AP50" s="226">
        <v>44084</v>
      </c>
      <c r="AQ50" s="110">
        <v>2997</v>
      </c>
      <c r="AR50" s="263"/>
      <c r="AS50" s="110">
        <v>0</v>
      </c>
      <c r="AT50" s="226"/>
      <c r="AU50" s="110">
        <v>0</v>
      </c>
      <c r="AV50" s="263"/>
      <c r="AW50" s="110">
        <v>0</v>
      </c>
      <c r="AX50" s="226"/>
      <c r="AY50" s="110">
        <v>0</v>
      </c>
      <c r="AZ50" s="263"/>
      <c r="BA50" s="110">
        <v>0</v>
      </c>
      <c r="BB50" s="226"/>
      <c r="BC50" s="110">
        <v>0</v>
      </c>
      <c r="BD50" s="263"/>
      <c r="BE50" s="110">
        <v>0</v>
      </c>
      <c r="BF50" s="226"/>
      <c r="BG50" s="110">
        <v>0</v>
      </c>
      <c r="BH50" s="263"/>
      <c r="BI50" s="3"/>
      <c r="BJ50" s="779"/>
      <c r="BK50" s="779"/>
      <c r="BL50" s="779"/>
      <c r="BM50" s="779"/>
      <c r="BN50" s="779"/>
      <c r="BO50" s="779"/>
      <c r="BP50" s="779"/>
      <c r="BQ50" s="779"/>
    </row>
    <row r="51" spans="1:69" ht="30" customHeight="1">
      <c r="A51" s="293">
        <f t="shared" si="2"/>
        <v>50</v>
      </c>
      <c r="B51" s="338" t="s">
        <v>741</v>
      </c>
      <c r="C51" s="338" t="s">
        <v>2387</v>
      </c>
      <c r="D51" s="207" t="s">
        <v>2388</v>
      </c>
      <c r="E51" s="224"/>
      <c r="F51" s="131"/>
      <c r="G51" s="131"/>
      <c r="H51" s="155"/>
      <c r="I51" s="155"/>
      <c r="J51" s="258"/>
      <c r="K51" s="255"/>
      <c r="L51" s="256"/>
      <c r="M51" s="155"/>
      <c r="N51" s="1501"/>
      <c r="O51" s="207"/>
      <c r="P51" s="1471" t="s">
        <v>116</v>
      </c>
      <c r="Q51" s="1471" t="s">
        <v>116</v>
      </c>
      <c r="R51" s="1471" t="s">
        <v>116</v>
      </c>
      <c r="S51" s="515"/>
      <c r="T51" s="155" t="s">
        <v>116</v>
      </c>
      <c r="U51" s="155" t="s">
        <v>116</v>
      </c>
      <c r="V51" s="155" t="s">
        <v>116</v>
      </c>
      <c r="W51" s="515"/>
      <c r="X51" s="155"/>
      <c r="Y51" s="155"/>
      <c r="Z51" s="155"/>
      <c r="AA51" s="515"/>
      <c r="AB51" s="155"/>
      <c r="AC51" s="155"/>
      <c r="AD51" s="155"/>
      <c r="AE51" s="808">
        <f t="shared" si="0"/>
        <v>0</v>
      </c>
      <c r="AF51" s="761">
        <f t="shared" si="1"/>
        <v>0</v>
      </c>
      <c r="AG51" s="110">
        <v>0</v>
      </c>
      <c r="AH51" s="808">
        <f>AE51-AG51</f>
        <v>0</v>
      </c>
      <c r="AI51" s="1472"/>
      <c r="AJ51" s="206"/>
      <c r="AK51" s="191">
        <v>0</v>
      </c>
      <c r="AL51" s="1472"/>
      <c r="AM51" s="206"/>
      <c r="AN51" s="191">
        <v>0</v>
      </c>
      <c r="AO51" s="110"/>
      <c r="AP51" s="110"/>
      <c r="AQ51" s="110"/>
      <c r="AR51" s="263"/>
      <c r="AS51" s="110"/>
      <c r="AT51" s="110"/>
      <c r="AU51" s="110"/>
      <c r="AV51" s="263"/>
      <c r="AW51" s="226"/>
      <c r="AX51" s="226"/>
      <c r="AY51" s="110"/>
      <c r="AZ51" s="263"/>
      <c r="BA51" s="110"/>
      <c r="BB51" s="226"/>
      <c r="BC51" s="110"/>
      <c r="BD51" s="263"/>
      <c r="BE51" s="110"/>
      <c r="BF51" s="226"/>
      <c r="BG51" s="110"/>
      <c r="BH51" s="263"/>
      <c r="BI51" s="3"/>
      <c r="BJ51" s="779"/>
      <c r="BK51" s="779"/>
      <c r="BL51" s="779"/>
      <c r="BM51" s="779"/>
      <c r="BN51" s="779"/>
      <c r="BO51" s="779"/>
      <c r="BP51" s="779"/>
      <c r="BQ51" s="779"/>
    </row>
    <row r="52" spans="1:69" ht="30" hidden="1" customHeight="1">
      <c r="A52" s="293">
        <f t="shared" si="2"/>
        <v>51</v>
      </c>
      <c r="B52" s="338" t="s">
        <v>741</v>
      </c>
      <c r="C52" s="338" t="s">
        <v>3195</v>
      </c>
      <c r="D52" s="207" t="s">
        <v>3196</v>
      </c>
      <c r="E52" s="1487">
        <v>3314513078</v>
      </c>
      <c r="F52" s="80" t="s">
        <v>3199</v>
      </c>
      <c r="G52" s="80" t="s">
        <v>3200</v>
      </c>
      <c r="H52" s="90" t="s">
        <v>3198</v>
      </c>
      <c r="I52" s="90" t="s">
        <v>3197</v>
      </c>
      <c r="J52" s="1485" t="s">
        <v>3338</v>
      </c>
      <c r="K52" s="255" t="s">
        <v>2412</v>
      </c>
      <c r="L52" s="256"/>
      <c r="M52" s="90" t="s">
        <v>3196</v>
      </c>
      <c r="N52" s="598"/>
      <c r="O52" s="207"/>
      <c r="P52" s="1471" t="s">
        <v>115</v>
      </c>
      <c r="Q52" s="1471" t="s">
        <v>115</v>
      </c>
      <c r="R52" s="1471" t="s">
        <v>115</v>
      </c>
      <c r="S52" s="515"/>
      <c r="T52" s="155"/>
      <c r="U52" s="155" t="s">
        <v>2992</v>
      </c>
      <c r="V52" s="155"/>
      <c r="W52" s="515"/>
      <c r="X52" s="155"/>
      <c r="Y52" s="155"/>
      <c r="Z52" s="155" t="s">
        <v>2404</v>
      </c>
      <c r="AA52" s="515"/>
      <c r="AB52" s="155"/>
      <c r="AC52" s="155"/>
      <c r="AD52" s="155"/>
      <c r="AE52" s="808">
        <f t="shared" si="0"/>
        <v>2997</v>
      </c>
      <c r="AF52" s="761">
        <f t="shared" si="1"/>
        <v>2997</v>
      </c>
      <c r="AG52" s="110">
        <v>0</v>
      </c>
      <c r="AH52" s="808">
        <v>0</v>
      </c>
      <c r="AI52" s="1472" t="s">
        <v>3201</v>
      </c>
      <c r="AJ52" s="206">
        <v>0.15</v>
      </c>
      <c r="AK52" s="191">
        <v>0</v>
      </c>
      <c r="AL52" s="1472" t="s">
        <v>3202</v>
      </c>
      <c r="AM52" s="206">
        <v>0.05</v>
      </c>
      <c r="AN52" s="191">
        <v>0</v>
      </c>
      <c r="AO52" s="110">
        <v>2997</v>
      </c>
      <c r="AP52" s="226">
        <v>44092</v>
      </c>
      <c r="AQ52" s="110">
        <v>2997</v>
      </c>
      <c r="AR52" s="263"/>
      <c r="AS52" s="110">
        <v>0</v>
      </c>
      <c r="AT52" s="226"/>
      <c r="AU52" s="110">
        <v>0</v>
      </c>
      <c r="AV52" s="263"/>
      <c r="AW52" s="110">
        <v>0</v>
      </c>
      <c r="AX52" s="226"/>
      <c r="AY52" s="110">
        <v>0</v>
      </c>
      <c r="AZ52" s="263"/>
      <c r="BA52" s="110">
        <v>0</v>
      </c>
      <c r="BB52" s="226"/>
      <c r="BC52" s="110">
        <v>0</v>
      </c>
      <c r="BD52" s="263"/>
      <c r="BE52" s="110">
        <v>0</v>
      </c>
      <c r="BF52" s="226"/>
      <c r="BG52" s="110">
        <v>0</v>
      </c>
      <c r="BH52" s="263"/>
      <c r="BI52" s="3" t="s">
        <v>2612</v>
      </c>
      <c r="BJ52" s="779"/>
      <c r="BK52" s="779"/>
      <c r="BL52" s="779"/>
      <c r="BM52" s="779"/>
      <c r="BN52" s="779"/>
      <c r="BO52" s="779"/>
      <c r="BP52" s="779"/>
      <c r="BQ52" s="779"/>
    </row>
    <row r="53" spans="1:69" ht="30" hidden="1" customHeight="1">
      <c r="A53" s="293">
        <f t="shared" si="2"/>
        <v>52</v>
      </c>
      <c r="B53" s="338" t="s">
        <v>3203</v>
      </c>
      <c r="C53" s="338" t="s">
        <v>3192</v>
      </c>
      <c r="D53" s="207" t="s">
        <v>3204</v>
      </c>
      <c r="E53" s="1384">
        <v>3208592025</v>
      </c>
      <c r="F53" s="131" t="s">
        <v>3206</v>
      </c>
      <c r="G53" s="131" t="s">
        <v>3207</v>
      </c>
      <c r="H53" s="564" t="s">
        <v>3205</v>
      </c>
      <c r="I53" s="255" t="s">
        <v>3205</v>
      </c>
      <c r="J53" s="1485" t="s">
        <v>3338</v>
      </c>
      <c r="K53" s="255" t="s">
        <v>2412</v>
      </c>
      <c r="L53" s="256" t="s">
        <v>3208</v>
      </c>
      <c r="M53" s="155"/>
      <c r="N53" s="598"/>
      <c r="O53" s="207"/>
      <c r="P53" s="1471" t="s">
        <v>115</v>
      </c>
      <c r="Q53" s="1471" t="s">
        <v>115</v>
      </c>
      <c r="R53" s="1471" t="s">
        <v>115</v>
      </c>
      <c r="S53" s="515"/>
      <c r="T53" s="155"/>
      <c r="U53" s="155"/>
      <c r="V53" s="155"/>
      <c r="W53" s="515"/>
      <c r="X53" s="155"/>
      <c r="Y53" s="155" t="s">
        <v>2404</v>
      </c>
      <c r="Z53" s="155" t="s">
        <v>2404</v>
      </c>
      <c r="AA53" s="515"/>
      <c r="AB53" s="155"/>
      <c r="AC53" s="155"/>
      <c r="AD53" s="155"/>
      <c r="AE53" s="808">
        <f t="shared" si="0"/>
        <v>2997</v>
      </c>
      <c r="AF53" s="761">
        <f t="shared" si="1"/>
        <v>2997</v>
      </c>
      <c r="AG53" s="110">
        <v>0</v>
      </c>
      <c r="AH53" s="808">
        <v>0</v>
      </c>
      <c r="AI53" s="1472" t="s">
        <v>3000</v>
      </c>
      <c r="AJ53" s="206">
        <v>0</v>
      </c>
      <c r="AK53" s="191">
        <v>0</v>
      </c>
      <c r="AL53" s="1472" t="s">
        <v>3001</v>
      </c>
      <c r="AM53" s="206">
        <v>0.05</v>
      </c>
      <c r="AN53" s="191">
        <v>0</v>
      </c>
      <c r="AO53" s="110">
        <v>2997</v>
      </c>
      <c r="AP53" s="226">
        <v>44092</v>
      </c>
      <c r="AQ53" s="110">
        <v>2997</v>
      </c>
      <c r="AR53" s="263"/>
      <c r="AS53" s="110">
        <v>0</v>
      </c>
      <c r="AT53" s="226"/>
      <c r="AU53" s="110">
        <v>0</v>
      </c>
      <c r="AV53" s="263"/>
      <c r="AW53" s="110">
        <v>0</v>
      </c>
      <c r="AX53" s="226"/>
      <c r="AY53" s="110">
        <v>0</v>
      </c>
      <c r="AZ53" s="263"/>
      <c r="BA53" s="110">
        <v>0</v>
      </c>
      <c r="BB53" s="226"/>
      <c r="BC53" s="110">
        <v>0</v>
      </c>
      <c r="BD53" s="263"/>
      <c r="BE53" s="110">
        <v>0</v>
      </c>
      <c r="BF53" s="226"/>
      <c r="BG53" s="110">
        <v>0</v>
      </c>
      <c r="BH53" s="263"/>
      <c r="BI53" s="3" t="s">
        <v>2612</v>
      </c>
      <c r="BJ53" s="779"/>
      <c r="BK53" s="779"/>
      <c r="BL53" s="779"/>
      <c r="BM53" s="779"/>
      <c r="BN53" s="779"/>
      <c r="BO53" s="779"/>
      <c r="BP53" s="779"/>
      <c r="BQ53" s="779"/>
    </row>
    <row r="54" spans="1:69" ht="30" customHeight="1">
      <c r="A54" s="293">
        <f t="shared" si="2"/>
        <v>53</v>
      </c>
      <c r="B54" s="338" t="s">
        <v>1272</v>
      </c>
      <c r="C54" s="338" t="s">
        <v>4536</v>
      </c>
      <c r="D54" s="207" t="s">
        <v>4537</v>
      </c>
      <c r="E54" s="1473">
        <v>3358097245</v>
      </c>
      <c r="F54" s="801" t="s">
        <v>4974</v>
      </c>
      <c r="G54" s="801" t="s">
        <v>4975</v>
      </c>
      <c r="H54" s="1499" t="s">
        <v>4976</v>
      </c>
      <c r="I54" s="1500" t="s">
        <v>4977</v>
      </c>
      <c r="J54" s="1489" t="s">
        <v>3338</v>
      </c>
      <c r="K54" s="255" t="s">
        <v>2412</v>
      </c>
      <c r="L54" s="256"/>
      <c r="M54" s="512" t="s">
        <v>4537</v>
      </c>
      <c r="N54" s="598"/>
      <c r="O54" s="449" t="s">
        <v>4978</v>
      </c>
      <c r="P54" s="1471" t="s">
        <v>115</v>
      </c>
      <c r="Q54" s="1471" t="s">
        <v>115</v>
      </c>
      <c r="R54" s="1471" t="s">
        <v>115</v>
      </c>
      <c r="S54" s="515"/>
      <c r="T54" s="24" t="s">
        <v>116</v>
      </c>
      <c r="U54" s="155" t="s">
        <v>2992</v>
      </c>
      <c r="V54" s="155" t="s">
        <v>2992</v>
      </c>
      <c r="W54" s="515"/>
      <c r="X54" s="155"/>
      <c r="Y54" s="155"/>
      <c r="Z54" s="155"/>
      <c r="AA54" s="515"/>
      <c r="AB54" s="155"/>
      <c r="AC54" s="155"/>
      <c r="AD54" s="155"/>
      <c r="AE54" s="808">
        <f t="shared" si="0"/>
        <v>2997</v>
      </c>
      <c r="AF54" s="761">
        <f t="shared" si="1"/>
        <v>2997</v>
      </c>
      <c r="AG54" s="110">
        <v>0</v>
      </c>
      <c r="AH54" s="808">
        <v>0</v>
      </c>
      <c r="AI54" s="1472" t="s">
        <v>4979</v>
      </c>
      <c r="AJ54" s="206">
        <v>0</v>
      </c>
      <c r="AK54" s="191">
        <v>0</v>
      </c>
      <c r="AL54" s="1472" t="s">
        <v>3067</v>
      </c>
      <c r="AM54" s="206">
        <v>0.05</v>
      </c>
      <c r="AN54" s="191">
        <v>0</v>
      </c>
      <c r="AO54" s="110">
        <v>2997</v>
      </c>
      <c r="AP54" s="226">
        <v>44103</v>
      </c>
      <c r="AQ54" s="110">
        <v>2997</v>
      </c>
      <c r="AR54" s="263"/>
      <c r="AS54" s="110">
        <v>0</v>
      </c>
      <c r="AT54" s="226"/>
      <c r="AU54" s="110">
        <v>0</v>
      </c>
      <c r="AV54" s="263"/>
      <c r="AW54" s="110">
        <v>0</v>
      </c>
      <c r="AX54" s="226"/>
      <c r="AY54" s="110">
        <v>0</v>
      </c>
      <c r="AZ54" s="263"/>
      <c r="BA54" s="110">
        <v>0</v>
      </c>
      <c r="BB54" s="226"/>
      <c r="BC54" s="110">
        <v>0</v>
      </c>
      <c r="BD54" s="263"/>
      <c r="BE54" s="110">
        <v>0</v>
      </c>
      <c r="BF54" s="226"/>
      <c r="BG54" s="110">
        <v>0</v>
      </c>
      <c r="BH54" s="263"/>
      <c r="BI54" s="3" t="s">
        <v>2612</v>
      </c>
      <c r="BJ54" s="779"/>
      <c r="BK54" s="779"/>
      <c r="BL54" s="779"/>
      <c r="BM54" s="779"/>
      <c r="BN54" s="779"/>
      <c r="BO54" s="779"/>
      <c r="BP54" s="779"/>
      <c r="BQ54" s="779"/>
    </row>
    <row r="55" spans="1:69" ht="30" hidden="1" customHeight="1">
      <c r="A55" s="293">
        <f t="shared" si="2"/>
        <v>54</v>
      </c>
      <c r="B55" s="338" t="s">
        <v>127</v>
      </c>
      <c r="C55" s="338" t="s">
        <v>3214</v>
      </c>
      <c r="D55" s="207" t="s">
        <v>3215</v>
      </c>
      <c r="E55" s="224"/>
      <c r="F55" s="598" t="s">
        <v>3217</v>
      </c>
      <c r="G55" s="598" t="s">
        <v>3218</v>
      </c>
      <c r="H55" s="255" t="s">
        <v>3216</v>
      </c>
      <c r="I55" s="255" t="s">
        <v>3216</v>
      </c>
      <c r="J55" s="258"/>
      <c r="K55" s="255" t="s">
        <v>2300</v>
      </c>
      <c r="L55" s="256" t="s">
        <v>3220</v>
      </c>
      <c r="M55" s="1482" t="s">
        <v>3219</v>
      </c>
      <c r="N55" s="598"/>
      <c r="O55" s="1251" t="s">
        <v>3221</v>
      </c>
      <c r="P55" s="1471"/>
      <c r="Q55" s="1471"/>
      <c r="R55" s="1471"/>
      <c r="S55" s="515"/>
      <c r="T55" s="155"/>
      <c r="U55" s="155"/>
      <c r="V55" s="155"/>
      <c r="W55" s="515"/>
      <c r="X55" s="155"/>
      <c r="Y55" s="155"/>
      <c r="Z55" s="155" t="s">
        <v>27</v>
      </c>
      <c r="AA55" s="515"/>
      <c r="AB55" s="155"/>
      <c r="AC55" s="155"/>
      <c r="AD55" s="155"/>
      <c r="AE55" s="808">
        <f t="shared" si="0"/>
        <v>2397</v>
      </c>
      <c r="AF55" s="761">
        <f t="shared" si="1"/>
        <v>2397</v>
      </c>
      <c r="AG55" s="110">
        <v>0</v>
      </c>
      <c r="AH55" s="808">
        <v>757</v>
      </c>
      <c r="AI55" s="1472" t="s">
        <v>3121</v>
      </c>
      <c r="AJ55" s="206">
        <v>0.15</v>
      </c>
      <c r="AK55" s="1474">
        <v>0</v>
      </c>
      <c r="AL55" s="1472" t="s">
        <v>3122</v>
      </c>
      <c r="AM55" s="206">
        <v>0.15</v>
      </c>
      <c r="AN55" s="1474">
        <v>0</v>
      </c>
      <c r="AO55" s="110">
        <v>2397</v>
      </c>
      <c r="AP55" s="226">
        <v>43574</v>
      </c>
      <c r="AQ55" s="110">
        <v>2397</v>
      </c>
      <c r="AR55" s="263"/>
      <c r="AS55" s="110"/>
      <c r="AT55" s="226"/>
      <c r="AU55" s="110"/>
      <c r="AV55" s="263"/>
      <c r="AW55" s="110"/>
      <c r="AX55" s="226"/>
      <c r="AY55" s="110"/>
      <c r="AZ55" s="263"/>
      <c r="BA55" s="110"/>
      <c r="BB55" s="226"/>
      <c r="BC55" s="110"/>
      <c r="BD55" s="263"/>
      <c r="BE55" s="110"/>
      <c r="BF55" s="226"/>
      <c r="BG55" s="110">
        <v>0</v>
      </c>
      <c r="BH55" s="263"/>
      <c r="BI55" s="3"/>
      <c r="BJ55" s="729"/>
      <c r="BK55" s="729"/>
      <c r="BL55" s="729"/>
      <c r="BM55" s="729"/>
      <c r="BN55" s="729"/>
      <c r="BO55" s="729"/>
      <c r="BP55" s="729"/>
      <c r="BQ55" s="729"/>
    </row>
    <row r="56" spans="1:69" ht="30" customHeight="1">
      <c r="A56" s="293">
        <f t="shared" si="2"/>
        <v>55</v>
      </c>
      <c r="B56" s="338" t="s">
        <v>1730</v>
      </c>
      <c r="C56" s="338" t="s">
        <v>4532</v>
      </c>
      <c r="D56" s="207" t="s">
        <v>4533</v>
      </c>
      <c r="E56" s="1473">
        <v>3479991917</v>
      </c>
      <c r="F56" s="131" t="s">
        <v>4974</v>
      </c>
      <c r="G56" s="131" t="s">
        <v>4975</v>
      </c>
      <c r="H56" s="564" t="s">
        <v>4976</v>
      </c>
      <c r="I56" s="255" t="s">
        <v>4977</v>
      </c>
      <c r="J56" s="1485" t="s">
        <v>3338</v>
      </c>
      <c r="K56" s="255" t="s">
        <v>2412</v>
      </c>
      <c r="L56" s="256"/>
      <c r="M56" s="255" t="s">
        <v>4537</v>
      </c>
      <c r="N56" s="598"/>
      <c r="O56" s="449" t="s">
        <v>4978</v>
      </c>
      <c r="P56" s="1471" t="s">
        <v>115</v>
      </c>
      <c r="Q56" s="1471" t="s">
        <v>115</v>
      </c>
      <c r="R56" s="1471" t="s">
        <v>115</v>
      </c>
      <c r="S56" s="515"/>
      <c r="T56" s="24" t="s">
        <v>116</v>
      </c>
      <c r="U56" s="155" t="s">
        <v>2992</v>
      </c>
      <c r="V56" s="155" t="s">
        <v>2992</v>
      </c>
      <c r="W56" s="515"/>
      <c r="X56" s="155"/>
      <c r="Y56" s="155"/>
      <c r="Z56" s="155"/>
      <c r="AA56" s="515"/>
      <c r="AB56" s="155"/>
      <c r="AC56" s="155"/>
      <c r="AD56" s="155"/>
      <c r="AE56" s="808">
        <f t="shared" si="0"/>
        <v>2997</v>
      </c>
      <c r="AF56" s="761">
        <f t="shared" si="1"/>
        <v>2997</v>
      </c>
      <c r="AG56" s="110">
        <v>0</v>
      </c>
      <c r="AH56" s="808">
        <v>0</v>
      </c>
      <c r="AI56" s="1472" t="s">
        <v>4979</v>
      </c>
      <c r="AJ56" s="206">
        <v>0</v>
      </c>
      <c r="AK56" s="1474">
        <v>0</v>
      </c>
      <c r="AL56" s="1472" t="s">
        <v>3067</v>
      </c>
      <c r="AM56" s="206">
        <v>0.05</v>
      </c>
      <c r="AN56" s="1474">
        <v>0</v>
      </c>
      <c r="AO56" s="110">
        <v>2997</v>
      </c>
      <c r="AP56" s="226">
        <v>44103</v>
      </c>
      <c r="AQ56" s="110">
        <v>2997</v>
      </c>
      <c r="AR56" s="263"/>
      <c r="AS56" s="110">
        <v>0</v>
      </c>
      <c r="AT56" s="226"/>
      <c r="AU56" s="110">
        <v>0</v>
      </c>
      <c r="AV56" s="263"/>
      <c r="AW56" s="110">
        <v>0</v>
      </c>
      <c r="AX56" s="226"/>
      <c r="AY56" s="110">
        <v>0</v>
      </c>
      <c r="AZ56" s="263"/>
      <c r="BA56" s="110">
        <v>0</v>
      </c>
      <c r="BB56" s="226"/>
      <c r="BC56" s="110">
        <v>0</v>
      </c>
      <c r="BD56" s="263"/>
      <c r="BE56" s="110">
        <v>0</v>
      </c>
      <c r="BF56" s="226"/>
      <c r="BG56" s="110">
        <v>0</v>
      </c>
      <c r="BH56" s="263"/>
      <c r="BI56" s="3" t="s">
        <v>2612</v>
      </c>
      <c r="BJ56" s="779"/>
      <c r="BK56" s="779"/>
      <c r="BL56" s="779"/>
      <c r="BM56" s="779"/>
      <c r="BN56" s="779"/>
      <c r="BO56" s="779"/>
      <c r="BP56" s="779"/>
      <c r="BQ56" s="779"/>
    </row>
    <row r="57" spans="1:69" ht="30" customHeight="1">
      <c r="A57" s="293">
        <f t="shared" si="2"/>
        <v>56</v>
      </c>
      <c r="B57" s="338" t="s">
        <v>4980</v>
      </c>
      <c r="C57" s="338" t="s">
        <v>4981</v>
      </c>
      <c r="D57" s="207" t="s">
        <v>4982</v>
      </c>
      <c r="E57" s="1473">
        <v>3921936532</v>
      </c>
      <c r="F57" s="131" t="s">
        <v>4983</v>
      </c>
      <c r="G57" s="131" t="s">
        <v>4984</v>
      </c>
      <c r="H57" s="564" t="s">
        <v>4985</v>
      </c>
      <c r="I57" s="564" t="s">
        <v>4985</v>
      </c>
      <c r="J57" s="1485" t="s">
        <v>4986</v>
      </c>
      <c r="K57" s="255" t="s">
        <v>2412</v>
      </c>
      <c r="L57" s="256"/>
      <c r="M57" s="155" t="s">
        <v>4982</v>
      </c>
      <c r="N57" s="598"/>
      <c r="O57" s="207"/>
      <c r="P57" s="1471"/>
      <c r="Q57" s="1471" t="s">
        <v>115</v>
      </c>
      <c r="R57" s="1471" t="s">
        <v>115</v>
      </c>
      <c r="S57" s="515"/>
      <c r="T57" s="155" t="s">
        <v>115</v>
      </c>
      <c r="U57" s="155" t="s">
        <v>2992</v>
      </c>
      <c r="V57" s="155" t="s">
        <v>2992</v>
      </c>
      <c r="W57" s="515"/>
      <c r="X57" s="155"/>
      <c r="Y57" s="155"/>
      <c r="Z57" s="155"/>
      <c r="AA57" s="515"/>
      <c r="AB57" s="155"/>
      <c r="AC57" s="155"/>
      <c r="AD57" s="155"/>
      <c r="AE57" s="808">
        <f t="shared" si="0"/>
        <v>2997</v>
      </c>
      <c r="AF57" s="761">
        <f t="shared" si="1"/>
        <v>2997</v>
      </c>
      <c r="AG57" s="110">
        <v>900</v>
      </c>
      <c r="AH57" s="808">
        <v>0</v>
      </c>
      <c r="AI57" s="1472" t="s">
        <v>4932</v>
      </c>
      <c r="AJ57" s="206">
        <v>0.15</v>
      </c>
      <c r="AK57" s="902">
        <f>AJ57*AE57</f>
        <v>449.55</v>
      </c>
      <c r="AL57" s="1472" t="s">
        <v>4932</v>
      </c>
      <c r="AM57" s="206">
        <v>0.05</v>
      </c>
      <c r="AN57" s="902">
        <f>AM57*AF57</f>
        <v>149.85</v>
      </c>
      <c r="AO57" s="110">
        <v>2997</v>
      </c>
      <c r="AP57" s="226">
        <v>44100</v>
      </c>
      <c r="AQ57" s="110">
        <v>2997</v>
      </c>
      <c r="AR57" s="263"/>
      <c r="AS57" s="110">
        <v>0</v>
      </c>
      <c r="AT57" s="226"/>
      <c r="AU57" s="110">
        <v>0</v>
      </c>
      <c r="AV57" s="263"/>
      <c r="AW57" s="110">
        <v>0</v>
      </c>
      <c r="AX57" s="226"/>
      <c r="AY57" s="110">
        <v>0</v>
      </c>
      <c r="AZ57" s="263"/>
      <c r="BA57" s="110">
        <v>0</v>
      </c>
      <c r="BB57" s="226"/>
      <c r="BC57" s="110">
        <v>0</v>
      </c>
      <c r="BD57" s="263"/>
      <c r="BE57" s="110">
        <v>0</v>
      </c>
      <c r="BF57" s="226"/>
      <c r="BG57" s="110">
        <v>0</v>
      </c>
      <c r="BH57" s="263"/>
      <c r="BI57" s="3" t="s">
        <v>2612</v>
      </c>
      <c r="BJ57" s="779"/>
      <c r="BK57" s="779"/>
      <c r="BL57" s="779"/>
      <c r="BM57" s="779"/>
      <c r="BN57" s="779"/>
      <c r="BO57" s="779"/>
      <c r="BP57" s="779"/>
      <c r="BQ57" s="779"/>
    </row>
    <row r="58" spans="1:69" ht="30" customHeight="1">
      <c r="A58" s="293">
        <f t="shared" si="2"/>
        <v>57</v>
      </c>
      <c r="B58" s="338" t="s">
        <v>4586</v>
      </c>
      <c r="C58" s="338" t="s">
        <v>4587</v>
      </c>
      <c r="D58" s="207" t="s">
        <v>4588</v>
      </c>
      <c r="E58" s="1473">
        <v>3483715142</v>
      </c>
      <c r="F58" s="131" t="s">
        <v>4987</v>
      </c>
      <c r="G58" s="131" t="s">
        <v>4591</v>
      </c>
      <c r="H58" s="564" t="s">
        <v>4590</v>
      </c>
      <c r="I58" s="564" t="s">
        <v>4590</v>
      </c>
      <c r="J58" s="1485" t="s">
        <v>3338</v>
      </c>
      <c r="K58" s="255" t="s">
        <v>2300</v>
      </c>
      <c r="L58" s="256"/>
      <c r="M58" s="1497" t="s">
        <v>4988</v>
      </c>
      <c r="N58" s="598"/>
      <c r="O58" s="207" t="s">
        <v>4989</v>
      </c>
      <c r="P58" s="1471" t="s">
        <v>115</v>
      </c>
      <c r="Q58" s="1471" t="s">
        <v>115</v>
      </c>
      <c r="R58" s="1471" t="s">
        <v>115</v>
      </c>
      <c r="S58" s="515"/>
      <c r="T58" s="155" t="s">
        <v>116</v>
      </c>
      <c r="U58" s="155" t="s">
        <v>2992</v>
      </c>
      <c r="V58" s="155" t="s">
        <v>2992</v>
      </c>
      <c r="W58" s="515"/>
      <c r="X58" s="155"/>
      <c r="Y58" s="155"/>
      <c r="Z58" s="155"/>
      <c r="AA58" s="515"/>
      <c r="AB58" s="155"/>
      <c r="AC58" s="155"/>
      <c r="AD58" s="155"/>
      <c r="AE58" s="808">
        <f t="shared" si="0"/>
        <v>2997</v>
      </c>
      <c r="AF58" s="761">
        <f t="shared" si="1"/>
        <v>2997</v>
      </c>
      <c r="AG58" s="110">
        <v>0</v>
      </c>
      <c r="AH58" s="808">
        <v>0</v>
      </c>
      <c r="AI58" s="1472" t="s">
        <v>3000</v>
      </c>
      <c r="AJ58" s="206">
        <v>0</v>
      </c>
      <c r="AK58" s="1474">
        <v>0</v>
      </c>
      <c r="AL58" s="1472" t="s">
        <v>3001</v>
      </c>
      <c r="AM58" s="206">
        <v>0.05</v>
      </c>
      <c r="AN58" s="1474">
        <v>0</v>
      </c>
      <c r="AO58" s="110">
        <v>2997</v>
      </c>
      <c r="AP58" s="226">
        <v>44092</v>
      </c>
      <c r="AQ58" s="110">
        <v>2997</v>
      </c>
      <c r="AR58" s="263"/>
      <c r="AS58" s="110">
        <v>0</v>
      </c>
      <c r="AT58" s="226"/>
      <c r="AU58" s="110">
        <v>0</v>
      </c>
      <c r="AV58" s="263"/>
      <c r="AW58" s="110">
        <v>0</v>
      </c>
      <c r="AX58" s="226"/>
      <c r="AY58" s="110">
        <v>0</v>
      </c>
      <c r="AZ58" s="263"/>
      <c r="BA58" s="110">
        <v>0</v>
      </c>
      <c r="BB58" s="226"/>
      <c r="BC58" s="110">
        <v>0</v>
      </c>
      <c r="BD58" s="263"/>
      <c r="BE58" s="110">
        <v>0</v>
      </c>
      <c r="BF58" s="226"/>
      <c r="BG58" s="110">
        <v>0</v>
      </c>
      <c r="BH58" s="263"/>
      <c r="BI58" s="3" t="s">
        <v>2612</v>
      </c>
      <c r="BJ58" s="779"/>
      <c r="BK58" s="779"/>
      <c r="BL58" s="779"/>
      <c r="BM58" s="779"/>
      <c r="BN58" s="779"/>
      <c r="BO58" s="779"/>
      <c r="BP58" s="779"/>
      <c r="BQ58" s="779"/>
    </row>
    <row r="59" spans="1:69" ht="30" customHeight="1">
      <c r="A59" s="293">
        <f t="shared" si="2"/>
        <v>58</v>
      </c>
      <c r="B59" s="338" t="s">
        <v>769</v>
      </c>
      <c r="C59" s="338" t="s">
        <v>4990</v>
      </c>
      <c r="D59" s="207" t="s">
        <v>4991</v>
      </c>
      <c r="E59" s="1473">
        <v>3355758935</v>
      </c>
      <c r="F59" s="289" t="s">
        <v>4992</v>
      </c>
      <c r="G59" s="131" t="s">
        <v>4993</v>
      </c>
      <c r="H59" s="564" t="s">
        <v>4994</v>
      </c>
      <c r="I59" s="564" t="s">
        <v>4994</v>
      </c>
      <c r="J59" s="1485" t="s">
        <v>3338</v>
      </c>
      <c r="K59" s="255" t="s">
        <v>2300</v>
      </c>
      <c r="L59" s="256" t="s">
        <v>4995</v>
      </c>
      <c r="M59" s="155" t="s">
        <v>4991</v>
      </c>
      <c r="N59" s="598"/>
      <c r="O59" s="207"/>
      <c r="P59" s="1471" t="s">
        <v>115</v>
      </c>
      <c r="Q59" s="1471" t="s">
        <v>115</v>
      </c>
      <c r="R59" s="1471" t="s">
        <v>115</v>
      </c>
      <c r="S59" s="515"/>
      <c r="T59" s="155"/>
      <c r="U59" s="155" t="s">
        <v>2992</v>
      </c>
      <c r="V59" s="155" t="s">
        <v>2992</v>
      </c>
      <c r="W59" s="515"/>
      <c r="X59" s="155"/>
      <c r="Y59" s="155"/>
      <c r="Z59" s="155"/>
      <c r="AA59" s="515"/>
      <c r="AB59" s="155"/>
      <c r="AC59" s="155"/>
      <c r="AD59" s="155"/>
      <c r="AE59" s="808">
        <f t="shared" si="0"/>
        <v>2797</v>
      </c>
      <c r="AF59" s="761">
        <f t="shared" si="1"/>
        <v>2797</v>
      </c>
      <c r="AG59" s="110">
        <v>0</v>
      </c>
      <c r="AH59" s="808">
        <v>0</v>
      </c>
      <c r="AI59" s="1472" t="s">
        <v>4996</v>
      </c>
      <c r="AJ59" s="206">
        <v>0</v>
      </c>
      <c r="AK59" s="1474">
        <v>0</v>
      </c>
      <c r="AL59" s="1472" t="s">
        <v>3067</v>
      </c>
      <c r="AM59" s="206">
        <v>0.05</v>
      </c>
      <c r="AN59" s="1474">
        <v>0</v>
      </c>
      <c r="AO59" s="110">
        <v>2797</v>
      </c>
      <c r="AP59" s="226">
        <v>44099</v>
      </c>
      <c r="AQ59" s="110">
        <v>2797</v>
      </c>
      <c r="AR59" s="263"/>
      <c r="AS59" s="110">
        <v>0</v>
      </c>
      <c r="AT59" s="226"/>
      <c r="AU59" s="110">
        <v>0</v>
      </c>
      <c r="AV59" s="263"/>
      <c r="AW59" s="110">
        <v>0</v>
      </c>
      <c r="AX59" s="226"/>
      <c r="AY59" s="110">
        <v>0</v>
      </c>
      <c r="AZ59" s="263"/>
      <c r="BA59" s="110">
        <v>0</v>
      </c>
      <c r="BB59" s="226"/>
      <c r="BC59" s="110">
        <v>0</v>
      </c>
      <c r="BD59" s="263"/>
      <c r="BE59" s="110">
        <v>0</v>
      </c>
      <c r="BF59" s="226"/>
      <c r="BG59" s="110">
        <v>0</v>
      </c>
      <c r="BH59" s="263"/>
      <c r="BI59" s="3" t="s">
        <v>2612</v>
      </c>
      <c r="BJ59" s="779"/>
      <c r="BK59" s="779"/>
      <c r="BL59" s="779"/>
      <c r="BM59" s="779"/>
      <c r="BN59" s="779"/>
      <c r="BO59" s="779"/>
      <c r="BP59" s="779"/>
      <c r="BQ59" s="779"/>
    </row>
    <row r="60" spans="1:69" ht="30" customHeight="1">
      <c r="A60" s="293">
        <f t="shared" si="2"/>
        <v>59</v>
      </c>
      <c r="B60" s="338" t="s">
        <v>4997</v>
      </c>
      <c r="C60" s="338" t="s">
        <v>4998</v>
      </c>
      <c r="D60" s="207" t="s">
        <v>4999</v>
      </c>
      <c r="E60" s="1473">
        <v>3358077939</v>
      </c>
      <c r="F60" s="289" t="s">
        <v>4992</v>
      </c>
      <c r="G60" s="131" t="s">
        <v>4993</v>
      </c>
      <c r="H60" s="564" t="s">
        <v>4994</v>
      </c>
      <c r="I60" s="564" t="s">
        <v>4994</v>
      </c>
      <c r="J60" s="1485" t="s">
        <v>3338</v>
      </c>
      <c r="K60" s="255" t="s">
        <v>2300</v>
      </c>
      <c r="L60" s="256" t="s">
        <v>4995</v>
      </c>
      <c r="M60" s="155" t="s">
        <v>4999</v>
      </c>
      <c r="N60" s="598"/>
      <c r="O60" s="207"/>
      <c r="P60" s="1471" t="s">
        <v>115</v>
      </c>
      <c r="Q60" s="1471" t="s">
        <v>115</v>
      </c>
      <c r="R60" s="1471" t="s">
        <v>115</v>
      </c>
      <c r="S60" s="515"/>
      <c r="T60" s="155" t="s">
        <v>116</v>
      </c>
      <c r="U60" s="155" t="s">
        <v>2992</v>
      </c>
      <c r="V60" s="155" t="s">
        <v>2992</v>
      </c>
      <c r="W60" s="515"/>
      <c r="X60" s="155"/>
      <c r="Y60" s="155"/>
      <c r="Z60" s="155"/>
      <c r="AA60" s="515"/>
      <c r="AB60" s="155"/>
      <c r="AC60" s="155"/>
      <c r="AD60" s="155"/>
      <c r="AE60" s="808">
        <f t="shared" si="0"/>
        <v>2797</v>
      </c>
      <c r="AF60" s="761">
        <f t="shared" si="1"/>
        <v>2797</v>
      </c>
      <c r="AG60" s="110">
        <v>0</v>
      </c>
      <c r="AH60" s="808">
        <v>0</v>
      </c>
      <c r="AI60" s="1472" t="s">
        <v>4996</v>
      </c>
      <c r="AJ60" s="206">
        <v>0</v>
      </c>
      <c r="AK60" s="1474">
        <v>0</v>
      </c>
      <c r="AL60" s="1472" t="s">
        <v>3067</v>
      </c>
      <c r="AM60" s="206">
        <v>0.05</v>
      </c>
      <c r="AN60" s="1474">
        <v>0</v>
      </c>
      <c r="AO60" s="110">
        <v>2797</v>
      </c>
      <c r="AP60" s="226">
        <v>44099</v>
      </c>
      <c r="AQ60" s="110">
        <v>2797</v>
      </c>
      <c r="AR60" s="263"/>
      <c r="AS60" s="110">
        <v>0</v>
      </c>
      <c r="AT60" s="226"/>
      <c r="AU60" s="110">
        <v>0</v>
      </c>
      <c r="AV60" s="263"/>
      <c r="AW60" s="110">
        <v>0</v>
      </c>
      <c r="AX60" s="226"/>
      <c r="AY60" s="110">
        <v>0</v>
      </c>
      <c r="AZ60" s="263"/>
      <c r="BA60" s="110">
        <v>0</v>
      </c>
      <c r="BB60" s="226"/>
      <c r="BC60" s="110">
        <v>0</v>
      </c>
      <c r="BD60" s="263"/>
      <c r="BE60" s="110">
        <v>0</v>
      </c>
      <c r="BF60" s="226"/>
      <c r="BG60" s="110">
        <v>0</v>
      </c>
      <c r="BH60" s="263"/>
      <c r="BI60" s="3" t="s">
        <v>2612</v>
      </c>
      <c r="BJ60" s="779"/>
      <c r="BK60" s="779"/>
      <c r="BL60" s="779"/>
      <c r="BM60" s="779"/>
      <c r="BN60" s="779"/>
      <c r="BO60" s="779"/>
      <c r="BP60" s="779"/>
      <c r="BQ60" s="779"/>
    </row>
    <row r="61" spans="1:69" ht="30" hidden="1" customHeight="1">
      <c r="A61" s="293">
        <f t="shared" si="2"/>
        <v>60</v>
      </c>
      <c r="B61" s="338" t="s">
        <v>287</v>
      </c>
      <c r="C61" s="338" t="s">
        <v>2987</v>
      </c>
      <c r="D61" s="207" t="s">
        <v>3258</v>
      </c>
      <c r="E61" s="1473">
        <v>3458397524</v>
      </c>
      <c r="F61" s="131" t="s">
        <v>2990</v>
      </c>
      <c r="G61" s="207" t="s">
        <v>2991</v>
      </c>
      <c r="H61" s="564" t="s">
        <v>2989</v>
      </c>
      <c r="I61" s="564" t="s">
        <v>2989</v>
      </c>
      <c r="J61" s="1485" t="s">
        <v>3338</v>
      </c>
      <c r="K61" s="255" t="s">
        <v>2968</v>
      </c>
      <c r="L61" s="256"/>
      <c r="M61" s="1481" t="s">
        <v>2988</v>
      </c>
      <c r="N61" s="598"/>
      <c r="O61" s="207" t="s">
        <v>3259</v>
      </c>
      <c r="P61" s="1471" t="s">
        <v>115</v>
      </c>
      <c r="Q61" s="1471" t="s">
        <v>115</v>
      </c>
      <c r="R61" s="1471" t="s">
        <v>115</v>
      </c>
      <c r="S61" s="515"/>
      <c r="T61" s="155"/>
      <c r="U61" s="155"/>
      <c r="V61" s="155"/>
      <c r="W61" s="515"/>
      <c r="X61" s="155"/>
      <c r="Y61" s="155" t="s">
        <v>2404</v>
      </c>
      <c r="Z61" s="155" t="s">
        <v>2404</v>
      </c>
      <c r="AA61" s="515"/>
      <c r="AB61" s="155"/>
      <c r="AC61" s="155"/>
      <c r="AD61" s="155"/>
      <c r="AE61" s="808">
        <f t="shared" si="0"/>
        <v>2997</v>
      </c>
      <c r="AF61" s="761">
        <f t="shared" si="1"/>
        <v>2997</v>
      </c>
      <c r="AG61" s="110">
        <v>0</v>
      </c>
      <c r="AH61" s="808">
        <v>0</v>
      </c>
      <c r="AI61" s="1472" t="s">
        <v>2920</v>
      </c>
      <c r="AJ61" s="206">
        <v>0.15</v>
      </c>
      <c r="AK61" s="1474">
        <v>0</v>
      </c>
      <c r="AL61" s="1472" t="s">
        <v>2920</v>
      </c>
      <c r="AM61" s="206">
        <v>0.05</v>
      </c>
      <c r="AN61" s="1474">
        <v>0</v>
      </c>
      <c r="AO61" s="110">
        <v>2997</v>
      </c>
      <c r="AP61" s="226">
        <v>44103</v>
      </c>
      <c r="AQ61" s="110">
        <v>2997</v>
      </c>
      <c r="AR61" s="263"/>
      <c r="AS61" s="110">
        <v>0</v>
      </c>
      <c r="AT61" s="226"/>
      <c r="AU61" s="110">
        <v>0</v>
      </c>
      <c r="AV61" s="263"/>
      <c r="AW61" s="110">
        <v>0</v>
      </c>
      <c r="AX61" s="226"/>
      <c r="AY61" s="110">
        <v>0</v>
      </c>
      <c r="AZ61" s="263"/>
      <c r="BA61" s="110">
        <v>0</v>
      </c>
      <c r="BB61" s="226"/>
      <c r="BC61" s="110">
        <v>0</v>
      </c>
      <c r="BD61" s="263"/>
      <c r="BE61" s="110">
        <v>0</v>
      </c>
      <c r="BF61" s="226"/>
      <c r="BG61" s="110">
        <v>0</v>
      </c>
      <c r="BH61" s="263"/>
      <c r="BI61" s="3" t="s">
        <v>2612</v>
      </c>
      <c r="BJ61" s="779"/>
      <c r="BK61" s="779"/>
      <c r="BL61" s="779"/>
      <c r="BM61" s="779"/>
      <c r="BN61" s="779"/>
      <c r="BO61" s="779"/>
      <c r="BP61" s="779"/>
      <c r="BQ61" s="779"/>
    </row>
    <row r="62" spans="1:69" ht="30" hidden="1" customHeight="1">
      <c r="A62" s="293">
        <f t="shared" si="2"/>
        <v>61</v>
      </c>
      <c r="B62" s="338" t="s">
        <v>5000</v>
      </c>
      <c r="C62" s="338" t="s">
        <v>5001</v>
      </c>
      <c r="D62" s="207" t="s">
        <v>5002</v>
      </c>
      <c r="E62" s="1502" t="s">
        <v>5003</v>
      </c>
      <c r="F62" s="289" t="s">
        <v>5004</v>
      </c>
      <c r="G62" s="598" t="s">
        <v>5005</v>
      </c>
      <c r="H62" s="255" t="s">
        <v>5006</v>
      </c>
      <c r="I62" s="255" t="s">
        <v>5007</v>
      </c>
      <c r="J62" s="258"/>
      <c r="K62" s="255" t="s">
        <v>2917</v>
      </c>
      <c r="L62" s="256"/>
      <c r="M62" s="1482" t="s">
        <v>5008</v>
      </c>
      <c r="N62" s="598"/>
      <c r="O62" s="207"/>
      <c r="P62" s="1471" t="s">
        <v>115</v>
      </c>
      <c r="Q62" s="1471" t="s">
        <v>115</v>
      </c>
      <c r="R62" s="1471" t="s">
        <v>115</v>
      </c>
      <c r="S62" s="515"/>
      <c r="T62" s="155"/>
      <c r="U62" s="155"/>
      <c r="V62" s="155"/>
      <c r="W62" s="515"/>
      <c r="X62" s="155"/>
      <c r="Y62" s="155" t="s">
        <v>2404</v>
      </c>
      <c r="Z62" s="155" t="s">
        <v>2404</v>
      </c>
      <c r="AA62" s="515"/>
      <c r="AB62" s="155"/>
      <c r="AC62" s="155"/>
      <c r="AD62" s="155"/>
      <c r="AE62" s="808">
        <f t="shared" si="0"/>
        <v>2997</v>
      </c>
      <c r="AF62" s="808">
        <f t="shared" si="1"/>
        <v>2997</v>
      </c>
      <c r="AG62" s="110">
        <v>0</v>
      </c>
      <c r="AH62" s="808">
        <v>0</v>
      </c>
      <c r="AI62" s="1472" t="s">
        <v>5009</v>
      </c>
      <c r="AJ62" s="206">
        <v>0.15</v>
      </c>
      <c r="AK62" s="1474">
        <v>0</v>
      </c>
      <c r="AL62" s="1472" t="s">
        <v>5009</v>
      </c>
      <c r="AM62" s="206">
        <v>0.05</v>
      </c>
      <c r="AN62" s="1474">
        <v>0</v>
      </c>
      <c r="AO62" s="110">
        <v>163.93</v>
      </c>
      <c r="AP62" s="226">
        <v>43742</v>
      </c>
      <c r="AQ62" s="110">
        <v>163.93</v>
      </c>
      <c r="AR62" s="338"/>
      <c r="AS62" s="110">
        <v>2833.07</v>
      </c>
      <c r="AT62" s="226">
        <v>43851</v>
      </c>
      <c r="AU62" s="110">
        <v>2833.07</v>
      </c>
      <c r="AV62" s="338"/>
      <c r="AW62" s="338"/>
      <c r="AX62" s="338"/>
      <c r="AY62" s="338"/>
      <c r="AZ62" s="338"/>
      <c r="BA62" s="338"/>
      <c r="BB62" s="338"/>
      <c r="BC62" s="338"/>
      <c r="BD62" s="338"/>
      <c r="BE62" s="338"/>
      <c r="BF62" s="338"/>
      <c r="BG62" s="338"/>
      <c r="BH62" s="338"/>
      <c r="BI62" s="228"/>
      <c r="BJ62" s="729"/>
      <c r="BK62" s="729"/>
      <c r="BL62" s="729"/>
      <c r="BM62" s="729"/>
      <c r="BN62" s="729"/>
      <c r="BO62" s="729"/>
      <c r="BP62" s="729"/>
      <c r="BQ62" s="729"/>
    </row>
    <row r="63" spans="1:69" ht="30" customHeight="1">
      <c r="A63" s="293">
        <f t="shared" si="2"/>
        <v>62</v>
      </c>
      <c r="B63" s="338" t="s">
        <v>2115</v>
      </c>
      <c r="C63" s="338" t="s">
        <v>2616</v>
      </c>
      <c r="D63" s="207" t="s">
        <v>5010</v>
      </c>
      <c r="E63" s="1473">
        <v>3482665806</v>
      </c>
      <c r="F63" s="131" t="s">
        <v>5011</v>
      </c>
      <c r="G63" s="131" t="s">
        <v>5012</v>
      </c>
      <c r="H63" s="564" t="s">
        <v>5013</v>
      </c>
      <c r="I63" s="255" t="s">
        <v>5013</v>
      </c>
      <c r="J63" s="258" t="s">
        <v>3338</v>
      </c>
      <c r="K63" s="255" t="s">
        <v>2412</v>
      </c>
      <c r="L63" s="256" t="s">
        <v>5014</v>
      </c>
      <c r="M63" s="255"/>
      <c r="N63" s="598"/>
      <c r="O63" s="207"/>
      <c r="P63" s="1471" t="s">
        <v>115</v>
      </c>
      <c r="Q63" s="1471" t="s">
        <v>115</v>
      </c>
      <c r="R63" s="1471" t="s">
        <v>115</v>
      </c>
      <c r="S63" s="515"/>
      <c r="T63" s="155"/>
      <c r="U63" s="155" t="s">
        <v>2992</v>
      </c>
      <c r="V63" s="155" t="s">
        <v>2992</v>
      </c>
      <c r="W63" s="515"/>
      <c r="X63" s="155"/>
      <c r="Y63" s="155"/>
      <c r="Z63" s="155"/>
      <c r="AA63" s="515"/>
      <c r="AB63" s="155"/>
      <c r="AC63" s="155"/>
      <c r="AD63" s="155"/>
      <c r="AE63" s="808">
        <f t="shared" si="0"/>
        <v>2997</v>
      </c>
      <c r="AF63" s="761">
        <f t="shared" si="1"/>
        <v>2997</v>
      </c>
      <c r="AG63" s="110">
        <v>0</v>
      </c>
      <c r="AH63" s="808">
        <v>0</v>
      </c>
      <c r="AI63" s="1472" t="s">
        <v>3077</v>
      </c>
      <c r="AJ63" s="206">
        <v>0.15</v>
      </c>
      <c r="AK63" s="1474">
        <v>0</v>
      </c>
      <c r="AL63" s="1472" t="s">
        <v>2920</v>
      </c>
      <c r="AM63" s="206">
        <v>0.05</v>
      </c>
      <c r="AN63" s="1474">
        <v>0</v>
      </c>
      <c r="AO63" s="110">
        <v>2997</v>
      </c>
      <c r="AP63" s="226">
        <v>44092</v>
      </c>
      <c r="AQ63" s="110">
        <v>2997</v>
      </c>
      <c r="AR63" s="263"/>
      <c r="AS63" s="110">
        <v>0</v>
      </c>
      <c r="AT63" s="226"/>
      <c r="AU63" s="110">
        <v>0</v>
      </c>
      <c r="AV63" s="263"/>
      <c r="AW63" s="110">
        <v>0</v>
      </c>
      <c r="AX63" s="226"/>
      <c r="AY63" s="110">
        <v>0</v>
      </c>
      <c r="AZ63" s="263"/>
      <c r="BA63" s="110">
        <v>0</v>
      </c>
      <c r="BB63" s="226"/>
      <c r="BC63" s="110">
        <v>0</v>
      </c>
      <c r="BD63" s="263"/>
      <c r="BE63" s="110">
        <v>0</v>
      </c>
      <c r="BF63" s="226"/>
      <c r="BG63" s="110">
        <v>0</v>
      </c>
      <c r="BH63" s="263"/>
      <c r="BI63" s="3" t="s">
        <v>2612</v>
      </c>
      <c r="BJ63" s="779"/>
      <c r="BK63" s="779"/>
      <c r="BL63" s="779"/>
      <c r="BM63" s="779"/>
      <c r="BN63" s="779"/>
      <c r="BO63" s="779"/>
      <c r="BP63" s="779"/>
      <c r="BQ63" s="779"/>
    </row>
    <row r="64" spans="1:69" ht="30" hidden="1" customHeight="1">
      <c r="A64" s="293">
        <f t="shared" si="2"/>
        <v>63</v>
      </c>
      <c r="B64" s="338" t="s">
        <v>693</v>
      </c>
      <c r="C64" s="338" t="s">
        <v>5015</v>
      </c>
      <c r="D64" s="207" t="s">
        <v>5016</v>
      </c>
      <c r="E64" s="1473">
        <v>3475075252</v>
      </c>
      <c r="F64" s="131" t="s">
        <v>3029</v>
      </c>
      <c r="G64" s="131"/>
      <c r="H64" s="255"/>
      <c r="I64" s="255"/>
      <c r="J64" s="258"/>
      <c r="K64" s="255"/>
      <c r="L64" s="256"/>
      <c r="M64" s="255"/>
      <c r="N64" s="598"/>
      <c r="O64" s="207" t="s">
        <v>5017</v>
      </c>
      <c r="P64" s="1471" t="s">
        <v>115</v>
      </c>
      <c r="Q64" s="1471" t="s">
        <v>115</v>
      </c>
      <c r="R64" s="1471" t="s">
        <v>115</v>
      </c>
      <c r="S64" s="515"/>
      <c r="T64" s="155"/>
      <c r="U64" s="155" t="s">
        <v>2992</v>
      </c>
      <c r="V64" s="155"/>
      <c r="W64" s="515"/>
      <c r="X64" s="155"/>
      <c r="Y64" s="155"/>
      <c r="Z64" s="155" t="s">
        <v>2404</v>
      </c>
      <c r="AA64" s="515"/>
      <c r="AB64" s="155"/>
      <c r="AC64" s="155"/>
      <c r="AD64" s="155"/>
      <c r="AE64" s="808">
        <f t="shared" si="0"/>
        <v>2797</v>
      </c>
      <c r="AF64" s="761">
        <f t="shared" si="1"/>
        <v>2797</v>
      </c>
      <c r="AG64" s="110">
        <v>0</v>
      </c>
      <c r="AH64" s="808">
        <v>0</v>
      </c>
      <c r="AI64" s="1472" t="s">
        <v>2920</v>
      </c>
      <c r="AJ64" s="206">
        <v>0.15</v>
      </c>
      <c r="AK64" s="1474">
        <v>0</v>
      </c>
      <c r="AL64" s="1472" t="s">
        <v>2920</v>
      </c>
      <c r="AM64" s="206">
        <v>0.05</v>
      </c>
      <c r="AN64" s="1474">
        <v>0</v>
      </c>
      <c r="AO64" s="110">
        <v>2797</v>
      </c>
      <c r="AP64" s="226">
        <v>44092</v>
      </c>
      <c r="AQ64" s="110">
        <v>2797</v>
      </c>
      <c r="AR64" s="263"/>
      <c r="AS64" s="110"/>
      <c r="AT64" s="226"/>
      <c r="AU64" s="110"/>
      <c r="AV64" s="263"/>
      <c r="AW64" s="110"/>
      <c r="AX64" s="226"/>
      <c r="AY64" s="110"/>
      <c r="AZ64" s="263"/>
      <c r="BA64" s="110">
        <v>0</v>
      </c>
      <c r="BB64" s="226"/>
      <c r="BC64" s="110">
        <v>0</v>
      </c>
      <c r="BD64" s="263"/>
      <c r="BE64" s="110">
        <v>0</v>
      </c>
      <c r="BF64" s="226"/>
      <c r="BG64" s="110">
        <v>0</v>
      </c>
      <c r="BH64" s="263"/>
      <c r="BI64" s="3" t="s">
        <v>2612</v>
      </c>
      <c r="BJ64" s="779"/>
      <c r="BK64" s="779"/>
      <c r="BL64" s="779"/>
      <c r="BM64" s="779"/>
      <c r="BN64" s="779"/>
      <c r="BO64" s="779"/>
      <c r="BP64" s="779"/>
      <c r="BQ64" s="779"/>
    </row>
    <row r="65" spans="1:69" ht="30" customHeight="1">
      <c r="A65" s="293">
        <f t="shared" si="2"/>
        <v>64</v>
      </c>
      <c r="B65" s="338" t="s">
        <v>861</v>
      </c>
      <c r="C65" s="338" t="s">
        <v>5018</v>
      </c>
      <c r="D65" s="207" t="s">
        <v>5019</v>
      </c>
      <c r="E65" s="1473">
        <v>3343545741</v>
      </c>
      <c r="F65" s="131" t="s">
        <v>5020</v>
      </c>
      <c r="G65" s="131"/>
      <c r="H65" s="255"/>
      <c r="I65" s="255"/>
      <c r="J65" s="258"/>
      <c r="K65" s="255"/>
      <c r="L65" s="256"/>
      <c r="M65" s="255"/>
      <c r="N65" s="598"/>
      <c r="O65" s="207"/>
      <c r="P65" s="1471" t="s">
        <v>115</v>
      </c>
      <c r="Q65" s="1471" t="s">
        <v>115</v>
      </c>
      <c r="R65" s="1471" t="s">
        <v>115</v>
      </c>
      <c r="S65" s="515"/>
      <c r="T65" s="155"/>
      <c r="U65" s="155" t="s">
        <v>2992</v>
      </c>
      <c r="V65" s="155" t="s">
        <v>2992</v>
      </c>
      <c r="W65" s="515"/>
      <c r="X65" s="155"/>
      <c r="Y65" s="155"/>
      <c r="Z65" s="155"/>
      <c r="AA65" s="515"/>
      <c r="AB65" s="155"/>
      <c r="AC65" s="155"/>
      <c r="AD65" s="155"/>
      <c r="AE65" s="808">
        <f t="shared" si="0"/>
        <v>2797</v>
      </c>
      <c r="AF65" s="761">
        <f t="shared" si="1"/>
        <v>2797</v>
      </c>
      <c r="AG65" s="110">
        <v>0</v>
      </c>
      <c r="AH65" s="808">
        <v>0</v>
      </c>
      <c r="AI65" s="1472" t="s">
        <v>3128</v>
      </c>
      <c r="AJ65" s="206">
        <v>0</v>
      </c>
      <c r="AK65" s="1474">
        <v>0</v>
      </c>
      <c r="AL65" s="1472" t="s">
        <v>3067</v>
      </c>
      <c r="AM65" s="206">
        <v>0.05</v>
      </c>
      <c r="AN65" s="1474">
        <v>0</v>
      </c>
      <c r="AO65" s="110">
        <v>2797</v>
      </c>
      <c r="AP65" s="226">
        <v>44099</v>
      </c>
      <c r="AQ65" s="110">
        <v>2797</v>
      </c>
      <c r="AR65" s="263"/>
      <c r="AS65" s="110">
        <v>0</v>
      </c>
      <c r="AT65" s="226"/>
      <c r="AU65" s="110">
        <v>0</v>
      </c>
      <c r="AV65" s="263"/>
      <c r="AW65" s="110">
        <v>0</v>
      </c>
      <c r="AX65" s="226"/>
      <c r="AY65" s="110">
        <v>0</v>
      </c>
      <c r="AZ65" s="263"/>
      <c r="BA65" s="110">
        <v>0</v>
      </c>
      <c r="BB65" s="226"/>
      <c r="BC65" s="110">
        <v>0</v>
      </c>
      <c r="BD65" s="263"/>
      <c r="BE65" s="110">
        <v>0</v>
      </c>
      <c r="BF65" s="226"/>
      <c r="BG65" s="110">
        <v>0</v>
      </c>
      <c r="BH65" s="263"/>
      <c r="BI65" s="3" t="s">
        <v>2612</v>
      </c>
      <c r="BJ65" s="779"/>
      <c r="BK65" s="779"/>
      <c r="BL65" s="779"/>
      <c r="BM65" s="779"/>
      <c r="BN65" s="779"/>
      <c r="BO65" s="779"/>
      <c r="BP65" s="779"/>
      <c r="BQ65" s="779"/>
    </row>
    <row r="66" spans="1:69" ht="30" hidden="1" customHeight="1">
      <c r="A66" s="293">
        <f t="shared" si="2"/>
        <v>65</v>
      </c>
      <c r="B66" s="338" t="s">
        <v>861</v>
      </c>
      <c r="C66" s="338" t="s">
        <v>5021</v>
      </c>
      <c r="D66" s="207" t="s">
        <v>5022</v>
      </c>
      <c r="E66" s="1473">
        <v>3667534064</v>
      </c>
      <c r="F66" s="131" t="s">
        <v>5023</v>
      </c>
      <c r="G66" s="131" t="s">
        <v>5024</v>
      </c>
      <c r="H66" s="255"/>
      <c r="I66" s="255"/>
      <c r="J66" s="258"/>
      <c r="K66" s="255"/>
      <c r="L66" s="256"/>
      <c r="M66" s="155"/>
      <c r="N66" s="598"/>
      <c r="O66" s="207"/>
      <c r="P66" s="1471" t="s">
        <v>115</v>
      </c>
      <c r="Q66" s="1471" t="s">
        <v>116</v>
      </c>
      <c r="R66" s="1471" t="s">
        <v>116</v>
      </c>
      <c r="S66" s="515"/>
      <c r="T66" s="155" t="s">
        <v>116</v>
      </c>
      <c r="U66" s="155" t="s">
        <v>116</v>
      </c>
      <c r="V66" s="155"/>
      <c r="W66" s="515"/>
      <c r="X66" s="155"/>
      <c r="Y66" s="155"/>
      <c r="Z66" s="155"/>
      <c r="AA66" s="515"/>
      <c r="AB66" s="155"/>
      <c r="AC66" s="155"/>
      <c r="AD66" s="155"/>
      <c r="AE66" s="808">
        <f t="shared" si="0"/>
        <v>2997</v>
      </c>
      <c r="AF66" s="808">
        <f t="shared" si="1"/>
        <v>2997</v>
      </c>
      <c r="AG66" s="110">
        <v>0</v>
      </c>
      <c r="AH66" s="808">
        <v>0</v>
      </c>
      <c r="AI66" s="1472" t="s">
        <v>5025</v>
      </c>
      <c r="AJ66" s="206">
        <v>0</v>
      </c>
      <c r="AK66" s="1474">
        <v>0</v>
      </c>
      <c r="AL66" s="1472" t="s">
        <v>5026</v>
      </c>
      <c r="AM66" s="206">
        <v>0.05</v>
      </c>
      <c r="AN66" s="1474">
        <v>0</v>
      </c>
      <c r="AO66" s="110">
        <v>2997</v>
      </c>
      <c r="AP66" s="226"/>
      <c r="AQ66" s="110">
        <v>2997</v>
      </c>
      <c r="AR66" s="338"/>
      <c r="AS66" s="338"/>
      <c r="AT66" s="338"/>
      <c r="AU66" s="338"/>
      <c r="AV66" s="338"/>
      <c r="AW66" s="338"/>
      <c r="AX66" s="338"/>
      <c r="AY66" s="338"/>
      <c r="AZ66" s="338"/>
      <c r="BA66" s="338"/>
      <c r="BB66" s="338"/>
      <c r="BC66" s="338"/>
      <c r="BD66" s="338"/>
      <c r="BE66" s="338"/>
      <c r="BF66" s="338"/>
      <c r="BG66" s="338"/>
      <c r="BH66" s="338"/>
      <c r="BI66" s="228"/>
      <c r="BJ66" s="729"/>
      <c r="BK66" s="729"/>
      <c r="BL66" s="729"/>
      <c r="BM66" s="729"/>
      <c r="BN66" s="729"/>
      <c r="BO66" s="729"/>
      <c r="BP66" s="729"/>
      <c r="BQ66" s="729"/>
    </row>
    <row r="67" spans="1:69" ht="30" customHeight="1">
      <c r="A67" s="293">
        <f t="shared" si="2"/>
        <v>66</v>
      </c>
      <c r="B67" s="338" t="s">
        <v>5027</v>
      </c>
      <c r="C67" s="338" t="s">
        <v>5028</v>
      </c>
      <c r="D67" s="207" t="s">
        <v>5029</v>
      </c>
      <c r="E67" s="224"/>
      <c r="F67" s="131" t="s">
        <v>5030</v>
      </c>
      <c r="G67" s="131" t="s">
        <v>5031</v>
      </c>
      <c r="H67" s="908" t="s">
        <v>5032</v>
      </c>
      <c r="I67" s="908" t="s">
        <v>5032</v>
      </c>
      <c r="J67" s="258" t="s">
        <v>3338</v>
      </c>
      <c r="K67" s="255" t="s">
        <v>3064</v>
      </c>
      <c r="L67" s="256"/>
      <c r="M67" s="155"/>
      <c r="N67" s="598"/>
      <c r="O67" s="207" t="s">
        <v>5033</v>
      </c>
      <c r="P67" s="1471" t="s">
        <v>115</v>
      </c>
      <c r="Q67" s="1471" t="s">
        <v>115</v>
      </c>
      <c r="R67" s="1471" t="s">
        <v>115</v>
      </c>
      <c r="S67" s="515"/>
      <c r="T67" s="155"/>
      <c r="U67" s="155" t="s">
        <v>2992</v>
      </c>
      <c r="V67" s="155" t="s">
        <v>2992</v>
      </c>
      <c r="W67" s="515"/>
      <c r="X67" s="155"/>
      <c r="Y67" s="155"/>
      <c r="Z67" s="155"/>
      <c r="AA67" s="515"/>
      <c r="AB67" s="155"/>
      <c r="AC67" s="155"/>
      <c r="AD67" s="155"/>
      <c r="AE67" s="808">
        <f t="shared" si="0"/>
        <v>2997</v>
      </c>
      <c r="AF67" s="761">
        <f t="shared" si="1"/>
        <v>2997</v>
      </c>
      <c r="AG67" s="110">
        <v>0</v>
      </c>
      <c r="AH67" s="808">
        <v>0</v>
      </c>
      <c r="AI67" s="1472" t="s">
        <v>5034</v>
      </c>
      <c r="AJ67" s="206">
        <v>0.15</v>
      </c>
      <c r="AK67" s="1474">
        <v>0</v>
      </c>
      <c r="AL67" s="1472" t="s">
        <v>2919</v>
      </c>
      <c r="AM67" s="206">
        <v>0.15</v>
      </c>
      <c r="AN67" s="1474">
        <v>0</v>
      </c>
      <c r="AO67" s="110">
        <v>2997</v>
      </c>
      <c r="AP67" s="226">
        <v>44104</v>
      </c>
      <c r="AQ67" s="110">
        <v>2997</v>
      </c>
      <c r="AR67" s="263"/>
      <c r="AS67" s="110"/>
      <c r="AT67" s="110"/>
      <c r="AU67" s="110"/>
      <c r="AV67" s="263"/>
      <c r="AW67" s="226"/>
      <c r="AX67" s="226"/>
      <c r="AY67" s="110"/>
      <c r="AZ67" s="263"/>
      <c r="BA67" s="110">
        <v>0</v>
      </c>
      <c r="BB67" s="226"/>
      <c r="BC67" s="110">
        <v>0</v>
      </c>
      <c r="BD67" s="263"/>
      <c r="BE67" s="110">
        <v>0</v>
      </c>
      <c r="BF67" s="226"/>
      <c r="BG67" s="110">
        <v>0</v>
      </c>
      <c r="BH67" s="263"/>
      <c r="BI67" s="3" t="s">
        <v>3002</v>
      </c>
      <c r="BJ67" s="779"/>
      <c r="BK67" s="779"/>
      <c r="BL67" s="779"/>
      <c r="BM67" s="779"/>
      <c r="BN67" s="779"/>
      <c r="BO67" s="779"/>
      <c r="BP67" s="779"/>
      <c r="BQ67" s="779"/>
    </row>
    <row r="68" spans="1:69" ht="30" hidden="1" customHeight="1">
      <c r="A68" s="293">
        <f t="shared" si="2"/>
        <v>67</v>
      </c>
      <c r="B68" s="338" t="s">
        <v>407</v>
      </c>
      <c r="C68" s="338" t="s">
        <v>3299</v>
      </c>
      <c r="D68" s="207" t="s">
        <v>3300</v>
      </c>
      <c r="E68" s="1498"/>
      <c r="F68" s="341" t="s">
        <v>3302</v>
      </c>
      <c r="G68" s="131" t="s">
        <v>3303</v>
      </c>
      <c r="H68" s="564" t="s">
        <v>3301</v>
      </c>
      <c r="I68" s="564" t="s">
        <v>3301</v>
      </c>
      <c r="J68" s="258" t="s">
        <v>3338</v>
      </c>
      <c r="K68" s="255" t="s">
        <v>3304</v>
      </c>
      <c r="L68" s="256"/>
      <c r="M68" s="1488" t="s">
        <v>3300</v>
      </c>
      <c r="N68" s="1491"/>
      <c r="O68" s="207"/>
      <c r="P68" s="1471" t="s">
        <v>115</v>
      </c>
      <c r="Q68" s="1471" t="s">
        <v>115</v>
      </c>
      <c r="R68" s="1471" t="s">
        <v>115</v>
      </c>
      <c r="S68" s="515"/>
      <c r="T68" s="155" t="s">
        <v>116</v>
      </c>
      <c r="U68" s="155" t="s">
        <v>2992</v>
      </c>
      <c r="V68" s="155"/>
      <c r="W68" s="515"/>
      <c r="X68" s="155"/>
      <c r="Y68" s="155"/>
      <c r="Z68" s="155" t="s">
        <v>2404</v>
      </c>
      <c r="AA68" s="515"/>
      <c r="AB68" s="155"/>
      <c r="AC68" s="155"/>
      <c r="AD68" s="155"/>
      <c r="AE68" s="808">
        <f t="shared" si="0"/>
        <v>2997</v>
      </c>
      <c r="AF68" s="761">
        <f t="shared" si="1"/>
        <v>2997</v>
      </c>
      <c r="AG68" s="110">
        <v>0</v>
      </c>
      <c r="AH68" s="808">
        <v>0</v>
      </c>
      <c r="AI68" s="1472" t="s">
        <v>3305</v>
      </c>
      <c r="AJ68" s="206">
        <v>0.1</v>
      </c>
      <c r="AK68" s="1474">
        <v>0</v>
      </c>
      <c r="AL68" s="1472" t="s">
        <v>3067</v>
      </c>
      <c r="AM68" s="206">
        <v>0.05</v>
      </c>
      <c r="AN68" s="1474">
        <v>0</v>
      </c>
      <c r="AO68" s="110">
        <v>2997</v>
      </c>
      <c r="AP68" s="226">
        <v>44095</v>
      </c>
      <c r="AQ68" s="110">
        <v>2997</v>
      </c>
      <c r="AR68" s="263"/>
      <c r="AS68" s="110">
        <v>0</v>
      </c>
      <c r="AT68" s="226"/>
      <c r="AU68" s="110">
        <v>0</v>
      </c>
      <c r="AV68" s="263"/>
      <c r="AW68" s="110">
        <v>0</v>
      </c>
      <c r="AX68" s="226"/>
      <c r="AY68" s="110">
        <v>0</v>
      </c>
      <c r="AZ68" s="263"/>
      <c r="BA68" s="110">
        <v>0</v>
      </c>
      <c r="BB68" s="226"/>
      <c r="BC68" s="110">
        <v>0</v>
      </c>
      <c r="BD68" s="263"/>
      <c r="BE68" s="110">
        <v>0</v>
      </c>
      <c r="BF68" s="226"/>
      <c r="BG68" s="110">
        <v>0</v>
      </c>
      <c r="BH68" s="263"/>
      <c r="BI68" s="3" t="s">
        <v>2612</v>
      </c>
      <c r="BJ68" s="779"/>
      <c r="BK68" s="779"/>
      <c r="BL68" s="779"/>
      <c r="BM68" s="779"/>
      <c r="BN68" s="779"/>
      <c r="BO68" s="779"/>
      <c r="BP68" s="779"/>
      <c r="BQ68" s="779"/>
    </row>
    <row r="69" spans="1:69" ht="30" hidden="1" customHeight="1">
      <c r="A69" s="293">
        <f t="shared" si="2"/>
        <v>68</v>
      </c>
      <c r="B69" s="338" t="s">
        <v>407</v>
      </c>
      <c r="C69" s="338" t="s">
        <v>3309</v>
      </c>
      <c r="D69" s="207" t="s">
        <v>3310</v>
      </c>
      <c r="E69" s="1473">
        <v>3342830695</v>
      </c>
      <c r="F69" s="251" t="s">
        <v>3312</v>
      </c>
      <c r="G69" s="131" t="s">
        <v>3303</v>
      </c>
      <c r="H69" s="564" t="s">
        <v>3311</v>
      </c>
      <c r="I69" s="255"/>
      <c r="J69" s="258" t="s">
        <v>3338</v>
      </c>
      <c r="K69" s="255" t="s">
        <v>2275</v>
      </c>
      <c r="L69" s="256" t="s">
        <v>3314</v>
      </c>
      <c r="M69" s="1503" t="s">
        <v>3313</v>
      </c>
      <c r="N69" s="598"/>
      <c r="O69" s="207"/>
      <c r="P69" s="1471" t="s">
        <v>115</v>
      </c>
      <c r="Q69" s="1471" t="s">
        <v>115</v>
      </c>
      <c r="R69" s="1471" t="s">
        <v>115</v>
      </c>
      <c r="S69" s="603"/>
      <c r="T69" s="155"/>
      <c r="U69" s="155"/>
      <c r="V69" s="155"/>
      <c r="W69" s="603"/>
      <c r="X69" s="155"/>
      <c r="Y69" s="155" t="s">
        <v>2404</v>
      </c>
      <c r="Z69" s="155" t="s">
        <v>2404</v>
      </c>
      <c r="AA69" s="603"/>
      <c r="AB69" s="155"/>
      <c r="AC69" s="155"/>
      <c r="AD69" s="155"/>
      <c r="AE69" s="808">
        <f t="shared" si="0"/>
        <v>2997</v>
      </c>
      <c r="AF69" s="761">
        <f t="shared" si="1"/>
        <v>2997</v>
      </c>
      <c r="AG69" s="110">
        <v>0</v>
      </c>
      <c r="AH69" s="808">
        <v>0</v>
      </c>
      <c r="AI69" s="1472" t="s">
        <v>3315</v>
      </c>
      <c r="AJ69" s="206">
        <v>0</v>
      </c>
      <c r="AK69" s="1474">
        <v>0</v>
      </c>
      <c r="AL69" s="1472" t="s">
        <v>3067</v>
      </c>
      <c r="AM69" s="206">
        <v>0.05</v>
      </c>
      <c r="AN69" s="1474">
        <v>0</v>
      </c>
      <c r="AO69" s="262">
        <v>2997</v>
      </c>
      <c r="AP69" s="226">
        <v>44092</v>
      </c>
      <c r="AQ69" s="110">
        <v>2997</v>
      </c>
      <c r="AR69" s="263"/>
      <c r="AS69" s="110">
        <v>0</v>
      </c>
      <c r="AT69" s="226"/>
      <c r="AU69" s="110">
        <v>0</v>
      </c>
      <c r="AV69" s="263"/>
      <c r="AW69" s="110">
        <v>0</v>
      </c>
      <c r="AX69" s="226"/>
      <c r="AY69" s="110">
        <v>0</v>
      </c>
      <c r="AZ69" s="263"/>
      <c r="BA69" s="110">
        <v>0</v>
      </c>
      <c r="BB69" s="226"/>
      <c r="BC69" s="110">
        <v>0</v>
      </c>
      <c r="BD69" s="263"/>
      <c r="BE69" s="110">
        <v>0</v>
      </c>
      <c r="BF69" s="226"/>
      <c r="BG69" s="110">
        <v>0</v>
      </c>
      <c r="BH69" s="263"/>
      <c r="BI69" s="3" t="s">
        <v>2612</v>
      </c>
      <c r="BJ69" s="779"/>
      <c r="BK69" s="779"/>
      <c r="BL69" s="779"/>
      <c r="BM69" s="779"/>
      <c r="BN69" s="779"/>
      <c r="BO69" s="779"/>
      <c r="BP69" s="779"/>
      <c r="BQ69" s="779"/>
    </row>
    <row r="70" spans="1:69" ht="30" customHeight="1">
      <c r="A70" s="293">
        <f t="shared" si="2"/>
        <v>69</v>
      </c>
      <c r="B70" s="338" t="s">
        <v>5035</v>
      </c>
      <c r="C70" s="338" t="s">
        <v>2315</v>
      </c>
      <c r="D70" s="207" t="s">
        <v>5036</v>
      </c>
      <c r="E70" s="1473">
        <v>3484948088</v>
      </c>
      <c r="F70" s="251" t="s">
        <v>5037</v>
      </c>
      <c r="G70" s="131" t="s">
        <v>4870</v>
      </c>
      <c r="H70" s="255" t="s">
        <v>5038</v>
      </c>
      <c r="I70" s="328"/>
      <c r="J70" s="258" t="s">
        <v>3338</v>
      </c>
      <c r="K70" s="255"/>
      <c r="L70" s="256"/>
      <c r="M70" s="976"/>
      <c r="N70" s="131"/>
      <c r="O70" s="207"/>
      <c r="P70" s="1471"/>
      <c r="Q70" s="1471"/>
      <c r="R70" s="1471"/>
      <c r="S70" s="198"/>
      <c r="T70" s="258" t="s">
        <v>115</v>
      </c>
      <c r="U70" s="258" t="s">
        <v>115</v>
      </c>
      <c r="V70" s="258" t="s">
        <v>115</v>
      </c>
      <c r="W70" s="198"/>
      <c r="X70" s="258"/>
      <c r="Y70" s="258"/>
      <c r="Z70" s="258"/>
      <c r="AA70" s="198"/>
      <c r="AB70" s="258"/>
      <c r="AC70" s="258"/>
      <c r="AD70" s="258"/>
      <c r="AE70" s="808">
        <f t="shared" si="0"/>
        <v>2997</v>
      </c>
      <c r="AF70" s="808">
        <f t="shared" si="1"/>
        <v>2997</v>
      </c>
      <c r="AG70" s="110">
        <f>AF70</f>
        <v>2997</v>
      </c>
      <c r="AH70" s="808">
        <f>AE70-AG70</f>
        <v>0</v>
      </c>
      <c r="AI70" s="1477" t="s">
        <v>4872</v>
      </c>
      <c r="AJ70" s="206">
        <v>0.1</v>
      </c>
      <c r="AK70" s="808">
        <f>AF70*AJ70</f>
        <v>299.7</v>
      </c>
      <c r="AL70" s="1472" t="s">
        <v>4873</v>
      </c>
      <c r="AM70" s="778">
        <v>0.1</v>
      </c>
      <c r="AN70" s="808">
        <f>AF70*AM70</f>
        <v>299.7</v>
      </c>
      <c r="AO70" s="110">
        <v>2997</v>
      </c>
      <c r="AP70" s="365">
        <v>43742</v>
      </c>
      <c r="AQ70" s="110">
        <v>2997</v>
      </c>
      <c r="AR70" s="338"/>
      <c r="AS70" s="338"/>
      <c r="AT70" s="338"/>
      <c r="AU70" s="338"/>
      <c r="AV70" s="338"/>
      <c r="AW70" s="338"/>
      <c r="AX70" s="338"/>
      <c r="AY70" s="338"/>
      <c r="AZ70" s="338"/>
      <c r="BA70" s="1504"/>
      <c r="BB70" s="1504"/>
      <c r="BC70" s="1504"/>
      <c r="BD70" s="1504"/>
      <c r="BE70" s="1504"/>
      <c r="BF70" s="1504"/>
      <c r="BG70" s="1504"/>
      <c r="BH70" s="1504"/>
      <c r="BI70" s="3"/>
      <c r="BJ70" s="779"/>
      <c r="BK70" s="779"/>
      <c r="BL70" s="779"/>
      <c r="BM70" s="779"/>
      <c r="BN70" s="779"/>
      <c r="BO70" s="779"/>
      <c r="BP70" s="779"/>
      <c r="BQ70" s="779"/>
    </row>
    <row r="71" spans="1:69" ht="30" customHeight="1">
      <c r="A71" s="293">
        <f t="shared" si="2"/>
        <v>70</v>
      </c>
      <c r="B71" s="338" t="s">
        <v>895</v>
      </c>
      <c r="C71" s="338" t="s">
        <v>5039</v>
      </c>
      <c r="D71" s="207" t="s">
        <v>5040</v>
      </c>
      <c r="E71" s="1473">
        <v>3891560554</v>
      </c>
      <c r="F71" s="251" t="s">
        <v>5041</v>
      </c>
      <c r="G71" s="131" t="s">
        <v>5042</v>
      </c>
      <c r="H71" s="564" t="s">
        <v>5043</v>
      </c>
      <c r="I71" s="563" t="s">
        <v>5043</v>
      </c>
      <c r="J71" s="258" t="s">
        <v>3338</v>
      </c>
      <c r="K71" s="255" t="s">
        <v>5044</v>
      </c>
      <c r="L71" s="256"/>
      <c r="M71" s="255" t="s">
        <v>5040</v>
      </c>
      <c r="N71" s="598"/>
      <c r="O71" s="207"/>
      <c r="P71" s="1471" t="s">
        <v>115</v>
      </c>
      <c r="Q71" s="1471" t="s">
        <v>115</v>
      </c>
      <c r="R71" s="1471" t="s">
        <v>115</v>
      </c>
      <c r="S71" s="515"/>
      <c r="T71" s="155" t="s">
        <v>116</v>
      </c>
      <c r="U71" s="155" t="s">
        <v>116</v>
      </c>
      <c r="V71" s="155" t="s">
        <v>116</v>
      </c>
      <c r="W71" s="515"/>
      <c r="X71" s="258"/>
      <c r="Y71" s="258"/>
      <c r="Z71" s="258"/>
      <c r="AA71" s="515"/>
      <c r="AB71" s="258"/>
      <c r="AC71" s="258"/>
      <c r="AD71" s="258"/>
      <c r="AE71" s="808">
        <f t="shared" si="0"/>
        <v>2997</v>
      </c>
      <c r="AF71" s="761">
        <f t="shared" si="1"/>
        <v>2997</v>
      </c>
      <c r="AG71" s="110">
        <v>0</v>
      </c>
      <c r="AH71" s="808">
        <v>0</v>
      </c>
      <c r="AI71" s="1472" t="s">
        <v>3128</v>
      </c>
      <c r="AJ71" s="206">
        <v>0</v>
      </c>
      <c r="AK71" s="1474">
        <v>0</v>
      </c>
      <c r="AL71" s="1472" t="s">
        <v>3001</v>
      </c>
      <c r="AM71" s="206">
        <v>0.05</v>
      </c>
      <c r="AN71" s="1505">
        <v>0</v>
      </c>
      <c r="AO71" s="378">
        <v>2997</v>
      </c>
      <c r="AP71" s="226">
        <v>44092</v>
      </c>
      <c r="AQ71" s="110">
        <v>2997</v>
      </c>
      <c r="AR71" s="263"/>
      <c r="AS71" s="110">
        <v>0</v>
      </c>
      <c r="AT71" s="226"/>
      <c r="AU71" s="110">
        <v>0</v>
      </c>
      <c r="AV71" s="263"/>
      <c r="AW71" s="110">
        <v>0</v>
      </c>
      <c r="AX71" s="226"/>
      <c r="AY71" s="110">
        <v>0</v>
      </c>
      <c r="AZ71" s="263"/>
      <c r="BA71" s="1506">
        <v>0</v>
      </c>
      <c r="BB71" s="1507"/>
      <c r="BC71" s="1506">
        <v>0</v>
      </c>
      <c r="BD71" s="1508"/>
      <c r="BE71" s="1506">
        <v>0</v>
      </c>
      <c r="BF71" s="1507"/>
      <c r="BG71" s="1506">
        <v>0</v>
      </c>
      <c r="BH71" s="1508"/>
      <c r="BI71" s="3" t="s">
        <v>2612</v>
      </c>
      <c r="BJ71" s="779"/>
      <c r="BK71" s="779"/>
      <c r="BL71" s="779"/>
      <c r="BM71" s="779"/>
      <c r="BN71" s="779"/>
      <c r="BO71" s="779"/>
      <c r="BP71" s="779"/>
      <c r="BQ71" s="779"/>
    </row>
    <row r="72" spans="1:69" ht="30" hidden="1" customHeight="1">
      <c r="A72" s="293">
        <f t="shared" si="2"/>
        <v>71</v>
      </c>
      <c r="B72" s="338" t="s">
        <v>5045</v>
      </c>
      <c r="C72" s="338" t="s">
        <v>2268</v>
      </c>
      <c r="D72" s="294" t="s">
        <v>2269</v>
      </c>
      <c r="E72" s="1473"/>
      <c r="F72" s="131" t="s">
        <v>5046</v>
      </c>
      <c r="G72" s="131" t="s">
        <v>2273</v>
      </c>
      <c r="H72" s="564" t="s">
        <v>2271</v>
      </c>
      <c r="I72" s="564" t="s">
        <v>2271</v>
      </c>
      <c r="J72" s="1485" t="s">
        <v>3338</v>
      </c>
      <c r="K72" s="255" t="s">
        <v>2275</v>
      </c>
      <c r="L72" s="256" t="s">
        <v>2276</v>
      </c>
      <c r="M72" s="1509" t="s">
        <v>2274</v>
      </c>
      <c r="N72" s="598"/>
      <c r="O72" s="207" t="s">
        <v>5047</v>
      </c>
      <c r="P72" s="1471"/>
      <c r="Q72" s="1471" t="s">
        <v>115</v>
      </c>
      <c r="R72" s="1471" t="s">
        <v>115</v>
      </c>
      <c r="S72" s="515"/>
      <c r="T72" s="155"/>
      <c r="U72" s="155"/>
      <c r="V72" s="155"/>
      <c r="W72" s="515"/>
      <c r="X72" s="155" t="s">
        <v>115</v>
      </c>
      <c r="Y72" s="155" t="s">
        <v>2404</v>
      </c>
      <c r="Z72" s="155" t="s">
        <v>2404</v>
      </c>
      <c r="AA72" s="515"/>
      <c r="AB72" s="155"/>
      <c r="AC72" s="155"/>
      <c r="AD72" s="155"/>
      <c r="AE72" s="808">
        <f t="shared" si="0"/>
        <v>2997</v>
      </c>
      <c r="AF72" s="761">
        <f t="shared" si="1"/>
        <v>2997</v>
      </c>
      <c r="AG72" s="110">
        <v>0</v>
      </c>
      <c r="AH72" s="808">
        <v>900</v>
      </c>
      <c r="AI72" s="1472" t="s">
        <v>5048</v>
      </c>
      <c r="AJ72" s="206">
        <v>0.15</v>
      </c>
      <c r="AK72" s="1474">
        <v>0</v>
      </c>
      <c r="AL72" s="1472" t="s">
        <v>5048</v>
      </c>
      <c r="AM72" s="206">
        <v>0.15</v>
      </c>
      <c r="AN72" s="1474">
        <v>0</v>
      </c>
      <c r="AO72" s="110">
        <v>2997</v>
      </c>
      <c r="AP72" s="226">
        <v>44134</v>
      </c>
      <c r="AQ72" s="110">
        <v>2997</v>
      </c>
      <c r="AR72" s="263"/>
      <c r="AS72" s="110">
        <v>0</v>
      </c>
      <c r="AT72" s="226"/>
      <c r="AU72" s="110">
        <v>0</v>
      </c>
      <c r="AV72" s="263"/>
      <c r="AW72" s="110">
        <v>0</v>
      </c>
      <c r="AX72" s="226"/>
      <c r="AY72" s="110">
        <v>0</v>
      </c>
      <c r="AZ72" s="263"/>
      <c r="BA72" s="110">
        <v>0</v>
      </c>
      <c r="BB72" s="226"/>
      <c r="BC72" s="110">
        <v>0</v>
      </c>
      <c r="BD72" s="263"/>
      <c r="BE72" s="110">
        <v>0</v>
      </c>
      <c r="BF72" s="226"/>
      <c r="BG72" s="110">
        <v>0</v>
      </c>
      <c r="BH72" s="263"/>
      <c r="BI72" s="3" t="s">
        <v>2612</v>
      </c>
      <c r="BJ72" s="779"/>
      <c r="BK72" s="779"/>
      <c r="BL72" s="779"/>
      <c r="BM72" s="779"/>
      <c r="BN72" s="779"/>
      <c r="BO72" s="779"/>
      <c r="BP72" s="779"/>
      <c r="BQ72" s="779"/>
    </row>
    <row r="73" spans="1:69" ht="30" customHeight="1">
      <c r="A73" s="293">
        <f t="shared" si="2"/>
        <v>72</v>
      </c>
      <c r="B73" s="338" t="s">
        <v>4060</v>
      </c>
      <c r="C73" s="338" t="s">
        <v>5049</v>
      </c>
      <c r="D73" s="207" t="s">
        <v>5050</v>
      </c>
      <c r="E73" s="1473">
        <v>3289819198</v>
      </c>
      <c r="F73" s="289" t="s">
        <v>5051</v>
      </c>
      <c r="G73" s="289" t="s">
        <v>5052</v>
      </c>
      <c r="H73" s="976"/>
      <c r="I73" s="1510" t="s">
        <v>5053</v>
      </c>
      <c r="J73" s="1493" t="s">
        <v>4916</v>
      </c>
      <c r="K73" s="255"/>
      <c r="L73" s="256"/>
      <c r="M73" s="155" t="s">
        <v>5050</v>
      </c>
      <c r="N73" s="598"/>
      <c r="O73" s="207"/>
      <c r="P73" s="1471"/>
      <c r="Q73" s="1471"/>
      <c r="R73" s="1471"/>
      <c r="S73" s="515"/>
      <c r="T73" s="155" t="s">
        <v>115</v>
      </c>
      <c r="U73" s="155" t="s">
        <v>115</v>
      </c>
      <c r="V73" s="155" t="s">
        <v>115</v>
      </c>
      <c r="W73" s="515"/>
      <c r="X73" s="155"/>
      <c r="Y73" s="155"/>
      <c r="Z73" s="155"/>
      <c r="AA73" s="515"/>
      <c r="AB73" s="155"/>
      <c r="AC73" s="155"/>
      <c r="AD73" s="155"/>
      <c r="AE73" s="808">
        <f t="shared" si="0"/>
        <v>2997</v>
      </c>
      <c r="AF73" s="761">
        <f t="shared" si="1"/>
        <v>2997</v>
      </c>
      <c r="AG73" s="110">
        <f t="shared" ref="AG73:AG89" si="5">AF73</f>
        <v>2997</v>
      </c>
      <c r="AH73" s="808">
        <f t="shared" ref="AH73:AH138" si="6">AE73-AG73</f>
        <v>0</v>
      </c>
      <c r="AI73" s="1472" t="s">
        <v>117</v>
      </c>
      <c r="AJ73" s="983">
        <v>0</v>
      </c>
      <c r="AK73" s="902">
        <f t="shared" ref="AK73:AK74" si="7">AJ73*AE73</f>
        <v>0</v>
      </c>
      <c r="AL73" s="1475" t="s">
        <v>5054</v>
      </c>
      <c r="AM73" s="206">
        <v>0.05</v>
      </c>
      <c r="AN73" s="902">
        <f t="shared" ref="AN73:AN74" si="8">AM73*AG73</f>
        <v>149.85</v>
      </c>
      <c r="AO73" s="110">
        <v>2997</v>
      </c>
      <c r="AP73" s="226">
        <v>44092</v>
      </c>
      <c r="AQ73" s="110">
        <v>2997</v>
      </c>
      <c r="AR73" s="263"/>
      <c r="AS73" s="110">
        <v>0</v>
      </c>
      <c r="AT73" s="226"/>
      <c r="AU73" s="110">
        <v>0</v>
      </c>
      <c r="AV73" s="263"/>
      <c r="AW73" s="110">
        <v>0</v>
      </c>
      <c r="AX73" s="226"/>
      <c r="AY73" s="110">
        <v>0</v>
      </c>
      <c r="AZ73" s="263"/>
      <c r="BA73" s="110">
        <v>0</v>
      </c>
      <c r="BB73" s="226"/>
      <c r="BC73" s="110">
        <v>0</v>
      </c>
      <c r="BD73" s="263"/>
      <c r="BE73" s="110">
        <v>0</v>
      </c>
      <c r="BF73" s="226"/>
      <c r="BG73" s="110">
        <v>0</v>
      </c>
      <c r="BH73" s="263"/>
      <c r="BI73" s="3" t="s">
        <v>2612</v>
      </c>
      <c r="BJ73" s="779"/>
      <c r="BK73" s="779"/>
      <c r="BL73" s="779"/>
      <c r="BM73" s="779"/>
      <c r="BN73" s="779"/>
      <c r="BO73" s="779"/>
      <c r="BP73" s="779"/>
      <c r="BQ73" s="779"/>
    </row>
    <row r="74" spans="1:69" ht="30" customHeight="1">
      <c r="A74" s="293">
        <f t="shared" si="2"/>
        <v>73</v>
      </c>
      <c r="B74" s="1511" t="s">
        <v>188</v>
      </c>
      <c r="C74" s="1511" t="s">
        <v>3829</v>
      </c>
      <c r="D74" s="207" t="s">
        <v>5055</v>
      </c>
      <c r="E74" s="207" t="s">
        <v>5056</v>
      </c>
      <c r="F74" s="207" t="s">
        <v>5057</v>
      </c>
      <c r="G74" s="207" t="s">
        <v>4870</v>
      </c>
      <c r="H74" s="207" t="s">
        <v>5058</v>
      </c>
      <c r="I74" s="207" t="s">
        <v>5053</v>
      </c>
      <c r="J74" s="155" t="s">
        <v>4916</v>
      </c>
      <c r="K74" s="255"/>
      <c r="L74" s="256"/>
      <c r="M74" s="155"/>
      <c r="N74" s="598"/>
      <c r="O74" s="207"/>
      <c r="P74" s="1471"/>
      <c r="Q74" s="1471"/>
      <c r="R74" s="1471"/>
      <c r="S74" s="515"/>
      <c r="T74" s="155" t="s">
        <v>115</v>
      </c>
      <c r="U74" s="155" t="s">
        <v>115</v>
      </c>
      <c r="V74" s="155" t="s">
        <v>115</v>
      </c>
      <c r="W74" s="515"/>
      <c r="X74" s="155"/>
      <c r="Y74" s="155"/>
      <c r="Z74" s="155"/>
      <c r="AA74" s="515"/>
      <c r="AB74" s="155"/>
      <c r="AC74" s="155"/>
      <c r="AD74" s="155"/>
      <c r="AE74" s="808">
        <f t="shared" si="0"/>
        <v>2997</v>
      </c>
      <c r="AF74" s="761">
        <f t="shared" si="1"/>
        <v>2997</v>
      </c>
      <c r="AG74" s="110">
        <f t="shared" si="5"/>
        <v>2997</v>
      </c>
      <c r="AH74" s="808">
        <f t="shared" si="6"/>
        <v>0</v>
      </c>
      <c r="AI74" s="1477" t="s">
        <v>4872</v>
      </c>
      <c r="AJ74" s="206">
        <v>0.1</v>
      </c>
      <c r="AK74" s="808">
        <f t="shared" si="7"/>
        <v>299.7</v>
      </c>
      <c r="AL74" s="1472" t="s">
        <v>4873</v>
      </c>
      <c r="AM74" s="1478">
        <v>0.1</v>
      </c>
      <c r="AN74" s="902">
        <f t="shared" si="8"/>
        <v>299.7</v>
      </c>
      <c r="AO74" s="110">
        <v>2997</v>
      </c>
      <c r="AP74" s="365">
        <v>43742</v>
      </c>
      <c r="AQ74" s="110">
        <v>2997</v>
      </c>
      <c r="AR74" s="263"/>
      <c r="AS74" s="110">
        <v>0</v>
      </c>
      <c r="AT74" s="226"/>
      <c r="AU74" s="110">
        <v>0</v>
      </c>
      <c r="AV74" s="263"/>
      <c r="AW74" s="110">
        <v>0</v>
      </c>
      <c r="AX74" s="226"/>
      <c r="AY74" s="110">
        <v>0</v>
      </c>
      <c r="AZ74" s="263"/>
      <c r="BA74" s="110">
        <v>0</v>
      </c>
      <c r="BB74" s="226"/>
      <c r="BC74" s="110">
        <v>0</v>
      </c>
      <c r="BD74" s="263"/>
      <c r="BE74" s="110">
        <v>0</v>
      </c>
      <c r="BF74" s="226"/>
      <c r="BG74" s="110">
        <v>0</v>
      </c>
      <c r="BH74" s="263"/>
      <c r="BI74" s="3" t="s">
        <v>2612</v>
      </c>
      <c r="BJ74" s="779"/>
      <c r="BK74" s="779"/>
      <c r="BL74" s="779"/>
      <c r="BM74" s="779"/>
      <c r="BN74" s="779"/>
      <c r="BO74" s="779"/>
      <c r="BP74" s="779"/>
      <c r="BQ74" s="779"/>
    </row>
    <row r="75" spans="1:69" ht="30" customHeight="1">
      <c r="A75" s="245">
        <v>1</v>
      </c>
      <c r="B75" s="1512" t="s">
        <v>238</v>
      </c>
      <c r="C75" s="1512" t="s">
        <v>5059</v>
      </c>
      <c r="D75" s="207" t="s">
        <v>5060</v>
      </c>
      <c r="E75" s="1473"/>
      <c r="F75" s="251" t="s">
        <v>5061</v>
      </c>
      <c r="G75" s="251"/>
      <c r="H75" s="251"/>
      <c r="I75" s="251"/>
      <c r="J75" s="251"/>
      <c r="K75" s="255"/>
      <c r="L75" s="256"/>
      <c r="M75" s="155"/>
      <c r="N75" s="131"/>
      <c r="O75" s="207"/>
      <c r="P75" s="155"/>
      <c r="Q75" s="155"/>
      <c r="R75" s="155"/>
      <c r="S75" s="211"/>
      <c r="T75" s="155" t="s">
        <v>115</v>
      </c>
      <c r="U75" s="155" t="s">
        <v>115</v>
      </c>
      <c r="V75" s="155" t="s">
        <v>115</v>
      </c>
      <c r="W75" s="211"/>
      <c r="X75" s="155"/>
      <c r="Y75" s="155"/>
      <c r="Z75" s="155"/>
      <c r="AA75" s="211"/>
      <c r="AB75" s="155"/>
      <c r="AC75" s="155"/>
      <c r="AD75" s="155"/>
      <c r="AE75" s="808">
        <f t="shared" si="0"/>
        <v>2997</v>
      </c>
      <c r="AF75" s="761">
        <f t="shared" si="1"/>
        <v>2997</v>
      </c>
      <c r="AG75" s="110">
        <f t="shared" si="5"/>
        <v>2997</v>
      </c>
      <c r="AH75" s="808">
        <f t="shared" si="6"/>
        <v>0</v>
      </c>
      <c r="AI75" s="1472" t="s">
        <v>3187</v>
      </c>
      <c r="AJ75" s="111">
        <v>0.05</v>
      </c>
      <c r="AK75" s="1224">
        <f t="shared" ref="AK75:AK179" si="9">AF75*AJ75</f>
        <v>149.85</v>
      </c>
      <c r="AL75" s="1479" t="s">
        <v>3187</v>
      </c>
      <c r="AM75" s="206">
        <v>0.15</v>
      </c>
      <c r="AN75" s="808">
        <f t="shared" ref="AN75:AN179" si="10">AM75*AF75</f>
        <v>449.55</v>
      </c>
      <c r="AO75" s="110">
        <v>2997</v>
      </c>
      <c r="AP75" s="226">
        <v>44438</v>
      </c>
      <c r="AQ75" s="110">
        <v>2997</v>
      </c>
      <c r="AR75" s="263"/>
      <c r="AS75" s="110">
        <v>0</v>
      </c>
      <c r="AT75" s="226"/>
      <c r="AU75" s="110">
        <v>0</v>
      </c>
      <c r="AV75" s="263"/>
      <c r="AW75" s="110">
        <v>0</v>
      </c>
      <c r="AX75" s="226"/>
      <c r="AY75" s="110">
        <v>0</v>
      </c>
      <c r="AZ75" s="263"/>
      <c r="BA75" s="110">
        <v>0</v>
      </c>
      <c r="BB75" s="226"/>
      <c r="BC75" s="110">
        <v>0</v>
      </c>
      <c r="BD75" s="263"/>
      <c r="BE75" s="110">
        <v>0</v>
      </c>
      <c r="BF75" s="226"/>
      <c r="BG75" s="110">
        <v>0</v>
      </c>
      <c r="BH75" s="263"/>
      <c r="BI75" s="3" t="s">
        <v>2612</v>
      </c>
      <c r="BJ75" s="779"/>
      <c r="BK75" s="779"/>
      <c r="BL75" s="779"/>
      <c r="BM75" s="779"/>
      <c r="BN75" s="779"/>
      <c r="BO75" s="779"/>
      <c r="BP75" s="779"/>
      <c r="BQ75" s="779"/>
    </row>
    <row r="76" spans="1:69" ht="30" customHeight="1">
      <c r="A76" s="245">
        <f t="shared" ref="A76:A88" si="11">A75+1</f>
        <v>2</v>
      </c>
      <c r="B76" s="1512" t="s">
        <v>287</v>
      </c>
      <c r="C76" s="1512" t="s">
        <v>5062</v>
      </c>
      <c r="D76" s="294" t="s">
        <v>5063</v>
      </c>
      <c r="E76" s="1473"/>
      <c r="F76" s="251" t="s">
        <v>5064</v>
      </c>
      <c r="G76" s="251"/>
      <c r="H76" s="251"/>
      <c r="I76" s="251"/>
      <c r="J76" s="251"/>
      <c r="K76" s="255"/>
      <c r="L76" s="256"/>
      <c r="M76" s="155"/>
      <c r="N76" s="131"/>
      <c r="O76" s="207"/>
      <c r="P76" s="155"/>
      <c r="Q76" s="155"/>
      <c r="R76" s="155"/>
      <c r="S76" s="211"/>
      <c r="T76" s="155" t="s">
        <v>115</v>
      </c>
      <c r="U76" s="155" t="s">
        <v>115</v>
      </c>
      <c r="V76" s="155" t="s">
        <v>115</v>
      </c>
      <c r="W76" s="211"/>
      <c r="X76" s="155"/>
      <c r="Y76" s="155"/>
      <c r="Z76" s="155"/>
      <c r="AA76" s="211"/>
      <c r="AB76" s="155"/>
      <c r="AC76" s="155"/>
      <c r="AD76" s="155"/>
      <c r="AE76" s="808">
        <f t="shared" si="0"/>
        <v>3497</v>
      </c>
      <c r="AF76" s="761">
        <f t="shared" si="1"/>
        <v>3497</v>
      </c>
      <c r="AG76" s="110">
        <f t="shared" si="5"/>
        <v>3497</v>
      </c>
      <c r="AH76" s="808">
        <f t="shared" si="6"/>
        <v>0</v>
      </c>
      <c r="AI76" s="1472" t="s">
        <v>5065</v>
      </c>
      <c r="AJ76" s="206">
        <v>0.15</v>
      </c>
      <c r="AK76" s="808">
        <f t="shared" si="9"/>
        <v>524.54999999999995</v>
      </c>
      <c r="AL76" s="1472" t="s">
        <v>5065</v>
      </c>
      <c r="AM76" s="206">
        <v>0.15</v>
      </c>
      <c r="AN76" s="808">
        <f t="shared" si="10"/>
        <v>524.54999999999995</v>
      </c>
      <c r="AO76" s="110">
        <v>700</v>
      </c>
      <c r="AP76" s="226">
        <v>44301</v>
      </c>
      <c r="AQ76" s="110">
        <v>700</v>
      </c>
      <c r="AR76" s="263"/>
      <c r="AS76" s="110">
        <v>1398.5</v>
      </c>
      <c r="AT76" s="226">
        <v>44479</v>
      </c>
      <c r="AU76" s="110">
        <v>1398.5</v>
      </c>
      <c r="AV76" s="226"/>
      <c r="AW76" s="110">
        <v>1398.5</v>
      </c>
      <c r="AX76" s="226">
        <v>44510</v>
      </c>
      <c r="AY76" s="110">
        <v>1398.5</v>
      </c>
      <c r="AZ76" s="263"/>
      <c r="BA76" s="110">
        <v>0</v>
      </c>
      <c r="BB76" s="226"/>
      <c r="BC76" s="110">
        <v>0</v>
      </c>
      <c r="BD76" s="263"/>
      <c r="BE76" s="110">
        <v>0</v>
      </c>
      <c r="BF76" s="226"/>
      <c r="BG76" s="110">
        <v>0</v>
      </c>
      <c r="BH76" s="263"/>
      <c r="BI76" s="3" t="s">
        <v>2612</v>
      </c>
      <c r="BJ76" s="779"/>
      <c r="BK76" s="779"/>
      <c r="BL76" s="779"/>
      <c r="BM76" s="779"/>
      <c r="BN76" s="779"/>
      <c r="BO76" s="779"/>
      <c r="BP76" s="779"/>
      <c r="BQ76" s="779"/>
    </row>
    <row r="77" spans="1:69" ht="30" customHeight="1">
      <c r="A77" s="245">
        <f t="shared" si="11"/>
        <v>3</v>
      </c>
      <c r="B77" s="1512" t="s">
        <v>166</v>
      </c>
      <c r="C77" s="1512" t="s">
        <v>5066</v>
      </c>
      <c r="D77" s="294" t="s">
        <v>5067</v>
      </c>
      <c r="E77" s="1473"/>
      <c r="F77" s="251"/>
      <c r="G77" s="251"/>
      <c r="H77" s="251"/>
      <c r="I77" s="251"/>
      <c r="J77" s="251"/>
      <c r="K77" s="255"/>
      <c r="L77" s="256"/>
      <c r="M77" s="155"/>
      <c r="N77" s="131"/>
      <c r="O77" s="207"/>
      <c r="P77" s="155"/>
      <c r="Q77" s="155"/>
      <c r="R77" s="155"/>
      <c r="S77" s="211"/>
      <c r="T77" s="155" t="s">
        <v>115</v>
      </c>
      <c r="U77" s="155" t="s">
        <v>115</v>
      </c>
      <c r="V77" s="155" t="s">
        <v>115</v>
      </c>
      <c r="W77" s="211"/>
      <c r="X77" s="155"/>
      <c r="Y77" s="155"/>
      <c r="Z77" s="155"/>
      <c r="AA77" s="211"/>
      <c r="AB77" s="155"/>
      <c r="AC77" s="155"/>
      <c r="AD77" s="155"/>
      <c r="AE77" s="808">
        <f t="shared" si="0"/>
        <v>2997</v>
      </c>
      <c r="AF77" s="761">
        <f t="shared" si="1"/>
        <v>2997</v>
      </c>
      <c r="AG77" s="110">
        <f t="shared" si="5"/>
        <v>2997</v>
      </c>
      <c r="AH77" s="808">
        <f t="shared" si="6"/>
        <v>0</v>
      </c>
      <c r="AI77" s="1472" t="s">
        <v>262</v>
      </c>
      <c r="AJ77" s="206">
        <v>0.15</v>
      </c>
      <c r="AK77" s="808">
        <f t="shared" si="9"/>
        <v>449.55</v>
      </c>
      <c r="AL77" s="1472" t="s">
        <v>262</v>
      </c>
      <c r="AM77" s="206">
        <v>0.15</v>
      </c>
      <c r="AN77" s="808">
        <f t="shared" si="10"/>
        <v>449.55</v>
      </c>
      <c r="AO77" s="110">
        <v>2997</v>
      </c>
      <c r="AP77" s="226"/>
      <c r="AQ77" s="110">
        <v>2997</v>
      </c>
      <c r="AR77" s="263"/>
      <c r="AS77" s="110">
        <v>0</v>
      </c>
      <c r="AT77" s="226"/>
      <c r="AU77" s="110">
        <v>0</v>
      </c>
      <c r="AV77" s="263"/>
      <c r="AW77" s="110">
        <v>0</v>
      </c>
      <c r="AX77" s="226"/>
      <c r="AY77" s="110">
        <v>0</v>
      </c>
      <c r="AZ77" s="263"/>
      <c r="BA77" s="110">
        <v>0</v>
      </c>
      <c r="BB77" s="226"/>
      <c r="BC77" s="110">
        <v>0</v>
      </c>
      <c r="BD77" s="263"/>
      <c r="BE77" s="110">
        <v>0</v>
      </c>
      <c r="BF77" s="226"/>
      <c r="BG77" s="110">
        <v>0</v>
      </c>
      <c r="BH77" s="263"/>
      <c r="BI77" s="3" t="s">
        <v>2612</v>
      </c>
      <c r="BJ77" s="779"/>
      <c r="BK77" s="779"/>
      <c r="BL77" s="779"/>
      <c r="BM77" s="779"/>
      <c r="BN77" s="779"/>
      <c r="BO77" s="779"/>
      <c r="BP77" s="779"/>
      <c r="BQ77" s="779"/>
    </row>
    <row r="78" spans="1:69" ht="30" hidden="1" customHeight="1">
      <c r="A78" s="1513">
        <f t="shared" si="11"/>
        <v>4</v>
      </c>
      <c r="B78" s="449" t="s">
        <v>5068</v>
      </c>
      <c r="C78" s="449" t="s">
        <v>5069</v>
      </c>
      <c r="D78" s="207"/>
      <c r="E78" s="1473"/>
      <c r="F78" s="251"/>
      <c r="G78" s="251"/>
      <c r="H78" s="251"/>
      <c r="I78" s="251"/>
      <c r="J78" s="251"/>
      <c r="K78" s="255"/>
      <c r="L78" s="256"/>
      <c r="M78" s="155"/>
      <c r="N78" s="131"/>
      <c r="O78" s="207" t="s">
        <v>5070</v>
      </c>
      <c r="P78" s="155"/>
      <c r="Q78" s="155"/>
      <c r="R78" s="155"/>
      <c r="S78" s="211"/>
      <c r="T78" s="155"/>
      <c r="U78" s="155"/>
      <c r="V78" s="155"/>
      <c r="W78" s="211"/>
      <c r="X78" s="155"/>
      <c r="Y78" s="155"/>
      <c r="Z78" s="155"/>
      <c r="AA78" s="211"/>
      <c r="AB78" s="155"/>
      <c r="AC78" s="155"/>
      <c r="AD78" s="155"/>
      <c r="AE78" s="808">
        <f t="shared" si="0"/>
        <v>2997</v>
      </c>
      <c r="AF78" s="761">
        <f t="shared" si="1"/>
        <v>0</v>
      </c>
      <c r="AG78" s="110">
        <f t="shared" si="5"/>
        <v>0</v>
      </c>
      <c r="AH78" s="808">
        <f t="shared" si="6"/>
        <v>2997</v>
      </c>
      <c r="AI78" s="1472" t="s">
        <v>166</v>
      </c>
      <c r="AJ78" s="206">
        <v>0.15</v>
      </c>
      <c r="AK78" s="808">
        <f t="shared" si="9"/>
        <v>0</v>
      </c>
      <c r="AL78" s="1472" t="s">
        <v>166</v>
      </c>
      <c r="AM78" s="206">
        <v>0.15</v>
      </c>
      <c r="AN78" s="808">
        <f t="shared" si="10"/>
        <v>0</v>
      </c>
      <c r="AO78" s="110">
        <v>2997</v>
      </c>
      <c r="AP78" s="226"/>
      <c r="AQ78" s="110"/>
      <c r="AR78" s="263"/>
      <c r="AS78" s="110">
        <v>0</v>
      </c>
      <c r="AT78" s="226"/>
      <c r="AU78" s="110">
        <v>0</v>
      </c>
      <c r="AV78" s="263"/>
      <c r="AW78" s="110">
        <v>0</v>
      </c>
      <c r="AX78" s="226"/>
      <c r="AY78" s="110">
        <v>0</v>
      </c>
      <c r="AZ78" s="263"/>
      <c r="BA78" s="110">
        <v>0</v>
      </c>
      <c r="BB78" s="226"/>
      <c r="BC78" s="110">
        <v>0</v>
      </c>
      <c r="BD78" s="263"/>
      <c r="BE78" s="110">
        <v>0</v>
      </c>
      <c r="BF78" s="226"/>
      <c r="BG78" s="110">
        <v>0</v>
      </c>
      <c r="BH78" s="263"/>
      <c r="BI78" s="3" t="s">
        <v>2612</v>
      </c>
      <c r="BJ78" s="779"/>
      <c r="BK78" s="779"/>
      <c r="BL78" s="779"/>
      <c r="BM78" s="779"/>
      <c r="BN78" s="779"/>
      <c r="BO78" s="779"/>
      <c r="BP78" s="779"/>
      <c r="BQ78" s="779"/>
    </row>
    <row r="79" spans="1:69" ht="30" customHeight="1">
      <c r="A79" s="245">
        <f t="shared" si="11"/>
        <v>5</v>
      </c>
      <c r="B79" s="1512" t="s">
        <v>5071</v>
      </c>
      <c r="C79" s="1512" t="s">
        <v>5072</v>
      </c>
      <c r="D79" s="207"/>
      <c r="E79" s="1473"/>
      <c r="F79" s="251"/>
      <c r="G79" s="251"/>
      <c r="H79" s="251"/>
      <c r="I79" s="251"/>
      <c r="J79" s="251"/>
      <c r="K79" s="255"/>
      <c r="L79" s="256"/>
      <c r="M79" s="155"/>
      <c r="N79" s="131"/>
      <c r="O79" s="207"/>
      <c r="P79" s="155"/>
      <c r="Q79" s="155"/>
      <c r="R79" s="155"/>
      <c r="S79" s="211"/>
      <c r="T79" s="155" t="s">
        <v>115</v>
      </c>
      <c r="U79" s="155" t="s">
        <v>115</v>
      </c>
      <c r="V79" s="155" t="s">
        <v>115</v>
      </c>
      <c r="W79" s="211"/>
      <c r="X79" s="155"/>
      <c r="Y79" s="155"/>
      <c r="Z79" s="155"/>
      <c r="AA79" s="211"/>
      <c r="AB79" s="155"/>
      <c r="AC79" s="155"/>
      <c r="AD79" s="155"/>
      <c r="AE79" s="808">
        <f t="shared" si="0"/>
        <v>2997</v>
      </c>
      <c r="AF79" s="761">
        <f t="shared" si="1"/>
        <v>2997</v>
      </c>
      <c r="AG79" s="110">
        <f t="shared" si="5"/>
        <v>2997</v>
      </c>
      <c r="AH79" s="808">
        <f t="shared" si="6"/>
        <v>0</v>
      </c>
      <c r="AI79" s="1472" t="s">
        <v>5073</v>
      </c>
      <c r="AJ79" s="206">
        <v>0.15</v>
      </c>
      <c r="AK79" s="808">
        <f t="shared" si="9"/>
        <v>449.55</v>
      </c>
      <c r="AL79" s="1472" t="s">
        <v>5073</v>
      </c>
      <c r="AM79" s="206">
        <v>0.15</v>
      </c>
      <c r="AN79" s="808">
        <f t="shared" si="10"/>
        <v>449.55</v>
      </c>
      <c r="AO79" s="110">
        <v>2997</v>
      </c>
      <c r="AP79" s="226"/>
      <c r="AQ79" s="110">
        <v>2997</v>
      </c>
      <c r="AR79" s="263"/>
      <c r="AS79" s="110">
        <v>0</v>
      </c>
      <c r="AT79" s="226"/>
      <c r="AU79" s="110">
        <v>0</v>
      </c>
      <c r="AV79" s="263"/>
      <c r="AW79" s="110">
        <v>0</v>
      </c>
      <c r="AX79" s="226"/>
      <c r="AY79" s="110">
        <v>0</v>
      </c>
      <c r="AZ79" s="263"/>
      <c r="BA79" s="110">
        <v>0</v>
      </c>
      <c r="BB79" s="226"/>
      <c r="BC79" s="110">
        <v>0</v>
      </c>
      <c r="BD79" s="263"/>
      <c r="BE79" s="110">
        <v>0</v>
      </c>
      <c r="BF79" s="226"/>
      <c r="BG79" s="110">
        <v>0</v>
      </c>
      <c r="BH79" s="263"/>
      <c r="BI79" s="3" t="s">
        <v>2612</v>
      </c>
      <c r="BJ79" s="779"/>
      <c r="BK79" s="779"/>
      <c r="BL79" s="779"/>
      <c r="BM79" s="779"/>
      <c r="BN79" s="779"/>
      <c r="BO79" s="779"/>
      <c r="BP79" s="779"/>
      <c r="BQ79" s="779"/>
    </row>
    <row r="80" spans="1:69" ht="30" customHeight="1">
      <c r="A80" s="245">
        <f t="shared" si="11"/>
        <v>6</v>
      </c>
      <c r="B80" s="1512" t="s">
        <v>895</v>
      </c>
      <c r="C80" s="1512" t="s">
        <v>5074</v>
      </c>
      <c r="D80" s="207" t="s">
        <v>5075</v>
      </c>
      <c r="E80" s="1473"/>
      <c r="F80" s="251"/>
      <c r="G80" s="251"/>
      <c r="H80" s="251"/>
      <c r="I80" s="251"/>
      <c r="J80" s="251"/>
      <c r="K80" s="255"/>
      <c r="L80" s="256"/>
      <c r="M80" s="155"/>
      <c r="N80" s="131"/>
      <c r="O80" s="207" t="s">
        <v>5076</v>
      </c>
      <c r="P80" s="155"/>
      <c r="Q80" s="155"/>
      <c r="R80" s="155"/>
      <c r="S80" s="211"/>
      <c r="T80" s="155" t="s">
        <v>115</v>
      </c>
      <c r="U80" s="155" t="s">
        <v>115</v>
      </c>
      <c r="V80" s="155" t="s">
        <v>115</v>
      </c>
      <c r="W80" s="211"/>
      <c r="X80" s="155"/>
      <c r="Y80" s="155"/>
      <c r="Z80" s="155"/>
      <c r="AA80" s="211"/>
      <c r="AB80" s="155"/>
      <c r="AC80" s="155"/>
      <c r="AD80" s="155"/>
      <c r="AE80" s="808">
        <f t="shared" si="0"/>
        <v>0</v>
      </c>
      <c r="AF80" s="761">
        <f t="shared" si="1"/>
        <v>0</v>
      </c>
      <c r="AG80" s="110">
        <f t="shared" si="5"/>
        <v>0</v>
      </c>
      <c r="AH80" s="808">
        <f t="shared" si="6"/>
        <v>0</v>
      </c>
      <c r="AI80" s="1472" t="s">
        <v>262</v>
      </c>
      <c r="AJ80" s="206">
        <v>0.15</v>
      </c>
      <c r="AK80" s="808">
        <f t="shared" si="9"/>
        <v>0</v>
      </c>
      <c r="AL80" s="1472" t="s">
        <v>262</v>
      </c>
      <c r="AM80" s="206">
        <v>0.15</v>
      </c>
      <c r="AN80" s="808">
        <f t="shared" si="10"/>
        <v>0</v>
      </c>
      <c r="AO80" s="110">
        <v>0</v>
      </c>
      <c r="AP80" s="226"/>
      <c r="AQ80" s="110"/>
      <c r="AR80" s="263"/>
      <c r="AS80" s="110">
        <v>0</v>
      </c>
      <c r="AT80" s="226"/>
      <c r="AU80" s="110">
        <v>0</v>
      </c>
      <c r="AV80" s="263"/>
      <c r="AW80" s="110">
        <v>0</v>
      </c>
      <c r="AX80" s="226"/>
      <c r="AY80" s="110">
        <v>0</v>
      </c>
      <c r="AZ80" s="263"/>
      <c r="BA80" s="110">
        <v>0</v>
      </c>
      <c r="BB80" s="226"/>
      <c r="BC80" s="110">
        <v>0</v>
      </c>
      <c r="BD80" s="263"/>
      <c r="BE80" s="110">
        <v>0</v>
      </c>
      <c r="BF80" s="226"/>
      <c r="BG80" s="110">
        <v>0</v>
      </c>
      <c r="BH80" s="263"/>
      <c r="BI80" s="3" t="s">
        <v>2612</v>
      </c>
      <c r="BJ80" s="779"/>
      <c r="BK80" s="779"/>
      <c r="BL80" s="779"/>
      <c r="BM80" s="779"/>
      <c r="BN80" s="779"/>
      <c r="BO80" s="779"/>
      <c r="BP80" s="779"/>
      <c r="BQ80" s="779"/>
    </row>
    <row r="81" spans="1:69" ht="30" customHeight="1">
      <c r="A81" s="245">
        <f t="shared" si="11"/>
        <v>7</v>
      </c>
      <c r="B81" s="1512" t="s">
        <v>1340</v>
      </c>
      <c r="C81" s="1512" t="s">
        <v>627</v>
      </c>
      <c r="D81" s="207" t="s">
        <v>5077</v>
      </c>
      <c r="E81" s="1473"/>
      <c r="F81" s="251" t="s">
        <v>5078</v>
      </c>
      <c r="G81" s="251"/>
      <c r="H81" s="251"/>
      <c r="I81" s="251"/>
      <c r="J81" s="251"/>
      <c r="K81" s="255"/>
      <c r="L81" s="256"/>
      <c r="M81" s="155"/>
      <c r="N81" s="131"/>
      <c r="O81" s="207"/>
      <c r="P81" s="155"/>
      <c r="Q81" s="155"/>
      <c r="R81" s="155"/>
      <c r="S81" s="211"/>
      <c r="T81" s="155" t="s">
        <v>115</v>
      </c>
      <c r="U81" s="155" t="s">
        <v>115</v>
      </c>
      <c r="V81" s="155" t="s">
        <v>115</v>
      </c>
      <c r="W81" s="211"/>
      <c r="X81" s="155"/>
      <c r="Y81" s="155"/>
      <c r="Z81" s="155"/>
      <c r="AA81" s="211"/>
      <c r="AB81" s="155"/>
      <c r="AC81" s="155"/>
      <c r="AD81" s="155"/>
      <c r="AE81" s="808">
        <f t="shared" si="0"/>
        <v>2997</v>
      </c>
      <c r="AF81" s="761">
        <f t="shared" si="1"/>
        <v>2997</v>
      </c>
      <c r="AG81" s="110">
        <f t="shared" si="5"/>
        <v>2997</v>
      </c>
      <c r="AH81" s="808">
        <f t="shared" si="6"/>
        <v>0</v>
      </c>
      <c r="AI81" s="1472" t="s">
        <v>5079</v>
      </c>
      <c r="AJ81" s="206">
        <v>0.15</v>
      </c>
      <c r="AK81" s="808">
        <f t="shared" si="9"/>
        <v>449.55</v>
      </c>
      <c r="AL81" s="1472" t="s">
        <v>5079</v>
      </c>
      <c r="AM81" s="206">
        <v>0.15</v>
      </c>
      <c r="AN81" s="808">
        <f t="shared" si="10"/>
        <v>449.55</v>
      </c>
      <c r="AO81" s="110">
        <v>2997</v>
      </c>
      <c r="AP81" s="226">
        <v>44454</v>
      </c>
      <c r="AQ81" s="110">
        <v>2997</v>
      </c>
      <c r="AR81" s="263"/>
      <c r="AS81" s="110">
        <v>0</v>
      </c>
      <c r="AT81" s="226"/>
      <c r="AU81" s="110">
        <v>0</v>
      </c>
      <c r="AV81" s="263"/>
      <c r="AW81" s="110">
        <v>0</v>
      </c>
      <c r="AX81" s="226"/>
      <c r="AY81" s="110">
        <v>0</v>
      </c>
      <c r="AZ81" s="263"/>
      <c r="BA81" s="110">
        <v>0</v>
      </c>
      <c r="BB81" s="226"/>
      <c r="BC81" s="110">
        <v>0</v>
      </c>
      <c r="BD81" s="263"/>
      <c r="BE81" s="110">
        <v>0</v>
      </c>
      <c r="BF81" s="226"/>
      <c r="BG81" s="110">
        <v>0</v>
      </c>
      <c r="BH81" s="263"/>
      <c r="BI81" s="3" t="s">
        <v>2612</v>
      </c>
      <c r="BJ81" s="779"/>
      <c r="BK81" s="779"/>
      <c r="BL81" s="779"/>
      <c r="BM81" s="779"/>
      <c r="BN81" s="779"/>
      <c r="BO81" s="779"/>
      <c r="BP81" s="779"/>
      <c r="BQ81" s="779"/>
    </row>
    <row r="82" spans="1:69" ht="30" customHeight="1">
      <c r="A82" s="245">
        <f t="shared" si="11"/>
        <v>8</v>
      </c>
      <c r="B82" s="1512" t="s">
        <v>1185</v>
      </c>
      <c r="C82" s="1512" t="s">
        <v>5080</v>
      </c>
      <c r="D82" s="207" t="s">
        <v>5081</v>
      </c>
      <c r="E82" s="1473"/>
      <c r="F82" s="251" t="s">
        <v>5078</v>
      </c>
      <c r="G82" s="251"/>
      <c r="H82" s="251"/>
      <c r="I82" s="251"/>
      <c r="J82" s="251"/>
      <c r="K82" s="255"/>
      <c r="L82" s="256"/>
      <c r="M82" s="155"/>
      <c r="N82" s="131"/>
      <c r="O82" s="207"/>
      <c r="P82" s="155"/>
      <c r="Q82" s="155"/>
      <c r="R82" s="155"/>
      <c r="S82" s="211"/>
      <c r="T82" s="155" t="s">
        <v>115</v>
      </c>
      <c r="U82" s="155" t="s">
        <v>115</v>
      </c>
      <c r="V82" s="155" t="s">
        <v>115</v>
      </c>
      <c r="W82" s="211"/>
      <c r="X82" s="155"/>
      <c r="Y82" s="155"/>
      <c r="Z82" s="155"/>
      <c r="AA82" s="211"/>
      <c r="AB82" s="155"/>
      <c r="AC82" s="155"/>
      <c r="AD82" s="155"/>
      <c r="AE82" s="808">
        <f t="shared" si="0"/>
        <v>2997</v>
      </c>
      <c r="AF82" s="761">
        <f t="shared" si="1"/>
        <v>2997</v>
      </c>
      <c r="AG82" s="110">
        <f t="shared" si="5"/>
        <v>2997</v>
      </c>
      <c r="AH82" s="808">
        <f t="shared" si="6"/>
        <v>0</v>
      </c>
      <c r="AI82" s="1472" t="s">
        <v>5079</v>
      </c>
      <c r="AJ82" s="206">
        <v>0.15</v>
      </c>
      <c r="AK82" s="808">
        <f t="shared" si="9"/>
        <v>449.55</v>
      </c>
      <c r="AL82" s="1472" t="s">
        <v>5079</v>
      </c>
      <c r="AM82" s="206">
        <v>0.15</v>
      </c>
      <c r="AN82" s="808">
        <f t="shared" si="10"/>
        <v>449.55</v>
      </c>
      <c r="AO82" s="110">
        <v>2997</v>
      </c>
      <c r="AP82" s="226">
        <v>44454</v>
      </c>
      <c r="AQ82" s="110">
        <v>2997</v>
      </c>
      <c r="AR82" s="263"/>
      <c r="AS82" s="110">
        <v>0</v>
      </c>
      <c r="AT82" s="226"/>
      <c r="AU82" s="110">
        <v>0</v>
      </c>
      <c r="AV82" s="263"/>
      <c r="AW82" s="110">
        <v>0</v>
      </c>
      <c r="AX82" s="226"/>
      <c r="AY82" s="110">
        <v>0</v>
      </c>
      <c r="AZ82" s="263"/>
      <c r="BA82" s="110">
        <v>0</v>
      </c>
      <c r="BB82" s="226"/>
      <c r="BC82" s="110">
        <v>0</v>
      </c>
      <c r="BD82" s="263"/>
      <c r="BE82" s="110">
        <v>0</v>
      </c>
      <c r="BF82" s="226"/>
      <c r="BG82" s="110">
        <v>0</v>
      </c>
      <c r="BH82" s="263"/>
      <c r="BI82" s="3" t="s">
        <v>2612</v>
      </c>
      <c r="BJ82" s="779"/>
      <c r="BK82" s="779"/>
      <c r="BL82" s="779"/>
      <c r="BM82" s="779"/>
      <c r="BN82" s="779"/>
      <c r="BO82" s="779"/>
      <c r="BP82" s="779"/>
      <c r="BQ82" s="779"/>
    </row>
    <row r="83" spans="1:69" ht="30" customHeight="1">
      <c r="A83" s="245">
        <f t="shared" si="11"/>
        <v>9</v>
      </c>
      <c r="B83" s="1512" t="s">
        <v>451</v>
      </c>
      <c r="C83" s="1512" t="s">
        <v>1647</v>
      </c>
      <c r="D83" s="207" t="s">
        <v>5082</v>
      </c>
      <c r="E83" s="1473"/>
      <c r="F83" s="251" t="s">
        <v>921</v>
      </c>
      <c r="G83" s="251"/>
      <c r="H83" s="251"/>
      <c r="I83" s="251"/>
      <c r="J83" s="251"/>
      <c r="K83" s="255"/>
      <c r="L83" s="256"/>
      <c r="M83" s="155"/>
      <c r="N83" s="131"/>
      <c r="O83" s="207"/>
      <c r="P83" s="155"/>
      <c r="Q83" s="155"/>
      <c r="R83" s="155"/>
      <c r="S83" s="211"/>
      <c r="T83" s="155" t="s">
        <v>115</v>
      </c>
      <c r="U83" s="155" t="s">
        <v>115</v>
      </c>
      <c r="V83" s="155" t="s">
        <v>115</v>
      </c>
      <c r="W83" s="211"/>
      <c r="X83" s="155"/>
      <c r="Y83" s="155"/>
      <c r="Z83" s="155"/>
      <c r="AA83" s="211"/>
      <c r="AB83" s="155"/>
      <c r="AC83" s="155"/>
      <c r="AD83" s="155"/>
      <c r="AE83" s="808">
        <f t="shared" si="0"/>
        <v>2997</v>
      </c>
      <c r="AF83" s="761">
        <f t="shared" si="1"/>
        <v>2997</v>
      </c>
      <c r="AG83" s="110">
        <f t="shared" si="5"/>
        <v>2997</v>
      </c>
      <c r="AH83" s="808">
        <f t="shared" si="6"/>
        <v>0</v>
      </c>
      <c r="AI83" s="1472" t="s">
        <v>3187</v>
      </c>
      <c r="AJ83" s="206">
        <v>0.05</v>
      </c>
      <c r="AK83" s="808">
        <f t="shared" si="9"/>
        <v>149.85</v>
      </c>
      <c r="AL83" s="1472" t="s">
        <v>3187</v>
      </c>
      <c r="AM83" s="206">
        <v>0.15</v>
      </c>
      <c r="AN83" s="808">
        <f t="shared" si="10"/>
        <v>449.55</v>
      </c>
      <c r="AO83" s="110">
        <v>2997</v>
      </c>
      <c r="AP83" s="226">
        <v>44463</v>
      </c>
      <c r="AQ83" s="110">
        <v>2997</v>
      </c>
      <c r="AR83" s="263"/>
      <c r="AS83" s="110">
        <v>0</v>
      </c>
      <c r="AT83" s="226"/>
      <c r="AU83" s="110">
        <v>0</v>
      </c>
      <c r="AV83" s="263"/>
      <c r="AW83" s="110">
        <v>0</v>
      </c>
      <c r="AX83" s="226"/>
      <c r="AY83" s="110">
        <v>0</v>
      </c>
      <c r="AZ83" s="263"/>
      <c r="BA83" s="110">
        <v>0</v>
      </c>
      <c r="BB83" s="226"/>
      <c r="BC83" s="110">
        <v>0</v>
      </c>
      <c r="BD83" s="263"/>
      <c r="BE83" s="110">
        <v>0</v>
      </c>
      <c r="BF83" s="226"/>
      <c r="BG83" s="110">
        <v>0</v>
      </c>
      <c r="BH83" s="263"/>
      <c r="BI83" s="3" t="s">
        <v>2612</v>
      </c>
      <c r="BJ83" s="779"/>
      <c r="BK83" s="779"/>
      <c r="BL83" s="779"/>
      <c r="BM83" s="779"/>
      <c r="BN83" s="779"/>
      <c r="BO83" s="779"/>
      <c r="BP83" s="779"/>
      <c r="BQ83" s="779"/>
    </row>
    <row r="84" spans="1:69" ht="15.75" hidden="1" customHeight="1">
      <c r="A84" s="245">
        <f t="shared" si="11"/>
        <v>10</v>
      </c>
      <c r="B84" s="1512" t="s">
        <v>1945</v>
      </c>
      <c r="C84" s="1512" t="s">
        <v>3184</v>
      </c>
      <c r="D84" s="207" t="s">
        <v>3185</v>
      </c>
      <c r="E84" s="1473"/>
      <c r="F84" s="251" t="s">
        <v>921</v>
      </c>
      <c r="G84" s="251"/>
      <c r="H84" s="251"/>
      <c r="I84" s="251"/>
      <c r="J84" s="251"/>
      <c r="K84" s="255"/>
      <c r="L84" s="256"/>
      <c r="M84" s="155"/>
      <c r="N84" s="131"/>
      <c r="O84" s="207" t="s">
        <v>3186</v>
      </c>
      <c r="P84" s="155"/>
      <c r="Q84" s="155"/>
      <c r="R84" s="155"/>
      <c r="S84" s="211"/>
      <c r="T84" s="155" t="s">
        <v>115</v>
      </c>
      <c r="U84" s="155" t="s">
        <v>115</v>
      </c>
      <c r="V84" s="155"/>
      <c r="W84" s="211"/>
      <c r="X84" s="155"/>
      <c r="Y84" s="155"/>
      <c r="Z84" s="155"/>
      <c r="AA84" s="211"/>
      <c r="AB84" s="155"/>
      <c r="AC84" s="155"/>
      <c r="AD84" s="155"/>
      <c r="AE84" s="808">
        <f t="shared" si="0"/>
        <v>2997</v>
      </c>
      <c r="AF84" s="761">
        <f t="shared" si="1"/>
        <v>2997</v>
      </c>
      <c r="AG84" s="110">
        <f t="shared" si="5"/>
        <v>2997</v>
      </c>
      <c r="AH84" s="808">
        <f t="shared" si="6"/>
        <v>0</v>
      </c>
      <c r="AI84" s="1472" t="s">
        <v>3187</v>
      </c>
      <c r="AJ84" s="206">
        <v>0.05</v>
      </c>
      <c r="AK84" s="808">
        <f t="shared" si="9"/>
        <v>149.85</v>
      </c>
      <c r="AL84" s="1472" t="s">
        <v>3187</v>
      </c>
      <c r="AM84" s="206">
        <v>0.15</v>
      </c>
      <c r="AN84" s="808">
        <f t="shared" si="10"/>
        <v>449.55</v>
      </c>
      <c r="AO84" s="110">
        <v>2997</v>
      </c>
      <c r="AP84" s="226">
        <v>44463</v>
      </c>
      <c r="AQ84" s="110">
        <v>2997</v>
      </c>
      <c r="AR84" s="263"/>
      <c r="AS84" s="110">
        <v>0</v>
      </c>
      <c r="AT84" s="226"/>
      <c r="AU84" s="110">
        <v>0</v>
      </c>
      <c r="AV84" s="263"/>
      <c r="AW84" s="110">
        <v>0</v>
      </c>
      <c r="AX84" s="226"/>
      <c r="AY84" s="110">
        <v>0</v>
      </c>
      <c r="AZ84" s="263"/>
      <c r="BA84" s="110">
        <v>0</v>
      </c>
      <c r="BB84" s="226"/>
      <c r="BC84" s="110">
        <v>0</v>
      </c>
      <c r="BD84" s="263"/>
      <c r="BE84" s="110">
        <v>0</v>
      </c>
      <c r="BF84" s="226"/>
      <c r="BG84" s="110">
        <v>0</v>
      </c>
      <c r="BH84" s="263"/>
      <c r="BI84" s="3" t="s">
        <v>2612</v>
      </c>
      <c r="BJ84" s="779"/>
      <c r="BK84" s="779"/>
      <c r="BL84" s="779"/>
      <c r="BM84" s="779"/>
      <c r="BN84" s="779"/>
      <c r="BO84" s="779"/>
      <c r="BP84" s="779"/>
      <c r="BQ84" s="779"/>
    </row>
    <row r="85" spans="1:69" ht="30" customHeight="1">
      <c r="A85" s="245">
        <f t="shared" si="11"/>
        <v>11</v>
      </c>
      <c r="B85" s="1512" t="s">
        <v>329</v>
      </c>
      <c r="C85" s="1512" t="s">
        <v>5083</v>
      </c>
      <c r="D85" s="207" t="s">
        <v>5084</v>
      </c>
      <c r="E85" s="1473"/>
      <c r="F85" s="251" t="s">
        <v>921</v>
      </c>
      <c r="G85" s="251"/>
      <c r="H85" s="251"/>
      <c r="I85" s="251"/>
      <c r="J85" s="251"/>
      <c r="K85" s="255"/>
      <c r="L85" s="256"/>
      <c r="M85" s="155"/>
      <c r="N85" s="131"/>
      <c r="O85" s="207"/>
      <c r="P85" s="155"/>
      <c r="Q85" s="155"/>
      <c r="R85" s="155"/>
      <c r="S85" s="211"/>
      <c r="T85" s="155" t="s">
        <v>115</v>
      </c>
      <c r="U85" s="155" t="s">
        <v>115</v>
      </c>
      <c r="V85" s="155" t="s">
        <v>115</v>
      </c>
      <c r="W85" s="211"/>
      <c r="X85" s="155"/>
      <c r="Y85" s="155"/>
      <c r="Z85" s="155"/>
      <c r="AA85" s="211"/>
      <c r="AB85" s="155"/>
      <c r="AC85" s="155"/>
      <c r="AD85" s="155"/>
      <c r="AE85" s="808">
        <f t="shared" si="0"/>
        <v>2997</v>
      </c>
      <c r="AF85" s="761">
        <f t="shared" si="1"/>
        <v>2997</v>
      </c>
      <c r="AG85" s="110">
        <f t="shared" si="5"/>
        <v>2997</v>
      </c>
      <c r="AH85" s="808">
        <f t="shared" si="6"/>
        <v>0</v>
      </c>
      <c r="AI85" s="1472" t="s">
        <v>3187</v>
      </c>
      <c r="AJ85" s="206">
        <v>0.05</v>
      </c>
      <c r="AK85" s="808">
        <f t="shared" si="9"/>
        <v>149.85</v>
      </c>
      <c r="AL85" s="1472" t="s">
        <v>3187</v>
      </c>
      <c r="AM85" s="206">
        <v>0.15</v>
      </c>
      <c r="AN85" s="808">
        <f t="shared" si="10"/>
        <v>449.55</v>
      </c>
      <c r="AO85" s="110">
        <v>2997</v>
      </c>
      <c r="AP85" s="226">
        <v>44463</v>
      </c>
      <c r="AQ85" s="110">
        <v>2997</v>
      </c>
      <c r="AR85" s="263"/>
      <c r="AS85" s="110">
        <v>0</v>
      </c>
      <c r="AT85" s="226"/>
      <c r="AU85" s="110">
        <v>0</v>
      </c>
      <c r="AV85" s="263"/>
      <c r="AW85" s="110">
        <v>0</v>
      </c>
      <c r="AX85" s="226"/>
      <c r="AY85" s="110">
        <v>0</v>
      </c>
      <c r="AZ85" s="263"/>
      <c r="BA85" s="110">
        <v>0</v>
      </c>
      <c r="BB85" s="226"/>
      <c r="BC85" s="110">
        <v>0</v>
      </c>
      <c r="BD85" s="263"/>
      <c r="BE85" s="110">
        <v>0</v>
      </c>
      <c r="BF85" s="226"/>
      <c r="BG85" s="110">
        <v>0</v>
      </c>
      <c r="BH85" s="263"/>
      <c r="BI85" s="3" t="s">
        <v>2612</v>
      </c>
      <c r="BJ85" s="779"/>
      <c r="BK85" s="779"/>
      <c r="BL85" s="779"/>
      <c r="BM85" s="779"/>
      <c r="BN85" s="779"/>
      <c r="BO85" s="779"/>
      <c r="BP85" s="779"/>
      <c r="BQ85" s="779"/>
    </row>
    <row r="86" spans="1:69" ht="30" customHeight="1">
      <c r="A86" s="293">
        <f t="shared" si="11"/>
        <v>12</v>
      </c>
      <c r="B86" s="338" t="s">
        <v>188</v>
      </c>
      <c r="C86" s="338" t="s">
        <v>5085</v>
      </c>
      <c r="D86" s="294" t="s">
        <v>5086</v>
      </c>
      <c r="E86" s="1473" t="s">
        <v>5087</v>
      </c>
      <c r="F86" s="251" t="s">
        <v>5088</v>
      </c>
      <c r="G86" s="251"/>
      <c r="H86" s="251"/>
      <c r="I86" s="251"/>
      <c r="J86" s="251"/>
      <c r="K86" s="255"/>
      <c r="L86" s="256"/>
      <c r="M86" s="155"/>
      <c r="N86" s="131"/>
      <c r="O86" s="207"/>
      <c r="P86" s="155"/>
      <c r="Q86" s="155"/>
      <c r="R86" s="155"/>
      <c r="S86" s="211"/>
      <c r="T86" s="155" t="s">
        <v>116</v>
      </c>
      <c r="U86" s="155" t="s">
        <v>116</v>
      </c>
      <c r="V86" s="155" t="s">
        <v>116</v>
      </c>
      <c r="W86" s="211"/>
      <c r="X86" s="155"/>
      <c r="Y86" s="155"/>
      <c r="Z86" s="155"/>
      <c r="AA86" s="211"/>
      <c r="AB86" s="155"/>
      <c r="AC86" s="155"/>
      <c r="AD86" s="155"/>
      <c r="AE86" s="808">
        <f t="shared" si="0"/>
        <v>0</v>
      </c>
      <c r="AF86" s="761">
        <f t="shared" si="1"/>
        <v>0</v>
      </c>
      <c r="AG86" s="110">
        <f t="shared" si="5"/>
        <v>0</v>
      </c>
      <c r="AH86" s="808">
        <f t="shared" si="6"/>
        <v>0</v>
      </c>
      <c r="AI86" s="1472"/>
      <c r="AJ86" s="206"/>
      <c r="AK86" s="808">
        <f t="shared" si="9"/>
        <v>0</v>
      </c>
      <c r="AL86" s="1472"/>
      <c r="AM86" s="206"/>
      <c r="AN86" s="808">
        <f t="shared" si="10"/>
        <v>0</v>
      </c>
      <c r="AO86" s="110"/>
      <c r="AP86" s="226"/>
      <c r="AQ86" s="110"/>
      <c r="AR86" s="263"/>
      <c r="AS86" s="110">
        <v>0</v>
      </c>
      <c r="AT86" s="226"/>
      <c r="AU86" s="110">
        <v>0</v>
      </c>
      <c r="AV86" s="263"/>
      <c r="AW86" s="110">
        <v>0</v>
      </c>
      <c r="AX86" s="226"/>
      <c r="AY86" s="110">
        <v>0</v>
      </c>
      <c r="AZ86" s="263"/>
      <c r="BA86" s="110">
        <v>0</v>
      </c>
      <c r="BB86" s="226"/>
      <c r="BC86" s="110">
        <v>0</v>
      </c>
      <c r="BD86" s="263"/>
      <c r="BE86" s="110">
        <v>0</v>
      </c>
      <c r="BF86" s="226"/>
      <c r="BG86" s="110">
        <v>0</v>
      </c>
      <c r="BH86" s="263"/>
      <c r="BI86" s="3" t="s">
        <v>2612</v>
      </c>
      <c r="BJ86" s="779"/>
      <c r="BK86" s="779"/>
      <c r="BL86" s="779"/>
      <c r="BM86" s="779"/>
      <c r="BN86" s="779"/>
      <c r="BO86" s="779"/>
      <c r="BP86" s="779"/>
      <c r="BQ86" s="779"/>
    </row>
    <row r="87" spans="1:69" ht="30" customHeight="1">
      <c r="A87" s="245">
        <f t="shared" si="11"/>
        <v>13</v>
      </c>
      <c r="B87" s="1512" t="s">
        <v>4577</v>
      </c>
      <c r="C87" s="1512" t="s">
        <v>4578</v>
      </c>
      <c r="D87" s="207" t="s">
        <v>4579</v>
      </c>
      <c r="E87" s="1473"/>
      <c r="F87" s="251" t="s">
        <v>5089</v>
      </c>
      <c r="G87" s="251"/>
      <c r="H87" s="251"/>
      <c r="I87" s="251"/>
      <c r="J87" s="251"/>
      <c r="K87" s="255"/>
      <c r="L87" s="256"/>
      <c r="M87" s="155"/>
      <c r="N87" s="131"/>
      <c r="O87" s="207" t="s">
        <v>5090</v>
      </c>
      <c r="P87" s="155"/>
      <c r="Q87" s="155"/>
      <c r="R87" s="155"/>
      <c r="S87" s="211"/>
      <c r="T87" s="155" t="s">
        <v>115</v>
      </c>
      <c r="U87" s="155" t="s">
        <v>115</v>
      </c>
      <c r="V87" s="155" t="s">
        <v>115</v>
      </c>
      <c r="W87" s="211"/>
      <c r="X87" s="155"/>
      <c r="Y87" s="155"/>
      <c r="Z87" s="155"/>
      <c r="AA87" s="211"/>
      <c r="AB87" s="155"/>
      <c r="AC87" s="155"/>
      <c r="AD87" s="155"/>
      <c r="AE87" s="808">
        <f t="shared" si="0"/>
        <v>2997</v>
      </c>
      <c r="AF87" s="761">
        <f t="shared" si="1"/>
        <v>2997</v>
      </c>
      <c r="AG87" s="110">
        <f t="shared" si="5"/>
        <v>2997</v>
      </c>
      <c r="AH87" s="808">
        <f t="shared" si="6"/>
        <v>0</v>
      </c>
      <c r="AI87" s="1472" t="s">
        <v>5091</v>
      </c>
      <c r="AJ87" s="206">
        <v>0.15</v>
      </c>
      <c r="AK87" s="808">
        <f t="shared" si="9"/>
        <v>449.55</v>
      </c>
      <c r="AL87" s="1472" t="s">
        <v>5091</v>
      </c>
      <c r="AM87" s="206">
        <v>0.15</v>
      </c>
      <c r="AN87" s="808">
        <f t="shared" si="10"/>
        <v>449.55</v>
      </c>
      <c r="AO87" s="110">
        <v>2997</v>
      </c>
      <c r="AP87" s="226">
        <v>44479</v>
      </c>
      <c r="AQ87" s="110">
        <v>2997</v>
      </c>
      <c r="AR87" s="263"/>
      <c r="AS87" s="110">
        <v>0</v>
      </c>
      <c r="AT87" s="226"/>
      <c r="AU87" s="110">
        <v>0</v>
      </c>
      <c r="AV87" s="263"/>
      <c r="AW87" s="110">
        <v>0</v>
      </c>
      <c r="AX87" s="226"/>
      <c r="AY87" s="110">
        <v>0</v>
      </c>
      <c r="AZ87" s="263"/>
      <c r="BA87" s="110">
        <v>0</v>
      </c>
      <c r="BB87" s="226"/>
      <c r="BC87" s="110">
        <v>0</v>
      </c>
      <c r="BD87" s="263"/>
      <c r="BE87" s="110">
        <v>0</v>
      </c>
      <c r="BF87" s="226"/>
      <c r="BG87" s="110">
        <v>0</v>
      </c>
      <c r="BH87" s="263"/>
      <c r="BI87" s="3" t="s">
        <v>2612</v>
      </c>
      <c r="BJ87" s="779"/>
      <c r="BK87" s="779"/>
      <c r="BL87" s="779"/>
      <c r="BM87" s="779"/>
      <c r="BN87" s="779"/>
      <c r="BO87" s="779"/>
      <c r="BP87" s="779"/>
      <c r="BQ87" s="779"/>
    </row>
    <row r="88" spans="1:69" ht="56.25" customHeight="1">
      <c r="A88" s="245">
        <f t="shared" si="11"/>
        <v>14</v>
      </c>
      <c r="B88" s="1512" t="s">
        <v>135</v>
      </c>
      <c r="C88" s="1512" t="s">
        <v>5092</v>
      </c>
      <c r="D88" s="207" t="s">
        <v>5093</v>
      </c>
      <c r="E88" s="1473"/>
      <c r="F88" s="251" t="s">
        <v>5094</v>
      </c>
      <c r="G88" s="251"/>
      <c r="H88" s="251"/>
      <c r="I88" s="251"/>
      <c r="J88" s="251"/>
      <c r="K88" s="255"/>
      <c r="L88" s="256"/>
      <c r="M88" s="155"/>
      <c r="N88" s="131"/>
      <c r="O88" s="207" t="s">
        <v>5095</v>
      </c>
      <c r="P88" s="155"/>
      <c r="Q88" s="155"/>
      <c r="R88" s="155"/>
      <c r="S88" s="211"/>
      <c r="T88" s="155" t="s">
        <v>115</v>
      </c>
      <c r="U88" s="155" t="s">
        <v>115</v>
      </c>
      <c r="V88" s="155" t="s">
        <v>115</v>
      </c>
      <c r="W88" s="211"/>
      <c r="X88" s="155"/>
      <c r="Y88" s="155"/>
      <c r="Z88" s="155"/>
      <c r="AA88" s="211"/>
      <c r="AB88" s="155"/>
      <c r="AC88" s="155"/>
      <c r="AD88" s="155"/>
      <c r="AE88" s="808">
        <f t="shared" si="0"/>
        <v>2997</v>
      </c>
      <c r="AF88" s="761">
        <f t="shared" si="1"/>
        <v>2997</v>
      </c>
      <c r="AG88" s="110">
        <f t="shared" si="5"/>
        <v>2997</v>
      </c>
      <c r="AH88" s="808">
        <f t="shared" si="6"/>
        <v>0</v>
      </c>
      <c r="AI88" s="1472" t="s">
        <v>117</v>
      </c>
      <c r="AJ88" s="206">
        <v>0</v>
      </c>
      <c r="AK88" s="808">
        <f t="shared" si="9"/>
        <v>0</v>
      </c>
      <c r="AL88" s="1472" t="s">
        <v>5096</v>
      </c>
      <c r="AM88" s="206">
        <v>0.15</v>
      </c>
      <c r="AN88" s="808">
        <f t="shared" si="10"/>
        <v>449.55</v>
      </c>
      <c r="AO88" s="110">
        <v>2997</v>
      </c>
      <c r="AP88" s="226">
        <v>44467</v>
      </c>
      <c r="AQ88" s="110">
        <v>2997</v>
      </c>
      <c r="AR88" s="263"/>
      <c r="AS88" s="110">
        <v>0</v>
      </c>
      <c r="AT88" s="226"/>
      <c r="AU88" s="110">
        <v>0</v>
      </c>
      <c r="AV88" s="263"/>
      <c r="AW88" s="110">
        <v>0</v>
      </c>
      <c r="AX88" s="226"/>
      <c r="AY88" s="110">
        <v>0</v>
      </c>
      <c r="AZ88" s="263"/>
      <c r="BA88" s="110">
        <v>0</v>
      </c>
      <c r="BB88" s="226"/>
      <c r="BC88" s="110">
        <v>0</v>
      </c>
      <c r="BD88" s="263"/>
      <c r="BE88" s="110">
        <v>0</v>
      </c>
      <c r="BF88" s="226"/>
      <c r="BG88" s="110">
        <v>0</v>
      </c>
      <c r="BH88" s="263"/>
      <c r="BI88" s="3" t="s">
        <v>2612</v>
      </c>
      <c r="BJ88" s="779"/>
      <c r="BK88" s="779"/>
      <c r="BL88" s="779"/>
      <c r="BM88" s="779"/>
      <c r="BN88" s="779"/>
      <c r="BO88" s="779"/>
      <c r="BP88" s="779"/>
      <c r="BQ88" s="779"/>
    </row>
    <row r="89" spans="1:69" ht="30" customHeight="1">
      <c r="A89" s="245">
        <v>1</v>
      </c>
      <c r="B89" s="449" t="s">
        <v>246</v>
      </c>
      <c r="C89" s="449" t="s">
        <v>649</v>
      </c>
      <c r="D89" s="207" t="s">
        <v>5097</v>
      </c>
      <c r="E89" s="1473"/>
      <c r="F89" s="251" t="s">
        <v>4500</v>
      </c>
      <c r="G89" s="251"/>
      <c r="H89" s="251"/>
      <c r="I89" s="251"/>
      <c r="J89" s="251"/>
      <c r="K89" s="255"/>
      <c r="L89" s="256"/>
      <c r="M89" s="155"/>
      <c r="N89" s="131"/>
      <c r="O89" s="207" t="s">
        <v>5098</v>
      </c>
      <c r="P89" s="155"/>
      <c r="Q89" s="155"/>
      <c r="R89" s="155"/>
      <c r="S89" s="211"/>
      <c r="T89" s="155" t="s">
        <v>115</v>
      </c>
      <c r="U89" s="155" t="s">
        <v>115</v>
      </c>
      <c r="V89" s="155" t="s">
        <v>115</v>
      </c>
      <c r="W89" s="211"/>
      <c r="X89" s="155"/>
      <c r="Y89" s="155"/>
      <c r="Z89" s="155"/>
      <c r="AA89" s="211"/>
      <c r="AB89" s="155"/>
      <c r="AC89" s="155"/>
      <c r="AD89" s="155"/>
      <c r="AE89" s="808">
        <f t="shared" si="0"/>
        <v>2997</v>
      </c>
      <c r="AF89" s="761">
        <f t="shared" si="1"/>
        <v>2997</v>
      </c>
      <c r="AG89" s="110">
        <f t="shared" si="5"/>
        <v>2997</v>
      </c>
      <c r="AH89" s="808">
        <f t="shared" si="6"/>
        <v>0</v>
      </c>
      <c r="AI89" s="1472" t="s">
        <v>5099</v>
      </c>
      <c r="AJ89" s="206">
        <v>0.05</v>
      </c>
      <c r="AK89" s="808">
        <f t="shared" si="9"/>
        <v>149.85</v>
      </c>
      <c r="AL89" s="1472" t="s">
        <v>5099</v>
      </c>
      <c r="AM89" s="206">
        <v>0.05</v>
      </c>
      <c r="AN89" s="808">
        <f t="shared" si="10"/>
        <v>149.85</v>
      </c>
      <c r="AO89" s="110">
        <v>2997</v>
      </c>
      <c r="AP89" s="226">
        <v>44479</v>
      </c>
      <c r="AQ89" s="110">
        <v>2997</v>
      </c>
      <c r="AR89" s="263"/>
      <c r="AS89" s="110">
        <v>0</v>
      </c>
      <c r="AT89" s="226"/>
      <c r="AU89" s="110">
        <v>0</v>
      </c>
      <c r="AV89" s="263"/>
      <c r="AW89" s="110">
        <v>0</v>
      </c>
      <c r="AX89" s="226"/>
      <c r="AY89" s="110">
        <v>0</v>
      </c>
      <c r="AZ89" s="263"/>
      <c r="BA89" s="110">
        <v>0</v>
      </c>
      <c r="BB89" s="226"/>
      <c r="BC89" s="110">
        <v>0</v>
      </c>
      <c r="BD89" s="263"/>
      <c r="BE89" s="110">
        <v>0</v>
      </c>
      <c r="BF89" s="226"/>
      <c r="BG89" s="110">
        <v>0</v>
      </c>
      <c r="BH89" s="263"/>
      <c r="BI89" s="3" t="s">
        <v>2612</v>
      </c>
      <c r="BJ89" s="779"/>
      <c r="BK89" s="779"/>
      <c r="BL89" s="779"/>
      <c r="BM89" s="779"/>
      <c r="BN89" s="779"/>
      <c r="BO89" s="779"/>
      <c r="BP89" s="779"/>
      <c r="BQ89" s="779"/>
    </row>
    <row r="90" spans="1:69" ht="30" hidden="1" customHeight="1">
      <c r="A90" s="245">
        <f t="shared" ref="A90:A179" si="12">A89+1</f>
        <v>2</v>
      </c>
      <c r="B90" s="449" t="s">
        <v>471</v>
      </c>
      <c r="C90" s="449" t="s">
        <v>5100</v>
      </c>
      <c r="D90" s="207" t="s">
        <v>5101</v>
      </c>
      <c r="E90" s="1473"/>
      <c r="F90" s="251" t="s">
        <v>4500</v>
      </c>
      <c r="G90" s="251"/>
      <c r="H90" s="251"/>
      <c r="I90" s="251"/>
      <c r="J90" s="251"/>
      <c r="K90" s="255"/>
      <c r="L90" s="256"/>
      <c r="M90" s="155"/>
      <c r="N90" s="131"/>
      <c r="O90" s="207" t="s">
        <v>5098</v>
      </c>
      <c r="P90" s="155"/>
      <c r="Q90" s="155"/>
      <c r="R90" s="155"/>
      <c r="S90" s="211"/>
      <c r="T90" s="155"/>
      <c r="U90" s="155" t="s">
        <v>115</v>
      </c>
      <c r="V90" s="155"/>
      <c r="W90" s="211"/>
      <c r="X90" s="155" t="s">
        <v>115</v>
      </c>
      <c r="Y90" s="155"/>
      <c r="Z90" s="155" t="s">
        <v>115</v>
      </c>
      <c r="AA90" s="211"/>
      <c r="AB90" s="155"/>
      <c r="AC90" s="155"/>
      <c r="AD90" s="155"/>
      <c r="AE90" s="808">
        <f t="shared" si="0"/>
        <v>2997</v>
      </c>
      <c r="AF90" s="761">
        <f t="shared" si="1"/>
        <v>2997</v>
      </c>
      <c r="AG90" s="110">
        <v>1340</v>
      </c>
      <c r="AH90" s="808">
        <f t="shared" si="6"/>
        <v>1657</v>
      </c>
      <c r="AI90" s="1472" t="s">
        <v>5099</v>
      </c>
      <c r="AJ90" s="206">
        <v>0.05</v>
      </c>
      <c r="AK90" s="808">
        <f t="shared" si="9"/>
        <v>149.85</v>
      </c>
      <c r="AL90" s="1472" t="s">
        <v>5099</v>
      </c>
      <c r="AM90" s="206">
        <v>0.05</v>
      </c>
      <c r="AN90" s="808">
        <f t="shared" si="10"/>
        <v>149.85</v>
      </c>
      <c r="AO90" s="110">
        <v>2997</v>
      </c>
      <c r="AP90" s="226">
        <v>44479</v>
      </c>
      <c r="AQ90" s="110">
        <v>2997</v>
      </c>
      <c r="AR90" s="263"/>
      <c r="AS90" s="110">
        <v>0</v>
      </c>
      <c r="AT90" s="226"/>
      <c r="AU90" s="110">
        <v>0</v>
      </c>
      <c r="AV90" s="263"/>
      <c r="AW90" s="110">
        <v>0</v>
      </c>
      <c r="AX90" s="226"/>
      <c r="AY90" s="110">
        <v>0</v>
      </c>
      <c r="AZ90" s="263"/>
      <c r="BA90" s="110">
        <v>0</v>
      </c>
      <c r="BB90" s="226"/>
      <c r="BC90" s="110">
        <v>0</v>
      </c>
      <c r="BD90" s="263"/>
      <c r="BE90" s="110">
        <v>0</v>
      </c>
      <c r="BF90" s="226"/>
      <c r="BG90" s="110">
        <v>0</v>
      </c>
      <c r="BH90" s="263"/>
      <c r="BI90" s="3" t="s">
        <v>2612</v>
      </c>
      <c r="BJ90" s="779"/>
      <c r="BK90" s="779"/>
      <c r="BL90" s="779"/>
      <c r="BM90" s="779"/>
      <c r="BN90" s="779"/>
      <c r="BO90" s="779"/>
      <c r="BP90" s="779"/>
      <c r="BQ90" s="779"/>
    </row>
    <row r="91" spans="1:69" ht="30" customHeight="1">
      <c r="A91" s="245">
        <f t="shared" si="12"/>
        <v>3</v>
      </c>
      <c r="B91" s="449" t="s">
        <v>861</v>
      </c>
      <c r="C91" s="449" t="s">
        <v>5102</v>
      </c>
      <c r="D91" s="207" t="s">
        <v>5103</v>
      </c>
      <c r="E91" s="1473"/>
      <c r="F91" s="251" t="s">
        <v>5104</v>
      </c>
      <c r="G91" s="251"/>
      <c r="H91" s="251"/>
      <c r="I91" s="251"/>
      <c r="J91" s="251"/>
      <c r="K91" s="255"/>
      <c r="L91" s="256"/>
      <c r="M91" s="155"/>
      <c r="N91" s="131"/>
      <c r="O91" s="207" t="s">
        <v>5105</v>
      </c>
      <c r="P91" s="155"/>
      <c r="Q91" s="155"/>
      <c r="R91" s="155"/>
      <c r="S91" s="211"/>
      <c r="T91" s="155" t="s">
        <v>115</v>
      </c>
      <c r="U91" s="155" t="s">
        <v>115</v>
      </c>
      <c r="V91" s="155" t="s">
        <v>115</v>
      </c>
      <c r="W91" s="211"/>
      <c r="X91" s="155"/>
      <c r="Y91" s="155"/>
      <c r="Z91" s="155"/>
      <c r="AA91" s="211"/>
      <c r="AB91" s="155"/>
      <c r="AC91" s="155"/>
      <c r="AD91" s="155"/>
      <c r="AE91" s="761">
        <f t="shared" ref="AE91:AF91" si="13">AP91+AT91+AX91+BB91+BF91</f>
        <v>0</v>
      </c>
      <c r="AF91" s="761">
        <f t="shared" si="13"/>
        <v>0</v>
      </c>
      <c r="AG91" s="110">
        <f t="shared" ref="AG91:AG94" si="14">AF91</f>
        <v>0</v>
      </c>
      <c r="AH91" s="808">
        <f t="shared" si="6"/>
        <v>0</v>
      </c>
      <c r="AI91" s="301" t="s">
        <v>2371</v>
      </c>
      <c r="AJ91" s="206">
        <v>0.05</v>
      </c>
      <c r="AK91" s="808">
        <f t="shared" si="9"/>
        <v>0</v>
      </c>
      <c r="AL91" s="1472" t="s">
        <v>1077</v>
      </c>
      <c r="AM91" s="206">
        <v>0.05</v>
      </c>
      <c r="AN91" s="808">
        <f t="shared" si="10"/>
        <v>0</v>
      </c>
      <c r="AO91" s="110"/>
      <c r="AP91" s="226"/>
      <c r="AQ91" s="110"/>
      <c r="AR91" s="263"/>
      <c r="AS91" s="110">
        <v>0</v>
      </c>
      <c r="AT91" s="226"/>
      <c r="AU91" s="110">
        <v>0</v>
      </c>
      <c r="AV91" s="263"/>
      <c r="AW91" s="110">
        <v>0</v>
      </c>
      <c r="AX91" s="226"/>
      <c r="AY91" s="110">
        <v>0</v>
      </c>
      <c r="AZ91" s="263"/>
      <c r="BA91" s="110">
        <v>0</v>
      </c>
      <c r="BB91" s="226"/>
      <c r="BC91" s="110">
        <v>0</v>
      </c>
      <c r="BD91" s="263"/>
      <c r="BE91" s="110">
        <v>0</v>
      </c>
      <c r="BF91" s="226"/>
      <c r="BG91" s="110">
        <v>0</v>
      </c>
      <c r="BH91" s="263"/>
      <c r="BI91" s="3"/>
      <c r="BJ91" s="779"/>
      <c r="BK91" s="779"/>
      <c r="BL91" s="779"/>
      <c r="BM91" s="779"/>
      <c r="BN91" s="779"/>
      <c r="BO91" s="779"/>
      <c r="BP91" s="779"/>
      <c r="BQ91" s="779"/>
    </row>
    <row r="92" spans="1:69" ht="30" customHeight="1">
      <c r="A92" s="245">
        <f t="shared" si="12"/>
        <v>4</v>
      </c>
      <c r="B92" s="449" t="s">
        <v>487</v>
      </c>
      <c r="C92" s="449" t="s">
        <v>5106</v>
      </c>
      <c r="D92" s="294" t="s">
        <v>5107</v>
      </c>
      <c r="E92" s="1473">
        <v>3387342248</v>
      </c>
      <c r="F92" s="251" t="s">
        <v>5108</v>
      </c>
      <c r="G92" s="251"/>
      <c r="H92" s="251"/>
      <c r="I92" s="251"/>
      <c r="J92" s="251"/>
      <c r="K92" s="255"/>
      <c r="L92" s="256"/>
      <c r="M92" s="155"/>
      <c r="N92" s="131"/>
      <c r="O92" s="207"/>
      <c r="P92" s="155"/>
      <c r="Q92" s="155"/>
      <c r="R92" s="155"/>
      <c r="S92" s="211"/>
      <c r="T92" s="155" t="s">
        <v>115</v>
      </c>
      <c r="U92" s="155" t="s">
        <v>115</v>
      </c>
      <c r="V92" s="155" t="s">
        <v>115</v>
      </c>
      <c r="W92" s="211"/>
      <c r="X92" s="155"/>
      <c r="Y92" s="155"/>
      <c r="Z92" s="155"/>
      <c r="AA92" s="211"/>
      <c r="AB92" s="155"/>
      <c r="AC92" s="155"/>
      <c r="AD92" s="155"/>
      <c r="AE92" s="808">
        <f t="shared" ref="AE92:AE179" si="15">AO92+AS92+AW92+BA92+BE92</f>
        <v>2997</v>
      </c>
      <c r="AF92" s="761">
        <f t="shared" ref="AF92:AF179" si="16">AQ92+AU92+AY92+BC92+BG92</f>
        <v>2997</v>
      </c>
      <c r="AG92" s="110">
        <f t="shared" si="14"/>
        <v>2997</v>
      </c>
      <c r="AH92" s="808">
        <f t="shared" si="6"/>
        <v>0</v>
      </c>
      <c r="AI92" s="301" t="s">
        <v>117</v>
      </c>
      <c r="AJ92" s="206">
        <v>0</v>
      </c>
      <c r="AK92" s="808">
        <f t="shared" si="9"/>
        <v>0</v>
      </c>
      <c r="AL92" s="301" t="s">
        <v>5054</v>
      </c>
      <c r="AM92" s="206">
        <v>0.05</v>
      </c>
      <c r="AN92" s="808">
        <f t="shared" si="10"/>
        <v>149.85</v>
      </c>
      <c r="AO92" s="110">
        <v>2997</v>
      </c>
      <c r="AP92" s="226">
        <v>44470</v>
      </c>
      <c r="AQ92" s="110">
        <v>2997</v>
      </c>
      <c r="AR92" s="263"/>
      <c r="AS92" s="110">
        <v>0</v>
      </c>
      <c r="AT92" s="226"/>
      <c r="AU92" s="110">
        <v>0</v>
      </c>
      <c r="AV92" s="263"/>
      <c r="AW92" s="110">
        <v>0</v>
      </c>
      <c r="AX92" s="226"/>
      <c r="AY92" s="110">
        <v>0</v>
      </c>
      <c r="AZ92" s="263"/>
      <c r="BA92" s="110">
        <v>0</v>
      </c>
      <c r="BB92" s="226"/>
      <c r="BC92" s="110">
        <v>0</v>
      </c>
      <c r="BD92" s="263"/>
      <c r="BE92" s="110">
        <v>0</v>
      </c>
      <c r="BF92" s="226"/>
      <c r="BG92" s="110">
        <v>0</v>
      </c>
      <c r="BH92" s="263"/>
      <c r="BI92" s="3" t="s">
        <v>2612</v>
      </c>
      <c r="BJ92" s="779"/>
      <c r="BK92" s="779"/>
      <c r="BL92" s="779"/>
      <c r="BM92" s="779"/>
      <c r="BN92" s="779"/>
      <c r="BO92" s="779"/>
      <c r="BP92" s="779"/>
      <c r="BQ92" s="779"/>
    </row>
    <row r="93" spans="1:69" ht="30" customHeight="1">
      <c r="A93" s="245">
        <f t="shared" si="12"/>
        <v>5</v>
      </c>
      <c r="B93" s="449" t="s">
        <v>1307</v>
      </c>
      <c r="C93" s="449" t="s">
        <v>5109</v>
      </c>
      <c r="D93" s="294" t="s">
        <v>5110</v>
      </c>
      <c r="E93" s="1473"/>
      <c r="F93" s="251" t="s">
        <v>5111</v>
      </c>
      <c r="G93" s="251"/>
      <c r="H93" s="251"/>
      <c r="I93" s="251"/>
      <c r="J93" s="251"/>
      <c r="K93" s="255"/>
      <c r="L93" s="256"/>
      <c r="M93" s="155"/>
      <c r="N93" s="131"/>
      <c r="O93" s="207"/>
      <c r="P93" s="155"/>
      <c r="Q93" s="155"/>
      <c r="R93" s="155"/>
      <c r="S93" s="211"/>
      <c r="T93" s="155" t="s">
        <v>115</v>
      </c>
      <c r="U93" s="155" t="s">
        <v>115</v>
      </c>
      <c r="V93" s="155" t="s">
        <v>115</v>
      </c>
      <c r="W93" s="211"/>
      <c r="X93" s="155"/>
      <c r="Y93" s="155"/>
      <c r="Z93" s="155"/>
      <c r="AA93" s="211"/>
      <c r="AB93" s="155"/>
      <c r="AC93" s="155"/>
      <c r="AD93" s="155"/>
      <c r="AE93" s="808">
        <f t="shared" si="15"/>
        <v>2997</v>
      </c>
      <c r="AF93" s="761">
        <f t="shared" si="16"/>
        <v>2997</v>
      </c>
      <c r="AG93" s="110">
        <f t="shared" si="14"/>
        <v>2997</v>
      </c>
      <c r="AH93" s="808">
        <f t="shared" si="6"/>
        <v>0</v>
      </c>
      <c r="AI93" s="301" t="s">
        <v>5112</v>
      </c>
      <c r="AJ93" s="206">
        <v>0.15</v>
      </c>
      <c r="AK93" s="808">
        <f t="shared" si="9"/>
        <v>449.55</v>
      </c>
      <c r="AL93" s="301" t="s">
        <v>5112</v>
      </c>
      <c r="AM93" s="206">
        <v>0.05</v>
      </c>
      <c r="AN93" s="808">
        <f t="shared" si="10"/>
        <v>149.85</v>
      </c>
      <c r="AO93" s="110">
        <v>2997</v>
      </c>
      <c r="AP93" s="226">
        <v>44470</v>
      </c>
      <c r="AQ93" s="110">
        <v>2997</v>
      </c>
      <c r="AR93" s="263"/>
      <c r="AS93" s="110">
        <v>0</v>
      </c>
      <c r="AT93" s="226"/>
      <c r="AU93" s="110">
        <v>0</v>
      </c>
      <c r="AV93" s="263"/>
      <c r="AW93" s="110">
        <v>0</v>
      </c>
      <c r="AX93" s="226"/>
      <c r="AY93" s="110">
        <v>0</v>
      </c>
      <c r="AZ93" s="263"/>
      <c r="BA93" s="110">
        <v>0</v>
      </c>
      <c r="BB93" s="226"/>
      <c r="BC93" s="110">
        <v>0</v>
      </c>
      <c r="BD93" s="263"/>
      <c r="BE93" s="110">
        <v>0</v>
      </c>
      <c r="BF93" s="226"/>
      <c r="BG93" s="110">
        <v>0</v>
      </c>
      <c r="BH93" s="263"/>
      <c r="BI93" s="3" t="s">
        <v>2612</v>
      </c>
      <c r="BJ93" s="779"/>
      <c r="BK93" s="779"/>
      <c r="BL93" s="779"/>
      <c r="BM93" s="779"/>
      <c r="BN93" s="779"/>
      <c r="BO93" s="779"/>
      <c r="BP93" s="779"/>
      <c r="BQ93" s="779"/>
    </row>
    <row r="94" spans="1:69" ht="30" customHeight="1">
      <c r="A94" s="245">
        <f t="shared" si="12"/>
        <v>6</v>
      </c>
      <c r="B94" s="449" t="s">
        <v>135</v>
      </c>
      <c r="C94" s="449" t="s">
        <v>5113</v>
      </c>
      <c r="D94" s="207" t="s">
        <v>5114</v>
      </c>
      <c r="E94" s="1473">
        <v>3401251804</v>
      </c>
      <c r="F94" s="251" t="s">
        <v>5115</v>
      </c>
      <c r="G94" s="251"/>
      <c r="H94" s="251"/>
      <c r="I94" s="251"/>
      <c r="J94" s="251"/>
      <c r="K94" s="255"/>
      <c r="L94" s="256"/>
      <c r="M94" s="155"/>
      <c r="N94" s="131"/>
      <c r="O94" s="207"/>
      <c r="P94" s="155"/>
      <c r="Q94" s="155"/>
      <c r="R94" s="155"/>
      <c r="S94" s="211"/>
      <c r="T94" s="155" t="s">
        <v>115</v>
      </c>
      <c r="U94" s="155" t="s">
        <v>115</v>
      </c>
      <c r="V94" s="155" t="s">
        <v>115</v>
      </c>
      <c r="W94" s="211"/>
      <c r="X94" s="155"/>
      <c r="Y94" s="155"/>
      <c r="Z94" s="155"/>
      <c r="AA94" s="211"/>
      <c r="AB94" s="155"/>
      <c r="AC94" s="155"/>
      <c r="AD94" s="155"/>
      <c r="AE94" s="808">
        <f t="shared" si="15"/>
        <v>2997</v>
      </c>
      <c r="AF94" s="761">
        <f t="shared" si="16"/>
        <v>2997</v>
      </c>
      <c r="AG94" s="110">
        <f t="shared" si="14"/>
        <v>2997</v>
      </c>
      <c r="AH94" s="808">
        <f t="shared" si="6"/>
        <v>0</v>
      </c>
      <c r="AI94" s="1472" t="s">
        <v>4932</v>
      </c>
      <c r="AJ94" s="206">
        <v>0.15</v>
      </c>
      <c r="AK94" s="808">
        <f t="shared" si="9"/>
        <v>449.55</v>
      </c>
      <c r="AL94" s="1472" t="s">
        <v>4932</v>
      </c>
      <c r="AM94" s="206">
        <v>0.05</v>
      </c>
      <c r="AN94" s="808">
        <f t="shared" si="10"/>
        <v>149.85</v>
      </c>
      <c r="AO94" s="110">
        <v>2997</v>
      </c>
      <c r="AP94" s="226">
        <v>44469</v>
      </c>
      <c r="AQ94" s="110">
        <v>2997</v>
      </c>
      <c r="AR94" s="263"/>
      <c r="AS94" s="110">
        <v>0</v>
      </c>
      <c r="AT94" s="226"/>
      <c r="AU94" s="110">
        <v>0</v>
      </c>
      <c r="AV94" s="263"/>
      <c r="AW94" s="110">
        <v>0</v>
      </c>
      <c r="AX94" s="226"/>
      <c r="AY94" s="110">
        <v>0</v>
      </c>
      <c r="AZ94" s="263"/>
      <c r="BA94" s="110">
        <v>0</v>
      </c>
      <c r="BB94" s="226"/>
      <c r="BC94" s="110">
        <v>0</v>
      </c>
      <c r="BD94" s="263"/>
      <c r="BE94" s="110">
        <v>0</v>
      </c>
      <c r="BF94" s="226"/>
      <c r="BG94" s="110">
        <v>0</v>
      </c>
      <c r="BH94" s="263"/>
      <c r="BI94" s="3" t="s">
        <v>2612</v>
      </c>
      <c r="BJ94" s="779"/>
      <c r="BK94" s="779"/>
      <c r="BL94" s="779"/>
      <c r="BM94" s="779"/>
      <c r="BN94" s="779"/>
      <c r="BO94" s="779"/>
      <c r="BP94" s="779"/>
      <c r="BQ94" s="779"/>
    </row>
    <row r="95" spans="1:69" ht="30" customHeight="1">
      <c r="A95" s="245">
        <f t="shared" si="12"/>
        <v>7</v>
      </c>
      <c r="B95" s="449" t="s">
        <v>135</v>
      </c>
      <c r="C95" s="449" t="s">
        <v>5116</v>
      </c>
      <c r="D95" s="207" t="s">
        <v>5117</v>
      </c>
      <c r="E95" s="1473">
        <v>3783024788</v>
      </c>
      <c r="F95" s="251" t="s">
        <v>2713</v>
      </c>
      <c r="G95" s="251"/>
      <c r="H95" s="251"/>
      <c r="I95" s="251"/>
      <c r="J95" s="251"/>
      <c r="K95" s="255"/>
      <c r="L95" s="256"/>
      <c r="M95" s="155"/>
      <c r="N95" s="131"/>
      <c r="O95" s="207"/>
      <c r="P95" s="155"/>
      <c r="Q95" s="155"/>
      <c r="R95" s="155"/>
      <c r="S95" s="211"/>
      <c r="T95" s="155" t="s">
        <v>115</v>
      </c>
      <c r="U95" s="155"/>
      <c r="V95" s="155" t="s">
        <v>115</v>
      </c>
      <c r="W95" s="211"/>
      <c r="X95" s="155"/>
      <c r="Y95" s="155" t="s">
        <v>115</v>
      </c>
      <c r="Z95" s="155"/>
      <c r="AA95" s="211"/>
      <c r="AB95" s="155"/>
      <c r="AC95" s="155"/>
      <c r="AD95" s="155"/>
      <c r="AE95" s="808">
        <f t="shared" si="15"/>
        <v>2997</v>
      </c>
      <c r="AF95" s="761">
        <f t="shared" si="16"/>
        <v>2997</v>
      </c>
      <c r="AG95" s="110">
        <f>900+757</f>
        <v>1657</v>
      </c>
      <c r="AH95" s="808">
        <f t="shared" si="6"/>
        <v>1340</v>
      </c>
      <c r="AI95" s="301" t="s">
        <v>5118</v>
      </c>
      <c r="AJ95" s="206">
        <v>0.15</v>
      </c>
      <c r="AK95" s="808">
        <f t="shared" si="9"/>
        <v>449.55</v>
      </c>
      <c r="AL95" s="301" t="s">
        <v>5118</v>
      </c>
      <c r="AM95" s="206">
        <v>0.05</v>
      </c>
      <c r="AN95" s="808">
        <f t="shared" si="10"/>
        <v>149.85</v>
      </c>
      <c r="AO95" s="110">
        <v>2997</v>
      </c>
      <c r="AP95" s="226">
        <v>44470</v>
      </c>
      <c r="AQ95" s="110">
        <v>2997</v>
      </c>
      <c r="AR95" s="263"/>
      <c r="AS95" s="110">
        <v>0</v>
      </c>
      <c r="AT95" s="226"/>
      <c r="AU95" s="110">
        <v>0</v>
      </c>
      <c r="AV95" s="263"/>
      <c r="AW95" s="110">
        <v>0</v>
      </c>
      <c r="AX95" s="226"/>
      <c r="AY95" s="110">
        <v>0</v>
      </c>
      <c r="AZ95" s="263"/>
      <c r="BA95" s="110">
        <v>0</v>
      </c>
      <c r="BB95" s="226"/>
      <c r="BC95" s="110">
        <v>0</v>
      </c>
      <c r="BD95" s="263"/>
      <c r="BE95" s="110">
        <v>0</v>
      </c>
      <c r="BF95" s="226"/>
      <c r="BG95" s="110">
        <v>0</v>
      </c>
      <c r="BH95" s="263"/>
      <c r="BI95" s="3" t="s">
        <v>2612</v>
      </c>
      <c r="BJ95" s="779"/>
      <c r="BK95" s="779"/>
      <c r="BL95" s="779"/>
      <c r="BM95" s="779"/>
      <c r="BN95" s="779"/>
      <c r="BO95" s="779"/>
      <c r="BP95" s="779"/>
      <c r="BQ95" s="779"/>
    </row>
    <row r="96" spans="1:69" ht="30" hidden="1" customHeight="1">
      <c r="A96" s="245">
        <f t="shared" si="12"/>
        <v>8</v>
      </c>
      <c r="B96" s="449" t="s">
        <v>2710</v>
      </c>
      <c r="C96" s="449" t="s">
        <v>2711</v>
      </c>
      <c r="D96" s="207" t="s">
        <v>2712</v>
      </c>
      <c r="E96" s="1473"/>
      <c r="F96" s="251" t="s">
        <v>2713</v>
      </c>
      <c r="G96" s="251"/>
      <c r="H96" s="251"/>
      <c r="I96" s="251"/>
      <c r="J96" s="251"/>
      <c r="K96" s="255"/>
      <c r="L96" s="256"/>
      <c r="M96" s="155"/>
      <c r="N96" s="131"/>
      <c r="O96" s="207"/>
      <c r="P96" s="155"/>
      <c r="Q96" s="155"/>
      <c r="R96" s="155"/>
      <c r="S96" s="211"/>
      <c r="T96" s="155"/>
      <c r="U96" s="155"/>
      <c r="V96" s="155"/>
      <c r="W96" s="211"/>
      <c r="X96" s="928" t="s">
        <v>245</v>
      </c>
      <c r="Y96" s="928" t="s">
        <v>245</v>
      </c>
      <c r="Z96" s="928" t="s">
        <v>245</v>
      </c>
      <c r="AA96" s="211"/>
      <c r="AB96" s="155"/>
      <c r="AC96" s="155"/>
      <c r="AD96" s="155"/>
      <c r="AE96" s="808">
        <f t="shared" si="15"/>
        <v>2997</v>
      </c>
      <c r="AF96" s="761">
        <f t="shared" si="16"/>
        <v>0</v>
      </c>
      <c r="AG96" s="110">
        <f t="shared" ref="AG96:AG102" si="17">AF96</f>
        <v>0</v>
      </c>
      <c r="AH96" s="808">
        <f t="shared" si="6"/>
        <v>2997</v>
      </c>
      <c r="AI96" s="301" t="s">
        <v>160</v>
      </c>
      <c r="AJ96" s="206">
        <v>0.15</v>
      </c>
      <c r="AK96" s="808">
        <f t="shared" si="9"/>
        <v>0</v>
      </c>
      <c r="AL96" s="301" t="s">
        <v>160</v>
      </c>
      <c r="AM96" s="206">
        <v>0.05</v>
      </c>
      <c r="AN96" s="808">
        <f t="shared" si="10"/>
        <v>0</v>
      </c>
      <c r="AO96" s="110">
        <v>2997</v>
      </c>
      <c r="AP96" s="226"/>
      <c r="AQ96" s="110"/>
      <c r="AR96" s="263"/>
      <c r="AS96" s="110">
        <v>0</v>
      </c>
      <c r="AT96" s="226"/>
      <c r="AU96" s="110">
        <v>0</v>
      </c>
      <c r="AV96" s="263"/>
      <c r="AW96" s="110">
        <v>0</v>
      </c>
      <c r="AX96" s="226"/>
      <c r="AY96" s="110">
        <v>0</v>
      </c>
      <c r="AZ96" s="263"/>
      <c r="BA96" s="110">
        <v>0</v>
      </c>
      <c r="BB96" s="226"/>
      <c r="BC96" s="110">
        <v>0</v>
      </c>
      <c r="BD96" s="263"/>
      <c r="BE96" s="110">
        <v>0</v>
      </c>
      <c r="BF96" s="226"/>
      <c r="BG96" s="110">
        <v>0</v>
      </c>
      <c r="BH96" s="263"/>
      <c r="BI96" s="3" t="s">
        <v>2612</v>
      </c>
      <c r="BJ96" s="779"/>
      <c r="BK96" s="779"/>
      <c r="BL96" s="779"/>
      <c r="BM96" s="779"/>
      <c r="BN96" s="779"/>
      <c r="BO96" s="779"/>
      <c r="BP96" s="779"/>
      <c r="BQ96" s="779"/>
    </row>
    <row r="97" spans="1:69" ht="30" customHeight="1">
      <c r="A97" s="245">
        <f t="shared" si="12"/>
        <v>9</v>
      </c>
      <c r="B97" s="449" t="s">
        <v>977</v>
      </c>
      <c r="C97" s="449" t="s">
        <v>4642</v>
      </c>
      <c r="D97" s="207" t="s">
        <v>4643</v>
      </c>
      <c r="E97" s="1473"/>
      <c r="F97" s="1514" t="s">
        <v>4639</v>
      </c>
      <c r="G97" s="251"/>
      <c r="H97" s="251"/>
      <c r="I97" s="251"/>
      <c r="J97" s="251"/>
      <c r="K97" s="255"/>
      <c r="L97" s="256"/>
      <c r="M97" s="155"/>
      <c r="N97" s="131"/>
      <c r="O97" s="207"/>
      <c r="P97" s="155"/>
      <c r="Q97" s="155"/>
      <c r="R97" s="155"/>
      <c r="S97" s="211"/>
      <c r="T97" s="155" t="s">
        <v>115</v>
      </c>
      <c r="U97" s="155" t="s">
        <v>115</v>
      </c>
      <c r="V97" s="155" t="s">
        <v>115</v>
      </c>
      <c r="W97" s="211"/>
      <c r="X97" s="155"/>
      <c r="Y97" s="155"/>
      <c r="Z97" s="155"/>
      <c r="AA97" s="211"/>
      <c r="AB97" s="155"/>
      <c r="AC97" s="155"/>
      <c r="AD97" s="155"/>
      <c r="AE97" s="808">
        <f t="shared" si="15"/>
        <v>2997</v>
      </c>
      <c r="AF97" s="761">
        <f t="shared" si="16"/>
        <v>2997</v>
      </c>
      <c r="AG97" s="110">
        <f t="shared" si="17"/>
        <v>2997</v>
      </c>
      <c r="AH97" s="808">
        <f t="shared" si="6"/>
        <v>0</v>
      </c>
      <c r="AI97" s="301" t="s">
        <v>117</v>
      </c>
      <c r="AJ97" s="206">
        <v>0</v>
      </c>
      <c r="AK97" s="808">
        <f t="shared" si="9"/>
        <v>0</v>
      </c>
      <c r="AL97" s="301" t="s">
        <v>5054</v>
      </c>
      <c r="AM97" s="206">
        <v>0.05</v>
      </c>
      <c r="AN97" s="808">
        <f t="shared" si="10"/>
        <v>149.85</v>
      </c>
      <c r="AO97" s="110">
        <v>2997</v>
      </c>
      <c r="AP97" s="226">
        <v>44470</v>
      </c>
      <c r="AQ97" s="110">
        <v>2997</v>
      </c>
      <c r="AR97" s="263"/>
      <c r="AS97" s="110">
        <v>0</v>
      </c>
      <c r="AT97" s="226"/>
      <c r="AU97" s="110">
        <v>0</v>
      </c>
      <c r="AV97" s="263"/>
      <c r="AW97" s="110">
        <v>0</v>
      </c>
      <c r="AX97" s="226"/>
      <c r="AY97" s="110">
        <v>0</v>
      </c>
      <c r="AZ97" s="263"/>
      <c r="BA97" s="110">
        <v>0</v>
      </c>
      <c r="BB97" s="226"/>
      <c r="BC97" s="110">
        <v>0</v>
      </c>
      <c r="BD97" s="263"/>
      <c r="BE97" s="110">
        <v>0</v>
      </c>
      <c r="BF97" s="226"/>
      <c r="BG97" s="110">
        <v>0</v>
      </c>
      <c r="BH97" s="263"/>
      <c r="BI97" s="3" t="s">
        <v>2612</v>
      </c>
      <c r="BJ97" s="779"/>
      <c r="BK97" s="779"/>
      <c r="BL97" s="779"/>
      <c r="BM97" s="779"/>
      <c r="BN97" s="779"/>
      <c r="BO97" s="779"/>
      <c r="BP97" s="779"/>
      <c r="BQ97" s="779"/>
    </row>
    <row r="98" spans="1:69" ht="30" customHeight="1">
      <c r="A98" s="245">
        <f t="shared" si="12"/>
        <v>10</v>
      </c>
      <c r="B98" s="449" t="s">
        <v>977</v>
      </c>
      <c r="C98" s="449" t="s">
        <v>5119</v>
      </c>
      <c r="D98" s="207" t="s">
        <v>5120</v>
      </c>
      <c r="E98" s="1473"/>
      <c r="F98" s="251" t="s">
        <v>5121</v>
      </c>
      <c r="G98" s="251"/>
      <c r="H98" s="251"/>
      <c r="I98" s="251"/>
      <c r="J98" s="251"/>
      <c r="K98" s="255"/>
      <c r="L98" s="256"/>
      <c r="M98" s="155"/>
      <c r="N98" s="131"/>
      <c r="O98" s="207"/>
      <c r="P98" s="155"/>
      <c r="Q98" s="155"/>
      <c r="R98" s="155"/>
      <c r="S98" s="211"/>
      <c r="T98" s="155" t="s">
        <v>115</v>
      </c>
      <c r="U98" s="155" t="s">
        <v>115</v>
      </c>
      <c r="V98" s="155" t="s">
        <v>115</v>
      </c>
      <c r="W98" s="211"/>
      <c r="X98" s="155"/>
      <c r="Y98" s="155"/>
      <c r="Z98" s="155"/>
      <c r="AA98" s="211"/>
      <c r="AB98" s="155"/>
      <c r="AC98" s="155"/>
      <c r="AD98" s="155"/>
      <c r="AE98" s="808">
        <f t="shared" si="15"/>
        <v>2997</v>
      </c>
      <c r="AF98" s="761">
        <f t="shared" si="16"/>
        <v>2997</v>
      </c>
      <c r="AG98" s="110">
        <f t="shared" si="17"/>
        <v>2997</v>
      </c>
      <c r="AH98" s="808">
        <f t="shared" si="6"/>
        <v>0</v>
      </c>
      <c r="AI98" s="301" t="s">
        <v>117</v>
      </c>
      <c r="AJ98" s="206">
        <v>0</v>
      </c>
      <c r="AK98" s="808">
        <f t="shared" si="9"/>
        <v>0</v>
      </c>
      <c r="AL98" s="301" t="s">
        <v>5054</v>
      </c>
      <c r="AM98" s="206">
        <v>0.05</v>
      </c>
      <c r="AN98" s="808">
        <f t="shared" si="10"/>
        <v>149.85</v>
      </c>
      <c r="AO98" s="110">
        <v>2997</v>
      </c>
      <c r="AP98" s="226">
        <v>44479</v>
      </c>
      <c r="AQ98" s="110">
        <v>2997</v>
      </c>
      <c r="AR98" s="263"/>
      <c r="AS98" s="110">
        <v>0</v>
      </c>
      <c r="AT98" s="226"/>
      <c r="AU98" s="110">
        <v>0</v>
      </c>
      <c r="AV98" s="263"/>
      <c r="AW98" s="110">
        <v>0</v>
      </c>
      <c r="AX98" s="226"/>
      <c r="AY98" s="110">
        <v>0</v>
      </c>
      <c r="AZ98" s="263"/>
      <c r="BA98" s="110">
        <v>0</v>
      </c>
      <c r="BB98" s="226"/>
      <c r="BC98" s="110">
        <v>0</v>
      </c>
      <c r="BD98" s="263"/>
      <c r="BE98" s="110">
        <v>0</v>
      </c>
      <c r="BF98" s="226"/>
      <c r="BG98" s="110">
        <v>0</v>
      </c>
      <c r="BH98" s="263"/>
      <c r="BI98" s="3" t="s">
        <v>2612</v>
      </c>
      <c r="BJ98" s="779"/>
      <c r="BK98" s="779"/>
      <c r="BL98" s="779"/>
      <c r="BM98" s="779"/>
      <c r="BN98" s="779"/>
      <c r="BO98" s="779"/>
      <c r="BP98" s="779"/>
      <c r="BQ98" s="779"/>
    </row>
    <row r="99" spans="1:69" ht="30" customHeight="1">
      <c r="A99" s="245">
        <f t="shared" si="12"/>
        <v>11</v>
      </c>
      <c r="B99" s="449" t="s">
        <v>525</v>
      </c>
      <c r="C99" s="449" t="s">
        <v>5122</v>
      </c>
      <c r="D99" s="207" t="s">
        <v>5123</v>
      </c>
      <c r="E99" s="1473">
        <v>3356583422</v>
      </c>
      <c r="F99" s="251" t="s">
        <v>5124</v>
      </c>
      <c r="G99" s="251"/>
      <c r="H99" s="251"/>
      <c r="I99" s="251"/>
      <c r="J99" s="251"/>
      <c r="K99" s="255"/>
      <c r="L99" s="256"/>
      <c r="M99" s="155"/>
      <c r="N99" s="131"/>
      <c r="O99" s="207"/>
      <c r="P99" s="155"/>
      <c r="Q99" s="155"/>
      <c r="R99" s="155"/>
      <c r="S99" s="211"/>
      <c r="T99" s="155" t="s">
        <v>115</v>
      </c>
      <c r="U99" s="155" t="s">
        <v>115</v>
      </c>
      <c r="V99" s="155" t="s">
        <v>115</v>
      </c>
      <c r="W99" s="211"/>
      <c r="X99" s="155"/>
      <c r="Y99" s="155"/>
      <c r="Z99" s="155"/>
      <c r="AA99" s="211"/>
      <c r="AB99" s="155"/>
      <c r="AC99" s="155"/>
      <c r="AD99" s="155"/>
      <c r="AE99" s="808">
        <f t="shared" si="15"/>
        <v>2997</v>
      </c>
      <c r="AF99" s="761">
        <f t="shared" si="16"/>
        <v>2997</v>
      </c>
      <c r="AG99" s="110">
        <f t="shared" si="17"/>
        <v>2997</v>
      </c>
      <c r="AH99" s="808">
        <f t="shared" si="6"/>
        <v>0</v>
      </c>
      <c r="AI99" s="301" t="s">
        <v>5125</v>
      </c>
      <c r="AJ99" s="206">
        <v>0</v>
      </c>
      <c r="AK99" s="808">
        <f t="shared" si="9"/>
        <v>0</v>
      </c>
      <c r="AL99" s="301" t="s">
        <v>5054</v>
      </c>
      <c r="AM99" s="206">
        <v>0.05</v>
      </c>
      <c r="AN99" s="808">
        <f t="shared" si="10"/>
        <v>149.85</v>
      </c>
      <c r="AO99" s="110">
        <v>2997</v>
      </c>
      <c r="AP99" s="226">
        <v>44469</v>
      </c>
      <c r="AQ99" s="110">
        <v>2997</v>
      </c>
      <c r="AR99" s="263"/>
      <c r="AS99" s="110">
        <v>0</v>
      </c>
      <c r="AT99" s="226"/>
      <c r="AU99" s="110">
        <v>0</v>
      </c>
      <c r="AV99" s="263"/>
      <c r="AW99" s="110">
        <v>0</v>
      </c>
      <c r="AX99" s="226"/>
      <c r="AY99" s="110">
        <v>0</v>
      </c>
      <c r="AZ99" s="263"/>
      <c r="BA99" s="110">
        <v>0</v>
      </c>
      <c r="BB99" s="226"/>
      <c r="BC99" s="110">
        <v>0</v>
      </c>
      <c r="BD99" s="263"/>
      <c r="BE99" s="110">
        <v>0</v>
      </c>
      <c r="BF99" s="226"/>
      <c r="BG99" s="110">
        <v>0</v>
      </c>
      <c r="BH99" s="263"/>
      <c r="BI99" s="3" t="s">
        <v>2612</v>
      </c>
      <c r="BJ99" s="779"/>
      <c r="BK99" s="779"/>
      <c r="BL99" s="779"/>
      <c r="BM99" s="779"/>
      <c r="BN99" s="779"/>
      <c r="BO99" s="779"/>
      <c r="BP99" s="779"/>
      <c r="BQ99" s="779"/>
    </row>
    <row r="100" spans="1:69" ht="30" customHeight="1">
      <c r="A100" s="245">
        <f t="shared" si="12"/>
        <v>12</v>
      </c>
      <c r="B100" s="449" t="s">
        <v>5126</v>
      </c>
      <c r="C100" s="449" t="s">
        <v>5127</v>
      </c>
      <c r="D100" s="294" t="s">
        <v>5128</v>
      </c>
      <c r="E100" s="1473">
        <v>3478761063</v>
      </c>
      <c r="F100" s="251" t="s">
        <v>5129</v>
      </c>
      <c r="G100" s="251"/>
      <c r="H100" s="251"/>
      <c r="I100" s="251"/>
      <c r="J100" s="251"/>
      <c r="K100" s="255"/>
      <c r="L100" s="256"/>
      <c r="M100" s="155"/>
      <c r="N100" s="131"/>
      <c r="O100" s="207"/>
      <c r="P100" s="155"/>
      <c r="Q100" s="155"/>
      <c r="R100" s="155"/>
      <c r="S100" s="211"/>
      <c r="T100" s="155" t="s">
        <v>115</v>
      </c>
      <c r="U100" s="155" t="s">
        <v>115</v>
      </c>
      <c r="V100" s="155" t="s">
        <v>115</v>
      </c>
      <c r="W100" s="211"/>
      <c r="X100" s="155"/>
      <c r="Y100" s="155"/>
      <c r="Z100" s="155"/>
      <c r="AA100" s="211"/>
      <c r="AB100" s="155"/>
      <c r="AC100" s="155"/>
      <c r="AD100" s="155"/>
      <c r="AE100" s="808">
        <f t="shared" si="15"/>
        <v>2997</v>
      </c>
      <c r="AF100" s="761">
        <f t="shared" si="16"/>
        <v>2997</v>
      </c>
      <c r="AG100" s="110">
        <f t="shared" si="17"/>
        <v>2997</v>
      </c>
      <c r="AH100" s="808">
        <f t="shared" si="6"/>
        <v>0</v>
      </c>
      <c r="AI100" s="1472" t="s">
        <v>117</v>
      </c>
      <c r="AJ100" s="206">
        <v>0</v>
      </c>
      <c r="AK100" s="808">
        <f t="shared" si="9"/>
        <v>0</v>
      </c>
      <c r="AL100" s="301" t="s">
        <v>5054</v>
      </c>
      <c r="AM100" s="206">
        <v>0.05</v>
      </c>
      <c r="AN100" s="808">
        <f t="shared" si="10"/>
        <v>149.85</v>
      </c>
      <c r="AO100" s="110">
        <v>2997</v>
      </c>
      <c r="AP100" s="226">
        <v>44499</v>
      </c>
      <c r="AQ100" s="110">
        <v>2997</v>
      </c>
      <c r="AR100" s="263"/>
      <c r="AS100" s="110">
        <v>0</v>
      </c>
      <c r="AT100" s="226"/>
      <c r="AU100" s="110">
        <v>0</v>
      </c>
      <c r="AV100" s="263"/>
      <c r="AW100" s="110">
        <v>0</v>
      </c>
      <c r="AX100" s="226"/>
      <c r="AY100" s="110">
        <v>0</v>
      </c>
      <c r="AZ100" s="263"/>
      <c r="BA100" s="110">
        <v>0</v>
      </c>
      <c r="BB100" s="226"/>
      <c r="BC100" s="110">
        <v>0</v>
      </c>
      <c r="BD100" s="263"/>
      <c r="BE100" s="110">
        <v>0</v>
      </c>
      <c r="BF100" s="226"/>
      <c r="BG100" s="110">
        <v>0</v>
      </c>
      <c r="BH100" s="263"/>
      <c r="BI100" s="3" t="s">
        <v>2612</v>
      </c>
      <c r="BJ100" s="779"/>
      <c r="BK100" s="779"/>
      <c r="BL100" s="779"/>
      <c r="BM100" s="779"/>
      <c r="BN100" s="779"/>
      <c r="BO100" s="779"/>
      <c r="BP100" s="779"/>
      <c r="BQ100" s="779"/>
    </row>
    <row r="101" spans="1:69" ht="30" customHeight="1">
      <c r="A101" s="245">
        <f t="shared" si="12"/>
        <v>13</v>
      </c>
      <c r="B101" s="449" t="s">
        <v>321</v>
      </c>
      <c r="C101" s="449" t="s">
        <v>5130</v>
      </c>
      <c r="D101" s="207" t="s">
        <v>5131</v>
      </c>
      <c r="E101" s="1473"/>
      <c r="F101" s="251" t="s">
        <v>5132</v>
      </c>
      <c r="G101" s="251"/>
      <c r="H101" s="251"/>
      <c r="I101" s="251"/>
      <c r="J101" s="251"/>
      <c r="K101" s="255"/>
      <c r="L101" s="256"/>
      <c r="M101" s="155"/>
      <c r="N101" s="131"/>
      <c r="O101" s="207"/>
      <c r="P101" s="155"/>
      <c r="Q101" s="155"/>
      <c r="R101" s="155"/>
      <c r="S101" s="211"/>
      <c r="T101" s="155" t="s">
        <v>115</v>
      </c>
      <c r="U101" s="155" t="s">
        <v>115</v>
      </c>
      <c r="V101" s="155" t="s">
        <v>115</v>
      </c>
      <c r="W101" s="211"/>
      <c r="X101" s="155"/>
      <c r="Y101" s="155"/>
      <c r="Z101" s="155"/>
      <c r="AA101" s="211"/>
      <c r="AB101" s="155"/>
      <c r="AC101" s="155"/>
      <c r="AD101" s="155"/>
      <c r="AE101" s="808">
        <f t="shared" si="15"/>
        <v>2997</v>
      </c>
      <c r="AF101" s="761">
        <f t="shared" si="16"/>
        <v>2997</v>
      </c>
      <c r="AG101" s="110">
        <f t="shared" si="17"/>
        <v>2997</v>
      </c>
      <c r="AH101" s="808">
        <f t="shared" si="6"/>
        <v>0</v>
      </c>
      <c r="AI101" s="1472" t="s">
        <v>117</v>
      </c>
      <c r="AJ101" s="206">
        <v>0</v>
      </c>
      <c r="AK101" s="808">
        <f t="shared" si="9"/>
        <v>0</v>
      </c>
      <c r="AL101" s="301" t="s">
        <v>5133</v>
      </c>
      <c r="AM101" s="206">
        <v>0.05</v>
      </c>
      <c r="AN101" s="808">
        <f t="shared" si="10"/>
        <v>149.85</v>
      </c>
      <c r="AO101" s="110">
        <v>2997</v>
      </c>
      <c r="AP101" s="226">
        <v>44487</v>
      </c>
      <c r="AQ101" s="110">
        <v>2997</v>
      </c>
      <c r="AR101" s="263"/>
      <c r="AS101" s="110">
        <v>0</v>
      </c>
      <c r="AT101" s="226"/>
      <c r="AU101" s="110">
        <v>0</v>
      </c>
      <c r="AV101" s="263"/>
      <c r="AW101" s="110">
        <v>0</v>
      </c>
      <c r="AX101" s="226"/>
      <c r="AY101" s="110">
        <v>0</v>
      </c>
      <c r="AZ101" s="263"/>
      <c r="BA101" s="110">
        <v>0</v>
      </c>
      <c r="BB101" s="226"/>
      <c r="BC101" s="110">
        <v>0</v>
      </c>
      <c r="BD101" s="263"/>
      <c r="BE101" s="110">
        <v>0</v>
      </c>
      <c r="BF101" s="226"/>
      <c r="BG101" s="110">
        <v>0</v>
      </c>
      <c r="BH101" s="263"/>
      <c r="BI101" s="3" t="s">
        <v>2612</v>
      </c>
      <c r="BJ101" s="779"/>
      <c r="BK101" s="779"/>
      <c r="BL101" s="779"/>
      <c r="BM101" s="779"/>
      <c r="BN101" s="779"/>
      <c r="BO101" s="779"/>
      <c r="BP101" s="779"/>
      <c r="BQ101" s="779"/>
    </row>
    <row r="102" spans="1:69" ht="30" customHeight="1">
      <c r="A102" s="245">
        <f t="shared" si="12"/>
        <v>14</v>
      </c>
      <c r="B102" s="449" t="s">
        <v>5134</v>
      </c>
      <c r="C102" s="449" t="s">
        <v>5135</v>
      </c>
      <c r="D102" s="207" t="s">
        <v>5136</v>
      </c>
      <c r="E102" s="1473"/>
      <c r="F102" s="251" t="s">
        <v>5132</v>
      </c>
      <c r="G102" s="251"/>
      <c r="H102" s="251"/>
      <c r="I102" s="251"/>
      <c r="J102" s="251"/>
      <c r="K102" s="255"/>
      <c r="L102" s="256"/>
      <c r="M102" s="155"/>
      <c r="N102" s="131"/>
      <c r="O102" s="207"/>
      <c r="P102" s="155"/>
      <c r="Q102" s="155"/>
      <c r="R102" s="155"/>
      <c r="S102" s="211"/>
      <c r="T102" s="155" t="s">
        <v>115</v>
      </c>
      <c r="U102" s="155" t="s">
        <v>115</v>
      </c>
      <c r="V102" s="155" t="s">
        <v>115</v>
      </c>
      <c r="W102" s="211"/>
      <c r="X102" s="155"/>
      <c r="Y102" s="155"/>
      <c r="Z102" s="155"/>
      <c r="AA102" s="211"/>
      <c r="AB102" s="155"/>
      <c r="AC102" s="155"/>
      <c r="AD102" s="155"/>
      <c r="AE102" s="808">
        <f t="shared" si="15"/>
        <v>2997</v>
      </c>
      <c r="AF102" s="761">
        <f t="shared" si="16"/>
        <v>2997</v>
      </c>
      <c r="AG102" s="110">
        <f t="shared" si="17"/>
        <v>2997</v>
      </c>
      <c r="AH102" s="808">
        <f t="shared" si="6"/>
        <v>0</v>
      </c>
      <c r="AI102" s="1472" t="s">
        <v>117</v>
      </c>
      <c r="AJ102" s="206">
        <v>0</v>
      </c>
      <c r="AK102" s="808">
        <f t="shared" si="9"/>
        <v>0</v>
      </c>
      <c r="AL102" s="301" t="s">
        <v>5133</v>
      </c>
      <c r="AM102" s="206">
        <v>0.05</v>
      </c>
      <c r="AN102" s="808">
        <f t="shared" si="10"/>
        <v>149.85</v>
      </c>
      <c r="AO102" s="110">
        <v>2997</v>
      </c>
      <c r="AP102" s="226">
        <v>44487</v>
      </c>
      <c r="AQ102" s="110">
        <v>2997</v>
      </c>
      <c r="AR102" s="263"/>
      <c r="AS102" s="110">
        <v>0</v>
      </c>
      <c r="AT102" s="226"/>
      <c r="AU102" s="110">
        <v>0</v>
      </c>
      <c r="AV102" s="263"/>
      <c r="AW102" s="110">
        <v>0</v>
      </c>
      <c r="AX102" s="226"/>
      <c r="AY102" s="110">
        <v>0</v>
      </c>
      <c r="AZ102" s="263"/>
      <c r="BA102" s="110">
        <v>0</v>
      </c>
      <c r="BB102" s="226"/>
      <c r="BC102" s="110">
        <v>0</v>
      </c>
      <c r="BD102" s="263"/>
      <c r="BE102" s="110">
        <v>0</v>
      </c>
      <c r="BF102" s="226"/>
      <c r="BG102" s="110">
        <v>0</v>
      </c>
      <c r="BH102" s="263"/>
      <c r="BI102" s="3" t="s">
        <v>2612</v>
      </c>
      <c r="BJ102" s="779"/>
      <c r="BK102" s="779"/>
      <c r="BL102" s="779"/>
      <c r="BM102" s="779"/>
      <c r="BN102" s="779"/>
      <c r="BO102" s="779"/>
      <c r="BP102" s="779"/>
      <c r="BQ102" s="779"/>
    </row>
    <row r="103" spans="1:69" ht="30" hidden="1" customHeight="1">
      <c r="A103" s="245">
        <f t="shared" si="12"/>
        <v>15</v>
      </c>
      <c r="B103" s="449" t="s">
        <v>5137</v>
      </c>
      <c r="C103" s="449" t="s">
        <v>5138</v>
      </c>
      <c r="D103" s="294" t="s">
        <v>5139</v>
      </c>
      <c r="E103" s="1473"/>
      <c r="F103" s="251" t="s">
        <v>5140</v>
      </c>
      <c r="G103" s="251"/>
      <c r="H103" s="251"/>
      <c r="I103" s="251"/>
      <c r="J103" s="251"/>
      <c r="K103" s="255"/>
      <c r="L103" s="256"/>
      <c r="M103" s="155"/>
      <c r="N103" s="131"/>
      <c r="O103" s="207"/>
      <c r="P103" s="155"/>
      <c r="Q103" s="155"/>
      <c r="R103" s="155"/>
      <c r="S103" s="211"/>
      <c r="T103" s="155"/>
      <c r="U103" s="155" t="s">
        <v>115</v>
      </c>
      <c r="V103" s="937"/>
      <c r="W103" s="211"/>
      <c r="X103" s="155" t="s">
        <v>115</v>
      </c>
      <c r="Y103" s="155"/>
      <c r="Z103" s="155" t="s">
        <v>115</v>
      </c>
      <c r="AA103" s="211"/>
      <c r="AB103" s="155"/>
      <c r="AC103" s="155"/>
      <c r="AD103" s="155"/>
      <c r="AE103" s="808">
        <f t="shared" si="15"/>
        <v>2997</v>
      </c>
      <c r="AF103" s="761">
        <f t="shared" si="16"/>
        <v>2997</v>
      </c>
      <c r="AG103" s="110">
        <v>1340</v>
      </c>
      <c r="AH103" s="808">
        <f t="shared" si="6"/>
        <v>1657</v>
      </c>
      <c r="AI103" s="1472" t="s">
        <v>5091</v>
      </c>
      <c r="AJ103" s="206">
        <v>0.15</v>
      </c>
      <c r="AK103" s="808">
        <f t="shared" si="9"/>
        <v>449.55</v>
      </c>
      <c r="AL103" s="1472" t="s">
        <v>5091</v>
      </c>
      <c r="AM103" s="206">
        <v>0.05</v>
      </c>
      <c r="AN103" s="808">
        <f t="shared" si="10"/>
        <v>149.85</v>
      </c>
      <c r="AO103" s="110">
        <v>2997</v>
      </c>
      <c r="AP103" s="226">
        <v>44470</v>
      </c>
      <c r="AQ103" s="110">
        <v>2997</v>
      </c>
      <c r="AR103" s="263"/>
      <c r="AS103" s="110">
        <v>0</v>
      </c>
      <c r="AT103" s="226"/>
      <c r="AU103" s="110">
        <v>0</v>
      </c>
      <c r="AV103" s="263"/>
      <c r="AW103" s="110">
        <v>0</v>
      </c>
      <c r="AX103" s="226"/>
      <c r="AY103" s="110">
        <v>0</v>
      </c>
      <c r="AZ103" s="263"/>
      <c r="BA103" s="110">
        <v>0</v>
      </c>
      <c r="BB103" s="226"/>
      <c r="BC103" s="110">
        <v>0</v>
      </c>
      <c r="BD103" s="263"/>
      <c r="BE103" s="110">
        <v>0</v>
      </c>
      <c r="BF103" s="226"/>
      <c r="BG103" s="110">
        <v>0</v>
      </c>
      <c r="BH103" s="263"/>
      <c r="BI103" s="3" t="s">
        <v>2612</v>
      </c>
      <c r="BJ103" s="779"/>
      <c r="BK103" s="779"/>
      <c r="BL103" s="779"/>
      <c r="BM103" s="779"/>
      <c r="BN103" s="779"/>
      <c r="BO103" s="779"/>
      <c r="BP103" s="779"/>
      <c r="BQ103" s="779"/>
    </row>
    <row r="104" spans="1:69" ht="30" hidden="1" customHeight="1">
      <c r="A104" s="245">
        <f t="shared" si="12"/>
        <v>16</v>
      </c>
      <c r="B104" s="449" t="s">
        <v>5141</v>
      </c>
      <c r="C104" s="449" t="s">
        <v>5138</v>
      </c>
      <c r="D104" s="207"/>
      <c r="E104" s="1473"/>
      <c r="F104" s="251" t="s">
        <v>5140</v>
      </c>
      <c r="G104" s="251"/>
      <c r="H104" s="251"/>
      <c r="I104" s="251"/>
      <c r="J104" s="251"/>
      <c r="K104" s="255"/>
      <c r="L104" s="256"/>
      <c r="M104" s="155"/>
      <c r="N104" s="131"/>
      <c r="O104" s="207"/>
      <c r="P104" s="155"/>
      <c r="Q104" s="155"/>
      <c r="R104" s="155"/>
      <c r="S104" s="211"/>
      <c r="T104" s="155"/>
      <c r="U104" s="155"/>
      <c r="V104" s="155"/>
      <c r="W104" s="211"/>
      <c r="X104" s="155" t="s">
        <v>115</v>
      </c>
      <c r="Y104" s="155" t="s">
        <v>115</v>
      </c>
      <c r="Z104" s="155" t="s">
        <v>115</v>
      </c>
      <c r="AA104" s="211"/>
      <c r="AB104" s="155"/>
      <c r="AC104" s="155"/>
      <c r="AD104" s="155"/>
      <c r="AE104" s="808">
        <f t="shared" si="15"/>
        <v>2997</v>
      </c>
      <c r="AF104" s="761">
        <f t="shared" si="16"/>
        <v>2997</v>
      </c>
      <c r="AG104" s="110">
        <v>0</v>
      </c>
      <c r="AH104" s="808">
        <f t="shared" si="6"/>
        <v>2997</v>
      </c>
      <c r="AI104" s="1472" t="s">
        <v>5091</v>
      </c>
      <c r="AJ104" s="206">
        <v>0.15</v>
      </c>
      <c r="AK104" s="808">
        <f t="shared" si="9"/>
        <v>449.55</v>
      </c>
      <c r="AL104" s="1472" t="s">
        <v>5091</v>
      </c>
      <c r="AM104" s="206">
        <v>0.05</v>
      </c>
      <c r="AN104" s="808">
        <f t="shared" si="10"/>
        <v>149.85</v>
      </c>
      <c r="AO104" s="110">
        <v>2997</v>
      </c>
      <c r="AP104" s="226">
        <v>44470</v>
      </c>
      <c r="AQ104" s="110">
        <v>2997</v>
      </c>
      <c r="AR104" s="263"/>
      <c r="AS104" s="110">
        <v>0</v>
      </c>
      <c r="AT104" s="226"/>
      <c r="AU104" s="110">
        <v>0</v>
      </c>
      <c r="AV104" s="263"/>
      <c r="AW104" s="110">
        <v>0</v>
      </c>
      <c r="AX104" s="226"/>
      <c r="AY104" s="110">
        <v>0</v>
      </c>
      <c r="AZ104" s="263"/>
      <c r="BA104" s="110">
        <v>0</v>
      </c>
      <c r="BB104" s="226"/>
      <c r="BC104" s="110">
        <v>0</v>
      </c>
      <c r="BD104" s="263"/>
      <c r="BE104" s="110">
        <v>0</v>
      </c>
      <c r="BF104" s="226"/>
      <c r="BG104" s="110">
        <v>0</v>
      </c>
      <c r="BH104" s="263"/>
      <c r="BI104" s="3" t="s">
        <v>2612</v>
      </c>
      <c r="BJ104" s="779"/>
      <c r="BK104" s="779"/>
      <c r="BL104" s="779"/>
      <c r="BM104" s="779"/>
      <c r="BN104" s="779"/>
      <c r="BO104" s="779"/>
      <c r="BP104" s="779"/>
      <c r="BQ104" s="779"/>
    </row>
    <row r="105" spans="1:69" ht="30" customHeight="1">
      <c r="A105" s="245">
        <f t="shared" si="12"/>
        <v>17</v>
      </c>
      <c r="B105" s="449" t="s">
        <v>428</v>
      </c>
      <c r="C105" s="449" t="s">
        <v>5142</v>
      </c>
      <c r="D105" s="207" t="s">
        <v>5143</v>
      </c>
      <c r="E105" s="1473">
        <v>3487109248</v>
      </c>
      <c r="F105" s="251" t="s">
        <v>5144</v>
      </c>
      <c r="G105" s="251" t="s">
        <v>5145</v>
      </c>
      <c r="H105" s="251" t="s">
        <v>5146</v>
      </c>
      <c r="I105" s="251" t="s">
        <v>5146</v>
      </c>
      <c r="J105" s="251"/>
      <c r="K105" s="255"/>
      <c r="L105" s="256"/>
      <c r="M105" s="155"/>
      <c r="N105" s="131"/>
      <c r="O105" s="207"/>
      <c r="P105" s="155"/>
      <c r="Q105" s="155"/>
      <c r="R105" s="155"/>
      <c r="S105" s="211"/>
      <c r="T105" s="155" t="s">
        <v>115</v>
      </c>
      <c r="U105" s="155" t="s">
        <v>115</v>
      </c>
      <c r="V105" s="155" t="s">
        <v>115</v>
      </c>
      <c r="W105" s="211"/>
      <c r="X105" s="155"/>
      <c r="Y105" s="155"/>
      <c r="Z105" s="155"/>
      <c r="AA105" s="211"/>
      <c r="AB105" s="155"/>
      <c r="AC105" s="155"/>
      <c r="AD105" s="155"/>
      <c r="AE105" s="808">
        <f t="shared" si="15"/>
        <v>2997</v>
      </c>
      <c r="AF105" s="761">
        <f t="shared" si="16"/>
        <v>2997</v>
      </c>
      <c r="AG105" s="110">
        <f t="shared" ref="AG105:AG109" si="18">AF105</f>
        <v>2997</v>
      </c>
      <c r="AH105" s="808">
        <f t="shared" si="6"/>
        <v>0</v>
      </c>
      <c r="AI105" s="301" t="s">
        <v>4932</v>
      </c>
      <c r="AJ105" s="206">
        <v>0.15</v>
      </c>
      <c r="AK105" s="808">
        <f t="shared" si="9"/>
        <v>449.55</v>
      </c>
      <c r="AL105" s="301" t="s">
        <v>4932</v>
      </c>
      <c r="AM105" s="206">
        <v>0.05</v>
      </c>
      <c r="AN105" s="808">
        <f t="shared" si="10"/>
        <v>149.85</v>
      </c>
      <c r="AO105" s="110">
        <v>2997</v>
      </c>
      <c r="AP105" s="226">
        <v>44469</v>
      </c>
      <c r="AQ105" s="110">
        <v>2997</v>
      </c>
      <c r="AR105" s="263"/>
      <c r="AS105" s="110">
        <v>0</v>
      </c>
      <c r="AT105" s="226"/>
      <c r="AU105" s="110">
        <v>0</v>
      </c>
      <c r="AV105" s="263"/>
      <c r="AW105" s="110">
        <v>0</v>
      </c>
      <c r="AX105" s="226"/>
      <c r="AY105" s="110">
        <v>0</v>
      </c>
      <c r="AZ105" s="263"/>
      <c r="BA105" s="110">
        <v>0</v>
      </c>
      <c r="BB105" s="226"/>
      <c r="BC105" s="110">
        <v>0</v>
      </c>
      <c r="BD105" s="263"/>
      <c r="BE105" s="110">
        <v>0</v>
      </c>
      <c r="BF105" s="226"/>
      <c r="BG105" s="110">
        <v>0</v>
      </c>
      <c r="BH105" s="263"/>
      <c r="BI105" s="3" t="s">
        <v>2612</v>
      </c>
      <c r="BJ105" s="779"/>
      <c r="BK105" s="779"/>
      <c r="BL105" s="779"/>
      <c r="BM105" s="779"/>
      <c r="BN105" s="779"/>
      <c r="BO105" s="779"/>
      <c r="BP105" s="779"/>
      <c r="BQ105" s="779"/>
    </row>
    <row r="106" spans="1:69" ht="30" customHeight="1">
      <c r="A106" s="245">
        <f t="shared" si="12"/>
        <v>18</v>
      </c>
      <c r="B106" s="449" t="s">
        <v>4246</v>
      </c>
      <c r="C106" s="449" t="s">
        <v>5147</v>
      </c>
      <c r="D106" s="294" t="s">
        <v>5148</v>
      </c>
      <c r="E106" s="1473"/>
      <c r="F106" s="251" t="s">
        <v>5149</v>
      </c>
      <c r="G106" s="251"/>
      <c r="H106" s="251"/>
      <c r="I106" s="251"/>
      <c r="J106" s="251"/>
      <c r="K106" s="255"/>
      <c r="L106" s="256"/>
      <c r="M106" s="155"/>
      <c r="N106" s="131"/>
      <c r="O106" s="207"/>
      <c r="P106" s="155"/>
      <c r="Q106" s="155"/>
      <c r="R106" s="155"/>
      <c r="S106" s="211"/>
      <c r="T106" s="155" t="s">
        <v>115</v>
      </c>
      <c r="U106" s="155" t="s">
        <v>115</v>
      </c>
      <c r="V106" s="155" t="s">
        <v>115</v>
      </c>
      <c r="W106" s="211"/>
      <c r="X106" s="155"/>
      <c r="Y106" s="155"/>
      <c r="Z106" s="155"/>
      <c r="AA106" s="211"/>
      <c r="AB106" s="155"/>
      <c r="AC106" s="155"/>
      <c r="AD106" s="155"/>
      <c r="AE106" s="808">
        <f t="shared" si="15"/>
        <v>2997</v>
      </c>
      <c r="AF106" s="761">
        <f t="shared" si="16"/>
        <v>2997</v>
      </c>
      <c r="AG106" s="110">
        <f t="shared" si="18"/>
        <v>2997</v>
      </c>
      <c r="AH106" s="808">
        <f t="shared" si="6"/>
        <v>0</v>
      </c>
      <c r="AI106" s="1472" t="s">
        <v>5091</v>
      </c>
      <c r="AJ106" s="206">
        <v>0.15</v>
      </c>
      <c r="AK106" s="808">
        <f t="shared" si="9"/>
        <v>449.55</v>
      </c>
      <c r="AL106" s="1472" t="s">
        <v>5091</v>
      </c>
      <c r="AM106" s="206">
        <v>0.05</v>
      </c>
      <c r="AN106" s="808">
        <f t="shared" si="10"/>
        <v>149.85</v>
      </c>
      <c r="AO106" s="110">
        <v>2997</v>
      </c>
      <c r="AP106" s="226">
        <v>44470</v>
      </c>
      <c r="AQ106" s="110">
        <v>2997</v>
      </c>
      <c r="AR106" s="263"/>
      <c r="AS106" s="110">
        <v>0</v>
      </c>
      <c r="AT106" s="226"/>
      <c r="AU106" s="110">
        <v>0</v>
      </c>
      <c r="AV106" s="263"/>
      <c r="AW106" s="110">
        <v>0</v>
      </c>
      <c r="AX106" s="226"/>
      <c r="AY106" s="110">
        <v>0</v>
      </c>
      <c r="AZ106" s="263"/>
      <c r="BA106" s="110">
        <v>0</v>
      </c>
      <c r="BB106" s="226"/>
      <c r="BC106" s="110">
        <v>0</v>
      </c>
      <c r="BD106" s="263"/>
      <c r="BE106" s="110">
        <v>0</v>
      </c>
      <c r="BF106" s="226"/>
      <c r="BG106" s="110">
        <v>0</v>
      </c>
      <c r="BH106" s="263"/>
      <c r="BI106" s="3" t="s">
        <v>2612</v>
      </c>
      <c r="BJ106" s="779"/>
      <c r="BK106" s="779"/>
      <c r="BL106" s="779"/>
      <c r="BM106" s="779"/>
      <c r="BN106" s="779"/>
      <c r="BO106" s="779"/>
      <c r="BP106" s="779"/>
      <c r="BQ106" s="779"/>
    </row>
    <row r="107" spans="1:69" ht="30" customHeight="1">
      <c r="A107" s="245">
        <f t="shared" si="12"/>
        <v>19</v>
      </c>
      <c r="B107" s="449" t="s">
        <v>595</v>
      </c>
      <c r="C107" s="449" t="s">
        <v>5150</v>
      </c>
      <c r="D107" s="207" t="s">
        <v>5151</v>
      </c>
      <c r="E107" s="1473">
        <v>3783024788</v>
      </c>
      <c r="F107" s="251" t="s">
        <v>5115</v>
      </c>
      <c r="G107" s="251"/>
      <c r="H107" s="251"/>
      <c r="I107" s="251"/>
      <c r="J107" s="251"/>
      <c r="K107" s="255"/>
      <c r="L107" s="256"/>
      <c r="M107" s="155"/>
      <c r="N107" s="131"/>
      <c r="O107" s="207"/>
      <c r="P107" s="155"/>
      <c r="Q107" s="155"/>
      <c r="R107" s="155"/>
      <c r="S107" s="211"/>
      <c r="T107" s="155" t="s">
        <v>115</v>
      </c>
      <c r="U107" s="155" t="s">
        <v>115</v>
      </c>
      <c r="V107" s="155" t="s">
        <v>115</v>
      </c>
      <c r="W107" s="211"/>
      <c r="X107" s="155"/>
      <c r="Y107" s="155"/>
      <c r="Z107" s="155"/>
      <c r="AA107" s="211"/>
      <c r="AB107" s="155"/>
      <c r="AC107" s="155"/>
      <c r="AD107" s="155"/>
      <c r="AE107" s="808">
        <f t="shared" si="15"/>
        <v>2997</v>
      </c>
      <c r="AF107" s="761">
        <f t="shared" si="16"/>
        <v>2997</v>
      </c>
      <c r="AG107" s="110">
        <f t="shared" si="18"/>
        <v>2997</v>
      </c>
      <c r="AH107" s="808">
        <f t="shared" si="6"/>
        <v>0</v>
      </c>
      <c r="AI107" s="301" t="s">
        <v>4932</v>
      </c>
      <c r="AJ107" s="206">
        <v>0.15</v>
      </c>
      <c r="AK107" s="808">
        <f t="shared" si="9"/>
        <v>449.55</v>
      </c>
      <c r="AL107" s="301" t="s">
        <v>4932</v>
      </c>
      <c r="AM107" s="206">
        <v>0.05</v>
      </c>
      <c r="AN107" s="808">
        <f t="shared" si="10"/>
        <v>149.85</v>
      </c>
      <c r="AO107" s="110">
        <v>2997</v>
      </c>
      <c r="AP107" s="226">
        <v>44469</v>
      </c>
      <c r="AQ107" s="110">
        <v>2997</v>
      </c>
      <c r="AR107" s="263"/>
      <c r="AS107" s="110">
        <v>0</v>
      </c>
      <c r="AT107" s="226"/>
      <c r="AU107" s="110">
        <v>0</v>
      </c>
      <c r="AV107" s="263"/>
      <c r="AW107" s="110">
        <v>0</v>
      </c>
      <c r="AX107" s="226"/>
      <c r="AY107" s="110">
        <v>0</v>
      </c>
      <c r="AZ107" s="263"/>
      <c r="BA107" s="110">
        <v>0</v>
      </c>
      <c r="BB107" s="226"/>
      <c r="BC107" s="110">
        <v>0</v>
      </c>
      <c r="BD107" s="263"/>
      <c r="BE107" s="110">
        <v>0</v>
      </c>
      <c r="BF107" s="226"/>
      <c r="BG107" s="110">
        <v>0</v>
      </c>
      <c r="BH107" s="263"/>
      <c r="BI107" s="3" t="s">
        <v>2612</v>
      </c>
      <c r="BJ107" s="779"/>
      <c r="BK107" s="779"/>
      <c r="BL107" s="779"/>
      <c r="BM107" s="779"/>
      <c r="BN107" s="779"/>
      <c r="BO107" s="779"/>
      <c r="BP107" s="779"/>
      <c r="BQ107" s="779"/>
    </row>
    <row r="108" spans="1:69" ht="30" customHeight="1">
      <c r="A108" s="245">
        <f t="shared" si="12"/>
        <v>20</v>
      </c>
      <c r="B108" s="449" t="s">
        <v>595</v>
      </c>
      <c r="C108" s="449" t="s">
        <v>4637</v>
      </c>
      <c r="D108" s="207" t="s">
        <v>4638</v>
      </c>
      <c r="E108" s="1473"/>
      <c r="F108" s="251" t="s">
        <v>4639</v>
      </c>
      <c r="G108" s="251"/>
      <c r="H108" s="251"/>
      <c r="I108" s="251"/>
      <c r="J108" s="251"/>
      <c r="K108" s="255"/>
      <c r="L108" s="256"/>
      <c r="M108" s="155"/>
      <c r="N108" s="131"/>
      <c r="O108" s="207"/>
      <c r="P108" s="155"/>
      <c r="Q108" s="155"/>
      <c r="R108" s="155"/>
      <c r="S108" s="211"/>
      <c r="T108" s="155" t="s">
        <v>115</v>
      </c>
      <c r="U108" s="155" t="s">
        <v>115</v>
      </c>
      <c r="V108" s="155" t="s">
        <v>115</v>
      </c>
      <c r="W108" s="211"/>
      <c r="X108" s="155"/>
      <c r="Y108" s="155"/>
      <c r="Z108" s="155"/>
      <c r="AA108" s="211"/>
      <c r="AB108" s="155"/>
      <c r="AC108" s="155"/>
      <c r="AD108" s="155"/>
      <c r="AE108" s="808">
        <f t="shared" si="15"/>
        <v>2997</v>
      </c>
      <c r="AF108" s="761">
        <f t="shared" si="16"/>
        <v>2997</v>
      </c>
      <c r="AG108" s="110">
        <f t="shared" si="18"/>
        <v>2997</v>
      </c>
      <c r="AH108" s="808">
        <f t="shared" si="6"/>
        <v>0</v>
      </c>
      <c r="AI108" s="1472" t="s">
        <v>117</v>
      </c>
      <c r="AJ108" s="206">
        <v>0</v>
      </c>
      <c r="AK108" s="808">
        <f t="shared" si="9"/>
        <v>0</v>
      </c>
      <c r="AL108" s="301" t="s">
        <v>5054</v>
      </c>
      <c r="AM108" s="206">
        <v>0.05</v>
      </c>
      <c r="AN108" s="808">
        <f t="shared" si="10"/>
        <v>149.85</v>
      </c>
      <c r="AO108" s="110">
        <v>2997</v>
      </c>
      <c r="AP108" s="226">
        <v>44470</v>
      </c>
      <c r="AQ108" s="110">
        <v>2997</v>
      </c>
      <c r="AR108" s="263"/>
      <c r="AS108" s="110">
        <v>0</v>
      </c>
      <c r="AT108" s="226"/>
      <c r="AU108" s="110">
        <v>0</v>
      </c>
      <c r="AV108" s="263"/>
      <c r="AW108" s="110">
        <v>0</v>
      </c>
      <c r="AX108" s="226"/>
      <c r="AY108" s="110">
        <v>0</v>
      </c>
      <c r="AZ108" s="263"/>
      <c r="BA108" s="110">
        <v>0</v>
      </c>
      <c r="BB108" s="226"/>
      <c r="BC108" s="110">
        <v>0</v>
      </c>
      <c r="BD108" s="263"/>
      <c r="BE108" s="110">
        <v>0</v>
      </c>
      <c r="BF108" s="226"/>
      <c r="BG108" s="110">
        <v>0</v>
      </c>
      <c r="BH108" s="263"/>
      <c r="BI108" s="3" t="s">
        <v>2612</v>
      </c>
      <c r="BJ108" s="779"/>
      <c r="BK108" s="779"/>
      <c r="BL108" s="779"/>
      <c r="BM108" s="779"/>
      <c r="BN108" s="779"/>
      <c r="BO108" s="779"/>
      <c r="BP108" s="779"/>
      <c r="BQ108" s="779"/>
    </row>
    <row r="109" spans="1:69" ht="30" customHeight="1">
      <c r="A109" s="245">
        <f t="shared" si="12"/>
        <v>21</v>
      </c>
      <c r="B109" s="449" t="s">
        <v>622</v>
      </c>
      <c r="C109" s="449" t="s">
        <v>5152</v>
      </c>
      <c r="D109" s="207" t="s">
        <v>5153</v>
      </c>
      <c r="E109" s="1473" t="s">
        <v>5154</v>
      </c>
      <c r="F109" s="251" t="s">
        <v>5155</v>
      </c>
      <c r="G109" s="251"/>
      <c r="H109" s="251"/>
      <c r="I109" s="251"/>
      <c r="J109" s="251"/>
      <c r="K109" s="255"/>
      <c r="L109" s="256"/>
      <c r="M109" s="155"/>
      <c r="N109" s="131"/>
      <c r="O109" s="207"/>
      <c r="P109" s="155"/>
      <c r="Q109" s="155"/>
      <c r="R109" s="155"/>
      <c r="S109" s="211"/>
      <c r="T109" s="155" t="s">
        <v>115</v>
      </c>
      <c r="U109" s="155" t="s">
        <v>115</v>
      </c>
      <c r="V109" s="155" t="s">
        <v>115</v>
      </c>
      <c r="W109" s="211"/>
      <c r="X109" s="155"/>
      <c r="Y109" s="155"/>
      <c r="Z109" s="155"/>
      <c r="AA109" s="211"/>
      <c r="AB109" s="155"/>
      <c r="AC109" s="155"/>
      <c r="AD109" s="155"/>
      <c r="AE109" s="808">
        <f t="shared" si="15"/>
        <v>2997</v>
      </c>
      <c r="AF109" s="761">
        <f t="shared" si="16"/>
        <v>2997</v>
      </c>
      <c r="AG109" s="110">
        <f t="shared" si="18"/>
        <v>2997</v>
      </c>
      <c r="AH109" s="808">
        <f t="shared" si="6"/>
        <v>0</v>
      </c>
      <c r="AI109" s="1472" t="s">
        <v>5156</v>
      </c>
      <c r="AJ109" s="206">
        <v>0.15</v>
      </c>
      <c r="AK109" s="808">
        <f t="shared" si="9"/>
        <v>449.55</v>
      </c>
      <c r="AL109" s="1472" t="s">
        <v>5156</v>
      </c>
      <c r="AM109" s="206">
        <v>0.05</v>
      </c>
      <c r="AN109" s="808">
        <f t="shared" si="10"/>
        <v>149.85</v>
      </c>
      <c r="AO109" s="110">
        <v>2997</v>
      </c>
      <c r="AP109" s="226">
        <v>44470</v>
      </c>
      <c r="AQ109" s="110">
        <v>2997</v>
      </c>
      <c r="AR109" s="263"/>
      <c r="AS109" s="110">
        <v>0</v>
      </c>
      <c r="AT109" s="226"/>
      <c r="AU109" s="110">
        <v>0</v>
      </c>
      <c r="AV109" s="263"/>
      <c r="AW109" s="110">
        <v>0</v>
      </c>
      <c r="AX109" s="226"/>
      <c r="AY109" s="110">
        <v>0</v>
      </c>
      <c r="AZ109" s="263"/>
      <c r="BA109" s="110">
        <v>0</v>
      </c>
      <c r="BB109" s="226"/>
      <c r="BC109" s="110">
        <v>0</v>
      </c>
      <c r="BD109" s="263"/>
      <c r="BE109" s="110">
        <v>0</v>
      </c>
      <c r="BF109" s="226"/>
      <c r="BG109" s="110">
        <v>0</v>
      </c>
      <c r="BH109" s="263"/>
      <c r="BI109" s="3" t="s">
        <v>3002</v>
      </c>
      <c r="BJ109" s="779"/>
      <c r="BK109" s="779"/>
      <c r="BL109" s="779"/>
      <c r="BM109" s="779"/>
      <c r="BN109" s="779"/>
      <c r="BO109" s="779"/>
      <c r="BP109" s="779"/>
      <c r="BQ109" s="779"/>
    </row>
    <row r="110" spans="1:69" ht="30" customHeight="1">
      <c r="A110" s="245">
        <f t="shared" si="12"/>
        <v>22</v>
      </c>
      <c r="B110" s="449" t="s">
        <v>246</v>
      </c>
      <c r="C110" s="449" t="s">
        <v>2344</v>
      </c>
      <c r="D110" s="207" t="s">
        <v>2345</v>
      </c>
      <c r="E110" s="1498"/>
      <c r="F110" s="251" t="s">
        <v>5157</v>
      </c>
      <c r="G110" s="341"/>
      <c r="H110" s="251"/>
      <c r="I110" s="251"/>
      <c r="J110" s="251"/>
      <c r="K110" s="255"/>
      <c r="L110" s="256"/>
      <c r="M110" s="155"/>
      <c r="N110" s="131"/>
      <c r="O110" s="207" t="s">
        <v>5158</v>
      </c>
      <c r="P110" s="155"/>
      <c r="Q110" s="155"/>
      <c r="R110" s="155"/>
      <c r="S110" s="211"/>
      <c r="T110" s="155" t="s">
        <v>115</v>
      </c>
      <c r="U110" s="155" t="s">
        <v>115</v>
      </c>
      <c r="V110" s="155" t="s">
        <v>115</v>
      </c>
      <c r="W110" s="211"/>
      <c r="X110" s="155"/>
      <c r="Y110" s="155"/>
      <c r="Z110" s="155"/>
      <c r="AA110" s="211"/>
      <c r="AB110" s="155"/>
      <c r="AC110" s="155"/>
      <c r="AD110" s="155"/>
      <c r="AE110" s="808">
        <f t="shared" si="15"/>
        <v>3497</v>
      </c>
      <c r="AF110" s="761">
        <f t="shared" si="16"/>
        <v>999.5</v>
      </c>
      <c r="AG110" s="110">
        <v>3497</v>
      </c>
      <c r="AH110" s="808">
        <f t="shared" si="6"/>
        <v>0</v>
      </c>
      <c r="AI110" s="301" t="s">
        <v>451</v>
      </c>
      <c r="AJ110" s="206">
        <v>0.15</v>
      </c>
      <c r="AK110" s="808">
        <f t="shared" si="9"/>
        <v>149.92499999999998</v>
      </c>
      <c r="AL110" s="301" t="s">
        <v>451</v>
      </c>
      <c r="AM110" s="206">
        <v>0.05</v>
      </c>
      <c r="AN110" s="808">
        <f t="shared" si="10"/>
        <v>49.975000000000001</v>
      </c>
      <c r="AO110" s="110">
        <v>500</v>
      </c>
      <c r="AP110" s="226">
        <v>44490</v>
      </c>
      <c r="AQ110" s="110">
        <v>500</v>
      </c>
      <c r="AR110" s="263"/>
      <c r="AS110" s="110">
        <f>249.75*12</f>
        <v>2997</v>
      </c>
      <c r="AT110" s="226"/>
      <c r="AU110" s="110">
        <f>249.75+249.75</f>
        <v>499.5</v>
      </c>
      <c r="AV110" s="263"/>
      <c r="AW110" s="110">
        <v>0</v>
      </c>
      <c r="AX110" s="226"/>
      <c r="AY110" s="110">
        <v>0</v>
      </c>
      <c r="AZ110" s="263"/>
      <c r="BA110" s="110">
        <v>0</v>
      </c>
      <c r="BB110" s="226"/>
      <c r="BC110" s="110">
        <v>0</v>
      </c>
      <c r="BD110" s="263"/>
      <c r="BE110" s="110">
        <v>0</v>
      </c>
      <c r="BF110" s="226"/>
      <c r="BG110" s="110">
        <v>0</v>
      </c>
      <c r="BH110" s="263"/>
      <c r="BI110" s="3" t="s">
        <v>2612</v>
      </c>
      <c r="BJ110" s="779"/>
      <c r="BK110" s="779"/>
      <c r="BL110" s="779"/>
      <c r="BM110" s="779"/>
      <c r="BN110" s="779"/>
      <c r="BO110" s="779"/>
      <c r="BP110" s="779"/>
      <c r="BQ110" s="779"/>
    </row>
    <row r="111" spans="1:69" ht="30" customHeight="1">
      <c r="A111" s="245">
        <f t="shared" si="12"/>
        <v>23</v>
      </c>
      <c r="B111" s="449" t="s">
        <v>246</v>
      </c>
      <c r="C111" s="449" t="s">
        <v>5159</v>
      </c>
      <c r="D111" s="294" t="s">
        <v>5160</v>
      </c>
      <c r="E111" s="1473"/>
      <c r="F111" s="251" t="s">
        <v>5161</v>
      </c>
      <c r="G111" s="131" t="s">
        <v>5162</v>
      </c>
      <c r="H111" s="318" t="s">
        <v>5163</v>
      </c>
      <c r="I111" s="251" t="s">
        <v>5163</v>
      </c>
      <c r="J111" s="251"/>
      <c r="K111" s="255"/>
      <c r="L111" s="256"/>
      <c r="M111" s="155"/>
      <c r="N111" s="131"/>
      <c r="O111" s="207"/>
      <c r="P111" s="155"/>
      <c r="Q111" s="155"/>
      <c r="R111" s="155"/>
      <c r="S111" s="211"/>
      <c r="T111" s="155" t="s">
        <v>115</v>
      </c>
      <c r="U111" s="155" t="s">
        <v>115</v>
      </c>
      <c r="V111" s="155" t="s">
        <v>115</v>
      </c>
      <c r="W111" s="211"/>
      <c r="X111" s="155"/>
      <c r="Y111" s="155"/>
      <c r="Z111" s="155"/>
      <c r="AA111" s="211"/>
      <c r="AB111" s="155"/>
      <c r="AC111" s="155"/>
      <c r="AD111" s="155"/>
      <c r="AE111" s="808">
        <f t="shared" si="15"/>
        <v>2997</v>
      </c>
      <c r="AF111" s="761">
        <f t="shared" si="16"/>
        <v>2997</v>
      </c>
      <c r="AG111" s="110">
        <f t="shared" ref="AG111:AG113" si="19">AF111</f>
        <v>2997</v>
      </c>
      <c r="AH111" s="808">
        <f t="shared" si="6"/>
        <v>0</v>
      </c>
      <c r="AI111" s="1472" t="s">
        <v>117</v>
      </c>
      <c r="AJ111" s="206">
        <v>0</v>
      </c>
      <c r="AK111" s="808">
        <f t="shared" si="9"/>
        <v>0</v>
      </c>
      <c r="AL111" s="301" t="s">
        <v>5054</v>
      </c>
      <c r="AM111" s="206">
        <v>0.05</v>
      </c>
      <c r="AN111" s="808">
        <f t="shared" si="10"/>
        <v>149.85</v>
      </c>
      <c r="AO111" s="110">
        <v>2997</v>
      </c>
      <c r="AP111" s="226">
        <v>44469</v>
      </c>
      <c r="AQ111" s="110">
        <v>2997</v>
      </c>
      <c r="AR111" s="263"/>
      <c r="AS111" s="110">
        <v>0</v>
      </c>
      <c r="AT111" s="226"/>
      <c r="AU111" s="110">
        <v>0</v>
      </c>
      <c r="AV111" s="263"/>
      <c r="AW111" s="110">
        <v>0</v>
      </c>
      <c r="AX111" s="226"/>
      <c r="AY111" s="110">
        <v>0</v>
      </c>
      <c r="AZ111" s="263"/>
      <c r="BA111" s="110">
        <v>0</v>
      </c>
      <c r="BB111" s="226"/>
      <c r="BC111" s="110">
        <v>0</v>
      </c>
      <c r="BD111" s="263"/>
      <c r="BE111" s="110">
        <v>0</v>
      </c>
      <c r="BF111" s="226"/>
      <c r="BG111" s="110">
        <v>0</v>
      </c>
      <c r="BH111" s="263"/>
      <c r="BI111" s="3" t="s">
        <v>2612</v>
      </c>
      <c r="BJ111" s="779"/>
      <c r="BK111" s="779"/>
      <c r="BL111" s="779"/>
      <c r="BM111" s="779"/>
      <c r="BN111" s="779"/>
      <c r="BO111" s="779"/>
      <c r="BP111" s="779"/>
      <c r="BQ111" s="779"/>
    </row>
    <row r="112" spans="1:69" ht="30" hidden="1" customHeight="1">
      <c r="A112" s="245">
        <f t="shared" si="12"/>
        <v>24</v>
      </c>
      <c r="B112" s="449" t="s">
        <v>2199</v>
      </c>
      <c r="C112" s="449" t="s">
        <v>3189</v>
      </c>
      <c r="D112" s="294" t="s">
        <v>3190</v>
      </c>
      <c r="E112" s="1473"/>
      <c r="F112" s="251" t="s">
        <v>3191</v>
      </c>
      <c r="G112" s="131"/>
      <c r="H112" s="318"/>
      <c r="I112" s="251"/>
      <c r="J112" s="251"/>
      <c r="K112" s="255"/>
      <c r="L112" s="256"/>
      <c r="M112" s="155"/>
      <c r="N112" s="131"/>
      <c r="O112" s="207"/>
      <c r="P112" s="155"/>
      <c r="Q112" s="155"/>
      <c r="R112" s="155"/>
      <c r="S112" s="211"/>
      <c r="T112" s="155"/>
      <c r="U112" s="155"/>
      <c r="V112" s="155"/>
      <c r="W112" s="211"/>
      <c r="X112" s="155" t="s">
        <v>165</v>
      </c>
      <c r="Y112" s="155" t="s">
        <v>165</v>
      </c>
      <c r="Z112" s="155" t="s">
        <v>165</v>
      </c>
      <c r="AA112" s="211"/>
      <c r="AB112" s="155"/>
      <c r="AC112" s="155"/>
      <c r="AD112" s="155"/>
      <c r="AE112" s="808">
        <f t="shared" si="15"/>
        <v>2997</v>
      </c>
      <c r="AF112" s="761">
        <f t="shared" si="16"/>
        <v>0</v>
      </c>
      <c r="AG112" s="110">
        <f t="shared" si="19"/>
        <v>0</v>
      </c>
      <c r="AH112" s="808">
        <f t="shared" si="6"/>
        <v>2997</v>
      </c>
      <c r="AI112" s="1472" t="s">
        <v>117</v>
      </c>
      <c r="AJ112" s="206">
        <v>0</v>
      </c>
      <c r="AK112" s="808">
        <f t="shared" si="9"/>
        <v>0</v>
      </c>
      <c r="AL112" s="301" t="s">
        <v>152</v>
      </c>
      <c r="AM112" s="206">
        <v>0.05</v>
      </c>
      <c r="AN112" s="808">
        <f t="shared" si="10"/>
        <v>0</v>
      </c>
      <c r="AO112" s="110">
        <v>2997</v>
      </c>
      <c r="AP112" s="226"/>
      <c r="AQ112" s="110"/>
      <c r="AR112" s="263"/>
      <c r="AS112" s="110">
        <v>0</v>
      </c>
      <c r="AT112" s="226"/>
      <c r="AU112" s="110">
        <v>0</v>
      </c>
      <c r="AV112" s="263"/>
      <c r="AW112" s="110">
        <v>0</v>
      </c>
      <c r="AX112" s="226"/>
      <c r="AY112" s="110">
        <v>0</v>
      </c>
      <c r="AZ112" s="263"/>
      <c r="BA112" s="110">
        <v>0</v>
      </c>
      <c r="BB112" s="226"/>
      <c r="BC112" s="110">
        <v>0</v>
      </c>
      <c r="BD112" s="263"/>
      <c r="BE112" s="110">
        <v>0</v>
      </c>
      <c r="BF112" s="226"/>
      <c r="BG112" s="110">
        <v>0</v>
      </c>
      <c r="BH112" s="263"/>
      <c r="BI112" s="3" t="s">
        <v>2612</v>
      </c>
      <c r="BJ112" s="779"/>
      <c r="BK112" s="779"/>
      <c r="BL112" s="779"/>
      <c r="BM112" s="779"/>
      <c r="BN112" s="779"/>
      <c r="BO112" s="779"/>
      <c r="BP112" s="779"/>
      <c r="BQ112" s="779"/>
    </row>
    <row r="113" spans="1:69" ht="30" customHeight="1">
      <c r="A113" s="245">
        <f t="shared" si="12"/>
        <v>25</v>
      </c>
      <c r="B113" s="449" t="s">
        <v>741</v>
      </c>
      <c r="C113" s="449" t="s">
        <v>5164</v>
      </c>
      <c r="D113" s="207" t="s">
        <v>5165</v>
      </c>
      <c r="E113" s="1473">
        <v>3492638268</v>
      </c>
      <c r="F113" s="251" t="s">
        <v>5166</v>
      </c>
      <c r="G113" s="131"/>
      <c r="H113" s="318"/>
      <c r="I113" s="251"/>
      <c r="J113" s="251"/>
      <c r="K113" s="255"/>
      <c r="L113" s="256"/>
      <c r="M113" s="155"/>
      <c r="N113" s="131"/>
      <c r="O113" s="207"/>
      <c r="P113" s="155"/>
      <c r="Q113" s="155"/>
      <c r="R113" s="155"/>
      <c r="S113" s="211"/>
      <c r="T113" s="155" t="s">
        <v>115</v>
      </c>
      <c r="U113" s="155" t="s">
        <v>115</v>
      </c>
      <c r="V113" s="155" t="s">
        <v>115</v>
      </c>
      <c r="W113" s="211"/>
      <c r="X113" s="155"/>
      <c r="Y113" s="155"/>
      <c r="Z113" s="155"/>
      <c r="AA113" s="211"/>
      <c r="AB113" s="155"/>
      <c r="AC113" s="155"/>
      <c r="AD113" s="155"/>
      <c r="AE113" s="808">
        <f t="shared" si="15"/>
        <v>2997</v>
      </c>
      <c r="AF113" s="761">
        <f t="shared" si="16"/>
        <v>2997</v>
      </c>
      <c r="AG113" s="110">
        <f t="shared" si="19"/>
        <v>2997</v>
      </c>
      <c r="AH113" s="808">
        <f t="shared" si="6"/>
        <v>0</v>
      </c>
      <c r="AI113" s="1472" t="s">
        <v>117</v>
      </c>
      <c r="AJ113" s="206">
        <v>0</v>
      </c>
      <c r="AK113" s="808">
        <f t="shared" si="9"/>
        <v>0</v>
      </c>
      <c r="AL113" s="301" t="s">
        <v>5054</v>
      </c>
      <c r="AM113" s="206">
        <v>0.05</v>
      </c>
      <c r="AN113" s="808">
        <f t="shared" si="10"/>
        <v>149.85</v>
      </c>
      <c r="AO113" s="110">
        <v>2997</v>
      </c>
      <c r="AP113" s="226">
        <v>44470</v>
      </c>
      <c r="AQ113" s="110">
        <v>2997</v>
      </c>
      <c r="AR113" s="263"/>
      <c r="AS113" s="110">
        <v>0</v>
      </c>
      <c r="AT113" s="226"/>
      <c r="AU113" s="110">
        <v>0</v>
      </c>
      <c r="AV113" s="263"/>
      <c r="AW113" s="110">
        <v>0</v>
      </c>
      <c r="AX113" s="226"/>
      <c r="AY113" s="110">
        <v>0</v>
      </c>
      <c r="AZ113" s="263"/>
      <c r="BA113" s="110">
        <v>0</v>
      </c>
      <c r="BB113" s="226"/>
      <c r="BC113" s="110">
        <v>0</v>
      </c>
      <c r="BD113" s="263"/>
      <c r="BE113" s="110">
        <v>0</v>
      </c>
      <c r="BF113" s="226"/>
      <c r="BG113" s="110">
        <v>0</v>
      </c>
      <c r="BH113" s="263"/>
      <c r="BI113" s="3" t="s">
        <v>2612</v>
      </c>
      <c r="BJ113" s="779"/>
      <c r="BK113" s="779"/>
      <c r="BL113" s="779"/>
      <c r="BM113" s="779"/>
      <c r="BN113" s="779"/>
      <c r="BO113" s="779"/>
      <c r="BP113" s="779"/>
      <c r="BQ113" s="779"/>
    </row>
    <row r="114" spans="1:69" ht="30" hidden="1" customHeight="1">
      <c r="A114" s="245">
        <f t="shared" si="12"/>
        <v>26</v>
      </c>
      <c r="B114" s="449" t="s">
        <v>5167</v>
      </c>
      <c r="C114" s="449" t="s">
        <v>5168</v>
      </c>
      <c r="D114" s="294" t="s">
        <v>5169</v>
      </c>
      <c r="E114" s="1473">
        <v>3455186879</v>
      </c>
      <c r="F114" s="251" t="s">
        <v>5170</v>
      </c>
      <c r="G114" s="131"/>
      <c r="H114" s="318"/>
      <c r="I114" s="251"/>
      <c r="J114" s="251"/>
      <c r="K114" s="255"/>
      <c r="L114" s="256"/>
      <c r="M114" s="155"/>
      <c r="N114" s="131"/>
      <c r="O114" s="207"/>
      <c r="P114" s="155"/>
      <c r="Q114" s="155"/>
      <c r="R114" s="155"/>
      <c r="S114" s="211"/>
      <c r="T114" s="155"/>
      <c r="U114" s="155"/>
      <c r="V114" s="155"/>
      <c r="W114" s="211"/>
      <c r="X114" s="155" t="s">
        <v>115</v>
      </c>
      <c r="Y114" s="155" t="s">
        <v>115</v>
      </c>
      <c r="Z114" s="155" t="s">
        <v>115</v>
      </c>
      <c r="AA114" s="211"/>
      <c r="AB114" s="155"/>
      <c r="AC114" s="155"/>
      <c r="AD114" s="155"/>
      <c r="AE114" s="808">
        <f t="shared" si="15"/>
        <v>2997</v>
      </c>
      <c r="AF114" s="761">
        <f t="shared" si="16"/>
        <v>2997</v>
      </c>
      <c r="AG114" s="110">
        <f>AF114-2997</f>
        <v>0</v>
      </c>
      <c r="AH114" s="808">
        <f t="shared" si="6"/>
        <v>2997</v>
      </c>
      <c r="AI114" s="1472" t="s">
        <v>117</v>
      </c>
      <c r="AJ114" s="206">
        <v>0</v>
      </c>
      <c r="AK114" s="808">
        <f t="shared" si="9"/>
        <v>0</v>
      </c>
      <c r="AL114" s="301" t="s">
        <v>5054</v>
      </c>
      <c r="AM114" s="206">
        <v>0.05</v>
      </c>
      <c r="AN114" s="808">
        <f t="shared" si="10"/>
        <v>149.85</v>
      </c>
      <c r="AO114" s="110">
        <v>2997</v>
      </c>
      <c r="AP114" s="226">
        <v>44469</v>
      </c>
      <c r="AQ114" s="110">
        <v>2997</v>
      </c>
      <c r="AR114" s="263"/>
      <c r="AS114" s="110">
        <v>0</v>
      </c>
      <c r="AT114" s="226"/>
      <c r="AU114" s="110">
        <v>0</v>
      </c>
      <c r="AV114" s="263"/>
      <c r="AW114" s="110">
        <v>0</v>
      </c>
      <c r="AX114" s="226"/>
      <c r="AY114" s="110">
        <v>0</v>
      </c>
      <c r="AZ114" s="263"/>
      <c r="BA114" s="110">
        <v>0</v>
      </c>
      <c r="BB114" s="226"/>
      <c r="BC114" s="110">
        <v>0</v>
      </c>
      <c r="BD114" s="263"/>
      <c r="BE114" s="110">
        <v>0</v>
      </c>
      <c r="BF114" s="226"/>
      <c r="BG114" s="110">
        <v>0</v>
      </c>
      <c r="BH114" s="263"/>
      <c r="BI114" s="3" t="s">
        <v>2612</v>
      </c>
      <c r="BJ114" s="779"/>
      <c r="BK114" s="779"/>
      <c r="BL114" s="779"/>
      <c r="BM114" s="779"/>
      <c r="BN114" s="779"/>
      <c r="BO114" s="779"/>
      <c r="BP114" s="779"/>
      <c r="BQ114" s="779"/>
    </row>
    <row r="115" spans="1:69" ht="30" hidden="1" customHeight="1">
      <c r="A115" s="245">
        <f t="shared" si="12"/>
        <v>27</v>
      </c>
      <c r="B115" s="449" t="s">
        <v>2430</v>
      </c>
      <c r="C115" s="449" t="s">
        <v>2431</v>
      </c>
      <c r="D115" s="207" t="s">
        <v>2432</v>
      </c>
      <c r="E115" s="1473"/>
      <c r="F115" s="251" t="s">
        <v>2434</v>
      </c>
      <c r="G115" s="131"/>
      <c r="H115" s="318"/>
      <c r="I115" s="251"/>
      <c r="J115" s="251"/>
      <c r="K115" s="255"/>
      <c r="L115" s="256"/>
      <c r="M115" s="155"/>
      <c r="N115" s="131"/>
      <c r="O115" s="207"/>
      <c r="P115" s="155"/>
      <c r="Q115" s="155"/>
      <c r="R115" s="155"/>
      <c r="S115" s="211"/>
      <c r="T115" s="155" t="s">
        <v>115</v>
      </c>
      <c r="U115" s="155" t="s">
        <v>115</v>
      </c>
      <c r="V115" s="155"/>
      <c r="W115" s="211"/>
      <c r="X115" s="155"/>
      <c r="Y115" s="155"/>
      <c r="Z115" s="155" t="s">
        <v>115</v>
      </c>
      <c r="AA115" s="211"/>
      <c r="AB115" s="155"/>
      <c r="AC115" s="155"/>
      <c r="AD115" s="155"/>
      <c r="AE115" s="808">
        <f t="shared" si="15"/>
        <v>2997</v>
      </c>
      <c r="AF115" s="761">
        <f t="shared" si="16"/>
        <v>2997</v>
      </c>
      <c r="AG115" s="110">
        <f>900+1340</f>
        <v>2240</v>
      </c>
      <c r="AH115" s="808">
        <f t="shared" si="6"/>
        <v>757</v>
      </c>
      <c r="AI115" s="1472" t="s">
        <v>117</v>
      </c>
      <c r="AJ115" s="206">
        <v>0</v>
      </c>
      <c r="AK115" s="808">
        <f t="shared" si="9"/>
        <v>0</v>
      </c>
      <c r="AL115" s="301" t="s">
        <v>5054</v>
      </c>
      <c r="AM115" s="206">
        <v>0.05</v>
      </c>
      <c r="AN115" s="808">
        <f t="shared" si="10"/>
        <v>149.85</v>
      </c>
      <c r="AO115" s="110">
        <v>2997</v>
      </c>
      <c r="AP115" s="226">
        <v>44470</v>
      </c>
      <c r="AQ115" s="110">
        <v>2997</v>
      </c>
      <c r="AR115" s="263"/>
      <c r="AS115" s="110">
        <v>0</v>
      </c>
      <c r="AT115" s="226"/>
      <c r="AU115" s="110">
        <v>0</v>
      </c>
      <c r="AV115" s="263"/>
      <c r="AW115" s="110">
        <v>0</v>
      </c>
      <c r="AX115" s="226"/>
      <c r="AY115" s="110">
        <v>0</v>
      </c>
      <c r="AZ115" s="263"/>
      <c r="BA115" s="110">
        <v>0</v>
      </c>
      <c r="BB115" s="226"/>
      <c r="BC115" s="110">
        <v>0</v>
      </c>
      <c r="BD115" s="263"/>
      <c r="BE115" s="110">
        <v>0</v>
      </c>
      <c r="BF115" s="226"/>
      <c r="BG115" s="110">
        <v>0</v>
      </c>
      <c r="BH115" s="263"/>
      <c r="BI115" s="3" t="s">
        <v>2612</v>
      </c>
      <c r="BJ115" s="779"/>
      <c r="BK115" s="779"/>
      <c r="BL115" s="779"/>
      <c r="BM115" s="779"/>
      <c r="BN115" s="779"/>
      <c r="BO115" s="779"/>
      <c r="BP115" s="779"/>
      <c r="BQ115" s="779"/>
    </row>
    <row r="116" spans="1:69" ht="30" customHeight="1">
      <c r="A116" s="245">
        <f t="shared" si="12"/>
        <v>28</v>
      </c>
      <c r="B116" s="449" t="s">
        <v>208</v>
      </c>
      <c r="C116" s="449" t="s">
        <v>5171</v>
      </c>
      <c r="D116" s="207" t="s">
        <v>5172</v>
      </c>
      <c r="E116" s="1473"/>
      <c r="F116" s="251" t="s">
        <v>5144</v>
      </c>
      <c r="G116" s="131" t="s">
        <v>5145</v>
      </c>
      <c r="H116" s="318" t="s">
        <v>5146</v>
      </c>
      <c r="I116" s="251" t="s">
        <v>5146</v>
      </c>
      <c r="J116" s="251"/>
      <c r="K116" s="255"/>
      <c r="L116" s="256"/>
      <c r="M116" s="155"/>
      <c r="N116" s="131"/>
      <c r="O116" s="207"/>
      <c r="P116" s="155"/>
      <c r="Q116" s="155"/>
      <c r="R116" s="155"/>
      <c r="S116" s="211"/>
      <c r="T116" s="155" t="s">
        <v>115</v>
      </c>
      <c r="U116" s="155" t="s">
        <v>115</v>
      </c>
      <c r="V116" s="155" t="s">
        <v>115</v>
      </c>
      <c r="W116" s="211"/>
      <c r="X116" s="155"/>
      <c r="Y116" s="155"/>
      <c r="Z116" s="155"/>
      <c r="AA116" s="211"/>
      <c r="AB116" s="155"/>
      <c r="AC116" s="155"/>
      <c r="AD116" s="155"/>
      <c r="AE116" s="808">
        <f t="shared" si="15"/>
        <v>2997</v>
      </c>
      <c r="AF116" s="761">
        <f t="shared" si="16"/>
        <v>2997</v>
      </c>
      <c r="AG116" s="110">
        <f t="shared" ref="AG116:AG119" si="20">AF116</f>
        <v>2997</v>
      </c>
      <c r="AH116" s="808">
        <f t="shared" si="6"/>
        <v>0</v>
      </c>
      <c r="AI116" s="1472" t="s">
        <v>4932</v>
      </c>
      <c r="AJ116" s="206">
        <v>0.15</v>
      </c>
      <c r="AK116" s="808">
        <f t="shared" si="9"/>
        <v>449.55</v>
      </c>
      <c r="AL116" s="1472" t="s">
        <v>4932</v>
      </c>
      <c r="AM116" s="206">
        <v>0.05</v>
      </c>
      <c r="AN116" s="808">
        <f t="shared" si="10"/>
        <v>149.85</v>
      </c>
      <c r="AO116" s="110">
        <v>2997</v>
      </c>
      <c r="AP116" s="226">
        <v>44469</v>
      </c>
      <c r="AQ116" s="110">
        <v>2997</v>
      </c>
      <c r="AR116" s="263"/>
      <c r="AS116" s="110">
        <v>0</v>
      </c>
      <c r="AT116" s="226"/>
      <c r="AU116" s="110">
        <v>0</v>
      </c>
      <c r="AV116" s="263"/>
      <c r="AW116" s="110">
        <v>0</v>
      </c>
      <c r="AX116" s="226"/>
      <c r="AY116" s="110">
        <v>0</v>
      </c>
      <c r="AZ116" s="263"/>
      <c r="BA116" s="110">
        <v>0</v>
      </c>
      <c r="BB116" s="226"/>
      <c r="BC116" s="110">
        <v>0</v>
      </c>
      <c r="BD116" s="263"/>
      <c r="BE116" s="110">
        <v>0</v>
      </c>
      <c r="BF116" s="226"/>
      <c r="BG116" s="110">
        <v>0</v>
      </c>
      <c r="BH116" s="263"/>
      <c r="BI116" s="3" t="s">
        <v>2612</v>
      </c>
      <c r="BJ116" s="779"/>
      <c r="BK116" s="779"/>
      <c r="BL116" s="779"/>
      <c r="BM116" s="779"/>
      <c r="BN116" s="779"/>
      <c r="BO116" s="779"/>
      <c r="BP116" s="779"/>
      <c r="BQ116" s="779"/>
    </row>
    <row r="117" spans="1:69" ht="30" customHeight="1">
      <c r="A117" s="245">
        <f t="shared" si="12"/>
        <v>29</v>
      </c>
      <c r="B117" s="449" t="s">
        <v>1056</v>
      </c>
      <c r="C117" s="449" t="s">
        <v>5173</v>
      </c>
      <c r="D117" s="294" t="s">
        <v>5174</v>
      </c>
      <c r="E117" s="1473"/>
      <c r="F117" s="251" t="s">
        <v>5175</v>
      </c>
      <c r="G117" s="131"/>
      <c r="H117" s="318"/>
      <c r="I117" s="251"/>
      <c r="J117" s="251"/>
      <c r="K117" s="255"/>
      <c r="L117" s="256"/>
      <c r="M117" s="155"/>
      <c r="N117" s="131"/>
      <c r="O117" s="207"/>
      <c r="P117" s="155"/>
      <c r="Q117" s="155"/>
      <c r="R117" s="155"/>
      <c r="S117" s="211"/>
      <c r="T117" s="155" t="s">
        <v>115</v>
      </c>
      <c r="U117" s="155" t="s">
        <v>115</v>
      </c>
      <c r="V117" s="155" t="s">
        <v>115</v>
      </c>
      <c r="W117" s="211"/>
      <c r="X117" s="155"/>
      <c r="Y117" s="155"/>
      <c r="Z117" s="155"/>
      <c r="AA117" s="211"/>
      <c r="AB117" s="155"/>
      <c r="AC117" s="155"/>
      <c r="AD117" s="155"/>
      <c r="AE117" s="808">
        <f t="shared" si="15"/>
        <v>2997</v>
      </c>
      <c r="AF117" s="761">
        <f t="shared" si="16"/>
        <v>2997</v>
      </c>
      <c r="AG117" s="110">
        <f t="shared" si="20"/>
        <v>2997</v>
      </c>
      <c r="AH117" s="808">
        <f t="shared" si="6"/>
        <v>0</v>
      </c>
      <c r="AI117" s="1472" t="s">
        <v>117</v>
      </c>
      <c r="AJ117" s="206">
        <v>0</v>
      </c>
      <c r="AK117" s="808">
        <f t="shared" si="9"/>
        <v>0</v>
      </c>
      <c r="AL117" s="301" t="s">
        <v>5054</v>
      </c>
      <c r="AM117" s="206">
        <v>0.05</v>
      </c>
      <c r="AN117" s="808">
        <f t="shared" si="10"/>
        <v>149.85</v>
      </c>
      <c r="AO117" s="110">
        <v>2997</v>
      </c>
      <c r="AP117" s="226">
        <v>44479</v>
      </c>
      <c r="AQ117" s="110">
        <v>2997</v>
      </c>
      <c r="AR117" s="263"/>
      <c r="AS117" s="110">
        <v>0</v>
      </c>
      <c r="AT117" s="226"/>
      <c r="AU117" s="110">
        <v>0</v>
      </c>
      <c r="AV117" s="263"/>
      <c r="AW117" s="110">
        <v>0</v>
      </c>
      <c r="AX117" s="226"/>
      <c r="AY117" s="110">
        <v>0</v>
      </c>
      <c r="AZ117" s="263"/>
      <c r="BA117" s="110">
        <v>0</v>
      </c>
      <c r="BB117" s="226"/>
      <c r="BC117" s="110">
        <v>0</v>
      </c>
      <c r="BD117" s="263"/>
      <c r="BE117" s="110">
        <v>0</v>
      </c>
      <c r="BF117" s="226"/>
      <c r="BG117" s="110">
        <v>0</v>
      </c>
      <c r="BH117" s="263"/>
      <c r="BI117" s="3" t="s">
        <v>2612</v>
      </c>
      <c r="BJ117" s="779"/>
      <c r="BK117" s="779"/>
      <c r="BL117" s="779"/>
      <c r="BM117" s="779"/>
      <c r="BN117" s="779"/>
      <c r="BO117" s="779"/>
      <c r="BP117" s="779"/>
      <c r="BQ117" s="779"/>
    </row>
    <row r="118" spans="1:69" ht="30" customHeight="1">
      <c r="A118" s="245">
        <f t="shared" si="12"/>
        <v>30</v>
      </c>
      <c r="B118" s="449" t="s">
        <v>2191</v>
      </c>
      <c r="C118" s="449" t="s">
        <v>4614</v>
      </c>
      <c r="D118" s="207" t="s">
        <v>4615</v>
      </c>
      <c r="E118" s="1473"/>
      <c r="F118" s="251" t="s">
        <v>5176</v>
      </c>
      <c r="G118" s="131"/>
      <c r="H118" s="318"/>
      <c r="I118" s="251"/>
      <c r="J118" s="251"/>
      <c r="K118" s="255"/>
      <c r="L118" s="256"/>
      <c r="M118" s="155"/>
      <c r="N118" s="131"/>
      <c r="O118" s="207"/>
      <c r="P118" s="155"/>
      <c r="Q118" s="155"/>
      <c r="R118" s="155"/>
      <c r="S118" s="211"/>
      <c r="T118" s="155" t="s">
        <v>115</v>
      </c>
      <c r="U118" s="155" t="s">
        <v>115</v>
      </c>
      <c r="V118" s="155" t="s">
        <v>115</v>
      </c>
      <c r="W118" s="211"/>
      <c r="X118" s="155"/>
      <c r="Y118" s="155"/>
      <c r="Z118" s="155"/>
      <c r="AA118" s="211"/>
      <c r="AB118" s="155"/>
      <c r="AC118" s="155"/>
      <c r="AD118" s="155"/>
      <c r="AE118" s="808">
        <f t="shared" si="15"/>
        <v>2997</v>
      </c>
      <c r="AF118" s="761">
        <f t="shared" si="16"/>
        <v>2997</v>
      </c>
      <c r="AG118" s="110">
        <f t="shared" si="20"/>
        <v>2997</v>
      </c>
      <c r="AH118" s="808">
        <f t="shared" si="6"/>
        <v>0</v>
      </c>
      <c r="AI118" s="301" t="s">
        <v>5177</v>
      </c>
      <c r="AJ118" s="206">
        <v>0.15</v>
      </c>
      <c r="AK118" s="808">
        <f t="shared" si="9"/>
        <v>449.55</v>
      </c>
      <c r="AL118" s="301" t="s">
        <v>5177</v>
      </c>
      <c r="AM118" s="206">
        <v>0.05</v>
      </c>
      <c r="AN118" s="808">
        <f t="shared" si="10"/>
        <v>149.85</v>
      </c>
      <c r="AO118" s="110">
        <v>2997</v>
      </c>
      <c r="AP118" s="226">
        <v>44483</v>
      </c>
      <c r="AQ118" s="110">
        <v>2997</v>
      </c>
      <c r="AR118" s="263"/>
      <c r="AS118" s="110">
        <v>0</v>
      </c>
      <c r="AT118" s="226"/>
      <c r="AU118" s="110">
        <v>0</v>
      </c>
      <c r="AV118" s="263"/>
      <c r="AW118" s="110">
        <v>0</v>
      </c>
      <c r="AX118" s="226"/>
      <c r="AY118" s="110">
        <v>0</v>
      </c>
      <c r="AZ118" s="263"/>
      <c r="BA118" s="110">
        <v>0</v>
      </c>
      <c r="BB118" s="226"/>
      <c r="BC118" s="110">
        <v>0</v>
      </c>
      <c r="BD118" s="263"/>
      <c r="BE118" s="110">
        <v>0</v>
      </c>
      <c r="BF118" s="226"/>
      <c r="BG118" s="110">
        <v>0</v>
      </c>
      <c r="BH118" s="263"/>
      <c r="BI118" s="3" t="s">
        <v>2612</v>
      </c>
      <c r="BJ118" s="779"/>
      <c r="BK118" s="779"/>
      <c r="BL118" s="779"/>
      <c r="BM118" s="779"/>
      <c r="BN118" s="779"/>
      <c r="BO118" s="779"/>
      <c r="BP118" s="779"/>
      <c r="BQ118" s="779"/>
    </row>
    <row r="119" spans="1:69" ht="30" hidden="1" customHeight="1">
      <c r="A119" s="245">
        <f t="shared" si="12"/>
        <v>31</v>
      </c>
      <c r="B119" s="449" t="s">
        <v>488</v>
      </c>
      <c r="C119" s="449" t="s">
        <v>3068</v>
      </c>
      <c r="D119" s="294" t="s">
        <v>3069</v>
      </c>
      <c r="E119" s="1473"/>
      <c r="F119" s="251" t="s">
        <v>3070</v>
      </c>
      <c r="G119" s="131"/>
      <c r="H119" s="318"/>
      <c r="I119" s="251"/>
      <c r="J119" s="251"/>
      <c r="K119" s="255"/>
      <c r="L119" s="256"/>
      <c r="M119" s="155"/>
      <c r="N119" s="131"/>
      <c r="O119" s="207"/>
      <c r="P119" s="155"/>
      <c r="Q119" s="155"/>
      <c r="R119" s="155"/>
      <c r="S119" s="211"/>
      <c r="T119" s="155"/>
      <c r="U119" s="155"/>
      <c r="V119" s="155"/>
      <c r="W119" s="211"/>
      <c r="X119" s="928" t="s">
        <v>151</v>
      </c>
      <c r="Y119" s="928" t="s">
        <v>151</v>
      </c>
      <c r="Z119" s="928" t="s">
        <v>151</v>
      </c>
      <c r="AA119" s="211"/>
      <c r="AB119" s="155"/>
      <c r="AC119" s="155"/>
      <c r="AD119" s="155"/>
      <c r="AE119" s="808">
        <f t="shared" si="15"/>
        <v>2997</v>
      </c>
      <c r="AF119" s="761">
        <f t="shared" si="16"/>
        <v>0</v>
      </c>
      <c r="AG119" s="110">
        <f t="shared" si="20"/>
        <v>0</v>
      </c>
      <c r="AH119" s="808">
        <f t="shared" si="6"/>
        <v>2997</v>
      </c>
      <c r="AI119" s="301" t="s">
        <v>160</v>
      </c>
      <c r="AJ119" s="206">
        <v>0.15</v>
      </c>
      <c r="AK119" s="808">
        <f t="shared" si="9"/>
        <v>0</v>
      </c>
      <c r="AL119" s="301" t="s">
        <v>160</v>
      </c>
      <c r="AM119" s="206">
        <v>0.05</v>
      </c>
      <c r="AN119" s="808">
        <f t="shared" si="10"/>
        <v>0</v>
      </c>
      <c r="AO119" s="110">
        <v>2997</v>
      </c>
      <c r="AP119" s="226">
        <v>44470</v>
      </c>
      <c r="AQ119" s="110"/>
      <c r="AR119" s="263"/>
      <c r="AS119" s="110">
        <v>0</v>
      </c>
      <c r="AT119" s="226"/>
      <c r="AU119" s="110">
        <v>0</v>
      </c>
      <c r="AV119" s="263"/>
      <c r="AW119" s="110"/>
      <c r="AX119" s="226">
        <v>44512</v>
      </c>
      <c r="AY119" s="110">
        <v>0</v>
      </c>
      <c r="AZ119" s="263"/>
      <c r="BA119" s="110">
        <v>0</v>
      </c>
      <c r="BB119" s="226"/>
      <c r="BC119" s="110">
        <v>0</v>
      </c>
      <c r="BD119" s="263"/>
      <c r="BE119" s="110">
        <v>0</v>
      </c>
      <c r="BF119" s="226"/>
      <c r="BG119" s="110">
        <v>0</v>
      </c>
      <c r="BH119" s="263"/>
      <c r="BI119" s="3" t="s">
        <v>2612</v>
      </c>
      <c r="BJ119" s="779"/>
      <c r="BK119" s="779"/>
      <c r="BL119" s="779"/>
      <c r="BM119" s="779"/>
      <c r="BN119" s="779"/>
      <c r="BO119" s="779"/>
      <c r="BP119" s="779"/>
      <c r="BQ119" s="779"/>
    </row>
    <row r="120" spans="1:69" ht="30" hidden="1" customHeight="1">
      <c r="A120" s="245">
        <f t="shared" si="12"/>
        <v>32</v>
      </c>
      <c r="B120" s="449" t="s">
        <v>1883</v>
      </c>
      <c r="C120" s="449" t="s">
        <v>4510</v>
      </c>
      <c r="D120" s="207" t="s">
        <v>4511</v>
      </c>
      <c r="E120" s="1473">
        <v>3289486831</v>
      </c>
      <c r="F120" s="251" t="s">
        <v>4514</v>
      </c>
      <c r="G120" s="131"/>
      <c r="H120" s="318"/>
      <c r="I120" s="251"/>
      <c r="J120" s="251"/>
      <c r="K120" s="255"/>
      <c r="L120" s="256"/>
      <c r="M120" s="155"/>
      <c r="N120" s="131"/>
      <c r="O120" s="207"/>
      <c r="P120" s="155"/>
      <c r="Q120" s="155"/>
      <c r="R120" s="155"/>
      <c r="S120" s="211"/>
      <c r="T120" s="155"/>
      <c r="U120" s="155"/>
      <c r="V120" s="155"/>
      <c r="W120" s="211"/>
      <c r="X120" s="155" t="s">
        <v>115</v>
      </c>
      <c r="Y120" s="155" t="s">
        <v>115</v>
      </c>
      <c r="Z120" s="155" t="s">
        <v>115</v>
      </c>
      <c r="AA120" s="211"/>
      <c r="AB120" s="155"/>
      <c r="AC120" s="155"/>
      <c r="AD120" s="155"/>
      <c r="AE120" s="808">
        <f t="shared" si="15"/>
        <v>2997</v>
      </c>
      <c r="AF120" s="761">
        <f t="shared" si="16"/>
        <v>2997</v>
      </c>
      <c r="AG120" s="110">
        <f>AF120-2997</f>
        <v>0</v>
      </c>
      <c r="AH120" s="808">
        <f t="shared" si="6"/>
        <v>2997</v>
      </c>
      <c r="AI120" s="301" t="s">
        <v>5118</v>
      </c>
      <c r="AJ120" s="206">
        <v>0.15</v>
      </c>
      <c r="AK120" s="808">
        <f t="shared" si="9"/>
        <v>449.55</v>
      </c>
      <c r="AL120" s="301" t="s">
        <v>5118</v>
      </c>
      <c r="AM120" s="206">
        <v>0.05</v>
      </c>
      <c r="AN120" s="808">
        <f t="shared" si="10"/>
        <v>149.85</v>
      </c>
      <c r="AO120" s="110">
        <v>2997</v>
      </c>
      <c r="AP120" s="226">
        <v>44469</v>
      </c>
      <c r="AQ120" s="110">
        <v>2997</v>
      </c>
      <c r="AR120" s="263"/>
      <c r="AS120" s="110">
        <v>0</v>
      </c>
      <c r="AT120" s="226"/>
      <c r="AU120" s="110">
        <v>0</v>
      </c>
      <c r="AV120" s="263"/>
      <c r="AW120" s="110">
        <v>0</v>
      </c>
      <c r="AX120" s="226"/>
      <c r="AY120" s="110">
        <v>0</v>
      </c>
      <c r="AZ120" s="263"/>
      <c r="BA120" s="110">
        <v>0</v>
      </c>
      <c r="BB120" s="226"/>
      <c r="BC120" s="110">
        <v>0</v>
      </c>
      <c r="BD120" s="263"/>
      <c r="BE120" s="110">
        <v>0</v>
      </c>
      <c r="BF120" s="226"/>
      <c r="BG120" s="110">
        <v>0</v>
      </c>
      <c r="BH120" s="263"/>
      <c r="BI120" s="3" t="s">
        <v>2612</v>
      </c>
      <c r="BJ120" s="779"/>
      <c r="BK120" s="779"/>
      <c r="BL120" s="779"/>
      <c r="BM120" s="779"/>
      <c r="BN120" s="779"/>
      <c r="BO120" s="779"/>
      <c r="BP120" s="779"/>
      <c r="BQ120" s="779"/>
    </row>
    <row r="121" spans="1:69" ht="30" hidden="1" customHeight="1">
      <c r="A121" s="245">
        <f t="shared" si="12"/>
        <v>33</v>
      </c>
      <c r="B121" s="449" t="s">
        <v>2668</v>
      </c>
      <c r="C121" s="449" t="s">
        <v>5178</v>
      </c>
      <c r="D121" s="207" t="s">
        <v>5179</v>
      </c>
      <c r="E121" s="1473"/>
      <c r="F121" s="251" t="s">
        <v>5180</v>
      </c>
      <c r="G121" s="131"/>
      <c r="H121" s="318"/>
      <c r="I121" s="251"/>
      <c r="J121" s="251"/>
      <c r="K121" s="255"/>
      <c r="L121" s="256"/>
      <c r="M121" s="155"/>
      <c r="N121" s="131"/>
      <c r="O121" s="207"/>
      <c r="P121" s="155"/>
      <c r="Q121" s="155"/>
      <c r="R121" s="155"/>
      <c r="S121" s="211"/>
      <c r="T121" s="155" t="s">
        <v>115</v>
      </c>
      <c r="U121" s="155" t="s">
        <v>115</v>
      </c>
      <c r="V121" s="155"/>
      <c r="W121" s="211"/>
      <c r="X121" s="155"/>
      <c r="Y121" s="155"/>
      <c r="Z121" s="155" t="s">
        <v>115</v>
      </c>
      <c r="AA121" s="211"/>
      <c r="AB121" s="155"/>
      <c r="AC121" s="155"/>
      <c r="AD121" s="155"/>
      <c r="AE121" s="808">
        <f t="shared" si="15"/>
        <v>2997</v>
      </c>
      <c r="AF121" s="761">
        <f t="shared" si="16"/>
        <v>2997</v>
      </c>
      <c r="AG121" s="110">
        <f>900+1340</f>
        <v>2240</v>
      </c>
      <c r="AH121" s="808">
        <f t="shared" si="6"/>
        <v>757</v>
      </c>
      <c r="AI121" s="301" t="s">
        <v>5133</v>
      </c>
      <c r="AJ121" s="206">
        <v>0.15</v>
      </c>
      <c r="AK121" s="808">
        <f t="shared" si="9"/>
        <v>449.55</v>
      </c>
      <c r="AL121" s="301" t="s">
        <v>5133</v>
      </c>
      <c r="AM121" s="206">
        <v>0.05</v>
      </c>
      <c r="AN121" s="808">
        <f t="shared" si="10"/>
        <v>149.85</v>
      </c>
      <c r="AO121" s="110">
        <v>2997</v>
      </c>
      <c r="AP121" s="226">
        <v>44470</v>
      </c>
      <c r="AQ121" s="110">
        <v>2997</v>
      </c>
      <c r="AR121" s="263"/>
      <c r="AS121" s="110">
        <v>0</v>
      </c>
      <c r="AT121" s="226"/>
      <c r="AU121" s="110">
        <v>0</v>
      </c>
      <c r="AV121" s="263"/>
      <c r="AW121" s="110">
        <v>0</v>
      </c>
      <c r="AX121" s="226"/>
      <c r="AY121" s="110">
        <v>0</v>
      </c>
      <c r="AZ121" s="263"/>
      <c r="BA121" s="110">
        <v>0</v>
      </c>
      <c r="BB121" s="226"/>
      <c r="BC121" s="110">
        <v>0</v>
      </c>
      <c r="BD121" s="263"/>
      <c r="BE121" s="110">
        <v>0</v>
      </c>
      <c r="BF121" s="226"/>
      <c r="BG121" s="110">
        <v>0</v>
      </c>
      <c r="BH121" s="263"/>
      <c r="BI121" s="3" t="s">
        <v>2612</v>
      </c>
      <c r="BJ121" s="779"/>
      <c r="BK121" s="779"/>
      <c r="BL121" s="779"/>
      <c r="BM121" s="779"/>
      <c r="BN121" s="779"/>
      <c r="BO121" s="779"/>
      <c r="BP121" s="779"/>
      <c r="BQ121" s="779"/>
    </row>
    <row r="122" spans="1:69" ht="30" customHeight="1">
      <c r="A122" s="245">
        <f t="shared" si="12"/>
        <v>34</v>
      </c>
      <c r="B122" s="449" t="s">
        <v>5181</v>
      </c>
      <c r="C122" s="449" t="s">
        <v>962</v>
      </c>
      <c r="D122" s="207" t="s">
        <v>5182</v>
      </c>
      <c r="E122" s="1473"/>
      <c r="F122" s="251" t="s">
        <v>5183</v>
      </c>
      <c r="G122" s="131"/>
      <c r="H122" s="318"/>
      <c r="I122" s="251"/>
      <c r="J122" s="251"/>
      <c r="K122" s="255"/>
      <c r="L122" s="256"/>
      <c r="M122" s="155"/>
      <c r="N122" s="131"/>
      <c r="O122" s="207"/>
      <c r="P122" s="155"/>
      <c r="Q122" s="155"/>
      <c r="R122" s="155"/>
      <c r="S122" s="211"/>
      <c r="T122" s="155" t="s">
        <v>115</v>
      </c>
      <c r="U122" s="155" t="s">
        <v>115</v>
      </c>
      <c r="V122" s="155" t="s">
        <v>115</v>
      </c>
      <c r="W122" s="211"/>
      <c r="X122" s="155"/>
      <c r="Y122" s="155"/>
      <c r="Z122" s="155"/>
      <c r="AA122" s="211"/>
      <c r="AB122" s="155"/>
      <c r="AC122" s="155"/>
      <c r="AD122" s="155"/>
      <c r="AE122" s="808">
        <f t="shared" si="15"/>
        <v>2997</v>
      </c>
      <c r="AF122" s="761">
        <f t="shared" si="16"/>
        <v>2997</v>
      </c>
      <c r="AG122" s="110">
        <f t="shared" ref="AG122:AG128" si="21">AF122</f>
        <v>2997</v>
      </c>
      <c r="AH122" s="808">
        <f t="shared" si="6"/>
        <v>0</v>
      </c>
      <c r="AI122" s="301" t="s">
        <v>4932</v>
      </c>
      <c r="AJ122" s="206">
        <v>0.05</v>
      </c>
      <c r="AK122" s="808">
        <f t="shared" si="9"/>
        <v>149.85</v>
      </c>
      <c r="AL122" s="301" t="s">
        <v>4932</v>
      </c>
      <c r="AM122" s="206">
        <v>0.05</v>
      </c>
      <c r="AN122" s="808">
        <f t="shared" si="10"/>
        <v>149.85</v>
      </c>
      <c r="AO122" s="110">
        <v>2997</v>
      </c>
      <c r="AP122" s="226">
        <v>44477</v>
      </c>
      <c r="AQ122" s="110">
        <v>2997</v>
      </c>
      <c r="AR122" s="263"/>
      <c r="AS122" s="110">
        <v>0</v>
      </c>
      <c r="AT122" s="226"/>
      <c r="AU122" s="110">
        <v>0</v>
      </c>
      <c r="AV122" s="263"/>
      <c r="AW122" s="110">
        <v>0</v>
      </c>
      <c r="AX122" s="226"/>
      <c r="AY122" s="110">
        <v>0</v>
      </c>
      <c r="AZ122" s="263"/>
      <c r="BA122" s="110">
        <v>0</v>
      </c>
      <c r="BB122" s="226"/>
      <c r="BC122" s="110">
        <v>0</v>
      </c>
      <c r="BD122" s="263"/>
      <c r="BE122" s="110">
        <v>0</v>
      </c>
      <c r="BF122" s="226"/>
      <c r="BG122" s="110">
        <v>0</v>
      </c>
      <c r="BH122" s="263"/>
      <c r="BI122" s="3" t="s">
        <v>2612</v>
      </c>
      <c r="BJ122" s="779"/>
      <c r="BK122" s="779"/>
      <c r="BL122" s="779"/>
      <c r="BM122" s="779"/>
      <c r="BN122" s="779"/>
      <c r="BO122" s="779"/>
      <c r="BP122" s="779"/>
      <c r="BQ122" s="779"/>
    </row>
    <row r="123" spans="1:69" ht="30" customHeight="1">
      <c r="A123" s="245">
        <f t="shared" si="12"/>
        <v>35</v>
      </c>
      <c r="B123" s="449" t="s">
        <v>5184</v>
      </c>
      <c r="C123" s="449" t="s">
        <v>1952</v>
      </c>
      <c r="D123" s="294" t="s">
        <v>5185</v>
      </c>
      <c r="E123" s="1473"/>
      <c r="F123" s="251" t="s">
        <v>5183</v>
      </c>
      <c r="G123" s="131"/>
      <c r="H123" s="318"/>
      <c r="I123" s="251"/>
      <c r="J123" s="251"/>
      <c r="K123" s="255"/>
      <c r="L123" s="256"/>
      <c r="M123" s="155"/>
      <c r="N123" s="131"/>
      <c r="O123" s="207"/>
      <c r="P123" s="155"/>
      <c r="Q123" s="155"/>
      <c r="R123" s="155"/>
      <c r="S123" s="211"/>
      <c r="T123" s="155" t="s">
        <v>115</v>
      </c>
      <c r="U123" s="155" t="s">
        <v>115</v>
      </c>
      <c r="V123" s="155" t="s">
        <v>115</v>
      </c>
      <c r="W123" s="211"/>
      <c r="X123" s="155"/>
      <c r="Y123" s="155"/>
      <c r="Z123" s="155"/>
      <c r="AA123" s="211"/>
      <c r="AB123" s="155"/>
      <c r="AC123" s="155"/>
      <c r="AD123" s="155"/>
      <c r="AE123" s="808">
        <f t="shared" si="15"/>
        <v>2997</v>
      </c>
      <c r="AF123" s="761">
        <f t="shared" si="16"/>
        <v>2997</v>
      </c>
      <c r="AG123" s="110">
        <f t="shared" si="21"/>
        <v>2997</v>
      </c>
      <c r="AH123" s="808">
        <f t="shared" si="6"/>
        <v>0</v>
      </c>
      <c r="AI123" s="301" t="s">
        <v>4932</v>
      </c>
      <c r="AJ123" s="206">
        <v>0.05</v>
      </c>
      <c r="AK123" s="808">
        <f t="shared" si="9"/>
        <v>149.85</v>
      </c>
      <c r="AL123" s="301" t="s">
        <v>4932</v>
      </c>
      <c r="AM123" s="206">
        <v>0.05</v>
      </c>
      <c r="AN123" s="808">
        <f t="shared" si="10"/>
        <v>149.85</v>
      </c>
      <c r="AO123" s="110">
        <v>2997</v>
      </c>
      <c r="AP123" s="226">
        <v>44477</v>
      </c>
      <c r="AQ123" s="110">
        <v>2997</v>
      </c>
      <c r="AR123" s="263"/>
      <c r="AS123" s="110">
        <v>0</v>
      </c>
      <c r="AT123" s="226"/>
      <c r="AU123" s="110">
        <v>0</v>
      </c>
      <c r="AV123" s="263"/>
      <c r="AW123" s="110">
        <v>0</v>
      </c>
      <c r="AX123" s="226"/>
      <c r="AY123" s="110">
        <v>0</v>
      </c>
      <c r="AZ123" s="263"/>
      <c r="BA123" s="110">
        <v>0</v>
      </c>
      <c r="BB123" s="226"/>
      <c r="BC123" s="110">
        <v>0</v>
      </c>
      <c r="BD123" s="263"/>
      <c r="BE123" s="110">
        <v>0</v>
      </c>
      <c r="BF123" s="226"/>
      <c r="BG123" s="110">
        <v>0</v>
      </c>
      <c r="BH123" s="263"/>
      <c r="BI123" s="3" t="s">
        <v>2612</v>
      </c>
      <c r="BJ123" s="779"/>
      <c r="BK123" s="779"/>
      <c r="BL123" s="779"/>
      <c r="BM123" s="779"/>
      <c r="BN123" s="779"/>
      <c r="BO123" s="779"/>
      <c r="BP123" s="779"/>
      <c r="BQ123" s="779"/>
    </row>
    <row r="124" spans="1:69" ht="30" customHeight="1">
      <c r="A124" s="245">
        <f t="shared" si="12"/>
        <v>36</v>
      </c>
      <c r="B124" s="449" t="s">
        <v>246</v>
      </c>
      <c r="C124" s="449" t="s">
        <v>5186</v>
      </c>
      <c r="D124" s="207" t="s">
        <v>5187</v>
      </c>
      <c r="E124" s="1473"/>
      <c r="F124" s="251" t="s">
        <v>5183</v>
      </c>
      <c r="G124" s="131"/>
      <c r="H124" s="318"/>
      <c r="I124" s="251"/>
      <c r="J124" s="251"/>
      <c r="K124" s="255"/>
      <c r="L124" s="256"/>
      <c r="M124" s="155"/>
      <c r="N124" s="131"/>
      <c r="O124" s="207"/>
      <c r="P124" s="155"/>
      <c r="Q124" s="155"/>
      <c r="R124" s="155"/>
      <c r="S124" s="211"/>
      <c r="T124" s="155" t="s">
        <v>115</v>
      </c>
      <c r="U124" s="155" t="s">
        <v>115</v>
      </c>
      <c r="V124" s="155" t="s">
        <v>115</v>
      </c>
      <c r="W124" s="211"/>
      <c r="X124" s="155"/>
      <c r="Y124" s="155"/>
      <c r="Z124" s="155"/>
      <c r="AA124" s="211"/>
      <c r="AB124" s="155"/>
      <c r="AC124" s="155"/>
      <c r="AD124" s="155"/>
      <c r="AE124" s="808">
        <f t="shared" si="15"/>
        <v>2997</v>
      </c>
      <c r="AF124" s="761">
        <f t="shared" si="16"/>
        <v>2997</v>
      </c>
      <c r="AG124" s="110">
        <f t="shared" si="21"/>
        <v>2997</v>
      </c>
      <c r="AH124" s="808">
        <f t="shared" si="6"/>
        <v>0</v>
      </c>
      <c r="AI124" s="301" t="s">
        <v>4932</v>
      </c>
      <c r="AJ124" s="206">
        <v>0.05</v>
      </c>
      <c r="AK124" s="808">
        <f t="shared" si="9"/>
        <v>149.85</v>
      </c>
      <c r="AL124" s="301" t="s">
        <v>4932</v>
      </c>
      <c r="AM124" s="206">
        <v>0.05</v>
      </c>
      <c r="AN124" s="808">
        <f t="shared" si="10"/>
        <v>149.85</v>
      </c>
      <c r="AO124" s="110">
        <v>2997</v>
      </c>
      <c r="AP124" s="226">
        <v>44477</v>
      </c>
      <c r="AQ124" s="110">
        <v>2997</v>
      </c>
      <c r="AR124" s="263"/>
      <c r="AS124" s="110">
        <v>0</v>
      </c>
      <c r="AT124" s="226"/>
      <c r="AU124" s="110">
        <v>0</v>
      </c>
      <c r="AV124" s="263"/>
      <c r="AW124" s="110">
        <v>0</v>
      </c>
      <c r="AX124" s="226"/>
      <c r="AY124" s="110">
        <v>0</v>
      </c>
      <c r="AZ124" s="263"/>
      <c r="BA124" s="110">
        <v>0</v>
      </c>
      <c r="BB124" s="226"/>
      <c r="BC124" s="110">
        <v>0</v>
      </c>
      <c r="BD124" s="263"/>
      <c r="BE124" s="110">
        <v>0</v>
      </c>
      <c r="BF124" s="226"/>
      <c r="BG124" s="110">
        <v>0</v>
      </c>
      <c r="BH124" s="263"/>
      <c r="BI124" s="3" t="s">
        <v>2612</v>
      </c>
      <c r="BJ124" s="779"/>
      <c r="BK124" s="779"/>
      <c r="BL124" s="779"/>
      <c r="BM124" s="779"/>
      <c r="BN124" s="779"/>
      <c r="BO124" s="779"/>
      <c r="BP124" s="779"/>
      <c r="BQ124" s="779"/>
    </row>
    <row r="125" spans="1:69" ht="30" customHeight="1">
      <c r="A125" s="245">
        <f t="shared" si="12"/>
        <v>37</v>
      </c>
      <c r="B125" s="449" t="s">
        <v>290</v>
      </c>
      <c r="C125" s="449" t="s">
        <v>2360</v>
      </c>
      <c r="D125" s="294" t="s">
        <v>2361</v>
      </c>
      <c r="E125" s="1473"/>
      <c r="F125" s="251" t="s">
        <v>3277</v>
      </c>
      <c r="G125" s="131"/>
      <c r="H125" s="318"/>
      <c r="I125" s="251"/>
      <c r="J125" s="251"/>
      <c r="K125" s="255"/>
      <c r="L125" s="256"/>
      <c r="M125" s="155"/>
      <c r="N125" s="131"/>
      <c r="O125" s="207"/>
      <c r="P125" s="155"/>
      <c r="Q125" s="155"/>
      <c r="R125" s="155"/>
      <c r="S125" s="211"/>
      <c r="T125" s="155" t="s">
        <v>115</v>
      </c>
      <c r="U125" s="155" t="s">
        <v>115</v>
      </c>
      <c r="V125" s="155" t="s">
        <v>115</v>
      </c>
      <c r="W125" s="211"/>
      <c r="X125" s="155"/>
      <c r="Y125" s="155"/>
      <c r="Z125" s="155"/>
      <c r="AA125" s="211"/>
      <c r="AB125" s="155"/>
      <c r="AC125" s="155"/>
      <c r="AD125" s="155"/>
      <c r="AE125" s="808">
        <f t="shared" si="15"/>
        <v>2797</v>
      </c>
      <c r="AF125" s="761">
        <f t="shared" si="16"/>
        <v>2797</v>
      </c>
      <c r="AG125" s="110">
        <f t="shared" si="21"/>
        <v>2797</v>
      </c>
      <c r="AH125" s="808">
        <f t="shared" si="6"/>
        <v>0</v>
      </c>
      <c r="AI125" s="301" t="s">
        <v>117</v>
      </c>
      <c r="AJ125" s="206">
        <v>0</v>
      </c>
      <c r="AK125" s="808">
        <f t="shared" si="9"/>
        <v>0</v>
      </c>
      <c r="AL125" s="1472" t="s">
        <v>5099</v>
      </c>
      <c r="AM125" s="206">
        <v>0.05</v>
      </c>
      <c r="AN125" s="808">
        <f t="shared" si="10"/>
        <v>139.85</v>
      </c>
      <c r="AO125" s="110">
        <v>2797</v>
      </c>
      <c r="AP125" s="226">
        <v>44496</v>
      </c>
      <c r="AQ125" s="110">
        <v>2797</v>
      </c>
      <c r="AR125" s="263"/>
      <c r="AS125" s="110">
        <v>0</v>
      </c>
      <c r="AT125" s="226"/>
      <c r="AU125" s="110">
        <v>0</v>
      </c>
      <c r="AV125" s="263"/>
      <c r="AW125" s="110">
        <v>0</v>
      </c>
      <c r="AX125" s="226"/>
      <c r="AY125" s="110">
        <v>0</v>
      </c>
      <c r="AZ125" s="263"/>
      <c r="BA125" s="110">
        <v>0</v>
      </c>
      <c r="BB125" s="226"/>
      <c r="BC125" s="110">
        <v>0</v>
      </c>
      <c r="BD125" s="263"/>
      <c r="BE125" s="110">
        <v>0</v>
      </c>
      <c r="BF125" s="226"/>
      <c r="BG125" s="110">
        <v>0</v>
      </c>
      <c r="BH125" s="263"/>
      <c r="BI125" s="3" t="s">
        <v>2612</v>
      </c>
      <c r="BJ125" s="779"/>
      <c r="BK125" s="779"/>
      <c r="BL125" s="779"/>
      <c r="BM125" s="779"/>
      <c r="BN125" s="779"/>
      <c r="BO125" s="779"/>
      <c r="BP125" s="779"/>
      <c r="BQ125" s="779"/>
    </row>
    <row r="126" spans="1:69" ht="30" customHeight="1">
      <c r="A126" s="245">
        <f t="shared" si="12"/>
        <v>38</v>
      </c>
      <c r="B126" s="449" t="s">
        <v>5188</v>
      </c>
      <c r="C126" s="449" t="s">
        <v>5189</v>
      </c>
      <c r="D126" s="207" t="s">
        <v>5190</v>
      </c>
      <c r="E126" s="1473"/>
      <c r="F126" s="251" t="s">
        <v>3277</v>
      </c>
      <c r="G126" s="131"/>
      <c r="H126" s="318"/>
      <c r="I126" s="251"/>
      <c r="J126" s="251"/>
      <c r="K126" s="255"/>
      <c r="L126" s="256"/>
      <c r="M126" s="155"/>
      <c r="N126" s="131"/>
      <c r="O126" s="207"/>
      <c r="P126" s="155"/>
      <c r="Q126" s="155"/>
      <c r="R126" s="155"/>
      <c r="S126" s="211"/>
      <c r="T126" s="155" t="s">
        <v>115</v>
      </c>
      <c r="U126" s="155" t="s">
        <v>115</v>
      </c>
      <c r="V126" s="155" t="s">
        <v>115</v>
      </c>
      <c r="W126" s="211"/>
      <c r="X126" s="155"/>
      <c r="Y126" s="155"/>
      <c r="Z126" s="155"/>
      <c r="AA126" s="211"/>
      <c r="AB126" s="155"/>
      <c r="AC126" s="155"/>
      <c r="AD126" s="155"/>
      <c r="AE126" s="808">
        <f t="shared" si="15"/>
        <v>2797</v>
      </c>
      <c r="AF126" s="761">
        <f t="shared" si="16"/>
        <v>2797</v>
      </c>
      <c r="AG126" s="110">
        <f t="shared" si="21"/>
        <v>2797</v>
      </c>
      <c r="AH126" s="808">
        <f t="shared" si="6"/>
        <v>0</v>
      </c>
      <c r="AI126" s="1472" t="s">
        <v>5099</v>
      </c>
      <c r="AJ126" s="206">
        <v>0.05</v>
      </c>
      <c r="AK126" s="808">
        <f t="shared" si="9"/>
        <v>139.85</v>
      </c>
      <c r="AL126" s="1472" t="s">
        <v>5099</v>
      </c>
      <c r="AM126" s="206">
        <v>0.05</v>
      </c>
      <c r="AN126" s="808">
        <f t="shared" si="10"/>
        <v>139.85</v>
      </c>
      <c r="AO126" s="110">
        <v>2797</v>
      </c>
      <c r="AP126" s="226">
        <v>44496</v>
      </c>
      <c r="AQ126" s="110">
        <v>2797</v>
      </c>
      <c r="AR126" s="263"/>
      <c r="AS126" s="110">
        <v>0</v>
      </c>
      <c r="AT126" s="226"/>
      <c r="AU126" s="110">
        <v>0</v>
      </c>
      <c r="AV126" s="263"/>
      <c r="AW126" s="110">
        <v>0</v>
      </c>
      <c r="AX126" s="226"/>
      <c r="AY126" s="110">
        <v>0</v>
      </c>
      <c r="AZ126" s="263"/>
      <c r="BA126" s="110">
        <v>0</v>
      </c>
      <c r="BB126" s="226"/>
      <c r="BC126" s="110">
        <v>0</v>
      </c>
      <c r="BD126" s="263"/>
      <c r="BE126" s="110">
        <v>0</v>
      </c>
      <c r="BF126" s="226"/>
      <c r="BG126" s="110">
        <v>0</v>
      </c>
      <c r="BH126" s="263"/>
      <c r="BI126" s="3" t="s">
        <v>2612</v>
      </c>
      <c r="BJ126" s="779"/>
      <c r="BK126" s="779"/>
      <c r="BL126" s="779"/>
      <c r="BM126" s="779"/>
      <c r="BN126" s="779"/>
      <c r="BO126" s="779"/>
      <c r="BP126" s="779"/>
      <c r="BQ126" s="779"/>
    </row>
    <row r="127" spans="1:69" ht="30" customHeight="1">
      <c r="A127" s="245">
        <f t="shared" si="12"/>
        <v>39</v>
      </c>
      <c r="B127" s="449" t="s">
        <v>246</v>
      </c>
      <c r="C127" s="449" t="s">
        <v>5191</v>
      </c>
      <c r="D127" s="207" t="s">
        <v>5192</v>
      </c>
      <c r="E127" s="1473"/>
      <c r="F127" s="251" t="s">
        <v>3277</v>
      </c>
      <c r="G127" s="131"/>
      <c r="H127" s="318"/>
      <c r="I127" s="251"/>
      <c r="J127" s="251"/>
      <c r="K127" s="255"/>
      <c r="L127" s="256"/>
      <c r="M127" s="155"/>
      <c r="N127" s="131"/>
      <c r="O127" s="207"/>
      <c r="P127" s="155"/>
      <c r="Q127" s="155"/>
      <c r="R127" s="155"/>
      <c r="S127" s="211"/>
      <c r="T127" s="155" t="s">
        <v>115</v>
      </c>
      <c r="U127" s="155" t="s">
        <v>115</v>
      </c>
      <c r="V127" s="155" t="s">
        <v>115</v>
      </c>
      <c r="W127" s="211"/>
      <c r="X127" s="155"/>
      <c r="Y127" s="155"/>
      <c r="Z127" s="155"/>
      <c r="AA127" s="211"/>
      <c r="AB127" s="155"/>
      <c r="AC127" s="155"/>
      <c r="AD127" s="155"/>
      <c r="AE127" s="808">
        <f t="shared" si="15"/>
        <v>2797</v>
      </c>
      <c r="AF127" s="761">
        <f t="shared" si="16"/>
        <v>2797</v>
      </c>
      <c r="AG127" s="110">
        <f t="shared" si="21"/>
        <v>2797</v>
      </c>
      <c r="AH127" s="808">
        <f t="shared" si="6"/>
        <v>0</v>
      </c>
      <c r="AI127" s="1472" t="s">
        <v>5099</v>
      </c>
      <c r="AJ127" s="206">
        <v>0.05</v>
      </c>
      <c r="AK127" s="808">
        <f t="shared" si="9"/>
        <v>139.85</v>
      </c>
      <c r="AL127" s="1472" t="s">
        <v>5099</v>
      </c>
      <c r="AM127" s="206">
        <v>0.05</v>
      </c>
      <c r="AN127" s="808">
        <f t="shared" si="10"/>
        <v>139.85</v>
      </c>
      <c r="AO127" s="110">
        <v>2797</v>
      </c>
      <c r="AP127" s="226">
        <v>44484</v>
      </c>
      <c r="AQ127" s="110">
        <v>2797</v>
      </c>
      <c r="AR127" s="263"/>
      <c r="AS127" s="110">
        <v>0</v>
      </c>
      <c r="AT127" s="226"/>
      <c r="AU127" s="110">
        <v>0</v>
      </c>
      <c r="AV127" s="263"/>
      <c r="AW127" s="110">
        <v>0</v>
      </c>
      <c r="AX127" s="226"/>
      <c r="AY127" s="110">
        <v>0</v>
      </c>
      <c r="AZ127" s="263"/>
      <c r="BA127" s="110">
        <v>0</v>
      </c>
      <c r="BB127" s="226"/>
      <c r="BC127" s="110">
        <v>0</v>
      </c>
      <c r="BD127" s="263"/>
      <c r="BE127" s="110">
        <v>0</v>
      </c>
      <c r="BF127" s="226"/>
      <c r="BG127" s="110">
        <v>0</v>
      </c>
      <c r="BH127" s="263"/>
      <c r="BI127" s="3" t="s">
        <v>3002</v>
      </c>
      <c r="BJ127" s="779"/>
      <c r="BK127" s="779"/>
      <c r="BL127" s="779"/>
      <c r="BM127" s="779"/>
      <c r="BN127" s="779"/>
      <c r="BO127" s="779"/>
      <c r="BP127" s="779"/>
      <c r="BQ127" s="779"/>
    </row>
    <row r="128" spans="1:69" ht="30" hidden="1" customHeight="1">
      <c r="A128" s="245">
        <f t="shared" si="12"/>
        <v>40</v>
      </c>
      <c r="B128" s="449" t="s">
        <v>3274</v>
      </c>
      <c r="C128" s="449" t="s">
        <v>3275</v>
      </c>
      <c r="D128" s="207" t="s">
        <v>3276</v>
      </c>
      <c r="E128" s="1473"/>
      <c r="F128" s="251" t="s">
        <v>3277</v>
      </c>
      <c r="G128" s="131"/>
      <c r="H128" s="318"/>
      <c r="I128" s="251"/>
      <c r="J128" s="251"/>
      <c r="K128" s="255"/>
      <c r="L128" s="256"/>
      <c r="M128" s="155"/>
      <c r="N128" s="131"/>
      <c r="O128" s="207" t="s">
        <v>3278</v>
      </c>
      <c r="P128" s="155"/>
      <c r="Q128" s="155"/>
      <c r="R128" s="155"/>
      <c r="S128" s="211"/>
      <c r="T128" s="928" t="s">
        <v>165</v>
      </c>
      <c r="U128" s="928" t="s">
        <v>165</v>
      </c>
      <c r="V128" s="928" t="s">
        <v>165</v>
      </c>
      <c r="W128" s="211"/>
      <c r="X128" s="155"/>
      <c r="Y128" s="155"/>
      <c r="Z128" s="155"/>
      <c r="AA128" s="211"/>
      <c r="AB128" s="155"/>
      <c r="AC128" s="155"/>
      <c r="AD128" s="155"/>
      <c r="AE128" s="808">
        <f t="shared" si="15"/>
        <v>2997</v>
      </c>
      <c r="AF128" s="761">
        <f t="shared" si="16"/>
        <v>0</v>
      </c>
      <c r="AG128" s="110">
        <f t="shared" si="21"/>
        <v>0</v>
      </c>
      <c r="AH128" s="808">
        <f t="shared" si="6"/>
        <v>2997</v>
      </c>
      <c r="AI128" s="1472" t="s">
        <v>3279</v>
      </c>
      <c r="AJ128" s="206">
        <v>0.05</v>
      </c>
      <c r="AK128" s="808">
        <f t="shared" si="9"/>
        <v>0</v>
      </c>
      <c r="AL128" s="1472" t="s">
        <v>3279</v>
      </c>
      <c r="AM128" s="206">
        <v>0.05</v>
      </c>
      <c r="AN128" s="808">
        <f t="shared" si="10"/>
        <v>0</v>
      </c>
      <c r="AO128" s="110">
        <v>2997</v>
      </c>
      <c r="AP128" s="226"/>
      <c r="AQ128" s="110"/>
      <c r="AR128" s="263"/>
      <c r="AS128" s="110">
        <v>0</v>
      </c>
      <c r="AT128" s="226"/>
      <c r="AU128" s="110">
        <v>0</v>
      </c>
      <c r="AV128" s="263"/>
      <c r="AW128" s="110">
        <v>0</v>
      </c>
      <c r="AX128" s="226"/>
      <c r="AY128" s="110">
        <v>0</v>
      </c>
      <c r="AZ128" s="263"/>
      <c r="BA128" s="110">
        <v>0</v>
      </c>
      <c r="BB128" s="226"/>
      <c r="BC128" s="110">
        <v>0</v>
      </c>
      <c r="BD128" s="263"/>
      <c r="BE128" s="110">
        <v>0</v>
      </c>
      <c r="BF128" s="226"/>
      <c r="BG128" s="110">
        <v>0</v>
      </c>
      <c r="BH128" s="263"/>
      <c r="BI128" s="3" t="s">
        <v>3002</v>
      </c>
      <c r="BJ128" s="779"/>
      <c r="BK128" s="779"/>
      <c r="BL128" s="779"/>
      <c r="BM128" s="779"/>
      <c r="BN128" s="779"/>
      <c r="BO128" s="779"/>
      <c r="BP128" s="779"/>
      <c r="BQ128" s="779"/>
    </row>
    <row r="129" spans="1:69" ht="30" hidden="1" customHeight="1">
      <c r="A129" s="245">
        <f t="shared" si="12"/>
        <v>41</v>
      </c>
      <c r="B129" s="449" t="s">
        <v>950</v>
      </c>
      <c r="C129" s="449" t="s">
        <v>3229</v>
      </c>
      <c r="D129" s="207" t="s">
        <v>3230</v>
      </c>
      <c r="E129" s="1473"/>
      <c r="F129" s="251" t="s">
        <v>3231</v>
      </c>
      <c r="G129" s="131"/>
      <c r="H129" s="318"/>
      <c r="I129" s="251"/>
      <c r="J129" s="251"/>
      <c r="K129" s="255"/>
      <c r="L129" s="256"/>
      <c r="M129" s="155"/>
      <c r="N129" s="131"/>
      <c r="O129" s="207"/>
      <c r="P129" s="155"/>
      <c r="Q129" s="155"/>
      <c r="R129" s="155"/>
      <c r="S129" s="211"/>
      <c r="T129" s="155"/>
      <c r="U129" s="155"/>
      <c r="V129" s="155"/>
      <c r="W129" s="211"/>
      <c r="X129" s="155" t="s">
        <v>115</v>
      </c>
      <c r="Y129" s="155" t="s">
        <v>115</v>
      </c>
      <c r="Z129" s="155" t="s">
        <v>115</v>
      </c>
      <c r="AA129" s="211"/>
      <c r="AB129" s="155"/>
      <c r="AC129" s="155"/>
      <c r="AD129" s="155"/>
      <c r="AE129" s="808">
        <f t="shared" si="15"/>
        <v>2997</v>
      </c>
      <c r="AF129" s="761">
        <f t="shared" si="16"/>
        <v>2997</v>
      </c>
      <c r="AG129" s="110">
        <f>AF129-2997</f>
        <v>0</v>
      </c>
      <c r="AH129" s="808">
        <f t="shared" si="6"/>
        <v>2997</v>
      </c>
      <c r="AI129" s="1472" t="s">
        <v>3233</v>
      </c>
      <c r="AJ129" s="206">
        <v>0.15</v>
      </c>
      <c r="AK129" s="808">
        <f t="shared" si="9"/>
        <v>449.55</v>
      </c>
      <c r="AL129" s="1472" t="s">
        <v>3233</v>
      </c>
      <c r="AM129" s="206">
        <v>0.05</v>
      </c>
      <c r="AN129" s="808">
        <f t="shared" si="10"/>
        <v>149.85</v>
      </c>
      <c r="AO129" s="110">
        <v>2997</v>
      </c>
      <c r="AP129" s="226">
        <v>44470</v>
      </c>
      <c r="AQ129" s="110">
        <v>2997</v>
      </c>
      <c r="AR129" s="263"/>
      <c r="AS129" s="110">
        <v>0</v>
      </c>
      <c r="AT129" s="226"/>
      <c r="AU129" s="110">
        <v>0</v>
      </c>
      <c r="AV129" s="263"/>
      <c r="AW129" s="110">
        <v>0</v>
      </c>
      <c r="AX129" s="226"/>
      <c r="AY129" s="110">
        <v>0</v>
      </c>
      <c r="AZ129" s="263"/>
      <c r="BA129" s="110">
        <v>0</v>
      </c>
      <c r="BB129" s="226"/>
      <c r="BC129" s="110">
        <v>0</v>
      </c>
      <c r="BD129" s="263"/>
      <c r="BE129" s="110">
        <v>0</v>
      </c>
      <c r="BF129" s="226"/>
      <c r="BG129" s="110">
        <v>0</v>
      </c>
      <c r="BH129" s="263"/>
      <c r="BI129" s="3" t="s">
        <v>2612</v>
      </c>
      <c r="BJ129" s="779"/>
      <c r="BK129" s="779"/>
      <c r="BL129" s="779"/>
      <c r="BM129" s="779"/>
      <c r="BN129" s="779"/>
      <c r="BO129" s="779"/>
      <c r="BP129" s="779"/>
      <c r="BQ129" s="779"/>
    </row>
    <row r="130" spans="1:69" ht="30" customHeight="1">
      <c r="A130" s="245">
        <f t="shared" si="12"/>
        <v>42</v>
      </c>
      <c r="B130" s="449" t="s">
        <v>256</v>
      </c>
      <c r="C130" s="449" t="s">
        <v>2639</v>
      </c>
      <c r="D130" s="294" t="s">
        <v>5193</v>
      </c>
      <c r="E130" s="1473">
        <v>3396127774</v>
      </c>
      <c r="F130" s="251" t="s">
        <v>3231</v>
      </c>
      <c r="G130" s="131"/>
      <c r="H130" s="318"/>
      <c r="I130" s="251"/>
      <c r="J130" s="251"/>
      <c r="K130" s="255"/>
      <c r="L130" s="256"/>
      <c r="M130" s="155"/>
      <c r="N130" s="131"/>
      <c r="O130" s="207"/>
      <c r="P130" s="155"/>
      <c r="Q130" s="155"/>
      <c r="R130" s="155"/>
      <c r="S130" s="211"/>
      <c r="T130" s="155" t="s">
        <v>115</v>
      </c>
      <c r="U130" s="155" t="s">
        <v>115</v>
      </c>
      <c r="V130" s="155" t="s">
        <v>115</v>
      </c>
      <c r="W130" s="211"/>
      <c r="X130" s="155"/>
      <c r="Y130" s="155"/>
      <c r="Z130" s="155"/>
      <c r="AA130" s="211"/>
      <c r="AB130" s="155"/>
      <c r="AC130" s="155"/>
      <c r="AD130" s="155"/>
      <c r="AE130" s="808">
        <f t="shared" si="15"/>
        <v>2997</v>
      </c>
      <c r="AF130" s="761">
        <f t="shared" si="16"/>
        <v>2997</v>
      </c>
      <c r="AG130" s="110">
        <f t="shared" ref="AG130:AG146" si="22">AF130</f>
        <v>2997</v>
      </c>
      <c r="AH130" s="808">
        <f t="shared" si="6"/>
        <v>0</v>
      </c>
      <c r="AI130" s="1472" t="s">
        <v>3233</v>
      </c>
      <c r="AJ130" s="206">
        <v>0.15</v>
      </c>
      <c r="AK130" s="808">
        <f t="shared" si="9"/>
        <v>449.55</v>
      </c>
      <c r="AL130" s="1472" t="s">
        <v>3233</v>
      </c>
      <c r="AM130" s="206">
        <v>0.05</v>
      </c>
      <c r="AN130" s="808">
        <f t="shared" si="10"/>
        <v>149.85</v>
      </c>
      <c r="AO130" s="110">
        <v>2997</v>
      </c>
      <c r="AP130" s="226">
        <v>44470</v>
      </c>
      <c r="AQ130" s="110">
        <v>2997</v>
      </c>
      <c r="AR130" s="263"/>
      <c r="AS130" s="110">
        <v>0</v>
      </c>
      <c r="AT130" s="226"/>
      <c r="AU130" s="110">
        <v>0</v>
      </c>
      <c r="AV130" s="263"/>
      <c r="AW130" s="110">
        <v>0</v>
      </c>
      <c r="AX130" s="226"/>
      <c r="AY130" s="110">
        <v>0</v>
      </c>
      <c r="AZ130" s="263"/>
      <c r="BA130" s="110">
        <v>0</v>
      </c>
      <c r="BB130" s="226"/>
      <c r="BC130" s="110">
        <v>0</v>
      </c>
      <c r="BD130" s="263"/>
      <c r="BE130" s="110">
        <v>0</v>
      </c>
      <c r="BF130" s="226"/>
      <c r="BG130" s="110">
        <v>0</v>
      </c>
      <c r="BH130" s="263"/>
      <c r="BI130" s="3" t="s">
        <v>2612</v>
      </c>
      <c r="BJ130" s="779"/>
      <c r="BK130" s="779"/>
      <c r="BL130" s="779"/>
      <c r="BM130" s="779"/>
      <c r="BN130" s="779"/>
      <c r="BO130" s="779"/>
      <c r="BP130" s="779"/>
      <c r="BQ130" s="779"/>
    </row>
    <row r="131" spans="1:69" ht="30" customHeight="1">
      <c r="A131" s="245">
        <f t="shared" si="12"/>
        <v>43</v>
      </c>
      <c r="B131" s="449" t="s">
        <v>5194</v>
      </c>
      <c r="C131" s="449" t="s">
        <v>5195</v>
      </c>
      <c r="D131" s="294" t="s">
        <v>5196</v>
      </c>
      <c r="E131" s="1473"/>
      <c r="F131" s="251" t="s">
        <v>3231</v>
      </c>
      <c r="G131" s="131"/>
      <c r="H131" s="318"/>
      <c r="I131" s="251"/>
      <c r="J131" s="251"/>
      <c r="K131" s="255"/>
      <c r="L131" s="256"/>
      <c r="M131" s="155"/>
      <c r="N131" s="131"/>
      <c r="O131" s="207"/>
      <c r="P131" s="155"/>
      <c r="Q131" s="155"/>
      <c r="R131" s="155"/>
      <c r="S131" s="211"/>
      <c r="T131" s="155" t="s">
        <v>115</v>
      </c>
      <c r="U131" s="155" t="s">
        <v>115</v>
      </c>
      <c r="V131" s="155" t="s">
        <v>115</v>
      </c>
      <c r="W131" s="211"/>
      <c r="X131" s="155"/>
      <c r="Y131" s="155"/>
      <c r="Z131" s="155"/>
      <c r="AA131" s="211"/>
      <c r="AB131" s="155"/>
      <c r="AC131" s="155"/>
      <c r="AD131" s="155"/>
      <c r="AE131" s="808">
        <f t="shared" si="15"/>
        <v>2997</v>
      </c>
      <c r="AF131" s="761">
        <f t="shared" si="16"/>
        <v>2997</v>
      </c>
      <c r="AG131" s="110">
        <f t="shared" si="22"/>
        <v>2997</v>
      </c>
      <c r="AH131" s="808">
        <f t="shared" si="6"/>
        <v>0</v>
      </c>
      <c r="AI131" s="1472" t="s">
        <v>3233</v>
      </c>
      <c r="AJ131" s="206">
        <v>0.15</v>
      </c>
      <c r="AK131" s="808">
        <f t="shared" si="9"/>
        <v>449.55</v>
      </c>
      <c r="AL131" s="1472" t="s">
        <v>3233</v>
      </c>
      <c r="AM131" s="206">
        <v>0.05</v>
      </c>
      <c r="AN131" s="808">
        <f t="shared" si="10"/>
        <v>149.85</v>
      </c>
      <c r="AO131" s="110">
        <v>2997</v>
      </c>
      <c r="AP131" s="226">
        <v>44470</v>
      </c>
      <c r="AQ131" s="110">
        <v>2997</v>
      </c>
      <c r="AR131" s="263"/>
      <c r="AS131" s="110">
        <v>0</v>
      </c>
      <c r="AT131" s="226"/>
      <c r="AU131" s="110">
        <v>0</v>
      </c>
      <c r="AV131" s="263"/>
      <c r="AW131" s="110">
        <v>0</v>
      </c>
      <c r="AX131" s="226"/>
      <c r="AY131" s="110">
        <v>0</v>
      </c>
      <c r="AZ131" s="263"/>
      <c r="BA131" s="110">
        <v>0</v>
      </c>
      <c r="BB131" s="226"/>
      <c r="BC131" s="110">
        <v>0</v>
      </c>
      <c r="BD131" s="263"/>
      <c r="BE131" s="110">
        <v>0</v>
      </c>
      <c r="BF131" s="226"/>
      <c r="BG131" s="110">
        <v>0</v>
      </c>
      <c r="BH131" s="263"/>
      <c r="BI131" s="3" t="s">
        <v>2612</v>
      </c>
      <c r="BJ131" s="779"/>
      <c r="BK131" s="779"/>
      <c r="BL131" s="779"/>
      <c r="BM131" s="779"/>
      <c r="BN131" s="779"/>
      <c r="BO131" s="779"/>
      <c r="BP131" s="779"/>
      <c r="BQ131" s="779"/>
    </row>
    <row r="132" spans="1:69" ht="30" customHeight="1">
      <c r="A132" s="245">
        <f t="shared" si="12"/>
        <v>44</v>
      </c>
      <c r="B132" s="449" t="s">
        <v>857</v>
      </c>
      <c r="C132" s="449" t="s">
        <v>2568</v>
      </c>
      <c r="D132" s="207" t="s">
        <v>2569</v>
      </c>
      <c r="E132" s="1473"/>
      <c r="F132" s="251" t="s">
        <v>5197</v>
      </c>
      <c r="G132" s="131"/>
      <c r="H132" s="318"/>
      <c r="I132" s="251"/>
      <c r="J132" s="251"/>
      <c r="K132" s="255"/>
      <c r="L132" s="256"/>
      <c r="M132" s="155"/>
      <c r="N132" s="131"/>
      <c r="O132" s="207"/>
      <c r="P132" s="155"/>
      <c r="Q132" s="155"/>
      <c r="R132" s="155"/>
      <c r="S132" s="211"/>
      <c r="T132" s="155" t="s">
        <v>115</v>
      </c>
      <c r="U132" s="155" t="s">
        <v>115</v>
      </c>
      <c r="V132" s="155" t="s">
        <v>115</v>
      </c>
      <c r="W132" s="211"/>
      <c r="X132" s="155"/>
      <c r="Y132" s="155"/>
      <c r="Z132" s="155"/>
      <c r="AA132" s="211"/>
      <c r="AB132" s="155"/>
      <c r="AC132" s="155"/>
      <c r="AD132" s="155"/>
      <c r="AE132" s="808">
        <f t="shared" si="15"/>
        <v>2997</v>
      </c>
      <c r="AF132" s="761">
        <f t="shared" si="16"/>
        <v>2997</v>
      </c>
      <c r="AG132" s="110">
        <f t="shared" si="22"/>
        <v>2997</v>
      </c>
      <c r="AH132" s="808">
        <f t="shared" si="6"/>
        <v>0</v>
      </c>
      <c r="AI132" s="301" t="s">
        <v>4932</v>
      </c>
      <c r="AJ132" s="206">
        <v>0.15</v>
      </c>
      <c r="AK132" s="808">
        <f t="shared" si="9"/>
        <v>449.55</v>
      </c>
      <c r="AL132" s="301" t="s">
        <v>4932</v>
      </c>
      <c r="AM132" s="206">
        <v>0.05</v>
      </c>
      <c r="AN132" s="808">
        <f t="shared" si="10"/>
        <v>149.85</v>
      </c>
      <c r="AO132" s="110">
        <v>2997</v>
      </c>
      <c r="AP132" s="1515">
        <v>44481</v>
      </c>
      <c r="AQ132" s="110">
        <v>2997</v>
      </c>
      <c r="AR132" s="263"/>
      <c r="AS132" s="110">
        <v>0</v>
      </c>
      <c r="AT132" s="226"/>
      <c r="AU132" s="110">
        <v>0</v>
      </c>
      <c r="AV132" s="263"/>
      <c r="AW132" s="110">
        <v>0</v>
      </c>
      <c r="AX132" s="226"/>
      <c r="AY132" s="110">
        <v>0</v>
      </c>
      <c r="AZ132" s="263"/>
      <c r="BA132" s="110">
        <v>0</v>
      </c>
      <c r="BB132" s="226"/>
      <c r="BC132" s="110">
        <v>0</v>
      </c>
      <c r="BD132" s="263"/>
      <c r="BE132" s="110">
        <v>0</v>
      </c>
      <c r="BF132" s="226"/>
      <c r="BG132" s="110">
        <v>0</v>
      </c>
      <c r="BH132" s="263"/>
      <c r="BI132" s="3" t="s">
        <v>2612</v>
      </c>
      <c r="BJ132" s="779"/>
      <c r="BK132" s="779"/>
      <c r="BL132" s="779"/>
      <c r="BM132" s="779"/>
      <c r="BN132" s="779"/>
      <c r="BO132" s="779"/>
      <c r="BP132" s="779"/>
      <c r="BQ132" s="779"/>
    </row>
    <row r="133" spans="1:69" ht="30" hidden="1" customHeight="1">
      <c r="A133" s="245">
        <f t="shared" si="12"/>
        <v>45</v>
      </c>
      <c r="B133" s="449" t="s">
        <v>287</v>
      </c>
      <c r="C133" s="449" t="s">
        <v>3249</v>
      </c>
      <c r="D133" s="294" t="s">
        <v>3250</v>
      </c>
      <c r="E133" s="1473"/>
      <c r="F133" s="251" t="s">
        <v>3251</v>
      </c>
      <c r="G133" s="131"/>
      <c r="H133" s="318"/>
      <c r="I133" s="251"/>
      <c r="J133" s="251"/>
      <c r="K133" s="255"/>
      <c r="L133" s="256"/>
      <c r="M133" s="155"/>
      <c r="N133" s="131"/>
      <c r="O133" s="207"/>
      <c r="P133" s="155"/>
      <c r="Q133" s="155"/>
      <c r="R133" s="155"/>
      <c r="S133" s="211"/>
      <c r="T133" s="155"/>
      <c r="U133" s="155"/>
      <c r="V133" s="155"/>
      <c r="W133" s="211"/>
      <c r="X133" s="155" t="s">
        <v>245</v>
      </c>
      <c r="Y133" s="155" t="s">
        <v>245</v>
      </c>
      <c r="Z133" s="155" t="s">
        <v>245</v>
      </c>
      <c r="AA133" s="211"/>
      <c r="AB133" s="155"/>
      <c r="AC133" s="155"/>
      <c r="AD133" s="155"/>
      <c r="AE133" s="808">
        <f t="shared" si="15"/>
        <v>2997</v>
      </c>
      <c r="AF133" s="761">
        <f t="shared" si="16"/>
        <v>0</v>
      </c>
      <c r="AG133" s="110">
        <f t="shared" si="22"/>
        <v>0</v>
      </c>
      <c r="AH133" s="808">
        <f t="shared" si="6"/>
        <v>2997</v>
      </c>
      <c r="AI133" s="301" t="s">
        <v>262</v>
      </c>
      <c r="AJ133" s="206">
        <v>0.15</v>
      </c>
      <c r="AK133" s="808">
        <f t="shared" si="9"/>
        <v>0</v>
      </c>
      <c r="AL133" s="301" t="s">
        <v>262</v>
      </c>
      <c r="AM133" s="206">
        <v>0.05</v>
      </c>
      <c r="AN133" s="808">
        <f t="shared" si="10"/>
        <v>0</v>
      </c>
      <c r="AO133" s="110">
        <v>2997</v>
      </c>
      <c r="AP133" s="226"/>
      <c r="AQ133" s="110"/>
      <c r="AR133" s="263"/>
      <c r="AS133" s="110">
        <v>0</v>
      </c>
      <c r="AT133" s="226"/>
      <c r="AU133" s="110">
        <v>0</v>
      </c>
      <c r="AV133" s="263"/>
      <c r="AW133" s="110">
        <v>0</v>
      </c>
      <c r="AX133" s="226"/>
      <c r="AY133" s="110">
        <v>0</v>
      </c>
      <c r="AZ133" s="263"/>
      <c r="BA133" s="110">
        <v>0</v>
      </c>
      <c r="BB133" s="226"/>
      <c r="BC133" s="110">
        <v>0</v>
      </c>
      <c r="BD133" s="263"/>
      <c r="BE133" s="110">
        <v>0</v>
      </c>
      <c r="BF133" s="226"/>
      <c r="BG133" s="110">
        <v>0</v>
      </c>
      <c r="BH133" s="263"/>
      <c r="BI133" s="3" t="s">
        <v>3002</v>
      </c>
      <c r="BJ133" s="779"/>
      <c r="BK133" s="779"/>
      <c r="BL133" s="779"/>
      <c r="BM133" s="779"/>
      <c r="BN133" s="779"/>
      <c r="BO133" s="779"/>
      <c r="BP133" s="779"/>
      <c r="BQ133" s="779"/>
    </row>
    <row r="134" spans="1:69" ht="30" hidden="1" customHeight="1">
      <c r="A134" s="245">
        <f t="shared" si="12"/>
        <v>46</v>
      </c>
      <c r="B134" s="449" t="s">
        <v>407</v>
      </c>
      <c r="C134" s="449" t="s">
        <v>5198</v>
      </c>
      <c r="D134" s="207" t="s">
        <v>5199</v>
      </c>
      <c r="E134" s="1473"/>
      <c r="F134" s="251" t="s">
        <v>5200</v>
      </c>
      <c r="G134" s="131"/>
      <c r="H134" s="318"/>
      <c r="I134" s="251"/>
      <c r="J134" s="251"/>
      <c r="K134" s="255"/>
      <c r="L134" s="256"/>
      <c r="M134" s="155"/>
      <c r="N134" s="131"/>
      <c r="O134" s="207"/>
      <c r="P134" s="155"/>
      <c r="Q134" s="155"/>
      <c r="R134" s="155"/>
      <c r="S134" s="211"/>
      <c r="T134" s="155"/>
      <c r="U134" s="155"/>
      <c r="V134" s="155"/>
      <c r="W134" s="211"/>
      <c r="X134" s="155" t="s">
        <v>245</v>
      </c>
      <c r="Y134" s="155" t="s">
        <v>245</v>
      </c>
      <c r="Z134" s="155" t="s">
        <v>245</v>
      </c>
      <c r="AA134" s="211"/>
      <c r="AB134" s="155"/>
      <c r="AC134" s="155"/>
      <c r="AD134" s="155"/>
      <c r="AE134" s="808">
        <f t="shared" si="15"/>
        <v>2997</v>
      </c>
      <c r="AF134" s="761">
        <f t="shared" si="16"/>
        <v>0</v>
      </c>
      <c r="AG134" s="110">
        <f t="shared" si="22"/>
        <v>0</v>
      </c>
      <c r="AH134" s="808">
        <f t="shared" si="6"/>
        <v>2997</v>
      </c>
      <c r="AI134" s="301" t="s">
        <v>487</v>
      </c>
      <c r="AJ134" s="206">
        <v>0.15</v>
      </c>
      <c r="AK134" s="808">
        <f t="shared" si="9"/>
        <v>0</v>
      </c>
      <c r="AL134" s="301" t="s">
        <v>487</v>
      </c>
      <c r="AM134" s="206">
        <v>0.05</v>
      </c>
      <c r="AN134" s="808">
        <f t="shared" si="10"/>
        <v>0</v>
      </c>
      <c r="AO134" s="110">
        <v>2997</v>
      </c>
      <c r="AP134" s="226"/>
      <c r="AQ134" s="110"/>
      <c r="AR134" s="263"/>
      <c r="AS134" s="110">
        <v>0</v>
      </c>
      <c r="AT134" s="226"/>
      <c r="AU134" s="110">
        <v>0</v>
      </c>
      <c r="AV134" s="263"/>
      <c r="AW134" s="110">
        <v>0</v>
      </c>
      <c r="AX134" s="226"/>
      <c r="AY134" s="110">
        <v>0</v>
      </c>
      <c r="AZ134" s="263"/>
      <c r="BA134" s="110">
        <v>0</v>
      </c>
      <c r="BB134" s="226"/>
      <c r="BC134" s="110">
        <v>0</v>
      </c>
      <c r="BD134" s="263"/>
      <c r="BE134" s="110">
        <v>0</v>
      </c>
      <c r="BF134" s="226"/>
      <c r="BG134" s="110">
        <v>0</v>
      </c>
      <c r="BH134" s="263"/>
      <c r="BI134" s="3" t="s">
        <v>2612</v>
      </c>
      <c r="BJ134" s="779"/>
      <c r="BK134" s="779"/>
      <c r="BL134" s="779"/>
      <c r="BM134" s="779"/>
      <c r="BN134" s="779"/>
      <c r="BO134" s="779"/>
      <c r="BP134" s="779"/>
      <c r="BQ134" s="779"/>
    </row>
    <row r="135" spans="1:69" ht="30" hidden="1" customHeight="1">
      <c r="A135" s="245">
        <f t="shared" si="12"/>
        <v>47</v>
      </c>
      <c r="B135" s="449" t="s">
        <v>1661</v>
      </c>
      <c r="C135" s="449" t="s">
        <v>3316</v>
      </c>
      <c r="D135" s="207" t="s">
        <v>3317</v>
      </c>
      <c r="E135" s="1473"/>
      <c r="F135" s="251" t="s">
        <v>3318</v>
      </c>
      <c r="G135" s="131"/>
      <c r="H135" s="318"/>
      <c r="I135" s="251"/>
      <c r="J135" s="251"/>
      <c r="K135" s="255"/>
      <c r="L135" s="256"/>
      <c r="M135" s="155"/>
      <c r="N135" s="131"/>
      <c r="O135" s="207" t="s">
        <v>5201</v>
      </c>
      <c r="P135" s="155"/>
      <c r="Q135" s="155"/>
      <c r="R135" s="155"/>
      <c r="S135" s="211"/>
      <c r="T135" s="155"/>
      <c r="U135" s="155"/>
      <c r="V135" s="155"/>
      <c r="W135" s="211"/>
      <c r="X135" s="155" t="s">
        <v>245</v>
      </c>
      <c r="Y135" s="155" t="s">
        <v>245</v>
      </c>
      <c r="Z135" s="155" t="s">
        <v>245</v>
      </c>
      <c r="AA135" s="211"/>
      <c r="AB135" s="155"/>
      <c r="AC135" s="155"/>
      <c r="AD135" s="155"/>
      <c r="AE135" s="808">
        <f t="shared" si="15"/>
        <v>2997</v>
      </c>
      <c r="AF135" s="761">
        <f t="shared" si="16"/>
        <v>0</v>
      </c>
      <c r="AG135" s="110">
        <f t="shared" si="22"/>
        <v>0</v>
      </c>
      <c r="AH135" s="808">
        <f t="shared" si="6"/>
        <v>2997</v>
      </c>
      <c r="AI135" s="301" t="s">
        <v>3320</v>
      </c>
      <c r="AJ135" s="206">
        <v>0.15</v>
      </c>
      <c r="AK135" s="808">
        <f t="shared" si="9"/>
        <v>0</v>
      </c>
      <c r="AL135" s="1472" t="s">
        <v>3279</v>
      </c>
      <c r="AM135" s="206">
        <v>0.05</v>
      </c>
      <c r="AN135" s="808">
        <f t="shared" si="10"/>
        <v>0</v>
      </c>
      <c r="AO135" s="110">
        <v>2997</v>
      </c>
      <c r="AP135" s="226"/>
      <c r="AQ135" s="110"/>
      <c r="AR135" s="263"/>
      <c r="AS135" s="110">
        <v>0</v>
      </c>
      <c r="AT135" s="226"/>
      <c r="AU135" s="110">
        <v>0</v>
      </c>
      <c r="AV135" s="263"/>
      <c r="AW135" s="110">
        <v>0</v>
      </c>
      <c r="AX135" s="226"/>
      <c r="AY135" s="110">
        <v>0</v>
      </c>
      <c r="AZ135" s="263"/>
      <c r="BA135" s="110">
        <v>0</v>
      </c>
      <c r="BB135" s="226"/>
      <c r="BC135" s="110">
        <v>0</v>
      </c>
      <c r="BD135" s="263"/>
      <c r="BE135" s="110">
        <v>0</v>
      </c>
      <c r="BF135" s="226"/>
      <c r="BG135" s="110">
        <v>0</v>
      </c>
      <c r="BH135" s="263"/>
      <c r="BI135" s="3" t="s">
        <v>2612</v>
      </c>
      <c r="BJ135" s="779"/>
      <c r="BK135" s="779"/>
      <c r="BL135" s="779"/>
      <c r="BM135" s="779"/>
      <c r="BN135" s="779"/>
      <c r="BO135" s="779"/>
      <c r="BP135" s="779"/>
      <c r="BQ135" s="779"/>
    </row>
    <row r="136" spans="1:69" ht="30" hidden="1" customHeight="1">
      <c r="A136" s="245">
        <f t="shared" si="12"/>
        <v>48</v>
      </c>
      <c r="B136" s="449" t="s">
        <v>503</v>
      </c>
      <c r="C136" s="449" t="s">
        <v>3086</v>
      </c>
      <c r="D136" s="207" t="s">
        <v>3087</v>
      </c>
      <c r="E136" s="1473"/>
      <c r="F136" s="251" t="s">
        <v>3088</v>
      </c>
      <c r="G136" s="131"/>
      <c r="H136" s="318"/>
      <c r="I136" s="251"/>
      <c r="J136" s="251"/>
      <c r="K136" s="255"/>
      <c r="L136" s="256"/>
      <c r="M136" s="155"/>
      <c r="N136" s="131"/>
      <c r="O136" s="207"/>
      <c r="P136" s="155"/>
      <c r="Q136" s="155"/>
      <c r="R136" s="155"/>
      <c r="S136" s="211"/>
      <c r="T136" s="155"/>
      <c r="U136" s="155"/>
      <c r="V136" s="155"/>
      <c r="W136" s="211"/>
      <c r="X136" s="24" t="s">
        <v>151</v>
      </c>
      <c r="Y136" s="24" t="s">
        <v>151</v>
      </c>
      <c r="Z136" s="24" t="s">
        <v>151</v>
      </c>
      <c r="AA136" s="211"/>
      <c r="AB136" s="155"/>
      <c r="AC136" s="155"/>
      <c r="AD136" s="155"/>
      <c r="AE136" s="808">
        <f t="shared" si="15"/>
        <v>2997</v>
      </c>
      <c r="AF136" s="761">
        <f t="shared" si="16"/>
        <v>0</v>
      </c>
      <c r="AG136" s="110">
        <f t="shared" si="22"/>
        <v>0</v>
      </c>
      <c r="AH136" s="808">
        <f t="shared" si="6"/>
        <v>2997</v>
      </c>
      <c r="AI136" s="301" t="s">
        <v>117</v>
      </c>
      <c r="AJ136" s="206">
        <v>0</v>
      </c>
      <c r="AK136" s="808">
        <f t="shared" si="9"/>
        <v>0</v>
      </c>
      <c r="AL136" s="301" t="s">
        <v>152</v>
      </c>
      <c r="AM136" s="206">
        <v>0.05</v>
      </c>
      <c r="AN136" s="808">
        <f t="shared" si="10"/>
        <v>0</v>
      </c>
      <c r="AO136" s="110">
        <v>2997</v>
      </c>
      <c r="AP136" s="226"/>
      <c r="AQ136" s="110"/>
      <c r="AR136" s="263"/>
      <c r="AS136" s="110">
        <v>0</v>
      </c>
      <c r="AT136" s="226"/>
      <c r="AU136" s="110">
        <v>0</v>
      </c>
      <c r="AV136" s="263"/>
      <c r="AW136" s="110">
        <v>0</v>
      </c>
      <c r="AX136" s="226"/>
      <c r="AY136" s="110">
        <v>0</v>
      </c>
      <c r="AZ136" s="263"/>
      <c r="BA136" s="110">
        <v>0</v>
      </c>
      <c r="BB136" s="226"/>
      <c r="BC136" s="110">
        <v>0</v>
      </c>
      <c r="BD136" s="263"/>
      <c r="BE136" s="110">
        <v>0</v>
      </c>
      <c r="BF136" s="226"/>
      <c r="BG136" s="110">
        <v>0</v>
      </c>
      <c r="BH136" s="263"/>
      <c r="BI136" s="3" t="s">
        <v>2612</v>
      </c>
      <c r="BJ136" s="779"/>
      <c r="BK136" s="779"/>
      <c r="BL136" s="779"/>
      <c r="BM136" s="779"/>
      <c r="BN136" s="779"/>
      <c r="BO136" s="779"/>
      <c r="BP136" s="779"/>
      <c r="BQ136" s="779"/>
    </row>
    <row r="137" spans="1:69" ht="30" hidden="1" customHeight="1">
      <c r="A137" s="245">
        <f t="shared" si="12"/>
        <v>49</v>
      </c>
      <c r="B137" s="449" t="s">
        <v>703</v>
      </c>
      <c r="C137" s="449" t="s">
        <v>5202</v>
      </c>
      <c r="D137" s="207" t="s">
        <v>5203</v>
      </c>
      <c r="E137" s="1473"/>
      <c r="F137" s="251" t="s">
        <v>3088</v>
      </c>
      <c r="G137" s="131"/>
      <c r="H137" s="318"/>
      <c r="I137" s="251"/>
      <c r="J137" s="251"/>
      <c r="K137" s="255"/>
      <c r="L137" s="256"/>
      <c r="M137" s="155"/>
      <c r="N137" s="131"/>
      <c r="O137" s="207"/>
      <c r="P137" s="155"/>
      <c r="Q137" s="155"/>
      <c r="R137" s="155"/>
      <c r="S137" s="211"/>
      <c r="T137" s="155"/>
      <c r="U137" s="155"/>
      <c r="V137" s="155"/>
      <c r="W137" s="211"/>
      <c r="X137" s="24" t="s">
        <v>151</v>
      </c>
      <c r="Y137" s="24" t="s">
        <v>151</v>
      </c>
      <c r="Z137" s="24" t="s">
        <v>151</v>
      </c>
      <c r="AA137" s="211"/>
      <c r="AB137" s="155"/>
      <c r="AC137" s="155"/>
      <c r="AD137" s="155"/>
      <c r="AE137" s="808">
        <f t="shared" si="15"/>
        <v>2997</v>
      </c>
      <c r="AF137" s="761">
        <f t="shared" si="16"/>
        <v>0</v>
      </c>
      <c r="AG137" s="110">
        <f t="shared" si="22"/>
        <v>0</v>
      </c>
      <c r="AH137" s="808">
        <f t="shared" si="6"/>
        <v>2997</v>
      </c>
      <c r="AI137" s="301" t="s">
        <v>117</v>
      </c>
      <c r="AJ137" s="206">
        <v>0</v>
      </c>
      <c r="AK137" s="808">
        <f t="shared" si="9"/>
        <v>0</v>
      </c>
      <c r="AL137" s="301" t="s">
        <v>152</v>
      </c>
      <c r="AM137" s="206">
        <v>0.05</v>
      </c>
      <c r="AN137" s="808">
        <f t="shared" si="10"/>
        <v>0</v>
      </c>
      <c r="AO137" s="110">
        <v>2997</v>
      </c>
      <c r="AP137" s="226"/>
      <c r="AQ137" s="110"/>
      <c r="AR137" s="263"/>
      <c r="AS137" s="110">
        <v>0</v>
      </c>
      <c r="AT137" s="226"/>
      <c r="AU137" s="110">
        <v>0</v>
      </c>
      <c r="AV137" s="263"/>
      <c r="AW137" s="110">
        <v>0</v>
      </c>
      <c r="AX137" s="226"/>
      <c r="AY137" s="110">
        <v>0</v>
      </c>
      <c r="AZ137" s="263"/>
      <c r="BA137" s="110">
        <v>0</v>
      </c>
      <c r="BB137" s="226"/>
      <c r="BC137" s="110">
        <v>0</v>
      </c>
      <c r="BD137" s="263"/>
      <c r="BE137" s="110">
        <v>0</v>
      </c>
      <c r="BF137" s="226"/>
      <c r="BG137" s="110">
        <v>0</v>
      </c>
      <c r="BH137" s="263"/>
      <c r="BI137" s="3" t="s">
        <v>2612</v>
      </c>
      <c r="BJ137" s="779"/>
      <c r="BK137" s="779"/>
      <c r="BL137" s="779"/>
      <c r="BM137" s="779"/>
      <c r="BN137" s="779"/>
      <c r="BO137" s="779"/>
      <c r="BP137" s="779"/>
      <c r="BQ137" s="779"/>
    </row>
    <row r="138" spans="1:69" ht="30" hidden="1" customHeight="1">
      <c r="A138" s="245">
        <f t="shared" si="12"/>
        <v>50</v>
      </c>
      <c r="B138" s="449" t="s">
        <v>665</v>
      </c>
      <c r="C138" s="449" t="s">
        <v>3139</v>
      </c>
      <c r="D138" s="207" t="s">
        <v>3140</v>
      </c>
      <c r="E138" s="1473"/>
      <c r="F138" s="251" t="s">
        <v>3088</v>
      </c>
      <c r="G138" s="131"/>
      <c r="H138" s="318"/>
      <c r="I138" s="251"/>
      <c r="J138" s="251"/>
      <c r="K138" s="255"/>
      <c r="L138" s="256"/>
      <c r="M138" s="155"/>
      <c r="N138" s="131"/>
      <c r="O138" s="207" t="s">
        <v>3141</v>
      </c>
      <c r="P138" s="155"/>
      <c r="Q138" s="155"/>
      <c r="R138" s="155"/>
      <c r="S138" s="211"/>
      <c r="T138" s="155"/>
      <c r="U138" s="155"/>
      <c r="V138" s="155"/>
      <c r="W138" s="211"/>
      <c r="X138" s="24" t="s">
        <v>151</v>
      </c>
      <c r="Y138" s="24" t="s">
        <v>151</v>
      </c>
      <c r="Z138" s="24" t="s">
        <v>151</v>
      </c>
      <c r="AA138" s="211"/>
      <c r="AB138" s="155"/>
      <c r="AC138" s="155"/>
      <c r="AD138" s="155"/>
      <c r="AE138" s="808">
        <f t="shared" si="15"/>
        <v>2997</v>
      </c>
      <c r="AF138" s="761">
        <f t="shared" si="16"/>
        <v>0</v>
      </c>
      <c r="AG138" s="110">
        <f t="shared" si="22"/>
        <v>0</v>
      </c>
      <c r="AH138" s="808">
        <f t="shared" si="6"/>
        <v>2997</v>
      </c>
      <c r="AI138" s="301" t="s">
        <v>117</v>
      </c>
      <c r="AJ138" s="206">
        <v>0</v>
      </c>
      <c r="AK138" s="808">
        <f t="shared" si="9"/>
        <v>0</v>
      </c>
      <c r="AL138" s="301" t="s">
        <v>152</v>
      </c>
      <c r="AM138" s="206">
        <v>0.05</v>
      </c>
      <c r="AN138" s="808">
        <f t="shared" si="10"/>
        <v>0</v>
      </c>
      <c r="AO138" s="110">
        <v>2997</v>
      </c>
      <c r="AP138" s="226"/>
      <c r="AQ138" s="110"/>
      <c r="AR138" s="263"/>
      <c r="AS138" s="110">
        <v>0</v>
      </c>
      <c r="AT138" s="226"/>
      <c r="AU138" s="110">
        <v>0</v>
      </c>
      <c r="AV138" s="263"/>
      <c r="AW138" s="110">
        <v>0</v>
      </c>
      <c r="AX138" s="226"/>
      <c r="AY138" s="110">
        <v>0</v>
      </c>
      <c r="AZ138" s="263"/>
      <c r="BA138" s="110">
        <v>0</v>
      </c>
      <c r="BB138" s="226"/>
      <c r="BC138" s="110">
        <v>0</v>
      </c>
      <c r="BD138" s="263"/>
      <c r="BE138" s="110">
        <v>0</v>
      </c>
      <c r="BF138" s="226"/>
      <c r="BG138" s="110">
        <v>0</v>
      </c>
      <c r="BH138" s="263"/>
      <c r="BI138" s="3" t="s">
        <v>2612</v>
      </c>
      <c r="BJ138" s="779"/>
      <c r="BK138" s="779"/>
      <c r="BL138" s="779"/>
      <c r="BM138" s="779"/>
      <c r="BN138" s="779"/>
      <c r="BO138" s="779"/>
      <c r="BP138" s="779"/>
      <c r="BQ138" s="779"/>
    </row>
    <row r="139" spans="1:69" ht="30" customHeight="1">
      <c r="A139" s="245">
        <f t="shared" si="12"/>
        <v>51</v>
      </c>
      <c r="B139" s="449" t="s">
        <v>4414</v>
      </c>
      <c r="C139" s="449" t="s">
        <v>5204</v>
      </c>
      <c r="D139" s="207" t="s">
        <v>5205</v>
      </c>
      <c r="E139" s="1473"/>
      <c r="F139" s="251" t="s">
        <v>5206</v>
      </c>
      <c r="G139" s="131"/>
      <c r="H139" s="318"/>
      <c r="I139" s="251"/>
      <c r="J139" s="251"/>
      <c r="K139" s="255"/>
      <c r="L139" s="256"/>
      <c r="M139" s="155"/>
      <c r="N139" s="131"/>
      <c r="O139" s="207"/>
      <c r="P139" s="155"/>
      <c r="Q139" s="155"/>
      <c r="R139" s="155"/>
      <c r="S139" s="211"/>
      <c r="T139" s="155" t="s">
        <v>115</v>
      </c>
      <c r="U139" s="155" t="s">
        <v>115</v>
      </c>
      <c r="V139" s="155" t="s">
        <v>115</v>
      </c>
      <c r="W139" s="211"/>
      <c r="X139" s="155"/>
      <c r="Y139" s="155"/>
      <c r="Z139" s="155"/>
      <c r="AA139" s="211"/>
      <c r="AB139" s="155"/>
      <c r="AC139" s="155"/>
      <c r="AD139" s="155"/>
      <c r="AE139" s="808">
        <f t="shared" si="15"/>
        <v>3497.0000000000005</v>
      </c>
      <c r="AF139" s="761">
        <f t="shared" si="16"/>
        <v>3496.9960655737705</v>
      </c>
      <c r="AG139" s="110">
        <f t="shared" si="22"/>
        <v>3496.9960655737705</v>
      </c>
      <c r="AH139" s="808">
        <v>0</v>
      </c>
      <c r="AI139" s="1472" t="s">
        <v>5207</v>
      </c>
      <c r="AJ139" s="206">
        <v>0.15</v>
      </c>
      <c r="AK139" s="808">
        <f t="shared" si="9"/>
        <v>524.54940983606559</v>
      </c>
      <c r="AL139" s="1472" t="s">
        <v>5207</v>
      </c>
      <c r="AM139" s="206">
        <v>0.05</v>
      </c>
      <c r="AN139" s="808">
        <f t="shared" si="10"/>
        <v>174.84980327868854</v>
      </c>
      <c r="AO139" s="110">
        <f>200/1.22</f>
        <v>163.9344262295082</v>
      </c>
      <c r="AP139" s="226">
        <v>44468</v>
      </c>
      <c r="AQ139" s="110">
        <v>163.93</v>
      </c>
      <c r="AR139" s="263"/>
      <c r="AS139" s="110">
        <f>(1720/1.22)</f>
        <v>1409.8360655737706</v>
      </c>
      <c r="AT139" s="226">
        <v>44491</v>
      </c>
      <c r="AU139" s="110">
        <f>(1720/1.22)</f>
        <v>1409.8360655737706</v>
      </c>
      <c r="AV139" s="263"/>
      <c r="AW139" s="110">
        <f>2346.34/1.22</f>
        <v>1923.2295081967216</v>
      </c>
      <c r="AX139" s="226">
        <v>44512</v>
      </c>
      <c r="AY139" s="110">
        <v>1923.23</v>
      </c>
      <c r="AZ139" s="263"/>
      <c r="BA139" s="110">
        <v>0</v>
      </c>
      <c r="BB139" s="226"/>
      <c r="BC139" s="110">
        <v>0</v>
      </c>
      <c r="BD139" s="263"/>
      <c r="BE139" s="110">
        <v>0</v>
      </c>
      <c r="BF139" s="226"/>
      <c r="BG139" s="110">
        <v>0</v>
      </c>
      <c r="BH139" s="263"/>
      <c r="BI139" s="3" t="s">
        <v>2612</v>
      </c>
      <c r="BJ139" s="779"/>
      <c r="BK139" s="779"/>
      <c r="BL139" s="779"/>
      <c r="BM139" s="779"/>
      <c r="BN139" s="779"/>
      <c r="BO139" s="779"/>
      <c r="BP139" s="779"/>
      <c r="BQ139" s="779"/>
    </row>
    <row r="140" spans="1:69" ht="30" hidden="1" customHeight="1">
      <c r="A140" s="245">
        <f t="shared" si="12"/>
        <v>52</v>
      </c>
      <c r="B140" s="449" t="s">
        <v>2333</v>
      </c>
      <c r="C140" s="449" t="s">
        <v>2334</v>
      </c>
      <c r="D140" s="207" t="s">
        <v>2335</v>
      </c>
      <c r="E140" s="1473"/>
      <c r="F140" s="251" t="s">
        <v>5208</v>
      </c>
      <c r="G140" s="131"/>
      <c r="H140" s="318"/>
      <c r="I140" s="251"/>
      <c r="J140" s="251"/>
      <c r="K140" s="255"/>
      <c r="L140" s="256"/>
      <c r="M140" s="155"/>
      <c r="N140" s="131"/>
      <c r="O140" s="207"/>
      <c r="P140" s="155"/>
      <c r="Q140" s="155"/>
      <c r="R140" s="155"/>
      <c r="S140" s="211"/>
      <c r="T140" s="155"/>
      <c r="U140" s="155"/>
      <c r="V140" s="155"/>
      <c r="W140" s="211"/>
      <c r="X140" s="155" t="s">
        <v>245</v>
      </c>
      <c r="Y140" s="155" t="s">
        <v>245</v>
      </c>
      <c r="Z140" s="155" t="s">
        <v>245</v>
      </c>
      <c r="AA140" s="211"/>
      <c r="AB140" s="155"/>
      <c r="AC140" s="155"/>
      <c r="AD140" s="155"/>
      <c r="AE140" s="808">
        <f t="shared" si="15"/>
        <v>2997</v>
      </c>
      <c r="AF140" s="761">
        <f t="shared" si="16"/>
        <v>0</v>
      </c>
      <c r="AG140" s="110">
        <f t="shared" si="22"/>
        <v>0</v>
      </c>
      <c r="AH140" s="808">
        <f t="shared" ref="AH140:AH179" si="23">AE140-AG140</f>
        <v>2997</v>
      </c>
      <c r="AI140" s="301" t="s">
        <v>117</v>
      </c>
      <c r="AJ140" s="206">
        <v>0</v>
      </c>
      <c r="AK140" s="808">
        <f t="shared" si="9"/>
        <v>0</v>
      </c>
      <c r="AL140" s="301" t="s">
        <v>152</v>
      </c>
      <c r="AM140" s="206">
        <v>0.05</v>
      </c>
      <c r="AN140" s="808">
        <f t="shared" si="10"/>
        <v>0</v>
      </c>
      <c r="AO140" s="110">
        <v>2997</v>
      </c>
      <c r="AP140" s="226">
        <v>44651</v>
      </c>
      <c r="AQ140" s="110"/>
      <c r="AR140" s="263"/>
      <c r="AS140" s="110">
        <v>0</v>
      </c>
      <c r="AT140" s="226"/>
      <c r="AU140" s="110">
        <v>0</v>
      </c>
      <c r="AV140" s="263"/>
      <c r="AW140" s="110">
        <v>0</v>
      </c>
      <c r="AX140" s="226"/>
      <c r="AY140" s="110">
        <v>0</v>
      </c>
      <c r="AZ140" s="263"/>
      <c r="BA140" s="110">
        <v>0</v>
      </c>
      <c r="BB140" s="226"/>
      <c r="BC140" s="110">
        <v>0</v>
      </c>
      <c r="BD140" s="263"/>
      <c r="BE140" s="110">
        <v>0</v>
      </c>
      <c r="BF140" s="226"/>
      <c r="BG140" s="110">
        <v>0</v>
      </c>
      <c r="BH140" s="263"/>
      <c r="BI140" s="3" t="s">
        <v>2612</v>
      </c>
      <c r="BJ140" s="779"/>
      <c r="BK140" s="779"/>
      <c r="BL140" s="779"/>
      <c r="BM140" s="779"/>
      <c r="BN140" s="779"/>
      <c r="BO140" s="779"/>
      <c r="BP140" s="779"/>
      <c r="BQ140" s="779"/>
    </row>
    <row r="141" spans="1:69" ht="30" customHeight="1">
      <c r="A141" s="245">
        <f t="shared" si="12"/>
        <v>53</v>
      </c>
      <c r="B141" s="1512" t="s">
        <v>1307</v>
      </c>
      <c r="C141" s="1512" t="s">
        <v>5209</v>
      </c>
      <c r="D141" s="294" t="s">
        <v>5210</v>
      </c>
      <c r="E141" s="1473"/>
      <c r="F141" s="251" t="s">
        <v>5211</v>
      </c>
      <c r="G141" s="131"/>
      <c r="H141" s="318"/>
      <c r="I141" s="251"/>
      <c r="J141" s="251"/>
      <c r="K141" s="255"/>
      <c r="L141" s="256"/>
      <c r="M141" s="155"/>
      <c r="N141" s="131"/>
      <c r="O141" s="207" t="s">
        <v>5212</v>
      </c>
      <c r="P141" s="155"/>
      <c r="Q141" s="155"/>
      <c r="R141" s="155"/>
      <c r="S141" s="211"/>
      <c r="T141" s="155" t="s">
        <v>115</v>
      </c>
      <c r="U141" s="155" t="s">
        <v>115</v>
      </c>
      <c r="V141" s="155" t="s">
        <v>115</v>
      </c>
      <c r="W141" s="211"/>
      <c r="X141" s="155"/>
      <c r="Y141" s="155"/>
      <c r="Z141" s="155"/>
      <c r="AA141" s="211"/>
      <c r="AB141" s="155"/>
      <c r="AC141" s="155"/>
      <c r="AD141" s="155"/>
      <c r="AE141" s="808">
        <f t="shared" si="15"/>
        <v>0</v>
      </c>
      <c r="AF141" s="761">
        <f t="shared" si="16"/>
        <v>0</v>
      </c>
      <c r="AG141" s="110">
        <f t="shared" si="22"/>
        <v>0</v>
      </c>
      <c r="AH141" s="808">
        <f t="shared" si="23"/>
        <v>0</v>
      </c>
      <c r="AI141" s="301" t="s">
        <v>451</v>
      </c>
      <c r="AJ141" s="206"/>
      <c r="AK141" s="808">
        <f t="shared" si="9"/>
        <v>0</v>
      </c>
      <c r="AL141" s="301" t="s">
        <v>451</v>
      </c>
      <c r="AM141" s="206"/>
      <c r="AN141" s="808">
        <f t="shared" si="10"/>
        <v>0</v>
      </c>
      <c r="AO141" s="110">
        <v>0</v>
      </c>
      <c r="AP141" s="226"/>
      <c r="AQ141" s="110"/>
      <c r="AR141" s="263"/>
      <c r="AS141" s="110">
        <v>0</v>
      </c>
      <c r="AT141" s="226"/>
      <c r="AU141" s="110">
        <v>0</v>
      </c>
      <c r="AV141" s="263"/>
      <c r="AW141" s="110">
        <v>0</v>
      </c>
      <c r="AX141" s="226"/>
      <c r="AY141" s="110">
        <v>0</v>
      </c>
      <c r="AZ141" s="263"/>
      <c r="BA141" s="110"/>
      <c r="BB141" s="226"/>
      <c r="BC141" s="110"/>
      <c r="BD141" s="263"/>
      <c r="BE141" s="110"/>
      <c r="BF141" s="226"/>
      <c r="BG141" s="110"/>
      <c r="BH141" s="263"/>
      <c r="BI141" s="3" t="s">
        <v>2612</v>
      </c>
      <c r="BJ141" s="779"/>
      <c r="BK141" s="779"/>
      <c r="BL141" s="779"/>
      <c r="BM141" s="779"/>
      <c r="BN141" s="779"/>
      <c r="BO141" s="779"/>
      <c r="BP141" s="779"/>
      <c r="BQ141" s="779"/>
    </row>
    <row r="142" spans="1:69" ht="30" customHeight="1">
      <c r="A142" s="245">
        <f t="shared" si="12"/>
        <v>54</v>
      </c>
      <c r="B142" s="1512" t="s">
        <v>861</v>
      </c>
      <c r="C142" s="1512" t="s">
        <v>5213</v>
      </c>
      <c r="D142" s="294" t="s">
        <v>5214</v>
      </c>
      <c r="E142" s="1473"/>
      <c r="F142" s="251" t="s">
        <v>5211</v>
      </c>
      <c r="G142" s="131"/>
      <c r="H142" s="318"/>
      <c r="I142" s="251"/>
      <c r="J142" s="251"/>
      <c r="K142" s="255"/>
      <c r="L142" s="256"/>
      <c r="M142" s="155"/>
      <c r="N142" s="131"/>
      <c r="O142" s="207" t="s">
        <v>5212</v>
      </c>
      <c r="P142" s="155"/>
      <c r="Q142" s="155"/>
      <c r="R142" s="155"/>
      <c r="S142" s="211"/>
      <c r="T142" s="155" t="s">
        <v>115</v>
      </c>
      <c r="U142" s="155" t="s">
        <v>115</v>
      </c>
      <c r="V142" s="155" t="s">
        <v>115</v>
      </c>
      <c r="W142" s="211"/>
      <c r="X142" s="155"/>
      <c r="Y142" s="155"/>
      <c r="Z142" s="155"/>
      <c r="AA142" s="211"/>
      <c r="AB142" s="155"/>
      <c r="AC142" s="155"/>
      <c r="AD142" s="155"/>
      <c r="AE142" s="808">
        <f t="shared" si="15"/>
        <v>0</v>
      </c>
      <c r="AF142" s="761">
        <f t="shared" si="16"/>
        <v>0</v>
      </c>
      <c r="AG142" s="110">
        <f t="shared" si="22"/>
        <v>0</v>
      </c>
      <c r="AH142" s="808">
        <f t="shared" si="23"/>
        <v>0</v>
      </c>
      <c r="AI142" s="301" t="s">
        <v>451</v>
      </c>
      <c r="AJ142" s="206"/>
      <c r="AK142" s="808">
        <f t="shared" si="9"/>
        <v>0</v>
      </c>
      <c r="AL142" s="301" t="s">
        <v>451</v>
      </c>
      <c r="AM142" s="206"/>
      <c r="AN142" s="808">
        <f t="shared" si="10"/>
        <v>0</v>
      </c>
      <c r="AO142" s="110">
        <v>0</v>
      </c>
      <c r="AP142" s="226"/>
      <c r="AQ142" s="110"/>
      <c r="AR142" s="263"/>
      <c r="AS142" s="110">
        <v>0</v>
      </c>
      <c r="AT142" s="226"/>
      <c r="AU142" s="110">
        <v>0</v>
      </c>
      <c r="AV142" s="263"/>
      <c r="AW142" s="110">
        <v>0</v>
      </c>
      <c r="AX142" s="226"/>
      <c r="AY142" s="110">
        <v>0</v>
      </c>
      <c r="AZ142" s="263"/>
      <c r="BA142" s="110"/>
      <c r="BB142" s="226"/>
      <c r="BC142" s="110"/>
      <c r="BD142" s="263"/>
      <c r="BE142" s="110"/>
      <c r="BF142" s="226"/>
      <c r="BG142" s="110"/>
      <c r="BH142" s="263"/>
      <c r="BI142" s="3" t="s">
        <v>2612</v>
      </c>
      <c r="BJ142" s="779"/>
      <c r="BK142" s="779"/>
      <c r="BL142" s="779"/>
      <c r="BM142" s="779"/>
      <c r="BN142" s="779"/>
      <c r="BO142" s="779"/>
      <c r="BP142" s="779"/>
      <c r="BQ142" s="779"/>
    </row>
    <row r="143" spans="1:69" ht="30" customHeight="1">
      <c r="A143" s="245">
        <f t="shared" si="12"/>
        <v>55</v>
      </c>
      <c r="B143" s="1512" t="s">
        <v>595</v>
      </c>
      <c r="C143" s="1512" t="s">
        <v>5215</v>
      </c>
      <c r="D143" s="294" t="s">
        <v>5216</v>
      </c>
      <c r="E143" s="1473"/>
      <c r="F143" s="251" t="s">
        <v>5211</v>
      </c>
      <c r="G143" s="131"/>
      <c r="H143" s="318"/>
      <c r="I143" s="251"/>
      <c r="J143" s="251"/>
      <c r="K143" s="255"/>
      <c r="L143" s="256"/>
      <c r="M143" s="155"/>
      <c r="N143" s="131"/>
      <c r="O143" s="207" t="s">
        <v>5212</v>
      </c>
      <c r="P143" s="155"/>
      <c r="Q143" s="155"/>
      <c r="R143" s="155"/>
      <c r="S143" s="211"/>
      <c r="T143" s="155"/>
      <c r="U143" s="155" t="s">
        <v>115</v>
      </c>
      <c r="V143" s="155" t="s">
        <v>115</v>
      </c>
      <c r="W143" s="211"/>
      <c r="X143" s="155" t="s">
        <v>115</v>
      </c>
      <c r="Y143" s="155"/>
      <c r="Z143" s="155"/>
      <c r="AA143" s="211"/>
      <c r="AB143" s="155"/>
      <c r="AC143" s="155"/>
      <c r="AD143" s="155"/>
      <c r="AE143" s="808">
        <f t="shared" si="15"/>
        <v>0</v>
      </c>
      <c r="AF143" s="761">
        <f t="shared" si="16"/>
        <v>0</v>
      </c>
      <c r="AG143" s="110">
        <f t="shared" si="22"/>
        <v>0</v>
      </c>
      <c r="AH143" s="808">
        <f t="shared" si="23"/>
        <v>0</v>
      </c>
      <c r="AI143" s="301" t="s">
        <v>451</v>
      </c>
      <c r="AJ143" s="206"/>
      <c r="AK143" s="808">
        <f t="shared" si="9"/>
        <v>0</v>
      </c>
      <c r="AL143" s="301" t="s">
        <v>451</v>
      </c>
      <c r="AM143" s="206"/>
      <c r="AN143" s="808">
        <f t="shared" si="10"/>
        <v>0</v>
      </c>
      <c r="AO143" s="110"/>
      <c r="AP143" s="226"/>
      <c r="AQ143" s="110"/>
      <c r="AR143" s="263"/>
      <c r="AS143" s="110"/>
      <c r="AT143" s="226"/>
      <c r="AU143" s="110"/>
      <c r="AV143" s="263"/>
      <c r="AW143" s="110"/>
      <c r="AX143" s="226"/>
      <c r="AY143" s="110"/>
      <c r="AZ143" s="263"/>
      <c r="BA143" s="110"/>
      <c r="BB143" s="226"/>
      <c r="BC143" s="110"/>
      <c r="BD143" s="263"/>
      <c r="BE143" s="110"/>
      <c r="BF143" s="226"/>
      <c r="BG143" s="110"/>
      <c r="BH143" s="263"/>
      <c r="BI143" s="3" t="s">
        <v>2612</v>
      </c>
      <c r="BJ143" s="779"/>
      <c r="BK143" s="779"/>
      <c r="BL143" s="779"/>
      <c r="BM143" s="779"/>
      <c r="BN143" s="779"/>
      <c r="BO143" s="779"/>
      <c r="BP143" s="779"/>
      <c r="BQ143" s="779"/>
    </row>
    <row r="144" spans="1:69" ht="30" customHeight="1">
      <c r="A144" s="245">
        <f t="shared" si="12"/>
        <v>56</v>
      </c>
      <c r="B144" s="1512" t="s">
        <v>1340</v>
      </c>
      <c r="C144" s="1512" t="s">
        <v>1424</v>
      </c>
      <c r="D144" s="207" t="s">
        <v>4576</v>
      </c>
      <c r="E144" s="1473"/>
      <c r="F144" s="251" t="s">
        <v>4328</v>
      </c>
      <c r="G144" s="131"/>
      <c r="H144" s="318"/>
      <c r="I144" s="251"/>
      <c r="J144" s="251"/>
      <c r="K144" s="255"/>
      <c r="L144" s="256"/>
      <c r="M144" s="155"/>
      <c r="N144" s="131"/>
      <c r="O144" s="207" t="s">
        <v>5217</v>
      </c>
      <c r="P144" s="155"/>
      <c r="Q144" s="155"/>
      <c r="R144" s="155"/>
      <c r="S144" s="211"/>
      <c r="T144" s="155" t="s">
        <v>116</v>
      </c>
      <c r="U144" s="155" t="s">
        <v>116</v>
      </c>
      <c r="V144" s="155" t="s">
        <v>116</v>
      </c>
      <c r="W144" s="211"/>
      <c r="X144" s="155"/>
      <c r="Y144" s="155"/>
      <c r="Z144" s="155"/>
      <c r="AA144" s="211"/>
      <c r="AB144" s="155"/>
      <c r="AC144" s="155"/>
      <c r="AD144" s="155"/>
      <c r="AE144" s="808">
        <f t="shared" si="15"/>
        <v>0</v>
      </c>
      <c r="AF144" s="761">
        <f t="shared" si="16"/>
        <v>0</v>
      </c>
      <c r="AG144" s="110">
        <f t="shared" si="22"/>
        <v>0</v>
      </c>
      <c r="AH144" s="808">
        <f t="shared" si="23"/>
        <v>0</v>
      </c>
      <c r="AI144" s="301" t="s">
        <v>5218</v>
      </c>
      <c r="AJ144" s="206">
        <v>0.05</v>
      </c>
      <c r="AK144" s="808">
        <f t="shared" si="9"/>
        <v>0</v>
      </c>
      <c r="AL144" s="301" t="s">
        <v>160</v>
      </c>
      <c r="AM144" s="206">
        <v>0.05</v>
      </c>
      <c r="AN144" s="808">
        <f t="shared" si="10"/>
        <v>0</v>
      </c>
      <c r="AO144" s="110"/>
      <c r="AP144" s="226"/>
      <c r="AQ144" s="110"/>
      <c r="AR144" s="263"/>
      <c r="AS144" s="110">
        <v>0</v>
      </c>
      <c r="AT144" s="226"/>
      <c r="AU144" s="110">
        <v>0</v>
      </c>
      <c r="AV144" s="263"/>
      <c r="AW144" s="110">
        <v>0</v>
      </c>
      <c r="AX144" s="226"/>
      <c r="AY144" s="110">
        <v>0</v>
      </c>
      <c r="AZ144" s="263"/>
      <c r="BA144" s="110">
        <v>0</v>
      </c>
      <c r="BB144" s="226"/>
      <c r="BC144" s="110">
        <v>0</v>
      </c>
      <c r="BD144" s="263"/>
      <c r="BE144" s="110">
        <v>0</v>
      </c>
      <c r="BF144" s="226"/>
      <c r="BG144" s="110">
        <v>0</v>
      </c>
      <c r="BH144" s="263"/>
      <c r="BI144" s="3"/>
      <c r="BJ144" s="779"/>
      <c r="BK144" s="779"/>
      <c r="BL144" s="779"/>
      <c r="BM144" s="779"/>
      <c r="BN144" s="779"/>
      <c r="BO144" s="779"/>
      <c r="BP144" s="779"/>
      <c r="BQ144" s="779"/>
    </row>
    <row r="145" spans="1:69" ht="30" customHeight="1">
      <c r="A145" s="245">
        <f t="shared" si="12"/>
        <v>57</v>
      </c>
      <c r="B145" s="1512" t="s">
        <v>4214</v>
      </c>
      <c r="C145" s="1512" t="s">
        <v>5219</v>
      </c>
      <c r="D145" s="207" t="s">
        <v>5220</v>
      </c>
      <c r="E145" s="1473"/>
      <c r="F145" s="251" t="s">
        <v>5221</v>
      </c>
      <c r="G145" s="251"/>
      <c r="H145" s="251"/>
      <c r="I145" s="251"/>
      <c r="J145" s="251"/>
      <c r="K145" s="255"/>
      <c r="L145" s="256"/>
      <c r="M145" s="155"/>
      <c r="N145" s="131"/>
      <c r="O145" s="207"/>
      <c r="P145" s="155"/>
      <c r="Q145" s="155"/>
      <c r="R145" s="155"/>
      <c r="S145" s="211"/>
      <c r="T145" s="155" t="s">
        <v>115</v>
      </c>
      <c r="U145" s="155" t="s">
        <v>115</v>
      </c>
      <c r="V145" s="155" t="s">
        <v>115</v>
      </c>
      <c r="W145" s="211"/>
      <c r="X145" s="155"/>
      <c r="Y145" s="155"/>
      <c r="Z145" s="155"/>
      <c r="AA145" s="211"/>
      <c r="AB145" s="155"/>
      <c r="AC145" s="155"/>
      <c r="AD145" s="155"/>
      <c r="AE145" s="808">
        <f t="shared" si="15"/>
        <v>2997</v>
      </c>
      <c r="AF145" s="761">
        <f t="shared" si="16"/>
        <v>2997</v>
      </c>
      <c r="AG145" s="110">
        <f t="shared" si="22"/>
        <v>2997</v>
      </c>
      <c r="AH145" s="808">
        <f t="shared" si="23"/>
        <v>0</v>
      </c>
      <c r="AI145" s="1472" t="s">
        <v>5222</v>
      </c>
      <c r="AJ145" s="206">
        <v>0.15</v>
      </c>
      <c r="AK145" s="808">
        <f t="shared" si="9"/>
        <v>449.55</v>
      </c>
      <c r="AL145" s="1472" t="s">
        <v>3233</v>
      </c>
      <c r="AM145" s="206">
        <v>0.1</v>
      </c>
      <c r="AN145" s="808">
        <f t="shared" si="10"/>
        <v>299.7</v>
      </c>
      <c r="AO145" s="110">
        <v>2997</v>
      </c>
      <c r="AP145" s="226">
        <v>44481</v>
      </c>
      <c r="AQ145" s="110">
        <v>2997</v>
      </c>
      <c r="AR145" s="263"/>
      <c r="AS145" s="110"/>
      <c r="AT145" s="226"/>
      <c r="AU145" s="110"/>
      <c r="AV145" s="263"/>
      <c r="AW145" s="110"/>
      <c r="AX145" s="226"/>
      <c r="AY145" s="110"/>
      <c r="AZ145" s="263"/>
      <c r="BA145" s="110"/>
      <c r="BB145" s="226"/>
      <c r="BC145" s="110"/>
      <c r="BD145" s="263"/>
      <c r="BE145" s="110"/>
      <c r="BF145" s="226"/>
      <c r="BG145" s="110"/>
      <c r="BH145" s="263"/>
      <c r="BI145" s="3" t="s">
        <v>2612</v>
      </c>
      <c r="BJ145" s="779"/>
      <c r="BK145" s="779"/>
      <c r="BL145" s="779"/>
      <c r="BM145" s="779"/>
      <c r="BN145" s="779"/>
      <c r="BO145" s="779"/>
      <c r="BP145" s="779"/>
      <c r="BQ145" s="779"/>
    </row>
    <row r="146" spans="1:69" ht="30" customHeight="1">
      <c r="A146" s="245">
        <f t="shared" si="12"/>
        <v>58</v>
      </c>
      <c r="B146" s="1512" t="s">
        <v>135</v>
      </c>
      <c r="C146" s="1512" t="s">
        <v>5223</v>
      </c>
      <c r="D146" s="207" t="s">
        <v>5224</v>
      </c>
      <c r="E146" s="1473"/>
      <c r="F146" s="251" t="s">
        <v>5221</v>
      </c>
      <c r="G146" s="251"/>
      <c r="H146" s="251"/>
      <c r="I146" s="251"/>
      <c r="J146" s="251"/>
      <c r="K146" s="255"/>
      <c r="L146" s="256"/>
      <c r="M146" s="155"/>
      <c r="N146" s="131"/>
      <c r="O146" s="207"/>
      <c r="P146" s="155"/>
      <c r="Q146" s="155"/>
      <c r="R146" s="155"/>
      <c r="S146" s="211"/>
      <c r="T146" s="155" t="s">
        <v>115</v>
      </c>
      <c r="U146" s="155" t="s">
        <v>115</v>
      </c>
      <c r="V146" s="155" t="s">
        <v>115</v>
      </c>
      <c r="W146" s="211"/>
      <c r="X146" s="155"/>
      <c r="Y146" s="155"/>
      <c r="Z146" s="155"/>
      <c r="AA146" s="211"/>
      <c r="AB146" s="155"/>
      <c r="AC146" s="155"/>
      <c r="AD146" s="155"/>
      <c r="AE146" s="808">
        <f t="shared" si="15"/>
        <v>2997</v>
      </c>
      <c r="AF146" s="761">
        <f t="shared" si="16"/>
        <v>2997</v>
      </c>
      <c r="AG146" s="110">
        <f t="shared" si="22"/>
        <v>2997</v>
      </c>
      <c r="AH146" s="808">
        <f t="shared" si="23"/>
        <v>0</v>
      </c>
      <c r="AI146" s="1472" t="s">
        <v>5222</v>
      </c>
      <c r="AJ146" s="206">
        <v>0.15</v>
      </c>
      <c r="AK146" s="808">
        <f t="shared" si="9"/>
        <v>449.55</v>
      </c>
      <c r="AL146" s="1472" t="s">
        <v>3233</v>
      </c>
      <c r="AM146" s="206">
        <v>0.1</v>
      </c>
      <c r="AN146" s="808">
        <f t="shared" si="10"/>
        <v>299.7</v>
      </c>
      <c r="AO146" s="110">
        <v>2997</v>
      </c>
      <c r="AP146" s="226">
        <v>44492</v>
      </c>
      <c r="AQ146" s="110">
        <v>2997</v>
      </c>
      <c r="AR146" s="263"/>
      <c r="AS146" s="110"/>
      <c r="AT146" s="226"/>
      <c r="AU146" s="110"/>
      <c r="AV146" s="263"/>
      <c r="AW146" s="110"/>
      <c r="AX146" s="226"/>
      <c r="AY146" s="110"/>
      <c r="AZ146" s="263"/>
      <c r="BA146" s="110"/>
      <c r="BB146" s="226"/>
      <c r="BC146" s="110"/>
      <c r="BD146" s="263"/>
      <c r="BE146" s="110"/>
      <c r="BF146" s="226"/>
      <c r="BG146" s="110"/>
      <c r="BH146" s="263"/>
      <c r="BI146" s="3" t="s">
        <v>2612</v>
      </c>
      <c r="BJ146" s="779"/>
      <c r="BK146" s="779"/>
      <c r="BL146" s="779"/>
      <c r="BM146" s="779"/>
      <c r="BN146" s="779"/>
      <c r="BO146" s="779"/>
      <c r="BP146" s="779"/>
      <c r="BQ146" s="779"/>
    </row>
    <row r="147" spans="1:69" ht="30" hidden="1" customHeight="1">
      <c r="A147" s="245">
        <f t="shared" si="12"/>
        <v>59</v>
      </c>
      <c r="B147" s="1512" t="s">
        <v>4517</v>
      </c>
      <c r="C147" s="1512" t="s">
        <v>4518</v>
      </c>
      <c r="D147" s="294" t="s">
        <v>4519</v>
      </c>
      <c r="E147" s="1473"/>
      <c r="F147" s="251" t="s">
        <v>4520</v>
      </c>
      <c r="G147" s="251"/>
      <c r="H147" s="251"/>
      <c r="I147" s="251"/>
      <c r="J147" s="251"/>
      <c r="K147" s="255"/>
      <c r="L147" s="256"/>
      <c r="M147" s="155"/>
      <c r="N147" s="131"/>
      <c r="O147" s="207"/>
      <c r="P147" s="155"/>
      <c r="Q147" s="155"/>
      <c r="R147" s="155"/>
      <c r="S147" s="211"/>
      <c r="T147" s="155" t="s">
        <v>115</v>
      </c>
      <c r="U147" s="155"/>
      <c r="V147" s="155"/>
      <c r="W147" s="211"/>
      <c r="X147" s="155"/>
      <c r="Y147" s="155" t="s">
        <v>115</v>
      </c>
      <c r="Z147" s="155" t="s">
        <v>115</v>
      </c>
      <c r="AA147" s="211"/>
      <c r="AB147" s="155"/>
      <c r="AC147" s="155"/>
      <c r="AD147" s="155"/>
      <c r="AE147" s="808">
        <f t="shared" si="15"/>
        <v>2997</v>
      </c>
      <c r="AF147" s="761">
        <f t="shared" si="16"/>
        <v>2997</v>
      </c>
      <c r="AG147" s="110">
        <v>900</v>
      </c>
      <c r="AH147" s="808">
        <f t="shared" si="23"/>
        <v>2097</v>
      </c>
      <c r="AI147" s="1472" t="s">
        <v>5225</v>
      </c>
      <c r="AJ147" s="206">
        <v>0.05</v>
      </c>
      <c r="AK147" s="808">
        <f t="shared" si="9"/>
        <v>149.85</v>
      </c>
      <c r="AL147" s="1472" t="s">
        <v>5225</v>
      </c>
      <c r="AM147" s="206">
        <v>0.15</v>
      </c>
      <c r="AN147" s="808">
        <f t="shared" si="10"/>
        <v>449.55</v>
      </c>
      <c r="AO147" s="110">
        <v>2997</v>
      </c>
      <c r="AP147" s="226">
        <v>44481</v>
      </c>
      <c r="AQ147" s="110">
        <v>2997</v>
      </c>
      <c r="AR147" s="263"/>
      <c r="AS147" s="110"/>
      <c r="AT147" s="226"/>
      <c r="AU147" s="110"/>
      <c r="AV147" s="263"/>
      <c r="AW147" s="110"/>
      <c r="AX147" s="226"/>
      <c r="AY147" s="110"/>
      <c r="AZ147" s="263"/>
      <c r="BA147" s="110"/>
      <c r="BB147" s="226"/>
      <c r="BC147" s="110"/>
      <c r="BD147" s="263"/>
      <c r="BE147" s="110"/>
      <c r="BF147" s="226"/>
      <c r="BG147" s="110"/>
      <c r="BH147" s="263"/>
      <c r="BI147" s="3" t="s">
        <v>2612</v>
      </c>
      <c r="BJ147" s="779"/>
      <c r="BK147" s="779"/>
      <c r="BL147" s="779"/>
      <c r="BM147" s="779"/>
      <c r="BN147" s="779"/>
      <c r="BO147" s="779"/>
      <c r="BP147" s="779"/>
      <c r="BQ147" s="779"/>
    </row>
    <row r="148" spans="1:69" ht="30" customHeight="1">
      <c r="A148" s="245">
        <f t="shared" si="12"/>
        <v>60</v>
      </c>
      <c r="B148" s="338" t="s">
        <v>2439</v>
      </c>
      <c r="C148" s="338" t="s">
        <v>2440</v>
      </c>
      <c r="D148" s="207" t="s">
        <v>2441</v>
      </c>
      <c r="E148" s="1473"/>
      <c r="F148" s="251"/>
      <c r="G148" s="251"/>
      <c r="H148" s="251"/>
      <c r="I148" s="251"/>
      <c r="J148" s="251"/>
      <c r="K148" s="255"/>
      <c r="L148" s="256"/>
      <c r="M148" s="155"/>
      <c r="N148" s="131"/>
      <c r="O148" s="207"/>
      <c r="P148" s="155"/>
      <c r="Q148" s="155"/>
      <c r="R148" s="155"/>
      <c r="S148" s="211"/>
      <c r="T148" s="155" t="s">
        <v>116</v>
      </c>
      <c r="U148" s="155" t="s">
        <v>116</v>
      </c>
      <c r="V148" s="155" t="s">
        <v>116</v>
      </c>
      <c r="W148" s="211"/>
      <c r="X148" s="155"/>
      <c r="Y148" s="155"/>
      <c r="Z148" s="155"/>
      <c r="AA148" s="211"/>
      <c r="AB148" s="155"/>
      <c r="AC148" s="155"/>
      <c r="AD148" s="155"/>
      <c r="AE148" s="808">
        <f t="shared" si="15"/>
        <v>0</v>
      </c>
      <c r="AF148" s="761">
        <f t="shared" si="16"/>
        <v>0</v>
      </c>
      <c r="AG148" s="110">
        <f t="shared" ref="AG148:AG162" si="24">AF148</f>
        <v>0</v>
      </c>
      <c r="AH148" s="808">
        <f t="shared" si="23"/>
        <v>0</v>
      </c>
      <c r="AI148" s="1472"/>
      <c r="AJ148" s="206"/>
      <c r="AK148" s="808">
        <f t="shared" si="9"/>
        <v>0</v>
      </c>
      <c r="AL148" s="1472"/>
      <c r="AM148" s="206"/>
      <c r="AN148" s="808">
        <f t="shared" si="10"/>
        <v>0</v>
      </c>
      <c r="AO148" s="110"/>
      <c r="AP148" s="226"/>
      <c r="AQ148" s="110"/>
      <c r="AR148" s="263"/>
      <c r="AS148" s="110"/>
      <c r="AT148" s="226"/>
      <c r="AU148" s="110"/>
      <c r="AV148" s="263"/>
      <c r="AW148" s="110"/>
      <c r="AX148" s="226"/>
      <c r="AY148" s="110"/>
      <c r="AZ148" s="263"/>
      <c r="BA148" s="110"/>
      <c r="BB148" s="226"/>
      <c r="BC148" s="110"/>
      <c r="BD148" s="263"/>
      <c r="BE148" s="110"/>
      <c r="BF148" s="226"/>
      <c r="BG148" s="110"/>
      <c r="BH148" s="263"/>
      <c r="BI148" s="3"/>
      <c r="BJ148" s="779"/>
      <c r="BK148" s="779"/>
      <c r="BL148" s="779"/>
      <c r="BM148" s="779"/>
      <c r="BN148" s="779"/>
      <c r="BO148" s="779"/>
      <c r="BP148" s="779"/>
      <c r="BQ148" s="779"/>
    </row>
    <row r="149" spans="1:69" ht="30" hidden="1" customHeight="1">
      <c r="A149" s="245">
        <f t="shared" si="12"/>
        <v>61</v>
      </c>
      <c r="B149" s="338" t="s">
        <v>861</v>
      </c>
      <c r="C149" s="338" t="s">
        <v>851</v>
      </c>
      <c r="D149" s="294" t="s">
        <v>4644</v>
      </c>
      <c r="E149" s="224" t="s">
        <v>4645</v>
      </c>
      <c r="F149" s="251" t="s">
        <v>4647</v>
      </c>
      <c r="G149" s="131" t="s">
        <v>4648</v>
      </c>
      <c r="H149" s="255" t="s">
        <v>4646</v>
      </c>
      <c r="I149" s="255" t="s">
        <v>4646</v>
      </c>
      <c r="J149" s="514"/>
      <c r="K149" s="255"/>
      <c r="L149" s="256"/>
      <c r="M149" s="255"/>
      <c r="N149" s="1429"/>
      <c r="O149" s="207"/>
      <c r="P149" s="1471"/>
      <c r="Q149" s="1471"/>
      <c r="R149" s="1471"/>
      <c r="S149" s="515"/>
      <c r="T149" s="155"/>
      <c r="U149" s="155"/>
      <c r="V149" s="155"/>
      <c r="W149" s="515"/>
      <c r="X149" s="258" t="s">
        <v>2369</v>
      </c>
      <c r="Y149" s="258" t="s">
        <v>2369</v>
      </c>
      <c r="Z149" s="258" t="s">
        <v>2369</v>
      </c>
      <c r="AA149" s="515"/>
      <c r="AB149" s="258"/>
      <c r="AC149" s="258"/>
      <c r="AD149" s="258"/>
      <c r="AE149" s="808">
        <f t="shared" si="15"/>
        <v>0</v>
      </c>
      <c r="AF149" s="761">
        <f t="shared" si="16"/>
        <v>0</v>
      </c>
      <c r="AG149" s="110">
        <f t="shared" si="24"/>
        <v>0</v>
      </c>
      <c r="AH149" s="808">
        <f t="shared" si="23"/>
        <v>0</v>
      </c>
      <c r="AI149" s="1472" t="s">
        <v>3101</v>
      </c>
      <c r="AJ149" s="206">
        <v>0</v>
      </c>
      <c r="AK149" s="808">
        <f t="shared" si="9"/>
        <v>0</v>
      </c>
      <c r="AL149" s="1472" t="s">
        <v>3395</v>
      </c>
      <c r="AM149" s="206">
        <v>0.05</v>
      </c>
      <c r="AN149" s="808">
        <f t="shared" si="10"/>
        <v>0</v>
      </c>
      <c r="AO149" s="110"/>
      <c r="AP149" s="226"/>
      <c r="AQ149" s="110"/>
      <c r="AR149" s="263"/>
      <c r="AS149" s="110"/>
      <c r="AT149" s="226"/>
      <c r="AU149" s="110"/>
      <c r="AV149" s="263"/>
      <c r="AW149" s="110"/>
      <c r="AX149" s="226"/>
      <c r="AY149" s="110"/>
      <c r="AZ149" s="263"/>
      <c r="BA149" s="110"/>
      <c r="BB149" s="226"/>
      <c r="BC149" s="110"/>
      <c r="BD149" s="263"/>
      <c r="BE149" s="110"/>
      <c r="BF149" s="226"/>
      <c r="BG149" s="110">
        <v>0</v>
      </c>
      <c r="BH149" s="263"/>
      <c r="BI149" s="228"/>
      <c r="BJ149" s="729"/>
      <c r="BK149" s="729"/>
      <c r="BL149" s="729"/>
      <c r="BM149" s="729"/>
      <c r="BN149" s="729"/>
      <c r="BO149" s="729"/>
      <c r="BP149" s="729"/>
      <c r="BQ149" s="729"/>
    </row>
    <row r="150" spans="1:69" ht="30" customHeight="1">
      <c r="A150" s="245">
        <f t="shared" si="12"/>
        <v>62</v>
      </c>
      <c r="B150" s="338" t="s">
        <v>246</v>
      </c>
      <c r="C150" s="338" t="s">
        <v>2448</v>
      </c>
      <c r="D150" s="207" t="s">
        <v>2449</v>
      </c>
      <c r="E150" s="224"/>
      <c r="F150" s="251" t="s">
        <v>4575</v>
      </c>
      <c r="G150" s="131"/>
      <c r="H150" s="255"/>
      <c r="I150" s="255"/>
      <c r="J150" s="514"/>
      <c r="K150" s="255"/>
      <c r="L150" s="256"/>
      <c r="M150" s="255"/>
      <c r="N150" s="1429"/>
      <c r="O150" s="207"/>
      <c r="P150" s="1471"/>
      <c r="Q150" s="1471"/>
      <c r="R150" s="1471"/>
      <c r="S150" s="515"/>
      <c r="T150" s="258" t="s">
        <v>116</v>
      </c>
      <c r="U150" s="258" t="s">
        <v>116</v>
      </c>
      <c r="V150" s="258" t="s">
        <v>116</v>
      </c>
      <c r="W150" s="515"/>
      <c r="X150" s="258"/>
      <c r="Y150" s="258"/>
      <c r="Z150" s="258"/>
      <c r="AA150" s="515"/>
      <c r="AB150" s="258"/>
      <c r="AC150" s="258"/>
      <c r="AD150" s="258"/>
      <c r="AE150" s="808">
        <f t="shared" si="15"/>
        <v>0</v>
      </c>
      <c r="AF150" s="761">
        <f t="shared" si="16"/>
        <v>0</v>
      </c>
      <c r="AG150" s="110">
        <f t="shared" si="24"/>
        <v>0</v>
      </c>
      <c r="AH150" s="808">
        <f t="shared" si="23"/>
        <v>0</v>
      </c>
      <c r="AI150" s="1472"/>
      <c r="AJ150" s="206"/>
      <c r="AK150" s="808">
        <f t="shared" si="9"/>
        <v>0</v>
      </c>
      <c r="AL150" s="1472"/>
      <c r="AM150" s="206"/>
      <c r="AN150" s="808">
        <f t="shared" si="10"/>
        <v>0</v>
      </c>
      <c r="AO150" s="110"/>
      <c r="AP150" s="226"/>
      <c r="AQ150" s="110"/>
      <c r="AR150" s="263"/>
      <c r="AS150" s="110"/>
      <c r="AT150" s="226"/>
      <c r="AU150" s="110"/>
      <c r="AV150" s="263"/>
      <c r="AW150" s="110"/>
      <c r="AX150" s="226"/>
      <c r="AY150" s="110"/>
      <c r="AZ150" s="263"/>
      <c r="BA150" s="110"/>
      <c r="BB150" s="226"/>
      <c r="BC150" s="110"/>
      <c r="BD150" s="263"/>
      <c r="BE150" s="110"/>
      <c r="BF150" s="226"/>
      <c r="BG150" s="110">
        <v>0</v>
      </c>
      <c r="BH150" s="263"/>
      <c r="BI150" s="228"/>
      <c r="BJ150" s="729"/>
      <c r="BK150" s="729"/>
      <c r="BL150" s="729"/>
      <c r="BM150" s="729"/>
      <c r="BN150" s="729"/>
      <c r="BO150" s="729"/>
      <c r="BP150" s="729"/>
      <c r="BQ150" s="729"/>
    </row>
    <row r="151" spans="1:69" ht="30" hidden="1" customHeight="1">
      <c r="A151" s="245">
        <f t="shared" si="12"/>
        <v>63</v>
      </c>
      <c r="B151" s="338" t="s">
        <v>950</v>
      </c>
      <c r="C151" s="338" t="s">
        <v>2474</v>
      </c>
      <c r="D151" s="294" t="s">
        <v>2475</v>
      </c>
      <c r="E151" s="224"/>
      <c r="F151" s="251" t="s">
        <v>2476</v>
      </c>
      <c r="G151" s="131"/>
      <c r="H151" s="255"/>
      <c r="I151" s="255"/>
      <c r="J151" s="514"/>
      <c r="K151" s="255"/>
      <c r="L151" s="256"/>
      <c r="M151" s="255"/>
      <c r="N151" s="1429"/>
      <c r="O151" s="207"/>
      <c r="P151" s="1471"/>
      <c r="Q151" s="1471"/>
      <c r="R151" s="1471"/>
      <c r="S151" s="515"/>
      <c r="T151" s="258"/>
      <c r="U151" s="258"/>
      <c r="V151" s="258"/>
      <c r="W151" s="515"/>
      <c r="X151" s="258"/>
      <c r="Y151" s="258"/>
      <c r="Z151" s="258"/>
      <c r="AA151" s="515"/>
      <c r="AB151" s="258"/>
      <c r="AC151" s="258"/>
      <c r="AD151" s="258"/>
      <c r="AE151" s="808">
        <f t="shared" si="15"/>
        <v>0</v>
      </c>
      <c r="AF151" s="761">
        <f t="shared" si="16"/>
        <v>0</v>
      </c>
      <c r="AG151" s="110">
        <f t="shared" si="24"/>
        <v>0</v>
      </c>
      <c r="AH151" s="808">
        <f t="shared" si="23"/>
        <v>0</v>
      </c>
      <c r="AI151" s="1472"/>
      <c r="AJ151" s="206"/>
      <c r="AK151" s="808">
        <f t="shared" si="9"/>
        <v>0</v>
      </c>
      <c r="AL151" s="1472"/>
      <c r="AM151" s="206"/>
      <c r="AN151" s="808">
        <f t="shared" si="10"/>
        <v>0</v>
      </c>
      <c r="AO151" s="110"/>
      <c r="AP151" s="226"/>
      <c r="AQ151" s="110"/>
      <c r="AR151" s="263"/>
      <c r="AS151" s="110"/>
      <c r="AT151" s="226"/>
      <c r="AU151" s="110"/>
      <c r="AV151" s="263"/>
      <c r="AW151" s="110"/>
      <c r="AX151" s="226"/>
      <c r="AY151" s="110"/>
      <c r="AZ151" s="263"/>
      <c r="BA151" s="110"/>
      <c r="BB151" s="226"/>
      <c r="BC151" s="110"/>
      <c r="BD151" s="263"/>
      <c r="BE151" s="110"/>
      <c r="BF151" s="226"/>
      <c r="BG151" s="110">
        <v>0</v>
      </c>
      <c r="BH151" s="263"/>
      <c r="BI151" s="228"/>
      <c r="BJ151" s="729"/>
      <c r="BK151" s="729"/>
      <c r="BL151" s="729"/>
      <c r="BM151" s="729"/>
      <c r="BN151" s="729"/>
      <c r="BO151" s="729"/>
      <c r="BP151" s="729"/>
      <c r="BQ151" s="729"/>
    </row>
    <row r="152" spans="1:69" ht="30" hidden="1" customHeight="1">
      <c r="A152" s="245">
        <f t="shared" si="12"/>
        <v>64</v>
      </c>
      <c r="B152" s="338" t="s">
        <v>166</v>
      </c>
      <c r="C152" s="338" t="s">
        <v>3178</v>
      </c>
      <c r="D152" s="207" t="s">
        <v>3179</v>
      </c>
      <c r="E152" s="224"/>
      <c r="F152" s="251"/>
      <c r="G152" s="131"/>
      <c r="H152" s="255"/>
      <c r="I152" s="255"/>
      <c r="J152" s="514"/>
      <c r="K152" s="255"/>
      <c r="L152" s="256"/>
      <c r="M152" s="255"/>
      <c r="N152" s="1429"/>
      <c r="O152" s="207"/>
      <c r="P152" s="1471"/>
      <c r="Q152" s="1471"/>
      <c r="R152" s="1471"/>
      <c r="S152" s="515"/>
      <c r="T152" s="258"/>
      <c r="U152" s="258"/>
      <c r="V152" s="258"/>
      <c r="W152" s="515"/>
      <c r="X152" s="258" t="s">
        <v>2369</v>
      </c>
      <c r="Y152" s="258" t="s">
        <v>2369</v>
      </c>
      <c r="Z152" s="258" t="s">
        <v>2369</v>
      </c>
      <c r="AA152" s="515"/>
      <c r="AB152" s="258"/>
      <c r="AC152" s="258"/>
      <c r="AD152" s="258"/>
      <c r="AE152" s="808">
        <f t="shared" si="15"/>
        <v>0</v>
      </c>
      <c r="AF152" s="761">
        <f t="shared" si="16"/>
        <v>0</v>
      </c>
      <c r="AG152" s="110">
        <f t="shared" si="24"/>
        <v>0</v>
      </c>
      <c r="AH152" s="808">
        <f t="shared" si="23"/>
        <v>0</v>
      </c>
      <c r="AI152" s="1472"/>
      <c r="AJ152" s="206"/>
      <c r="AK152" s="808">
        <f t="shared" si="9"/>
        <v>0</v>
      </c>
      <c r="AL152" s="1472"/>
      <c r="AM152" s="206"/>
      <c r="AN152" s="808">
        <f t="shared" si="10"/>
        <v>0</v>
      </c>
      <c r="AO152" s="110"/>
      <c r="AP152" s="226"/>
      <c r="AQ152" s="110"/>
      <c r="AR152" s="263"/>
      <c r="AS152" s="110"/>
      <c r="AT152" s="226"/>
      <c r="AU152" s="110"/>
      <c r="AV152" s="263"/>
      <c r="AW152" s="110"/>
      <c r="AX152" s="226"/>
      <c r="AY152" s="110"/>
      <c r="AZ152" s="263"/>
      <c r="BA152" s="110"/>
      <c r="BB152" s="226"/>
      <c r="BC152" s="110"/>
      <c r="BD152" s="263"/>
      <c r="BE152" s="110"/>
      <c r="BF152" s="226"/>
      <c r="BG152" s="110">
        <v>0</v>
      </c>
      <c r="BH152" s="263"/>
      <c r="BI152" s="3"/>
      <c r="BJ152" s="729"/>
      <c r="BK152" s="729"/>
      <c r="BL152" s="729"/>
      <c r="BM152" s="729"/>
      <c r="BN152" s="729"/>
      <c r="BO152" s="729"/>
      <c r="BP152" s="729"/>
      <c r="BQ152" s="729"/>
    </row>
    <row r="153" spans="1:69" ht="30" customHeight="1">
      <c r="A153" s="245">
        <f t="shared" si="12"/>
        <v>65</v>
      </c>
      <c r="B153" s="1512" t="s">
        <v>2377</v>
      </c>
      <c r="C153" s="1512" t="s">
        <v>2378</v>
      </c>
      <c r="D153" s="207" t="s">
        <v>2379</v>
      </c>
      <c r="E153" s="124"/>
      <c r="F153" s="251" t="s">
        <v>2380</v>
      </c>
      <c r="G153" s="131"/>
      <c r="H153" s="255"/>
      <c r="I153" s="255"/>
      <c r="J153" s="514"/>
      <c r="K153" s="255"/>
      <c r="L153" s="256"/>
      <c r="M153" s="255"/>
      <c r="N153" s="1429"/>
      <c r="O153" s="207" t="s">
        <v>5226</v>
      </c>
      <c r="P153" s="1471"/>
      <c r="Q153" s="1471"/>
      <c r="R153" s="1471"/>
      <c r="S153" s="515"/>
      <c r="T153" s="258" t="s">
        <v>115</v>
      </c>
      <c r="U153" s="258" t="s">
        <v>115</v>
      </c>
      <c r="V153" s="258" t="s">
        <v>115</v>
      </c>
      <c r="W153" s="515"/>
      <c r="X153" s="258"/>
      <c r="Y153" s="258"/>
      <c r="Z153" s="258"/>
      <c r="AA153" s="515"/>
      <c r="AB153" s="258"/>
      <c r="AC153" s="258"/>
      <c r="AD153" s="258"/>
      <c r="AE153" s="808">
        <f t="shared" si="15"/>
        <v>0</v>
      </c>
      <c r="AF153" s="761">
        <f t="shared" si="16"/>
        <v>0</v>
      </c>
      <c r="AG153" s="110">
        <f t="shared" si="24"/>
        <v>0</v>
      </c>
      <c r="AH153" s="808">
        <f t="shared" si="23"/>
        <v>0</v>
      </c>
      <c r="AI153" s="301" t="s">
        <v>262</v>
      </c>
      <c r="AJ153" s="206"/>
      <c r="AK153" s="808">
        <f t="shared" si="9"/>
        <v>0</v>
      </c>
      <c r="AL153" s="301" t="s">
        <v>262</v>
      </c>
      <c r="AM153" s="206"/>
      <c r="AN153" s="808">
        <f t="shared" si="10"/>
        <v>0</v>
      </c>
      <c r="AO153" s="110"/>
      <c r="AP153" s="226"/>
      <c r="AQ153" s="110"/>
      <c r="AR153" s="263"/>
      <c r="AS153" s="110"/>
      <c r="AT153" s="226"/>
      <c r="AU153" s="110"/>
      <c r="AV153" s="263"/>
      <c r="AW153" s="110"/>
      <c r="AX153" s="226"/>
      <c r="AY153" s="110"/>
      <c r="AZ153" s="263"/>
      <c r="BA153" s="110"/>
      <c r="BB153" s="226"/>
      <c r="BC153" s="110"/>
      <c r="BD153" s="263"/>
      <c r="BE153" s="110"/>
      <c r="BF153" s="226"/>
      <c r="BG153" s="110">
        <v>0</v>
      </c>
      <c r="BH153" s="263"/>
      <c r="BI153" s="228"/>
      <c r="BJ153" s="729"/>
      <c r="BK153" s="729"/>
      <c r="BL153" s="729"/>
      <c r="BM153" s="729"/>
      <c r="BN153" s="729"/>
      <c r="BO153" s="729"/>
      <c r="BP153" s="729"/>
      <c r="BQ153" s="729"/>
    </row>
    <row r="154" spans="1:69" ht="30" customHeight="1">
      <c r="A154" s="245">
        <f t="shared" si="12"/>
        <v>66</v>
      </c>
      <c r="B154" s="1512" t="s">
        <v>1307</v>
      </c>
      <c r="C154" s="1512" t="s">
        <v>2338</v>
      </c>
      <c r="D154" s="207" t="s">
        <v>2339</v>
      </c>
      <c r="E154" s="224"/>
      <c r="F154" s="251" t="s">
        <v>2380</v>
      </c>
      <c r="G154" s="131"/>
      <c r="H154" s="255"/>
      <c r="I154" s="255"/>
      <c r="J154" s="514"/>
      <c r="K154" s="255"/>
      <c r="L154" s="256"/>
      <c r="M154" s="255"/>
      <c r="N154" s="1429"/>
      <c r="O154" s="207" t="s">
        <v>5226</v>
      </c>
      <c r="P154" s="1471"/>
      <c r="Q154" s="1471"/>
      <c r="R154" s="1471"/>
      <c r="S154" s="515"/>
      <c r="T154" s="258" t="s">
        <v>115</v>
      </c>
      <c r="U154" s="258" t="s">
        <v>115</v>
      </c>
      <c r="V154" s="258" t="s">
        <v>115</v>
      </c>
      <c r="W154" s="515"/>
      <c r="X154" s="258"/>
      <c r="Y154" s="258"/>
      <c r="Z154" s="258"/>
      <c r="AA154" s="515"/>
      <c r="AB154" s="258"/>
      <c r="AC154" s="258"/>
      <c r="AD154" s="258"/>
      <c r="AE154" s="808">
        <f t="shared" si="15"/>
        <v>0</v>
      </c>
      <c r="AF154" s="761">
        <f t="shared" si="16"/>
        <v>0</v>
      </c>
      <c r="AG154" s="110">
        <f t="shared" si="24"/>
        <v>0</v>
      </c>
      <c r="AH154" s="808">
        <f t="shared" si="23"/>
        <v>0</v>
      </c>
      <c r="AI154" s="301" t="s">
        <v>262</v>
      </c>
      <c r="AJ154" s="206"/>
      <c r="AK154" s="808">
        <f t="shared" si="9"/>
        <v>0</v>
      </c>
      <c r="AL154" s="301" t="s">
        <v>262</v>
      </c>
      <c r="AM154" s="206"/>
      <c r="AN154" s="808">
        <f t="shared" si="10"/>
        <v>0</v>
      </c>
      <c r="AO154" s="110"/>
      <c r="AP154" s="226"/>
      <c r="AQ154" s="110"/>
      <c r="AR154" s="263"/>
      <c r="AS154" s="110"/>
      <c r="AT154" s="226"/>
      <c r="AU154" s="110"/>
      <c r="AV154" s="263"/>
      <c r="AW154" s="110"/>
      <c r="AX154" s="226"/>
      <c r="AY154" s="110"/>
      <c r="AZ154" s="263"/>
      <c r="BA154" s="110"/>
      <c r="BB154" s="226"/>
      <c r="BC154" s="110"/>
      <c r="BD154" s="263"/>
      <c r="BE154" s="110"/>
      <c r="BF154" s="226"/>
      <c r="BG154" s="110">
        <v>0</v>
      </c>
      <c r="BH154" s="263"/>
      <c r="BI154" s="228"/>
      <c r="BJ154" s="729"/>
      <c r="BK154" s="729"/>
      <c r="BL154" s="729"/>
      <c r="BM154" s="729"/>
      <c r="BN154" s="729"/>
      <c r="BO154" s="729"/>
      <c r="BP154" s="729"/>
      <c r="BQ154" s="729"/>
    </row>
    <row r="155" spans="1:69" ht="30" customHeight="1">
      <c r="A155" s="245">
        <f t="shared" si="12"/>
        <v>67</v>
      </c>
      <c r="B155" s="1512" t="s">
        <v>693</v>
      </c>
      <c r="C155" s="1512" t="s">
        <v>2202</v>
      </c>
      <c r="D155" s="207" t="s">
        <v>5227</v>
      </c>
      <c r="E155" s="224"/>
      <c r="F155" s="251" t="s">
        <v>2380</v>
      </c>
      <c r="G155" s="131"/>
      <c r="H155" s="255"/>
      <c r="I155" s="255"/>
      <c r="J155" s="514"/>
      <c r="K155" s="255"/>
      <c r="L155" s="256"/>
      <c r="M155" s="255"/>
      <c r="N155" s="1429"/>
      <c r="O155" s="207" t="s">
        <v>5226</v>
      </c>
      <c r="P155" s="1471"/>
      <c r="Q155" s="1471"/>
      <c r="R155" s="1471"/>
      <c r="S155" s="515"/>
      <c r="T155" s="258" t="s">
        <v>115</v>
      </c>
      <c r="U155" s="258" t="s">
        <v>115</v>
      </c>
      <c r="V155" s="258" t="s">
        <v>115</v>
      </c>
      <c r="W155" s="515"/>
      <c r="X155" s="258"/>
      <c r="Y155" s="258"/>
      <c r="Z155" s="258"/>
      <c r="AA155" s="515"/>
      <c r="AB155" s="258"/>
      <c r="AC155" s="258"/>
      <c r="AD155" s="258"/>
      <c r="AE155" s="808">
        <f t="shared" si="15"/>
        <v>0</v>
      </c>
      <c r="AF155" s="761">
        <f t="shared" si="16"/>
        <v>0</v>
      </c>
      <c r="AG155" s="110">
        <f t="shared" si="24"/>
        <v>0</v>
      </c>
      <c r="AH155" s="808">
        <f t="shared" si="23"/>
        <v>0</v>
      </c>
      <c r="AI155" s="301" t="s">
        <v>262</v>
      </c>
      <c r="AJ155" s="206"/>
      <c r="AK155" s="808">
        <f t="shared" si="9"/>
        <v>0</v>
      </c>
      <c r="AL155" s="301" t="s">
        <v>262</v>
      </c>
      <c r="AM155" s="206"/>
      <c r="AN155" s="808">
        <f t="shared" si="10"/>
        <v>0</v>
      </c>
      <c r="AO155" s="110"/>
      <c r="AP155" s="226"/>
      <c r="AQ155" s="110"/>
      <c r="AR155" s="263"/>
      <c r="AS155" s="110"/>
      <c r="AT155" s="226"/>
      <c r="AU155" s="110"/>
      <c r="AV155" s="263"/>
      <c r="AW155" s="110"/>
      <c r="AX155" s="226"/>
      <c r="AY155" s="110"/>
      <c r="AZ155" s="263"/>
      <c r="BA155" s="110"/>
      <c r="BB155" s="226"/>
      <c r="BC155" s="110"/>
      <c r="BD155" s="263"/>
      <c r="BE155" s="110"/>
      <c r="BF155" s="226"/>
      <c r="BG155" s="110">
        <v>0</v>
      </c>
      <c r="BH155" s="263"/>
      <c r="BI155" s="228"/>
      <c r="BJ155" s="729"/>
      <c r="BK155" s="729"/>
      <c r="BL155" s="729"/>
      <c r="BM155" s="729"/>
      <c r="BN155" s="729"/>
      <c r="BO155" s="729"/>
      <c r="BP155" s="729"/>
      <c r="BQ155" s="729"/>
    </row>
    <row r="156" spans="1:69" ht="30" customHeight="1">
      <c r="A156" s="245">
        <f t="shared" si="12"/>
        <v>68</v>
      </c>
      <c r="B156" s="1512" t="s">
        <v>2710</v>
      </c>
      <c r="C156" s="1512" t="s">
        <v>2385</v>
      </c>
      <c r="D156" s="294" t="s">
        <v>2386</v>
      </c>
      <c r="E156" s="224"/>
      <c r="F156" s="251" t="s">
        <v>2380</v>
      </c>
      <c r="G156" s="131"/>
      <c r="H156" s="255"/>
      <c r="I156" s="255"/>
      <c r="J156" s="514"/>
      <c r="K156" s="255"/>
      <c r="L156" s="256"/>
      <c r="M156" s="255"/>
      <c r="N156" s="1429"/>
      <c r="O156" s="207" t="s">
        <v>5226</v>
      </c>
      <c r="P156" s="1471"/>
      <c r="Q156" s="1471"/>
      <c r="R156" s="1471"/>
      <c r="S156" s="515"/>
      <c r="T156" s="258" t="s">
        <v>115</v>
      </c>
      <c r="U156" s="258" t="s">
        <v>115</v>
      </c>
      <c r="V156" s="258" t="s">
        <v>115</v>
      </c>
      <c r="W156" s="515"/>
      <c r="X156" s="258"/>
      <c r="Y156" s="258"/>
      <c r="Z156" s="258"/>
      <c r="AA156" s="515"/>
      <c r="AB156" s="258"/>
      <c r="AC156" s="258"/>
      <c r="AD156" s="258"/>
      <c r="AE156" s="808">
        <f t="shared" si="15"/>
        <v>0</v>
      </c>
      <c r="AF156" s="761">
        <f t="shared" si="16"/>
        <v>0</v>
      </c>
      <c r="AG156" s="110">
        <f t="shared" si="24"/>
        <v>0</v>
      </c>
      <c r="AH156" s="808">
        <f t="shared" si="23"/>
        <v>0</v>
      </c>
      <c r="AI156" s="301" t="s">
        <v>262</v>
      </c>
      <c r="AJ156" s="206"/>
      <c r="AK156" s="808">
        <f t="shared" si="9"/>
        <v>0</v>
      </c>
      <c r="AL156" s="301" t="s">
        <v>262</v>
      </c>
      <c r="AM156" s="206"/>
      <c r="AN156" s="808">
        <f t="shared" si="10"/>
        <v>0</v>
      </c>
      <c r="AO156" s="110"/>
      <c r="AP156" s="226"/>
      <c r="AQ156" s="110"/>
      <c r="AR156" s="263"/>
      <c r="AS156" s="110"/>
      <c r="AT156" s="226"/>
      <c r="AU156" s="110"/>
      <c r="AV156" s="263"/>
      <c r="AW156" s="110"/>
      <c r="AX156" s="226"/>
      <c r="AY156" s="110"/>
      <c r="AZ156" s="263"/>
      <c r="BA156" s="110"/>
      <c r="BB156" s="226"/>
      <c r="BC156" s="110"/>
      <c r="BD156" s="263"/>
      <c r="BE156" s="110"/>
      <c r="BF156" s="226"/>
      <c r="BG156" s="110">
        <v>0</v>
      </c>
      <c r="BH156" s="263"/>
      <c r="BI156" s="228"/>
      <c r="BJ156" s="729"/>
      <c r="BK156" s="729"/>
      <c r="BL156" s="729"/>
      <c r="BM156" s="729"/>
      <c r="BN156" s="729"/>
      <c r="BO156" s="729"/>
      <c r="BP156" s="729"/>
      <c r="BQ156" s="729"/>
    </row>
    <row r="157" spans="1:69" ht="30" customHeight="1">
      <c r="A157" s="245">
        <f t="shared" si="12"/>
        <v>69</v>
      </c>
      <c r="B157" s="1512" t="s">
        <v>2469</v>
      </c>
      <c r="C157" s="1512" t="s">
        <v>5228</v>
      </c>
      <c r="D157" s="294" t="s">
        <v>5229</v>
      </c>
      <c r="E157" s="224">
        <v>3478819678</v>
      </c>
      <c r="F157" s="251" t="s">
        <v>2380</v>
      </c>
      <c r="G157" s="131"/>
      <c r="H157" s="255"/>
      <c r="I157" s="255"/>
      <c r="J157" s="514"/>
      <c r="K157" s="255"/>
      <c r="L157" s="256"/>
      <c r="M157" s="255"/>
      <c r="N157" s="1429"/>
      <c r="O157" s="207" t="s">
        <v>5230</v>
      </c>
      <c r="P157" s="1471"/>
      <c r="Q157" s="1471"/>
      <c r="R157" s="1471"/>
      <c r="S157" s="515"/>
      <c r="T157" s="258" t="s">
        <v>115</v>
      </c>
      <c r="U157" s="258" t="s">
        <v>115</v>
      </c>
      <c r="V157" s="258" t="s">
        <v>115</v>
      </c>
      <c r="W157" s="515"/>
      <c r="X157" s="258"/>
      <c r="Y157" s="258"/>
      <c r="Z157" s="258"/>
      <c r="AA157" s="515"/>
      <c r="AB157" s="258"/>
      <c r="AC157" s="258"/>
      <c r="AD157" s="258"/>
      <c r="AE157" s="808">
        <f t="shared" si="15"/>
        <v>0</v>
      </c>
      <c r="AF157" s="761">
        <f t="shared" si="16"/>
        <v>0</v>
      </c>
      <c r="AG157" s="110">
        <f t="shared" si="24"/>
        <v>0</v>
      </c>
      <c r="AH157" s="808">
        <f t="shared" si="23"/>
        <v>0</v>
      </c>
      <c r="AI157" s="301" t="s">
        <v>262</v>
      </c>
      <c r="AJ157" s="206"/>
      <c r="AK157" s="808">
        <f t="shared" si="9"/>
        <v>0</v>
      </c>
      <c r="AL157" s="301" t="s">
        <v>262</v>
      </c>
      <c r="AM157" s="206"/>
      <c r="AN157" s="808">
        <f t="shared" si="10"/>
        <v>0</v>
      </c>
      <c r="AO157" s="110"/>
      <c r="AP157" s="226"/>
      <c r="AQ157" s="110"/>
      <c r="AR157" s="263"/>
      <c r="AS157" s="110"/>
      <c r="AT157" s="226"/>
      <c r="AU157" s="110"/>
      <c r="AV157" s="263"/>
      <c r="AW157" s="110"/>
      <c r="AX157" s="226"/>
      <c r="AY157" s="110"/>
      <c r="AZ157" s="263"/>
      <c r="BA157" s="110"/>
      <c r="BB157" s="226"/>
      <c r="BC157" s="110"/>
      <c r="BD157" s="263"/>
      <c r="BE157" s="110"/>
      <c r="BF157" s="226"/>
      <c r="BG157" s="110">
        <v>0</v>
      </c>
      <c r="BH157" s="263"/>
      <c r="BI157" s="228"/>
      <c r="BJ157" s="729"/>
      <c r="BK157" s="729"/>
      <c r="BL157" s="729"/>
      <c r="BM157" s="729"/>
      <c r="BN157" s="729"/>
      <c r="BO157" s="729"/>
      <c r="BP157" s="729"/>
      <c r="BQ157" s="729"/>
    </row>
    <row r="158" spans="1:69" ht="30" customHeight="1">
      <c r="A158" s="245">
        <f t="shared" si="12"/>
        <v>70</v>
      </c>
      <c r="B158" s="338" t="s">
        <v>1134</v>
      </c>
      <c r="C158" s="338" t="s">
        <v>5231</v>
      </c>
      <c r="D158" s="294" t="s">
        <v>5232</v>
      </c>
      <c r="E158" s="224"/>
      <c r="F158" s="251"/>
      <c r="G158" s="131"/>
      <c r="H158" s="255"/>
      <c r="I158" s="255"/>
      <c r="J158" s="514"/>
      <c r="K158" s="255"/>
      <c r="L158" s="256"/>
      <c r="M158" s="255"/>
      <c r="N158" s="1429"/>
      <c r="O158" s="207"/>
      <c r="P158" s="1471"/>
      <c r="Q158" s="1471"/>
      <c r="R158" s="1471"/>
      <c r="S158" s="515"/>
      <c r="T158" s="258" t="s">
        <v>116</v>
      </c>
      <c r="U158" s="258" t="s">
        <v>116</v>
      </c>
      <c r="V158" s="258" t="s">
        <v>116</v>
      </c>
      <c r="W158" s="515"/>
      <c r="X158" s="258"/>
      <c r="Y158" s="258"/>
      <c r="Z158" s="258"/>
      <c r="AA158" s="515"/>
      <c r="AB158" s="258"/>
      <c r="AC158" s="258"/>
      <c r="AD158" s="258"/>
      <c r="AE158" s="808">
        <f t="shared" si="15"/>
        <v>0</v>
      </c>
      <c r="AF158" s="761">
        <f t="shared" si="16"/>
        <v>0</v>
      </c>
      <c r="AG158" s="110">
        <f t="shared" si="24"/>
        <v>0</v>
      </c>
      <c r="AH158" s="808">
        <f t="shared" si="23"/>
        <v>0</v>
      </c>
      <c r="AI158" s="301" t="s">
        <v>262</v>
      </c>
      <c r="AJ158" s="206"/>
      <c r="AK158" s="808">
        <f t="shared" si="9"/>
        <v>0</v>
      </c>
      <c r="AL158" s="301" t="s">
        <v>275</v>
      </c>
      <c r="AM158" s="206"/>
      <c r="AN158" s="808">
        <f t="shared" si="10"/>
        <v>0</v>
      </c>
      <c r="AO158" s="110"/>
      <c r="AP158" s="226"/>
      <c r="AQ158" s="110"/>
      <c r="AR158" s="263"/>
      <c r="AS158" s="110"/>
      <c r="AT158" s="226"/>
      <c r="AU158" s="110"/>
      <c r="AV158" s="263"/>
      <c r="AW158" s="110"/>
      <c r="AX158" s="226"/>
      <c r="AY158" s="110"/>
      <c r="AZ158" s="263"/>
      <c r="BA158" s="110"/>
      <c r="BB158" s="226"/>
      <c r="BC158" s="110"/>
      <c r="BD158" s="263"/>
      <c r="BE158" s="110"/>
      <c r="BF158" s="226"/>
      <c r="BG158" s="110">
        <v>0</v>
      </c>
      <c r="BH158" s="263"/>
      <c r="BI158" s="228"/>
      <c r="BJ158" s="729"/>
      <c r="BK158" s="729"/>
      <c r="BL158" s="729"/>
      <c r="BM158" s="729"/>
      <c r="BN158" s="729"/>
      <c r="BO158" s="729"/>
      <c r="BP158" s="729"/>
      <c r="BQ158" s="729"/>
    </row>
    <row r="159" spans="1:69" ht="30" customHeight="1">
      <c r="A159" s="245">
        <f t="shared" si="12"/>
        <v>71</v>
      </c>
      <c r="B159" s="1512" t="s">
        <v>631</v>
      </c>
      <c r="C159" s="1512" t="s">
        <v>4554</v>
      </c>
      <c r="D159" s="207" t="s">
        <v>4555</v>
      </c>
      <c r="E159" s="224">
        <v>3471135165</v>
      </c>
      <c r="F159" s="251" t="s">
        <v>5233</v>
      </c>
      <c r="G159" s="124"/>
      <c r="H159" s="124"/>
      <c r="I159" s="124"/>
      <c r="J159" s="124"/>
      <c r="K159" s="255"/>
      <c r="L159" s="256"/>
      <c r="M159" s="124"/>
      <c r="N159" s="124"/>
      <c r="O159" s="207" t="s">
        <v>5234</v>
      </c>
      <c r="P159" s="124"/>
      <c r="Q159" s="124"/>
      <c r="R159" s="124"/>
      <c r="S159" s="515"/>
      <c r="T159" s="258" t="s">
        <v>115</v>
      </c>
      <c r="U159" s="258" t="s">
        <v>115</v>
      </c>
      <c r="V159" s="258" t="s">
        <v>115</v>
      </c>
      <c r="W159" s="515"/>
      <c r="X159" s="124"/>
      <c r="Y159" s="124"/>
      <c r="Z159" s="124"/>
      <c r="AA159" s="515"/>
      <c r="AB159" s="124"/>
      <c r="AC159" s="124"/>
      <c r="AD159" s="124"/>
      <c r="AE159" s="808">
        <f t="shared" si="15"/>
        <v>0</v>
      </c>
      <c r="AF159" s="761">
        <f t="shared" si="16"/>
        <v>0</v>
      </c>
      <c r="AG159" s="110">
        <f t="shared" si="24"/>
        <v>0</v>
      </c>
      <c r="AH159" s="808">
        <f t="shared" si="23"/>
        <v>0</v>
      </c>
      <c r="AI159" s="301" t="s">
        <v>262</v>
      </c>
      <c r="AJ159" s="206"/>
      <c r="AK159" s="808">
        <f t="shared" si="9"/>
        <v>0</v>
      </c>
      <c r="AL159" s="301" t="s">
        <v>262</v>
      </c>
      <c r="AM159" s="206"/>
      <c r="AN159" s="808">
        <f t="shared" si="10"/>
        <v>0</v>
      </c>
      <c r="AO159" s="110"/>
      <c r="AP159" s="226"/>
      <c r="AQ159" s="110"/>
      <c r="AR159" s="263"/>
      <c r="AS159" s="110"/>
      <c r="AT159" s="226"/>
      <c r="AU159" s="110"/>
      <c r="AV159" s="263"/>
      <c r="AW159" s="110"/>
      <c r="AX159" s="226"/>
      <c r="AY159" s="110"/>
      <c r="AZ159" s="263"/>
      <c r="BA159" s="110"/>
      <c r="BB159" s="226"/>
      <c r="BC159" s="110"/>
      <c r="BD159" s="263"/>
      <c r="BE159" s="110"/>
      <c r="BF159" s="226"/>
      <c r="BG159" s="110">
        <v>0</v>
      </c>
      <c r="BH159" s="263"/>
      <c r="BI159" s="937"/>
      <c r="BJ159" s="937"/>
      <c r="BK159" s="937"/>
      <c r="BL159" s="937"/>
      <c r="BM159" s="937"/>
      <c r="BN159" s="937"/>
      <c r="BO159" s="937"/>
      <c r="BP159" s="937"/>
      <c r="BQ159" s="937"/>
    </row>
    <row r="160" spans="1:69" ht="30" customHeight="1">
      <c r="A160" s="245">
        <f t="shared" si="12"/>
        <v>72</v>
      </c>
      <c r="B160" s="1512" t="s">
        <v>5235</v>
      </c>
      <c r="C160" s="1512" t="s">
        <v>5236</v>
      </c>
      <c r="D160" s="207" t="s">
        <v>5237</v>
      </c>
      <c r="E160" s="224">
        <v>3482252979</v>
      </c>
      <c r="F160" s="251" t="s">
        <v>5238</v>
      </c>
      <c r="G160" s="124"/>
      <c r="H160" s="124"/>
      <c r="I160" s="124"/>
      <c r="J160" s="124"/>
      <c r="K160" s="255"/>
      <c r="L160" s="256"/>
      <c r="M160" s="124"/>
      <c r="N160" s="124"/>
      <c r="O160" s="207"/>
      <c r="P160" s="124"/>
      <c r="Q160" s="124"/>
      <c r="R160" s="124"/>
      <c r="S160" s="515"/>
      <c r="T160" s="258" t="s">
        <v>115</v>
      </c>
      <c r="U160" s="258" t="s">
        <v>115</v>
      </c>
      <c r="V160" s="258" t="s">
        <v>115</v>
      </c>
      <c r="W160" s="515" t="s">
        <v>115</v>
      </c>
      <c r="X160" s="124"/>
      <c r="Y160" s="124"/>
      <c r="Z160" s="124"/>
      <c r="AA160" s="515"/>
      <c r="AB160" s="124"/>
      <c r="AC160" s="124"/>
      <c r="AD160" s="124"/>
      <c r="AE160" s="808">
        <f t="shared" si="15"/>
        <v>3497</v>
      </c>
      <c r="AF160" s="761">
        <f t="shared" si="16"/>
        <v>3497</v>
      </c>
      <c r="AG160" s="110">
        <f t="shared" si="24"/>
        <v>3497</v>
      </c>
      <c r="AH160" s="808">
        <f t="shared" si="23"/>
        <v>0</v>
      </c>
      <c r="AI160" s="1472" t="s">
        <v>5222</v>
      </c>
      <c r="AJ160" s="206">
        <v>0.15</v>
      </c>
      <c r="AK160" s="808">
        <f t="shared" si="9"/>
        <v>524.54999999999995</v>
      </c>
      <c r="AL160" s="1472" t="s">
        <v>3233</v>
      </c>
      <c r="AM160" s="206">
        <v>0.1</v>
      </c>
      <c r="AN160" s="808">
        <f t="shared" si="10"/>
        <v>349.70000000000005</v>
      </c>
      <c r="AO160" s="110">
        <v>3497</v>
      </c>
      <c r="AP160" s="226">
        <v>44487</v>
      </c>
      <c r="AQ160" s="110">
        <v>3497</v>
      </c>
      <c r="AR160" s="263"/>
      <c r="AS160" s="110"/>
      <c r="AT160" s="226"/>
      <c r="AU160" s="110"/>
      <c r="AV160" s="263"/>
      <c r="AW160" s="110"/>
      <c r="AX160" s="226"/>
      <c r="AY160" s="110"/>
      <c r="AZ160" s="263"/>
      <c r="BA160" s="110"/>
      <c r="BB160" s="226"/>
      <c r="BC160" s="110"/>
      <c r="BD160" s="263"/>
      <c r="BE160" s="110"/>
      <c r="BF160" s="226"/>
      <c r="BG160" s="110">
        <v>0</v>
      </c>
      <c r="BH160" s="263"/>
      <c r="BI160" s="1" t="s">
        <v>3002</v>
      </c>
      <c r="BJ160" s="937"/>
      <c r="BK160" s="937"/>
      <c r="BL160" s="937"/>
      <c r="BM160" s="937"/>
      <c r="BN160" s="937"/>
      <c r="BO160" s="937"/>
      <c r="BP160" s="937"/>
      <c r="BQ160" s="937"/>
    </row>
    <row r="161" spans="1:69" ht="30" hidden="1" customHeight="1">
      <c r="A161" s="245">
        <f t="shared" si="12"/>
        <v>73</v>
      </c>
      <c r="B161" s="338" t="s">
        <v>785</v>
      </c>
      <c r="C161" s="338" t="s">
        <v>2365</v>
      </c>
      <c r="D161" s="294" t="s">
        <v>4551</v>
      </c>
      <c r="E161" s="224" t="s">
        <v>5239</v>
      </c>
      <c r="F161" s="251" t="s">
        <v>5240</v>
      </c>
      <c r="G161" s="124"/>
      <c r="H161" s="124"/>
      <c r="I161" s="124"/>
      <c r="J161" s="124"/>
      <c r="K161" s="255"/>
      <c r="L161" s="256"/>
      <c r="M161" s="124"/>
      <c r="N161" s="124"/>
      <c r="O161" s="207"/>
      <c r="P161" s="124"/>
      <c r="Q161" s="124"/>
      <c r="R161" s="124"/>
      <c r="S161" s="515"/>
      <c r="T161" s="258" t="s">
        <v>116</v>
      </c>
      <c r="U161" s="258"/>
      <c r="V161" s="258"/>
      <c r="W161" s="515"/>
      <c r="X161" s="124"/>
      <c r="Y161" s="124"/>
      <c r="Z161" s="124"/>
      <c r="AA161" s="515"/>
      <c r="AB161" s="124"/>
      <c r="AC161" s="124"/>
      <c r="AD161" s="124"/>
      <c r="AE161" s="808">
        <f t="shared" si="15"/>
        <v>0</v>
      </c>
      <c r="AF161" s="761">
        <f t="shared" si="16"/>
        <v>0</v>
      </c>
      <c r="AG161" s="110">
        <f t="shared" si="24"/>
        <v>0</v>
      </c>
      <c r="AH161" s="808">
        <f t="shared" si="23"/>
        <v>0</v>
      </c>
      <c r="AI161" s="301" t="s">
        <v>262</v>
      </c>
      <c r="AJ161" s="206"/>
      <c r="AK161" s="808">
        <f t="shared" si="9"/>
        <v>0</v>
      </c>
      <c r="AL161" s="1472" t="s">
        <v>3395</v>
      </c>
      <c r="AM161" s="206"/>
      <c r="AN161" s="808">
        <f t="shared" si="10"/>
        <v>0</v>
      </c>
      <c r="AO161" s="110"/>
      <c r="AP161" s="226"/>
      <c r="AQ161" s="110"/>
      <c r="AR161" s="263"/>
      <c r="AS161" s="110"/>
      <c r="AT161" s="226"/>
      <c r="AU161" s="110"/>
      <c r="AV161" s="263"/>
      <c r="AW161" s="110"/>
      <c r="AX161" s="226"/>
      <c r="AY161" s="110"/>
      <c r="AZ161" s="263"/>
      <c r="BA161" s="110"/>
      <c r="BB161" s="226"/>
      <c r="BC161" s="110"/>
      <c r="BD161" s="263"/>
      <c r="BE161" s="110"/>
      <c r="BF161" s="226"/>
      <c r="BG161" s="110">
        <v>0</v>
      </c>
      <c r="BH161" s="263"/>
      <c r="BI161" s="937"/>
      <c r="BJ161" s="937"/>
      <c r="BK161" s="937"/>
      <c r="BL161" s="937"/>
      <c r="BM161" s="937"/>
      <c r="BN161" s="937"/>
      <c r="BO161" s="937"/>
      <c r="BP161" s="937"/>
      <c r="BQ161" s="937"/>
    </row>
    <row r="162" spans="1:69" ht="30" customHeight="1">
      <c r="A162" s="245">
        <f t="shared" si="12"/>
        <v>74</v>
      </c>
      <c r="B162" s="1512" t="s">
        <v>135</v>
      </c>
      <c r="C162" s="1512" t="s">
        <v>5241</v>
      </c>
      <c r="D162" s="124"/>
      <c r="E162" s="124"/>
      <c r="F162" s="251" t="s">
        <v>3056</v>
      </c>
      <c r="G162" s="124"/>
      <c r="H162" s="124"/>
      <c r="I162" s="124"/>
      <c r="J162" s="124"/>
      <c r="K162" s="255"/>
      <c r="L162" s="256"/>
      <c r="M162" s="124"/>
      <c r="N162" s="124"/>
      <c r="O162" s="207" t="s">
        <v>3057</v>
      </c>
      <c r="P162" s="124"/>
      <c r="Q162" s="124"/>
      <c r="R162" s="124"/>
      <c r="S162" s="515"/>
      <c r="T162" s="258" t="s">
        <v>115</v>
      </c>
      <c r="U162" s="258" t="s">
        <v>115</v>
      </c>
      <c r="V162" s="258" t="s">
        <v>115</v>
      </c>
      <c r="W162" s="515"/>
      <c r="X162" s="124"/>
      <c r="Y162" s="124"/>
      <c r="Z162" s="124"/>
      <c r="AA162" s="515"/>
      <c r="AB162" s="124"/>
      <c r="AC162" s="124"/>
      <c r="AD162" s="124"/>
      <c r="AE162" s="808">
        <f t="shared" si="15"/>
        <v>0</v>
      </c>
      <c r="AF162" s="761">
        <f t="shared" si="16"/>
        <v>0</v>
      </c>
      <c r="AG162" s="110">
        <f t="shared" si="24"/>
        <v>0</v>
      </c>
      <c r="AH162" s="808">
        <f t="shared" si="23"/>
        <v>0</v>
      </c>
      <c r="AI162" s="301" t="s">
        <v>2371</v>
      </c>
      <c r="AJ162" s="206">
        <v>0.15</v>
      </c>
      <c r="AK162" s="808">
        <f t="shared" si="9"/>
        <v>0</v>
      </c>
      <c r="AL162" s="1472" t="s">
        <v>2920</v>
      </c>
      <c r="AM162" s="206">
        <v>0.05</v>
      </c>
      <c r="AN162" s="808">
        <f t="shared" si="10"/>
        <v>0</v>
      </c>
      <c r="AO162" s="110"/>
      <c r="AP162" s="226"/>
      <c r="AQ162" s="110"/>
      <c r="AR162" s="263"/>
      <c r="AS162" s="110"/>
      <c r="AT162" s="226"/>
      <c r="AU162" s="110"/>
      <c r="AV162" s="263"/>
      <c r="AW162" s="110"/>
      <c r="AX162" s="226"/>
      <c r="AY162" s="110"/>
      <c r="AZ162" s="263"/>
      <c r="BA162" s="110"/>
      <c r="BB162" s="226"/>
      <c r="BC162" s="110"/>
      <c r="BD162" s="263"/>
      <c r="BE162" s="110"/>
      <c r="BF162" s="226"/>
      <c r="BG162" s="110">
        <v>0</v>
      </c>
      <c r="BH162" s="263"/>
      <c r="BI162" s="937"/>
      <c r="BJ162" s="937"/>
      <c r="BK162" s="937"/>
      <c r="BL162" s="937"/>
      <c r="BM162" s="937"/>
      <c r="BN162" s="937"/>
      <c r="BO162" s="937"/>
      <c r="BP162" s="937"/>
      <c r="BQ162" s="937"/>
    </row>
    <row r="163" spans="1:69" ht="15.75" customHeight="1">
      <c r="A163" s="245">
        <f t="shared" si="12"/>
        <v>75</v>
      </c>
      <c r="B163" s="1512" t="s">
        <v>5242</v>
      </c>
      <c r="C163" s="1512" t="s">
        <v>5243</v>
      </c>
      <c r="D163" s="124"/>
      <c r="E163" s="124"/>
      <c r="F163" s="251" t="s">
        <v>3056</v>
      </c>
      <c r="G163" s="124"/>
      <c r="H163" s="124"/>
      <c r="I163" s="124"/>
      <c r="J163" s="124"/>
      <c r="K163" s="255"/>
      <c r="L163" s="256"/>
      <c r="M163" s="124"/>
      <c r="N163" s="124"/>
      <c r="O163" s="207" t="s">
        <v>3057</v>
      </c>
      <c r="P163" s="124"/>
      <c r="Q163" s="124"/>
      <c r="R163" s="124"/>
      <c r="S163" s="515"/>
      <c r="T163" s="258" t="s">
        <v>115</v>
      </c>
      <c r="U163" s="258" t="s">
        <v>115</v>
      </c>
      <c r="V163" s="258" t="s">
        <v>115</v>
      </c>
      <c r="W163" s="515"/>
      <c r="X163" s="124"/>
      <c r="Y163" s="124"/>
      <c r="Z163" s="124"/>
      <c r="AA163" s="515"/>
      <c r="AB163" s="124"/>
      <c r="AC163" s="124"/>
      <c r="AD163" s="124"/>
      <c r="AE163" s="808">
        <f t="shared" si="15"/>
        <v>27997</v>
      </c>
      <c r="AF163" s="761">
        <f t="shared" si="16"/>
        <v>20000</v>
      </c>
      <c r="AG163" s="110">
        <v>20000</v>
      </c>
      <c r="AH163" s="808">
        <f t="shared" si="23"/>
        <v>7997</v>
      </c>
      <c r="AI163" s="301" t="s">
        <v>5244</v>
      </c>
      <c r="AJ163" s="206">
        <v>0.15</v>
      </c>
      <c r="AK163" s="808">
        <f t="shared" si="9"/>
        <v>3000</v>
      </c>
      <c r="AL163" s="1472" t="s">
        <v>5245</v>
      </c>
      <c r="AM163" s="206">
        <v>0.05</v>
      </c>
      <c r="AN163" s="808">
        <f t="shared" si="10"/>
        <v>1000</v>
      </c>
      <c r="AO163" s="110">
        <v>10000</v>
      </c>
      <c r="AP163" s="226">
        <v>44493</v>
      </c>
      <c r="AQ163" s="110">
        <v>10000</v>
      </c>
      <c r="AR163" s="263"/>
      <c r="AS163" s="110">
        <v>10000</v>
      </c>
      <c r="AT163" s="226">
        <v>44536</v>
      </c>
      <c r="AU163" s="110">
        <v>10000</v>
      </c>
      <c r="AV163" s="263"/>
      <c r="AW163" s="110">
        <v>7997</v>
      </c>
      <c r="AX163" s="226">
        <v>44926</v>
      </c>
      <c r="AY163" s="110"/>
      <c r="AZ163" s="263"/>
      <c r="BA163" s="110"/>
      <c r="BB163" s="226"/>
      <c r="BC163" s="110"/>
      <c r="BD163" s="263"/>
      <c r="BE163" s="110"/>
      <c r="BF163" s="226"/>
      <c r="BG163" s="110">
        <v>0</v>
      </c>
      <c r="BH163" s="263"/>
      <c r="BI163" s="937"/>
      <c r="BJ163" s="937"/>
      <c r="BK163" s="937"/>
      <c r="BL163" s="937"/>
      <c r="BM163" s="937"/>
      <c r="BN163" s="937"/>
      <c r="BO163" s="937"/>
      <c r="BP163" s="937"/>
      <c r="BQ163" s="937"/>
    </row>
    <row r="164" spans="1:69" ht="30" hidden="1" customHeight="1">
      <c r="A164" s="245">
        <f t="shared" si="12"/>
        <v>76</v>
      </c>
      <c r="B164" s="1512" t="s">
        <v>477</v>
      </c>
      <c r="C164" s="1512" t="s">
        <v>4692</v>
      </c>
      <c r="D164" s="124"/>
      <c r="E164" s="124"/>
      <c r="F164" s="251" t="s">
        <v>3056</v>
      </c>
      <c r="G164" s="124"/>
      <c r="H164" s="124"/>
      <c r="I164" s="124"/>
      <c r="J164" s="124"/>
      <c r="K164" s="255"/>
      <c r="L164" s="256"/>
      <c r="M164" s="124"/>
      <c r="N164" s="124"/>
      <c r="O164" s="207" t="s">
        <v>3057</v>
      </c>
      <c r="P164" s="124"/>
      <c r="Q164" s="124"/>
      <c r="R164" s="124"/>
      <c r="S164" s="515"/>
      <c r="T164" s="258" t="s">
        <v>115</v>
      </c>
      <c r="U164" s="258" t="s">
        <v>115</v>
      </c>
      <c r="V164" s="258"/>
      <c r="W164" s="515"/>
      <c r="X164" s="124"/>
      <c r="Y164" s="124"/>
      <c r="Z164" s="124"/>
      <c r="AA164" s="515"/>
      <c r="AB164" s="124"/>
      <c r="AC164" s="124"/>
      <c r="AD164" s="124"/>
      <c r="AE164" s="808">
        <f t="shared" si="15"/>
        <v>0</v>
      </c>
      <c r="AF164" s="761">
        <f t="shared" si="16"/>
        <v>0</v>
      </c>
      <c r="AG164" s="110">
        <f t="shared" ref="AG164:AG179" si="25">AF164</f>
        <v>0</v>
      </c>
      <c r="AH164" s="808">
        <f t="shared" si="23"/>
        <v>0</v>
      </c>
      <c r="AI164" s="301" t="s">
        <v>2371</v>
      </c>
      <c r="AJ164" s="206">
        <v>0.15</v>
      </c>
      <c r="AK164" s="808">
        <f t="shared" si="9"/>
        <v>0</v>
      </c>
      <c r="AL164" s="1472" t="s">
        <v>2920</v>
      </c>
      <c r="AM164" s="206">
        <v>0.05</v>
      </c>
      <c r="AN164" s="808">
        <f t="shared" si="10"/>
        <v>0</v>
      </c>
      <c r="AO164" s="110"/>
      <c r="AP164" s="226"/>
      <c r="AQ164" s="110"/>
      <c r="AR164" s="263"/>
      <c r="AS164" s="110"/>
      <c r="AT164" s="226"/>
      <c r="AU164" s="110"/>
      <c r="AV164" s="263"/>
      <c r="AW164" s="110"/>
      <c r="AX164" s="226"/>
      <c r="AY164" s="110"/>
      <c r="AZ164" s="263"/>
      <c r="BA164" s="110"/>
      <c r="BB164" s="226"/>
      <c r="BC164" s="110"/>
      <c r="BD164" s="263"/>
      <c r="BE164" s="110"/>
      <c r="BF164" s="226"/>
      <c r="BG164" s="110">
        <v>0</v>
      </c>
      <c r="BH164" s="263"/>
      <c r="BI164" s="937"/>
      <c r="BJ164" s="937"/>
      <c r="BK164" s="937"/>
      <c r="BL164" s="937"/>
      <c r="BM164" s="937"/>
      <c r="BN164" s="937"/>
      <c r="BO164" s="937"/>
      <c r="BP164" s="937"/>
      <c r="BQ164" s="937"/>
    </row>
    <row r="165" spans="1:69" ht="30" customHeight="1">
      <c r="A165" s="245">
        <f t="shared" si="12"/>
        <v>77</v>
      </c>
      <c r="B165" s="1512" t="s">
        <v>5246</v>
      </c>
      <c r="C165" s="1512" t="s">
        <v>5247</v>
      </c>
      <c r="D165" s="124"/>
      <c r="E165" s="124"/>
      <c r="F165" s="251" t="s">
        <v>3056</v>
      </c>
      <c r="G165" s="124"/>
      <c r="H165" s="124"/>
      <c r="I165" s="124"/>
      <c r="J165" s="124"/>
      <c r="K165" s="255"/>
      <c r="L165" s="256"/>
      <c r="M165" s="124"/>
      <c r="N165" s="124"/>
      <c r="O165" s="207" t="s">
        <v>3057</v>
      </c>
      <c r="P165" s="124"/>
      <c r="Q165" s="124"/>
      <c r="R165" s="124"/>
      <c r="S165" s="515"/>
      <c r="T165" s="258" t="s">
        <v>115</v>
      </c>
      <c r="U165" s="258" t="s">
        <v>115</v>
      </c>
      <c r="V165" s="258" t="s">
        <v>115</v>
      </c>
      <c r="W165" s="515"/>
      <c r="X165" s="124"/>
      <c r="Y165" s="124"/>
      <c r="Z165" s="124"/>
      <c r="AA165" s="515"/>
      <c r="AB165" s="124"/>
      <c r="AC165" s="124"/>
      <c r="AD165" s="124"/>
      <c r="AE165" s="808">
        <f t="shared" si="15"/>
        <v>0</v>
      </c>
      <c r="AF165" s="761">
        <f t="shared" si="16"/>
        <v>0</v>
      </c>
      <c r="AG165" s="110">
        <f t="shared" si="25"/>
        <v>0</v>
      </c>
      <c r="AH165" s="808">
        <f t="shared" si="23"/>
        <v>0</v>
      </c>
      <c r="AI165" s="301" t="s">
        <v>2371</v>
      </c>
      <c r="AJ165" s="206">
        <v>0.15</v>
      </c>
      <c r="AK165" s="808">
        <f t="shared" si="9"/>
        <v>0</v>
      </c>
      <c r="AL165" s="1472" t="s">
        <v>2920</v>
      </c>
      <c r="AM165" s="206">
        <v>0.05</v>
      </c>
      <c r="AN165" s="808">
        <f t="shared" si="10"/>
        <v>0</v>
      </c>
      <c r="AO165" s="110"/>
      <c r="AP165" s="226"/>
      <c r="AQ165" s="110"/>
      <c r="AR165" s="263"/>
      <c r="AS165" s="110"/>
      <c r="AT165" s="226"/>
      <c r="AU165" s="110"/>
      <c r="AV165" s="263"/>
      <c r="AW165" s="110"/>
      <c r="AX165" s="226"/>
      <c r="AY165" s="110"/>
      <c r="AZ165" s="263"/>
      <c r="BA165" s="110"/>
      <c r="BB165" s="226"/>
      <c r="BC165" s="110"/>
      <c r="BD165" s="263"/>
      <c r="BE165" s="110"/>
      <c r="BF165" s="226"/>
      <c r="BG165" s="110">
        <v>0</v>
      </c>
      <c r="BH165" s="263"/>
      <c r="BI165" s="937"/>
      <c r="BJ165" s="937"/>
      <c r="BK165" s="937"/>
      <c r="BL165" s="937"/>
      <c r="BM165" s="937"/>
      <c r="BN165" s="937"/>
      <c r="BO165" s="937"/>
      <c r="BP165" s="937"/>
      <c r="BQ165" s="937"/>
    </row>
    <row r="166" spans="1:69" ht="30" hidden="1" customHeight="1">
      <c r="A166" s="245">
        <f t="shared" si="12"/>
        <v>78</v>
      </c>
      <c r="B166" s="1512" t="s">
        <v>135</v>
      </c>
      <c r="C166" s="1512" t="s">
        <v>4681</v>
      </c>
      <c r="D166" s="124"/>
      <c r="E166" s="124"/>
      <c r="F166" s="251" t="s">
        <v>3056</v>
      </c>
      <c r="G166" s="124"/>
      <c r="H166" s="124"/>
      <c r="I166" s="124"/>
      <c r="J166" s="124"/>
      <c r="K166" s="255"/>
      <c r="L166" s="256"/>
      <c r="M166" s="124"/>
      <c r="N166" s="124"/>
      <c r="O166" s="207" t="s">
        <v>3057</v>
      </c>
      <c r="P166" s="124"/>
      <c r="Q166" s="124"/>
      <c r="R166" s="124"/>
      <c r="S166" s="515"/>
      <c r="T166" s="258" t="s">
        <v>115</v>
      </c>
      <c r="U166" s="258" t="s">
        <v>115</v>
      </c>
      <c r="V166" s="258"/>
      <c r="W166" s="515"/>
      <c r="X166" s="124"/>
      <c r="Y166" s="124"/>
      <c r="Z166" s="124"/>
      <c r="AA166" s="515"/>
      <c r="AB166" s="124"/>
      <c r="AC166" s="124"/>
      <c r="AD166" s="124"/>
      <c r="AE166" s="808">
        <f t="shared" si="15"/>
        <v>0</v>
      </c>
      <c r="AF166" s="761">
        <f t="shared" si="16"/>
        <v>0</v>
      </c>
      <c r="AG166" s="110">
        <f t="shared" si="25"/>
        <v>0</v>
      </c>
      <c r="AH166" s="808">
        <f t="shared" si="23"/>
        <v>0</v>
      </c>
      <c r="AI166" s="301" t="s">
        <v>2371</v>
      </c>
      <c r="AJ166" s="206">
        <v>0.15</v>
      </c>
      <c r="AK166" s="808">
        <f t="shared" si="9"/>
        <v>0</v>
      </c>
      <c r="AL166" s="1472" t="s">
        <v>2920</v>
      </c>
      <c r="AM166" s="206">
        <v>0.05</v>
      </c>
      <c r="AN166" s="808">
        <f t="shared" si="10"/>
        <v>0</v>
      </c>
      <c r="AO166" s="110"/>
      <c r="AP166" s="226"/>
      <c r="AQ166" s="110"/>
      <c r="AR166" s="263"/>
      <c r="AS166" s="110"/>
      <c r="AT166" s="226"/>
      <c r="AU166" s="110"/>
      <c r="AV166" s="263"/>
      <c r="AW166" s="110"/>
      <c r="AX166" s="226"/>
      <c r="AY166" s="110"/>
      <c r="AZ166" s="263"/>
      <c r="BA166" s="110"/>
      <c r="BB166" s="226"/>
      <c r="BC166" s="110"/>
      <c r="BD166" s="263"/>
      <c r="BE166" s="110"/>
      <c r="BF166" s="226"/>
      <c r="BG166" s="110">
        <v>0</v>
      </c>
      <c r="BH166" s="263"/>
      <c r="BI166" s="937"/>
      <c r="BJ166" s="937"/>
      <c r="BK166" s="937"/>
      <c r="BL166" s="937"/>
      <c r="BM166" s="937"/>
      <c r="BN166" s="937"/>
      <c r="BO166" s="937"/>
      <c r="BP166" s="937"/>
      <c r="BQ166" s="937"/>
    </row>
    <row r="167" spans="1:69" ht="30" customHeight="1">
      <c r="A167" s="245">
        <f t="shared" si="12"/>
        <v>79</v>
      </c>
      <c r="B167" s="1512" t="s">
        <v>1945</v>
      </c>
      <c r="C167" s="1512" t="s">
        <v>5248</v>
      </c>
      <c r="D167" s="124"/>
      <c r="E167" s="124"/>
      <c r="F167" s="251" t="s">
        <v>3056</v>
      </c>
      <c r="G167" s="124"/>
      <c r="H167" s="124"/>
      <c r="I167" s="124"/>
      <c r="J167" s="124"/>
      <c r="K167" s="255"/>
      <c r="L167" s="256"/>
      <c r="M167" s="124"/>
      <c r="N167" s="124"/>
      <c r="O167" s="207" t="s">
        <v>3057</v>
      </c>
      <c r="P167" s="124"/>
      <c r="Q167" s="124"/>
      <c r="R167" s="124"/>
      <c r="S167" s="515"/>
      <c r="T167" s="258" t="s">
        <v>115</v>
      </c>
      <c r="U167" s="258" t="s">
        <v>115</v>
      </c>
      <c r="V167" s="258" t="s">
        <v>115</v>
      </c>
      <c r="W167" s="515"/>
      <c r="X167" s="124"/>
      <c r="Y167" s="124"/>
      <c r="Z167" s="124"/>
      <c r="AA167" s="515"/>
      <c r="AB167" s="124"/>
      <c r="AC167" s="124"/>
      <c r="AD167" s="124"/>
      <c r="AE167" s="808">
        <f t="shared" si="15"/>
        <v>0</v>
      </c>
      <c r="AF167" s="761">
        <f t="shared" si="16"/>
        <v>0</v>
      </c>
      <c r="AG167" s="110">
        <f t="shared" si="25"/>
        <v>0</v>
      </c>
      <c r="AH167" s="808">
        <f t="shared" si="23"/>
        <v>0</v>
      </c>
      <c r="AI167" s="301" t="s">
        <v>2371</v>
      </c>
      <c r="AJ167" s="206">
        <v>0.15</v>
      </c>
      <c r="AK167" s="808">
        <f t="shared" si="9"/>
        <v>0</v>
      </c>
      <c r="AL167" s="1472" t="s">
        <v>2920</v>
      </c>
      <c r="AM167" s="206">
        <v>0.05</v>
      </c>
      <c r="AN167" s="808">
        <f t="shared" si="10"/>
        <v>0</v>
      </c>
      <c r="AO167" s="110"/>
      <c r="AP167" s="226"/>
      <c r="AQ167" s="110"/>
      <c r="AR167" s="263"/>
      <c r="AS167" s="110"/>
      <c r="AT167" s="226"/>
      <c r="AU167" s="110"/>
      <c r="AV167" s="263"/>
      <c r="AW167" s="110"/>
      <c r="AX167" s="226"/>
      <c r="AY167" s="110"/>
      <c r="AZ167" s="263"/>
      <c r="BA167" s="110"/>
      <c r="BB167" s="226"/>
      <c r="BC167" s="110"/>
      <c r="BD167" s="263"/>
      <c r="BE167" s="110"/>
      <c r="BF167" s="226"/>
      <c r="BG167" s="110">
        <v>0</v>
      </c>
      <c r="BH167" s="263"/>
      <c r="BI167" s="937"/>
      <c r="BJ167" s="937"/>
      <c r="BK167" s="937"/>
      <c r="BL167" s="937"/>
      <c r="BM167" s="937"/>
      <c r="BN167" s="937"/>
      <c r="BO167" s="937"/>
      <c r="BP167" s="937"/>
      <c r="BQ167" s="937"/>
    </row>
    <row r="168" spans="1:69" ht="30" customHeight="1">
      <c r="A168" s="245">
        <f t="shared" si="12"/>
        <v>80</v>
      </c>
      <c r="B168" s="1512" t="s">
        <v>392</v>
      </c>
      <c r="C168" s="1512" t="s">
        <v>5249</v>
      </c>
      <c r="D168" s="124"/>
      <c r="E168" s="124"/>
      <c r="F168" s="251" t="s">
        <v>3056</v>
      </c>
      <c r="G168" s="124"/>
      <c r="H168" s="124"/>
      <c r="I168" s="124"/>
      <c r="J168" s="124"/>
      <c r="K168" s="255"/>
      <c r="L168" s="256"/>
      <c r="M168" s="124"/>
      <c r="N168" s="124"/>
      <c r="O168" s="207" t="s">
        <v>3057</v>
      </c>
      <c r="P168" s="124"/>
      <c r="Q168" s="124"/>
      <c r="R168" s="124"/>
      <c r="S168" s="515"/>
      <c r="T168" s="258" t="s">
        <v>115</v>
      </c>
      <c r="U168" s="258" t="s">
        <v>115</v>
      </c>
      <c r="V168" s="258" t="s">
        <v>115</v>
      </c>
      <c r="W168" s="515"/>
      <c r="X168" s="124"/>
      <c r="Y168" s="124"/>
      <c r="Z168" s="124"/>
      <c r="AA168" s="515"/>
      <c r="AB168" s="124"/>
      <c r="AC168" s="124"/>
      <c r="AD168" s="124"/>
      <c r="AE168" s="808">
        <f t="shared" si="15"/>
        <v>0</v>
      </c>
      <c r="AF168" s="761">
        <f t="shared" si="16"/>
        <v>0</v>
      </c>
      <c r="AG168" s="110">
        <f t="shared" si="25"/>
        <v>0</v>
      </c>
      <c r="AH168" s="808">
        <f t="shared" si="23"/>
        <v>0</v>
      </c>
      <c r="AI168" s="301" t="s">
        <v>2371</v>
      </c>
      <c r="AJ168" s="206">
        <v>0.15</v>
      </c>
      <c r="AK168" s="808">
        <f t="shared" si="9"/>
        <v>0</v>
      </c>
      <c r="AL168" s="1472" t="s">
        <v>2920</v>
      </c>
      <c r="AM168" s="206">
        <v>0.05</v>
      </c>
      <c r="AN168" s="808">
        <f t="shared" si="10"/>
        <v>0</v>
      </c>
      <c r="AO168" s="110"/>
      <c r="AP168" s="226"/>
      <c r="AQ168" s="110"/>
      <c r="AR168" s="263"/>
      <c r="AS168" s="110"/>
      <c r="AT168" s="226"/>
      <c r="AU168" s="110"/>
      <c r="AV168" s="263"/>
      <c r="AW168" s="110"/>
      <c r="AX168" s="226"/>
      <c r="AY168" s="110"/>
      <c r="AZ168" s="263"/>
      <c r="BA168" s="110"/>
      <c r="BB168" s="226"/>
      <c r="BC168" s="110"/>
      <c r="BD168" s="263"/>
      <c r="BE168" s="110"/>
      <c r="BF168" s="226"/>
      <c r="BG168" s="110">
        <v>0</v>
      </c>
      <c r="BH168" s="263"/>
      <c r="BI168" s="937"/>
      <c r="BJ168" s="937"/>
      <c r="BK168" s="937"/>
      <c r="BL168" s="937"/>
      <c r="BM168" s="937"/>
      <c r="BN168" s="937"/>
      <c r="BO168" s="937"/>
      <c r="BP168" s="937"/>
      <c r="BQ168" s="937"/>
    </row>
    <row r="169" spans="1:69" ht="30" customHeight="1">
      <c r="A169" s="245">
        <f t="shared" si="12"/>
        <v>81</v>
      </c>
      <c r="B169" s="1512" t="s">
        <v>1945</v>
      </c>
      <c r="C169" s="1512" t="s">
        <v>5250</v>
      </c>
      <c r="D169" s="124"/>
      <c r="E169" s="124"/>
      <c r="F169" s="251" t="s">
        <v>3056</v>
      </c>
      <c r="G169" s="124"/>
      <c r="H169" s="124"/>
      <c r="I169" s="124"/>
      <c r="J169" s="124"/>
      <c r="K169" s="255"/>
      <c r="L169" s="256"/>
      <c r="M169" s="124"/>
      <c r="N169" s="124"/>
      <c r="O169" s="207" t="s">
        <v>3057</v>
      </c>
      <c r="P169" s="124"/>
      <c r="Q169" s="124"/>
      <c r="R169" s="124"/>
      <c r="S169" s="515"/>
      <c r="T169" s="258" t="s">
        <v>115</v>
      </c>
      <c r="U169" s="258" t="s">
        <v>115</v>
      </c>
      <c r="V169" s="258" t="s">
        <v>115</v>
      </c>
      <c r="W169" s="515"/>
      <c r="X169" s="124"/>
      <c r="Y169" s="124"/>
      <c r="Z169" s="124"/>
      <c r="AA169" s="515"/>
      <c r="AB169" s="124"/>
      <c r="AC169" s="124"/>
      <c r="AD169" s="124"/>
      <c r="AE169" s="808">
        <f t="shared" si="15"/>
        <v>0</v>
      </c>
      <c r="AF169" s="761">
        <f t="shared" si="16"/>
        <v>0</v>
      </c>
      <c r="AG169" s="110">
        <f t="shared" si="25"/>
        <v>0</v>
      </c>
      <c r="AH169" s="808">
        <f t="shared" si="23"/>
        <v>0</v>
      </c>
      <c r="AI169" s="301" t="s">
        <v>2371</v>
      </c>
      <c r="AJ169" s="206">
        <v>0.15</v>
      </c>
      <c r="AK169" s="808">
        <f t="shared" si="9"/>
        <v>0</v>
      </c>
      <c r="AL169" s="1472" t="s">
        <v>2920</v>
      </c>
      <c r="AM169" s="206">
        <v>0.05</v>
      </c>
      <c r="AN169" s="808">
        <f t="shared" si="10"/>
        <v>0</v>
      </c>
      <c r="AO169" s="110"/>
      <c r="AP169" s="226"/>
      <c r="AQ169" s="110"/>
      <c r="AR169" s="263"/>
      <c r="AS169" s="110"/>
      <c r="AT169" s="226"/>
      <c r="AU169" s="110"/>
      <c r="AV169" s="263"/>
      <c r="AW169" s="110"/>
      <c r="AX169" s="226"/>
      <c r="AY169" s="110"/>
      <c r="AZ169" s="263"/>
      <c r="BA169" s="110"/>
      <c r="BB169" s="226"/>
      <c r="BC169" s="110"/>
      <c r="BD169" s="263"/>
      <c r="BE169" s="110"/>
      <c r="BF169" s="226"/>
      <c r="BG169" s="110">
        <v>0</v>
      </c>
      <c r="BH169" s="263"/>
      <c r="BI169" s="937"/>
      <c r="BJ169" s="937"/>
      <c r="BK169" s="937"/>
      <c r="BL169" s="937"/>
      <c r="BM169" s="937"/>
      <c r="BN169" s="937"/>
      <c r="BO169" s="937"/>
      <c r="BP169" s="937"/>
      <c r="BQ169" s="937"/>
    </row>
    <row r="170" spans="1:69" ht="30" customHeight="1">
      <c r="A170" s="245">
        <f t="shared" si="12"/>
        <v>82</v>
      </c>
      <c r="B170" s="1512" t="s">
        <v>3774</v>
      </c>
      <c r="C170" s="1512" t="s">
        <v>5251</v>
      </c>
      <c r="D170" s="124"/>
      <c r="E170" s="124"/>
      <c r="F170" s="251" t="s">
        <v>3056</v>
      </c>
      <c r="G170" s="124"/>
      <c r="H170" s="124"/>
      <c r="I170" s="124"/>
      <c r="J170" s="124"/>
      <c r="K170" s="255"/>
      <c r="L170" s="256"/>
      <c r="M170" s="124"/>
      <c r="N170" s="124"/>
      <c r="O170" s="207" t="s">
        <v>3057</v>
      </c>
      <c r="P170" s="124"/>
      <c r="Q170" s="124"/>
      <c r="R170" s="124"/>
      <c r="S170" s="515"/>
      <c r="T170" s="258" t="s">
        <v>115</v>
      </c>
      <c r="U170" s="258" t="s">
        <v>115</v>
      </c>
      <c r="V170" s="258" t="s">
        <v>115</v>
      </c>
      <c r="W170" s="515"/>
      <c r="X170" s="124"/>
      <c r="Y170" s="124"/>
      <c r="Z170" s="124"/>
      <c r="AA170" s="515"/>
      <c r="AB170" s="124"/>
      <c r="AC170" s="124"/>
      <c r="AD170" s="124"/>
      <c r="AE170" s="808">
        <f t="shared" si="15"/>
        <v>0</v>
      </c>
      <c r="AF170" s="761">
        <f t="shared" si="16"/>
        <v>0</v>
      </c>
      <c r="AG170" s="110">
        <f t="shared" si="25"/>
        <v>0</v>
      </c>
      <c r="AH170" s="808">
        <f t="shared" si="23"/>
        <v>0</v>
      </c>
      <c r="AI170" s="301" t="s">
        <v>2371</v>
      </c>
      <c r="AJ170" s="206">
        <v>0.15</v>
      </c>
      <c r="AK170" s="808">
        <f t="shared" si="9"/>
        <v>0</v>
      </c>
      <c r="AL170" s="1472" t="s">
        <v>2920</v>
      </c>
      <c r="AM170" s="206">
        <v>0.05</v>
      </c>
      <c r="AN170" s="808">
        <f t="shared" si="10"/>
        <v>0</v>
      </c>
      <c r="AO170" s="110"/>
      <c r="AP170" s="226"/>
      <c r="AQ170" s="110"/>
      <c r="AR170" s="263"/>
      <c r="AS170" s="110"/>
      <c r="AT170" s="226"/>
      <c r="AU170" s="110"/>
      <c r="AV170" s="263"/>
      <c r="AW170" s="110"/>
      <c r="AX170" s="226"/>
      <c r="AY170" s="110"/>
      <c r="AZ170" s="263"/>
      <c r="BA170" s="110"/>
      <c r="BB170" s="226"/>
      <c r="BC170" s="110"/>
      <c r="BD170" s="263"/>
      <c r="BE170" s="110"/>
      <c r="BF170" s="226"/>
      <c r="BG170" s="110">
        <v>0</v>
      </c>
      <c r="BH170" s="263"/>
      <c r="BI170" s="937"/>
      <c r="BJ170" s="937"/>
      <c r="BK170" s="937"/>
      <c r="BL170" s="937"/>
      <c r="BM170" s="937"/>
      <c r="BN170" s="937"/>
      <c r="BO170" s="937"/>
      <c r="BP170" s="937"/>
      <c r="BQ170" s="937"/>
    </row>
    <row r="171" spans="1:69" ht="30" customHeight="1">
      <c r="A171" s="245">
        <f t="shared" si="12"/>
        <v>83</v>
      </c>
      <c r="B171" s="1512" t="s">
        <v>1756</v>
      </c>
      <c r="C171" s="1512" t="s">
        <v>5252</v>
      </c>
      <c r="D171" s="124"/>
      <c r="E171" s="124"/>
      <c r="F171" s="251" t="s">
        <v>3056</v>
      </c>
      <c r="G171" s="124"/>
      <c r="H171" s="124"/>
      <c r="I171" s="124"/>
      <c r="J171" s="124"/>
      <c r="K171" s="255"/>
      <c r="L171" s="256"/>
      <c r="M171" s="124"/>
      <c r="N171" s="124"/>
      <c r="O171" s="207" t="s">
        <v>3057</v>
      </c>
      <c r="P171" s="124"/>
      <c r="Q171" s="124"/>
      <c r="R171" s="124"/>
      <c r="S171" s="515"/>
      <c r="T171" s="258" t="s">
        <v>115</v>
      </c>
      <c r="U171" s="258" t="s">
        <v>115</v>
      </c>
      <c r="V171" s="258" t="s">
        <v>115</v>
      </c>
      <c r="W171" s="515"/>
      <c r="X171" s="124"/>
      <c r="Y171" s="124"/>
      <c r="Z171" s="124"/>
      <c r="AA171" s="515"/>
      <c r="AB171" s="124"/>
      <c r="AC171" s="124"/>
      <c r="AD171" s="124"/>
      <c r="AE171" s="808">
        <f t="shared" si="15"/>
        <v>0</v>
      </c>
      <c r="AF171" s="761">
        <f t="shared" si="16"/>
        <v>0</v>
      </c>
      <c r="AG171" s="110">
        <f t="shared" si="25"/>
        <v>0</v>
      </c>
      <c r="AH171" s="808">
        <f t="shared" si="23"/>
        <v>0</v>
      </c>
      <c r="AI171" s="301" t="s">
        <v>2371</v>
      </c>
      <c r="AJ171" s="206">
        <v>0.15</v>
      </c>
      <c r="AK171" s="808">
        <f t="shared" si="9"/>
        <v>0</v>
      </c>
      <c r="AL171" s="1472" t="s">
        <v>2920</v>
      </c>
      <c r="AM171" s="206">
        <v>0.05</v>
      </c>
      <c r="AN171" s="808">
        <f t="shared" si="10"/>
        <v>0</v>
      </c>
      <c r="AO171" s="110"/>
      <c r="AP171" s="226"/>
      <c r="AQ171" s="110"/>
      <c r="AR171" s="263"/>
      <c r="AS171" s="110"/>
      <c r="AT171" s="226"/>
      <c r="AU171" s="110"/>
      <c r="AV171" s="263"/>
      <c r="AW171" s="110"/>
      <c r="AX171" s="226"/>
      <c r="AY171" s="110"/>
      <c r="AZ171" s="263"/>
      <c r="BA171" s="110"/>
      <c r="BB171" s="226"/>
      <c r="BC171" s="110"/>
      <c r="BD171" s="263"/>
      <c r="BE171" s="110"/>
      <c r="BF171" s="226"/>
      <c r="BG171" s="110">
        <v>0</v>
      </c>
      <c r="BH171" s="263"/>
      <c r="BI171" s="937"/>
      <c r="BJ171" s="937"/>
      <c r="BK171" s="937"/>
      <c r="BL171" s="937"/>
      <c r="BM171" s="937"/>
      <c r="BN171" s="937"/>
      <c r="BO171" s="937"/>
      <c r="BP171" s="937"/>
      <c r="BQ171" s="937"/>
    </row>
    <row r="172" spans="1:69" ht="30" customHeight="1">
      <c r="A172" s="245">
        <f t="shared" si="12"/>
        <v>84</v>
      </c>
      <c r="B172" s="1512" t="s">
        <v>321</v>
      </c>
      <c r="C172" s="1512" t="s">
        <v>2534</v>
      </c>
      <c r="D172" s="124"/>
      <c r="E172" s="124"/>
      <c r="F172" s="251" t="s">
        <v>3056</v>
      </c>
      <c r="G172" s="124"/>
      <c r="H172" s="124"/>
      <c r="I172" s="124"/>
      <c r="J172" s="124"/>
      <c r="K172" s="255"/>
      <c r="L172" s="256"/>
      <c r="M172" s="124"/>
      <c r="N172" s="124"/>
      <c r="O172" s="207" t="s">
        <v>3057</v>
      </c>
      <c r="P172" s="124"/>
      <c r="Q172" s="124"/>
      <c r="R172" s="124"/>
      <c r="S172" s="515"/>
      <c r="T172" s="258" t="s">
        <v>115</v>
      </c>
      <c r="U172" s="258" t="s">
        <v>115</v>
      </c>
      <c r="V172" s="258" t="s">
        <v>115</v>
      </c>
      <c r="W172" s="515"/>
      <c r="X172" s="124"/>
      <c r="Y172" s="124"/>
      <c r="Z172" s="124"/>
      <c r="AA172" s="515"/>
      <c r="AB172" s="124"/>
      <c r="AC172" s="124"/>
      <c r="AD172" s="124"/>
      <c r="AE172" s="808">
        <f t="shared" si="15"/>
        <v>0</v>
      </c>
      <c r="AF172" s="761">
        <f t="shared" si="16"/>
        <v>0</v>
      </c>
      <c r="AG172" s="110">
        <f t="shared" si="25"/>
        <v>0</v>
      </c>
      <c r="AH172" s="808">
        <f t="shared" si="23"/>
        <v>0</v>
      </c>
      <c r="AI172" s="301" t="s">
        <v>2371</v>
      </c>
      <c r="AJ172" s="206">
        <v>0.15</v>
      </c>
      <c r="AK172" s="808">
        <f t="shared" si="9"/>
        <v>0</v>
      </c>
      <c r="AL172" s="1472" t="s">
        <v>2920</v>
      </c>
      <c r="AM172" s="206">
        <v>0.05</v>
      </c>
      <c r="AN172" s="808">
        <f t="shared" si="10"/>
        <v>0</v>
      </c>
      <c r="AO172" s="110"/>
      <c r="AP172" s="226"/>
      <c r="AQ172" s="110"/>
      <c r="AR172" s="263"/>
      <c r="AS172" s="110"/>
      <c r="AT172" s="226"/>
      <c r="AU172" s="110"/>
      <c r="AV172" s="263"/>
      <c r="AW172" s="110"/>
      <c r="AX172" s="226"/>
      <c r="AY172" s="110"/>
      <c r="AZ172" s="263"/>
      <c r="BA172" s="110"/>
      <c r="BB172" s="226"/>
      <c r="BC172" s="110"/>
      <c r="BD172" s="263"/>
      <c r="BE172" s="110"/>
      <c r="BF172" s="226"/>
      <c r="BG172" s="110">
        <v>0</v>
      </c>
      <c r="BH172" s="263"/>
      <c r="BI172" s="937"/>
      <c r="BJ172" s="937"/>
      <c r="BK172" s="937"/>
      <c r="BL172" s="937"/>
      <c r="BM172" s="937"/>
      <c r="BN172" s="937"/>
      <c r="BO172" s="937"/>
      <c r="BP172" s="937"/>
      <c r="BQ172" s="937"/>
    </row>
    <row r="173" spans="1:69" ht="30" customHeight="1">
      <c r="A173" s="245">
        <f t="shared" si="12"/>
        <v>85</v>
      </c>
      <c r="B173" s="1512" t="s">
        <v>204</v>
      </c>
      <c r="C173" s="1512" t="s">
        <v>3129</v>
      </c>
      <c r="D173" s="124"/>
      <c r="E173" s="124"/>
      <c r="F173" s="251" t="s">
        <v>3056</v>
      </c>
      <c r="G173" s="124"/>
      <c r="H173" s="124"/>
      <c r="I173" s="124"/>
      <c r="J173" s="124"/>
      <c r="K173" s="255"/>
      <c r="L173" s="256"/>
      <c r="M173" s="124"/>
      <c r="N173" s="124"/>
      <c r="O173" s="207" t="s">
        <v>3057</v>
      </c>
      <c r="P173" s="124"/>
      <c r="Q173" s="124"/>
      <c r="R173" s="124"/>
      <c r="S173" s="515"/>
      <c r="T173" s="928"/>
      <c r="U173" s="258" t="s">
        <v>115</v>
      </c>
      <c r="V173" s="258" t="s">
        <v>115</v>
      </c>
      <c r="W173" s="515"/>
      <c r="X173" s="124"/>
      <c r="Y173" s="124"/>
      <c r="Z173" s="124"/>
      <c r="AA173" s="515"/>
      <c r="AB173" s="124"/>
      <c r="AC173" s="124"/>
      <c r="AD173" s="124"/>
      <c r="AE173" s="808">
        <f t="shared" si="15"/>
        <v>0</v>
      </c>
      <c r="AF173" s="761">
        <f t="shared" si="16"/>
        <v>0</v>
      </c>
      <c r="AG173" s="110">
        <f t="shared" si="25"/>
        <v>0</v>
      </c>
      <c r="AH173" s="808">
        <f t="shared" si="23"/>
        <v>0</v>
      </c>
      <c r="AI173" s="301" t="s">
        <v>2371</v>
      </c>
      <c r="AJ173" s="206">
        <v>0.15</v>
      </c>
      <c r="AK173" s="808">
        <f t="shared" si="9"/>
        <v>0</v>
      </c>
      <c r="AL173" s="1472" t="s">
        <v>2920</v>
      </c>
      <c r="AM173" s="206">
        <v>0.05</v>
      </c>
      <c r="AN173" s="808">
        <f t="shared" si="10"/>
        <v>0</v>
      </c>
      <c r="AO173" s="110"/>
      <c r="AP173" s="226"/>
      <c r="AQ173" s="110"/>
      <c r="AR173" s="263"/>
      <c r="AS173" s="110"/>
      <c r="AT173" s="226"/>
      <c r="AU173" s="110"/>
      <c r="AV173" s="263"/>
      <c r="AW173" s="110"/>
      <c r="AX173" s="226"/>
      <c r="AY173" s="110"/>
      <c r="AZ173" s="263"/>
      <c r="BA173" s="110"/>
      <c r="BB173" s="226"/>
      <c r="BC173" s="110"/>
      <c r="BD173" s="263"/>
      <c r="BE173" s="110"/>
      <c r="BF173" s="226"/>
      <c r="BG173" s="110">
        <v>0</v>
      </c>
      <c r="BH173" s="263"/>
      <c r="BI173" s="937"/>
      <c r="BJ173" s="937"/>
      <c r="BK173" s="937"/>
      <c r="BL173" s="937"/>
      <c r="BM173" s="937"/>
      <c r="BN173" s="937"/>
      <c r="BO173" s="937"/>
      <c r="BP173" s="937"/>
      <c r="BQ173" s="937"/>
    </row>
    <row r="174" spans="1:69" ht="30" customHeight="1">
      <c r="A174" s="245">
        <f t="shared" si="12"/>
        <v>86</v>
      </c>
      <c r="B174" s="1512" t="s">
        <v>451</v>
      </c>
      <c r="C174" s="1512" t="s">
        <v>3054</v>
      </c>
      <c r="D174" s="124"/>
      <c r="E174" s="124"/>
      <c r="F174" s="251" t="s">
        <v>3056</v>
      </c>
      <c r="G174" s="124"/>
      <c r="H174" s="124"/>
      <c r="I174" s="124"/>
      <c r="J174" s="124"/>
      <c r="K174" s="255"/>
      <c r="L174" s="124"/>
      <c r="M174" s="124"/>
      <c r="N174" s="124"/>
      <c r="O174" s="207" t="s">
        <v>3057</v>
      </c>
      <c r="P174" s="124"/>
      <c r="Q174" s="124"/>
      <c r="R174" s="124"/>
      <c r="S174" s="515"/>
      <c r="T174" s="928"/>
      <c r="U174" s="258" t="s">
        <v>115</v>
      </c>
      <c r="V174" s="258" t="s">
        <v>115</v>
      </c>
      <c r="W174" s="515"/>
      <c r="X174" s="124"/>
      <c r="Y174" s="124"/>
      <c r="Z174" s="124"/>
      <c r="AA174" s="515"/>
      <c r="AB174" s="124"/>
      <c r="AC174" s="124"/>
      <c r="AD174" s="124"/>
      <c r="AE174" s="808">
        <f t="shared" si="15"/>
        <v>0</v>
      </c>
      <c r="AF174" s="761">
        <f t="shared" si="16"/>
        <v>0</v>
      </c>
      <c r="AG174" s="110">
        <f t="shared" si="25"/>
        <v>0</v>
      </c>
      <c r="AH174" s="808">
        <f t="shared" si="23"/>
        <v>0</v>
      </c>
      <c r="AI174" s="301" t="s">
        <v>2371</v>
      </c>
      <c r="AJ174" s="206">
        <v>0.15</v>
      </c>
      <c r="AK174" s="808">
        <f t="shared" si="9"/>
        <v>0</v>
      </c>
      <c r="AL174" s="1472" t="s">
        <v>2920</v>
      </c>
      <c r="AM174" s="206">
        <v>0.05</v>
      </c>
      <c r="AN174" s="808">
        <f t="shared" si="10"/>
        <v>0</v>
      </c>
      <c r="AO174" s="110"/>
      <c r="AP174" s="226"/>
      <c r="AQ174" s="110"/>
      <c r="AR174" s="263"/>
      <c r="AS174" s="110"/>
      <c r="AT174" s="226"/>
      <c r="AU174" s="110"/>
      <c r="AV174" s="263"/>
      <c r="AW174" s="110"/>
      <c r="AX174" s="226"/>
      <c r="AY174" s="110"/>
      <c r="AZ174" s="263"/>
      <c r="BA174" s="110"/>
      <c r="BB174" s="226"/>
      <c r="BC174" s="110"/>
      <c r="BD174" s="263"/>
      <c r="BE174" s="110"/>
      <c r="BF174" s="226"/>
      <c r="BG174" s="110">
        <v>0</v>
      </c>
      <c r="BH174" s="263"/>
      <c r="BI174" s="937"/>
      <c r="BJ174" s="937"/>
      <c r="BK174" s="937"/>
      <c r="BL174" s="937"/>
      <c r="BM174" s="937"/>
      <c r="BN174" s="937"/>
      <c r="BO174" s="937"/>
      <c r="BP174" s="937"/>
      <c r="BQ174" s="937"/>
    </row>
    <row r="175" spans="1:69" ht="30" customHeight="1">
      <c r="A175" s="245">
        <f t="shared" si="12"/>
        <v>87</v>
      </c>
      <c r="B175" s="1512" t="s">
        <v>1340</v>
      </c>
      <c r="C175" s="1512" t="s">
        <v>5253</v>
      </c>
      <c r="D175" s="124"/>
      <c r="E175" s="124"/>
      <c r="F175" s="251" t="s">
        <v>5254</v>
      </c>
      <c r="G175" s="124"/>
      <c r="H175" s="124"/>
      <c r="I175" s="124"/>
      <c r="J175" s="124"/>
      <c r="K175" s="124"/>
      <c r="L175" s="124"/>
      <c r="M175" s="124"/>
      <c r="N175" s="124"/>
      <c r="O175" s="449" t="s">
        <v>5255</v>
      </c>
      <c r="P175" s="124"/>
      <c r="Q175" s="124"/>
      <c r="R175" s="124"/>
      <c r="S175" s="515"/>
      <c r="T175" s="258" t="s">
        <v>115</v>
      </c>
      <c r="U175" s="258" t="s">
        <v>115</v>
      </c>
      <c r="V175" s="258" t="s">
        <v>115</v>
      </c>
      <c r="W175" s="515"/>
      <c r="X175" s="124"/>
      <c r="Y175" s="124"/>
      <c r="Z175" s="124"/>
      <c r="AA175" s="515"/>
      <c r="AB175" s="124"/>
      <c r="AC175" s="124"/>
      <c r="AD175" s="124"/>
      <c r="AE175" s="808">
        <f t="shared" si="15"/>
        <v>2997</v>
      </c>
      <c r="AF175" s="761">
        <f t="shared" si="16"/>
        <v>2997</v>
      </c>
      <c r="AG175" s="110">
        <f t="shared" si="25"/>
        <v>2997</v>
      </c>
      <c r="AH175" s="808">
        <f t="shared" si="23"/>
        <v>0</v>
      </c>
      <c r="AI175" s="301" t="s">
        <v>117</v>
      </c>
      <c r="AJ175" s="206">
        <v>0</v>
      </c>
      <c r="AK175" s="808">
        <f t="shared" si="9"/>
        <v>0</v>
      </c>
      <c r="AL175" s="301" t="s">
        <v>5256</v>
      </c>
      <c r="AM175" s="206">
        <v>0.1</v>
      </c>
      <c r="AN175" s="808">
        <f t="shared" si="10"/>
        <v>299.7</v>
      </c>
      <c r="AO175" s="110">
        <v>2997</v>
      </c>
      <c r="AP175" s="226">
        <v>44496</v>
      </c>
      <c r="AQ175" s="110">
        <v>2997</v>
      </c>
      <c r="AR175" s="263"/>
      <c r="AS175" s="110">
        <v>0</v>
      </c>
      <c r="AT175" s="226"/>
      <c r="AU175" s="110">
        <v>0</v>
      </c>
      <c r="AV175" s="263"/>
      <c r="AW175" s="110"/>
      <c r="AX175" s="226"/>
      <c r="AY175" s="110"/>
      <c r="AZ175" s="871"/>
      <c r="BA175" s="262"/>
      <c r="BB175" s="984"/>
      <c r="BC175" s="262"/>
      <c r="BD175" s="871"/>
      <c r="BE175" s="262"/>
      <c r="BF175" s="984"/>
      <c r="BG175" s="262">
        <v>0</v>
      </c>
      <c r="BH175" s="871"/>
      <c r="BI175" s="937"/>
      <c r="BJ175" s="937"/>
      <c r="BK175" s="937"/>
      <c r="BL175" s="937"/>
      <c r="BM175" s="937"/>
      <c r="BN175" s="937"/>
      <c r="BO175" s="937"/>
      <c r="BP175" s="937"/>
      <c r="BQ175" s="937"/>
    </row>
    <row r="176" spans="1:69" ht="30" hidden="1" customHeight="1">
      <c r="A176" s="245">
        <f t="shared" si="12"/>
        <v>88</v>
      </c>
      <c r="B176" s="1512" t="s">
        <v>204</v>
      </c>
      <c r="C176" s="1512" t="s">
        <v>1117</v>
      </c>
      <c r="D176" s="124"/>
      <c r="E176" s="124"/>
      <c r="F176" s="251" t="s">
        <v>5257</v>
      </c>
      <c r="G176" s="124"/>
      <c r="H176" s="124"/>
      <c r="I176" s="124"/>
      <c r="J176" s="124"/>
      <c r="K176" s="124"/>
      <c r="L176" s="124"/>
      <c r="M176" s="124"/>
      <c r="N176" s="124"/>
      <c r="O176" s="124"/>
      <c r="P176" s="124"/>
      <c r="Q176" s="124"/>
      <c r="R176" s="124"/>
      <c r="S176" s="515"/>
      <c r="T176" s="124"/>
      <c r="U176" s="258" t="s">
        <v>115</v>
      </c>
      <c r="V176" s="124"/>
      <c r="W176" s="515"/>
      <c r="X176" s="124"/>
      <c r="Y176" s="124"/>
      <c r="Z176" s="124"/>
      <c r="AA176" s="515"/>
      <c r="AB176" s="124"/>
      <c r="AC176" s="124"/>
      <c r="AD176" s="124"/>
      <c r="AE176" s="808">
        <f t="shared" si="15"/>
        <v>1497</v>
      </c>
      <c r="AF176" s="808">
        <f t="shared" si="16"/>
        <v>1497</v>
      </c>
      <c r="AG176" s="110">
        <f t="shared" si="25"/>
        <v>1497</v>
      </c>
      <c r="AH176" s="808">
        <f t="shared" si="23"/>
        <v>0</v>
      </c>
      <c r="AI176" s="301" t="s">
        <v>5258</v>
      </c>
      <c r="AJ176" s="206">
        <v>0.15</v>
      </c>
      <c r="AK176" s="808">
        <f t="shared" si="9"/>
        <v>224.54999999999998</v>
      </c>
      <c r="AL176" s="301" t="s">
        <v>5258</v>
      </c>
      <c r="AM176" s="206">
        <v>0.1</v>
      </c>
      <c r="AN176" s="808">
        <f t="shared" si="10"/>
        <v>149.70000000000002</v>
      </c>
      <c r="AO176" s="110">
        <v>1497</v>
      </c>
      <c r="AP176" s="226">
        <v>44511</v>
      </c>
      <c r="AQ176" s="110">
        <v>1497</v>
      </c>
      <c r="AR176" s="263"/>
      <c r="AS176" s="263"/>
      <c r="AT176" s="263"/>
      <c r="AU176" s="263"/>
      <c r="AV176" s="263"/>
      <c r="AW176" s="263"/>
      <c r="AX176" s="263"/>
      <c r="AY176" s="263"/>
      <c r="AZ176" s="263"/>
      <c r="BA176" s="263"/>
      <c r="BB176" s="263"/>
      <c r="BC176" s="263"/>
      <c r="BD176" s="263"/>
      <c r="BE176" s="263"/>
      <c r="BF176" s="263"/>
      <c r="BG176" s="263"/>
      <c r="BH176" s="263"/>
      <c r="BI176" s="937"/>
      <c r="BJ176" s="937"/>
      <c r="BK176" s="937"/>
      <c r="BL176" s="937"/>
      <c r="BM176" s="937"/>
      <c r="BN176" s="937"/>
      <c r="BO176" s="937"/>
      <c r="BP176" s="937"/>
      <c r="BQ176" s="937"/>
    </row>
    <row r="177" spans="1:69" ht="30" hidden="1" customHeight="1">
      <c r="A177" s="245">
        <f t="shared" si="12"/>
        <v>89</v>
      </c>
      <c r="B177" s="1512" t="s">
        <v>3165</v>
      </c>
      <c r="C177" s="1512" t="s">
        <v>5259</v>
      </c>
      <c r="D177" s="124"/>
      <c r="E177" s="124"/>
      <c r="F177" s="251" t="s">
        <v>5257</v>
      </c>
      <c r="G177" s="124"/>
      <c r="H177" s="124"/>
      <c r="I177" s="124"/>
      <c r="J177" s="124"/>
      <c r="K177" s="124"/>
      <c r="L177" s="124"/>
      <c r="M177" s="124"/>
      <c r="N177" s="124"/>
      <c r="O177" s="124"/>
      <c r="P177" s="124"/>
      <c r="Q177" s="124"/>
      <c r="R177" s="124"/>
      <c r="S177" s="515"/>
      <c r="T177" s="124"/>
      <c r="U177" s="258" t="s">
        <v>115</v>
      </c>
      <c r="V177" s="124"/>
      <c r="W177" s="515"/>
      <c r="X177" s="124"/>
      <c r="Y177" s="124"/>
      <c r="Z177" s="124"/>
      <c r="AA177" s="515"/>
      <c r="AB177" s="124"/>
      <c r="AC177" s="124"/>
      <c r="AD177" s="124"/>
      <c r="AE177" s="808">
        <f t="shared" si="15"/>
        <v>1497</v>
      </c>
      <c r="AF177" s="808">
        <f t="shared" si="16"/>
        <v>1497</v>
      </c>
      <c r="AG177" s="110">
        <f t="shared" si="25"/>
        <v>1497</v>
      </c>
      <c r="AH177" s="808">
        <f t="shared" si="23"/>
        <v>0</v>
      </c>
      <c r="AI177" s="301" t="s">
        <v>5258</v>
      </c>
      <c r="AJ177" s="206">
        <v>0.15</v>
      </c>
      <c r="AK177" s="808">
        <f t="shared" si="9"/>
        <v>224.54999999999998</v>
      </c>
      <c r="AL177" s="301" t="s">
        <v>5258</v>
      </c>
      <c r="AM177" s="206">
        <v>0.1</v>
      </c>
      <c r="AN177" s="808">
        <f t="shared" si="10"/>
        <v>149.70000000000002</v>
      </c>
      <c r="AO177" s="110">
        <v>1497</v>
      </c>
      <c r="AP177" s="226">
        <v>44511</v>
      </c>
      <c r="AQ177" s="110">
        <v>1497</v>
      </c>
      <c r="AR177" s="263"/>
      <c r="AS177" s="263"/>
      <c r="AT177" s="263"/>
      <c r="AU177" s="263"/>
      <c r="AV177" s="263"/>
      <c r="AW177" s="263"/>
      <c r="AX177" s="263"/>
      <c r="AY177" s="263"/>
      <c r="AZ177" s="263"/>
      <c r="BA177" s="263"/>
      <c r="BB177" s="263"/>
      <c r="BC177" s="263"/>
      <c r="BD177" s="263"/>
      <c r="BE177" s="263"/>
      <c r="BF177" s="263"/>
      <c r="BG177" s="263"/>
      <c r="BH177" s="263"/>
      <c r="BI177" s="937"/>
      <c r="BJ177" s="937"/>
      <c r="BK177" s="937"/>
      <c r="BL177" s="937"/>
      <c r="BM177" s="937"/>
      <c r="BN177" s="937"/>
      <c r="BO177" s="937"/>
      <c r="BP177" s="937"/>
      <c r="BQ177" s="937"/>
    </row>
    <row r="178" spans="1:69" ht="30" hidden="1" customHeight="1">
      <c r="A178" s="245">
        <f t="shared" si="12"/>
        <v>90</v>
      </c>
      <c r="B178" s="1512" t="s">
        <v>1056</v>
      </c>
      <c r="C178" s="1512" t="s">
        <v>5257</v>
      </c>
      <c r="D178" s="124"/>
      <c r="E178" s="124"/>
      <c r="F178" s="251" t="s">
        <v>5257</v>
      </c>
      <c r="G178" s="124"/>
      <c r="H178" s="124"/>
      <c r="I178" s="124"/>
      <c r="J178" s="124"/>
      <c r="K178" s="124"/>
      <c r="L178" s="124"/>
      <c r="M178" s="124"/>
      <c r="N178" s="124"/>
      <c r="O178" s="124"/>
      <c r="P178" s="124"/>
      <c r="Q178" s="124"/>
      <c r="R178" s="124"/>
      <c r="S178" s="515"/>
      <c r="T178" s="124"/>
      <c r="U178" s="258" t="s">
        <v>115</v>
      </c>
      <c r="V178" s="124"/>
      <c r="W178" s="515"/>
      <c r="X178" s="124"/>
      <c r="Y178" s="124"/>
      <c r="Z178" s="124"/>
      <c r="AA178" s="515"/>
      <c r="AB178" s="124"/>
      <c r="AC178" s="124"/>
      <c r="AD178" s="124"/>
      <c r="AE178" s="808">
        <f t="shared" si="15"/>
        <v>1497</v>
      </c>
      <c r="AF178" s="808">
        <f t="shared" si="16"/>
        <v>1497</v>
      </c>
      <c r="AG178" s="110">
        <f t="shared" si="25"/>
        <v>1497</v>
      </c>
      <c r="AH178" s="808">
        <f t="shared" si="23"/>
        <v>0</v>
      </c>
      <c r="AI178" s="301" t="s">
        <v>5258</v>
      </c>
      <c r="AJ178" s="206">
        <v>0.15</v>
      </c>
      <c r="AK178" s="808">
        <f t="shared" si="9"/>
        <v>224.54999999999998</v>
      </c>
      <c r="AL178" s="301" t="s">
        <v>5258</v>
      </c>
      <c r="AM178" s="206">
        <v>0.1</v>
      </c>
      <c r="AN178" s="808">
        <f t="shared" si="10"/>
        <v>149.70000000000002</v>
      </c>
      <c r="AO178" s="110">
        <v>1497</v>
      </c>
      <c r="AP178" s="226">
        <v>44511</v>
      </c>
      <c r="AQ178" s="110">
        <v>1497</v>
      </c>
      <c r="AR178" s="263"/>
      <c r="AS178" s="263"/>
      <c r="AT178" s="263"/>
      <c r="AU178" s="263"/>
      <c r="AV178" s="263"/>
      <c r="AW178" s="263"/>
      <c r="AX178" s="263"/>
      <c r="AY178" s="263"/>
      <c r="AZ178" s="263"/>
      <c r="BA178" s="263"/>
      <c r="BB178" s="263"/>
      <c r="BC178" s="263"/>
      <c r="BD178" s="263"/>
      <c r="BE178" s="263"/>
      <c r="BF178" s="263"/>
      <c r="BG178" s="263"/>
      <c r="BH178" s="263"/>
      <c r="BI178" s="937"/>
      <c r="BJ178" s="937"/>
      <c r="BK178" s="937"/>
      <c r="BL178" s="937"/>
      <c r="BM178" s="937"/>
      <c r="BN178" s="937"/>
      <c r="BO178" s="937"/>
      <c r="BP178" s="937"/>
      <c r="BQ178" s="937"/>
    </row>
    <row r="179" spans="1:69" ht="30" customHeight="1">
      <c r="A179" s="245">
        <f t="shared" si="12"/>
        <v>91</v>
      </c>
      <c r="B179" s="1512" t="s">
        <v>1382</v>
      </c>
      <c r="C179" s="1512" t="s">
        <v>5260</v>
      </c>
      <c r="D179" s="124"/>
      <c r="E179" s="124"/>
      <c r="F179" s="251" t="s">
        <v>5261</v>
      </c>
      <c r="G179" s="124"/>
      <c r="H179" s="124"/>
      <c r="I179" s="124"/>
      <c r="J179" s="124"/>
      <c r="K179" s="124"/>
      <c r="L179" s="124"/>
      <c r="M179" s="124"/>
      <c r="N179" s="124"/>
      <c r="O179" s="124"/>
      <c r="P179" s="124"/>
      <c r="Q179" s="124"/>
      <c r="R179" s="124"/>
      <c r="S179" s="515"/>
      <c r="T179" s="124"/>
      <c r="U179" s="258"/>
      <c r="V179" s="258" t="s">
        <v>115</v>
      </c>
      <c r="W179" s="515"/>
      <c r="X179" s="124"/>
      <c r="Y179" s="124"/>
      <c r="Z179" s="124"/>
      <c r="AA179" s="515"/>
      <c r="AB179" s="124"/>
      <c r="AC179" s="124"/>
      <c r="AD179" s="124"/>
      <c r="AE179" s="808">
        <f t="shared" si="15"/>
        <v>757</v>
      </c>
      <c r="AF179" s="808">
        <f t="shared" si="16"/>
        <v>757</v>
      </c>
      <c r="AG179" s="110">
        <f t="shared" si="25"/>
        <v>757</v>
      </c>
      <c r="AH179" s="808">
        <f t="shared" si="23"/>
        <v>0</v>
      </c>
      <c r="AI179" s="301" t="s">
        <v>5262</v>
      </c>
      <c r="AJ179" s="206">
        <v>0.15</v>
      </c>
      <c r="AK179" s="808">
        <f t="shared" si="9"/>
        <v>113.55</v>
      </c>
      <c r="AL179" s="301" t="s">
        <v>5262</v>
      </c>
      <c r="AM179" s="206">
        <v>0.1</v>
      </c>
      <c r="AN179" s="808">
        <f t="shared" si="10"/>
        <v>75.7</v>
      </c>
      <c r="AO179" s="110">
        <v>757</v>
      </c>
      <c r="AP179" s="226">
        <v>44540</v>
      </c>
      <c r="AQ179" s="110">
        <v>757</v>
      </c>
      <c r="AR179" s="263"/>
      <c r="AS179" s="263"/>
      <c r="AT179" s="263"/>
      <c r="AU179" s="263"/>
      <c r="AV179" s="263"/>
      <c r="AW179" s="263"/>
      <c r="AX179" s="263"/>
      <c r="AY179" s="263"/>
      <c r="AZ179" s="263"/>
      <c r="BA179" s="263"/>
      <c r="BB179" s="263"/>
      <c r="BC179" s="263"/>
      <c r="BD179" s="263"/>
      <c r="BE179" s="263"/>
      <c r="BF179" s="263"/>
      <c r="BG179" s="263"/>
      <c r="BH179" s="263"/>
      <c r="BI179" s="937"/>
      <c r="BJ179" s="937"/>
      <c r="BK179" s="937"/>
      <c r="BL179" s="937"/>
      <c r="BM179" s="937"/>
      <c r="BN179" s="937"/>
      <c r="BO179" s="937"/>
      <c r="BP179" s="937"/>
      <c r="BQ179" s="937"/>
    </row>
    <row r="180" spans="1:69" ht="12.75" hidden="1" customHeight="1">
      <c r="A180" s="207"/>
      <c r="B180" s="1516" t="s">
        <v>118</v>
      </c>
      <c r="C180" s="113" t="s">
        <v>118</v>
      </c>
      <c r="D180" s="354" t="s">
        <v>118</v>
      </c>
      <c r="E180" s="907" t="s">
        <v>118</v>
      </c>
      <c r="F180" s="1517" t="s">
        <v>118</v>
      </c>
      <c r="G180" s="1517" t="s">
        <v>118</v>
      </c>
      <c r="H180" s="1518" t="s">
        <v>118</v>
      </c>
      <c r="I180" s="1518" t="s">
        <v>118</v>
      </c>
      <c r="J180" s="1519" t="s">
        <v>118</v>
      </c>
      <c r="K180" s="1518" t="s">
        <v>118</v>
      </c>
      <c r="L180" s="1518" t="s">
        <v>118</v>
      </c>
      <c r="M180" s="1518" t="s">
        <v>118</v>
      </c>
      <c r="N180" s="1518" t="s">
        <v>118</v>
      </c>
      <c r="O180" s="1520" t="s">
        <v>118</v>
      </c>
      <c r="P180" s="1521">
        <f t="shared" ref="P180:R180" si="26">COUNTA(P2:P83)</f>
        <v>58</v>
      </c>
      <c r="Q180" s="1521">
        <f t="shared" si="26"/>
        <v>55</v>
      </c>
      <c r="R180" s="1521">
        <f t="shared" si="26"/>
        <v>55</v>
      </c>
      <c r="S180" s="1520" t="s">
        <v>118</v>
      </c>
      <c r="T180" s="1521">
        <f t="shared" ref="T180:V180" si="27">COUNTA(T2:T178)</f>
        <v>110</v>
      </c>
      <c r="U180" s="1521">
        <f t="shared" si="27"/>
        <v>125</v>
      </c>
      <c r="V180" s="1521">
        <f t="shared" si="27"/>
        <v>112</v>
      </c>
      <c r="W180" s="1520" t="s">
        <v>118</v>
      </c>
      <c r="X180" s="1521">
        <f t="shared" ref="X180:Z180" si="28">COUNTA(X2:X178)</f>
        <v>24</v>
      </c>
      <c r="Y180" s="1521">
        <f t="shared" si="28"/>
        <v>43</v>
      </c>
      <c r="Z180" s="1521">
        <f t="shared" si="28"/>
        <v>50</v>
      </c>
      <c r="AA180" s="1520" t="s">
        <v>118</v>
      </c>
      <c r="AB180" s="1521">
        <f t="shared" ref="AB180:AD180" si="29">COUNTA(AB2:AB178)</f>
        <v>0</v>
      </c>
      <c r="AC180" s="1521">
        <f t="shared" si="29"/>
        <v>0</v>
      </c>
      <c r="AD180" s="1521">
        <f t="shared" si="29"/>
        <v>0</v>
      </c>
      <c r="AE180" s="1409">
        <f t="shared" ref="AE180:AF180" si="30">SUM(AE75:AE179)</f>
        <v>238441</v>
      </c>
      <c r="AF180" s="1409">
        <f t="shared" si="30"/>
        <v>191982.49606557377</v>
      </c>
      <c r="AG180" s="1409">
        <f>SUM(AG2:AG179)</f>
        <v>190285.99606557377</v>
      </c>
      <c r="AH180" s="1409">
        <f>SUM(AH75:AH179)</f>
        <v>64214</v>
      </c>
      <c r="AI180" s="908" t="s">
        <v>118</v>
      </c>
      <c r="AJ180" s="1520" t="s">
        <v>118</v>
      </c>
      <c r="AK180" s="1409">
        <f>SUM(AK75:AK179)</f>
        <v>18078.174409836058</v>
      </c>
      <c r="AL180" s="908" t="s">
        <v>118</v>
      </c>
      <c r="AM180" s="1520" t="s">
        <v>118</v>
      </c>
      <c r="AN180" s="1409">
        <f>SUM(AN75:AN179)</f>
        <v>14132.324803278709</v>
      </c>
      <c r="AO180" s="1520" t="s">
        <v>118</v>
      </c>
      <c r="AP180" s="1520" t="s">
        <v>118</v>
      </c>
      <c r="AQ180" s="1520" t="s">
        <v>118</v>
      </c>
      <c r="AR180" s="1520" t="s">
        <v>118</v>
      </c>
      <c r="AS180" s="1520" t="s">
        <v>118</v>
      </c>
      <c r="AT180" s="1520" t="s">
        <v>118</v>
      </c>
      <c r="AU180" s="1520" t="s">
        <v>118</v>
      </c>
      <c r="AV180" s="1520" t="s">
        <v>118</v>
      </c>
      <c r="AW180" s="1520" t="s">
        <v>118</v>
      </c>
      <c r="AX180" s="1520" t="s">
        <v>118</v>
      </c>
      <c r="AY180" s="1522" t="s">
        <v>118</v>
      </c>
      <c r="AZ180" s="1520" t="s">
        <v>118</v>
      </c>
      <c r="BA180" s="1520" t="s">
        <v>118</v>
      </c>
      <c r="BB180" s="1520" t="s">
        <v>118</v>
      </c>
      <c r="BC180" s="1520" t="s">
        <v>118</v>
      </c>
      <c r="BD180" s="1520" t="s">
        <v>118</v>
      </c>
      <c r="BE180" s="1520" t="s">
        <v>118</v>
      </c>
      <c r="BF180" s="1520" t="s">
        <v>118</v>
      </c>
      <c r="BG180" s="1520" t="s">
        <v>118</v>
      </c>
      <c r="BH180" s="1520" t="s">
        <v>118</v>
      </c>
      <c r="BI180" s="228"/>
      <c r="BJ180" s="729"/>
      <c r="BK180" s="729"/>
      <c r="BL180" s="729"/>
      <c r="BM180" s="729"/>
      <c r="BN180" s="729"/>
      <c r="BO180" s="729"/>
      <c r="BP180" s="729"/>
      <c r="BQ180" s="729"/>
    </row>
    <row r="181" spans="1:69" ht="24.75" customHeight="1">
      <c r="A181" s="1010"/>
      <c r="B181" s="729"/>
      <c r="C181" s="729"/>
      <c r="D181" s="729"/>
      <c r="E181" s="1010"/>
      <c r="F181" s="12"/>
      <c r="G181" s="12"/>
      <c r="H181" s="1011"/>
      <c r="I181" s="1011"/>
      <c r="J181" s="1012"/>
      <c r="K181" s="1011"/>
      <c r="L181" s="1011"/>
      <c r="M181" s="1011"/>
      <c r="N181" s="730"/>
      <c r="O181" s="729"/>
      <c r="P181" s="1014"/>
      <c r="Q181" s="1014"/>
      <c r="R181" s="1014"/>
      <c r="S181" s="729"/>
      <c r="T181" s="729"/>
      <c r="U181" s="729"/>
      <c r="V181" s="729"/>
      <c r="W181" s="729"/>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228"/>
      <c r="BJ181" s="729"/>
      <c r="BK181" s="729"/>
      <c r="BL181" s="729"/>
      <c r="BM181" s="729"/>
      <c r="BN181" s="729"/>
      <c r="BO181" s="729"/>
      <c r="BP181" s="729"/>
      <c r="BQ181" s="729"/>
    </row>
    <row r="182" spans="1:69" ht="79.5" customHeight="1">
      <c r="A182" s="1010"/>
      <c r="B182" s="1523" t="s">
        <v>5263</v>
      </c>
      <c r="C182" s="1523" t="s">
        <v>5264</v>
      </c>
      <c r="D182" s="729"/>
      <c r="E182" s="1010"/>
      <c r="F182" s="12"/>
      <c r="G182" s="12"/>
      <c r="H182" s="1011"/>
      <c r="I182" s="1011"/>
      <c r="J182" s="1012"/>
      <c r="K182" s="1011"/>
      <c r="L182" s="1011"/>
      <c r="M182" s="1011"/>
      <c r="N182" s="730"/>
      <c r="O182" s="729" t="s">
        <v>5265</v>
      </c>
      <c r="P182" s="1524">
        <f>COUNTIF(P2:P144,"F")</f>
        <v>49</v>
      </c>
      <c r="Q182" s="1525">
        <f>COUNTIF(Q2:Q72,"F")</f>
        <v>47</v>
      </c>
      <c r="R182" s="1526">
        <f>COUNTIF(R2:R180,"F")</f>
        <v>48</v>
      </c>
      <c r="S182" s="1527" t="s">
        <v>115</v>
      </c>
      <c r="T182" s="1528">
        <f t="shared" ref="T182:V182" si="31">COUNTIF(T2:T178,"F")</f>
        <v>78</v>
      </c>
      <c r="U182" s="1528">
        <f t="shared" si="31"/>
        <v>82</v>
      </c>
      <c r="V182" s="1528">
        <f t="shared" si="31"/>
        <v>75</v>
      </c>
      <c r="W182" s="1527" t="s">
        <v>115</v>
      </c>
      <c r="X182" s="1528">
        <f t="shared" ref="X182:Z182" si="32">COUNTIF(X2:X180,"F")</f>
        <v>9</v>
      </c>
      <c r="Y182" s="1528">
        <f t="shared" si="32"/>
        <v>9</v>
      </c>
      <c r="Z182" s="1528">
        <f t="shared" si="32"/>
        <v>10</v>
      </c>
      <c r="AA182" s="1527" t="s">
        <v>115</v>
      </c>
      <c r="AB182" s="1528">
        <f t="shared" ref="AB182:AD182" si="33">COUNTIF(AB2:AB144,"F")</f>
        <v>0</v>
      </c>
      <c r="AC182" s="1528">
        <f t="shared" si="33"/>
        <v>0</v>
      </c>
      <c r="AD182" s="1528">
        <f t="shared" si="33"/>
        <v>0</v>
      </c>
      <c r="AE182" s="729"/>
      <c r="AF182" s="729"/>
      <c r="AG182" s="729"/>
      <c r="AH182" s="729"/>
      <c r="AI182" s="729"/>
      <c r="AJ182" s="729"/>
      <c r="AK182" s="729"/>
      <c r="AL182" s="729"/>
      <c r="AM182" s="729"/>
      <c r="AN182" s="729"/>
      <c r="AO182" s="729"/>
      <c r="AP182" s="729"/>
      <c r="AQ182" s="729"/>
      <c r="AR182" s="729"/>
      <c r="AS182" s="729"/>
      <c r="AT182" s="729"/>
      <c r="AU182" s="729"/>
      <c r="AV182" s="729"/>
      <c r="AW182" s="729"/>
      <c r="AX182" s="729"/>
      <c r="AY182" s="729"/>
      <c r="AZ182" s="729"/>
      <c r="BA182" s="729"/>
      <c r="BB182" s="729"/>
      <c r="BC182" s="729"/>
      <c r="BD182" s="729"/>
      <c r="BE182" s="729"/>
      <c r="BF182" s="729"/>
      <c r="BG182" s="729"/>
      <c r="BH182" s="729"/>
      <c r="BI182" s="228"/>
      <c r="BJ182" s="729"/>
      <c r="BK182" s="729"/>
      <c r="BL182" s="729"/>
      <c r="BM182" s="729"/>
      <c r="BN182" s="729"/>
      <c r="BO182" s="729"/>
      <c r="BP182" s="729"/>
      <c r="BQ182" s="729"/>
    </row>
    <row r="183" spans="1:69" ht="87.75" customHeight="1">
      <c r="A183" s="1010"/>
      <c r="B183" s="1523" t="s">
        <v>5266</v>
      </c>
      <c r="C183" s="1523" t="s">
        <v>5267</v>
      </c>
      <c r="D183" s="729"/>
      <c r="E183" s="1010"/>
      <c r="F183" s="12"/>
      <c r="G183" s="12"/>
      <c r="H183" s="1011"/>
      <c r="I183" s="1011"/>
      <c r="J183" s="1012"/>
      <c r="K183" s="1011"/>
      <c r="L183" s="1011"/>
      <c r="M183" s="1011"/>
      <c r="N183" s="730"/>
      <c r="O183" s="729" t="s">
        <v>4659</v>
      </c>
      <c r="P183" s="1524">
        <f>COUNTIF(P3:P180,"L")</f>
        <v>0</v>
      </c>
      <c r="Q183" s="1525">
        <f>COUNTIF(Q3:Q75,"F")</f>
        <v>47</v>
      </c>
      <c r="R183" s="1526">
        <f>COUNTIF(R3:R180,"F")</f>
        <v>48</v>
      </c>
      <c r="S183" s="1527" t="s">
        <v>2992</v>
      </c>
      <c r="T183" s="1528">
        <f t="shared" ref="T183:V183" si="34">COUNTIF(T2:T178,"L")</f>
        <v>0</v>
      </c>
      <c r="U183" s="1528">
        <f t="shared" si="34"/>
        <v>27</v>
      </c>
      <c r="V183" s="1528">
        <f t="shared" si="34"/>
        <v>25</v>
      </c>
      <c r="W183" s="1527" t="s">
        <v>2992</v>
      </c>
      <c r="X183" s="1528">
        <f t="shared" ref="X183:Z183" si="35">COUNTIF(X3:X180,"F")</f>
        <v>9</v>
      </c>
      <c r="Y183" s="1528">
        <f t="shared" si="35"/>
        <v>9</v>
      </c>
      <c r="Z183" s="1528">
        <f t="shared" si="35"/>
        <v>10</v>
      </c>
      <c r="AA183" s="1527" t="s">
        <v>2992</v>
      </c>
      <c r="AB183" s="1528">
        <f t="shared" ref="AB183:AD183" si="36">COUNTIF(AB2:AB144,"L")</f>
        <v>0</v>
      </c>
      <c r="AC183" s="1528">
        <f t="shared" si="36"/>
        <v>0</v>
      </c>
      <c r="AD183" s="1528">
        <f t="shared" si="36"/>
        <v>0</v>
      </c>
      <c r="AE183" s="729"/>
      <c r="AF183" s="729"/>
      <c r="AG183" s="729"/>
      <c r="AH183" s="729"/>
      <c r="AI183" s="729"/>
      <c r="AJ183" s="729"/>
      <c r="AK183" s="729"/>
      <c r="AL183" s="729"/>
      <c r="AM183" s="729"/>
      <c r="AN183" s="729"/>
      <c r="AO183" s="729"/>
      <c r="AP183" s="729"/>
      <c r="AQ183" s="729"/>
      <c r="AR183" s="729"/>
      <c r="AS183" s="729"/>
      <c r="AT183" s="729"/>
      <c r="AU183" s="729"/>
      <c r="AV183" s="729"/>
      <c r="AW183" s="729"/>
      <c r="AX183" s="729"/>
      <c r="AY183" s="729"/>
      <c r="AZ183" s="729"/>
      <c r="BA183" s="729"/>
      <c r="BB183" s="729"/>
      <c r="BC183" s="729"/>
      <c r="BD183" s="729"/>
      <c r="BE183" s="729"/>
      <c r="BF183" s="729"/>
      <c r="BG183" s="729"/>
      <c r="BH183" s="729"/>
      <c r="BI183" s="228"/>
      <c r="BJ183" s="729"/>
      <c r="BK183" s="729"/>
      <c r="BL183" s="729"/>
      <c r="BM183" s="729"/>
      <c r="BN183" s="729"/>
      <c r="BO183" s="729"/>
      <c r="BP183" s="729"/>
      <c r="BQ183" s="729"/>
    </row>
    <row r="184" spans="1:69" ht="116.25" customHeight="1">
      <c r="A184" s="1010"/>
      <c r="B184" s="1529" t="s">
        <v>5268</v>
      </c>
      <c r="C184" s="1523"/>
      <c r="D184" s="729"/>
      <c r="E184" s="1010"/>
      <c r="F184" s="12"/>
      <c r="G184" s="12"/>
      <c r="H184" s="1011"/>
      <c r="I184" s="1011"/>
      <c r="J184" s="1012"/>
      <c r="K184" s="1011"/>
      <c r="L184" s="1011"/>
      <c r="M184" s="1011"/>
      <c r="N184" s="730"/>
      <c r="O184" s="729" t="s">
        <v>5269</v>
      </c>
      <c r="P184" s="1530">
        <f t="shared" ref="P184:R184" si="37">COUNTIF(P2:P180,"R")</f>
        <v>9</v>
      </c>
      <c r="Q184" s="1531">
        <f t="shared" si="37"/>
        <v>8</v>
      </c>
      <c r="R184" s="1532">
        <f t="shared" si="37"/>
        <v>7</v>
      </c>
      <c r="S184" s="1533" t="s">
        <v>116</v>
      </c>
      <c r="T184" s="1534">
        <f t="shared" ref="T184:V184" si="38">COUNTIF(T2:T178,"R")</f>
        <v>31</v>
      </c>
      <c r="U184" s="1534">
        <f t="shared" si="38"/>
        <v>15</v>
      </c>
      <c r="V184" s="1534">
        <f t="shared" si="38"/>
        <v>11</v>
      </c>
      <c r="W184" s="1533" t="s">
        <v>116</v>
      </c>
      <c r="X184" s="1534">
        <f t="shared" ref="X184:Z184" si="39">COUNTIF(X2:X180,"R")</f>
        <v>1</v>
      </c>
      <c r="Y184" s="1534">
        <f t="shared" si="39"/>
        <v>0</v>
      </c>
      <c r="Z184" s="1534">
        <f t="shared" si="39"/>
        <v>0</v>
      </c>
      <c r="AA184" s="1533" t="s">
        <v>116</v>
      </c>
      <c r="AB184" s="1534">
        <f t="shared" ref="AB184:AD184" si="40">COUNTIF(AB2:AB144,"R")</f>
        <v>0</v>
      </c>
      <c r="AC184" s="1534">
        <f t="shared" si="40"/>
        <v>0</v>
      </c>
      <c r="AD184" s="1534">
        <f t="shared" si="40"/>
        <v>0</v>
      </c>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228"/>
      <c r="BJ184" s="729"/>
      <c r="BK184" s="729"/>
      <c r="BL184" s="729"/>
      <c r="BM184" s="729"/>
      <c r="BN184" s="729"/>
      <c r="BO184" s="729"/>
      <c r="BP184" s="729"/>
      <c r="BQ184" s="729"/>
    </row>
    <row r="185" spans="1:69" ht="24.75" customHeight="1">
      <c r="A185" s="1010"/>
      <c r="B185" s="1529"/>
      <c r="C185" s="729"/>
      <c r="D185" s="729"/>
      <c r="E185" s="1010"/>
      <c r="F185" s="12"/>
      <c r="G185" s="12"/>
      <c r="H185" s="1011"/>
      <c r="I185" s="1011"/>
      <c r="J185" s="1012"/>
      <c r="K185" s="1011"/>
      <c r="L185" s="1011"/>
      <c r="M185" s="1011"/>
      <c r="N185" s="730"/>
      <c r="O185" s="729" t="s">
        <v>5270</v>
      </c>
      <c r="P185" s="1530">
        <f>COUNTIF(P2:P180,"P")</f>
        <v>0</v>
      </c>
      <c r="Q185" s="1531">
        <f>COUNTIF(Q3:Q180,"p")</f>
        <v>0</v>
      </c>
      <c r="R185" s="1532">
        <f>COUNTIF(R2:R180,"P")</f>
        <v>0</v>
      </c>
      <c r="S185" s="1533" t="s">
        <v>245</v>
      </c>
      <c r="T185" s="1534">
        <f t="shared" ref="T185:V185" si="41">COUNTIF(T2:T180,"P")</f>
        <v>0</v>
      </c>
      <c r="U185" s="1534">
        <f t="shared" si="41"/>
        <v>0</v>
      </c>
      <c r="V185" s="1534">
        <f t="shared" si="41"/>
        <v>0</v>
      </c>
      <c r="W185" s="1533" t="s">
        <v>245</v>
      </c>
      <c r="X185" s="1534">
        <f t="shared" ref="X185:Z185" si="42">COUNTIF(X2:X144,"P")</f>
        <v>6</v>
      </c>
      <c r="Y185" s="1534">
        <f t="shared" si="42"/>
        <v>6</v>
      </c>
      <c r="Z185" s="1534">
        <f t="shared" si="42"/>
        <v>6</v>
      </c>
      <c r="AA185" s="1533" t="s">
        <v>245</v>
      </c>
      <c r="AB185" s="1534">
        <f t="shared" ref="AB185:AD185" si="43">COUNTIF(AB2:AB144,"P")</f>
        <v>0</v>
      </c>
      <c r="AC185" s="1534">
        <f t="shared" si="43"/>
        <v>0</v>
      </c>
      <c r="AD185" s="1534">
        <f t="shared" si="43"/>
        <v>0</v>
      </c>
      <c r="AE185" s="729"/>
      <c r="AF185" s="729"/>
      <c r="AG185" s="729"/>
      <c r="AH185" s="729"/>
      <c r="AI185" s="729"/>
      <c r="AJ185" s="729"/>
      <c r="AK185" s="729"/>
      <c r="AL185" s="729"/>
      <c r="AM185" s="729"/>
      <c r="AN185" s="729"/>
      <c r="AO185" s="729"/>
      <c r="AP185" s="729"/>
      <c r="AQ185" s="729"/>
      <c r="AR185" s="729"/>
      <c r="AS185" s="729"/>
      <c r="AT185" s="729"/>
      <c r="AU185" s="729"/>
      <c r="AV185" s="729"/>
      <c r="AW185" s="729"/>
      <c r="AX185" s="729"/>
      <c r="AY185" s="729"/>
      <c r="AZ185" s="729"/>
      <c r="BA185" s="729"/>
      <c r="BB185" s="729"/>
      <c r="BC185" s="729"/>
      <c r="BD185" s="729"/>
      <c r="BE185" s="729"/>
      <c r="BF185" s="729"/>
      <c r="BG185" s="729"/>
      <c r="BH185" s="729"/>
      <c r="BI185" s="228"/>
      <c r="BJ185" s="729"/>
      <c r="BK185" s="729"/>
      <c r="BL185" s="729"/>
      <c r="BM185" s="729"/>
      <c r="BN185" s="729"/>
      <c r="BO185" s="729"/>
      <c r="BP185" s="729"/>
      <c r="BQ185" s="729"/>
    </row>
    <row r="186" spans="1:69" ht="24.75" customHeight="1">
      <c r="A186" s="1010"/>
      <c r="B186" s="729"/>
      <c r="C186" s="729"/>
      <c r="D186" s="729"/>
      <c r="E186" s="1010"/>
      <c r="F186" s="12"/>
      <c r="G186" s="12"/>
      <c r="H186" s="1011"/>
      <c r="I186" s="1011"/>
      <c r="J186" s="1012"/>
      <c r="K186" s="1011"/>
      <c r="L186" s="1011"/>
      <c r="M186" s="1011"/>
      <c r="N186" s="730"/>
      <c r="O186" s="729" t="s">
        <v>5271</v>
      </c>
      <c r="P186" s="1535">
        <f>COUNTIF(P4:P61,"C")</f>
        <v>0</v>
      </c>
      <c r="Q186" s="1536">
        <f>COUNTIF(Q2:Q61,"C")</f>
        <v>0</v>
      </c>
      <c r="R186" s="1537">
        <f>COUNTIF(R4:R61,"C")</f>
        <v>0</v>
      </c>
      <c r="S186" s="1533" t="s">
        <v>151</v>
      </c>
      <c r="T186" s="1534">
        <f t="shared" ref="T186:V186" si="44">COUNTIF(T2:T180,"C")</f>
        <v>0</v>
      </c>
      <c r="U186" s="1534">
        <f t="shared" si="44"/>
        <v>0</v>
      </c>
      <c r="V186" s="1534">
        <f t="shared" si="44"/>
        <v>0</v>
      </c>
      <c r="W186" s="1533" t="s">
        <v>151</v>
      </c>
      <c r="X186" s="1534">
        <f t="shared" ref="X186:Z186" si="45">COUNTIF(X2:X144,"C")</f>
        <v>4</v>
      </c>
      <c r="Y186" s="1534">
        <f t="shared" si="45"/>
        <v>4</v>
      </c>
      <c r="Z186" s="1534">
        <f t="shared" si="45"/>
        <v>4</v>
      </c>
      <c r="AA186" s="1533" t="s">
        <v>151</v>
      </c>
      <c r="AB186" s="1534">
        <f t="shared" ref="AB186:AD186" si="46">COUNTIF(AB2:AB144,"C")</f>
        <v>0</v>
      </c>
      <c r="AC186" s="1534">
        <f t="shared" si="46"/>
        <v>0</v>
      </c>
      <c r="AD186" s="1534">
        <f t="shared" si="46"/>
        <v>0</v>
      </c>
      <c r="AE186" s="729"/>
      <c r="AF186" s="729"/>
      <c r="AG186" s="729"/>
      <c r="AH186" s="729"/>
      <c r="AI186" s="729"/>
      <c r="AJ186" s="729"/>
      <c r="AK186" s="729"/>
      <c r="AL186" s="729"/>
      <c r="AM186" s="729"/>
      <c r="AN186" s="729"/>
      <c r="AO186" s="729"/>
      <c r="AP186" s="729"/>
      <c r="AQ186" s="729"/>
      <c r="AR186" s="729"/>
      <c r="AS186" s="729"/>
      <c r="AT186" s="729"/>
      <c r="AU186" s="729"/>
      <c r="AV186" s="729"/>
      <c r="AW186" s="729"/>
      <c r="AX186" s="729"/>
      <c r="AY186" s="729"/>
      <c r="AZ186" s="729"/>
      <c r="BA186" s="729"/>
      <c r="BB186" s="729"/>
      <c r="BC186" s="729"/>
      <c r="BD186" s="729"/>
      <c r="BE186" s="729"/>
      <c r="BF186" s="729"/>
      <c r="BG186" s="729"/>
      <c r="BH186" s="729"/>
      <c r="BI186" s="228"/>
      <c r="BJ186" s="729"/>
      <c r="BK186" s="729"/>
      <c r="BL186" s="729"/>
      <c r="BM186" s="729"/>
      <c r="BN186" s="729"/>
      <c r="BO186" s="729"/>
      <c r="BP186" s="729"/>
      <c r="BQ186" s="729"/>
    </row>
    <row r="187" spans="1:69" ht="12.75" customHeight="1">
      <c r="A187" s="1010"/>
      <c r="B187" s="729"/>
      <c r="C187" s="729"/>
      <c r="D187" s="729"/>
      <c r="E187" s="1010"/>
      <c r="F187" s="12"/>
      <c r="G187" s="12"/>
      <c r="H187" s="1011"/>
      <c r="I187" s="1011"/>
      <c r="J187" s="1012"/>
      <c r="K187" s="1011"/>
      <c r="L187" s="1011"/>
      <c r="M187" s="1011"/>
      <c r="N187" s="730"/>
      <c r="O187" s="729"/>
      <c r="P187" s="1014"/>
      <c r="Q187" s="1014"/>
      <c r="R187" s="1014"/>
      <c r="S187" s="729"/>
      <c r="T187" s="729"/>
      <c r="U187" s="729"/>
      <c r="V187" s="729"/>
      <c r="W187" s="729"/>
      <c r="X187" s="729"/>
      <c r="Y187" s="729"/>
      <c r="Z187" s="729"/>
      <c r="AA187" s="729"/>
      <c r="AB187" s="729"/>
      <c r="AC187" s="729"/>
      <c r="AD187" s="729"/>
      <c r="AE187" s="729"/>
      <c r="AF187" s="729"/>
      <c r="AG187" s="729"/>
      <c r="AH187" s="729"/>
      <c r="AI187" s="729"/>
      <c r="AJ187" s="729"/>
      <c r="AK187" s="729"/>
      <c r="AL187" s="729"/>
      <c r="AM187" s="729"/>
      <c r="AN187" s="729"/>
      <c r="AO187" s="729"/>
      <c r="AP187" s="729"/>
      <c r="AQ187" s="729"/>
      <c r="AR187" s="729"/>
      <c r="AS187" s="729"/>
      <c r="AT187" s="729"/>
      <c r="AU187" s="729"/>
      <c r="AV187" s="729"/>
      <c r="AW187" s="729"/>
      <c r="AX187" s="729"/>
      <c r="AY187" s="729"/>
      <c r="AZ187" s="729"/>
      <c r="BA187" s="729"/>
      <c r="BB187" s="729"/>
      <c r="BC187" s="729"/>
      <c r="BD187" s="729"/>
      <c r="BE187" s="729"/>
      <c r="BF187" s="729"/>
      <c r="BG187" s="729"/>
      <c r="BH187" s="729"/>
      <c r="BI187" s="228"/>
      <c r="BJ187" s="729"/>
      <c r="BK187" s="729"/>
      <c r="BL187" s="729"/>
      <c r="BM187" s="729"/>
      <c r="BN187" s="729"/>
      <c r="BO187" s="729"/>
      <c r="BP187" s="729"/>
      <c r="BQ187" s="729"/>
    </row>
    <row r="188" spans="1:69" ht="12.75" customHeight="1">
      <c r="A188" s="1010"/>
      <c r="B188" s="729"/>
      <c r="C188" s="729"/>
      <c r="D188" s="729"/>
      <c r="E188" s="1010"/>
      <c r="F188" s="12"/>
      <c r="G188" s="12"/>
      <c r="H188" s="1011"/>
      <c r="I188" s="1011"/>
      <c r="J188" s="1012"/>
      <c r="K188" s="1011"/>
      <c r="L188" s="1011"/>
      <c r="M188" s="1011"/>
      <c r="N188" s="730"/>
      <c r="O188" s="729"/>
      <c r="P188" s="1014"/>
      <c r="Q188" s="1014"/>
      <c r="R188" s="1014"/>
      <c r="S188" s="729"/>
      <c r="T188" s="729"/>
      <c r="U188" s="729"/>
      <c r="V188" s="729"/>
      <c r="W188" s="729"/>
      <c r="X188" s="729"/>
      <c r="Y188" s="729"/>
      <c r="Z188" s="729"/>
      <c r="AA188" s="729"/>
      <c r="AB188" s="729"/>
      <c r="AC188" s="729"/>
      <c r="AD188" s="729"/>
      <c r="AE188" s="729"/>
      <c r="AF188" s="729"/>
      <c r="AG188" s="729"/>
      <c r="AH188" s="729"/>
      <c r="AI188" s="729"/>
      <c r="AJ188" s="729"/>
      <c r="AK188" s="729"/>
      <c r="AL188" s="729"/>
      <c r="AM188" s="729"/>
      <c r="AN188" s="729"/>
      <c r="AO188" s="729"/>
      <c r="AP188" s="729"/>
      <c r="AQ188" s="729"/>
      <c r="AR188" s="729"/>
      <c r="AS188" s="729"/>
      <c r="AT188" s="729"/>
      <c r="AU188" s="729"/>
      <c r="AV188" s="729"/>
      <c r="AW188" s="729"/>
      <c r="AX188" s="729"/>
      <c r="AY188" s="729"/>
      <c r="AZ188" s="729"/>
      <c r="BA188" s="729"/>
      <c r="BB188" s="729"/>
      <c r="BC188" s="729"/>
      <c r="BD188" s="729"/>
      <c r="BE188" s="729"/>
      <c r="BF188" s="729"/>
      <c r="BG188" s="729"/>
      <c r="BH188" s="729"/>
      <c r="BI188" s="228"/>
      <c r="BJ188" s="729"/>
      <c r="BK188" s="729"/>
      <c r="BL188" s="729"/>
      <c r="BM188" s="729"/>
      <c r="BN188" s="729"/>
      <c r="BO188" s="729"/>
      <c r="BP188" s="729"/>
      <c r="BQ188" s="729"/>
    </row>
    <row r="189" spans="1:69" ht="12.75" customHeight="1">
      <c r="A189" s="1538">
        <v>3</v>
      </c>
      <c r="BA189" s="937"/>
      <c r="BB189" s="937"/>
      <c r="BC189" s="937"/>
      <c r="BD189" s="937"/>
      <c r="BE189" s="937"/>
      <c r="BF189" s="937"/>
      <c r="BG189" s="937"/>
      <c r="BH189" s="937"/>
      <c r="BI189" s="937"/>
      <c r="BJ189" s="937"/>
      <c r="BK189" s="937"/>
      <c r="BL189" s="729"/>
      <c r="BM189" s="729"/>
      <c r="BN189" s="729"/>
      <c r="BO189" s="729"/>
      <c r="BP189" s="729"/>
      <c r="BQ189" s="729"/>
    </row>
    <row r="190" spans="1:69" ht="12.75" customHeight="1">
      <c r="A190" s="1539">
        <v>4</v>
      </c>
      <c r="BA190" s="1540"/>
      <c r="BB190" s="1540"/>
      <c r="BC190" s="1540"/>
      <c r="BD190" s="1540"/>
      <c r="BE190" s="1540"/>
      <c r="BF190" s="1540"/>
      <c r="BG190" s="1540"/>
      <c r="BH190" s="1540"/>
      <c r="BI190" s="937"/>
      <c r="BJ190" s="937"/>
      <c r="BK190" s="937"/>
      <c r="BL190" s="729"/>
      <c r="BM190" s="729"/>
      <c r="BN190" s="729"/>
      <c r="BO190" s="729"/>
      <c r="BP190" s="729"/>
      <c r="BQ190" s="729"/>
    </row>
    <row r="191" spans="1:69" ht="12.75" customHeight="1">
      <c r="A191" s="1539">
        <v>7</v>
      </c>
      <c r="BA191" s="1540"/>
      <c r="BB191" s="1540"/>
      <c r="BC191" s="1540"/>
      <c r="BD191" s="1540"/>
      <c r="BE191" s="1540"/>
      <c r="BF191" s="1540"/>
      <c r="BG191" s="1540"/>
      <c r="BH191" s="1540"/>
      <c r="BI191" s="937"/>
      <c r="BJ191" s="937"/>
      <c r="BK191" s="937"/>
      <c r="BL191" s="729"/>
      <c r="BM191" s="729"/>
      <c r="BN191" s="729"/>
      <c r="BO191" s="729"/>
      <c r="BP191" s="729"/>
      <c r="BQ191" s="729"/>
    </row>
    <row r="192" spans="1:69" ht="12.75" customHeight="1">
      <c r="A192" s="1541">
        <v>9</v>
      </c>
      <c r="BA192" s="1540"/>
      <c r="BB192" s="1540"/>
      <c r="BC192" s="1540"/>
      <c r="BD192" s="1540"/>
      <c r="BE192" s="1540"/>
      <c r="BF192" s="1540"/>
      <c r="BG192" s="1540"/>
      <c r="BH192" s="1540"/>
      <c r="BI192" s="937"/>
      <c r="BJ192" s="937"/>
      <c r="BK192" s="937"/>
      <c r="BL192" s="729"/>
      <c r="BM192" s="729"/>
      <c r="BN192" s="729"/>
      <c r="BO192" s="729"/>
      <c r="BP192" s="729"/>
      <c r="BQ192" s="729"/>
    </row>
    <row r="193" spans="1:69" ht="12.75" customHeight="1">
      <c r="A193" s="1539">
        <v>13</v>
      </c>
      <c r="BA193" s="1540"/>
      <c r="BB193" s="1540"/>
      <c r="BC193" s="1540"/>
      <c r="BD193" s="1540"/>
      <c r="BE193" s="1540"/>
      <c r="BF193" s="1540"/>
      <c r="BG193" s="1540"/>
      <c r="BH193" s="1540"/>
      <c r="BI193" s="937"/>
      <c r="BJ193" s="937"/>
      <c r="BK193" s="937"/>
      <c r="BL193" s="729"/>
      <c r="BM193" s="729"/>
      <c r="BN193" s="729"/>
      <c r="BO193" s="729"/>
      <c r="BP193" s="729"/>
      <c r="BQ193" s="729"/>
    </row>
    <row r="194" spans="1:69" ht="12.75" customHeight="1">
      <c r="A194" s="1542">
        <v>29</v>
      </c>
      <c r="BA194" s="937"/>
      <c r="BB194" s="937"/>
      <c r="BC194" s="937"/>
      <c r="BD194" s="937"/>
      <c r="BE194" s="937"/>
      <c r="BF194" s="937"/>
      <c r="BG194" s="937"/>
      <c r="BH194" s="937"/>
      <c r="BI194" s="937"/>
      <c r="BJ194" s="937"/>
      <c r="BK194" s="937"/>
      <c r="BL194" s="729"/>
      <c r="BM194" s="729"/>
      <c r="BN194" s="729"/>
      <c r="BO194" s="729"/>
      <c r="BP194" s="729"/>
      <c r="BQ194" s="729"/>
    </row>
    <row r="195" spans="1:69" ht="12.75" customHeight="1">
      <c r="A195" s="1543">
        <v>40</v>
      </c>
      <c r="BA195" s="1540"/>
      <c r="BB195" s="1540"/>
      <c r="BC195" s="1540"/>
      <c r="BD195" s="1540"/>
      <c r="BE195" s="1540"/>
      <c r="BF195" s="1540"/>
      <c r="BG195" s="1540"/>
      <c r="BH195" s="1540"/>
      <c r="BI195" s="937"/>
      <c r="BJ195" s="937"/>
      <c r="BK195" s="937"/>
      <c r="BL195" s="729"/>
      <c r="BM195" s="729"/>
      <c r="BN195" s="729"/>
      <c r="BO195" s="729"/>
      <c r="BP195" s="729"/>
      <c r="BQ195" s="729"/>
    </row>
    <row r="196" spans="1:69" ht="12.75" customHeight="1">
      <c r="A196" s="1539">
        <v>43</v>
      </c>
      <c r="BA196" s="1540"/>
      <c r="BB196" s="1540"/>
      <c r="BC196" s="1540"/>
      <c r="BD196" s="1540"/>
      <c r="BE196" s="1540"/>
      <c r="BF196" s="1540"/>
      <c r="BG196" s="1540"/>
      <c r="BH196" s="1540"/>
      <c r="BI196" s="937"/>
      <c r="BJ196" s="937"/>
      <c r="BK196" s="937"/>
      <c r="BL196" s="729"/>
      <c r="BM196" s="729"/>
      <c r="BN196" s="729"/>
      <c r="BO196" s="729"/>
      <c r="BP196" s="729"/>
      <c r="BQ196" s="729"/>
    </row>
    <row r="197" spans="1:69" ht="12.75" customHeight="1">
      <c r="A197" s="1542">
        <v>44</v>
      </c>
      <c r="BA197" s="937"/>
      <c r="BB197" s="937"/>
      <c r="BC197" s="937"/>
      <c r="BD197" s="937"/>
      <c r="BE197" s="937"/>
      <c r="BF197" s="937"/>
      <c r="BG197" s="937"/>
      <c r="BH197" s="937"/>
      <c r="BI197" s="937"/>
      <c r="BJ197" s="937"/>
      <c r="BK197" s="937"/>
      <c r="BL197" s="729"/>
      <c r="BM197" s="729"/>
      <c r="BN197" s="729"/>
      <c r="BO197" s="729"/>
      <c r="BP197" s="729"/>
      <c r="BQ197" s="729"/>
    </row>
    <row r="198" spans="1:69" ht="12.75" customHeight="1">
      <c r="A198" s="339">
        <v>58</v>
      </c>
      <c r="BA198" s="1540"/>
      <c r="BB198" s="1540"/>
      <c r="BC198" s="1540"/>
      <c r="BD198" s="1540"/>
      <c r="BE198" s="1540"/>
      <c r="BF198" s="1540"/>
      <c r="BG198" s="1540"/>
      <c r="BH198" s="1540"/>
      <c r="BI198" s="937"/>
      <c r="BJ198" s="937"/>
      <c r="BK198" s="937"/>
      <c r="BL198" s="729"/>
      <c r="BM198" s="729"/>
      <c r="BN198" s="729"/>
      <c r="BO198" s="729"/>
      <c r="BP198" s="729"/>
      <c r="BQ198" s="729"/>
    </row>
    <row r="199" spans="1:69" ht="12.75" customHeight="1">
      <c r="A199" s="339">
        <v>68</v>
      </c>
      <c r="BA199" s="937"/>
      <c r="BB199" s="937"/>
      <c r="BC199" s="937"/>
      <c r="BD199" s="937"/>
      <c r="BE199" s="937"/>
      <c r="BF199" s="937"/>
      <c r="BG199" s="937"/>
      <c r="BH199" s="937"/>
      <c r="BI199" s="937"/>
      <c r="BJ199" s="937"/>
      <c r="BK199" s="937"/>
      <c r="BL199" s="729"/>
      <c r="BM199" s="729"/>
      <c r="BN199" s="729"/>
      <c r="BO199" s="729"/>
      <c r="BP199" s="729"/>
      <c r="BQ199" s="729"/>
    </row>
    <row r="200" spans="1:69" ht="12.75" customHeight="1">
      <c r="A200" s="1541">
        <v>69</v>
      </c>
      <c r="BA200" s="937"/>
      <c r="BB200" s="937"/>
      <c r="BC200" s="937"/>
      <c r="BD200" s="937"/>
      <c r="BE200" s="937"/>
      <c r="BF200" s="937"/>
      <c r="BG200" s="937"/>
      <c r="BH200" s="937"/>
      <c r="BI200" s="937"/>
      <c r="BJ200" s="937"/>
      <c r="BK200" s="937"/>
      <c r="BL200" s="729"/>
      <c r="BM200" s="729"/>
      <c r="BN200" s="729"/>
      <c r="BO200" s="729"/>
      <c r="BP200" s="729"/>
      <c r="BQ200" s="729"/>
    </row>
    <row r="201" spans="1:69" ht="12.75" customHeight="1">
      <c r="A201" s="1541">
        <v>70</v>
      </c>
      <c r="BA201" s="1540"/>
      <c r="BB201" s="1540"/>
      <c r="BC201" s="1540"/>
      <c r="BD201" s="1540"/>
      <c r="BE201" s="1540"/>
      <c r="BF201" s="1540"/>
      <c r="BG201" s="1540"/>
      <c r="BH201" s="1540"/>
      <c r="BI201" s="937"/>
      <c r="BJ201" s="937"/>
      <c r="BK201" s="937"/>
      <c r="BL201" s="729"/>
      <c r="BM201" s="729"/>
      <c r="BN201" s="729"/>
      <c r="BO201" s="729"/>
      <c r="BP201" s="729"/>
      <c r="BQ201" s="729"/>
    </row>
    <row r="202" spans="1:69" ht="12.75" customHeight="1">
      <c r="A202" s="1544">
        <v>71</v>
      </c>
      <c r="BA202" s="1540"/>
      <c r="BB202" s="1540"/>
      <c r="BC202" s="1540"/>
      <c r="BD202" s="1540"/>
      <c r="BE202" s="1540"/>
      <c r="BF202" s="1540"/>
      <c r="BG202" s="1540"/>
      <c r="BH202" s="1540"/>
      <c r="BI202" s="937"/>
      <c r="BJ202" s="937"/>
      <c r="BK202" s="937"/>
      <c r="BL202" s="729"/>
      <c r="BM202" s="729"/>
      <c r="BN202" s="729"/>
      <c r="BO202" s="729"/>
      <c r="BP202" s="729"/>
      <c r="BQ202" s="729"/>
    </row>
    <row r="203" spans="1:69" ht="12.75" customHeight="1">
      <c r="A203" s="1539">
        <v>72</v>
      </c>
      <c r="BA203" s="1540"/>
      <c r="BB203" s="1540"/>
      <c r="BC203" s="1540"/>
      <c r="BD203" s="1540"/>
      <c r="BE203" s="1540"/>
      <c r="BF203" s="1540"/>
      <c r="BG203" s="1540"/>
      <c r="BH203" s="1540"/>
      <c r="BI203" s="937"/>
      <c r="BJ203" s="937"/>
      <c r="BK203" s="937"/>
      <c r="BL203" s="729"/>
      <c r="BM203" s="729"/>
      <c r="BN203" s="729"/>
      <c r="BO203" s="729"/>
      <c r="BP203" s="729"/>
      <c r="BQ203" s="729"/>
    </row>
    <row r="204" spans="1:69" ht="12.75" customHeight="1">
      <c r="A204" s="1543">
        <v>74</v>
      </c>
      <c r="BA204" s="1540"/>
      <c r="BB204" s="1540"/>
      <c r="BC204" s="1540"/>
      <c r="BD204" s="1540"/>
      <c r="BE204" s="1540"/>
      <c r="BF204" s="1540"/>
      <c r="BG204" s="1540"/>
      <c r="BH204" s="1540"/>
      <c r="BI204" s="937"/>
      <c r="BJ204" s="937"/>
      <c r="BK204" s="937"/>
      <c r="BL204" s="729"/>
      <c r="BM204" s="729"/>
      <c r="BN204" s="729"/>
      <c r="BO204" s="729"/>
      <c r="BP204" s="729"/>
      <c r="BQ204" s="729"/>
    </row>
    <row r="205" spans="1:69" ht="12.75" customHeight="1">
      <c r="A205" s="1541">
        <v>81</v>
      </c>
      <c r="BA205" s="1540"/>
      <c r="BB205" s="1540"/>
      <c r="BC205" s="1540"/>
      <c r="BD205" s="1540"/>
      <c r="BE205" s="1540"/>
      <c r="BF205" s="1540"/>
      <c r="BG205" s="1540"/>
      <c r="BH205" s="1540"/>
      <c r="BI205" s="937"/>
      <c r="BJ205" s="937"/>
      <c r="BK205" s="937"/>
      <c r="BL205" s="729"/>
      <c r="BM205" s="729"/>
      <c r="BN205" s="729"/>
      <c r="BO205" s="729"/>
      <c r="BP205" s="729"/>
      <c r="BQ205" s="729"/>
    </row>
    <row r="206" spans="1:69" ht="12.75" customHeight="1">
      <c r="A206" s="1539">
        <v>83</v>
      </c>
      <c r="BA206" s="1540"/>
      <c r="BB206" s="1540"/>
      <c r="BC206" s="1540"/>
      <c r="BD206" s="1540"/>
      <c r="BE206" s="1540"/>
      <c r="BF206" s="1540"/>
      <c r="BG206" s="1540"/>
      <c r="BH206" s="1540"/>
      <c r="BI206" s="937"/>
      <c r="BJ206" s="937"/>
      <c r="BK206" s="937"/>
      <c r="BL206" s="729"/>
      <c r="BM206" s="729"/>
      <c r="BN206" s="729"/>
      <c r="BO206" s="729"/>
      <c r="BP206" s="729"/>
      <c r="BQ206" s="729"/>
    </row>
    <row r="207" spans="1:69" ht="12.75" customHeight="1">
      <c r="A207" s="1541">
        <v>87</v>
      </c>
      <c r="BA207" s="1540"/>
      <c r="BB207" s="1540"/>
      <c r="BC207" s="1540"/>
      <c r="BD207" s="1540"/>
      <c r="BE207" s="1540"/>
      <c r="BF207" s="1540"/>
      <c r="BG207" s="1540"/>
      <c r="BH207" s="1540"/>
      <c r="BI207" s="937"/>
      <c r="BJ207" s="937"/>
      <c r="BK207" s="937"/>
      <c r="BL207" s="729"/>
      <c r="BM207" s="729"/>
      <c r="BN207" s="729"/>
      <c r="BO207" s="729"/>
      <c r="BP207" s="729"/>
      <c r="BQ207" s="729"/>
    </row>
    <row r="208" spans="1:69" ht="12.75" customHeight="1">
      <c r="A208" s="1544">
        <v>93</v>
      </c>
      <c r="BA208" s="1540"/>
      <c r="BB208" s="1540"/>
      <c r="BC208" s="1540"/>
      <c r="BD208" s="1540"/>
      <c r="BE208" s="1540"/>
      <c r="BF208" s="1540"/>
      <c r="BG208" s="1540"/>
      <c r="BH208" s="1540"/>
      <c r="BI208" s="937"/>
      <c r="BJ208" s="937"/>
      <c r="BK208" s="937"/>
      <c r="BL208" s="729"/>
      <c r="BM208" s="729"/>
      <c r="BN208" s="729"/>
      <c r="BO208" s="729"/>
      <c r="BP208" s="729"/>
      <c r="BQ208" s="729"/>
    </row>
    <row r="209" spans="1:69" ht="12.75" customHeight="1">
      <c r="A209" s="1542">
        <v>103</v>
      </c>
      <c r="BA209" s="937"/>
      <c r="BB209" s="937"/>
      <c r="BC209" s="937"/>
      <c r="BD209" s="937"/>
      <c r="BE209" s="937"/>
      <c r="BF209" s="937"/>
      <c r="BG209" s="937"/>
      <c r="BH209" s="937"/>
      <c r="BI209" s="937"/>
      <c r="BJ209" s="937"/>
      <c r="BK209" s="937"/>
      <c r="BL209" s="729"/>
      <c r="BM209" s="729"/>
      <c r="BN209" s="729"/>
      <c r="BO209" s="729"/>
      <c r="BP209" s="729"/>
      <c r="BQ209" s="729"/>
    </row>
    <row r="210" spans="1:69" ht="12.75" customHeight="1">
      <c r="A210" s="1541">
        <v>111</v>
      </c>
      <c r="BA210" s="1540"/>
      <c r="BB210" s="1540"/>
      <c r="BC210" s="1540"/>
      <c r="BD210" s="1540"/>
      <c r="BE210" s="1540"/>
      <c r="BF210" s="1540"/>
      <c r="BG210" s="1540"/>
      <c r="BH210" s="1540"/>
      <c r="BI210" s="937"/>
      <c r="BJ210" s="937"/>
      <c r="BK210" s="937"/>
      <c r="BL210" s="729"/>
      <c r="BM210" s="729"/>
      <c r="BN210" s="729"/>
      <c r="BO210" s="729"/>
      <c r="BP210" s="729"/>
      <c r="BQ210" s="729"/>
    </row>
    <row r="211" spans="1:69" ht="12.75" customHeight="1">
      <c r="A211" s="339">
        <v>124</v>
      </c>
      <c r="BA211" s="1540"/>
      <c r="BB211" s="1540"/>
      <c r="BC211" s="1540"/>
      <c r="BD211" s="1540"/>
      <c r="BE211" s="1540"/>
      <c r="BF211" s="1540"/>
      <c r="BG211" s="1540"/>
      <c r="BH211" s="1540"/>
      <c r="BI211" s="937"/>
      <c r="BJ211" s="937"/>
      <c r="BK211" s="937"/>
      <c r="BL211" s="729"/>
      <c r="BM211" s="729"/>
      <c r="BN211" s="729"/>
      <c r="BO211" s="729"/>
      <c r="BP211" s="729"/>
      <c r="BQ211" s="729"/>
    </row>
    <row r="212" spans="1:69" ht="12.75" customHeight="1">
      <c r="A212" s="1544">
        <v>125</v>
      </c>
      <c r="BA212" s="1540"/>
      <c r="BB212" s="1540"/>
      <c r="BC212" s="1540"/>
      <c r="BD212" s="1540"/>
      <c r="BE212" s="1540"/>
      <c r="BF212" s="1540"/>
      <c r="BG212" s="1540"/>
      <c r="BH212" s="1540"/>
      <c r="BI212" s="937"/>
      <c r="BJ212" s="937"/>
      <c r="BK212" s="937"/>
      <c r="BL212" s="729"/>
      <c r="BM212" s="729"/>
      <c r="BN212" s="729"/>
      <c r="BO212" s="729"/>
      <c r="BP212" s="729"/>
      <c r="BQ212" s="729"/>
    </row>
    <row r="213" spans="1:69" ht="12.75" customHeight="1">
      <c r="A213" s="1542">
        <v>126</v>
      </c>
      <c r="BA213" s="937"/>
      <c r="BB213" s="937"/>
      <c r="BC213" s="937"/>
      <c r="BD213" s="937"/>
      <c r="BE213" s="937"/>
      <c r="BF213" s="937"/>
      <c r="BG213" s="937"/>
      <c r="BH213" s="937"/>
      <c r="BI213" s="937"/>
      <c r="BJ213" s="937"/>
      <c r="BK213" s="937"/>
      <c r="BL213" s="729"/>
      <c r="BM213" s="729"/>
      <c r="BN213" s="729"/>
      <c r="BO213" s="729"/>
      <c r="BP213" s="729"/>
      <c r="BQ213" s="729"/>
    </row>
    <row r="214" spans="1:69" ht="12.75" customHeight="1">
      <c r="A214" s="1543">
        <v>130</v>
      </c>
      <c r="BA214" s="1540"/>
      <c r="BB214" s="1540"/>
      <c r="BC214" s="1540"/>
      <c r="BD214" s="1540"/>
      <c r="BE214" s="1540"/>
      <c r="BF214" s="1540"/>
      <c r="BG214" s="1540"/>
      <c r="BH214" s="1540"/>
      <c r="BI214" s="937"/>
      <c r="BJ214" s="937"/>
      <c r="BK214" s="937"/>
      <c r="BL214" s="729"/>
      <c r="BM214" s="729"/>
      <c r="BN214" s="729"/>
      <c r="BO214" s="729"/>
      <c r="BP214" s="729"/>
      <c r="BQ214" s="729"/>
    </row>
    <row r="215" spans="1:69" ht="12.75" customHeight="1">
      <c r="A215" s="1541">
        <v>131</v>
      </c>
      <c r="BA215" s="1540"/>
      <c r="BB215" s="1540"/>
      <c r="BC215" s="1540"/>
      <c r="BD215" s="1540"/>
      <c r="BE215" s="1540"/>
      <c r="BF215" s="1540"/>
      <c r="BG215" s="1540"/>
      <c r="BH215" s="1540"/>
      <c r="BI215" s="937"/>
      <c r="BJ215" s="937"/>
      <c r="BK215" s="937"/>
      <c r="BL215" s="729"/>
      <c r="BM215" s="729"/>
      <c r="BN215" s="729"/>
      <c r="BO215" s="729"/>
      <c r="BP215" s="729"/>
      <c r="BQ215" s="729"/>
    </row>
    <row r="216" spans="1:69" ht="12.75" customHeight="1">
      <c r="A216" s="1544">
        <v>134</v>
      </c>
      <c r="BA216" s="1540"/>
      <c r="BB216" s="1540"/>
      <c r="BC216" s="1540"/>
      <c r="BD216" s="1540"/>
      <c r="BE216" s="1540"/>
      <c r="BF216" s="1540"/>
      <c r="BG216" s="1540"/>
      <c r="BH216" s="1540"/>
      <c r="BI216" s="937"/>
      <c r="BJ216" s="937"/>
      <c r="BK216" s="937"/>
      <c r="BL216" s="729"/>
      <c r="BM216" s="729"/>
      <c r="BN216" s="729"/>
      <c r="BO216" s="729"/>
      <c r="BP216" s="729"/>
      <c r="BQ216" s="729"/>
    </row>
    <row r="217" spans="1:69" ht="12.75" customHeight="1">
      <c r="A217" s="1544">
        <v>135</v>
      </c>
      <c r="BA217" s="1540"/>
      <c r="BB217" s="1540"/>
      <c r="BC217" s="1540"/>
      <c r="BD217" s="1540"/>
      <c r="BE217" s="1540"/>
      <c r="BF217" s="1540"/>
      <c r="BG217" s="1540"/>
      <c r="BH217" s="1540"/>
      <c r="BI217" s="937"/>
      <c r="BJ217" s="937"/>
      <c r="BK217" s="937"/>
      <c r="BL217" s="729"/>
      <c r="BM217" s="729"/>
      <c r="BN217" s="729"/>
      <c r="BO217" s="729"/>
      <c r="BP217" s="729"/>
      <c r="BQ217" s="729"/>
    </row>
    <row r="218" spans="1:69" ht="12.75" customHeight="1">
      <c r="A218" s="1542">
        <v>145</v>
      </c>
      <c r="BA218" s="937"/>
      <c r="BB218" s="937"/>
      <c r="BC218" s="937"/>
      <c r="BD218" s="937"/>
      <c r="BE218" s="937"/>
      <c r="BF218" s="937"/>
      <c r="BG218" s="937"/>
      <c r="BH218" s="937"/>
      <c r="BI218" s="937"/>
      <c r="BJ218" s="937"/>
      <c r="BK218" s="937"/>
      <c r="BL218" s="729"/>
      <c r="BM218" s="729"/>
      <c r="BN218" s="729"/>
      <c r="BO218" s="729"/>
      <c r="BP218" s="729"/>
      <c r="BQ218" s="729"/>
    </row>
    <row r="219" spans="1:69" ht="12.75" customHeight="1">
      <c r="A219" s="1539">
        <v>147</v>
      </c>
      <c r="BA219" s="1540"/>
      <c r="BB219" s="1540"/>
      <c r="BC219" s="1540"/>
      <c r="BD219" s="1540"/>
      <c r="BE219" s="1540"/>
      <c r="BF219" s="1540"/>
      <c r="BG219" s="1540"/>
      <c r="BH219" s="1540"/>
      <c r="BI219" s="937"/>
      <c r="BJ219" s="937"/>
      <c r="BK219" s="937"/>
      <c r="BL219" s="729"/>
      <c r="BM219" s="729"/>
      <c r="BN219" s="729"/>
      <c r="BO219" s="729"/>
      <c r="BP219" s="729"/>
      <c r="BQ219" s="729"/>
    </row>
    <row r="220" spans="1:69" ht="12.75" customHeight="1">
      <c r="A220" s="1545">
        <v>152</v>
      </c>
      <c r="BA220" s="1540"/>
      <c r="BB220" s="1540"/>
      <c r="BC220" s="1540"/>
      <c r="BD220" s="1540"/>
      <c r="BE220" s="1540"/>
      <c r="BF220" s="1540"/>
      <c r="BG220" s="1540"/>
      <c r="BH220" s="1540"/>
      <c r="BI220" s="937"/>
      <c r="BJ220" s="937"/>
      <c r="BK220" s="937"/>
      <c r="BL220" s="729"/>
      <c r="BM220" s="729"/>
      <c r="BN220" s="729"/>
      <c r="BO220" s="729"/>
      <c r="BP220" s="729"/>
      <c r="BQ220" s="729"/>
    </row>
    <row r="221" spans="1:69" ht="12.75" customHeight="1">
      <c r="A221" s="1010"/>
      <c r="B221" s="729"/>
      <c r="C221" s="729"/>
      <c r="D221" s="729"/>
      <c r="E221" s="1010"/>
      <c r="F221" s="12"/>
      <c r="G221" s="12"/>
      <c r="H221" s="1011"/>
      <c r="I221" s="1011"/>
      <c r="J221" s="1012"/>
      <c r="K221" s="1011"/>
      <c r="L221" s="1011"/>
      <c r="M221" s="1011"/>
      <c r="N221" s="730"/>
      <c r="O221" s="729"/>
      <c r="P221" s="1014"/>
      <c r="Q221" s="1014"/>
      <c r="R221" s="1014"/>
      <c r="S221" s="729"/>
      <c r="T221" s="729"/>
      <c r="U221" s="729"/>
      <c r="V221" s="729"/>
      <c r="W221" s="729"/>
      <c r="X221" s="729"/>
      <c r="Y221" s="729"/>
      <c r="Z221" s="729"/>
      <c r="AA221" s="729"/>
      <c r="AB221" s="729"/>
      <c r="AC221" s="729"/>
      <c r="AD221" s="729"/>
      <c r="AE221" s="729"/>
      <c r="AF221" s="729"/>
      <c r="AG221" s="729"/>
      <c r="AH221" s="729"/>
      <c r="AI221" s="729"/>
      <c r="AJ221" s="729"/>
      <c r="AK221" s="729"/>
      <c r="AL221" s="729"/>
      <c r="AM221" s="729"/>
      <c r="AN221" s="729"/>
      <c r="AO221" s="729"/>
      <c r="AP221" s="729"/>
      <c r="AQ221" s="729"/>
      <c r="AR221" s="729"/>
      <c r="AS221" s="729"/>
      <c r="AT221" s="729"/>
      <c r="AU221" s="729"/>
      <c r="AV221" s="729"/>
      <c r="AW221" s="729"/>
      <c r="AX221" s="729"/>
      <c r="AY221" s="729"/>
      <c r="AZ221" s="729"/>
      <c r="BA221" s="729"/>
      <c r="BB221" s="729"/>
      <c r="BC221" s="729"/>
      <c r="BD221" s="729"/>
      <c r="BE221" s="729"/>
      <c r="BF221" s="729"/>
      <c r="BG221" s="729"/>
      <c r="BH221" s="729"/>
      <c r="BI221" s="228"/>
      <c r="BJ221" s="729"/>
      <c r="BK221" s="729"/>
      <c r="BL221" s="729"/>
      <c r="BM221" s="729"/>
      <c r="BN221" s="729"/>
      <c r="BO221" s="729"/>
      <c r="BP221" s="729"/>
      <c r="BQ221" s="729"/>
    </row>
    <row r="222" spans="1:69" ht="12.75" customHeight="1">
      <c r="A222" s="1010"/>
      <c r="B222" s="729"/>
      <c r="C222" s="729"/>
      <c r="D222" s="729"/>
      <c r="E222" s="1010"/>
      <c r="F222" s="12"/>
      <c r="G222" s="12"/>
      <c r="H222" s="1011"/>
      <c r="I222" s="1011"/>
      <c r="J222" s="1012"/>
      <c r="K222" s="1011"/>
      <c r="L222" s="1011"/>
      <c r="M222" s="1011"/>
      <c r="N222" s="730"/>
      <c r="O222" s="729"/>
      <c r="P222" s="1014"/>
      <c r="Q222" s="1014"/>
      <c r="R222" s="1014"/>
      <c r="S222" s="729"/>
      <c r="T222" s="729"/>
      <c r="U222" s="729"/>
      <c r="V222" s="729"/>
      <c r="W222" s="729"/>
      <c r="X222" s="729"/>
      <c r="Y222" s="729"/>
      <c r="Z222" s="729"/>
      <c r="AA222" s="729"/>
      <c r="AB222" s="729"/>
      <c r="AC222" s="729"/>
      <c r="AD222" s="729"/>
      <c r="AE222" s="729"/>
      <c r="AF222" s="729"/>
      <c r="AG222" s="729"/>
      <c r="AH222" s="729"/>
      <c r="AI222" s="729"/>
      <c r="AJ222" s="729"/>
      <c r="AK222" s="729"/>
      <c r="AL222" s="729"/>
      <c r="AM222" s="729"/>
      <c r="AN222" s="729"/>
      <c r="AO222" s="729"/>
      <c r="AP222" s="729"/>
      <c r="AQ222" s="729"/>
      <c r="AR222" s="729"/>
      <c r="AS222" s="729"/>
      <c r="AT222" s="729"/>
      <c r="AU222" s="729"/>
      <c r="AV222" s="729"/>
      <c r="AW222" s="729"/>
      <c r="AX222" s="729"/>
      <c r="AY222" s="729"/>
      <c r="AZ222" s="729"/>
      <c r="BA222" s="729"/>
      <c r="BB222" s="729"/>
      <c r="BC222" s="729"/>
      <c r="BD222" s="729"/>
      <c r="BE222" s="729"/>
      <c r="BF222" s="729"/>
      <c r="BG222" s="729"/>
      <c r="BH222" s="729"/>
      <c r="BI222" s="228"/>
      <c r="BJ222" s="729"/>
      <c r="BK222" s="729"/>
      <c r="BL222" s="729"/>
      <c r="BM222" s="729"/>
      <c r="BN222" s="729"/>
      <c r="BO222" s="729"/>
      <c r="BP222" s="729"/>
      <c r="BQ222" s="729"/>
    </row>
    <row r="223" spans="1:69" ht="12.75" customHeight="1">
      <c r="A223" s="1010"/>
      <c r="B223" s="729"/>
      <c r="C223" s="729"/>
      <c r="D223" s="729"/>
      <c r="E223" s="1010"/>
      <c r="F223" s="12"/>
      <c r="G223" s="12"/>
      <c r="H223" s="1011"/>
      <c r="I223" s="1011"/>
      <c r="J223" s="1012"/>
      <c r="K223" s="1011"/>
      <c r="L223" s="1011"/>
      <c r="M223" s="1011"/>
      <c r="N223" s="730"/>
      <c r="O223" s="729"/>
      <c r="P223" s="1014"/>
      <c r="Q223" s="1014"/>
      <c r="R223" s="1014"/>
      <c r="S223" s="729"/>
      <c r="T223" s="729"/>
      <c r="U223" s="729"/>
      <c r="V223" s="729"/>
      <c r="W223" s="729"/>
      <c r="X223" s="729"/>
      <c r="Y223" s="729"/>
      <c r="Z223" s="729"/>
      <c r="AA223" s="729"/>
      <c r="AB223" s="729"/>
      <c r="AC223" s="729"/>
      <c r="AD223" s="729"/>
      <c r="AE223" s="729"/>
      <c r="AF223" s="729"/>
      <c r="AG223" s="729"/>
      <c r="AH223" s="729"/>
      <c r="AI223" s="729"/>
      <c r="AJ223" s="729"/>
      <c r="AK223" s="729"/>
      <c r="AL223" s="729"/>
      <c r="AM223" s="729"/>
      <c r="AN223" s="729"/>
      <c r="AO223" s="729"/>
      <c r="AP223" s="729"/>
      <c r="AQ223" s="729"/>
      <c r="AR223" s="729"/>
      <c r="AS223" s="729"/>
      <c r="AT223" s="729"/>
      <c r="AU223" s="729"/>
      <c r="AV223" s="729"/>
      <c r="AW223" s="729"/>
      <c r="AX223" s="729"/>
      <c r="AY223" s="729"/>
      <c r="AZ223" s="729"/>
      <c r="BA223" s="729"/>
      <c r="BB223" s="729"/>
      <c r="BC223" s="729"/>
      <c r="BD223" s="729"/>
      <c r="BE223" s="729"/>
      <c r="BF223" s="729"/>
      <c r="BG223" s="729"/>
      <c r="BH223" s="729"/>
      <c r="BI223" s="228"/>
      <c r="BJ223" s="729"/>
      <c r="BK223" s="729"/>
      <c r="BL223" s="729"/>
      <c r="BM223" s="729"/>
      <c r="BN223" s="729"/>
      <c r="BO223" s="729"/>
      <c r="BP223" s="729"/>
      <c r="BQ223" s="729"/>
    </row>
    <row r="224" spans="1:69" ht="12.75" customHeight="1">
      <c r="A224" s="1010"/>
      <c r="B224" s="729"/>
      <c r="C224" s="729"/>
      <c r="D224" s="729"/>
      <c r="E224" s="1010"/>
      <c r="F224" s="12"/>
      <c r="G224" s="12"/>
      <c r="H224" s="1011"/>
      <c r="I224" s="1011"/>
      <c r="J224" s="1012"/>
      <c r="K224" s="1011"/>
      <c r="L224" s="1011"/>
      <c r="M224" s="1011"/>
      <c r="N224" s="730"/>
      <c r="O224" s="729"/>
      <c r="P224" s="1014"/>
      <c r="Q224" s="1014"/>
      <c r="R224" s="1014"/>
      <c r="S224" s="729"/>
      <c r="T224" s="729"/>
      <c r="U224" s="729"/>
      <c r="V224" s="729"/>
      <c r="W224" s="729"/>
      <c r="X224" s="729"/>
      <c r="Y224" s="729"/>
      <c r="Z224" s="729"/>
      <c r="AA224" s="729"/>
      <c r="AB224" s="729"/>
      <c r="AC224" s="729"/>
      <c r="AD224" s="729"/>
      <c r="AE224" s="729"/>
      <c r="AF224" s="729"/>
      <c r="AG224" s="729"/>
      <c r="AH224" s="729"/>
      <c r="AI224" s="729"/>
      <c r="AJ224" s="729"/>
      <c r="AK224" s="729"/>
      <c r="AL224" s="729"/>
      <c r="AM224" s="729"/>
      <c r="AN224" s="729"/>
      <c r="AO224" s="729"/>
      <c r="AP224" s="729"/>
      <c r="AQ224" s="729"/>
      <c r="AR224" s="729"/>
      <c r="AS224" s="729"/>
      <c r="AT224" s="729"/>
      <c r="AU224" s="729"/>
      <c r="AV224" s="729"/>
      <c r="AW224" s="729"/>
      <c r="AX224" s="729"/>
      <c r="AY224" s="729"/>
      <c r="AZ224" s="729"/>
      <c r="BA224" s="729"/>
      <c r="BB224" s="729"/>
      <c r="BC224" s="729"/>
      <c r="BD224" s="729"/>
      <c r="BE224" s="729"/>
      <c r="BF224" s="729"/>
      <c r="BG224" s="729"/>
      <c r="BH224" s="729"/>
      <c r="BI224" s="228"/>
      <c r="BJ224" s="729"/>
      <c r="BK224" s="729"/>
      <c r="BL224" s="729"/>
      <c r="BM224" s="729"/>
      <c r="BN224" s="729"/>
      <c r="BO224" s="729"/>
      <c r="BP224" s="729"/>
      <c r="BQ224" s="729"/>
    </row>
    <row r="225" spans="1:69" ht="12.75" customHeight="1">
      <c r="A225" s="1010"/>
      <c r="B225" s="729"/>
      <c r="C225" s="729"/>
      <c r="D225" s="729"/>
      <c r="E225" s="1010"/>
      <c r="F225" s="12"/>
      <c r="G225" s="12"/>
      <c r="H225" s="1011"/>
      <c r="I225" s="1011"/>
      <c r="J225" s="1012"/>
      <c r="K225" s="1011"/>
      <c r="L225" s="1011"/>
      <c r="M225" s="1011"/>
      <c r="N225" s="730"/>
      <c r="O225" s="729"/>
      <c r="P225" s="1014"/>
      <c r="Q225" s="1014"/>
      <c r="R225" s="1014"/>
      <c r="S225" s="729"/>
      <c r="T225" s="729"/>
      <c r="U225" s="729"/>
      <c r="V225" s="729"/>
      <c r="W225" s="729"/>
      <c r="X225" s="729"/>
      <c r="Y225" s="729"/>
      <c r="Z225" s="729"/>
      <c r="AA225" s="729"/>
      <c r="AB225" s="729"/>
      <c r="AC225" s="729"/>
      <c r="AD225" s="729"/>
      <c r="AE225" s="729"/>
      <c r="AF225" s="729"/>
      <c r="AG225" s="729"/>
      <c r="AH225" s="729"/>
      <c r="AI225" s="729"/>
      <c r="AJ225" s="729"/>
      <c r="AK225" s="729"/>
      <c r="AL225" s="729"/>
      <c r="AM225" s="729"/>
      <c r="AN225" s="729"/>
      <c r="AO225" s="729"/>
      <c r="AP225" s="729"/>
      <c r="AQ225" s="729"/>
      <c r="AR225" s="729"/>
      <c r="AS225" s="729"/>
      <c r="AT225" s="729"/>
      <c r="AU225" s="729"/>
      <c r="AV225" s="729"/>
      <c r="AW225" s="729"/>
      <c r="AX225" s="729"/>
      <c r="AY225" s="729"/>
      <c r="AZ225" s="729"/>
      <c r="BA225" s="729"/>
      <c r="BB225" s="729"/>
      <c r="BC225" s="729"/>
      <c r="BD225" s="729"/>
      <c r="BE225" s="729"/>
      <c r="BF225" s="729"/>
      <c r="BG225" s="729"/>
      <c r="BH225" s="729"/>
      <c r="BI225" s="228"/>
      <c r="BJ225" s="729"/>
      <c r="BK225" s="729"/>
      <c r="BL225" s="729"/>
      <c r="BM225" s="729"/>
      <c r="BN225" s="729"/>
      <c r="BO225" s="729"/>
      <c r="BP225" s="729"/>
      <c r="BQ225" s="729"/>
    </row>
    <row r="226" spans="1:69" ht="12.75" customHeight="1">
      <c r="A226" s="1010"/>
      <c r="B226" s="729"/>
      <c r="C226" s="729"/>
      <c r="D226" s="729"/>
      <c r="E226" s="1010"/>
      <c r="F226" s="12"/>
      <c r="G226" s="12"/>
      <c r="H226" s="1011"/>
      <c r="I226" s="1011"/>
      <c r="J226" s="1012"/>
      <c r="K226" s="1011"/>
      <c r="L226" s="1011"/>
      <c r="M226" s="1011"/>
      <c r="N226" s="730"/>
      <c r="O226" s="729"/>
      <c r="P226" s="1014"/>
      <c r="Q226" s="1014"/>
      <c r="R226" s="1014"/>
      <c r="S226" s="729"/>
      <c r="T226" s="729"/>
      <c r="U226" s="729"/>
      <c r="V226" s="729"/>
      <c r="W226" s="729"/>
      <c r="X226" s="729"/>
      <c r="Y226" s="729"/>
      <c r="Z226" s="729"/>
      <c r="AA226" s="729"/>
      <c r="AB226" s="729"/>
      <c r="AC226" s="729"/>
      <c r="AD226" s="729"/>
      <c r="AE226" s="729"/>
      <c r="AF226" s="729"/>
      <c r="AG226" s="729"/>
      <c r="AH226" s="729"/>
      <c r="AI226" s="729"/>
      <c r="AJ226" s="729"/>
      <c r="AK226" s="729"/>
      <c r="AL226" s="729"/>
      <c r="AM226" s="729"/>
      <c r="AN226" s="729"/>
      <c r="AO226" s="729"/>
      <c r="AP226" s="729"/>
      <c r="AQ226" s="729"/>
      <c r="AR226" s="729"/>
      <c r="AS226" s="729"/>
      <c r="AT226" s="729"/>
      <c r="AU226" s="729"/>
      <c r="AV226" s="729"/>
      <c r="AW226" s="729"/>
      <c r="AX226" s="729"/>
      <c r="AY226" s="729"/>
      <c r="AZ226" s="729"/>
      <c r="BA226" s="729"/>
      <c r="BB226" s="729"/>
      <c r="BC226" s="729"/>
      <c r="BD226" s="729"/>
      <c r="BE226" s="729"/>
      <c r="BF226" s="729"/>
      <c r="BG226" s="729"/>
      <c r="BH226" s="729"/>
      <c r="BI226" s="228"/>
      <c r="BJ226" s="729"/>
      <c r="BK226" s="729"/>
      <c r="BL226" s="729"/>
      <c r="BM226" s="729"/>
      <c r="BN226" s="729"/>
      <c r="BO226" s="729"/>
      <c r="BP226" s="729"/>
      <c r="BQ226" s="729"/>
    </row>
    <row r="227" spans="1:69" ht="12.75" customHeight="1">
      <c r="A227" s="1010"/>
      <c r="B227" s="729"/>
      <c r="C227" s="729"/>
      <c r="D227" s="729"/>
      <c r="E227" s="1010"/>
      <c r="F227" s="12"/>
      <c r="G227" s="12"/>
      <c r="H227" s="1011"/>
      <c r="I227" s="1011"/>
      <c r="J227" s="1012"/>
      <c r="K227" s="1011"/>
      <c r="L227" s="1011"/>
      <c r="M227" s="1011"/>
      <c r="N227" s="730"/>
      <c r="O227" s="729"/>
      <c r="P227" s="1014"/>
      <c r="Q227" s="1014"/>
      <c r="R227" s="1014"/>
      <c r="S227" s="729"/>
      <c r="T227" s="729"/>
      <c r="U227" s="729"/>
      <c r="V227" s="729"/>
      <c r="W227" s="729"/>
      <c r="X227" s="729"/>
      <c r="Y227" s="729"/>
      <c r="Z227" s="729"/>
      <c r="AA227" s="729"/>
      <c r="AB227" s="729"/>
      <c r="AC227" s="729"/>
      <c r="AD227" s="729"/>
      <c r="AE227" s="729"/>
      <c r="AF227" s="729"/>
      <c r="AG227" s="729"/>
      <c r="AH227" s="729"/>
      <c r="AI227" s="729"/>
      <c r="AJ227" s="729"/>
      <c r="AK227" s="729"/>
      <c r="AL227" s="729"/>
      <c r="AM227" s="729"/>
      <c r="AN227" s="729"/>
      <c r="AO227" s="729"/>
      <c r="AP227" s="729"/>
      <c r="AQ227" s="729"/>
      <c r="AR227" s="729"/>
      <c r="AS227" s="729"/>
      <c r="AT227" s="729"/>
      <c r="AU227" s="729"/>
      <c r="AV227" s="729"/>
      <c r="AW227" s="729"/>
      <c r="AX227" s="729"/>
      <c r="AY227" s="729"/>
      <c r="AZ227" s="729"/>
      <c r="BA227" s="729"/>
      <c r="BB227" s="729"/>
      <c r="BC227" s="729"/>
      <c r="BD227" s="729"/>
      <c r="BE227" s="729"/>
      <c r="BF227" s="729"/>
      <c r="BG227" s="729"/>
      <c r="BH227" s="729"/>
      <c r="BI227" s="228"/>
      <c r="BJ227" s="729"/>
      <c r="BK227" s="729"/>
      <c r="BL227" s="729"/>
      <c r="BM227" s="729"/>
      <c r="BN227" s="729"/>
      <c r="BO227" s="729"/>
      <c r="BP227" s="729"/>
      <c r="BQ227" s="729"/>
    </row>
    <row r="228" spans="1:69" ht="12.75" customHeight="1">
      <c r="A228" s="1010"/>
      <c r="B228" s="729"/>
      <c r="C228" s="729"/>
      <c r="D228" s="729"/>
      <c r="E228" s="1010"/>
      <c r="F228" s="12"/>
      <c r="G228" s="12"/>
      <c r="H228" s="1011"/>
      <c r="I228" s="1011"/>
      <c r="J228" s="1012"/>
      <c r="K228" s="1011"/>
      <c r="L228" s="1011"/>
      <c r="M228" s="1011"/>
      <c r="N228" s="730"/>
      <c r="O228" s="729"/>
      <c r="P228" s="1014"/>
      <c r="Q228" s="1014"/>
      <c r="R228" s="1014"/>
      <c r="S228" s="729"/>
      <c r="T228" s="729"/>
      <c r="U228" s="729"/>
      <c r="V228" s="729"/>
      <c r="W228" s="729"/>
      <c r="X228" s="729"/>
      <c r="Y228" s="729"/>
      <c r="Z228" s="729"/>
      <c r="AA228" s="729"/>
      <c r="AB228" s="729"/>
      <c r="AC228" s="729"/>
      <c r="AD228" s="729"/>
      <c r="AE228" s="729"/>
      <c r="AF228" s="729"/>
      <c r="AG228" s="729"/>
      <c r="AH228" s="729"/>
      <c r="AI228" s="729"/>
      <c r="AJ228" s="729"/>
      <c r="AK228" s="729"/>
      <c r="AL228" s="729"/>
      <c r="AM228" s="729"/>
      <c r="AN228" s="729"/>
      <c r="AO228" s="729"/>
      <c r="AP228" s="729"/>
      <c r="AQ228" s="729"/>
      <c r="AR228" s="729"/>
      <c r="AS228" s="729"/>
      <c r="AT228" s="729"/>
      <c r="AU228" s="729"/>
      <c r="AV228" s="729"/>
      <c r="AW228" s="729"/>
      <c r="AX228" s="729"/>
      <c r="AY228" s="729"/>
      <c r="AZ228" s="729"/>
      <c r="BA228" s="729"/>
      <c r="BB228" s="729"/>
      <c r="BC228" s="729"/>
      <c r="BD228" s="729"/>
      <c r="BE228" s="729"/>
      <c r="BF228" s="729"/>
      <c r="BG228" s="729"/>
      <c r="BH228" s="729"/>
      <c r="BI228" s="228"/>
      <c r="BJ228" s="729"/>
      <c r="BK228" s="729"/>
      <c r="BL228" s="729"/>
      <c r="BM228" s="729"/>
      <c r="BN228" s="729"/>
      <c r="BO228" s="729"/>
      <c r="BP228" s="729"/>
      <c r="BQ228" s="729"/>
    </row>
    <row r="229" spans="1:69" ht="12.75" customHeight="1">
      <c r="A229" s="1010"/>
      <c r="B229" s="729"/>
      <c r="C229" s="729"/>
      <c r="D229" s="729"/>
      <c r="E229" s="1010"/>
      <c r="F229" s="12"/>
      <c r="G229" s="12"/>
      <c r="H229" s="1011"/>
      <c r="I229" s="1011"/>
      <c r="J229" s="1012"/>
      <c r="K229" s="1011"/>
      <c r="L229" s="1011"/>
      <c r="M229" s="1011"/>
      <c r="N229" s="730"/>
      <c r="O229" s="729"/>
      <c r="P229" s="1014"/>
      <c r="Q229" s="1014"/>
      <c r="R229" s="1014"/>
      <c r="S229" s="729"/>
      <c r="T229" s="729"/>
      <c r="U229" s="729"/>
      <c r="V229" s="729"/>
      <c r="W229" s="729"/>
      <c r="X229" s="729"/>
      <c r="Y229" s="729"/>
      <c r="Z229" s="729"/>
      <c r="AA229" s="729"/>
      <c r="AB229" s="729"/>
      <c r="AC229" s="729"/>
      <c r="AD229" s="729"/>
      <c r="AE229" s="729"/>
      <c r="AF229" s="729"/>
      <c r="AG229" s="729"/>
      <c r="AH229" s="729"/>
      <c r="AI229" s="729"/>
      <c r="AJ229" s="729"/>
      <c r="AK229" s="729"/>
      <c r="AL229" s="729"/>
      <c r="AM229" s="729"/>
      <c r="AN229" s="729"/>
      <c r="AO229" s="729"/>
      <c r="AP229" s="729"/>
      <c r="AQ229" s="729"/>
      <c r="AR229" s="729"/>
      <c r="AS229" s="729"/>
      <c r="AT229" s="729"/>
      <c r="AU229" s="729"/>
      <c r="AV229" s="729"/>
      <c r="AW229" s="729"/>
      <c r="AX229" s="729"/>
      <c r="AY229" s="729"/>
      <c r="AZ229" s="729"/>
      <c r="BA229" s="729"/>
      <c r="BB229" s="729"/>
      <c r="BC229" s="729"/>
      <c r="BD229" s="729"/>
      <c r="BE229" s="729"/>
      <c r="BF229" s="729"/>
      <c r="BG229" s="729"/>
      <c r="BH229" s="729"/>
      <c r="BI229" s="228"/>
      <c r="BJ229" s="729"/>
      <c r="BK229" s="729"/>
      <c r="BL229" s="729"/>
      <c r="BM229" s="729"/>
      <c r="BN229" s="729"/>
      <c r="BO229" s="729"/>
      <c r="BP229" s="729"/>
      <c r="BQ229" s="729"/>
    </row>
    <row r="230" spans="1:69" ht="12.75" customHeight="1">
      <c r="A230" s="1010"/>
      <c r="B230" s="729"/>
      <c r="C230" s="729"/>
      <c r="D230" s="729"/>
      <c r="E230" s="1010"/>
      <c r="F230" s="12"/>
      <c r="G230" s="12"/>
      <c r="H230" s="1011"/>
      <c r="I230" s="1011"/>
      <c r="J230" s="1012"/>
      <c r="K230" s="1011"/>
      <c r="L230" s="1011"/>
      <c r="M230" s="1011"/>
      <c r="N230" s="730"/>
      <c r="O230" s="729"/>
      <c r="P230" s="1014"/>
      <c r="Q230" s="1014"/>
      <c r="R230" s="1014"/>
      <c r="S230" s="729"/>
      <c r="T230" s="729"/>
      <c r="U230" s="729"/>
      <c r="V230" s="729"/>
      <c r="W230" s="729"/>
      <c r="X230" s="729"/>
      <c r="Y230" s="729"/>
      <c r="Z230" s="729"/>
      <c r="AA230" s="729"/>
      <c r="AB230" s="729"/>
      <c r="AC230" s="729"/>
      <c r="AD230" s="729"/>
      <c r="AE230" s="729"/>
      <c r="AF230" s="729"/>
      <c r="AG230" s="729"/>
      <c r="AH230" s="729"/>
      <c r="AI230" s="729"/>
      <c r="AJ230" s="729"/>
      <c r="AK230" s="729"/>
      <c r="AL230" s="729"/>
      <c r="AM230" s="729"/>
      <c r="AN230" s="729"/>
      <c r="AO230" s="729"/>
      <c r="AP230" s="729"/>
      <c r="AQ230" s="729"/>
      <c r="AR230" s="729"/>
      <c r="AS230" s="729"/>
      <c r="AT230" s="729"/>
      <c r="AU230" s="729"/>
      <c r="AV230" s="729"/>
      <c r="AW230" s="729"/>
      <c r="AX230" s="729"/>
      <c r="AY230" s="729"/>
      <c r="AZ230" s="729"/>
      <c r="BA230" s="729"/>
      <c r="BB230" s="729"/>
      <c r="BC230" s="729"/>
      <c r="BD230" s="729"/>
      <c r="BE230" s="729"/>
      <c r="BF230" s="729"/>
      <c r="BG230" s="729"/>
      <c r="BH230" s="729"/>
      <c r="BI230" s="228"/>
      <c r="BJ230" s="729"/>
      <c r="BK230" s="729"/>
      <c r="BL230" s="729"/>
      <c r="BM230" s="729"/>
      <c r="BN230" s="729"/>
      <c r="BO230" s="729"/>
      <c r="BP230" s="729"/>
      <c r="BQ230" s="729"/>
    </row>
    <row r="231" spans="1:69" ht="12.75" customHeight="1">
      <c r="A231" s="1010"/>
      <c r="B231" s="729"/>
      <c r="C231" s="729"/>
      <c r="D231" s="729"/>
      <c r="E231" s="1010"/>
      <c r="F231" s="12"/>
      <c r="G231" s="12"/>
      <c r="H231" s="1011"/>
      <c r="I231" s="1011"/>
      <c r="J231" s="1012"/>
      <c r="K231" s="1011"/>
      <c r="L231" s="1011"/>
      <c r="M231" s="1011"/>
      <c r="N231" s="730"/>
      <c r="O231" s="729"/>
      <c r="P231" s="1014"/>
      <c r="Q231" s="1014"/>
      <c r="R231" s="1014"/>
      <c r="S231" s="729"/>
      <c r="T231" s="729"/>
      <c r="U231" s="729"/>
      <c r="V231" s="729"/>
      <c r="W231" s="729"/>
      <c r="X231" s="729"/>
      <c r="Y231" s="729"/>
      <c r="Z231" s="729"/>
      <c r="AA231" s="729"/>
      <c r="AB231" s="729"/>
      <c r="AC231" s="729"/>
      <c r="AD231" s="729"/>
      <c r="AE231" s="729"/>
      <c r="AF231" s="729"/>
      <c r="AG231" s="729"/>
      <c r="AH231" s="729"/>
      <c r="AI231" s="729"/>
      <c r="AJ231" s="729"/>
      <c r="AK231" s="729"/>
      <c r="AL231" s="729"/>
      <c r="AM231" s="729"/>
      <c r="AN231" s="729"/>
      <c r="AO231" s="729"/>
      <c r="AP231" s="729"/>
      <c r="AQ231" s="729"/>
      <c r="AR231" s="729"/>
      <c r="AS231" s="729"/>
      <c r="AT231" s="729"/>
      <c r="AU231" s="729"/>
      <c r="AV231" s="729"/>
      <c r="AW231" s="729"/>
      <c r="AX231" s="729"/>
      <c r="AY231" s="729"/>
      <c r="AZ231" s="729"/>
      <c r="BA231" s="729"/>
      <c r="BB231" s="729"/>
      <c r="BC231" s="729"/>
      <c r="BD231" s="729"/>
      <c r="BE231" s="729"/>
      <c r="BF231" s="729"/>
      <c r="BG231" s="729"/>
      <c r="BH231" s="729"/>
      <c r="BI231" s="228"/>
      <c r="BJ231" s="729"/>
      <c r="BK231" s="729"/>
      <c r="BL231" s="729"/>
      <c r="BM231" s="729"/>
      <c r="BN231" s="729"/>
      <c r="BO231" s="729"/>
      <c r="BP231" s="729"/>
      <c r="BQ231" s="729"/>
    </row>
    <row r="232" spans="1:69" ht="12.75" customHeight="1">
      <c r="A232" s="1010"/>
      <c r="B232" s="729"/>
      <c r="C232" s="729"/>
      <c r="D232" s="729"/>
      <c r="E232" s="1010"/>
      <c r="F232" s="12"/>
      <c r="G232" s="12"/>
      <c r="H232" s="1011"/>
      <c r="I232" s="1011"/>
      <c r="J232" s="1012"/>
      <c r="K232" s="1011"/>
      <c r="L232" s="1011"/>
      <c r="M232" s="1011"/>
      <c r="N232" s="730"/>
      <c r="O232" s="729"/>
      <c r="P232" s="1014"/>
      <c r="Q232" s="1014"/>
      <c r="R232" s="1014"/>
      <c r="S232" s="729"/>
      <c r="T232" s="729"/>
      <c r="U232" s="729"/>
      <c r="V232" s="729"/>
      <c r="W232" s="729"/>
      <c r="X232" s="729"/>
      <c r="Y232" s="729"/>
      <c r="Z232" s="729"/>
      <c r="AA232" s="729"/>
      <c r="AB232" s="729"/>
      <c r="AC232" s="729"/>
      <c r="AD232" s="729"/>
      <c r="AE232" s="729"/>
      <c r="AF232" s="729"/>
      <c r="AG232" s="729"/>
      <c r="AH232" s="729"/>
      <c r="AI232" s="729"/>
      <c r="AJ232" s="729"/>
      <c r="AK232" s="729"/>
      <c r="AL232" s="729"/>
      <c r="AM232" s="729"/>
      <c r="AN232" s="729"/>
      <c r="AO232" s="729"/>
      <c r="AP232" s="729"/>
      <c r="AQ232" s="729"/>
      <c r="AR232" s="729"/>
      <c r="AS232" s="729"/>
      <c r="AT232" s="729"/>
      <c r="AU232" s="729"/>
      <c r="AV232" s="729"/>
      <c r="AW232" s="729"/>
      <c r="AX232" s="729"/>
      <c r="AY232" s="729"/>
      <c r="AZ232" s="729"/>
      <c r="BA232" s="729"/>
      <c r="BB232" s="729"/>
      <c r="BC232" s="729"/>
      <c r="BD232" s="729"/>
      <c r="BE232" s="729"/>
      <c r="BF232" s="729"/>
      <c r="BG232" s="729"/>
      <c r="BH232" s="729"/>
      <c r="BI232" s="228"/>
      <c r="BJ232" s="729"/>
      <c r="BK232" s="729"/>
      <c r="BL232" s="729"/>
      <c r="BM232" s="729"/>
      <c r="BN232" s="729"/>
      <c r="BO232" s="729"/>
      <c r="BP232" s="729"/>
      <c r="BQ232" s="729"/>
    </row>
    <row r="233" spans="1:69" ht="12.75" customHeight="1">
      <c r="A233" s="1010"/>
      <c r="B233" s="729"/>
      <c r="C233" s="729"/>
      <c r="D233" s="729"/>
      <c r="E233" s="1010"/>
      <c r="F233" s="12"/>
      <c r="G233" s="12"/>
      <c r="H233" s="1011"/>
      <c r="I233" s="1011"/>
      <c r="J233" s="1012"/>
      <c r="K233" s="1011"/>
      <c r="L233" s="1011"/>
      <c r="M233" s="1011"/>
      <c r="N233" s="730"/>
      <c r="O233" s="729"/>
      <c r="P233" s="1014"/>
      <c r="Q233" s="1014"/>
      <c r="R233" s="1014"/>
      <c r="S233" s="729"/>
      <c r="T233" s="729"/>
      <c r="U233" s="729"/>
      <c r="V233" s="729"/>
      <c r="W233" s="729"/>
      <c r="X233" s="729"/>
      <c r="Y233" s="729"/>
      <c r="Z233" s="729"/>
      <c r="AA233" s="729"/>
      <c r="AB233" s="729"/>
      <c r="AC233" s="729"/>
      <c r="AD233" s="729"/>
      <c r="AE233" s="729"/>
      <c r="AF233" s="729"/>
      <c r="AG233" s="729"/>
      <c r="AH233" s="729"/>
      <c r="AI233" s="729"/>
      <c r="AJ233" s="729"/>
      <c r="AK233" s="729"/>
      <c r="AL233" s="729"/>
      <c r="AM233" s="729"/>
      <c r="AN233" s="729"/>
      <c r="AO233" s="729"/>
      <c r="AP233" s="729"/>
      <c r="AQ233" s="729"/>
      <c r="AR233" s="729"/>
      <c r="AS233" s="729"/>
      <c r="AT233" s="729"/>
      <c r="AU233" s="729"/>
      <c r="AV233" s="729"/>
      <c r="AW233" s="729"/>
      <c r="AX233" s="729"/>
      <c r="AY233" s="729"/>
      <c r="AZ233" s="729"/>
      <c r="BA233" s="729"/>
      <c r="BB233" s="729"/>
      <c r="BC233" s="729"/>
      <c r="BD233" s="729"/>
      <c r="BE233" s="729"/>
      <c r="BF233" s="729"/>
      <c r="BG233" s="729"/>
      <c r="BH233" s="729"/>
      <c r="BI233" s="228"/>
      <c r="BJ233" s="729"/>
      <c r="BK233" s="729"/>
      <c r="BL233" s="729"/>
      <c r="BM233" s="729"/>
      <c r="BN233" s="729"/>
      <c r="BO233" s="729"/>
      <c r="BP233" s="729"/>
      <c r="BQ233" s="729"/>
    </row>
    <row r="234" spans="1:69" ht="12.75" customHeight="1">
      <c r="A234" s="1010"/>
      <c r="B234" s="729"/>
      <c r="C234" s="729"/>
      <c r="D234" s="729"/>
      <c r="E234" s="1010"/>
      <c r="F234" s="12"/>
      <c r="G234" s="12"/>
      <c r="H234" s="1011"/>
      <c r="I234" s="1011"/>
      <c r="J234" s="1012"/>
      <c r="K234" s="1011"/>
      <c r="L234" s="1011"/>
      <c r="M234" s="1011"/>
      <c r="N234" s="730"/>
      <c r="O234" s="729"/>
      <c r="P234" s="1014"/>
      <c r="Q234" s="1014"/>
      <c r="R234" s="1014"/>
      <c r="S234" s="729"/>
      <c r="T234" s="729"/>
      <c r="U234" s="729"/>
      <c r="V234" s="729"/>
      <c r="W234" s="729"/>
      <c r="X234" s="729"/>
      <c r="Y234" s="729"/>
      <c r="Z234" s="729"/>
      <c r="AA234" s="729"/>
      <c r="AB234" s="729"/>
      <c r="AC234" s="729"/>
      <c r="AD234" s="729"/>
      <c r="AE234" s="729"/>
      <c r="AF234" s="729"/>
      <c r="AG234" s="729"/>
      <c r="AH234" s="729"/>
      <c r="AI234" s="729"/>
      <c r="AJ234" s="729"/>
      <c r="AK234" s="729"/>
      <c r="AL234" s="729"/>
      <c r="AM234" s="729"/>
      <c r="AN234" s="729"/>
      <c r="AO234" s="729"/>
      <c r="AP234" s="729"/>
      <c r="AQ234" s="729"/>
      <c r="AR234" s="729"/>
      <c r="AS234" s="729"/>
      <c r="AT234" s="729"/>
      <c r="AU234" s="729"/>
      <c r="AV234" s="729"/>
      <c r="AW234" s="729"/>
      <c r="AX234" s="729"/>
      <c r="AY234" s="729"/>
      <c r="AZ234" s="729"/>
      <c r="BA234" s="729"/>
      <c r="BB234" s="729"/>
      <c r="BC234" s="729"/>
      <c r="BD234" s="729"/>
      <c r="BE234" s="729"/>
      <c r="BF234" s="729"/>
      <c r="BG234" s="729"/>
      <c r="BH234" s="729"/>
      <c r="BI234" s="228"/>
      <c r="BJ234" s="729"/>
      <c r="BK234" s="729"/>
      <c r="BL234" s="729"/>
      <c r="BM234" s="729"/>
      <c r="BN234" s="729"/>
      <c r="BO234" s="729"/>
      <c r="BP234" s="729"/>
      <c r="BQ234" s="729"/>
    </row>
    <row r="235" spans="1:69" ht="12.75" customHeight="1">
      <c r="A235" s="1010"/>
      <c r="B235" s="729"/>
      <c r="C235" s="729"/>
      <c r="D235" s="729"/>
      <c r="E235" s="1010"/>
      <c r="F235" s="12"/>
      <c r="G235" s="12"/>
      <c r="H235" s="1011"/>
      <c r="I235" s="1011"/>
      <c r="J235" s="1012"/>
      <c r="K235" s="1011"/>
      <c r="L235" s="1011"/>
      <c r="M235" s="1011"/>
      <c r="N235" s="730"/>
      <c r="O235" s="729"/>
      <c r="P235" s="1014"/>
      <c r="Q235" s="1014"/>
      <c r="R235" s="1014"/>
      <c r="S235" s="729"/>
      <c r="T235" s="729"/>
      <c r="U235" s="729"/>
      <c r="V235" s="729"/>
      <c r="W235" s="729"/>
      <c r="X235" s="729"/>
      <c r="Y235" s="729"/>
      <c r="Z235" s="729"/>
      <c r="AA235" s="729"/>
      <c r="AB235" s="729"/>
      <c r="AC235" s="729"/>
      <c r="AD235" s="729"/>
      <c r="AE235" s="729"/>
      <c r="AF235" s="729"/>
      <c r="AG235" s="729"/>
      <c r="AH235" s="729"/>
      <c r="AI235" s="729"/>
      <c r="AJ235" s="729"/>
      <c r="AK235" s="729"/>
      <c r="AL235" s="729"/>
      <c r="AM235" s="729"/>
      <c r="AN235" s="729"/>
      <c r="AO235" s="729"/>
      <c r="AP235" s="729"/>
      <c r="AQ235" s="729"/>
      <c r="AR235" s="729"/>
      <c r="AS235" s="729"/>
      <c r="AT235" s="729"/>
      <c r="AU235" s="729"/>
      <c r="AV235" s="729"/>
      <c r="AW235" s="729"/>
      <c r="AX235" s="729"/>
      <c r="AY235" s="729"/>
      <c r="AZ235" s="729"/>
      <c r="BA235" s="729"/>
      <c r="BB235" s="729"/>
      <c r="BC235" s="729"/>
      <c r="BD235" s="729"/>
      <c r="BE235" s="729"/>
      <c r="BF235" s="729"/>
      <c r="BG235" s="729"/>
      <c r="BH235" s="729"/>
      <c r="BI235" s="228"/>
      <c r="BJ235" s="729"/>
      <c r="BK235" s="729"/>
      <c r="BL235" s="729"/>
      <c r="BM235" s="729"/>
      <c r="BN235" s="729"/>
      <c r="BO235" s="729"/>
      <c r="BP235" s="729"/>
      <c r="BQ235" s="729"/>
    </row>
    <row r="236" spans="1:69" ht="12.75" customHeight="1">
      <c r="A236" s="1010"/>
      <c r="B236" s="729"/>
      <c r="C236" s="729"/>
      <c r="D236" s="729"/>
      <c r="E236" s="1010"/>
      <c r="F236" s="12"/>
      <c r="G236" s="12"/>
      <c r="H236" s="1011"/>
      <c r="I236" s="1011"/>
      <c r="J236" s="1012"/>
      <c r="K236" s="1011"/>
      <c r="L236" s="1011"/>
      <c r="M236" s="1011"/>
      <c r="N236" s="730"/>
      <c r="O236" s="729"/>
      <c r="P236" s="1014"/>
      <c r="Q236" s="1014"/>
      <c r="R236" s="1014"/>
      <c r="S236" s="729"/>
      <c r="T236" s="729"/>
      <c r="U236" s="729"/>
      <c r="V236" s="729"/>
      <c r="W236" s="729"/>
      <c r="X236" s="729"/>
      <c r="Y236" s="729"/>
      <c r="Z236" s="729"/>
      <c r="AA236" s="729"/>
      <c r="AB236" s="729"/>
      <c r="AC236" s="729"/>
      <c r="AD236" s="729"/>
      <c r="AE236" s="729"/>
      <c r="AF236" s="729"/>
      <c r="AG236" s="729"/>
      <c r="AH236" s="729"/>
      <c r="AI236" s="729"/>
      <c r="AJ236" s="729"/>
      <c r="AK236" s="729"/>
      <c r="AL236" s="729"/>
      <c r="AM236" s="729"/>
      <c r="AN236" s="729"/>
      <c r="AO236" s="729"/>
      <c r="AP236" s="729"/>
      <c r="AQ236" s="729"/>
      <c r="AR236" s="729"/>
      <c r="AS236" s="729"/>
      <c r="AT236" s="729"/>
      <c r="AU236" s="729"/>
      <c r="AV236" s="729"/>
      <c r="AW236" s="729"/>
      <c r="AX236" s="729"/>
      <c r="AY236" s="729"/>
      <c r="AZ236" s="729"/>
      <c r="BA236" s="729"/>
      <c r="BB236" s="729"/>
      <c r="BC236" s="729"/>
      <c r="BD236" s="729"/>
      <c r="BE236" s="729"/>
      <c r="BF236" s="729"/>
      <c r="BG236" s="729"/>
      <c r="BH236" s="729"/>
      <c r="BI236" s="228"/>
      <c r="BJ236" s="729"/>
      <c r="BK236" s="729"/>
      <c r="BL236" s="729"/>
      <c r="BM236" s="729"/>
      <c r="BN236" s="729"/>
      <c r="BO236" s="729"/>
      <c r="BP236" s="729"/>
      <c r="BQ236" s="729"/>
    </row>
    <row r="237" spans="1:69" ht="12.75" customHeight="1">
      <c r="A237" s="1010"/>
      <c r="B237" s="729"/>
      <c r="C237" s="729"/>
      <c r="D237" s="729"/>
      <c r="E237" s="1010"/>
      <c r="F237" s="12"/>
      <c r="G237" s="12"/>
      <c r="H237" s="1011"/>
      <c r="I237" s="1011"/>
      <c r="J237" s="1012"/>
      <c r="K237" s="1011"/>
      <c r="L237" s="1011"/>
      <c r="M237" s="1011"/>
      <c r="N237" s="730"/>
      <c r="O237" s="729"/>
      <c r="P237" s="1014"/>
      <c r="Q237" s="1014"/>
      <c r="R237" s="1014"/>
      <c r="S237" s="729"/>
      <c r="T237" s="729"/>
      <c r="U237" s="729"/>
      <c r="V237" s="729"/>
      <c r="W237" s="729"/>
      <c r="X237" s="729"/>
      <c r="Y237" s="729"/>
      <c r="Z237" s="729"/>
      <c r="AA237" s="729"/>
      <c r="AB237" s="729"/>
      <c r="AC237" s="729"/>
      <c r="AD237" s="729"/>
      <c r="AE237" s="729"/>
      <c r="AF237" s="729"/>
      <c r="AG237" s="729"/>
      <c r="AH237" s="729"/>
      <c r="AI237" s="729"/>
      <c r="AJ237" s="729"/>
      <c r="AK237" s="729"/>
      <c r="AL237" s="729"/>
      <c r="AM237" s="729"/>
      <c r="AN237" s="729"/>
      <c r="AO237" s="729"/>
      <c r="AP237" s="729"/>
      <c r="AQ237" s="729"/>
      <c r="AR237" s="729"/>
      <c r="AS237" s="729"/>
      <c r="AT237" s="729"/>
      <c r="AU237" s="729"/>
      <c r="AV237" s="729"/>
      <c r="AW237" s="729"/>
      <c r="AX237" s="729"/>
      <c r="AY237" s="729"/>
      <c r="AZ237" s="729"/>
      <c r="BA237" s="729"/>
      <c r="BB237" s="729"/>
      <c r="BC237" s="729"/>
      <c r="BD237" s="729"/>
      <c r="BE237" s="729"/>
      <c r="BF237" s="729"/>
      <c r="BG237" s="729"/>
      <c r="BH237" s="729"/>
      <c r="BI237" s="228"/>
      <c r="BJ237" s="729"/>
      <c r="BK237" s="729"/>
      <c r="BL237" s="729"/>
      <c r="BM237" s="729"/>
      <c r="BN237" s="729"/>
      <c r="BO237" s="729"/>
      <c r="BP237" s="729"/>
      <c r="BQ237" s="729"/>
    </row>
    <row r="238" spans="1:69" ht="12.75" customHeight="1">
      <c r="A238" s="1010"/>
      <c r="B238" s="729"/>
      <c r="C238" s="729"/>
      <c r="D238" s="729"/>
      <c r="E238" s="1010"/>
      <c r="F238" s="12"/>
      <c r="G238" s="12"/>
      <c r="H238" s="1011"/>
      <c r="I238" s="1011"/>
      <c r="J238" s="1012"/>
      <c r="K238" s="1011"/>
      <c r="L238" s="1011"/>
      <c r="M238" s="1011"/>
      <c r="N238" s="730"/>
      <c r="O238" s="729"/>
      <c r="P238" s="1014"/>
      <c r="Q238" s="1014"/>
      <c r="R238" s="1014"/>
      <c r="S238" s="729"/>
      <c r="T238" s="729"/>
      <c r="U238" s="729"/>
      <c r="V238" s="729"/>
      <c r="W238" s="729"/>
      <c r="X238" s="729"/>
      <c r="Y238" s="729"/>
      <c r="Z238" s="729"/>
      <c r="AA238" s="729"/>
      <c r="AB238" s="729"/>
      <c r="AC238" s="729"/>
      <c r="AD238" s="729"/>
      <c r="AE238" s="729"/>
      <c r="AF238" s="729"/>
      <c r="AG238" s="729"/>
      <c r="AH238" s="729"/>
      <c r="AI238" s="729"/>
      <c r="AJ238" s="729"/>
      <c r="AK238" s="729"/>
      <c r="AL238" s="729"/>
      <c r="AM238" s="729"/>
      <c r="AN238" s="729"/>
      <c r="AO238" s="729"/>
      <c r="AP238" s="729"/>
      <c r="AQ238" s="729"/>
      <c r="AR238" s="729"/>
      <c r="AS238" s="729"/>
      <c r="AT238" s="729"/>
      <c r="AU238" s="729"/>
      <c r="AV238" s="729"/>
      <c r="AW238" s="729"/>
      <c r="AX238" s="729"/>
      <c r="AY238" s="729"/>
      <c r="AZ238" s="729"/>
      <c r="BA238" s="729"/>
      <c r="BB238" s="729"/>
      <c r="BC238" s="729"/>
      <c r="BD238" s="729"/>
      <c r="BE238" s="729"/>
      <c r="BF238" s="729"/>
      <c r="BG238" s="729"/>
      <c r="BH238" s="729"/>
      <c r="BI238" s="228"/>
      <c r="BJ238" s="729"/>
      <c r="BK238" s="729"/>
      <c r="BL238" s="729"/>
      <c r="BM238" s="729"/>
      <c r="BN238" s="729"/>
      <c r="BO238" s="729"/>
      <c r="BP238" s="729"/>
      <c r="BQ238" s="729"/>
    </row>
    <row r="239" spans="1:69" ht="12.75" customHeight="1">
      <c r="A239" s="1010"/>
      <c r="B239" s="729"/>
      <c r="C239" s="729"/>
      <c r="D239" s="729"/>
      <c r="E239" s="1010"/>
      <c r="F239" s="12"/>
      <c r="G239" s="12"/>
      <c r="H239" s="1011"/>
      <c r="I239" s="1011"/>
      <c r="J239" s="1012"/>
      <c r="K239" s="1011"/>
      <c r="L239" s="1011"/>
      <c r="M239" s="1011"/>
      <c r="N239" s="730"/>
      <c r="O239" s="729"/>
      <c r="P239" s="1014"/>
      <c r="Q239" s="1014"/>
      <c r="R239" s="1014"/>
      <c r="S239" s="729"/>
      <c r="T239" s="729"/>
      <c r="U239" s="729"/>
      <c r="V239" s="729"/>
      <c r="W239" s="729"/>
      <c r="X239" s="729"/>
      <c r="Y239" s="729"/>
      <c r="Z239" s="729"/>
      <c r="AA239" s="729"/>
      <c r="AB239" s="729"/>
      <c r="AC239" s="729"/>
      <c r="AD239" s="729"/>
      <c r="AE239" s="729"/>
      <c r="AF239" s="729"/>
      <c r="AG239" s="729"/>
      <c r="AH239" s="729"/>
      <c r="AI239" s="729"/>
      <c r="AJ239" s="729"/>
      <c r="AK239" s="729"/>
      <c r="AL239" s="729"/>
      <c r="AM239" s="729"/>
      <c r="AN239" s="729"/>
      <c r="AO239" s="729"/>
      <c r="AP239" s="729"/>
      <c r="AQ239" s="729"/>
      <c r="AR239" s="729"/>
      <c r="AS239" s="729"/>
      <c r="AT239" s="729"/>
      <c r="AU239" s="729"/>
      <c r="AV239" s="729"/>
      <c r="AW239" s="729"/>
      <c r="AX239" s="729"/>
      <c r="AY239" s="729"/>
      <c r="AZ239" s="729"/>
      <c r="BA239" s="729"/>
      <c r="BB239" s="729"/>
      <c r="BC239" s="729"/>
      <c r="BD239" s="729"/>
      <c r="BE239" s="729"/>
      <c r="BF239" s="729"/>
      <c r="BG239" s="729"/>
      <c r="BH239" s="729"/>
      <c r="BI239" s="228"/>
      <c r="BJ239" s="729"/>
      <c r="BK239" s="729"/>
      <c r="BL239" s="729"/>
      <c r="BM239" s="729"/>
      <c r="BN239" s="729"/>
      <c r="BO239" s="729"/>
      <c r="BP239" s="729"/>
      <c r="BQ239" s="729"/>
    </row>
    <row r="240" spans="1:69" ht="12.75" customHeight="1">
      <c r="A240" s="1010"/>
      <c r="B240" s="729"/>
      <c r="C240" s="729"/>
      <c r="D240" s="729"/>
      <c r="E240" s="1010"/>
      <c r="F240" s="12"/>
      <c r="G240" s="12"/>
      <c r="H240" s="1011"/>
      <c r="I240" s="1011"/>
      <c r="J240" s="1012"/>
      <c r="K240" s="1011"/>
      <c r="L240" s="1011"/>
      <c r="M240" s="1011"/>
      <c r="N240" s="730"/>
      <c r="O240" s="729"/>
      <c r="P240" s="1014"/>
      <c r="Q240" s="1014"/>
      <c r="R240" s="1014"/>
      <c r="S240" s="729"/>
      <c r="T240" s="729"/>
      <c r="U240" s="729"/>
      <c r="V240" s="729"/>
      <c r="W240" s="729"/>
      <c r="X240" s="729"/>
      <c r="Y240" s="729"/>
      <c r="Z240" s="729"/>
      <c r="AA240" s="729"/>
      <c r="AB240" s="729"/>
      <c r="AC240" s="729"/>
      <c r="AD240" s="729"/>
      <c r="AE240" s="729"/>
      <c r="AF240" s="729"/>
      <c r="AG240" s="729"/>
      <c r="AH240" s="729"/>
      <c r="AI240" s="729"/>
      <c r="AJ240" s="729"/>
      <c r="AK240" s="729"/>
      <c r="AL240" s="729"/>
      <c r="AM240" s="729"/>
      <c r="AN240" s="729"/>
      <c r="AO240" s="729"/>
      <c r="AP240" s="729"/>
      <c r="AQ240" s="729"/>
      <c r="AR240" s="729"/>
      <c r="AS240" s="729"/>
      <c r="AT240" s="729"/>
      <c r="AU240" s="729"/>
      <c r="AV240" s="729"/>
      <c r="AW240" s="729"/>
      <c r="AX240" s="729"/>
      <c r="AY240" s="729"/>
      <c r="AZ240" s="729"/>
      <c r="BA240" s="729"/>
      <c r="BB240" s="729"/>
      <c r="BC240" s="729"/>
      <c r="BD240" s="729"/>
      <c r="BE240" s="729"/>
      <c r="BF240" s="729"/>
      <c r="BG240" s="729"/>
      <c r="BH240" s="729"/>
      <c r="BI240" s="228"/>
      <c r="BJ240" s="729"/>
      <c r="BK240" s="729"/>
      <c r="BL240" s="729"/>
      <c r="BM240" s="729"/>
      <c r="BN240" s="729"/>
      <c r="BO240" s="729"/>
      <c r="BP240" s="729"/>
      <c r="BQ240" s="729"/>
    </row>
    <row r="241" spans="1:69" ht="12.75" customHeight="1">
      <c r="A241" s="1010"/>
      <c r="B241" s="729"/>
      <c r="C241" s="729"/>
      <c r="D241" s="729"/>
      <c r="E241" s="1010"/>
      <c r="F241" s="12"/>
      <c r="G241" s="12"/>
      <c r="H241" s="1011"/>
      <c r="I241" s="1011"/>
      <c r="J241" s="1012"/>
      <c r="K241" s="1011"/>
      <c r="L241" s="1011"/>
      <c r="M241" s="1011"/>
      <c r="N241" s="730"/>
      <c r="O241" s="729"/>
      <c r="P241" s="1014"/>
      <c r="Q241" s="1014"/>
      <c r="R241" s="1014"/>
      <c r="S241" s="729"/>
      <c r="T241" s="729"/>
      <c r="U241" s="729"/>
      <c r="V241" s="729"/>
      <c r="W241" s="729"/>
      <c r="X241" s="729"/>
      <c r="Y241" s="729"/>
      <c r="Z241" s="729"/>
      <c r="AA241" s="729"/>
      <c r="AB241" s="729"/>
      <c r="AC241" s="729"/>
      <c r="AD241" s="729"/>
      <c r="AE241" s="729"/>
      <c r="AF241" s="729"/>
      <c r="AG241" s="729"/>
      <c r="AH241" s="729"/>
      <c r="AI241" s="729"/>
      <c r="AJ241" s="729"/>
      <c r="AK241" s="729"/>
      <c r="AL241" s="729"/>
      <c r="AM241" s="729"/>
      <c r="AN241" s="729"/>
      <c r="AO241" s="729"/>
      <c r="AP241" s="729"/>
      <c r="AQ241" s="729"/>
      <c r="AR241" s="729"/>
      <c r="AS241" s="729"/>
      <c r="AT241" s="729"/>
      <c r="AU241" s="729"/>
      <c r="AV241" s="729"/>
      <c r="AW241" s="729"/>
      <c r="AX241" s="729"/>
      <c r="AY241" s="729"/>
      <c r="AZ241" s="729"/>
      <c r="BA241" s="729"/>
      <c r="BB241" s="729"/>
      <c r="BC241" s="729"/>
      <c r="BD241" s="729"/>
      <c r="BE241" s="729"/>
      <c r="BF241" s="729"/>
      <c r="BG241" s="729"/>
      <c r="BH241" s="729"/>
      <c r="BI241" s="228"/>
      <c r="BJ241" s="729"/>
      <c r="BK241" s="729"/>
      <c r="BL241" s="729"/>
      <c r="BM241" s="729"/>
      <c r="BN241" s="729"/>
      <c r="BO241" s="729"/>
      <c r="BP241" s="729"/>
      <c r="BQ241" s="729"/>
    </row>
    <row r="242" spans="1:69" ht="12.75" customHeight="1">
      <c r="A242" s="1010"/>
      <c r="B242" s="729"/>
      <c r="C242" s="729"/>
      <c r="D242" s="729"/>
      <c r="E242" s="1010"/>
      <c r="F242" s="12"/>
      <c r="G242" s="12"/>
      <c r="H242" s="1011"/>
      <c r="I242" s="1011"/>
      <c r="J242" s="1012"/>
      <c r="K242" s="1011"/>
      <c r="L242" s="1011"/>
      <c r="M242" s="1011"/>
      <c r="N242" s="730"/>
      <c r="O242" s="729"/>
      <c r="P242" s="1014"/>
      <c r="Q242" s="1014"/>
      <c r="R242" s="1014"/>
      <c r="S242" s="729"/>
      <c r="T242" s="729"/>
      <c r="U242" s="729"/>
      <c r="V242" s="729"/>
      <c r="W242" s="729"/>
      <c r="X242" s="729"/>
      <c r="Y242" s="729"/>
      <c r="Z242" s="729"/>
      <c r="AA242" s="729"/>
      <c r="AB242" s="729"/>
      <c r="AC242" s="729"/>
      <c r="AD242" s="729"/>
      <c r="AE242" s="729"/>
      <c r="AF242" s="729"/>
      <c r="AG242" s="729"/>
      <c r="AH242" s="729"/>
      <c r="AI242" s="729"/>
      <c r="AJ242" s="729"/>
      <c r="AK242" s="729"/>
      <c r="AL242" s="729"/>
      <c r="AM242" s="729"/>
      <c r="AN242" s="729"/>
      <c r="AO242" s="729"/>
      <c r="AP242" s="729"/>
      <c r="AQ242" s="729"/>
      <c r="AR242" s="729"/>
      <c r="AS242" s="729"/>
      <c r="AT242" s="729"/>
      <c r="AU242" s="729"/>
      <c r="AV242" s="729"/>
      <c r="AW242" s="729"/>
      <c r="AX242" s="729"/>
      <c r="AY242" s="729"/>
      <c r="AZ242" s="729"/>
      <c r="BA242" s="729"/>
      <c r="BB242" s="729"/>
      <c r="BC242" s="729"/>
      <c r="BD242" s="729"/>
      <c r="BE242" s="729"/>
      <c r="BF242" s="729"/>
      <c r="BG242" s="729"/>
      <c r="BH242" s="729"/>
      <c r="BI242" s="228"/>
      <c r="BJ242" s="729"/>
      <c r="BK242" s="729"/>
      <c r="BL242" s="729"/>
      <c r="BM242" s="729"/>
      <c r="BN242" s="729"/>
      <c r="BO242" s="729"/>
      <c r="BP242" s="729"/>
      <c r="BQ242" s="729"/>
    </row>
    <row r="243" spans="1:69" ht="12.75" customHeight="1">
      <c r="A243" s="1010"/>
      <c r="B243" s="729"/>
      <c r="C243" s="729"/>
      <c r="D243" s="729"/>
      <c r="E243" s="1010"/>
      <c r="F243" s="12"/>
      <c r="G243" s="12"/>
      <c r="H243" s="1011"/>
      <c r="I243" s="1011"/>
      <c r="J243" s="1012"/>
      <c r="K243" s="1011"/>
      <c r="L243" s="1011"/>
      <c r="M243" s="1011"/>
      <c r="N243" s="730"/>
      <c r="O243" s="729"/>
      <c r="P243" s="1014"/>
      <c r="Q243" s="1014"/>
      <c r="R243" s="1014"/>
      <c r="S243" s="729"/>
      <c r="T243" s="729"/>
      <c r="U243" s="729"/>
      <c r="V243" s="729"/>
      <c r="W243" s="729"/>
      <c r="X243" s="729"/>
      <c r="Y243" s="729"/>
      <c r="Z243" s="729"/>
      <c r="AA243" s="729"/>
      <c r="AB243" s="729"/>
      <c r="AC243" s="729"/>
      <c r="AD243" s="729"/>
      <c r="AE243" s="729"/>
      <c r="AF243" s="729"/>
      <c r="AG243" s="729"/>
      <c r="AH243" s="729"/>
      <c r="AI243" s="729"/>
      <c r="AJ243" s="729"/>
      <c r="AK243" s="729"/>
      <c r="AL243" s="729"/>
      <c r="AM243" s="729"/>
      <c r="AN243" s="729"/>
      <c r="AO243" s="729"/>
      <c r="AP243" s="729"/>
      <c r="AQ243" s="729"/>
      <c r="AR243" s="729"/>
      <c r="AS243" s="729"/>
      <c r="AT243" s="729"/>
      <c r="AU243" s="729"/>
      <c r="AV243" s="729"/>
      <c r="AW243" s="729"/>
      <c r="AX243" s="729"/>
      <c r="AY243" s="729"/>
      <c r="AZ243" s="729"/>
      <c r="BA243" s="729"/>
      <c r="BB243" s="729"/>
      <c r="BC243" s="729"/>
      <c r="BD243" s="729"/>
      <c r="BE243" s="729"/>
      <c r="BF243" s="729"/>
      <c r="BG243" s="729"/>
      <c r="BH243" s="729"/>
      <c r="BI243" s="228"/>
      <c r="BJ243" s="729"/>
      <c r="BK243" s="729"/>
      <c r="BL243" s="729"/>
      <c r="BM243" s="729"/>
      <c r="BN243" s="729"/>
      <c r="BO243" s="729"/>
      <c r="BP243" s="729"/>
      <c r="BQ243" s="729"/>
    </row>
    <row r="244" spans="1:69" ht="12.75" customHeight="1">
      <c r="A244" s="1010"/>
      <c r="B244" s="729"/>
      <c r="C244" s="729"/>
      <c r="D244" s="729"/>
      <c r="E244" s="1010"/>
      <c r="F244" s="12"/>
      <c r="G244" s="12"/>
      <c r="H244" s="1011"/>
      <c r="I244" s="1011"/>
      <c r="J244" s="1012"/>
      <c r="K244" s="1011"/>
      <c r="L244" s="1011"/>
      <c r="M244" s="1011"/>
      <c r="N244" s="730"/>
      <c r="O244" s="729"/>
      <c r="P244" s="1014"/>
      <c r="Q244" s="1014"/>
      <c r="R244" s="1014"/>
      <c r="S244" s="729"/>
      <c r="T244" s="729"/>
      <c r="U244" s="729"/>
      <c r="V244" s="729"/>
      <c r="W244" s="729"/>
      <c r="X244" s="729"/>
      <c r="Y244" s="729"/>
      <c r="Z244" s="729"/>
      <c r="AA244" s="729"/>
      <c r="AB244" s="729"/>
      <c r="AC244" s="729"/>
      <c r="AD244" s="729"/>
      <c r="AE244" s="729"/>
      <c r="AF244" s="729"/>
      <c r="AG244" s="729"/>
      <c r="AH244" s="729"/>
      <c r="AI244" s="729"/>
      <c r="AJ244" s="729"/>
      <c r="AK244" s="729"/>
      <c r="AL244" s="729"/>
      <c r="AM244" s="729"/>
      <c r="AN244" s="729"/>
      <c r="AO244" s="729"/>
      <c r="AP244" s="729"/>
      <c r="AQ244" s="729"/>
      <c r="AR244" s="729"/>
      <c r="AS244" s="729"/>
      <c r="AT244" s="729"/>
      <c r="AU244" s="729"/>
      <c r="AV244" s="729"/>
      <c r="AW244" s="729"/>
      <c r="AX244" s="729"/>
      <c r="AY244" s="729"/>
      <c r="AZ244" s="729"/>
      <c r="BA244" s="729"/>
      <c r="BB244" s="729"/>
      <c r="BC244" s="729"/>
      <c r="BD244" s="729"/>
      <c r="BE244" s="729"/>
      <c r="BF244" s="729"/>
      <c r="BG244" s="729"/>
      <c r="BH244" s="729"/>
      <c r="BI244" s="228"/>
      <c r="BJ244" s="729"/>
      <c r="BK244" s="729"/>
      <c r="BL244" s="729"/>
      <c r="BM244" s="729"/>
      <c r="BN244" s="729"/>
      <c r="BO244" s="729"/>
      <c r="BP244" s="729"/>
      <c r="BQ244" s="729"/>
    </row>
    <row r="245" spans="1:69" ht="12.75" customHeight="1">
      <c r="A245" s="1010"/>
      <c r="B245" s="729"/>
      <c r="C245" s="729"/>
      <c r="D245" s="729"/>
      <c r="E245" s="1010"/>
      <c r="F245" s="12"/>
      <c r="G245" s="12"/>
      <c r="H245" s="1011"/>
      <c r="I245" s="1011"/>
      <c r="J245" s="1012"/>
      <c r="K245" s="1011"/>
      <c r="L245" s="1011"/>
      <c r="M245" s="1011"/>
      <c r="N245" s="730"/>
      <c r="O245" s="729"/>
      <c r="P245" s="1014"/>
      <c r="Q245" s="1014"/>
      <c r="R245" s="1014"/>
      <c r="S245" s="729"/>
      <c r="T245" s="729"/>
      <c r="U245" s="729"/>
      <c r="V245" s="729"/>
      <c r="W245" s="729"/>
      <c r="X245" s="729"/>
      <c r="Y245" s="729"/>
      <c r="Z245" s="729"/>
      <c r="AA245" s="729"/>
      <c r="AB245" s="729"/>
      <c r="AC245" s="729"/>
      <c r="AD245" s="729"/>
      <c r="AE245" s="729"/>
      <c r="AF245" s="729"/>
      <c r="AG245" s="729"/>
      <c r="AH245" s="729"/>
      <c r="AI245" s="729"/>
      <c r="AJ245" s="729"/>
      <c r="AK245" s="729"/>
      <c r="AL245" s="729"/>
      <c r="AM245" s="729"/>
      <c r="AN245" s="729"/>
      <c r="AO245" s="729"/>
      <c r="AP245" s="729"/>
      <c r="AQ245" s="729"/>
      <c r="AR245" s="729"/>
      <c r="AS245" s="729"/>
      <c r="AT245" s="729"/>
      <c r="AU245" s="729"/>
      <c r="AV245" s="729"/>
      <c r="AW245" s="729"/>
      <c r="AX245" s="729"/>
      <c r="AY245" s="729"/>
      <c r="AZ245" s="729"/>
      <c r="BA245" s="729"/>
      <c r="BB245" s="729"/>
      <c r="BC245" s="729"/>
      <c r="BD245" s="729"/>
      <c r="BE245" s="729"/>
      <c r="BF245" s="729"/>
      <c r="BG245" s="729"/>
      <c r="BH245" s="729"/>
      <c r="BI245" s="228"/>
      <c r="BJ245" s="729"/>
      <c r="BK245" s="729"/>
      <c r="BL245" s="729"/>
      <c r="BM245" s="729"/>
      <c r="BN245" s="729"/>
      <c r="BO245" s="729"/>
      <c r="BP245" s="729"/>
      <c r="BQ245" s="729"/>
    </row>
    <row r="246" spans="1:69" ht="12.75" customHeight="1">
      <c r="A246" s="1010"/>
      <c r="B246" s="729"/>
      <c r="C246" s="729"/>
      <c r="D246" s="729"/>
      <c r="E246" s="1010"/>
      <c r="F246" s="12"/>
      <c r="G246" s="12"/>
      <c r="H246" s="1011"/>
      <c r="I246" s="1011"/>
      <c r="J246" s="1012"/>
      <c r="K246" s="1011"/>
      <c r="L246" s="1011"/>
      <c r="M246" s="1011"/>
      <c r="N246" s="730"/>
      <c r="O246" s="729"/>
      <c r="P246" s="1014"/>
      <c r="Q246" s="1014"/>
      <c r="R246" s="1014"/>
      <c r="S246" s="729"/>
      <c r="T246" s="729"/>
      <c r="U246" s="729"/>
      <c r="V246" s="729"/>
      <c r="W246" s="729"/>
      <c r="X246" s="729"/>
      <c r="Y246" s="729"/>
      <c r="Z246" s="729"/>
      <c r="AA246" s="729"/>
      <c r="AB246" s="729"/>
      <c r="AC246" s="729"/>
      <c r="AD246" s="729"/>
      <c r="AE246" s="729"/>
      <c r="AF246" s="729"/>
      <c r="AG246" s="729"/>
      <c r="AH246" s="729"/>
      <c r="AI246" s="729"/>
      <c r="AJ246" s="729"/>
      <c r="AK246" s="729"/>
      <c r="AL246" s="729"/>
      <c r="AM246" s="729"/>
      <c r="AN246" s="729"/>
      <c r="AO246" s="729"/>
      <c r="AP246" s="729"/>
      <c r="AQ246" s="729"/>
      <c r="AR246" s="729"/>
      <c r="AS246" s="729"/>
      <c r="AT246" s="729"/>
      <c r="AU246" s="729"/>
      <c r="AV246" s="729"/>
      <c r="AW246" s="729"/>
      <c r="AX246" s="729"/>
      <c r="AY246" s="729"/>
      <c r="AZ246" s="729"/>
      <c r="BA246" s="729"/>
      <c r="BB246" s="729"/>
      <c r="BC246" s="729"/>
      <c r="BD246" s="729"/>
      <c r="BE246" s="729"/>
      <c r="BF246" s="729"/>
      <c r="BG246" s="729"/>
      <c r="BH246" s="729"/>
      <c r="BI246" s="228"/>
      <c r="BJ246" s="729"/>
      <c r="BK246" s="729"/>
      <c r="BL246" s="729"/>
      <c r="BM246" s="729"/>
      <c r="BN246" s="729"/>
      <c r="BO246" s="729"/>
      <c r="BP246" s="729"/>
      <c r="BQ246" s="729"/>
    </row>
    <row r="247" spans="1:69" ht="12.75" customHeight="1">
      <c r="A247" s="1010"/>
      <c r="B247" s="729"/>
      <c r="C247" s="729"/>
      <c r="D247" s="729"/>
      <c r="E247" s="1010"/>
      <c r="F247" s="12"/>
      <c r="G247" s="12"/>
      <c r="H247" s="1011"/>
      <c r="I247" s="1011"/>
      <c r="J247" s="1012"/>
      <c r="K247" s="1011"/>
      <c r="L247" s="1011"/>
      <c r="M247" s="1011"/>
      <c r="N247" s="730"/>
      <c r="O247" s="729"/>
      <c r="P247" s="1014"/>
      <c r="Q247" s="1014"/>
      <c r="R247" s="1014"/>
      <c r="S247" s="729"/>
      <c r="T247" s="729"/>
      <c r="U247" s="729"/>
      <c r="V247" s="729"/>
      <c r="W247" s="729"/>
      <c r="X247" s="729"/>
      <c r="Y247" s="729"/>
      <c r="Z247" s="729"/>
      <c r="AA247" s="729"/>
      <c r="AB247" s="729"/>
      <c r="AC247" s="729"/>
      <c r="AD247" s="729"/>
      <c r="AE247" s="729"/>
      <c r="AF247" s="729"/>
      <c r="AG247" s="729"/>
      <c r="AH247" s="729"/>
      <c r="AI247" s="729"/>
      <c r="AJ247" s="729"/>
      <c r="AK247" s="729"/>
      <c r="AL247" s="729"/>
      <c r="AM247" s="729"/>
      <c r="AN247" s="729"/>
      <c r="AO247" s="729"/>
      <c r="AP247" s="729"/>
      <c r="AQ247" s="729"/>
      <c r="AR247" s="729"/>
      <c r="AS247" s="729"/>
      <c r="AT247" s="729"/>
      <c r="AU247" s="729"/>
      <c r="AV247" s="729"/>
      <c r="AW247" s="729"/>
      <c r="AX247" s="729"/>
      <c r="AY247" s="729"/>
      <c r="AZ247" s="729"/>
      <c r="BA247" s="729"/>
      <c r="BB247" s="729"/>
      <c r="BC247" s="729"/>
      <c r="BD247" s="729"/>
      <c r="BE247" s="729"/>
      <c r="BF247" s="729"/>
      <c r="BG247" s="729"/>
      <c r="BH247" s="729"/>
      <c r="BI247" s="228"/>
      <c r="BJ247" s="729"/>
      <c r="BK247" s="729"/>
      <c r="BL247" s="729"/>
      <c r="BM247" s="729"/>
      <c r="BN247" s="729"/>
      <c r="BO247" s="729"/>
      <c r="BP247" s="729"/>
      <c r="BQ247" s="729"/>
    </row>
    <row r="248" spans="1:69" ht="12.75" customHeight="1">
      <c r="A248" s="1010"/>
      <c r="B248" s="729"/>
      <c r="C248" s="729"/>
      <c r="D248" s="729"/>
      <c r="E248" s="1010"/>
      <c r="F248" s="12"/>
      <c r="G248" s="12"/>
      <c r="H248" s="1011"/>
      <c r="I248" s="1011"/>
      <c r="J248" s="1012"/>
      <c r="K248" s="1011"/>
      <c r="L248" s="1011"/>
      <c r="M248" s="1011"/>
      <c r="N248" s="730"/>
      <c r="O248" s="729"/>
      <c r="P248" s="1014"/>
      <c r="Q248" s="1014"/>
      <c r="R248" s="1014"/>
      <c r="S248" s="729"/>
      <c r="T248" s="729"/>
      <c r="U248" s="729"/>
      <c r="V248" s="729"/>
      <c r="W248" s="729"/>
      <c r="X248" s="729"/>
      <c r="Y248" s="729"/>
      <c r="Z248" s="729"/>
      <c r="AA248" s="729"/>
      <c r="AB248" s="729"/>
      <c r="AC248" s="729"/>
      <c r="AD248" s="729"/>
      <c r="AE248" s="729"/>
      <c r="AF248" s="729"/>
      <c r="AG248" s="729"/>
      <c r="AH248" s="729"/>
      <c r="AI248" s="729"/>
      <c r="AJ248" s="729"/>
      <c r="AK248" s="729"/>
      <c r="AL248" s="729"/>
      <c r="AM248" s="729"/>
      <c r="AN248" s="729"/>
      <c r="AO248" s="729"/>
      <c r="AP248" s="729"/>
      <c r="AQ248" s="729"/>
      <c r="AR248" s="729"/>
      <c r="AS248" s="729"/>
      <c r="AT248" s="729"/>
      <c r="AU248" s="729"/>
      <c r="AV248" s="729"/>
      <c r="AW248" s="729"/>
      <c r="AX248" s="729"/>
      <c r="AY248" s="729"/>
      <c r="AZ248" s="729"/>
      <c r="BA248" s="729"/>
      <c r="BB248" s="729"/>
      <c r="BC248" s="729"/>
      <c r="BD248" s="729"/>
      <c r="BE248" s="729"/>
      <c r="BF248" s="729"/>
      <c r="BG248" s="729"/>
      <c r="BH248" s="729"/>
      <c r="BI248" s="228"/>
      <c r="BJ248" s="729"/>
      <c r="BK248" s="729"/>
      <c r="BL248" s="729"/>
      <c r="BM248" s="729"/>
      <c r="BN248" s="729"/>
      <c r="BO248" s="729"/>
      <c r="BP248" s="729"/>
      <c r="BQ248" s="729"/>
    </row>
    <row r="249" spans="1:69" ht="12.75" customHeight="1">
      <c r="A249" s="1010"/>
      <c r="B249" s="729"/>
      <c r="C249" s="729"/>
      <c r="D249" s="729"/>
      <c r="E249" s="1010"/>
      <c r="F249" s="12"/>
      <c r="G249" s="12"/>
      <c r="H249" s="1011"/>
      <c r="I249" s="1011"/>
      <c r="J249" s="1012"/>
      <c r="K249" s="1011"/>
      <c r="L249" s="1011"/>
      <c r="M249" s="1011"/>
      <c r="N249" s="730"/>
      <c r="O249" s="729"/>
      <c r="P249" s="1014"/>
      <c r="Q249" s="1014"/>
      <c r="R249" s="1014"/>
      <c r="S249" s="729"/>
      <c r="T249" s="729"/>
      <c r="U249" s="729"/>
      <c r="V249" s="729"/>
      <c r="W249" s="729"/>
      <c r="X249" s="729"/>
      <c r="Y249" s="729"/>
      <c r="Z249" s="729"/>
      <c r="AA249" s="729"/>
      <c r="AB249" s="729"/>
      <c r="AC249" s="729"/>
      <c r="AD249" s="729"/>
      <c r="AE249" s="729"/>
      <c r="AF249" s="729"/>
      <c r="AG249" s="729"/>
      <c r="AH249" s="729"/>
      <c r="AI249" s="729"/>
      <c r="AJ249" s="729"/>
      <c r="AK249" s="729"/>
      <c r="AL249" s="729"/>
      <c r="AM249" s="729"/>
      <c r="AN249" s="729"/>
      <c r="AO249" s="729"/>
      <c r="AP249" s="729"/>
      <c r="AQ249" s="729"/>
      <c r="AR249" s="729"/>
      <c r="AS249" s="729"/>
      <c r="AT249" s="729"/>
      <c r="AU249" s="729"/>
      <c r="AV249" s="729"/>
      <c r="AW249" s="729"/>
      <c r="AX249" s="729"/>
      <c r="AY249" s="729"/>
      <c r="AZ249" s="729"/>
      <c r="BA249" s="729"/>
      <c r="BB249" s="729"/>
      <c r="BC249" s="729"/>
      <c r="BD249" s="729"/>
      <c r="BE249" s="729"/>
      <c r="BF249" s="729"/>
      <c r="BG249" s="729"/>
      <c r="BH249" s="729"/>
      <c r="BI249" s="228"/>
      <c r="BJ249" s="729"/>
      <c r="BK249" s="729"/>
      <c r="BL249" s="729"/>
      <c r="BM249" s="729"/>
      <c r="BN249" s="729"/>
      <c r="BO249" s="729"/>
      <c r="BP249" s="729"/>
      <c r="BQ249" s="729"/>
    </row>
    <row r="250" spans="1:69" ht="12.75" customHeight="1">
      <c r="A250" s="1010"/>
      <c r="B250" s="729"/>
      <c r="C250" s="729"/>
      <c r="D250" s="729"/>
      <c r="E250" s="1010"/>
      <c r="F250" s="12"/>
      <c r="G250" s="12"/>
      <c r="H250" s="1011"/>
      <c r="I250" s="1011"/>
      <c r="J250" s="1012"/>
      <c r="K250" s="1011"/>
      <c r="L250" s="1011"/>
      <c r="M250" s="1011"/>
      <c r="N250" s="730"/>
      <c r="O250" s="729"/>
      <c r="P250" s="1014"/>
      <c r="Q250" s="1014"/>
      <c r="R250" s="1014"/>
      <c r="S250" s="729"/>
      <c r="T250" s="729"/>
      <c r="U250" s="729"/>
      <c r="V250" s="729"/>
      <c r="W250" s="729"/>
      <c r="X250" s="729"/>
      <c r="Y250" s="729"/>
      <c r="Z250" s="729"/>
      <c r="AA250" s="729"/>
      <c r="AB250" s="729"/>
      <c r="AC250" s="729"/>
      <c r="AD250" s="729"/>
      <c r="AE250" s="729"/>
      <c r="AF250" s="729"/>
      <c r="AG250" s="729"/>
      <c r="AH250" s="729"/>
      <c r="AI250" s="729"/>
      <c r="AJ250" s="729"/>
      <c r="AK250" s="729"/>
      <c r="AL250" s="729"/>
      <c r="AM250" s="729"/>
      <c r="AN250" s="729"/>
      <c r="AO250" s="729"/>
      <c r="AP250" s="729"/>
      <c r="AQ250" s="729"/>
      <c r="AR250" s="729"/>
      <c r="AS250" s="729"/>
      <c r="AT250" s="729"/>
      <c r="AU250" s="729"/>
      <c r="AV250" s="729"/>
      <c r="AW250" s="729"/>
      <c r="AX250" s="729"/>
      <c r="AY250" s="729"/>
      <c r="AZ250" s="729"/>
      <c r="BA250" s="729"/>
      <c r="BB250" s="729"/>
      <c r="BC250" s="729"/>
      <c r="BD250" s="729"/>
      <c r="BE250" s="729"/>
      <c r="BF250" s="729"/>
      <c r="BG250" s="729"/>
      <c r="BH250" s="729"/>
      <c r="BI250" s="228"/>
      <c r="BJ250" s="729"/>
      <c r="BK250" s="729"/>
      <c r="BL250" s="729"/>
      <c r="BM250" s="729"/>
      <c r="BN250" s="729"/>
      <c r="BO250" s="729"/>
      <c r="BP250" s="729"/>
      <c r="BQ250" s="729"/>
    </row>
    <row r="251" spans="1:69" ht="12.75" customHeight="1">
      <c r="A251" s="1010"/>
      <c r="B251" s="729"/>
      <c r="C251" s="729"/>
      <c r="D251" s="729"/>
      <c r="E251" s="1010"/>
      <c r="F251" s="12"/>
      <c r="G251" s="12"/>
      <c r="H251" s="1011"/>
      <c r="I251" s="1011"/>
      <c r="J251" s="1012"/>
      <c r="K251" s="1011"/>
      <c r="L251" s="1011"/>
      <c r="M251" s="1011"/>
      <c r="N251" s="730"/>
      <c r="O251" s="729"/>
      <c r="P251" s="1014"/>
      <c r="Q251" s="1014"/>
      <c r="R251" s="1014"/>
      <c r="S251" s="729"/>
      <c r="T251" s="729"/>
      <c r="U251" s="729"/>
      <c r="V251" s="729"/>
      <c r="W251" s="729"/>
      <c r="X251" s="729"/>
      <c r="Y251" s="729"/>
      <c r="Z251" s="729"/>
      <c r="AA251" s="729"/>
      <c r="AB251" s="729"/>
      <c r="AC251" s="729"/>
      <c r="AD251" s="729"/>
      <c r="AE251" s="729"/>
      <c r="AF251" s="729"/>
      <c r="AG251" s="729"/>
      <c r="AH251" s="729"/>
      <c r="AI251" s="729"/>
      <c r="AJ251" s="729"/>
      <c r="AK251" s="729"/>
      <c r="AL251" s="729"/>
      <c r="AM251" s="729"/>
      <c r="AN251" s="729"/>
      <c r="AO251" s="729"/>
      <c r="AP251" s="729"/>
      <c r="AQ251" s="729"/>
      <c r="AR251" s="729"/>
      <c r="AS251" s="729"/>
      <c r="AT251" s="729"/>
      <c r="AU251" s="729"/>
      <c r="AV251" s="729"/>
      <c r="AW251" s="729"/>
      <c r="AX251" s="729"/>
      <c r="AY251" s="729"/>
      <c r="AZ251" s="729"/>
      <c r="BA251" s="729"/>
      <c r="BB251" s="729"/>
      <c r="BC251" s="729"/>
      <c r="BD251" s="729"/>
      <c r="BE251" s="729"/>
      <c r="BF251" s="729"/>
      <c r="BG251" s="729"/>
      <c r="BH251" s="729"/>
      <c r="BI251" s="228"/>
      <c r="BJ251" s="729"/>
      <c r="BK251" s="729"/>
      <c r="BL251" s="729"/>
      <c r="BM251" s="729"/>
      <c r="BN251" s="729"/>
      <c r="BO251" s="729"/>
      <c r="BP251" s="729"/>
      <c r="BQ251" s="729"/>
    </row>
    <row r="252" spans="1:69" ht="12.75" customHeight="1">
      <c r="A252" s="1010"/>
      <c r="B252" s="729"/>
      <c r="C252" s="729"/>
      <c r="D252" s="729"/>
      <c r="E252" s="1010"/>
      <c r="F252" s="12"/>
      <c r="G252" s="12"/>
      <c r="H252" s="1011"/>
      <c r="I252" s="1011"/>
      <c r="J252" s="1012"/>
      <c r="K252" s="1011"/>
      <c r="L252" s="1011"/>
      <c r="M252" s="1011"/>
      <c r="N252" s="730"/>
      <c r="O252" s="729"/>
      <c r="P252" s="1014"/>
      <c r="Q252" s="1014"/>
      <c r="R252" s="1014"/>
      <c r="S252" s="729"/>
      <c r="T252" s="729"/>
      <c r="U252" s="729"/>
      <c r="V252" s="729"/>
      <c r="W252" s="729"/>
      <c r="X252" s="729"/>
      <c r="Y252" s="729"/>
      <c r="Z252" s="729"/>
      <c r="AA252" s="729"/>
      <c r="AB252" s="729"/>
      <c r="AC252" s="729"/>
      <c r="AD252" s="729"/>
      <c r="AE252" s="729"/>
      <c r="AF252" s="729"/>
      <c r="AG252" s="729"/>
      <c r="AH252" s="729"/>
      <c r="AI252" s="729"/>
      <c r="AJ252" s="729"/>
      <c r="AK252" s="729"/>
      <c r="AL252" s="729"/>
      <c r="AM252" s="729"/>
      <c r="AN252" s="729"/>
      <c r="AO252" s="729"/>
      <c r="AP252" s="729"/>
      <c r="AQ252" s="729"/>
      <c r="AR252" s="729"/>
      <c r="AS252" s="729"/>
      <c r="AT252" s="729"/>
      <c r="AU252" s="729"/>
      <c r="AV252" s="729"/>
      <c r="AW252" s="729"/>
      <c r="AX252" s="729"/>
      <c r="AY252" s="729"/>
      <c r="AZ252" s="729"/>
      <c r="BA252" s="729"/>
      <c r="BB252" s="729"/>
      <c r="BC252" s="729"/>
      <c r="BD252" s="729"/>
      <c r="BE252" s="729"/>
      <c r="BF252" s="729"/>
      <c r="BG252" s="729"/>
      <c r="BH252" s="729"/>
      <c r="BI252" s="228"/>
      <c r="BJ252" s="729"/>
      <c r="BK252" s="729"/>
      <c r="BL252" s="729"/>
      <c r="BM252" s="729"/>
      <c r="BN252" s="729"/>
      <c r="BO252" s="729"/>
      <c r="BP252" s="729"/>
      <c r="BQ252" s="729"/>
    </row>
    <row r="253" spans="1:69" ht="12.75" customHeight="1">
      <c r="A253" s="1010"/>
      <c r="B253" s="729"/>
      <c r="C253" s="729"/>
      <c r="D253" s="729"/>
      <c r="E253" s="1010"/>
      <c r="F253" s="12"/>
      <c r="G253" s="12"/>
      <c r="H253" s="1011"/>
      <c r="I253" s="1011"/>
      <c r="J253" s="1012"/>
      <c r="K253" s="1011"/>
      <c r="L253" s="1011"/>
      <c r="M253" s="1011"/>
      <c r="N253" s="730"/>
      <c r="O253" s="729"/>
      <c r="P253" s="1014"/>
      <c r="Q253" s="1014"/>
      <c r="R253" s="1014"/>
      <c r="S253" s="729"/>
      <c r="T253" s="729"/>
      <c r="U253" s="729"/>
      <c r="V253" s="729"/>
      <c r="W253" s="729"/>
      <c r="X253" s="729"/>
      <c r="Y253" s="729"/>
      <c r="Z253" s="729"/>
      <c r="AA253" s="729"/>
      <c r="AB253" s="729"/>
      <c r="AC253" s="729"/>
      <c r="AD253" s="729"/>
      <c r="AE253" s="729"/>
      <c r="AF253" s="729"/>
      <c r="AG253" s="729"/>
      <c r="AH253" s="729"/>
      <c r="AI253" s="729"/>
      <c r="AJ253" s="729"/>
      <c r="AK253" s="729"/>
      <c r="AL253" s="729"/>
      <c r="AM253" s="729"/>
      <c r="AN253" s="729"/>
      <c r="AO253" s="729"/>
      <c r="AP253" s="729"/>
      <c r="AQ253" s="729"/>
      <c r="AR253" s="729"/>
      <c r="AS253" s="729"/>
      <c r="AT253" s="729"/>
      <c r="AU253" s="729"/>
      <c r="AV253" s="729"/>
      <c r="AW253" s="729"/>
      <c r="AX253" s="729"/>
      <c r="AY253" s="729"/>
      <c r="AZ253" s="729"/>
      <c r="BA253" s="729"/>
      <c r="BB253" s="729"/>
      <c r="BC253" s="729"/>
      <c r="BD253" s="729"/>
      <c r="BE253" s="729"/>
      <c r="BF253" s="729"/>
      <c r="BG253" s="729"/>
      <c r="BH253" s="729"/>
      <c r="BI253" s="228"/>
      <c r="BJ253" s="729"/>
      <c r="BK253" s="729"/>
      <c r="BL253" s="729"/>
      <c r="BM253" s="729"/>
      <c r="BN253" s="729"/>
      <c r="BO253" s="729"/>
      <c r="BP253" s="729"/>
      <c r="BQ253" s="729"/>
    </row>
    <row r="254" spans="1:69" ht="12.75" customHeight="1">
      <c r="A254" s="1010"/>
      <c r="B254" s="729"/>
      <c r="C254" s="729"/>
      <c r="D254" s="729"/>
      <c r="E254" s="1010"/>
      <c r="F254" s="12"/>
      <c r="G254" s="12"/>
      <c r="H254" s="1011"/>
      <c r="I254" s="1011"/>
      <c r="J254" s="1012"/>
      <c r="K254" s="1011"/>
      <c r="L254" s="1011"/>
      <c r="M254" s="1011"/>
      <c r="N254" s="730"/>
      <c r="O254" s="729"/>
      <c r="P254" s="1014"/>
      <c r="Q254" s="1014"/>
      <c r="R254" s="1014"/>
      <c r="S254" s="729"/>
      <c r="T254" s="729"/>
      <c r="U254" s="729"/>
      <c r="V254" s="729"/>
      <c r="W254" s="729"/>
      <c r="X254" s="729"/>
      <c r="Y254" s="729"/>
      <c r="Z254" s="729"/>
      <c r="AA254" s="729"/>
      <c r="AB254" s="729"/>
      <c r="AC254" s="729"/>
      <c r="AD254" s="729"/>
      <c r="AE254" s="729"/>
      <c r="AF254" s="729"/>
      <c r="AG254" s="729"/>
      <c r="AH254" s="729"/>
      <c r="AI254" s="729"/>
      <c r="AJ254" s="729"/>
      <c r="AK254" s="729"/>
      <c r="AL254" s="729"/>
      <c r="AM254" s="729"/>
      <c r="AN254" s="729"/>
      <c r="AO254" s="729"/>
      <c r="AP254" s="729"/>
      <c r="AQ254" s="729"/>
      <c r="AR254" s="729"/>
      <c r="AS254" s="729"/>
      <c r="AT254" s="729"/>
      <c r="AU254" s="729"/>
      <c r="AV254" s="729"/>
      <c r="AW254" s="729"/>
      <c r="AX254" s="729"/>
      <c r="AY254" s="729"/>
      <c r="AZ254" s="729"/>
      <c r="BA254" s="729"/>
      <c r="BB254" s="729"/>
      <c r="BC254" s="729"/>
      <c r="BD254" s="729"/>
      <c r="BE254" s="729"/>
      <c r="BF254" s="729"/>
      <c r="BG254" s="729"/>
      <c r="BH254" s="729"/>
      <c r="BI254" s="228"/>
      <c r="BJ254" s="729"/>
      <c r="BK254" s="729"/>
      <c r="BL254" s="729"/>
      <c r="BM254" s="729"/>
      <c r="BN254" s="729"/>
      <c r="BO254" s="729"/>
      <c r="BP254" s="729"/>
      <c r="BQ254" s="729"/>
    </row>
    <row r="255" spans="1:69" ht="12.75" customHeight="1">
      <c r="A255" s="1010"/>
      <c r="B255" s="729"/>
      <c r="C255" s="729"/>
      <c r="D255" s="729"/>
      <c r="E255" s="1010"/>
      <c r="F255" s="12"/>
      <c r="G255" s="12"/>
      <c r="H255" s="1011"/>
      <c r="I255" s="1011"/>
      <c r="J255" s="1012"/>
      <c r="K255" s="1011"/>
      <c r="L255" s="1011"/>
      <c r="M255" s="1011"/>
      <c r="N255" s="730"/>
      <c r="O255" s="729"/>
      <c r="P255" s="1014"/>
      <c r="Q255" s="1014"/>
      <c r="R255" s="1014"/>
      <c r="S255" s="729"/>
      <c r="T255" s="729"/>
      <c r="U255" s="729"/>
      <c r="V255" s="729"/>
      <c r="W255" s="729"/>
      <c r="X255" s="729"/>
      <c r="Y255" s="729"/>
      <c r="Z255" s="729"/>
      <c r="AA255" s="729"/>
      <c r="AB255" s="729"/>
      <c r="AC255" s="729"/>
      <c r="AD255" s="729"/>
      <c r="AE255" s="729"/>
      <c r="AF255" s="729"/>
      <c r="AG255" s="729"/>
      <c r="AH255" s="729"/>
      <c r="AI255" s="729"/>
      <c r="AJ255" s="729"/>
      <c r="AK255" s="729"/>
      <c r="AL255" s="729"/>
      <c r="AM255" s="729"/>
      <c r="AN255" s="729"/>
      <c r="AO255" s="729"/>
      <c r="AP255" s="729"/>
      <c r="AQ255" s="729"/>
      <c r="AR255" s="729"/>
      <c r="AS255" s="729"/>
      <c r="AT255" s="729"/>
      <c r="AU255" s="729"/>
      <c r="AV255" s="729"/>
      <c r="AW255" s="729"/>
      <c r="AX255" s="729"/>
      <c r="AY255" s="729"/>
      <c r="AZ255" s="729"/>
      <c r="BA255" s="729"/>
      <c r="BB255" s="729"/>
      <c r="BC255" s="729"/>
      <c r="BD255" s="729"/>
      <c r="BE255" s="729"/>
      <c r="BF255" s="729"/>
      <c r="BG255" s="729"/>
      <c r="BH255" s="729"/>
      <c r="BI255" s="228"/>
      <c r="BJ255" s="729"/>
      <c r="BK255" s="729"/>
      <c r="BL255" s="729"/>
      <c r="BM255" s="729"/>
      <c r="BN255" s="729"/>
      <c r="BO255" s="729"/>
      <c r="BP255" s="729"/>
      <c r="BQ255" s="729"/>
    </row>
    <row r="256" spans="1:69" ht="12.75" customHeight="1">
      <c r="A256" s="1010"/>
      <c r="B256" s="729"/>
      <c r="C256" s="729"/>
      <c r="D256" s="729"/>
      <c r="E256" s="1010"/>
      <c r="F256" s="12"/>
      <c r="G256" s="12"/>
      <c r="H256" s="1011"/>
      <c r="I256" s="1011"/>
      <c r="J256" s="1012"/>
      <c r="K256" s="1011"/>
      <c r="L256" s="1011"/>
      <c r="M256" s="1011"/>
      <c r="N256" s="730"/>
      <c r="O256" s="729"/>
      <c r="P256" s="1014"/>
      <c r="Q256" s="1014"/>
      <c r="R256" s="1014"/>
      <c r="S256" s="729"/>
      <c r="T256" s="729"/>
      <c r="U256" s="729"/>
      <c r="V256" s="729"/>
      <c r="W256" s="729"/>
      <c r="X256" s="729"/>
      <c r="Y256" s="729"/>
      <c r="Z256" s="729"/>
      <c r="AA256" s="729"/>
      <c r="AB256" s="729"/>
      <c r="AC256" s="729"/>
      <c r="AD256" s="729"/>
      <c r="AE256" s="729"/>
      <c r="AF256" s="729"/>
      <c r="AG256" s="729"/>
      <c r="AH256" s="729"/>
      <c r="AI256" s="729"/>
      <c r="AJ256" s="729"/>
      <c r="AK256" s="729"/>
      <c r="AL256" s="729"/>
      <c r="AM256" s="729"/>
      <c r="AN256" s="729"/>
      <c r="AO256" s="729"/>
      <c r="AP256" s="729"/>
      <c r="AQ256" s="729"/>
      <c r="AR256" s="729"/>
      <c r="AS256" s="729"/>
      <c r="AT256" s="729"/>
      <c r="AU256" s="729"/>
      <c r="AV256" s="729"/>
      <c r="AW256" s="729"/>
      <c r="AX256" s="729"/>
      <c r="AY256" s="729"/>
      <c r="AZ256" s="729"/>
      <c r="BA256" s="729"/>
      <c r="BB256" s="729"/>
      <c r="BC256" s="729"/>
      <c r="BD256" s="729"/>
      <c r="BE256" s="729"/>
      <c r="BF256" s="729"/>
      <c r="BG256" s="729"/>
      <c r="BH256" s="729"/>
      <c r="BI256" s="228"/>
      <c r="BJ256" s="729"/>
      <c r="BK256" s="729"/>
      <c r="BL256" s="729"/>
      <c r="BM256" s="729"/>
      <c r="BN256" s="729"/>
      <c r="BO256" s="729"/>
      <c r="BP256" s="729"/>
      <c r="BQ256" s="729"/>
    </row>
    <row r="257" spans="1:69" ht="12.75" customHeight="1">
      <c r="A257" s="1010"/>
      <c r="B257" s="729"/>
      <c r="C257" s="729"/>
      <c r="D257" s="729"/>
      <c r="E257" s="1010"/>
      <c r="F257" s="12"/>
      <c r="G257" s="12"/>
      <c r="H257" s="1011"/>
      <c r="I257" s="1011"/>
      <c r="J257" s="1012"/>
      <c r="K257" s="1011"/>
      <c r="L257" s="1011"/>
      <c r="M257" s="1011"/>
      <c r="N257" s="730"/>
      <c r="O257" s="729"/>
      <c r="P257" s="1014"/>
      <c r="Q257" s="1014"/>
      <c r="R257" s="1014"/>
      <c r="S257" s="729"/>
      <c r="T257" s="729"/>
      <c r="U257" s="729"/>
      <c r="V257" s="729"/>
      <c r="W257" s="729"/>
      <c r="X257" s="729"/>
      <c r="Y257" s="729"/>
      <c r="Z257" s="729"/>
      <c r="AA257" s="729"/>
      <c r="AB257" s="729"/>
      <c r="AC257" s="729"/>
      <c r="AD257" s="729"/>
      <c r="AE257" s="729"/>
      <c r="AF257" s="729"/>
      <c r="AG257" s="729"/>
      <c r="AH257" s="729"/>
      <c r="AI257" s="729"/>
      <c r="AJ257" s="729"/>
      <c r="AK257" s="729"/>
      <c r="AL257" s="729"/>
      <c r="AM257" s="729"/>
      <c r="AN257" s="729"/>
      <c r="AO257" s="729"/>
      <c r="AP257" s="729"/>
      <c r="AQ257" s="729"/>
      <c r="AR257" s="729"/>
      <c r="AS257" s="729"/>
      <c r="AT257" s="729"/>
      <c r="AU257" s="729"/>
      <c r="AV257" s="729"/>
      <c r="AW257" s="729"/>
      <c r="AX257" s="729"/>
      <c r="AY257" s="729"/>
      <c r="AZ257" s="729"/>
      <c r="BA257" s="729"/>
      <c r="BB257" s="729"/>
      <c r="BC257" s="729"/>
      <c r="BD257" s="729"/>
      <c r="BE257" s="729"/>
      <c r="BF257" s="729"/>
      <c r="BG257" s="729"/>
      <c r="BH257" s="729"/>
      <c r="BI257" s="228"/>
      <c r="BJ257" s="729"/>
      <c r="BK257" s="729"/>
      <c r="BL257" s="729"/>
      <c r="BM257" s="729"/>
      <c r="BN257" s="729"/>
      <c r="BO257" s="729"/>
      <c r="BP257" s="729"/>
      <c r="BQ257" s="729"/>
    </row>
    <row r="258" spans="1:69" ht="12.75" customHeight="1">
      <c r="A258" s="1010"/>
      <c r="B258" s="729"/>
      <c r="C258" s="729"/>
      <c r="D258" s="729"/>
      <c r="E258" s="1010"/>
      <c r="F258" s="12"/>
      <c r="G258" s="12"/>
      <c r="H258" s="1011"/>
      <c r="I258" s="1011"/>
      <c r="J258" s="1012"/>
      <c r="K258" s="1011"/>
      <c r="L258" s="1011"/>
      <c r="M258" s="1011"/>
      <c r="N258" s="730"/>
      <c r="O258" s="729"/>
      <c r="P258" s="1014"/>
      <c r="Q258" s="1014"/>
      <c r="R258" s="1014"/>
      <c r="S258" s="729"/>
      <c r="T258" s="729"/>
      <c r="U258" s="729"/>
      <c r="V258" s="729"/>
      <c r="W258" s="729"/>
      <c r="X258" s="729"/>
      <c r="Y258" s="729"/>
      <c r="Z258" s="729"/>
      <c r="AA258" s="729"/>
      <c r="AB258" s="729"/>
      <c r="AC258" s="729"/>
      <c r="AD258" s="729"/>
      <c r="AE258" s="729"/>
      <c r="AF258" s="729"/>
      <c r="AG258" s="729"/>
      <c r="AH258" s="729"/>
      <c r="AI258" s="729"/>
      <c r="AJ258" s="729"/>
      <c r="AK258" s="729"/>
      <c r="AL258" s="729"/>
      <c r="AM258" s="729"/>
      <c r="AN258" s="729"/>
      <c r="AO258" s="729"/>
      <c r="AP258" s="729"/>
      <c r="AQ258" s="729"/>
      <c r="AR258" s="729"/>
      <c r="AS258" s="729"/>
      <c r="AT258" s="729"/>
      <c r="AU258" s="729"/>
      <c r="AV258" s="729"/>
      <c r="AW258" s="729"/>
      <c r="AX258" s="729"/>
      <c r="AY258" s="729"/>
      <c r="AZ258" s="729"/>
      <c r="BA258" s="729"/>
      <c r="BB258" s="729"/>
      <c r="BC258" s="729"/>
      <c r="BD258" s="729"/>
      <c r="BE258" s="729"/>
      <c r="BF258" s="729"/>
      <c r="BG258" s="729"/>
      <c r="BH258" s="729"/>
      <c r="BI258" s="228"/>
      <c r="BJ258" s="729"/>
      <c r="BK258" s="729"/>
      <c r="BL258" s="729"/>
      <c r="BM258" s="729"/>
      <c r="BN258" s="729"/>
      <c r="BO258" s="729"/>
      <c r="BP258" s="729"/>
      <c r="BQ258" s="729"/>
    </row>
    <row r="259" spans="1:69" ht="12.75" customHeight="1">
      <c r="A259" s="1010"/>
      <c r="B259" s="729"/>
      <c r="C259" s="729"/>
      <c r="D259" s="729"/>
      <c r="E259" s="1010"/>
      <c r="F259" s="12"/>
      <c r="G259" s="12"/>
      <c r="H259" s="1011"/>
      <c r="I259" s="1011"/>
      <c r="J259" s="1012"/>
      <c r="K259" s="1011"/>
      <c r="L259" s="1011"/>
      <c r="M259" s="1011"/>
      <c r="N259" s="730"/>
      <c r="O259" s="729"/>
      <c r="P259" s="1014"/>
      <c r="Q259" s="1014"/>
      <c r="R259" s="1014"/>
      <c r="S259" s="729"/>
      <c r="T259" s="729"/>
      <c r="U259" s="729"/>
      <c r="V259" s="729"/>
      <c r="W259" s="729"/>
      <c r="X259" s="729"/>
      <c r="Y259" s="729"/>
      <c r="Z259" s="729"/>
      <c r="AA259" s="729"/>
      <c r="AB259" s="729"/>
      <c r="AC259" s="729"/>
      <c r="AD259" s="729"/>
      <c r="AE259" s="729"/>
      <c r="AF259" s="729"/>
      <c r="AG259" s="729"/>
      <c r="AH259" s="729"/>
      <c r="AI259" s="729"/>
      <c r="AJ259" s="729"/>
      <c r="AK259" s="729"/>
      <c r="AL259" s="729"/>
      <c r="AM259" s="729"/>
      <c r="AN259" s="729"/>
      <c r="AO259" s="729"/>
      <c r="AP259" s="729"/>
      <c r="AQ259" s="729"/>
      <c r="AR259" s="729"/>
      <c r="AS259" s="729"/>
      <c r="AT259" s="729"/>
      <c r="AU259" s="729"/>
      <c r="AV259" s="729"/>
      <c r="AW259" s="729"/>
      <c r="AX259" s="729"/>
      <c r="AY259" s="729"/>
      <c r="AZ259" s="729"/>
      <c r="BA259" s="729"/>
      <c r="BB259" s="729"/>
      <c r="BC259" s="729"/>
      <c r="BD259" s="729"/>
      <c r="BE259" s="729"/>
      <c r="BF259" s="729"/>
      <c r="BG259" s="729"/>
      <c r="BH259" s="729"/>
      <c r="BI259" s="228"/>
      <c r="BJ259" s="729"/>
      <c r="BK259" s="729"/>
      <c r="BL259" s="729"/>
      <c r="BM259" s="729"/>
      <c r="BN259" s="729"/>
      <c r="BO259" s="729"/>
      <c r="BP259" s="729"/>
      <c r="BQ259" s="729"/>
    </row>
    <row r="260" spans="1:69" ht="12.75" customHeight="1">
      <c r="A260" s="1010"/>
      <c r="B260" s="729"/>
      <c r="C260" s="729"/>
      <c r="D260" s="729"/>
      <c r="E260" s="1010"/>
      <c r="F260" s="12"/>
      <c r="G260" s="12"/>
      <c r="H260" s="1011"/>
      <c r="I260" s="1011"/>
      <c r="J260" s="1012"/>
      <c r="K260" s="1011"/>
      <c r="L260" s="1011"/>
      <c r="M260" s="1011"/>
      <c r="N260" s="730"/>
      <c r="O260" s="729"/>
      <c r="P260" s="1014"/>
      <c r="Q260" s="1014"/>
      <c r="R260" s="1014"/>
      <c r="S260" s="729"/>
      <c r="T260" s="729"/>
      <c r="U260" s="729"/>
      <c r="V260" s="729"/>
      <c r="W260" s="729"/>
      <c r="X260" s="729"/>
      <c r="Y260" s="729"/>
      <c r="Z260" s="729"/>
      <c r="AA260" s="729"/>
      <c r="AB260" s="729"/>
      <c r="AC260" s="729"/>
      <c r="AD260" s="729"/>
      <c r="AE260" s="729"/>
      <c r="AF260" s="729"/>
      <c r="AG260" s="729"/>
      <c r="AH260" s="729"/>
      <c r="AI260" s="729"/>
      <c r="AJ260" s="729"/>
      <c r="AK260" s="729"/>
      <c r="AL260" s="729"/>
      <c r="AM260" s="729"/>
      <c r="AN260" s="729"/>
      <c r="AO260" s="729"/>
      <c r="AP260" s="729"/>
      <c r="AQ260" s="729"/>
      <c r="AR260" s="729"/>
      <c r="AS260" s="729"/>
      <c r="AT260" s="729"/>
      <c r="AU260" s="729"/>
      <c r="AV260" s="729"/>
      <c r="AW260" s="729"/>
      <c r="AX260" s="729"/>
      <c r="AY260" s="729"/>
      <c r="AZ260" s="729"/>
      <c r="BA260" s="729"/>
      <c r="BB260" s="729"/>
      <c r="BC260" s="729"/>
      <c r="BD260" s="729"/>
      <c r="BE260" s="729"/>
      <c r="BF260" s="729"/>
      <c r="BG260" s="729"/>
      <c r="BH260" s="729"/>
      <c r="BI260" s="228"/>
      <c r="BJ260" s="729"/>
      <c r="BK260" s="729"/>
      <c r="BL260" s="729"/>
      <c r="BM260" s="729"/>
      <c r="BN260" s="729"/>
      <c r="BO260" s="729"/>
      <c r="BP260" s="729"/>
      <c r="BQ260" s="729"/>
    </row>
    <row r="261" spans="1:69" ht="12.75" customHeight="1">
      <c r="A261" s="1010"/>
      <c r="B261" s="729"/>
      <c r="C261" s="729"/>
      <c r="D261" s="729"/>
      <c r="E261" s="1010"/>
      <c r="F261" s="12"/>
      <c r="G261" s="12"/>
      <c r="H261" s="1011"/>
      <c r="I261" s="1011"/>
      <c r="J261" s="1012"/>
      <c r="K261" s="1011"/>
      <c r="L261" s="1011"/>
      <c r="M261" s="1011"/>
      <c r="N261" s="730"/>
      <c r="O261" s="729"/>
      <c r="P261" s="1014"/>
      <c r="Q261" s="1014"/>
      <c r="R261" s="1014"/>
      <c r="S261" s="729"/>
      <c r="T261" s="729"/>
      <c r="U261" s="729"/>
      <c r="V261" s="729"/>
      <c r="W261" s="729"/>
      <c r="X261" s="729"/>
      <c r="Y261" s="729"/>
      <c r="Z261" s="729"/>
      <c r="AA261" s="729"/>
      <c r="AB261" s="729"/>
      <c r="AC261" s="729"/>
      <c r="AD261" s="729"/>
      <c r="AE261" s="729"/>
      <c r="AF261" s="729"/>
      <c r="AG261" s="729"/>
      <c r="AH261" s="729"/>
      <c r="AI261" s="729"/>
      <c r="AJ261" s="729"/>
      <c r="AK261" s="729"/>
      <c r="AL261" s="729"/>
      <c r="AM261" s="729"/>
      <c r="AN261" s="729"/>
      <c r="AO261" s="729"/>
      <c r="AP261" s="729"/>
      <c r="AQ261" s="729"/>
      <c r="AR261" s="729"/>
      <c r="AS261" s="729"/>
      <c r="AT261" s="729"/>
      <c r="AU261" s="729"/>
      <c r="AV261" s="729"/>
      <c r="AW261" s="729"/>
      <c r="AX261" s="729"/>
      <c r="AY261" s="729"/>
      <c r="AZ261" s="729"/>
      <c r="BA261" s="729"/>
      <c r="BB261" s="729"/>
      <c r="BC261" s="729"/>
      <c r="BD261" s="729"/>
      <c r="BE261" s="729"/>
      <c r="BF261" s="729"/>
      <c r="BG261" s="729"/>
      <c r="BH261" s="729"/>
      <c r="BI261" s="228"/>
      <c r="BJ261" s="729"/>
      <c r="BK261" s="729"/>
      <c r="BL261" s="729"/>
      <c r="BM261" s="729"/>
      <c r="BN261" s="729"/>
      <c r="BO261" s="729"/>
      <c r="BP261" s="729"/>
      <c r="BQ261" s="729"/>
    </row>
    <row r="262" spans="1:69" ht="12.75" customHeight="1">
      <c r="A262" s="1010"/>
      <c r="B262" s="729"/>
      <c r="C262" s="729"/>
      <c r="D262" s="729"/>
      <c r="E262" s="1010"/>
      <c r="F262" s="12"/>
      <c r="G262" s="12"/>
      <c r="H262" s="1011"/>
      <c r="I262" s="1011"/>
      <c r="J262" s="1012"/>
      <c r="K262" s="1011"/>
      <c r="L262" s="1011"/>
      <c r="M262" s="1011"/>
      <c r="N262" s="730"/>
      <c r="O262" s="729"/>
      <c r="P262" s="1014"/>
      <c r="Q262" s="1014"/>
      <c r="R262" s="1014"/>
      <c r="S262" s="729"/>
      <c r="T262" s="729"/>
      <c r="U262" s="729"/>
      <c r="V262" s="729"/>
      <c r="W262" s="729"/>
      <c r="X262" s="729"/>
      <c r="Y262" s="729"/>
      <c r="Z262" s="729"/>
      <c r="AA262" s="729"/>
      <c r="AB262" s="729"/>
      <c r="AC262" s="729"/>
      <c r="AD262" s="729"/>
      <c r="AE262" s="729"/>
      <c r="AF262" s="729"/>
      <c r="AG262" s="729"/>
      <c r="AH262" s="729"/>
      <c r="AI262" s="729"/>
      <c r="AJ262" s="729"/>
      <c r="AK262" s="729"/>
      <c r="AL262" s="729"/>
      <c r="AM262" s="729"/>
      <c r="AN262" s="729"/>
      <c r="AO262" s="729"/>
      <c r="AP262" s="729"/>
      <c r="AQ262" s="729"/>
      <c r="AR262" s="729"/>
      <c r="AS262" s="729"/>
      <c r="AT262" s="729"/>
      <c r="AU262" s="729"/>
      <c r="AV262" s="729"/>
      <c r="AW262" s="729"/>
      <c r="AX262" s="729"/>
      <c r="AY262" s="729"/>
      <c r="AZ262" s="729"/>
      <c r="BA262" s="729"/>
      <c r="BB262" s="729"/>
      <c r="BC262" s="729"/>
      <c r="BD262" s="729"/>
      <c r="BE262" s="729"/>
      <c r="BF262" s="729"/>
      <c r="BG262" s="729"/>
      <c r="BH262" s="729"/>
      <c r="BI262" s="228"/>
      <c r="BJ262" s="729"/>
      <c r="BK262" s="729"/>
      <c r="BL262" s="729"/>
      <c r="BM262" s="729"/>
      <c r="BN262" s="729"/>
      <c r="BO262" s="729"/>
      <c r="BP262" s="729"/>
      <c r="BQ262" s="729"/>
    </row>
    <row r="263" spans="1:69" ht="12.75" customHeight="1">
      <c r="A263" s="1010"/>
      <c r="B263" s="729"/>
      <c r="C263" s="729"/>
      <c r="D263" s="729"/>
      <c r="E263" s="1010"/>
      <c r="F263" s="12"/>
      <c r="G263" s="12"/>
      <c r="H263" s="1011"/>
      <c r="I263" s="1011"/>
      <c r="J263" s="1012"/>
      <c r="K263" s="1011"/>
      <c r="L263" s="1011"/>
      <c r="M263" s="1011"/>
      <c r="N263" s="730"/>
      <c r="O263" s="729"/>
      <c r="P263" s="1014"/>
      <c r="Q263" s="1014"/>
      <c r="R263" s="1014"/>
      <c r="S263" s="729"/>
      <c r="T263" s="729"/>
      <c r="U263" s="729"/>
      <c r="V263" s="729"/>
      <c r="W263" s="729"/>
      <c r="X263" s="729"/>
      <c r="Y263" s="729"/>
      <c r="Z263" s="729"/>
      <c r="AA263" s="729"/>
      <c r="AB263" s="729"/>
      <c r="AC263" s="729"/>
      <c r="AD263" s="729"/>
      <c r="AE263" s="729"/>
      <c r="AF263" s="729"/>
      <c r="AG263" s="729"/>
      <c r="AH263" s="729"/>
      <c r="AI263" s="729"/>
      <c r="AJ263" s="729"/>
      <c r="AK263" s="729"/>
      <c r="AL263" s="729"/>
      <c r="AM263" s="729"/>
      <c r="AN263" s="729"/>
      <c r="AO263" s="729"/>
      <c r="AP263" s="729"/>
      <c r="AQ263" s="729"/>
      <c r="AR263" s="729"/>
      <c r="AS263" s="729"/>
      <c r="AT263" s="729"/>
      <c r="AU263" s="729"/>
      <c r="AV263" s="729"/>
      <c r="AW263" s="729"/>
      <c r="AX263" s="729"/>
      <c r="AY263" s="729"/>
      <c r="AZ263" s="729"/>
      <c r="BA263" s="729"/>
      <c r="BB263" s="729"/>
      <c r="BC263" s="729"/>
      <c r="BD263" s="729"/>
      <c r="BE263" s="729"/>
      <c r="BF263" s="729"/>
      <c r="BG263" s="729"/>
      <c r="BH263" s="729"/>
      <c r="BI263" s="228"/>
      <c r="BJ263" s="729"/>
      <c r="BK263" s="729"/>
      <c r="BL263" s="729"/>
      <c r="BM263" s="729"/>
      <c r="BN263" s="729"/>
      <c r="BO263" s="729"/>
      <c r="BP263" s="729"/>
      <c r="BQ263" s="729"/>
    </row>
    <row r="264" spans="1:69" ht="12.75" customHeight="1">
      <c r="A264" s="1010"/>
      <c r="B264" s="729"/>
      <c r="C264" s="729"/>
      <c r="D264" s="729"/>
      <c r="E264" s="1010"/>
      <c r="F264" s="12"/>
      <c r="G264" s="12"/>
      <c r="H264" s="1011"/>
      <c r="I264" s="1011"/>
      <c r="J264" s="1012"/>
      <c r="K264" s="1011"/>
      <c r="L264" s="1011"/>
      <c r="M264" s="1011"/>
      <c r="N264" s="730"/>
      <c r="O264" s="729"/>
      <c r="P264" s="1014"/>
      <c r="Q264" s="1014"/>
      <c r="R264" s="1014"/>
      <c r="S264" s="729"/>
      <c r="T264" s="729"/>
      <c r="U264" s="729"/>
      <c r="V264" s="729"/>
      <c r="W264" s="729"/>
      <c r="X264" s="729"/>
      <c r="Y264" s="729"/>
      <c r="Z264" s="729"/>
      <c r="AA264" s="729"/>
      <c r="AB264" s="729"/>
      <c r="AC264" s="729"/>
      <c r="AD264" s="729"/>
      <c r="AE264" s="729"/>
      <c r="AF264" s="729"/>
      <c r="AG264" s="729"/>
      <c r="AH264" s="729"/>
      <c r="AI264" s="729"/>
      <c r="AJ264" s="729"/>
      <c r="AK264" s="729"/>
      <c r="AL264" s="729"/>
      <c r="AM264" s="729"/>
      <c r="AN264" s="729"/>
      <c r="AO264" s="729"/>
      <c r="AP264" s="729"/>
      <c r="AQ264" s="729"/>
      <c r="AR264" s="729"/>
      <c r="AS264" s="729"/>
      <c r="AT264" s="729"/>
      <c r="AU264" s="729"/>
      <c r="AV264" s="729"/>
      <c r="AW264" s="729"/>
      <c r="AX264" s="729"/>
      <c r="AY264" s="729"/>
      <c r="AZ264" s="729"/>
      <c r="BA264" s="729"/>
      <c r="BB264" s="729"/>
      <c r="BC264" s="729"/>
      <c r="BD264" s="729"/>
      <c r="BE264" s="729"/>
      <c r="BF264" s="729"/>
      <c r="BG264" s="729"/>
      <c r="BH264" s="729"/>
      <c r="BI264" s="228"/>
      <c r="BJ264" s="729"/>
      <c r="BK264" s="729"/>
      <c r="BL264" s="729"/>
      <c r="BM264" s="729"/>
      <c r="BN264" s="729"/>
      <c r="BO264" s="729"/>
      <c r="BP264" s="729"/>
      <c r="BQ264" s="729"/>
    </row>
    <row r="265" spans="1:69" ht="12.75" customHeight="1">
      <c r="A265" s="1010"/>
      <c r="B265" s="729"/>
      <c r="C265" s="729"/>
      <c r="D265" s="729"/>
      <c r="E265" s="1010"/>
      <c r="F265" s="12"/>
      <c r="G265" s="12"/>
      <c r="H265" s="1011"/>
      <c r="I265" s="1011"/>
      <c r="J265" s="1012"/>
      <c r="K265" s="1011"/>
      <c r="L265" s="1011"/>
      <c r="M265" s="1011"/>
      <c r="N265" s="730"/>
      <c r="O265" s="729"/>
      <c r="P265" s="1014"/>
      <c r="Q265" s="1014"/>
      <c r="R265" s="1014"/>
      <c r="S265" s="729"/>
      <c r="T265" s="729"/>
      <c r="U265" s="729"/>
      <c r="V265" s="729"/>
      <c r="W265" s="729"/>
      <c r="X265" s="729"/>
      <c r="Y265" s="729"/>
      <c r="Z265" s="729"/>
      <c r="AA265" s="729"/>
      <c r="AB265" s="729"/>
      <c r="AC265" s="729"/>
      <c r="AD265" s="729"/>
      <c r="AE265" s="729"/>
      <c r="AF265" s="729"/>
      <c r="AG265" s="729"/>
      <c r="AH265" s="729"/>
      <c r="AI265" s="729"/>
      <c r="AJ265" s="729"/>
      <c r="AK265" s="729"/>
      <c r="AL265" s="729"/>
      <c r="AM265" s="729"/>
      <c r="AN265" s="729"/>
      <c r="AO265" s="729"/>
      <c r="AP265" s="729"/>
      <c r="AQ265" s="729"/>
      <c r="AR265" s="729"/>
      <c r="AS265" s="729"/>
      <c r="AT265" s="729"/>
      <c r="AU265" s="729"/>
      <c r="AV265" s="729"/>
      <c r="AW265" s="729"/>
      <c r="AX265" s="729"/>
      <c r="AY265" s="729"/>
      <c r="AZ265" s="729"/>
      <c r="BA265" s="729"/>
      <c r="BB265" s="729"/>
      <c r="BC265" s="729"/>
      <c r="BD265" s="729"/>
      <c r="BE265" s="729"/>
      <c r="BF265" s="729"/>
      <c r="BG265" s="729"/>
      <c r="BH265" s="729"/>
      <c r="BI265" s="228"/>
      <c r="BJ265" s="729"/>
      <c r="BK265" s="729"/>
      <c r="BL265" s="729"/>
      <c r="BM265" s="729"/>
      <c r="BN265" s="729"/>
      <c r="BO265" s="729"/>
      <c r="BP265" s="729"/>
      <c r="BQ265" s="729"/>
    </row>
    <row r="266" spans="1:69" ht="12.75" customHeight="1">
      <c r="A266" s="1010"/>
      <c r="B266" s="729"/>
      <c r="C266" s="729"/>
      <c r="D266" s="729"/>
      <c r="E266" s="1010"/>
      <c r="F266" s="12"/>
      <c r="G266" s="12"/>
      <c r="H266" s="1011"/>
      <c r="I266" s="1011"/>
      <c r="J266" s="1012"/>
      <c r="K266" s="1011"/>
      <c r="L266" s="1011"/>
      <c r="M266" s="1011"/>
      <c r="N266" s="730"/>
      <c r="O266" s="729"/>
      <c r="P266" s="1014"/>
      <c r="Q266" s="1014"/>
      <c r="R266" s="1014"/>
      <c r="S266" s="729"/>
      <c r="T266" s="729"/>
      <c r="U266" s="729"/>
      <c r="V266" s="729"/>
      <c r="W266" s="729"/>
      <c r="X266" s="729"/>
      <c r="Y266" s="729"/>
      <c r="Z266" s="729"/>
      <c r="AA266" s="729"/>
      <c r="AB266" s="729"/>
      <c r="AC266" s="729"/>
      <c r="AD266" s="729"/>
      <c r="AE266" s="729"/>
      <c r="AF266" s="729"/>
      <c r="AG266" s="729"/>
      <c r="AH266" s="729"/>
      <c r="AI266" s="729"/>
      <c r="AJ266" s="729"/>
      <c r="AK266" s="729"/>
      <c r="AL266" s="729"/>
      <c r="AM266" s="729"/>
      <c r="AN266" s="729"/>
      <c r="AO266" s="729"/>
      <c r="AP266" s="729"/>
      <c r="AQ266" s="729"/>
      <c r="AR266" s="729"/>
      <c r="AS266" s="729"/>
      <c r="AT266" s="729"/>
      <c r="AU266" s="729"/>
      <c r="AV266" s="729"/>
      <c r="AW266" s="729"/>
      <c r="AX266" s="729"/>
      <c r="AY266" s="729"/>
      <c r="AZ266" s="729"/>
      <c r="BA266" s="729"/>
      <c r="BB266" s="729"/>
      <c r="BC266" s="729"/>
      <c r="BD266" s="729"/>
      <c r="BE266" s="729"/>
      <c r="BF266" s="729"/>
      <c r="BG266" s="729"/>
      <c r="BH266" s="729"/>
      <c r="BI266" s="228"/>
      <c r="BJ266" s="729"/>
      <c r="BK266" s="729"/>
      <c r="BL266" s="729"/>
      <c r="BM266" s="729"/>
      <c r="BN266" s="729"/>
      <c r="BO266" s="729"/>
      <c r="BP266" s="729"/>
      <c r="BQ266" s="729"/>
    </row>
    <row r="267" spans="1:69" ht="12.75" customHeight="1">
      <c r="A267" s="1010"/>
      <c r="B267" s="729"/>
      <c r="C267" s="729"/>
      <c r="D267" s="729"/>
      <c r="E267" s="1010"/>
      <c r="F267" s="12"/>
      <c r="G267" s="12"/>
      <c r="H267" s="1011"/>
      <c r="I267" s="1011"/>
      <c r="J267" s="1012"/>
      <c r="K267" s="1011"/>
      <c r="L267" s="1011"/>
      <c r="M267" s="1011"/>
      <c r="N267" s="730"/>
      <c r="O267" s="729"/>
      <c r="P267" s="1014"/>
      <c r="Q267" s="1014"/>
      <c r="R267" s="1014"/>
      <c r="S267" s="729"/>
      <c r="T267" s="729"/>
      <c r="U267" s="729"/>
      <c r="V267" s="729"/>
      <c r="W267" s="729"/>
      <c r="X267" s="729"/>
      <c r="Y267" s="729"/>
      <c r="Z267" s="729"/>
      <c r="AA267" s="729"/>
      <c r="AB267" s="729"/>
      <c r="AC267" s="729"/>
      <c r="AD267" s="729"/>
      <c r="AE267" s="729"/>
      <c r="AF267" s="729"/>
      <c r="AG267" s="729"/>
      <c r="AH267" s="729"/>
      <c r="AI267" s="729"/>
      <c r="AJ267" s="729"/>
      <c r="AK267" s="729"/>
      <c r="AL267" s="729"/>
      <c r="AM267" s="729"/>
      <c r="AN267" s="729"/>
      <c r="AO267" s="729"/>
      <c r="AP267" s="729"/>
      <c r="AQ267" s="729"/>
      <c r="AR267" s="729"/>
      <c r="AS267" s="729"/>
      <c r="AT267" s="729"/>
      <c r="AU267" s="729"/>
      <c r="AV267" s="729"/>
      <c r="AW267" s="729"/>
      <c r="AX267" s="729"/>
      <c r="AY267" s="729"/>
      <c r="AZ267" s="729"/>
      <c r="BA267" s="729"/>
      <c r="BB267" s="729"/>
      <c r="BC267" s="729"/>
      <c r="BD267" s="729"/>
      <c r="BE267" s="729"/>
      <c r="BF267" s="729"/>
      <c r="BG267" s="729"/>
      <c r="BH267" s="729"/>
      <c r="BI267" s="228"/>
      <c r="BJ267" s="729"/>
      <c r="BK267" s="729"/>
      <c r="BL267" s="729"/>
      <c r="BM267" s="729"/>
      <c r="BN267" s="729"/>
      <c r="BO267" s="729"/>
      <c r="BP267" s="729"/>
      <c r="BQ267" s="729"/>
    </row>
    <row r="268" spans="1:69" ht="12.75" customHeight="1">
      <c r="A268" s="1010"/>
      <c r="B268" s="729"/>
      <c r="C268" s="729"/>
      <c r="D268" s="729"/>
      <c r="E268" s="1010"/>
      <c r="F268" s="12"/>
      <c r="G268" s="12"/>
      <c r="H268" s="1011"/>
      <c r="I268" s="1011"/>
      <c r="J268" s="1012"/>
      <c r="K268" s="1011"/>
      <c r="L268" s="1011"/>
      <c r="M268" s="1011"/>
      <c r="N268" s="730"/>
      <c r="O268" s="729"/>
      <c r="P268" s="1014"/>
      <c r="Q268" s="1014"/>
      <c r="R268" s="1014"/>
      <c r="S268" s="729"/>
      <c r="T268" s="729"/>
      <c r="U268" s="729"/>
      <c r="V268" s="729"/>
      <c r="W268" s="729"/>
      <c r="X268" s="729"/>
      <c r="Y268" s="729"/>
      <c r="Z268" s="729"/>
      <c r="AA268" s="729"/>
      <c r="AB268" s="729"/>
      <c r="AC268" s="729"/>
      <c r="AD268" s="729"/>
      <c r="AE268" s="729"/>
      <c r="AF268" s="729"/>
      <c r="AG268" s="729"/>
      <c r="AH268" s="729"/>
      <c r="AI268" s="729"/>
      <c r="AJ268" s="729"/>
      <c r="AK268" s="729"/>
      <c r="AL268" s="729"/>
      <c r="AM268" s="729"/>
      <c r="AN268" s="729"/>
      <c r="AO268" s="729"/>
      <c r="AP268" s="729"/>
      <c r="AQ268" s="729"/>
      <c r="AR268" s="729"/>
      <c r="AS268" s="729"/>
      <c r="AT268" s="729"/>
      <c r="AU268" s="729"/>
      <c r="AV268" s="729"/>
      <c r="AW268" s="729"/>
      <c r="AX268" s="729"/>
      <c r="AY268" s="729"/>
      <c r="AZ268" s="729"/>
      <c r="BA268" s="729"/>
      <c r="BB268" s="729"/>
      <c r="BC268" s="729"/>
      <c r="BD268" s="729"/>
      <c r="BE268" s="729"/>
      <c r="BF268" s="729"/>
      <c r="BG268" s="729"/>
      <c r="BH268" s="729"/>
      <c r="BI268" s="228"/>
      <c r="BJ268" s="729"/>
      <c r="BK268" s="729"/>
      <c r="BL268" s="729"/>
      <c r="BM268" s="729"/>
      <c r="BN268" s="729"/>
      <c r="BO268" s="729"/>
      <c r="BP268" s="729"/>
      <c r="BQ268" s="729"/>
    </row>
    <row r="269" spans="1:69" ht="12.75" customHeight="1">
      <c r="A269" s="1010"/>
      <c r="B269" s="729"/>
      <c r="C269" s="729"/>
      <c r="D269" s="729"/>
      <c r="E269" s="1010"/>
      <c r="F269" s="12"/>
      <c r="G269" s="12"/>
      <c r="H269" s="1011"/>
      <c r="I269" s="1011"/>
      <c r="J269" s="1012"/>
      <c r="K269" s="1011"/>
      <c r="L269" s="1011"/>
      <c r="M269" s="1011"/>
      <c r="N269" s="730"/>
      <c r="O269" s="729"/>
      <c r="P269" s="1014"/>
      <c r="Q269" s="1014"/>
      <c r="R269" s="1014"/>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29"/>
      <c r="AP269" s="729"/>
      <c r="AQ269" s="729"/>
      <c r="AR269" s="729"/>
      <c r="AS269" s="729"/>
      <c r="AT269" s="729"/>
      <c r="AU269" s="729"/>
      <c r="AV269" s="729"/>
      <c r="AW269" s="729"/>
      <c r="AX269" s="729"/>
      <c r="AY269" s="729"/>
      <c r="AZ269" s="729"/>
      <c r="BA269" s="729"/>
      <c r="BB269" s="729"/>
      <c r="BC269" s="729"/>
      <c r="BD269" s="729"/>
      <c r="BE269" s="729"/>
      <c r="BF269" s="729"/>
      <c r="BG269" s="729"/>
      <c r="BH269" s="729"/>
      <c r="BI269" s="228"/>
      <c r="BJ269" s="729"/>
      <c r="BK269" s="729"/>
      <c r="BL269" s="729"/>
      <c r="BM269" s="729"/>
      <c r="BN269" s="729"/>
      <c r="BO269" s="729"/>
      <c r="BP269" s="729"/>
      <c r="BQ269" s="729"/>
    </row>
    <row r="270" spans="1:69" ht="12.75" customHeight="1">
      <c r="A270" s="1010"/>
      <c r="B270" s="729"/>
      <c r="C270" s="729"/>
      <c r="D270" s="729"/>
      <c r="E270" s="1010"/>
      <c r="F270" s="12"/>
      <c r="G270" s="12"/>
      <c r="H270" s="1011"/>
      <c r="I270" s="1011"/>
      <c r="J270" s="1012"/>
      <c r="K270" s="1011"/>
      <c r="L270" s="1011"/>
      <c r="M270" s="1011"/>
      <c r="N270" s="730"/>
      <c r="O270" s="729"/>
      <c r="P270" s="1014"/>
      <c r="Q270" s="1014"/>
      <c r="R270" s="1014"/>
      <c r="S270" s="729"/>
      <c r="T270" s="729"/>
      <c r="U270" s="729"/>
      <c r="V270" s="729"/>
      <c r="W270" s="729"/>
      <c r="X270" s="729"/>
      <c r="Y270" s="729"/>
      <c r="Z270" s="729"/>
      <c r="AA270" s="729"/>
      <c r="AB270" s="729"/>
      <c r="AC270" s="729"/>
      <c r="AD270" s="729"/>
      <c r="AE270" s="729"/>
      <c r="AF270" s="729"/>
      <c r="AG270" s="729"/>
      <c r="AH270" s="729"/>
      <c r="AI270" s="729"/>
      <c r="AJ270" s="729"/>
      <c r="AK270" s="729"/>
      <c r="AL270" s="729"/>
      <c r="AM270" s="729"/>
      <c r="AN270" s="729"/>
      <c r="AO270" s="729"/>
      <c r="AP270" s="729"/>
      <c r="AQ270" s="729"/>
      <c r="AR270" s="729"/>
      <c r="AS270" s="729"/>
      <c r="AT270" s="729"/>
      <c r="AU270" s="729"/>
      <c r="AV270" s="729"/>
      <c r="AW270" s="729"/>
      <c r="AX270" s="729"/>
      <c r="AY270" s="729"/>
      <c r="AZ270" s="729"/>
      <c r="BA270" s="729"/>
      <c r="BB270" s="729"/>
      <c r="BC270" s="729"/>
      <c r="BD270" s="729"/>
      <c r="BE270" s="729"/>
      <c r="BF270" s="729"/>
      <c r="BG270" s="729"/>
      <c r="BH270" s="729"/>
      <c r="BI270" s="228"/>
      <c r="BJ270" s="729"/>
      <c r="BK270" s="729"/>
      <c r="BL270" s="729"/>
      <c r="BM270" s="729"/>
      <c r="BN270" s="729"/>
      <c r="BO270" s="729"/>
      <c r="BP270" s="729"/>
      <c r="BQ270" s="729"/>
    </row>
    <row r="271" spans="1:69" ht="12.75" customHeight="1">
      <c r="A271" s="1010"/>
      <c r="B271" s="729"/>
      <c r="C271" s="729"/>
      <c r="D271" s="729"/>
      <c r="E271" s="1010"/>
      <c r="F271" s="12"/>
      <c r="G271" s="12"/>
      <c r="H271" s="1011"/>
      <c r="I271" s="1011"/>
      <c r="J271" s="1012"/>
      <c r="K271" s="1011"/>
      <c r="L271" s="1011"/>
      <c r="M271" s="1011"/>
      <c r="N271" s="730"/>
      <c r="O271" s="729"/>
      <c r="P271" s="1014"/>
      <c r="Q271" s="1014"/>
      <c r="R271" s="1014"/>
      <c r="S271" s="729"/>
      <c r="T271" s="729"/>
      <c r="U271" s="729"/>
      <c r="V271" s="729"/>
      <c r="W271" s="729"/>
      <c r="X271" s="729"/>
      <c r="Y271" s="729"/>
      <c r="Z271" s="729"/>
      <c r="AA271" s="729"/>
      <c r="AB271" s="729"/>
      <c r="AC271" s="729"/>
      <c r="AD271" s="729"/>
      <c r="AE271" s="729"/>
      <c r="AF271" s="729"/>
      <c r="AG271" s="729"/>
      <c r="AH271" s="729"/>
      <c r="AI271" s="729"/>
      <c r="AJ271" s="729"/>
      <c r="AK271" s="729"/>
      <c r="AL271" s="729"/>
      <c r="AM271" s="729"/>
      <c r="AN271" s="729"/>
      <c r="AO271" s="729"/>
      <c r="AP271" s="729"/>
      <c r="AQ271" s="729"/>
      <c r="AR271" s="729"/>
      <c r="AS271" s="729"/>
      <c r="AT271" s="729"/>
      <c r="AU271" s="729"/>
      <c r="AV271" s="729"/>
      <c r="AW271" s="729"/>
      <c r="AX271" s="729"/>
      <c r="AY271" s="729"/>
      <c r="AZ271" s="729"/>
      <c r="BA271" s="729"/>
      <c r="BB271" s="729"/>
      <c r="BC271" s="729"/>
      <c r="BD271" s="729"/>
      <c r="BE271" s="729"/>
      <c r="BF271" s="729"/>
      <c r="BG271" s="729"/>
      <c r="BH271" s="729"/>
      <c r="BI271" s="228"/>
      <c r="BJ271" s="729"/>
      <c r="BK271" s="729"/>
      <c r="BL271" s="729"/>
      <c r="BM271" s="729"/>
      <c r="BN271" s="729"/>
      <c r="BO271" s="729"/>
      <c r="BP271" s="729"/>
      <c r="BQ271" s="729"/>
    </row>
    <row r="272" spans="1:69" ht="12.75" customHeight="1">
      <c r="A272" s="1010"/>
      <c r="B272" s="729"/>
      <c r="C272" s="729"/>
      <c r="D272" s="729"/>
      <c r="E272" s="1010"/>
      <c r="F272" s="12"/>
      <c r="G272" s="12"/>
      <c r="H272" s="1011"/>
      <c r="I272" s="1011"/>
      <c r="J272" s="1012"/>
      <c r="K272" s="1011"/>
      <c r="L272" s="1011"/>
      <c r="M272" s="1011"/>
      <c r="N272" s="730"/>
      <c r="O272" s="729"/>
      <c r="P272" s="1014"/>
      <c r="Q272" s="1014"/>
      <c r="R272" s="1014"/>
      <c r="S272" s="729"/>
      <c r="T272" s="729"/>
      <c r="U272" s="729"/>
      <c r="V272" s="729"/>
      <c r="W272" s="729"/>
      <c r="X272" s="729"/>
      <c r="Y272" s="729"/>
      <c r="Z272" s="729"/>
      <c r="AA272" s="729"/>
      <c r="AB272" s="729"/>
      <c r="AC272" s="729"/>
      <c r="AD272" s="729"/>
      <c r="AE272" s="729"/>
      <c r="AF272" s="729"/>
      <c r="AG272" s="729"/>
      <c r="AH272" s="729"/>
      <c r="AI272" s="729"/>
      <c r="AJ272" s="729"/>
      <c r="AK272" s="729"/>
      <c r="AL272" s="729"/>
      <c r="AM272" s="729"/>
      <c r="AN272" s="729"/>
      <c r="AO272" s="729"/>
      <c r="AP272" s="729"/>
      <c r="AQ272" s="729"/>
      <c r="AR272" s="729"/>
      <c r="AS272" s="729"/>
      <c r="AT272" s="729"/>
      <c r="AU272" s="729"/>
      <c r="AV272" s="729"/>
      <c r="AW272" s="729"/>
      <c r="AX272" s="729"/>
      <c r="AY272" s="729"/>
      <c r="AZ272" s="729"/>
      <c r="BA272" s="729"/>
      <c r="BB272" s="729"/>
      <c r="BC272" s="729"/>
      <c r="BD272" s="729"/>
      <c r="BE272" s="729"/>
      <c r="BF272" s="729"/>
      <c r="BG272" s="729"/>
      <c r="BH272" s="729"/>
      <c r="BI272" s="228"/>
      <c r="BJ272" s="729"/>
      <c r="BK272" s="729"/>
      <c r="BL272" s="729"/>
      <c r="BM272" s="729"/>
      <c r="BN272" s="729"/>
      <c r="BO272" s="729"/>
      <c r="BP272" s="729"/>
      <c r="BQ272" s="729"/>
    </row>
    <row r="273" spans="1:69" ht="12.75" customHeight="1">
      <c r="A273" s="1010"/>
      <c r="B273" s="729"/>
      <c r="C273" s="729"/>
      <c r="D273" s="729"/>
      <c r="E273" s="1010"/>
      <c r="F273" s="12"/>
      <c r="G273" s="12"/>
      <c r="H273" s="1011"/>
      <c r="I273" s="1011"/>
      <c r="J273" s="1012"/>
      <c r="K273" s="1011"/>
      <c r="L273" s="1011"/>
      <c r="M273" s="1011"/>
      <c r="N273" s="730"/>
      <c r="O273" s="729"/>
      <c r="P273" s="1014"/>
      <c r="Q273" s="1014"/>
      <c r="R273" s="1014"/>
      <c r="S273" s="729"/>
      <c r="T273" s="729"/>
      <c r="U273" s="729"/>
      <c r="V273" s="729"/>
      <c r="W273" s="729"/>
      <c r="X273" s="729"/>
      <c r="Y273" s="729"/>
      <c r="Z273" s="729"/>
      <c r="AA273" s="729"/>
      <c r="AB273" s="729"/>
      <c r="AC273" s="729"/>
      <c r="AD273" s="729"/>
      <c r="AE273" s="729"/>
      <c r="AF273" s="729"/>
      <c r="AG273" s="729"/>
      <c r="AH273" s="729"/>
      <c r="AI273" s="729"/>
      <c r="AJ273" s="729"/>
      <c r="AK273" s="729"/>
      <c r="AL273" s="729"/>
      <c r="AM273" s="729"/>
      <c r="AN273" s="729"/>
      <c r="AO273" s="729"/>
      <c r="AP273" s="729"/>
      <c r="AQ273" s="729"/>
      <c r="AR273" s="729"/>
      <c r="AS273" s="729"/>
      <c r="AT273" s="729"/>
      <c r="AU273" s="729"/>
      <c r="AV273" s="729"/>
      <c r="AW273" s="729"/>
      <c r="AX273" s="729"/>
      <c r="AY273" s="729"/>
      <c r="AZ273" s="729"/>
      <c r="BA273" s="729"/>
      <c r="BB273" s="729"/>
      <c r="BC273" s="729"/>
      <c r="BD273" s="729"/>
      <c r="BE273" s="729"/>
      <c r="BF273" s="729"/>
      <c r="BG273" s="729"/>
      <c r="BH273" s="729"/>
      <c r="BI273" s="228"/>
      <c r="BJ273" s="729"/>
      <c r="BK273" s="729"/>
      <c r="BL273" s="729"/>
      <c r="BM273" s="729"/>
      <c r="BN273" s="729"/>
      <c r="BO273" s="729"/>
      <c r="BP273" s="729"/>
      <c r="BQ273" s="729"/>
    </row>
    <row r="274" spans="1:69" ht="12.75" customHeight="1">
      <c r="A274" s="1010"/>
      <c r="B274" s="729"/>
      <c r="C274" s="729"/>
      <c r="D274" s="729"/>
      <c r="E274" s="1010"/>
      <c r="F274" s="12"/>
      <c r="G274" s="12"/>
      <c r="H274" s="1011"/>
      <c r="I274" s="1011"/>
      <c r="J274" s="1012"/>
      <c r="K274" s="1011"/>
      <c r="L274" s="1011"/>
      <c r="M274" s="1011"/>
      <c r="N274" s="730"/>
      <c r="O274" s="729"/>
      <c r="P274" s="1014"/>
      <c r="Q274" s="1014"/>
      <c r="R274" s="1014"/>
      <c r="S274" s="729"/>
      <c r="T274" s="729"/>
      <c r="U274" s="729"/>
      <c r="V274" s="729"/>
      <c r="W274" s="729"/>
      <c r="X274" s="729"/>
      <c r="Y274" s="729"/>
      <c r="Z274" s="729"/>
      <c r="AA274" s="729"/>
      <c r="AB274" s="729"/>
      <c r="AC274" s="729"/>
      <c r="AD274" s="729"/>
      <c r="AE274" s="729"/>
      <c r="AF274" s="729"/>
      <c r="AG274" s="729"/>
      <c r="AH274" s="729"/>
      <c r="AI274" s="729"/>
      <c r="AJ274" s="729"/>
      <c r="AK274" s="729"/>
      <c r="AL274" s="729"/>
      <c r="AM274" s="729"/>
      <c r="AN274" s="729"/>
      <c r="AO274" s="729"/>
      <c r="AP274" s="729"/>
      <c r="AQ274" s="729"/>
      <c r="AR274" s="729"/>
      <c r="AS274" s="729"/>
      <c r="AT274" s="729"/>
      <c r="AU274" s="729"/>
      <c r="AV274" s="729"/>
      <c r="AW274" s="729"/>
      <c r="AX274" s="729"/>
      <c r="AY274" s="729"/>
      <c r="AZ274" s="729"/>
      <c r="BA274" s="729"/>
      <c r="BB274" s="729"/>
      <c r="BC274" s="729"/>
      <c r="BD274" s="729"/>
      <c r="BE274" s="729"/>
      <c r="BF274" s="729"/>
      <c r="BG274" s="729"/>
      <c r="BH274" s="729"/>
      <c r="BI274" s="228"/>
      <c r="BJ274" s="729"/>
      <c r="BK274" s="729"/>
      <c r="BL274" s="729"/>
      <c r="BM274" s="729"/>
      <c r="BN274" s="729"/>
      <c r="BO274" s="729"/>
      <c r="BP274" s="729"/>
      <c r="BQ274" s="729"/>
    </row>
    <row r="275" spans="1:69" ht="12.75" customHeight="1">
      <c r="A275" s="1010"/>
      <c r="B275" s="729"/>
      <c r="C275" s="729"/>
      <c r="D275" s="729"/>
      <c r="E275" s="1010"/>
      <c r="F275" s="12"/>
      <c r="G275" s="12"/>
      <c r="H275" s="1011"/>
      <c r="I275" s="1011"/>
      <c r="J275" s="1012"/>
      <c r="K275" s="1011"/>
      <c r="L275" s="1011"/>
      <c r="M275" s="1011"/>
      <c r="N275" s="730"/>
      <c r="O275" s="729"/>
      <c r="P275" s="1014"/>
      <c r="Q275" s="1014"/>
      <c r="R275" s="1014"/>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29"/>
      <c r="BF275" s="729"/>
      <c r="BG275" s="729"/>
      <c r="BH275" s="729"/>
      <c r="BI275" s="228"/>
      <c r="BJ275" s="729"/>
      <c r="BK275" s="729"/>
      <c r="BL275" s="729"/>
      <c r="BM275" s="729"/>
      <c r="BN275" s="729"/>
      <c r="BO275" s="729"/>
      <c r="BP275" s="729"/>
      <c r="BQ275" s="729"/>
    </row>
    <row r="276" spans="1:69" ht="12.75" customHeight="1">
      <c r="A276" s="1010"/>
      <c r="B276" s="729"/>
      <c r="C276" s="729"/>
      <c r="D276" s="729"/>
      <c r="E276" s="1010"/>
      <c r="F276" s="12"/>
      <c r="G276" s="12"/>
      <c r="H276" s="1011"/>
      <c r="I276" s="1011"/>
      <c r="J276" s="1012"/>
      <c r="K276" s="1011"/>
      <c r="L276" s="1011"/>
      <c r="M276" s="1011"/>
      <c r="N276" s="730"/>
      <c r="O276" s="729"/>
      <c r="P276" s="1014"/>
      <c r="Q276" s="1014"/>
      <c r="R276" s="1014"/>
      <c r="S276" s="729"/>
      <c r="T276" s="729"/>
      <c r="U276" s="729"/>
      <c r="V276" s="729"/>
      <c r="W276" s="729"/>
      <c r="X276" s="729"/>
      <c r="Y276" s="729"/>
      <c r="Z276" s="729"/>
      <c r="AA276" s="729"/>
      <c r="AB276" s="729"/>
      <c r="AC276" s="729"/>
      <c r="AD276" s="729"/>
      <c r="AE276" s="729"/>
      <c r="AF276" s="729"/>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29"/>
      <c r="BF276" s="729"/>
      <c r="BG276" s="729"/>
      <c r="BH276" s="729"/>
      <c r="BI276" s="228"/>
      <c r="BJ276" s="729"/>
      <c r="BK276" s="729"/>
      <c r="BL276" s="729"/>
      <c r="BM276" s="729"/>
      <c r="BN276" s="729"/>
      <c r="BO276" s="729"/>
      <c r="BP276" s="729"/>
      <c r="BQ276" s="729"/>
    </row>
    <row r="277" spans="1:69" ht="12.75" customHeight="1">
      <c r="A277" s="1010"/>
      <c r="B277" s="729"/>
      <c r="C277" s="729"/>
      <c r="D277" s="729"/>
      <c r="E277" s="1010"/>
      <c r="F277" s="12"/>
      <c r="G277" s="12"/>
      <c r="H277" s="1011"/>
      <c r="I277" s="1011"/>
      <c r="J277" s="1012"/>
      <c r="K277" s="1011"/>
      <c r="L277" s="1011"/>
      <c r="M277" s="1011"/>
      <c r="N277" s="730"/>
      <c r="O277" s="729"/>
      <c r="P277" s="1014"/>
      <c r="Q277" s="1014"/>
      <c r="R277" s="1014"/>
      <c r="S277" s="729"/>
      <c r="T277" s="729"/>
      <c r="U277" s="729"/>
      <c r="V277" s="729"/>
      <c r="W277" s="729"/>
      <c r="X277" s="729"/>
      <c r="Y277" s="729"/>
      <c r="Z277" s="729"/>
      <c r="AA277" s="729"/>
      <c r="AB277" s="729"/>
      <c r="AC277" s="729"/>
      <c r="AD277" s="729"/>
      <c r="AE277" s="729"/>
      <c r="AF277" s="729"/>
      <c r="AG277" s="729"/>
      <c r="AH277" s="729"/>
      <c r="AI277" s="729"/>
      <c r="AJ277" s="729"/>
      <c r="AK277" s="729"/>
      <c r="AL277" s="729"/>
      <c r="AM277" s="729"/>
      <c r="AN277" s="729"/>
      <c r="AO277" s="729"/>
      <c r="AP277" s="729"/>
      <c r="AQ277" s="729"/>
      <c r="AR277" s="729"/>
      <c r="AS277" s="729"/>
      <c r="AT277" s="729"/>
      <c r="AU277" s="729"/>
      <c r="AV277" s="729"/>
      <c r="AW277" s="729"/>
      <c r="AX277" s="729"/>
      <c r="AY277" s="729"/>
      <c r="AZ277" s="729"/>
      <c r="BA277" s="729"/>
      <c r="BB277" s="729"/>
      <c r="BC277" s="729"/>
      <c r="BD277" s="729"/>
      <c r="BE277" s="729"/>
      <c r="BF277" s="729"/>
      <c r="BG277" s="729"/>
      <c r="BH277" s="729"/>
      <c r="BI277" s="228"/>
      <c r="BJ277" s="729"/>
      <c r="BK277" s="729"/>
      <c r="BL277" s="729"/>
      <c r="BM277" s="729"/>
      <c r="BN277" s="729"/>
      <c r="BO277" s="729"/>
      <c r="BP277" s="729"/>
      <c r="BQ277" s="729"/>
    </row>
    <row r="278" spans="1:69" ht="12.75" customHeight="1">
      <c r="A278" s="1010"/>
      <c r="B278" s="729"/>
      <c r="C278" s="729"/>
      <c r="D278" s="729"/>
      <c r="E278" s="1010"/>
      <c r="F278" s="12"/>
      <c r="G278" s="12"/>
      <c r="H278" s="1011"/>
      <c r="I278" s="1011"/>
      <c r="J278" s="1012"/>
      <c r="K278" s="1011"/>
      <c r="L278" s="1011"/>
      <c r="M278" s="1011"/>
      <c r="N278" s="730"/>
      <c r="O278" s="729"/>
      <c r="P278" s="1014"/>
      <c r="Q278" s="1014"/>
      <c r="R278" s="1014"/>
      <c r="S278" s="729"/>
      <c r="T278" s="729"/>
      <c r="U278" s="729"/>
      <c r="V278" s="729"/>
      <c r="W278" s="729"/>
      <c r="X278" s="729"/>
      <c r="Y278" s="729"/>
      <c r="Z278" s="729"/>
      <c r="AA278" s="729"/>
      <c r="AB278" s="729"/>
      <c r="AC278" s="729"/>
      <c r="AD278" s="729"/>
      <c r="AE278" s="729"/>
      <c r="AF278" s="729"/>
      <c r="AG278" s="729"/>
      <c r="AH278" s="729"/>
      <c r="AI278" s="729"/>
      <c r="AJ278" s="729"/>
      <c r="AK278" s="729"/>
      <c r="AL278" s="729"/>
      <c r="AM278" s="729"/>
      <c r="AN278" s="729"/>
      <c r="AO278" s="729"/>
      <c r="AP278" s="729"/>
      <c r="AQ278" s="729"/>
      <c r="AR278" s="729"/>
      <c r="AS278" s="729"/>
      <c r="AT278" s="729"/>
      <c r="AU278" s="729"/>
      <c r="AV278" s="729"/>
      <c r="AW278" s="729"/>
      <c r="AX278" s="729"/>
      <c r="AY278" s="729"/>
      <c r="AZ278" s="729"/>
      <c r="BA278" s="729"/>
      <c r="BB278" s="729"/>
      <c r="BC278" s="729"/>
      <c r="BD278" s="729"/>
      <c r="BE278" s="729"/>
      <c r="BF278" s="729"/>
      <c r="BG278" s="729"/>
      <c r="BH278" s="729"/>
      <c r="BI278" s="228"/>
      <c r="BJ278" s="729"/>
      <c r="BK278" s="729"/>
      <c r="BL278" s="729"/>
      <c r="BM278" s="729"/>
      <c r="BN278" s="729"/>
      <c r="BO278" s="729"/>
      <c r="BP278" s="729"/>
      <c r="BQ278" s="729"/>
    </row>
    <row r="279" spans="1:69" ht="12.75" customHeight="1">
      <c r="A279" s="1010"/>
      <c r="B279" s="729"/>
      <c r="C279" s="729"/>
      <c r="D279" s="729"/>
      <c r="E279" s="1010"/>
      <c r="F279" s="12"/>
      <c r="G279" s="12"/>
      <c r="H279" s="1011"/>
      <c r="I279" s="1011"/>
      <c r="J279" s="1012"/>
      <c r="K279" s="1011"/>
      <c r="L279" s="1011"/>
      <c r="M279" s="1011"/>
      <c r="N279" s="730"/>
      <c r="O279" s="729"/>
      <c r="P279" s="1014"/>
      <c r="Q279" s="1014"/>
      <c r="R279" s="1014"/>
      <c r="S279" s="729"/>
      <c r="T279" s="729"/>
      <c r="U279" s="729"/>
      <c r="V279" s="729"/>
      <c r="W279" s="729"/>
      <c r="X279" s="729"/>
      <c r="Y279" s="729"/>
      <c r="Z279" s="729"/>
      <c r="AA279" s="729"/>
      <c r="AB279" s="729"/>
      <c r="AC279" s="729"/>
      <c r="AD279" s="729"/>
      <c r="AE279" s="729"/>
      <c r="AF279" s="729"/>
      <c r="AG279" s="729"/>
      <c r="AH279" s="729"/>
      <c r="AI279" s="729"/>
      <c r="AJ279" s="729"/>
      <c r="AK279" s="729"/>
      <c r="AL279" s="729"/>
      <c r="AM279" s="729"/>
      <c r="AN279" s="729"/>
      <c r="AO279" s="729"/>
      <c r="AP279" s="729"/>
      <c r="AQ279" s="729"/>
      <c r="AR279" s="729"/>
      <c r="AS279" s="729"/>
      <c r="AT279" s="729"/>
      <c r="AU279" s="729"/>
      <c r="AV279" s="729"/>
      <c r="AW279" s="729"/>
      <c r="AX279" s="729"/>
      <c r="AY279" s="729"/>
      <c r="AZ279" s="729"/>
      <c r="BA279" s="729"/>
      <c r="BB279" s="729"/>
      <c r="BC279" s="729"/>
      <c r="BD279" s="729"/>
      <c r="BE279" s="729"/>
      <c r="BF279" s="729"/>
      <c r="BG279" s="729"/>
      <c r="BH279" s="729"/>
      <c r="BI279" s="228"/>
      <c r="BJ279" s="729"/>
      <c r="BK279" s="729"/>
      <c r="BL279" s="729"/>
      <c r="BM279" s="729"/>
      <c r="BN279" s="729"/>
      <c r="BO279" s="729"/>
      <c r="BP279" s="729"/>
      <c r="BQ279" s="729"/>
    </row>
    <row r="280" spans="1:69" ht="12.75" customHeight="1">
      <c r="A280" s="1010"/>
      <c r="B280" s="729"/>
      <c r="C280" s="729"/>
      <c r="D280" s="729"/>
      <c r="E280" s="1010"/>
      <c r="F280" s="12"/>
      <c r="G280" s="12"/>
      <c r="H280" s="1011"/>
      <c r="I280" s="1011"/>
      <c r="J280" s="1012"/>
      <c r="K280" s="1011"/>
      <c r="L280" s="1011"/>
      <c r="M280" s="1011"/>
      <c r="N280" s="730"/>
      <c r="O280" s="729"/>
      <c r="P280" s="1014"/>
      <c r="Q280" s="1014"/>
      <c r="R280" s="1014"/>
      <c r="S280" s="729"/>
      <c r="T280" s="729"/>
      <c r="U280" s="729"/>
      <c r="V280" s="729"/>
      <c r="W280" s="729"/>
      <c r="X280" s="729"/>
      <c r="Y280" s="729"/>
      <c r="Z280" s="729"/>
      <c r="AA280" s="729"/>
      <c r="AB280" s="729"/>
      <c r="AC280" s="729"/>
      <c r="AD280" s="729"/>
      <c r="AE280" s="729"/>
      <c r="AF280" s="729"/>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29"/>
      <c r="BF280" s="729"/>
      <c r="BG280" s="729"/>
      <c r="BH280" s="729"/>
      <c r="BI280" s="228"/>
      <c r="BJ280" s="729"/>
      <c r="BK280" s="729"/>
      <c r="BL280" s="729"/>
      <c r="BM280" s="729"/>
      <c r="BN280" s="729"/>
      <c r="BO280" s="729"/>
      <c r="BP280" s="729"/>
      <c r="BQ280" s="729"/>
    </row>
    <row r="281" spans="1:69" ht="12.75" customHeight="1">
      <c r="A281" s="1010"/>
      <c r="B281" s="729"/>
      <c r="C281" s="729"/>
      <c r="D281" s="729"/>
      <c r="E281" s="1010"/>
      <c r="F281" s="12"/>
      <c r="G281" s="12"/>
      <c r="H281" s="1011"/>
      <c r="I281" s="1011"/>
      <c r="J281" s="1012"/>
      <c r="K281" s="1011"/>
      <c r="L281" s="1011"/>
      <c r="M281" s="1011"/>
      <c r="N281" s="730"/>
      <c r="O281" s="729"/>
      <c r="P281" s="1014"/>
      <c r="Q281" s="1014"/>
      <c r="R281" s="1014"/>
      <c r="S281" s="729"/>
      <c r="T281" s="729"/>
      <c r="U281" s="729"/>
      <c r="V281" s="729"/>
      <c r="W281" s="729"/>
      <c r="X281" s="729"/>
      <c r="Y281" s="729"/>
      <c r="Z281" s="729"/>
      <c r="AA281" s="729"/>
      <c r="AB281" s="729"/>
      <c r="AC281" s="729"/>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228"/>
      <c r="BJ281" s="729"/>
      <c r="BK281" s="729"/>
      <c r="BL281" s="729"/>
      <c r="BM281" s="729"/>
      <c r="BN281" s="729"/>
      <c r="BO281" s="729"/>
      <c r="BP281" s="729"/>
      <c r="BQ281" s="729"/>
    </row>
    <row r="282" spans="1:69" ht="12.75" customHeight="1">
      <c r="A282" s="1010"/>
      <c r="B282" s="729"/>
      <c r="C282" s="729"/>
      <c r="D282" s="729"/>
      <c r="E282" s="1010"/>
      <c r="F282" s="12"/>
      <c r="G282" s="12"/>
      <c r="H282" s="1011"/>
      <c r="I282" s="1011"/>
      <c r="J282" s="1012"/>
      <c r="K282" s="1011"/>
      <c r="L282" s="1011"/>
      <c r="M282" s="1011"/>
      <c r="N282" s="730"/>
      <c r="O282" s="729"/>
      <c r="P282" s="1014"/>
      <c r="Q282" s="1014"/>
      <c r="R282" s="1014"/>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29"/>
      <c r="AP282" s="729"/>
      <c r="AQ282" s="729"/>
      <c r="AR282" s="729"/>
      <c r="AS282" s="729"/>
      <c r="AT282" s="729"/>
      <c r="AU282" s="729"/>
      <c r="AV282" s="729"/>
      <c r="AW282" s="729"/>
      <c r="AX282" s="729"/>
      <c r="AY282" s="729"/>
      <c r="AZ282" s="729"/>
      <c r="BA282" s="729"/>
      <c r="BB282" s="729"/>
      <c r="BC282" s="729"/>
      <c r="BD282" s="729"/>
      <c r="BE282" s="729"/>
      <c r="BF282" s="729"/>
      <c r="BG282" s="729"/>
      <c r="BH282" s="729"/>
      <c r="BI282" s="228"/>
      <c r="BJ282" s="729"/>
      <c r="BK282" s="729"/>
      <c r="BL282" s="729"/>
      <c r="BM282" s="729"/>
      <c r="BN282" s="729"/>
      <c r="BO282" s="729"/>
      <c r="BP282" s="729"/>
      <c r="BQ282" s="729"/>
    </row>
    <row r="283" spans="1:69" ht="12.75" customHeight="1">
      <c r="A283" s="1010"/>
      <c r="B283" s="729"/>
      <c r="C283" s="729"/>
      <c r="D283" s="729"/>
      <c r="E283" s="1010"/>
      <c r="F283" s="12"/>
      <c r="G283" s="12"/>
      <c r="H283" s="1011"/>
      <c r="I283" s="1011"/>
      <c r="J283" s="1012"/>
      <c r="K283" s="1011"/>
      <c r="L283" s="1011"/>
      <c r="M283" s="1011"/>
      <c r="N283" s="730"/>
      <c r="O283" s="729"/>
      <c r="P283" s="1014"/>
      <c r="Q283" s="1014"/>
      <c r="R283" s="1014"/>
      <c r="S283" s="729"/>
      <c r="T283" s="729"/>
      <c r="U283" s="729"/>
      <c r="V283" s="729"/>
      <c r="W283" s="729"/>
      <c r="X283" s="729"/>
      <c r="Y283" s="729"/>
      <c r="Z283" s="729"/>
      <c r="AA283" s="729"/>
      <c r="AB283" s="729"/>
      <c r="AC283" s="729"/>
      <c r="AD283" s="729"/>
      <c r="AE283" s="729"/>
      <c r="AF283" s="729"/>
      <c r="AG283" s="729"/>
      <c r="AH283" s="729"/>
      <c r="AI283" s="729"/>
      <c r="AJ283" s="729"/>
      <c r="AK283" s="729"/>
      <c r="AL283" s="729"/>
      <c r="AM283" s="729"/>
      <c r="AN283" s="729"/>
      <c r="AO283" s="729"/>
      <c r="AP283" s="729"/>
      <c r="AQ283" s="729"/>
      <c r="AR283" s="729"/>
      <c r="AS283" s="729"/>
      <c r="AT283" s="729"/>
      <c r="AU283" s="729"/>
      <c r="AV283" s="729"/>
      <c r="AW283" s="729"/>
      <c r="AX283" s="729"/>
      <c r="AY283" s="729"/>
      <c r="AZ283" s="729"/>
      <c r="BA283" s="729"/>
      <c r="BB283" s="729"/>
      <c r="BC283" s="729"/>
      <c r="BD283" s="729"/>
      <c r="BE283" s="729"/>
      <c r="BF283" s="729"/>
      <c r="BG283" s="729"/>
      <c r="BH283" s="729"/>
      <c r="BI283" s="228"/>
      <c r="BJ283" s="729"/>
      <c r="BK283" s="729"/>
      <c r="BL283" s="729"/>
      <c r="BM283" s="729"/>
      <c r="BN283" s="729"/>
      <c r="BO283" s="729"/>
      <c r="BP283" s="729"/>
      <c r="BQ283" s="729"/>
    </row>
    <row r="284" spans="1:69" ht="12.75" customHeight="1">
      <c r="A284" s="1010"/>
      <c r="B284" s="729"/>
      <c r="C284" s="729"/>
      <c r="D284" s="729"/>
      <c r="E284" s="1010"/>
      <c r="F284" s="12"/>
      <c r="G284" s="12"/>
      <c r="H284" s="1011"/>
      <c r="I284" s="1011"/>
      <c r="J284" s="1012"/>
      <c r="K284" s="1011"/>
      <c r="L284" s="1011"/>
      <c r="M284" s="1011"/>
      <c r="N284" s="730"/>
      <c r="O284" s="729"/>
      <c r="P284" s="1014"/>
      <c r="Q284" s="1014"/>
      <c r="R284" s="1014"/>
      <c r="S284" s="729"/>
      <c r="T284" s="729"/>
      <c r="U284" s="729"/>
      <c r="V284" s="729"/>
      <c r="W284" s="729"/>
      <c r="X284" s="729"/>
      <c r="Y284" s="729"/>
      <c r="Z284" s="729"/>
      <c r="AA284" s="729"/>
      <c r="AB284" s="729"/>
      <c r="AC284" s="729"/>
      <c r="AD284" s="729"/>
      <c r="AE284" s="729"/>
      <c r="AF284" s="729"/>
      <c r="AG284" s="729"/>
      <c r="AH284" s="729"/>
      <c r="AI284" s="729"/>
      <c r="AJ284" s="729"/>
      <c r="AK284" s="729"/>
      <c r="AL284" s="729"/>
      <c r="AM284" s="729"/>
      <c r="AN284" s="729"/>
      <c r="AO284" s="729"/>
      <c r="AP284" s="729"/>
      <c r="AQ284" s="729"/>
      <c r="AR284" s="729"/>
      <c r="AS284" s="729"/>
      <c r="AT284" s="729"/>
      <c r="AU284" s="729"/>
      <c r="AV284" s="729"/>
      <c r="AW284" s="729"/>
      <c r="AX284" s="729"/>
      <c r="AY284" s="729"/>
      <c r="AZ284" s="729"/>
      <c r="BA284" s="729"/>
      <c r="BB284" s="729"/>
      <c r="BC284" s="729"/>
      <c r="BD284" s="729"/>
      <c r="BE284" s="729"/>
      <c r="BF284" s="729"/>
      <c r="BG284" s="729"/>
      <c r="BH284" s="729"/>
      <c r="BI284" s="228"/>
      <c r="BJ284" s="729"/>
      <c r="BK284" s="729"/>
      <c r="BL284" s="729"/>
      <c r="BM284" s="729"/>
      <c r="BN284" s="729"/>
      <c r="BO284" s="729"/>
      <c r="BP284" s="729"/>
      <c r="BQ284" s="729"/>
    </row>
    <row r="285" spans="1:69" ht="12.75" customHeight="1">
      <c r="A285" s="1010"/>
      <c r="B285" s="729"/>
      <c r="C285" s="729"/>
      <c r="D285" s="729"/>
      <c r="E285" s="1010"/>
      <c r="F285" s="12"/>
      <c r="G285" s="12"/>
      <c r="H285" s="1011"/>
      <c r="I285" s="1011"/>
      <c r="J285" s="1012"/>
      <c r="K285" s="1011"/>
      <c r="L285" s="1011"/>
      <c r="M285" s="1011"/>
      <c r="N285" s="730"/>
      <c r="O285" s="729"/>
      <c r="P285" s="1014"/>
      <c r="Q285" s="1014"/>
      <c r="R285" s="1014"/>
      <c r="S285" s="729"/>
      <c r="T285" s="729"/>
      <c r="U285" s="729"/>
      <c r="V285" s="729"/>
      <c r="W285" s="729"/>
      <c r="X285" s="729"/>
      <c r="Y285" s="729"/>
      <c r="Z285" s="729"/>
      <c r="AA285" s="729"/>
      <c r="AB285" s="729"/>
      <c r="AC285" s="729"/>
      <c r="AD285" s="729"/>
      <c r="AE285" s="729"/>
      <c r="AF285" s="729"/>
      <c r="AG285" s="729"/>
      <c r="AH285" s="729"/>
      <c r="AI285" s="729"/>
      <c r="AJ285" s="729"/>
      <c r="AK285" s="729"/>
      <c r="AL285" s="729"/>
      <c r="AM285" s="729"/>
      <c r="AN285" s="729"/>
      <c r="AO285" s="729"/>
      <c r="AP285" s="729"/>
      <c r="AQ285" s="729"/>
      <c r="AR285" s="729"/>
      <c r="AS285" s="729"/>
      <c r="AT285" s="729"/>
      <c r="AU285" s="729"/>
      <c r="AV285" s="729"/>
      <c r="AW285" s="729"/>
      <c r="AX285" s="729"/>
      <c r="AY285" s="729"/>
      <c r="AZ285" s="729"/>
      <c r="BA285" s="729"/>
      <c r="BB285" s="729"/>
      <c r="BC285" s="729"/>
      <c r="BD285" s="729"/>
      <c r="BE285" s="729"/>
      <c r="BF285" s="729"/>
      <c r="BG285" s="729"/>
      <c r="BH285" s="729"/>
      <c r="BI285" s="228"/>
      <c r="BJ285" s="729"/>
      <c r="BK285" s="729"/>
      <c r="BL285" s="729"/>
      <c r="BM285" s="729"/>
      <c r="BN285" s="729"/>
      <c r="BO285" s="729"/>
      <c r="BP285" s="729"/>
      <c r="BQ285" s="729"/>
    </row>
    <row r="286" spans="1:69" ht="12.75" customHeight="1">
      <c r="A286" s="1010"/>
      <c r="B286" s="729"/>
      <c r="C286" s="729"/>
      <c r="D286" s="729"/>
      <c r="E286" s="1010"/>
      <c r="F286" s="12"/>
      <c r="G286" s="12"/>
      <c r="H286" s="1011"/>
      <c r="I286" s="1011"/>
      <c r="J286" s="1012"/>
      <c r="K286" s="1011"/>
      <c r="L286" s="1011"/>
      <c r="M286" s="1011"/>
      <c r="N286" s="730"/>
      <c r="O286" s="729"/>
      <c r="P286" s="1014"/>
      <c r="Q286" s="1014"/>
      <c r="R286" s="1014"/>
      <c r="S286" s="729"/>
      <c r="T286" s="729"/>
      <c r="U286" s="729"/>
      <c r="V286" s="729"/>
      <c r="W286" s="729"/>
      <c r="X286" s="729"/>
      <c r="Y286" s="729"/>
      <c r="Z286" s="729"/>
      <c r="AA286" s="729"/>
      <c r="AB286" s="729"/>
      <c r="AC286" s="729"/>
      <c r="AD286" s="729"/>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228"/>
      <c r="BJ286" s="729"/>
      <c r="BK286" s="729"/>
      <c r="BL286" s="729"/>
      <c r="BM286" s="729"/>
      <c r="BN286" s="729"/>
      <c r="BO286" s="729"/>
      <c r="BP286" s="729"/>
      <c r="BQ286" s="729"/>
    </row>
    <row r="287" spans="1:69" ht="12.75" customHeight="1">
      <c r="A287" s="1010"/>
      <c r="B287" s="729"/>
      <c r="C287" s="729"/>
      <c r="D287" s="729"/>
      <c r="E287" s="1010"/>
      <c r="F287" s="12"/>
      <c r="G287" s="12"/>
      <c r="H287" s="1011"/>
      <c r="I287" s="1011"/>
      <c r="J287" s="1012"/>
      <c r="K287" s="1011"/>
      <c r="L287" s="1011"/>
      <c r="M287" s="1011"/>
      <c r="N287" s="730"/>
      <c r="O287" s="729"/>
      <c r="P287" s="1014"/>
      <c r="Q287" s="1014"/>
      <c r="R287" s="1014"/>
      <c r="S287" s="729"/>
      <c r="T287" s="729"/>
      <c r="U287" s="729"/>
      <c r="V287" s="729"/>
      <c r="W287" s="729"/>
      <c r="X287" s="729"/>
      <c r="Y287" s="729"/>
      <c r="Z287" s="729"/>
      <c r="AA287" s="729"/>
      <c r="AB287" s="729"/>
      <c r="AC287" s="729"/>
      <c r="AD287" s="729"/>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228"/>
      <c r="BJ287" s="729"/>
      <c r="BK287" s="729"/>
      <c r="BL287" s="729"/>
      <c r="BM287" s="729"/>
      <c r="BN287" s="729"/>
      <c r="BO287" s="729"/>
      <c r="BP287" s="729"/>
      <c r="BQ287" s="729"/>
    </row>
    <row r="288" spans="1:69" ht="12.75" customHeight="1">
      <c r="A288" s="1010"/>
      <c r="B288" s="729"/>
      <c r="C288" s="729"/>
      <c r="D288" s="729"/>
      <c r="E288" s="1010"/>
      <c r="F288" s="12"/>
      <c r="G288" s="12"/>
      <c r="H288" s="1011"/>
      <c r="I288" s="1011"/>
      <c r="J288" s="1012"/>
      <c r="K288" s="1011"/>
      <c r="L288" s="1011"/>
      <c r="M288" s="1011"/>
      <c r="N288" s="730"/>
      <c r="O288" s="729"/>
      <c r="P288" s="1014"/>
      <c r="Q288" s="1014"/>
      <c r="R288" s="1014"/>
      <c r="S288" s="729"/>
      <c r="T288" s="729"/>
      <c r="U288" s="729"/>
      <c r="V288" s="729"/>
      <c r="W288" s="729"/>
      <c r="X288" s="729"/>
      <c r="Y288" s="729"/>
      <c r="Z288" s="729"/>
      <c r="AA288" s="729"/>
      <c r="AB288" s="729"/>
      <c r="AC288" s="729"/>
      <c r="AD288" s="729"/>
      <c r="AE288" s="729"/>
      <c r="AF288" s="729"/>
      <c r="AG288" s="729"/>
      <c r="AH288" s="729"/>
      <c r="AI288" s="729"/>
      <c r="AJ288" s="729"/>
      <c r="AK288" s="729"/>
      <c r="AL288" s="729"/>
      <c r="AM288" s="729"/>
      <c r="AN288" s="729"/>
      <c r="AO288" s="729"/>
      <c r="AP288" s="729"/>
      <c r="AQ288" s="729"/>
      <c r="AR288" s="729"/>
      <c r="AS288" s="729"/>
      <c r="AT288" s="729"/>
      <c r="AU288" s="729"/>
      <c r="AV288" s="729"/>
      <c r="AW288" s="729"/>
      <c r="AX288" s="729"/>
      <c r="AY288" s="729"/>
      <c r="AZ288" s="729"/>
      <c r="BA288" s="729"/>
      <c r="BB288" s="729"/>
      <c r="BC288" s="729"/>
      <c r="BD288" s="729"/>
      <c r="BE288" s="729"/>
      <c r="BF288" s="729"/>
      <c r="BG288" s="729"/>
      <c r="BH288" s="729"/>
      <c r="BI288" s="228"/>
      <c r="BJ288" s="729"/>
      <c r="BK288" s="729"/>
      <c r="BL288" s="729"/>
      <c r="BM288" s="729"/>
      <c r="BN288" s="729"/>
      <c r="BO288" s="729"/>
      <c r="BP288" s="729"/>
      <c r="BQ288" s="729"/>
    </row>
    <row r="289" spans="1:69" ht="12.75" customHeight="1">
      <c r="A289" s="1010"/>
      <c r="B289" s="729"/>
      <c r="C289" s="729"/>
      <c r="D289" s="729"/>
      <c r="E289" s="1010"/>
      <c r="F289" s="12"/>
      <c r="G289" s="12"/>
      <c r="H289" s="1011"/>
      <c r="I289" s="1011"/>
      <c r="J289" s="1012"/>
      <c r="K289" s="1011"/>
      <c r="L289" s="1011"/>
      <c r="M289" s="1011"/>
      <c r="N289" s="730"/>
      <c r="O289" s="729"/>
      <c r="P289" s="1014"/>
      <c r="Q289" s="1014"/>
      <c r="R289" s="1014"/>
      <c r="S289" s="729"/>
      <c r="T289" s="729"/>
      <c r="U289" s="729"/>
      <c r="V289" s="729"/>
      <c r="W289" s="729"/>
      <c r="X289" s="729"/>
      <c r="Y289" s="729"/>
      <c r="Z289" s="729"/>
      <c r="AA289" s="729"/>
      <c r="AB289" s="729"/>
      <c r="AC289" s="729"/>
      <c r="AD289" s="729"/>
      <c r="AE289" s="729"/>
      <c r="AF289" s="729"/>
      <c r="AG289" s="729"/>
      <c r="AH289" s="729"/>
      <c r="AI289" s="729"/>
      <c r="AJ289" s="729"/>
      <c r="AK289" s="729"/>
      <c r="AL289" s="729"/>
      <c r="AM289" s="729"/>
      <c r="AN289" s="729"/>
      <c r="AO289" s="729"/>
      <c r="AP289" s="729"/>
      <c r="AQ289" s="729"/>
      <c r="AR289" s="729"/>
      <c r="AS289" s="729"/>
      <c r="AT289" s="729"/>
      <c r="AU289" s="729"/>
      <c r="AV289" s="729"/>
      <c r="AW289" s="729"/>
      <c r="AX289" s="729"/>
      <c r="AY289" s="729"/>
      <c r="AZ289" s="729"/>
      <c r="BA289" s="729"/>
      <c r="BB289" s="729"/>
      <c r="BC289" s="729"/>
      <c r="BD289" s="729"/>
      <c r="BE289" s="729"/>
      <c r="BF289" s="729"/>
      <c r="BG289" s="729"/>
      <c r="BH289" s="729"/>
      <c r="BI289" s="228"/>
      <c r="BJ289" s="729"/>
      <c r="BK289" s="729"/>
      <c r="BL289" s="729"/>
      <c r="BM289" s="729"/>
      <c r="BN289" s="729"/>
      <c r="BO289" s="729"/>
      <c r="BP289" s="729"/>
      <c r="BQ289" s="729"/>
    </row>
    <row r="290" spans="1:69" ht="12.75" customHeight="1">
      <c r="A290" s="1010"/>
      <c r="B290" s="729"/>
      <c r="C290" s="729"/>
      <c r="D290" s="729"/>
      <c r="E290" s="1010"/>
      <c r="F290" s="12"/>
      <c r="G290" s="12"/>
      <c r="H290" s="1011"/>
      <c r="I290" s="1011"/>
      <c r="J290" s="1012"/>
      <c r="K290" s="1011"/>
      <c r="L290" s="1011"/>
      <c r="M290" s="1011"/>
      <c r="N290" s="730"/>
      <c r="O290" s="729"/>
      <c r="P290" s="1014"/>
      <c r="Q290" s="1014"/>
      <c r="R290" s="1014"/>
      <c r="S290" s="729"/>
      <c r="T290" s="729"/>
      <c r="U290" s="729"/>
      <c r="V290" s="729"/>
      <c r="W290" s="729"/>
      <c r="X290" s="729"/>
      <c r="Y290" s="729"/>
      <c r="Z290" s="729"/>
      <c r="AA290" s="729"/>
      <c r="AB290" s="729"/>
      <c r="AC290" s="729"/>
      <c r="AD290" s="729"/>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228"/>
      <c r="BJ290" s="729"/>
      <c r="BK290" s="729"/>
      <c r="BL290" s="729"/>
      <c r="BM290" s="729"/>
      <c r="BN290" s="729"/>
      <c r="BO290" s="729"/>
      <c r="BP290" s="729"/>
      <c r="BQ290" s="729"/>
    </row>
    <row r="291" spans="1:69" ht="12.75" customHeight="1">
      <c r="A291" s="1010"/>
      <c r="B291" s="729"/>
      <c r="C291" s="729"/>
      <c r="D291" s="729"/>
      <c r="E291" s="1010"/>
      <c r="F291" s="12"/>
      <c r="G291" s="12"/>
      <c r="H291" s="1011"/>
      <c r="I291" s="1011"/>
      <c r="J291" s="1012"/>
      <c r="K291" s="1011"/>
      <c r="L291" s="1011"/>
      <c r="M291" s="1011"/>
      <c r="N291" s="730"/>
      <c r="O291" s="729"/>
      <c r="P291" s="1014"/>
      <c r="Q291" s="1014"/>
      <c r="R291" s="1014"/>
      <c r="S291" s="729"/>
      <c r="T291" s="729"/>
      <c r="U291" s="729"/>
      <c r="V291" s="729"/>
      <c r="W291" s="729"/>
      <c r="X291" s="729"/>
      <c r="Y291" s="729"/>
      <c r="Z291" s="729"/>
      <c r="AA291" s="729"/>
      <c r="AB291" s="729"/>
      <c r="AC291" s="729"/>
      <c r="AD291" s="729"/>
      <c r="AE291" s="729"/>
      <c r="AF291" s="729"/>
      <c r="AG291" s="729"/>
      <c r="AH291" s="729"/>
      <c r="AI291" s="729"/>
      <c r="AJ291" s="729"/>
      <c r="AK291" s="729"/>
      <c r="AL291" s="729"/>
      <c r="AM291" s="729"/>
      <c r="AN291" s="729"/>
      <c r="AO291" s="729"/>
      <c r="AP291" s="729"/>
      <c r="AQ291" s="729"/>
      <c r="AR291" s="729"/>
      <c r="AS291" s="729"/>
      <c r="AT291" s="729"/>
      <c r="AU291" s="729"/>
      <c r="AV291" s="729"/>
      <c r="AW291" s="729"/>
      <c r="AX291" s="729"/>
      <c r="AY291" s="729"/>
      <c r="AZ291" s="729"/>
      <c r="BA291" s="729"/>
      <c r="BB291" s="729"/>
      <c r="BC291" s="729"/>
      <c r="BD291" s="729"/>
      <c r="BE291" s="729"/>
      <c r="BF291" s="729"/>
      <c r="BG291" s="729"/>
      <c r="BH291" s="729"/>
      <c r="BI291" s="228"/>
      <c r="BJ291" s="729"/>
      <c r="BK291" s="729"/>
      <c r="BL291" s="729"/>
      <c r="BM291" s="729"/>
      <c r="BN291" s="729"/>
      <c r="BO291" s="729"/>
      <c r="BP291" s="729"/>
      <c r="BQ291" s="729"/>
    </row>
    <row r="292" spans="1:69" ht="12.75" customHeight="1">
      <c r="A292" s="1010"/>
      <c r="B292" s="729"/>
      <c r="C292" s="729"/>
      <c r="D292" s="729"/>
      <c r="E292" s="1010"/>
      <c r="F292" s="12"/>
      <c r="G292" s="12"/>
      <c r="H292" s="1011"/>
      <c r="I292" s="1011"/>
      <c r="J292" s="1012"/>
      <c r="K292" s="1011"/>
      <c r="L292" s="1011"/>
      <c r="M292" s="1011"/>
      <c r="N292" s="730"/>
      <c r="O292" s="729"/>
      <c r="P292" s="1014"/>
      <c r="Q292" s="1014"/>
      <c r="R292" s="1014"/>
      <c r="S292" s="729"/>
      <c r="T292" s="729"/>
      <c r="U292" s="729"/>
      <c r="V292" s="729"/>
      <c r="W292" s="729"/>
      <c r="X292" s="729"/>
      <c r="Y292" s="729"/>
      <c r="Z292" s="729"/>
      <c r="AA292" s="729"/>
      <c r="AB292" s="729"/>
      <c r="AC292" s="729"/>
      <c r="AD292" s="729"/>
      <c r="AE292" s="729"/>
      <c r="AF292" s="729"/>
      <c r="AG292" s="729"/>
      <c r="AH292" s="729"/>
      <c r="AI292" s="729"/>
      <c r="AJ292" s="729"/>
      <c r="AK292" s="729"/>
      <c r="AL292" s="729"/>
      <c r="AM292" s="729"/>
      <c r="AN292" s="729"/>
      <c r="AO292" s="729"/>
      <c r="AP292" s="729"/>
      <c r="AQ292" s="729"/>
      <c r="AR292" s="729"/>
      <c r="AS292" s="729"/>
      <c r="AT292" s="729"/>
      <c r="AU292" s="729"/>
      <c r="AV292" s="729"/>
      <c r="AW292" s="729"/>
      <c r="AX292" s="729"/>
      <c r="AY292" s="729"/>
      <c r="AZ292" s="729"/>
      <c r="BA292" s="729"/>
      <c r="BB292" s="729"/>
      <c r="BC292" s="729"/>
      <c r="BD292" s="729"/>
      <c r="BE292" s="729"/>
      <c r="BF292" s="729"/>
      <c r="BG292" s="729"/>
      <c r="BH292" s="729"/>
      <c r="BI292" s="228"/>
      <c r="BJ292" s="729"/>
      <c r="BK292" s="729"/>
      <c r="BL292" s="729"/>
      <c r="BM292" s="729"/>
      <c r="BN292" s="729"/>
      <c r="BO292" s="729"/>
      <c r="BP292" s="729"/>
      <c r="BQ292" s="729"/>
    </row>
    <row r="293" spans="1:69" ht="12.75" customHeight="1">
      <c r="A293" s="1010"/>
      <c r="B293" s="729"/>
      <c r="C293" s="729"/>
      <c r="D293" s="729"/>
      <c r="E293" s="1010"/>
      <c r="F293" s="12"/>
      <c r="G293" s="12"/>
      <c r="H293" s="1011"/>
      <c r="I293" s="1011"/>
      <c r="J293" s="1012"/>
      <c r="K293" s="1011"/>
      <c r="L293" s="1011"/>
      <c r="M293" s="1011"/>
      <c r="N293" s="730"/>
      <c r="O293" s="729"/>
      <c r="P293" s="1014"/>
      <c r="Q293" s="1014"/>
      <c r="R293" s="1014"/>
      <c r="S293" s="729"/>
      <c r="T293" s="729"/>
      <c r="U293" s="729"/>
      <c r="V293" s="729"/>
      <c r="W293" s="729"/>
      <c r="X293" s="729"/>
      <c r="Y293" s="729"/>
      <c r="Z293" s="729"/>
      <c r="AA293" s="729"/>
      <c r="AB293" s="729"/>
      <c r="AC293" s="729"/>
      <c r="AD293" s="729"/>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228"/>
      <c r="BJ293" s="729"/>
      <c r="BK293" s="729"/>
      <c r="BL293" s="729"/>
      <c r="BM293" s="729"/>
      <c r="BN293" s="729"/>
      <c r="BO293" s="729"/>
      <c r="BP293" s="729"/>
      <c r="BQ293" s="729"/>
    </row>
    <row r="294" spans="1:69" ht="12.75" customHeight="1">
      <c r="A294" s="1010"/>
      <c r="B294" s="729"/>
      <c r="C294" s="729"/>
      <c r="D294" s="729"/>
      <c r="E294" s="1010"/>
      <c r="F294" s="12"/>
      <c r="G294" s="12"/>
      <c r="H294" s="1011"/>
      <c r="I294" s="1011"/>
      <c r="J294" s="1012"/>
      <c r="K294" s="1011"/>
      <c r="L294" s="1011"/>
      <c r="M294" s="1011"/>
      <c r="N294" s="730"/>
      <c r="O294" s="729"/>
      <c r="P294" s="1014"/>
      <c r="Q294" s="1014"/>
      <c r="R294" s="1014"/>
      <c r="S294" s="729"/>
      <c r="T294" s="729"/>
      <c r="U294" s="729"/>
      <c r="V294" s="729"/>
      <c r="W294" s="729"/>
      <c r="X294" s="729"/>
      <c r="Y294" s="729"/>
      <c r="Z294" s="729"/>
      <c r="AA294" s="729"/>
      <c r="AB294" s="729"/>
      <c r="AC294" s="729"/>
      <c r="AD294" s="729"/>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228"/>
      <c r="BJ294" s="729"/>
      <c r="BK294" s="729"/>
      <c r="BL294" s="729"/>
      <c r="BM294" s="729"/>
      <c r="BN294" s="729"/>
      <c r="BO294" s="729"/>
      <c r="BP294" s="729"/>
      <c r="BQ294" s="729"/>
    </row>
    <row r="295" spans="1:69" ht="12.75" customHeight="1">
      <c r="A295" s="1010"/>
      <c r="B295" s="729"/>
      <c r="C295" s="729"/>
      <c r="D295" s="729"/>
      <c r="E295" s="1010"/>
      <c r="F295" s="12"/>
      <c r="G295" s="12"/>
      <c r="H295" s="1011"/>
      <c r="I295" s="1011"/>
      <c r="J295" s="1012"/>
      <c r="K295" s="1011"/>
      <c r="L295" s="1011"/>
      <c r="M295" s="1011"/>
      <c r="N295" s="730"/>
      <c r="O295" s="729"/>
      <c r="P295" s="1014"/>
      <c r="Q295" s="1014"/>
      <c r="R295" s="1014"/>
      <c r="S295" s="729"/>
      <c r="T295" s="729"/>
      <c r="U295" s="729"/>
      <c r="V295" s="729"/>
      <c r="W295" s="729"/>
      <c r="X295" s="729"/>
      <c r="Y295" s="729"/>
      <c r="Z295" s="729"/>
      <c r="AA295" s="729"/>
      <c r="AB295" s="729"/>
      <c r="AC295" s="729"/>
      <c r="AD295" s="729"/>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228"/>
      <c r="BJ295" s="729"/>
      <c r="BK295" s="729"/>
      <c r="BL295" s="729"/>
      <c r="BM295" s="729"/>
      <c r="BN295" s="729"/>
      <c r="BO295" s="729"/>
      <c r="BP295" s="729"/>
      <c r="BQ295" s="729"/>
    </row>
    <row r="296" spans="1:69" ht="12.75" customHeight="1">
      <c r="A296" s="1010"/>
      <c r="B296" s="729"/>
      <c r="C296" s="729"/>
      <c r="D296" s="729"/>
      <c r="E296" s="1010"/>
      <c r="F296" s="12"/>
      <c r="G296" s="12"/>
      <c r="H296" s="1011"/>
      <c r="I296" s="1011"/>
      <c r="J296" s="1012"/>
      <c r="K296" s="1011"/>
      <c r="L296" s="1011"/>
      <c r="M296" s="1011"/>
      <c r="N296" s="730"/>
      <c r="O296" s="729"/>
      <c r="P296" s="1014"/>
      <c r="Q296" s="1014"/>
      <c r="R296" s="1014"/>
      <c r="S296" s="729"/>
      <c r="T296" s="729"/>
      <c r="U296" s="729"/>
      <c r="V296" s="729"/>
      <c r="W296" s="729"/>
      <c r="X296" s="729"/>
      <c r="Y296" s="729"/>
      <c r="Z296" s="729"/>
      <c r="AA296" s="729"/>
      <c r="AB296" s="729"/>
      <c r="AC296" s="729"/>
      <c r="AD296" s="729"/>
      <c r="AE296" s="729"/>
      <c r="AF296" s="729"/>
      <c r="AG296" s="729"/>
      <c r="AH296" s="729"/>
      <c r="AI296" s="729"/>
      <c r="AJ296" s="729"/>
      <c r="AK296" s="729"/>
      <c r="AL296" s="729"/>
      <c r="AM296" s="729"/>
      <c r="AN296" s="729"/>
      <c r="AO296" s="729"/>
      <c r="AP296" s="729"/>
      <c r="AQ296" s="729"/>
      <c r="AR296" s="729"/>
      <c r="AS296" s="729"/>
      <c r="AT296" s="729"/>
      <c r="AU296" s="729"/>
      <c r="AV296" s="729"/>
      <c r="AW296" s="729"/>
      <c r="AX296" s="729"/>
      <c r="AY296" s="729"/>
      <c r="AZ296" s="729"/>
      <c r="BA296" s="729"/>
      <c r="BB296" s="729"/>
      <c r="BC296" s="729"/>
      <c r="BD296" s="729"/>
      <c r="BE296" s="729"/>
      <c r="BF296" s="729"/>
      <c r="BG296" s="729"/>
      <c r="BH296" s="729"/>
      <c r="BI296" s="228"/>
      <c r="BJ296" s="729"/>
      <c r="BK296" s="729"/>
      <c r="BL296" s="729"/>
      <c r="BM296" s="729"/>
      <c r="BN296" s="729"/>
      <c r="BO296" s="729"/>
      <c r="BP296" s="729"/>
      <c r="BQ296" s="729"/>
    </row>
    <row r="297" spans="1:69" ht="12.75" customHeight="1">
      <c r="A297" s="1010"/>
      <c r="B297" s="729"/>
      <c r="C297" s="729"/>
      <c r="D297" s="729"/>
      <c r="E297" s="1010"/>
      <c r="F297" s="12"/>
      <c r="G297" s="12"/>
      <c r="H297" s="1011"/>
      <c r="I297" s="1011"/>
      <c r="J297" s="1012"/>
      <c r="K297" s="1011"/>
      <c r="L297" s="1011"/>
      <c r="M297" s="1011"/>
      <c r="N297" s="730"/>
      <c r="O297" s="729"/>
      <c r="P297" s="1014"/>
      <c r="Q297" s="1014"/>
      <c r="R297" s="1014"/>
      <c r="S297" s="729"/>
      <c r="T297" s="729"/>
      <c r="U297" s="729"/>
      <c r="V297" s="729"/>
      <c r="W297" s="729"/>
      <c r="X297" s="729"/>
      <c r="Y297" s="729"/>
      <c r="Z297" s="729"/>
      <c r="AA297" s="729"/>
      <c r="AB297" s="729"/>
      <c r="AC297" s="729"/>
      <c r="AD297" s="729"/>
      <c r="AE297" s="729"/>
      <c r="AF297" s="729"/>
      <c r="AG297" s="729"/>
      <c r="AH297" s="729"/>
      <c r="AI297" s="729"/>
      <c r="AJ297" s="729"/>
      <c r="AK297" s="729"/>
      <c r="AL297" s="729"/>
      <c r="AM297" s="729"/>
      <c r="AN297" s="729"/>
      <c r="AO297" s="729"/>
      <c r="AP297" s="729"/>
      <c r="AQ297" s="729"/>
      <c r="AR297" s="729"/>
      <c r="AS297" s="729"/>
      <c r="AT297" s="729"/>
      <c r="AU297" s="729"/>
      <c r="AV297" s="729"/>
      <c r="AW297" s="729"/>
      <c r="AX297" s="729"/>
      <c r="AY297" s="729"/>
      <c r="AZ297" s="729"/>
      <c r="BA297" s="729"/>
      <c r="BB297" s="729"/>
      <c r="BC297" s="729"/>
      <c r="BD297" s="729"/>
      <c r="BE297" s="729"/>
      <c r="BF297" s="729"/>
      <c r="BG297" s="729"/>
      <c r="BH297" s="729"/>
      <c r="BI297" s="228"/>
      <c r="BJ297" s="729"/>
      <c r="BK297" s="729"/>
      <c r="BL297" s="729"/>
      <c r="BM297" s="729"/>
      <c r="BN297" s="729"/>
      <c r="BO297" s="729"/>
      <c r="BP297" s="729"/>
      <c r="BQ297" s="729"/>
    </row>
    <row r="298" spans="1:69" ht="12.75" customHeight="1">
      <c r="A298" s="1010"/>
      <c r="B298" s="729"/>
      <c r="C298" s="729"/>
      <c r="D298" s="729"/>
      <c r="E298" s="1010"/>
      <c r="F298" s="12"/>
      <c r="G298" s="12"/>
      <c r="H298" s="1011"/>
      <c r="I298" s="1011"/>
      <c r="J298" s="1012"/>
      <c r="K298" s="1011"/>
      <c r="L298" s="1011"/>
      <c r="M298" s="1011"/>
      <c r="N298" s="730"/>
      <c r="O298" s="729"/>
      <c r="P298" s="1014"/>
      <c r="Q298" s="1014"/>
      <c r="R298" s="1014"/>
      <c r="S298" s="729"/>
      <c r="T298" s="729"/>
      <c r="U298" s="729"/>
      <c r="V298" s="729"/>
      <c r="W298" s="729"/>
      <c r="X298" s="729"/>
      <c r="Y298" s="729"/>
      <c r="Z298" s="729"/>
      <c r="AA298" s="729"/>
      <c r="AB298" s="729"/>
      <c r="AC298" s="729"/>
      <c r="AD298" s="729"/>
      <c r="AE298" s="729"/>
      <c r="AF298" s="729"/>
      <c r="AG298" s="729"/>
      <c r="AH298" s="729"/>
      <c r="AI298" s="729"/>
      <c r="AJ298" s="729"/>
      <c r="AK298" s="729"/>
      <c r="AL298" s="729"/>
      <c r="AM298" s="729"/>
      <c r="AN298" s="729"/>
      <c r="AO298" s="729"/>
      <c r="AP298" s="729"/>
      <c r="AQ298" s="729"/>
      <c r="AR298" s="729"/>
      <c r="AS298" s="729"/>
      <c r="AT298" s="729"/>
      <c r="AU298" s="729"/>
      <c r="AV298" s="729"/>
      <c r="AW298" s="729"/>
      <c r="AX298" s="729"/>
      <c r="AY298" s="729"/>
      <c r="AZ298" s="729"/>
      <c r="BA298" s="729"/>
      <c r="BB298" s="729"/>
      <c r="BC298" s="729"/>
      <c r="BD298" s="729"/>
      <c r="BE298" s="729"/>
      <c r="BF298" s="729"/>
      <c r="BG298" s="729"/>
      <c r="BH298" s="729"/>
      <c r="BI298" s="228"/>
      <c r="BJ298" s="729"/>
      <c r="BK298" s="729"/>
      <c r="BL298" s="729"/>
      <c r="BM298" s="729"/>
      <c r="BN298" s="729"/>
      <c r="BO298" s="729"/>
      <c r="BP298" s="729"/>
      <c r="BQ298" s="729"/>
    </row>
    <row r="299" spans="1:69" ht="12.75" customHeight="1">
      <c r="A299" s="1010"/>
      <c r="B299" s="729"/>
      <c r="C299" s="729"/>
      <c r="D299" s="729"/>
      <c r="E299" s="1010"/>
      <c r="F299" s="12"/>
      <c r="G299" s="12"/>
      <c r="H299" s="1011"/>
      <c r="I299" s="1011"/>
      <c r="J299" s="1012"/>
      <c r="K299" s="1011"/>
      <c r="L299" s="1011"/>
      <c r="M299" s="1011"/>
      <c r="N299" s="730"/>
      <c r="O299" s="729"/>
      <c r="P299" s="1014"/>
      <c r="Q299" s="1014"/>
      <c r="R299" s="1014"/>
      <c r="S299" s="729"/>
      <c r="T299" s="729"/>
      <c r="U299" s="729"/>
      <c r="V299" s="729"/>
      <c r="W299" s="729"/>
      <c r="X299" s="729"/>
      <c r="Y299" s="729"/>
      <c r="Z299" s="729"/>
      <c r="AA299" s="729"/>
      <c r="AB299" s="729"/>
      <c r="AC299" s="729"/>
      <c r="AD299" s="729"/>
      <c r="AE299" s="729"/>
      <c r="AF299" s="729"/>
      <c r="AG299" s="729"/>
      <c r="AH299" s="729"/>
      <c r="AI299" s="729"/>
      <c r="AJ299" s="729"/>
      <c r="AK299" s="729"/>
      <c r="AL299" s="729"/>
      <c r="AM299" s="729"/>
      <c r="AN299" s="729"/>
      <c r="AO299" s="729"/>
      <c r="AP299" s="729"/>
      <c r="AQ299" s="729"/>
      <c r="AR299" s="729"/>
      <c r="AS299" s="729"/>
      <c r="AT299" s="729"/>
      <c r="AU299" s="729"/>
      <c r="AV299" s="729"/>
      <c r="AW299" s="729"/>
      <c r="AX299" s="729"/>
      <c r="AY299" s="729"/>
      <c r="AZ299" s="729"/>
      <c r="BA299" s="729"/>
      <c r="BB299" s="729"/>
      <c r="BC299" s="729"/>
      <c r="BD299" s="729"/>
      <c r="BE299" s="729"/>
      <c r="BF299" s="729"/>
      <c r="BG299" s="729"/>
      <c r="BH299" s="729"/>
      <c r="BI299" s="228"/>
      <c r="BJ299" s="729"/>
      <c r="BK299" s="729"/>
      <c r="BL299" s="729"/>
      <c r="BM299" s="729"/>
      <c r="BN299" s="729"/>
      <c r="BO299" s="729"/>
      <c r="BP299" s="729"/>
      <c r="BQ299" s="729"/>
    </row>
    <row r="300" spans="1:69" ht="12.75" customHeight="1">
      <c r="A300" s="1010"/>
      <c r="B300" s="729"/>
      <c r="C300" s="729"/>
      <c r="D300" s="729"/>
      <c r="E300" s="1010"/>
      <c r="F300" s="12"/>
      <c r="G300" s="12"/>
      <c r="H300" s="1011"/>
      <c r="I300" s="1011"/>
      <c r="J300" s="1012"/>
      <c r="K300" s="1011"/>
      <c r="L300" s="1011"/>
      <c r="M300" s="1011"/>
      <c r="N300" s="730"/>
      <c r="O300" s="729"/>
      <c r="P300" s="1014"/>
      <c r="Q300" s="1014"/>
      <c r="R300" s="1014"/>
      <c r="S300" s="729"/>
      <c r="T300" s="729"/>
      <c r="U300" s="729"/>
      <c r="V300" s="729"/>
      <c r="W300" s="729"/>
      <c r="X300" s="729"/>
      <c r="Y300" s="729"/>
      <c r="Z300" s="729"/>
      <c r="AA300" s="729"/>
      <c r="AB300" s="729"/>
      <c r="AC300" s="729"/>
      <c r="AD300" s="729"/>
      <c r="AE300" s="729"/>
      <c r="AF300" s="729"/>
      <c r="AG300" s="729"/>
      <c r="AH300" s="729"/>
      <c r="AI300" s="729"/>
      <c r="AJ300" s="729"/>
      <c r="AK300" s="729"/>
      <c r="AL300" s="729"/>
      <c r="AM300" s="729"/>
      <c r="AN300" s="729"/>
      <c r="AO300" s="729"/>
      <c r="AP300" s="729"/>
      <c r="AQ300" s="729"/>
      <c r="AR300" s="729"/>
      <c r="AS300" s="729"/>
      <c r="AT300" s="729"/>
      <c r="AU300" s="729"/>
      <c r="AV300" s="729"/>
      <c r="AW300" s="729"/>
      <c r="AX300" s="729"/>
      <c r="AY300" s="729"/>
      <c r="AZ300" s="729"/>
      <c r="BA300" s="729"/>
      <c r="BB300" s="729"/>
      <c r="BC300" s="729"/>
      <c r="BD300" s="729"/>
      <c r="BE300" s="729"/>
      <c r="BF300" s="729"/>
      <c r="BG300" s="729"/>
      <c r="BH300" s="729"/>
      <c r="BI300" s="228"/>
      <c r="BJ300" s="729"/>
      <c r="BK300" s="729"/>
      <c r="BL300" s="729"/>
      <c r="BM300" s="729"/>
      <c r="BN300" s="729"/>
      <c r="BO300" s="729"/>
      <c r="BP300" s="729"/>
      <c r="BQ300" s="729"/>
    </row>
    <row r="301" spans="1:69" ht="12.75" customHeight="1">
      <c r="A301" s="1010"/>
      <c r="B301" s="729"/>
      <c r="C301" s="729"/>
      <c r="D301" s="729"/>
      <c r="E301" s="1010"/>
      <c r="F301" s="12"/>
      <c r="G301" s="12"/>
      <c r="H301" s="1011"/>
      <c r="I301" s="1011"/>
      <c r="J301" s="1012"/>
      <c r="K301" s="1011"/>
      <c r="L301" s="1011"/>
      <c r="M301" s="1011"/>
      <c r="N301" s="730"/>
      <c r="O301" s="729"/>
      <c r="P301" s="1014"/>
      <c r="Q301" s="1014"/>
      <c r="R301" s="1014"/>
      <c r="S301" s="729"/>
      <c r="T301" s="729"/>
      <c r="U301" s="729"/>
      <c r="V301" s="729"/>
      <c r="W301" s="729"/>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228"/>
      <c r="BJ301" s="729"/>
      <c r="BK301" s="729"/>
      <c r="BL301" s="729"/>
      <c r="BM301" s="729"/>
      <c r="BN301" s="729"/>
      <c r="BO301" s="729"/>
      <c r="BP301" s="729"/>
      <c r="BQ301" s="729"/>
    </row>
    <row r="302" spans="1:69" ht="12.75" customHeight="1">
      <c r="A302" s="1010"/>
      <c r="B302" s="729"/>
      <c r="C302" s="729"/>
      <c r="D302" s="729"/>
      <c r="E302" s="1010"/>
      <c r="F302" s="12"/>
      <c r="G302" s="12"/>
      <c r="H302" s="1011"/>
      <c r="I302" s="1011"/>
      <c r="J302" s="1012"/>
      <c r="K302" s="1011"/>
      <c r="L302" s="1011"/>
      <c r="M302" s="1011"/>
      <c r="N302" s="730"/>
      <c r="O302" s="729"/>
      <c r="P302" s="1014"/>
      <c r="Q302" s="1014"/>
      <c r="R302" s="1014"/>
      <c r="S302" s="729"/>
      <c r="T302" s="729"/>
      <c r="U302" s="729"/>
      <c r="V302" s="729"/>
      <c r="W302" s="729"/>
      <c r="X302" s="729"/>
      <c r="Y302" s="729"/>
      <c r="Z302" s="729"/>
      <c r="AA302" s="729"/>
      <c r="AB302" s="729"/>
      <c r="AC302" s="729"/>
      <c r="AD302" s="729"/>
      <c r="AE302" s="729"/>
      <c r="AF302" s="729"/>
      <c r="AG302" s="729"/>
      <c r="AH302" s="729"/>
      <c r="AI302" s="729"/>
      <c r="AJ302" s="729"/>
      <c r="AK302" s="729"/>
      <c r="AL302" s="729"/>
      <c r="AM302" s="729"/>
      <c r="AN302" s="729"/>
      <c r="AO302" s="729"/>
      <c r="AP302" s="729"/>
      <c r="AQ302" s="729"/>
      <c r="AR302" s="729"/>
      <c r="AS302" s="729"/>
      <c r="AT302" s="729"/>
      <c r="AU302" s="729"/>
      <c r="AV302" s="729"/>
      <c r="AW302" s="729"/>
      <c r="AX302" s="729"/>
      <c r="AY302" s="729"/>
      <c r="AZ302" s="729"/>
      <c r="BA302" s="729"/>
      <c r="BB302" s="729"/>
      <c r="BC302" s="729"/>
      <c r="BD302" s="729"/>
      <c r="BE302" s="729"/>
      <c r="BF302" s="729"/>
      <c r="BG302" s="729"/>
      <c r="BH302" s="729"/>
      <c r="BI302" s="228"/>
      <c r="BJ302" s="729"/>
      <c r="BK302" s="729"/>
      <c r="BL302" s="729"/>
      <c r="BM302" s="729"/>
      <c r="BN302" s="729"/>
      <c r="BO302" s="729"/>
      <c r="BP302" s="729"/>
      <c r="BQ302" s="729"/>
    </row>
    <row r="303" spans="1:69" ht="12.75" customHeight="1">
      <c r="A303" s="1010"/>
      <c r="B303" s="729"/>
      <c r="C303" s="729"/>
      <c r="D303" s="729"/>
      <c r="E303" s="1010"/>
      <c r="F303" s="12"/>
      <c r="G303" s="12"/>
      <c r="H303" s="1011"/>
      <c r="I303" s="1011"/>
      <c r="J303" s="1012"/>
      <c r="K303" s="1011"/>
      <c r="L303" s="1011"/>
      <c r="M303" s="1011"/>
      <c r="N303" s="730"/>
      <c r="O303" s="729"/>
      <c r="P303" s="1014"/>
      <c r="Q303" s="1014"/>
      <c r="R303" s="1014"/>
      <c r="S303" s="729"/>
      <c r="T303" s="729"/>
      <c r="U303" s="729"/>
      <c r="V303" s="729"/>
      <c r="W303" s="729"/>
      <c r="X303" s="729"/>
      <c r="Y303" s="729"/>
      <c r="Z303" s="729"/>
      <c r="AA303" s="729"/>
      <c r="AB303" s="729"/>
      <c r="AC303" s="729"/>
      <c r="AD303" s="729"/>
      <c r="AE303" s="729"/>
      <c r="AF303" s="729"/>
      <c r="AG303" s="729"/>
      <c r="AH303" s="729"/>
      <c r="AI303" s="729"/>
      <c r="AJ303" s="729"/>
      <c r="AK303" s="729"/>
      <c r="AL303" s="729"/>
      <c r="AM303" s="729"/>
      <c r="AN303" s="729"/>
      <c r="AO303" s="729"/>
      <c r="AP303" s="729"/>
      <c r="AQ303" s="729"/>
      <c r="AR303" s="729"/>
      <c r="AS303" s="729"/>
      <c r="AT303" s="729"/>
      <c r="AU303" s="729"/>
      <c r="AV303" s="729"/>
      <c r="AW303" s="729"/>
      <c r="AX303" s="729"/>
      <c r="AY303" s="729"/>
      <c r="AZ303" s="729"/>
      <c r="BA303" s="729"/>
      <c r="BB303" s="729"/>
      <c r="BC303" s="729"/>
      <c r="BD303" s="729"/>
      <c r="BE303" s="729"/>
      <c r="BF303" s="729"/>
      <c r="BG303" s="729"/>
      <c r="BH303" s="729"/>
      <c r="BI303" s="228"/>
      <c r="BJ303" s="729"/>
      <c r="BK303" s="729"/>
      <c r="BL303" s="729"/>
      <c r="BM303" s="729"/>
      <c r="BN303" s="729"/>
      <c r="BO303" s="729"/>
      <c r="BP303" s="729"/>
      <c r="BQ303" s="729"/>
    </row>
    <row r="304" spans="1:69" ht="12.75" customHeight="1">
      <c r="A304" s="1010"/>
      <c r="B304" s="729"/>
      <c r="C304" s="729"/>
      <c r="D304" s="729"/>
      <c r="E304" s="1010"/>
      <c r="F304" s="12"/>
      <c r="G304" s="12"/>
      <c r="H304" s="1011"/>
      <c r="I304" s="1011"/>
      <c r="J304" s="1012"/>
      <c r="K304" s="1011"/>
      <c r="L304" s="1011"/>
      <c r="M304" s="1011"/>
      <c r="N304" s="730"/>
      <c r="O304" s="729"/>
      <c r="P304" s="1014"/>
      <c r="Q304" s="1014"/>
      <c r="R304" s="1014"/>
      <c r="S304" s="729"/>
      <c r="T304" s="729"/>
      <c r="U304" s="729"/>
      <c r="V304" s="729"/>
      <c r="W304" s="729"/>
      <c r="X304" s="729"/>
      <c r="Y304" s="729"/>
      <c r="Z304" s="729"/>
      <c r="AA304" s="729"/>
      <c r="AB304" s="729"/>
      <c r="AC304" s="729"/>
      <c r="AD304" s="729"/>
      <c r="AE304" s="729"/>
      <c r="AF304" s="729"/>
      <c r="AG304" s="729"/>
      <c r="AH304" s="729"/>
      <c r="AI304" s="729"/>
      <c r="AJ304" s="729"/>
      <c r="AK304" s="729"/>
      <c r="AL304" s="729"/>
      <c r="AM304" s="729"/>
      <c r="AN304" s="729"/>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228"/>
      <c r="BJ304" s="729"/>
      <c r="BK304" s="729"/>
      <c r="BL304" s="729"/>
      <c r="BM304" s="729"/>
      <c r="BN304" s="729"/>
      <c r="BO304" s="729"/>
      <c r="BP304" s="729"/>
      <c r="BQ304" s="729"/>
    </row>
    <row r="305" spans="1:69" ht="12.75" customHeight="1">
      <c r="A305" s="1010"/>
      <c r="B305" s="729"/>
      <c r="C305" s="729"/>
      <c r="D305" s="729"/>
      <c r="E305" s="1010"/>
      <c r="F305" s="12"/>
      <c r="G305" s="12"/>
      <c r="H305" s="1011"/>
      <c r="I305" s="1011"/>
      <c r="J305" s="1012"/>
      <c r="K305" s="1011"/>
      <c r="L305" s="1011"/>
      <c r="M305" s="1011"/>
      <c r="N305" s="730"/>
      <c r="O305" s="729"/>
      <c r="P305" s="1014"/>
      <c r="Q305" s="1014"/>
      <c r="R305" s="1014"/>
      <c r="S305" s="729"/>
      <c r="T305" s="729"/>
      <c r="U305" s="729"/>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29"/>
      <c r="AW305" s="729"/>
      <c r="AX305" s="729"/>
      <c r="AY305" s="729"/>
      <c r="AZ305" s="729"/>
      <c r="BA305" s="729"/>
      <c r="BB305" s="729"/>
      <c r="BC305" s="729"/>
      <c r="BD305" s="729"/>
      <c r="BE305" s="729"/>
      <c r="BF305" s="729"/>
      <c r="BG305" s="729"/>
      <c r="BH305" s="729"/>
      <c r="BI305" s="228"/>
      <c r="BJ305" s="729"/>
      <c r="BK305" s="729"/>
      <c r="BL305" s="729"/>
      <c r="BM305" s="729"/>
      <c r="BN305" s="729"/>
      <c r="BO305" s="729"/>
      <c r="BP305" s="729"/>
      <c r="BQ305" s="729"/>
    </row>
    <row r="306" spans="1:69" ht="12.75" customHeight="1">
      <c r="A306" s="1010"/>
      <c r="B306" s="729"/>
      <c r="C306" s="729"/>
      <c r="D306" s="729"/>
      <c r="E306" s="1010"/>
      <c r="F306" s="12"/>
      <c r="G306" s="12"/>
      <c r="H306" s="1011"/>
      <c r="I306" s="1011"/>
      <c r="J306" s="1012"/>
      <c r="K306" s="1011"/>
      <c r="L306" s="1011"/>
      <c r="M306" s="1011"/>
      <c r="N306" s="730"/>
      <c r="O306" s="729"/>
      <c r="P306" s="1014"/>
      <c r="Q306" s="1014"/>
      <c r="R306" s="1014"/>
      <c r="S306" s="729"/>
      <c r="T306" s="729"/>
      <c r="U306" s="729"/>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29"/>
      <c r="AW306" s="729"/>
      <c r="AX306" s="729"/>
      <c r="AY306" s="729"/>
      <c r="AZ306" s="729"/>
      <c r="BA306" s="729"/>
      <c r="BB306" s="729"/>
      <c r="BC306" s="729"/>
      <c r="BD306" s="729"/>
      <c r="BE306" s="729"/>
      <c r="BF306" s="729"/>
      <c r="BG306" s="729"/>
      <c r="BH306" s="729"/>
      <c r="BI306" s="228"/>
      <c r="BJ306" s="729"/>
      <c r="BK306" s="729"/>
      <c r="BL306" s="729"/>
      <c r="BM306" s="729"/>
      <c r="BN306" s="729"/>
      <c r="BO306" s="729"/>
      <c r="BP306" s="729"/>
      <c r="BQ306" s="729"/>
    </row>
    <row r="307" spans="1:69" ht="12.75" customHeight="1">
      <c r="A307" s="1010"/>
      <c r="B307" s="729"/>
      <c r="C307" s="729"/>
      <c r="D307" s="729"/>
      <c r="E307" s="1010"/>
      <c r="F307" s="12"/>
      <c r="G307" s="12"/>
      <c r="H307" s="1011"/>
      <c r="I307" s="1011"/>
      <c r="J307" s="1012"/>
      <c r="K307" s="1011"/>
      <c r="L307" s="1011"/>
      <c r="M307" s="1011"/>
      <c r="N307" s="730"/>
      <c r="O307" s="729"/>
      <c r="P307" s="1014"/>
      <c r="Q307" s="1014"/>
      <c r="R307" s="1014"/>
      <c r="S307" s="729"/>
      <c r="T307" s="729"/>
      <c r="U307" s="729"/>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228"/>
      <c r="BJ307" s="729"/>
      <c r="BK307" s="729"/>
      <c r="BL307" s="729"/>
      <c r="BM307" s="729"/>
      <c r="BN307" s="729"/>
      <c r="BO307" s="729"/>
      <c r="BP307" s="729"/>
      <c r="BQ307" s="729"/>
    </row>
    <row r="308" spans="1:69" ht="12.75" customHeight="1">
      <c r="A308" s="1010"/>
      <c r="B308" s="729"/>
      <c r="C308" s="729"/>
      <c r="D308" s="729"/>
      <c r="E308" s="1010"/>
      <c r="F308" s="12"/>
      <c r="G308" s="12"/>
      <c r="H308" s="1011"/>
      <c r="I308" s="1011"/>
      <c r="J308" s="1012"/>
      <c r="K308" s="1011"/>
      <c r="L308" s="1011"/>
      <c r="M308" s="1011"/>
      <c r="N308" s="730"/>
      <c r="O308" s="729"/>
      <c r="P308" s="1014"/>
      <c r="Q308" s="1014"/>
      <c r="R308" s="1014"/>
      <c r="S308" s="729"/>
      <c r="T308" s="729"/>
      <c r="U308" s="729"/>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228"/>
      <c r="BJ308" s="729"/>
      <c r="BK308" s="729"/>
      <c r="BL308" s="729"/>
      <c r="BM308" s="729"/>
      <c r="BN308" s="729"/>
      <c r="BO308" s="729"/>
      <c r="BP308" s="729"/>
      <c r="BQ308" s="729"/>
    </row>
    <row r="309" spans="1:69" ht="12.75" customHeight="1">
      <c r="A309" s="1010"/>
      <c r="B309" s="729"/>
      <c r="C309" s="729"/>
      <c r="D309" s="729"/>
      <c r="E309" s="1010"/>
      <c r="F309" s="12"/>
      <c r="G309" s="12"/>
      <c r="H309" s="1011"/>
      <c r="I309" s="1011"/>
      <c r="J309" s="1012"/>
      <c r="K309" s="1011"/>
      <c r="L309" s="1011"/>
      <c r="M309" s="1011"/>
      <c r="N309" s="730"/>
      <c r="O309" s="729"/>
      <c r="P309" s="1014"/>
      <c r="Q309" s="1014"/>
      <c r="R309" s="1014"/>
      <c r="S309" s="729"/>
      <c r="T309" s="729"/>
      <c r="U309" s="729"/>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228"/>
      <c r="BJ309" s="729"/>
      <c r="BK309" s="729"/>
      <c r="BL309" s="729"/>
      <c r="BM309" s="729"/>
      <c r="BN309" s="729"/>
      <c r="BO309" s="729"/>
      <c r="BP309" s="729"/>
      <c r="BQ309" s="729"/>
    </row>
    <row r="310" spans="1:69" ht="12.75" customHeight="1">
      <c r="A310" s="1010"/>
      <c r="B310" s="729"/>
      <c r="C310" s="729"/>
      <c r="D310" s="729"/>
      <c r="E310" s="1010"/>
      <c r="F310" s="12"/>
      <c r="G310" s="12"/>
      <c r="H310" s="1011"/>
      <c r="I310" s="1011"/>
      <c r="J310" s="1012"/>
      <c r="K310" s="1011"/>
      <c r="L310" s="1011"/>
      <c r="M310" s="1011"/>
      <c r="N310" s="730"/>
      <c r="O310" s="729"/>
      <c r="P310" s="1014"/>
      <c r="Q310" s="1014"/>
      <c r="R310" s="1014"/>
      <c r="S310" s="729"/>
      <c r="T310" s="729"/>
      <c r="U310" s="729"/>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29"/>
      <c r="AQ310" s="729"/>
      <c r="AR310" s="729"/>
      <c r="AS310" s="729"/>
      <c r="AT310" s="729"/>
      <c r="AU310" s="729"/>
      <c r="AV310" s="729"/>
      <c r="AW310" s="729"/>
      <c r="AX310" s="729"/>
      <c r="AY310" s="729"/>
      <c r="AZ310" s="729"/>
      <c r="BA310" s="729"/>
      <c r="BB310" s="729"/>
      <c r="BC310" s="729"/>
      <c r="BD310" s="729"/>
      <c r="BE310" s="729"/>
      <c r="BF310" s="729"/>
      <c r="BG310" s="729"/>
      <c r="BH310" s="729"/>
      <c r="BI310" s="228"/>
      <c r="BJ310" s="729"/>
      <c r="BK310" s="729"/>
      <c r="BL310" s="729"/>
      <c r="BM310" s="729"/>
      <c r="BN310" s="729"/>
      <c r="BO310" s="729"/>
      <c r="BP310" s="729"/>
      <c r="BQ310" s="729"/>
    </row>
    <row r="311" spans="1:69" ht="12.75" customHeight="1">
      <c r="A311" s="1010"/>
      <c r="B311" s="729"/>
      <c r="C311" s="729"/>
      <c r="D311" s="729"/>
      <c r="E311" s="1010"/>
      <c r="F311" s="12"/>
      <c r="G311" s="12"/>
      <c r="H311" s="1011"/>
      <c r="I311" s="1011"/>
      <c r="J311" s="1012"/>
      <c r="K311" s="1011"/>
      <c r="L311" s="1011"/>
      <c r="M311" s="1011"/>
      <c r="N311" s="730"/>
      <c r="O311" s="729"/>
      <c r="P311" s="1014"/>
      <c r="Q311" s="1014"/>
      <c r="R311" s="1014"/>
      <c r="S311" s="729"/>
      <c r="T311" s="729"/>
      <c r="U311" s="729"/>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228"/>
      <c r="BJ311" s="729"/>
      <c r="BK311" s="729"/>
      <c r="BL311" s="729"/>
      <c r="BM311" s="729"/>
      <c r="BN311" s="729"/>
      <c r="BO311" s="729"/>
      <c r="BP311" s="729"/>
      <c r="BQ311" s="729"/>
    </row>
    <row r="312" spans="1:69" ht="12.75" customHeight="1">
      <c r="A312" s="1010"/>
      <c r="B312" s="729"/>
      <c r="C312" s="729"/>
      <c r="D312" s="729"/>
      <c r="E312" s="1010"/>
      <c r="F312" s="12"/>
      <c r="G312" s="12"/>
      <c r="H312" s="1011"/>
      <c r="I312" s="1011"/>
      <c r="J312" s="1012"/>
      <c r="K312" s="1011"/>
      <c r="L312" s="1011"/>
      <c r="M312" s="1011"/>
      <c r="N312" s="730"/>
      <c r="O312" s="729"/>
      <c r="P312" s="1014"/>
      <c r="Q312" s="1014"/>
      <c r="R312" s="1014"/>
      <c r="S312" s="729"/>
      <c r="T312" s="729"/>
      <c r="U312" s="729"/>
      <c r="V312" s="729"/>
      <c r="W312" s="729"/>
      <c r="X312" s="729"/>
      <c r="Y312" s="729"/>
      <c r="Z312" s="729"/>
      <c r="AA312" s="729"/>
      <c r="AB312" s="729"/>
      <c r="AC312" s="729"/>
      <c r="AD312" s="729"/>
      <c r="AE312" s="729"/>
      <c r="AF312" s="729"/>
      <c r="AG312" s="729"/>
      <c r="AH312" s="729"/>
      <c r="AI312" s="729"/>
      <c r="AJ312" s="729"/>
      <c r="AK312" s="729"/>
      <c r="AL312" s="729"/>
      <c r="AM312" s="729"/>
      <c r="AN312" s="729"/>
      <c r="AO312" s="729"/>
      <c r="AP312" s="729"/>
      <c r="AQ312" s="729"/>
      <c r="AR312" s="729"/>
      <c r="AS312" s="729"/>
      <c r="AT312" s="729"/>
      <c r="AU312" s="729"/>
      <c r="AV312" s="729"/>
      <c r="AW312" s="729"/>
      <c r="AX312" s="729"/>
      <c r="AY312" s="729"/>
      <c r="AZ312" s="729"/>
      <c r="BA312" s="729"/>
      <c r="BB312" s="729"/>
      <c r="BC312" s="729"/>
      <c r="BD312" s="729"/>
      <c r="BE312" s="729"/>
      <c r="BF312" s="729"/>
      <c r="BG312" s="729"/>
      <c r="BH312" s="729"/>
      <c r="BI312" s="228"/>
      <c r="BJ312" s="729"/>
      <c r="BK312" s="729"/>
      <c r="BL312" s="729"/>
      <c r="BM312" s="729"/>
      <c r="BN312" s="729"/>
      <c r="BO312" s="729"/>
      <c r="BP312" s="729"/>
      <c r="BQ312" s="729"/>
    </row>
    <row r="313" spans="1:69" ht="12.75" customHeight="1">
      <c r="A313" s="1010"/>
      <c r="B313" s="729"/>
      <c r="C313" s="729"/>
      <c r="D313" s="729"/>
      <c r="E313" s="1010"/>
      <c r="F313" s="12"/>
      <c r="G313" s="12"/>
      <c r="H313" s="1011"/>
      <c r="I313" s="1011"/>
      <c r="J313" s="1012"/>
      <c r="K313" s="1011"/>
      <c r="L313" s="1011"/>
      <c r="M313" s="1011"/>
      <c r="N313" s="730"/>
      <c r="O313" s="729"/>
      <c r="P313" s="1014"/>
      <c r="Q313" s="1014"/>
      <c r="R313" s="1014"/>
      <c r="S313" s="729"/>
      <c r="T313" s="729"/>
      <c r="U313" s="729"/>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29"/>
      <c r="AW313" s="729"/>
      <c r="AX313" s="729"/>
      <c r="AY313" s="729"/>
      <c r="AZ313" s="729"/>
      <c r="BA313" s="729"/>
      <c r="BB313" s="729"/>
      <c r="BC313" s="729"/>
      <c r="BD313" s="729"/>
      <c r="BE313" s="729"/>
      <c r="BF313" s="729"/>
      <c r="BG313" s="729"/>
      <c r="BH313" s="729"/>
      <c r="BI313" s="228"/>
      <c r="BJ313" s="729"/>
      <c r="BK313" s="729"/>
      <c r="BL313" s="729"/>
      <c r="BM313" s="729"/>
      <c r="BN313" s="729"/>
      <c r="BO313" s="729"/>
      <c r="BP313" s="729"/>
      <c r="BQ313" s="729"/>
    </row>
    <row r="314" spans="1:69" ht="12.75" customHeight="1">
      <c r="A314" s="1010"/>
      <c r="B314" s="729"/>
      <c r="C314" s="729"/>
      <c r="D314" s="729"/>
      <c r="E314" s="1010"/>
      <c r="F314" s="12"/>
      <c r="G314" s="12"/>
      <c r="H314" s="1011"/>
      <c r="I314" s="1011"/>
      <c r="J314" s="1012"/>
      <c r="K314" s="1011"/>
      <c r="L314" s="1011"/>
      <c r="M314" s="1011"/>
      <c r="N314" s="730"/>
      <c r="O314" s="729"/>
      <c r="P314" s="1014"/>
      <c r="Q314" s="1014"/>
      <c r="R314" s="1014"/>
      <c r="S314" s="729"/>
      <c r="T314" s="729"/>
      <c r="U314" s="729"/>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228"/>
      <c r="BJ314" s="729"/>
      <c r="BK314" s="729"/>
      <c r="BL314" s="729"/>
      <c r="BM314" s="729"/>
      <c r="BN314" s="729"/>
      <c r="BO314" s="729"/>
      <c r="BP314" s="729"/>
      <c r="BQ314" s="729"/>
    </row>
    <row r="315" spans="1:69" ht="12.75" customHeight="1">
      <c r="A315" s="1010"/>
      <c r="B315" s="729"/>
      <c r="C315" s="729"/>
      <c r="D315" s="729"/>
      <c r="E315" s="1010"/>
      <c r="F315" s="12"/>
      <c r="G315" s="12"/>
      <c r="H315" s="1011"/>
      <c r="I315" s="1011"/>
      <c r="J315" s="1012"/>
      <c r="K315" s="1011"/>
      <c r="L315" s="1011"/>
      <c r="M315" s="1011"/>
      <c r="N315" s="730"/>
      <c r="O315" s="729"/>
      <c r="P315" s="1014"/>
      <c r="Q315" s="1014"/>
      <c r="R315" s="1014"/>
      <c r="S315" s="729"/>
      <c r="T315" s="729"/>
      <c r="U315" s="729"/>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228"/>
      <c r="BJ315" s="729"/>
      <c r="BK315" s="729"/>
      <c r="BL315" s="729"/>
      <c r="BM315" s="729"/>
      <c r="BN315" s="729"/>
      <c r="BO315" s="729"/>
      <c r="BP315" s="729"/>
      <c r="BQ315" s="729"/>
    </row>
    <row r="316" spans="1:69" ht="12.75" customHeight="1">
      <c r="A316" s="1010"/>
      <c r="B316" s="729"/>
      <c r="C316" s="729"/>
      <c r="D316" s="729"/>
      <c r="E316" s="1010"/>
      <c r="F316" s="12"/>
      <c r="G316" s="12"/>
      <c r="H316" s="1011"/>
      <c r="I316" s="1011"/>
      <c r="J316" s="1012"/>
      <c r="K316" s="1011"/>
      <c r="L316" s="1011"/>
      <c r="M316" s="1011"/>
      <c r="N316" s="730"/>
      <c r="O316" s="729"/>
      <c r="P316" s="1014"/>
      <c r="Q316" s="1014"/>
      <c r="R316" s="1014"/>
      <c r="S316" s="729"/>
      <c r="T316" s="729"/>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29"/>
      <c r="AQ316" s="729"/>
      <c r="AR316" s="729"/>
      <c r="AS316" s="729"/>
      <c r="AT316" s="729"/>
      <c r="AU316" s="729"/>
      <c r="AV316" s="729"/>
      <c r="AW316" s="729"/>
      <c r="AX316" s="729"/>
      <c r="AY316" s="729"/>
      <c r="AZ316" s="729"/>
      <c r="BA316" s="729"/>
      <c r="BB316" s="729"/>
      <c r="BC316" s="729"/>
      <c r="BD316" s="729"/>
      <c r="BE316" s="729"/>
      <c r="BF316" s="729"/>
      <c r="BG316" s="729"/>
      <c r="BH316" s="729"/>
      <c r="BI316" s="228"/>
      <c r="BJ316" s="729"/>
      <c r="BK316" s="729"/>
      <c r="BL316" s="729"/>
      <c r="BM316" s="729"/>
      <c r="BN316" s="729"/>
      <c r="BO316" s="729"/>
      <c r="BP316" s="729"/>
      <c r="BQ316" s="729"/>
    </row>
    <row r="317" spans="1:69" ht="12.75" customHeight="1">
      <c r="A317" s="1010"/>
      <c r="B317" s="729"/>
      <c r="C317" s="729"/>
      <c r="D317" s="729"/>
      <c r="E317" s="1010"/>
      <c r="F317" s="12"/>
      <c r="G317" s="12"/>
      <c r="H317" s="1011"/>
      <c r="I317" s="1011"/>
      <c r="J317" s="1012"/>
      <c r="K317" s="1011"/>
      <c r="L317" s="1011"/>
      <c r="M317" s="1011"/>
      <c r="N317" s="730"/>
      <c r="O317" s="729"/>
      <c r="P317" s="1014"/>
      <c r="Q317" s="1014"/>
      <c r="R317" s="1014"/>
      <c r="S317" s="729"/>
      <c r="T317" s="729"/>
      <c r="U317" s="729"/>
      <c r="V317" s="729"/>
      <c r="W317" s="729"/>
      <c r="X317" s="729"/>
      <c r="Y317" s="729"/>
      <c r="Z317" s="729"/>
      <c r="AA317" s="729"/>
      <c r="AB317" s="729"/>
      <c r="AC317" s="729"/>
      <c r="AD317" s="729"/>
      <c r="AE317" s="729"/>
      <c r="AF317" s="729"/>
      <c r="AG317" s="729"/>
      <c r="AH317" s="729"/>
      <c r="AI317" s="729"/>
      <c r="AJ317" s="729"/>
      <c r="AK317" s="729"/>
      <c r="AL317" s="729"/>
      <c r="AM317" s="729"/>
      <c r="AN317" s="729"/>
      <c r="AO317" s="729"/>
      <c r="AP317" s="729"/>
      <c r="AQ317" s="729"/>
      <c r="AR317" s="729"/>
      <c r="AS317" s="729"/>
      <c r="AT317" s="729"/>
      <c r="AU317" s="729"/>
      <c r="AV317" s="729"/>
      <c r="AW317" s="729"/>
      <c r="AX317" s="729"/>
      <c r="AY317" s="729"/>
      <c r="AZ317" s="729"/>
      <c r="BA317" s="729"/>
      <c r="BB317" s="729"/>
      <c r="BC317" s="729"/>
      <c r="BD317" s="729"/>
      <c r="BE317" s="729"/>
      <c r="BF317" s="729"/>
      <c r="BG317" s="729"/>
      <c r="BH317" s="729"/>
      <c r="BI317" s="228"/>
      <c r="BJ317" s="729"/>
      <c r="BK317" s="729"/>
      <c r="BL317" s="729"/>
      <c r="BM317" s="729"/>
      <c r="BN317" s="729"/>
      <c r="BO317" s="729"/>
      <c r="BP317" s="729"/>
      <c r="BQ317" s="729"/>
    </row>
    <row r="318" spans="1:69" ht="12.75" customHeight="1">
      <c r="A318" s="1010"/>
      <c r="B318" s="729"/>
      <c r="C318" s="729"/>
      <c r="D318" s="729"/>
      <c r="E318" s="1010"/>
      <c r="F318" s="12"/>
      <c r="G318" s="12"/>
      <c r="H318" s="1011"/>
      <c r="I318" s="1011"/>
      <c r="J318" s="1012"/>
      <c r="K318" s="1011"/>
      <c r="L318" s="1011"/>
      <c r="M318" s="1011"/>
      <c r="N318" s="730"/>
      <c r="O318" s="729"/>
      <c r="P318" s="1014"/>
      <c r="Q318" s="1014"/>
      <c r="R318" s="1014"/>
      <c r="S318" s="729"/>
      <c r="T318" s="729"/>
      <c r="U318" s="729"/>
      <c r="V318" s="729"/>
      <c r="W318" s="729"/>
      <c r="X318" s="729"/>
      <c r="Y318" s="729"/>
      <c r="Z318" s="729"/>
      <c r="AA318" s="729"/>
      <c r="AB318" s="729"/>
      <c r="AC318" s="729"/>
      <c r="AD318" s="729"/>
      <c r="AE318" s="729"/>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228"/>
      <c r="BJ318" s="729"/>
      <c r="BK318" s="729"/>
      <c r="BL318" s="729"/>
      <c r="BM318" s="729"/>
      <c r="BN318" s="729"/>
      <c r="BO318" s="729"/>
      <c r="BP318" s="729"/>
      <c r="BQ318" s="729"/>
    </row>
    <row r="319" spans="1:69" ht="12.75" customHeight="1">
      <c r="A319" s="1010"/>
      <c r="B319" s="729"/>
      <c r="C319" s="729"/>
      <c r="D319" s="729"/>
      <c r="E319" s="1010"/>
      <c r="F319" s="12"/>
      <c r="G319" s="12"/>
      <c r="H319" s="1011"/>
      <c r="I319" s="1011"/>
      <c r="J319" s="1012"/>
      <c r="K319" s="1011"/>
      <c r="L319" s="1011"/>
      <c r="M319" s="1011"/>
      <c r="N319" s="730"/>
      <c r="O319" s="729"/>
      <c r="P319" s="1014"/>
      <c r="Q319" s="1014"/>
      <c r="R319" s="1014"/>
      <c r="S319" s="729"/>
      <c r="T319" s="729"/>
      <c r="U319" s="729"/>
      <c r="V319" s="729"/>
      <c r="W319" s="729"/>
      <c r="X319" s="729"/>
      <c r="Y319" s="729"/>
      <c r="Z319" s="729"/>
      <c r="AA319" s="729"/>
      <c r="AB319" s="729"/>
      <c r="AC319" s="729"/>
      <c r="AD319" s="729"/>
      <c r="AE319" s="729"/>
      <c r="AF319" s="729"/>
      <c r="AG319" s="729"/>
      <c r="AH319" s="729"/>
      <c r="AI319" s="729"/>
      <c r="AJ319" s="729"/>
      <c r="AK319" s="729"/>
      <c r="AL319" s="729"/>
      <c r="AM319" s="729"/>
      <c r="AN319" s="729"/>
      <c r="AO319" s="729"/>
      <c r="AP319" s="729"/>
      <c r="AQ319" s="729"/>
      <c r="AR319" s="729"/>
      <c r="AS319" s="729"/>
      <c r="AT319" s="729"/>
      <c r="AU319" s="729"/>
      <c r="AV319" s="729"/>
      <c r="AW319" s="729"/>
      <c r="AX319" s="729"/>
      <c r="AY319" s="729"/>
      <c r="AZ319" s="729"/>
      <c r="BA319" s="729"/>
      <c r="BB319" s="729"/>
      <c r="BC319" s="729"/>
      <c r="BD319" s="729"/>
      <c r="BE319" s="729"/>
      <c r="BF319" s="729"/>
      <c r="BG319" s="729"/>
      <c r="BH319" s="729"/>
      <c r="BI319" s="228"/>
      <c r="BJ319" s="729"/>
      <c r="BK319" s="729"/>
      <c r="BL319" s="729"/>
      <c r="BM319" s="729"/>
      <c r="BN319" s="729"/>
      <c r="BO319" s="729"/>
      <c r="BP319" s="729"/>
      <c r="BQ319" s="729"/>
    </row>
    <row r="320" spans="1:69" ht="12.75" customHeight="1">
      <c r="A320" s="1010"/>
      <c r="B320" s="729"/>
      <c r="C320" s="729"/>
      <c r="D320" s="729"/>
      <c r="E320" s="1010"/>
      <c r="F320" s="12"/>
      <c r="G320" s="12"/>
      <c r="H320" s="1011"/>
      <c r="I320" s="1011"/>
      <c r="J320" s="1012"/>
      <c r="K320" s="1011"/>
      <c r="L320" s="1011"/>
      <c r="M320" s="1011"/>
      <c r="N320" s="730"/>
      <c r="O320" s="729"/>
      <c r="P320" s="1014"/>
      <c r="Q320" s="1014"/>
      <c r="R320" s="1014"/>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29"/>
      <c r="AS320" s="729"/>
      <c r="AT320" s="729"/>
      <c r="AU320" s="729"/>
      <c r="AV320" s="729"/>
      <c r="AW320" s="729"/>
      <c r="AX320" s="729"/>
      <c r="AY320" s="729"/>
      <c r="AZ320" s="729"/>
      <c r="BA320" s="729"/>
      <c r="BB320" s="729"/>
      <c r="BC320" s="729"/>
      <c r="BD320" s="729"/>
      <c r="BE320" s="729"/>
      <c r="BF320" s="729"/>
      <c r="BG320" s="729"/>
      <c r="BH320" s="729"/>
      <c r="BI320" s="228"/>
      <c r="BJ320" s="729"/>
      <c r="BK320" s="729"/>
      <c r="BL320" s="729"/>
      <c r="BM320" s="729"/>
      <c r="BN320" s="729"/>
      <c r="BO320" s="729"/>
      <c r="BP320" s="729"/>
      <c r="BQ320" s="729"/>
    </row>
    <row r="321" spans="1:69" ht="12.75" customHeight="1">
      <c r="A321" s="1010"/>
      <c r="B321" s="729"/>
      <c r="C321" s="729"/>
      <c r="D321" s="729"/>
      <c r="E321" s="1010"/>
      <c r="F321" s="12"/>
      <c r="G321" s="12"/>
      <c r="H321" s="1011"/>
      <c r="I321" s="1011"/>
      <c r="J321" s="1012"/>
      <c r="K321" s="1011"/>
      <c r="L321" s="1011"/>
      <c r="M321" s="1011"/>
      <c r="N321" s="730"/>
      <c r="O321" s="729"/>
      <c r="P321" s="1014"/>
      <c r="Q321" s="1014"/>
      <c r="R321" s="1014"/>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29"/>
      <c r="AS321" s="729"/>
      <c r="AT321" s="729"/>
      <c r="AU321" s="729"/>
      <c r="AV321" s="729"/>
      <c r="AW321" s="729"/>
      <c r="AX321" s="729"/>
      <c r="AY321" s="729"/>
      <c r="AZ321" s="729"/>
      <c r="BA321" s="729"/>
      <c r="BB321" s="729"/>
      <c r="BC321" s="729"/>
      <c r="BD321" s="729"/>
      <c r="BE321" s="729"/>
      <c r="BF321" s="729"/>
      <c r="BG321" s="729"/>
      <c r="BH321" s="729"/>
      <c r="BI321" s="228"/>
      <c r="BJ321" s="729"/>
      <c r="BK321" s="729"/>
      <c r="BL321" s="729"/>
      <c r="BM321" s="729"/>
      <c r="BN321" s="729"/>
      <c r="BO321" s="729"/>
      <c r="BP321" s="729"/>
      <c r="BQ321" s="729"/>
    </row>
    <row r="322" spans="1:69" ht="12.75" customHeight="1">
      <c r="A322" s="1010"/>
      <c r="B322" s="729"/>
      <c r="C322" s="729"/>
      <c r="D322" s="729"/>
      <c r="E322" s="1010"/>
      <c r="F322" s="12"/>
      <c r="G322" s="12"/>
      <c r="H322" s="1011"/>
      <c r="I322" s="1011"/>
      <c r="J322" s="1012"/>
      <c r="K322" s="1011"/>
      <c r="L322" s="1011"/>
      <c r="M322" s="1011"/>
      <c r="N322" s="730"/>
      <c r="O322" s="729"/>
      <c r="P322" s="1014"/>
      <c r="Q322" s="1014"/>
      <c r="R322" s="1014"/>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228"/>
      <c r="BJ322" s="729"/>
      <c r="BK322" s="729"/>
      <c r="BL322" s="729"/>
      <c r="BM322" s="729"/>
      <c r="BN322" s="729"/>
      <c r="BO322" s="729"/>
      <c r="BP322" s="729"/>
      <c r="BQ322" s="729"/>
    </row>
    <row r="323" spans="1:69" ht="12.75" customHeight="1">
      <c r="A323" s="1010"/>
      <c r="B323" s="729"/>
      <c r="C323" s="729"/>
      <c r="D323" s="729"/>
      <c r="E323" s="1010"/>
      <c r="F323" s="12"/>
      <c r="G323" s="12"/>
      <c r="H323" s="1011"/>
      <c r="I323" s="1011"/>
      <c r="J323" s="1012"/>
      <c r="K323" s="1011"/>
      <c r="L323" s="1011"/>
      <c r="M323" s="1011"/>
      <c r="N323" s="730"/>
      <c r="O323" s="729"/>
      <c r="P323" s="1014"/>
      <c r="Q323" s="1014"/>
      <c r="R323" s="1014"/>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29"/>
      <c r="AY323" s="729"/>
      <c r="AZ323" s="729"/>
      <c r="BA323" s="729"/>
      <c r="BB323" s="729"/>
      <c r="BC323" s="729"/>
      <c r="BD323" s="729"/>
      <c r="BE323" s="729"/>
      <c r="BF323" s="729"/>
      <c r="BG323" s="729"/>
      <c r="BH323" s="729"/>
      <c r="BI323" s="228"/>
      <c r="BJ323" s="729"/>
      <c r="BK323" s="729"/>
      <c r="BL323" s="729"/>
      <c r="BM323" s="729"/>
      <c r="BN323" s="729"/>
      <c r="BO323" s="729"/>
      <c r="BP323" s="729"/>
      <c r="BQ323" s="729"/>
    </row>
    <row r="324" spans="1:69" ht="12.75" customHeight="1">
      <c r="A324" s="1010"/>
      <c r="B324" s="729"/>
      <c r="C324" s="729"/>
      <c r="D324" s="729"/>
      <c r="E324" s="1010"/>
      <c r="F324" s="12"/>
      <c r="G324" s="12"/>
      <c r="H324" s="1011"/>
      <c r="I324" s="1011"/>
      <c r="J324" s="1012"/>
      <c r="K324" s="1011"/>
      <c r="L324" s="1011"/>
      <c r="M324" s="1011"/>
      <c r="N324" s="730"/>
      <c r="O324" s="729"/>
      <c r="P324" s="1014"/>
      <c r="Q324" s="1014"/>
      <c r="R324" s="1014"/>
      <c r="S324" s="729"/>
      <c r="T324" s="729"/>
      <c r="U324" s="729"/>
      <c r="V324" s="729"/>
      <c r="W324" s="729"/>
      <c r="X324" s="729"/>
      <c r="Y324" s="729"/>
      <c r="Z324" s="729"/>
      <c r="AA324" s="729"/>
      <c r="AB324" s="729"/>
      <c r="AC324" s="729"/>
      <c r="AD324" s="729"/>
      <c r="AE324" s="729"/>
      <c r="AF324" s="729"/>
      <c r="AG324" s="729"/>
      <c r="AH324" s="729"/>
      <c r="AI324" s="729"/>
      <c r="AJ324" s="729"/>
      <c r="AK324" s="729"/>
      <c r="AL324" s="729"/>
      <c r="AM324" s="729"/>
      <c r="AN324" s="729"/>
      <c r="AO324" s="729"/>
      <c r="AP324" s="729"/>
      <c r="AQ324" s="729"/>
      <c r="AR324" s="729"/>
      <c r="AS324" s="729"/>
      <c r="AT324" s="729"/>
      <c r="AU324" s="729"/>
      <c r="AV324" s="729"/>
      <c r="AW324" s="729"/>
      <c r="AX324" s="729"/>
      <c r="AY324" s="729"/>
      <c r="AZ324" s="729"/>
      <c r="BA324" s="729"/>
      <c r="BB324" s="729"/>
      <c r="BC324" s="729"/>
      <c r="BD324" s="729"/>
      <c r="BE324" s="729"/>
      <c r="BF324" s="729"/>
      <c r="BG324" s="729"/>
      <c r="BH324" s="729"/>
      <c r="BI324" s="228"/>
      <c r="BJ324" s="729"/>
      <c r="BK324" s="729"/>
      <c r="BL324" s="729"/>
      <c r="BM324" s="729"/>
      <c r="BN324" s="729"/>
      <c r="BO324" s="729"/>
      <c r="BP324" s="729"/>
      <c r="BQ324" s="729"/>
    </row>
    <row r="325" spans="1:69" ht="12.75" customHeight="1">
      <c r="A325" s="1010"/>
      <c r="B325" s="729"/>
      <c r="C325" s="729"/>
      <c r="D325" s="729"/>
      <c r="E325" s="1010"/>
      <c r="F325" s="12"/>
      <c r="G325" s="12"/>
      <c r="H325" s="1011"/>
      <c r="I325" s="1011"/>
      <c r="J325" s="1012"/>
      <c r="K325" s="1011"/>
      <c r="L325" s="1011"/>
      <c r="M325" s="1011"/>
      <c r="N325" s="730"/>
      <c r="O325" s="729"/>
      <c r="P325" s="1014"/>
      <c r="Q325" s="1014"/>
      <c r="R325" s="1014"/>
      <c r="S325" s="729"/>
      <c r="T325" s="729"/>
      <c r="U325" s="729"/>
      <c r="V325" s="729"/>
      <c r="W325" s="729"/>
      <c r="X325" s="729"/>
      <c r="Y325" s="729"/>
      <c r="Z325" s="729"/>
      <c r="AA325" s="729"/>
      <c r="AB325" s="729"/>
      <c r="AC325" s="729"/>
      <c r="AD325" s="729"/>
      <c r="AE325" s="729"/>
      <c r="AF325" s="729"/>
      <c r="AG325" s="729"/>
      <c r="AH325" s="729"/>
      <c r="AI325" s="729"/>
      <c r="AJ325" s="729"/>
      <c r="AK325" s="729"/>
      <c r="AL325" s="729"/>
      <c r="AM325" s="729"/>
      <c r="AN325" s="729"/>
      <c r="AO325" s="729"/>
      <c r="AP325" s="729"/>
      <c r="AQ325" s="729"/>
      <c r="AR325" s="729"/>
      <c r="AS325" s="729"/>
      <c r="AT325" s="729"/>
      <c r="AU325" s="729"/>
      <c r="AV325" s="729"/>
      <c r="AW325" s="729"/>
      <c r="AX325" s="729"/>
      <c r="AY325" s="729"/>
      <c r="AZ325" s="729"/>
      <c r="BA325" s="729"/>
      <c r="BB325" s="729"/>
      <c r="BC325" s="729"/>
      <c r="BD325" s="729"/>
      <c r="BE325" s="729"/>
      <c r="BF325" s="729"/>
      <c r="BG325" s="729"/>
      <c r="BH325" s="729"/>
      <c r="BI325" s="228"/>
      <c r="BJ325" s="729"/>
      <c r="BK325" s="729"/>
      <c r="BL325" s="729"/>
      <c r="BM325" s="729"/>
      <c r="BN325" s="729"/>
      <c r="BO325" s="729"/>
      <c r="BP325" s="729"/>
      <c r="BQ325" s="729"/>
    </row>
    <row r="326" spans="1:69" ht="12.75" customHeight="1">
      <c r="A326" s="1010"/>
      <c r="B326" s="729"/>
      <c r="C326" s="729"/>
      <c r="D326" s="729"/>
      <c r="E326" s="1010"/>
      <c r="F326" s="12"/>
      <c r="G326" s="12"/>
      <c r="H326" s="1011"/>
      <c r="I326" s="1011"/>
      <c r="J326" s="1012"/>
      <c r="K326" s="1011"/>
      <c r="L326" s="1011"/>
      <c r="M326" s="1011"/>
      <c r="N326" s="730"/>
      <c r="O326" s="729"/>
      <c r="P326" s="1014"/>
      <c r="Q326" s="1014"/>
      <c r="R326" s="1014"/>
      <c r="S326" s="729"/>
      <c r="T326" s="729"/>
      <c r="U326" s="729"/>
      <c r="V326" s="729"/>
      <c r="W326" s="729"/>
      <c r="X326" s="729"/>
      <c r="Y326" s="729"/>
      <c r="Z326" s="729"/>
      <c r="AA326" s="729"/>
      <c r="AB326" s="729"/>
      <c r="AC326" s="729"/>
      <c r="AD326" s="729"/>
      <c r="AE326" s="729"/>
      <c r="AF326" s="729"/>
      <c r="AG326" s="729"/>
      <c r="AH326" s="729"/>
      <c r="AI326" s="729"/>
      <c r="AJ326" s="729"/>
      <c r="AK326" s="729"/>
      <c r="AL326" s="729"/>
      <c r="AM326" s="729"/>
      <c r="AN326" s="729"/>
      <c r="AO326" s="729"/>
      <c r="AP326" s="729"/>
      <c r="AQ326" s="729"/>
      <c r="AR326" s="729"/>
      <c r="AS326" s="729"/>
      <c r="AT326" s="729"/>
      <c r="AU326" s="729"/>
      <c r="AV326" s="729"/>
      <c r="AW326" s="729"/>
      <c r="AX326" s="729"/>
      <c r="AY326" s="729"/>
      <c r="AZ326" s="729"/>
      <c r="BA326" s="729"/>
      <c r="BB326" s="729"/>
      <c r="BC326" s="729"/>
      <c r="BD326" s="729"/>
      <c r="BE326" s="729"/>
      <c r="BF326" s="729"/>
      <c r="BG326" s="729"/>
      <c r="BH326" s="729"/>
      <c r="BI326" s="228"/>
      <c r="BJ326" s="729"/>
      <c r="BK326" s="729"/>
      <c r="BL326" s="729"/>
      <c r="BM326" s="729"/>
      <c r="BN326" s="729"/>
      <c r="BO326" s="729"/>
      <c r="BP326" s="729"/>
      <c r="BQ326" s="729"/>
    </row>
    <row r="327" spans="1:69" ht="12.75" customHeight="1">
      <c r="A327" s="1010"/>
      <c r="B327" s="729"/>
      <c r="C327" s="729"/>
      <c r="D327" s="729"/>
      <c r="E327" s="1010"/>
      <c r="F327" s="12"/>
      <c r="G327" s="12"/>
      <c r="H327" s="1011"/>
      <c r="I327" s="1011"/>
      <c r="J327" s="1012"/>
      <c r="K327" s="1011"/>
      <c r="L327" s="1011"/>
      <c r="M327" s="1011"/>
      <c r="N327" s="730"/>
      <c r="O327" s="729"/>
      <c r="P327" s="1014"/>
      <c r="Q327" s="1014"/>
      <c r="R327" s="1014"/>
      <c r="S327" s="729"/>
      <c r="T327" s="729"/>
      <c r="U327" s="729"/>
      <c r="V327" s="729"/>
      <c r="W327" s="729"/>
      <c r="X327" s="729"/>
      <c r="Y327" s="729"/>
      <c r="Z327" s="729"/>
      <c r="AA327" s="729"/>
      <c r="AB327" s="729"/>
      <c r="AC327" s="729"/>
      <c r="AD327" s="729"/>
      <c r="AE327" s="729"/>
      <c r="AF327" s="729"/>
      <c r="AG327" s="729"/>
      <c r="AH327" s="729"/>
      <c r="AI327" s="729"/>
      <c r="AJ327" s="729"/>
      <c r="AK327" s="729"/>
      <c r="AL327" s="729"/>
      <c r="AM327" s="729"/>
      <c r="AN327" s="729"/>
      <c r="AO327" s="729"/>
      <c r="AP327" s="729"/>
      <c r="AQ327" s="729"/>
      <c r="AR327" s="729"/>
      <c r="AS327" s="729"/>
      <c r="AT327" s="729"/>
      <c r="AU327" s="729"/>
      <c r="AV327" s="729"/>
      <c r="AW327" s="729"/>
      <c r="AX327" s="729"/>
      <c r="AY327" s="729"/>
      <c r="AZ327" s="729"/>
      <c r="BA327" s="729"/>
      <c r="BB327" s="729"/>
      <c r="BC327" s="729"/>
      <c r="BD327" s="729"/>
      <c r="BE327" s="729"/>
      <c r="BF327" s="729"/>
      <c r="BG327" s="729"/>
      <c r="BH327" s="729"/>
      <c r="BI327" s="228"/>
      <c r="BJ327" s="729"/>
      <c r="BK327" s="729"/>
      <c r="BL327" s="729"/>
      <c r="BM327" s="729"/>
      <c r="BN327" s="729"/>
      <c r="BO327" s="729"/>
      <c r="BP327" s="729"/>
      <c r="BQ327" s="729"/>
    </row>
    <row r="328" spans="1:69" ht="12.75" customHeight="1">
      <c r="A328" s="1010"/>
      <c r="B328" s="729"/>
      <c r="C328" s="729"/>
      <c r="D328" s="729"/>
      <c r="E328" s="1010"/>
      <c r="F328" s="12"/>
      <c r="G328" s="12"/>
      <c r="H328" s="1011"/>
      <c r="I328" s="1011"/>
      <c r="J328" s="1012"/>
      <c r="K328" s="1011"/>
      <c r="L328" s="1011"/>
      <c r="M328" s="1011"/>
      <c r="N328" s="730"/>
      <c r="O328" s="729"/>
      <c r="P328" s="1014"/>
      <c r="Q328" s="1014"/>
      <c r="R328" s="1014"/>
      <c r="S328" s="729"/>
      <c r="T328" s="729"/>
      <c r="U328" s="729"/>
      <c r="V328" s="729"/>
      <c r="W328" s="729"/>
      <c r="X328" s="729"/>
      <c r="Y328" s="729"/>
      <c r="Z328" s="729"/>
      <c r="AA328" s="729"/>
      <c r="AB328" s="729"/>
      <c r="AC328" s="729"/>
      <c r="AD328" s="729"/>
      <c r="AE328" s="729"/>
      <c r="AF328" s="729"/>
      <c r="AG328" s="729"/>
      <c r="AH328" s="729"/>
      <c r="AI328" s="729"/>
      <c r="AJ328" s="729"/>
      <c r="AK328" s="729"/>
      <c r="AL328" s="729"/>
      <c r="AM328" s="729"/>
      <c r="AN328" s="729"/>
      <c r="AO328" s="729"/>
      <c r="AP328" s="729"/>
      <c r="AQ328" s="729"/>
      <c r="AR328" s="729"/>
      <c r="AS328" s="729"/>
      <c r="AT328" s="729"/>
      <c r="AU328" s="729"/>
      <c r="AV328" s="729"/>
      <c r="AW328" s="729"/>
      <c r="AX328" s="729"/>
      <c r="AY328" s="729"/>
      <c r="AZ328" s="729"/>
      <c r="BA328" s="729"/>
      <c r="BB328" s="729"/>
      <c r="BC328" s="729"/>
      <c r="BD328" s="729"/>
      <c r="BE328" s="729"/>
      <c r="BF328" s="729"/>
      <c r="BG328" s="729"/>
      <c r="BH328" s="729"/>
      <c r="BI328" s="228"/>
      <c r="BJ328" s="729"/>
      <c r="BK328" s="729"/>
      <c r="BL328" s="729"/>
      <c r="BM328" s="729"/>
      <c r="BN328" s="729"/>
      <c r="BO328" s="729"/>
      <c r="BP328" s="729"/>
      <c r="BQ328" s="729"/>
    </row>
    <row r="329" spans="1:69" ht="12.75" customHeight="1">
      <c r="A329" s="1010"/>
      <c r="B329" s="729"/>
      <c r="C329" s="729"/>
      <c r="D329" s="729"/>
      <c r="E329" s="1010"/>
      <c r="F329" s="12"/>
      <c r="G329" s="12"/>
      <c r="H329" s="1011"/>
      <c r="I329" s="1011"/>
      <c r="J329" s="1012"/>
      <c r="K329" s="1011"/>
      <c r="L329" s="1011"/>
      <c r="M329" s="1011"/>
      <c r="N329" s="730"/>
      <c r="O329" s="729"/>
      <c r="P329" s="1014"/>
      <c r="Q329" s="1014"/>
      <c r="R329" s="1014"/>
      <c r="S329" s="729"/>
      <c r="T329" s="729"/>
      <c r="U329" s="729"/>
      <c r="V329" s="729"/>
      <c r="W329" s="729"/>
      <c r="X329" s="729"/>
      <c r="Y329" s="729"/>
      <c r="Z329" s="729"/>
      <c r="AA329" s="729"/>
      <c r="AB329" s="729"/>
      <c r="AC329" s="729"/>
      <c r="AD329" s="729"/>
      <c r="AE329" s="729"/>
      <c r="AF329" s="729"/>
      <c r="AG329" s="729"/>
      <c r="AH329" s="729"/>
      <c r="AI329" s="729"/>
      <c r="AJ329" s="729"/>
      <c r="AK329" s="729"/>
      <c r="AL329" s="729"/>
      <c r="AM329" s="729"/>
      <c r="AN329" s="729"/>
      <c r="AO329" s="729"/>
      <c r="AP329" s="729"/>
      <c r="AQ329" s="729"/>
      <c r="AR329" s="729"/>
      <c r="AS329" s="729"/>
      <c r="AT329" s="729"/>
      <c r="AU329" s="729"/>
      <c r="AV329" s="729"/>
      <c r="AW329" s="729"/>
      <c r="AX329" s="729"/>
      <c r="AY329" s="729"/>
      <c r="AZ329" s="729"/>
      <c r="BA329" s="729"/>
      <c r="BB329" s="729"/>
      <c r="BC329" s="729"/>
      <c r="BD329" s="729"/>
      <c r="BE329" s="729"/>
      <c r="BF329" s="729"/>
      <c r="BG329" s="729"/>
      <c r="BH329" s="729"/>
      <c r="BI329" s="228"/>
      <c r="BJ329" s="729"/>
      <c r="BK329" s="729"/>
      <c r="BL329" s="729"/>
      <c r="BM329" s="729"/>
      <c r="BN329" s="729"/>
      <c r="BO329" s="729"/>
      <c r="BP329" s="729"/>
      <c r="BQ329" s="729"/>
    </row>
    <row r="330" spans="1:69" ht="12.75" customHeight="1">
      <c r="A330" s="1010"/>
      <c r="B330" s="729"/>
      <c r="C330" s="729"/>
      <c r="D330" s="729"/>
      <c r="E330" s="1010"/>
      <c r="F330" s="12"/>
      <c r="G330" s="12"/>
      <c r="H330" s="1011"/>
      <c r="I330" s="1011"/>
      <c r="J330" s="1012"/>
      <c r="K330" s="1011"/>
      <c r="L330" s="1011"/>
      <c r="M330" s="1011"/>
      <c r="N330" s="730"/>
      <c r="O330" s="729"/>
      <c r="P330" s="1014"/>
      <c r="Q330" s="1014"/>
      <c r="R330" s="1014"/>
      <c r="S330" s="729"/>
      <c r="T330" s="729"/>
      <c r="U330" s="729"/>
      <c r="V330" s="729"/>
      <c r="W330" s="729"/>
      <c r="X330" s="729"/>
      <c r="Y330" s="729"/>
      <c r="Z330" s="729"/>
      <c r="AA330" s="729"/>
      <c r="AB330" s="729"/>
      <c r="AC330" s="729"/>
      <c r="AD330" s="729"/>
      <c r="AE330" s="729"/>
      <c r="AF330" s="729"/>
      <c r="AG330" s="729"/>
      <c r="AH330" s="729"/>
      <c r="AI330" s="729"/>
      <c r="AJ330" s="729"/>
      <c r="AK330" s="729"/>
      <c r="AL330" s="729"/>
      <c r="AM330" s="729"/>
      <c r="AN330" s="729"/>
      <c r="AO330" s="729"/>
      <c r="AP330" s="729"/>
      <c r="AQ330" s="729"/>
      <c r="AR330" s="729"/>
      <c r="AS330" s="729"/>
      <c r="AT330" s="729"/>
      <c r="AU330" s="729"/>
      <c r="AV330" s="729"/>
      <c r="AW330" s="729"/>
      <c r="AX330" s="729"/>
      <c r="AY330" s="729"/>
      <c r="AZ330" s="729"/>
      <c r="BA330" s="729"/>
      <c r="BB330" s="729"/>
      <c r="BC330" s="729"/>
      <c r="BD330" s="729"/>
      <c r="BE330" s="729"/>
      <c r="BF330" s="729"/>
      <c r="BG330" s="729"/>
      <c r="BH330" s="729"/>
      <c r="BI330" s="228"/>
      <c r="BJ330" s="729"/>
      <c r="BK330" s="729"/>
      <c r="BL330" s="729"/>
      <c r="BM330" s="729"/>
      <c r="BN330" s="729"/>
      <c r="BO330" s="729"/>
      <c r="BP330" s="729"/>
      <c r="BQ330" s="729"/>
    </row>
    <row r="331" spans="1:69" ht="12.75" customHeight="1">
      <c r="A331" s="1010"/>
      <c r="B331" s="729"/>
      <c r="C331" s="729"/>
      <c r="D331" s="729"/>
      <c r="E331" s="1010"/>
      <c r="F331" s="12"/>
      <c r="G331" s="12"/>
      <c r="H331" s="1011"/>
      <c r="I331" s="1011"/>
      <c r="J331" s="1012"/>
      <c r="K331" s="1011"/>
      <c r="L331" s="1011"/>
      <c r="M331" s="1011"/>
      <c r="N331" s="730"/>
      <c r="O331" s="729"/>
      <c r="P331" s="1014"/>
      <c r="Q331" s="1014"/>
      <c r="R331" s="1014"/>
      <c r="S331" s="729"/>
      <c r="T331" s="729"/>
      <c r="U331" s="729"/>
      <c r="V331" s="729"/>
      <c r="W331" s="729"/>
      <c r="X331" s="729"/>
      <c r="Y331" s="729"/>
      <c r="Z331" s="729"/>
      <c r="AA331" s="729"/>
      <c r="AB331" s="729"/>
      <c r="AC331" s="729"/>
      <c r="AD331" s="729"/>
      <c r="AE331" s="729"/>
      <c r="AF331" s="729"/>
      <c r="AG331" s="729"/>
      <c r="AH331" s="729"/>
      <c r="AI331" s="729"/>
      <c r="AJ331" s="729"/>
      <c r="AK331" s="729"/>
      <c r="AL331" s="729"/>
      <c r="AM331" s="729"/>
      <c r="AN331" s="729"/>
      <c r="AO331" s="729"/>
      <c r="AP331" s="729"/>
      <c r="AQ331" s="729"/>
      <c r="AR331" s="729"/>
      <c r="AS331" s="729"/>
      <c r="AT331" s="729"/>
      <c r="AU331" s="729"/>
      <c r="AV331" s="729"/>
      <c r="AW331" s="729"/>
      <c r="AX331" s="729"/>
      <c r="AY331" s="729"/>
      <c r="AZ331" s="729"/>
      <c r="BA331" s="729"/>
      <c r="BB331" s="729"/>
      <c r="BC331" s="729"/>
      <c r="BD331" s="729"/>
      <c r="BE331" s="729"/>
      <c r="BF331" s="729"/>
      <c r="BG331" s="729"/>
      <c r="BH331" s="729"/>
      <c r="BI331" s="228"/>
      <c r="BJ331" s="729"/>
      <c r="BK331" s="729"/>
      <c r="BL331" s="729"/>
      <c r="BM331" s="729"/>
      <c r="BN331" s="729"/>
      <c r="BO331" s="729"/>
      <c r="BP331" s="729"/>
      <c r="BQ331" s="729"/>
    </row>
    <row r="332" spans="1:69" ht="12.75" customHeight="1">
      <c r="A332" s="1010"/>
      <c r="B332" s="729"/>
      <c r="C332" s="729"/>
      <c r="D332" s="729"/>
      <c r="E332" s="1010"/>
      <c r="F332" s="12"/>
      <c r="G332" s="12"/>
      <c r="H332" s="1011"/>
      <c r="I332" s="1011"/>
      <c r="J332" s="1012"/>
      <c r="K332" s="1011"/>
      <c r="L332" s="1011"/>
      <c r="M332" s="1011"/>
      <c r="N332" s="730"/>
      <c r="O332" s="729"/>
      <c r="P332" s="1014"/>
      <c r="Q332" s="1014"/>
      <c r="R332" s="1014"/>
      <c r="S332" s="729"/>
      <c r="T332" s="729"/>
      <c r="U332" s="729"/>
      <c r="V332" s="729"/>
      <c r="W332" s="729"/>
      <c r="X332" s="729"/>
      <c r="Y332" s="729"/>
      <c r="Z332" s="729"/>
      <c r="AA332" s="729"/>
      <c r="AB332" s="729"/>
      <c r="AC332" s="729"/>
      <c r="AD332" s="729"/>
      <c r="AE332" s="729"/>
      <c r="AF332" s="729"/>
      <c r="AG332" s="729"/>
      <c r="AH332" s="729"/>
      <c r="AI332" s="729"/>
      <c r="AJ332" s="729"/>
      <c r="AK332" s="729"/>
      <c r="AL332" s="729"/>
      <c r="AM332" s="729"/>
      <c r="AN332" s="729"/>
      <c r="AO332" s="729"/>
      <c r="AP332" s="729"/>
      <c r="AQ332" s="729"/>
      <c r="AR332" s="729"/>
      <c r="AS332" s="729"/>
      <c r="AT332" s="729"/>
      <c r="AU332" s="729"/>
      <c r="AV332" s="729"/>
      <c r="AW332" s="729"/>
      <c r="AX332" s="729"/>
      <c r="AY332" s="729"/>
      <c r="AZ332" s="729"/>
      <c r="BA332" s="729"/>
      <c r="BB332" s="729"/>
      <c r="BC332" s="729"/>
      <c r="BD332" s="729"/>
      <c r="BE332" s="729"/>
      <c r="BF332" s="729"/>
      <c r="BG332" s="729"/>
      <c r="BH332" s="729"/>
      <c r="BI332" s="228"/>
      <c r="BJ332" s="729"/>
      <c r="BK332" s="729"/>
      <c r="BL332" s="729"/>
      <c r="BM332" s="729"/>
      <c r="BN332" s="729"/>
      <c r="BO332" s="729"/>
      <c r="BP332" s="729"/>
      <c r="BQ332" s="729"/>
    </row>
    <row r="333" spans="1:69" ht="12.75" customHeight="1">
      <c r="A333" s="1010"/>
      <c r="B333" s="729"/>
      <c r="C333" s="729"/>
      <c r="D333" s="729"/>
      <c r="E333" s="1010"/>
      <c r="F333" s="12"/>
      <c r="G333" s="12"/>
      <c r="H333" s="1011"/>
      <c r="I333" s="1011"/>
      <c r="J333" s="1012"/>
      <c r="K333" s="1011"/>
      <c r="L333" s="1011"/>
      <c r="M333" s="1011"/>
      <c r="N333" s="730"/>
      <c r="O333" s="729"/>
      <c r="P333" s="1014"/>
      <c r="Q333" s="1014"/>
      <c r="R333" s="1014"/>
      <c r="S333" s="729"/>
      <c r="T333" s="729"/>
      <c r="U333" s="729"/>
      <c r="V333" s="729"/>
      <c r="W333" s="729"/>
      <c r="X333" s="729"/>
      <c r="Y333" s="729"/>
      <c r="Z333" s="729"/>
      <c r="AA333" s="729"/>
      <c r="AB333" s="729"/>
      <c r="AC333" s="729"/>
      <c r="AD333" s="729"/>
      <c r="AE333" s="729"/>
      <c r="AF333" s="729"/>
      <c r="AG333" s="729"/>
      <c r="AH333" s="729"/>
      <c r="AI333" s="729"/>
      <c r="AJ333" s="729"/>
      <c r="AK333" s="729"/>
      <c r="AL333" s="729"/>
      <c r="AM333" s="729"/>
      <c r="AN333" s="729"/>
      <c r="AO333" s="729"/>
      <c r="AP333" s="729"/>
      <c r="AQ333" s="729"/>
      <c r="AR333" s="729"/>
      <c r="AS333" s="729"/>
      <c r="AT333" s="729"/>
      <c r="AU333" s="729"/>
      <c r="AV333" s="729"/>
      <c r="AW333" s="729"/>
      <c r="AX333" s="729"/>
      <c r="AY333" s="729"/>
      <c r="AZ333" s="729"/>
      <c r="BA333" s="729"/>
      <c r="BB333" s="729"/>
      <c r="BC333" s="729"/>
      <c r="BD333" s="729"/>
      <c r="BE333" s="729"/>
      <c r="BF333" s="729"/>
      <c r="BG333" s="729"/>
      <c r="BH333" s="729"/>
      <c r="BI333" s="228"/>
      <c r="BJ333" s="729"/>
      <c r="BK333" s="729"/>
      <c r="BL333" s="729"/>
      <c r="BM333" s="729"/>
      <c r="BN333" s="729"/>
      <c r="BO333" s="729"/>
      <c r="BP333" s="729"/>
      <c r="BQ333" s="729"/>
    </row>
    <row r="334" spans="1:69" ht="12.75" customHeight="1">
      <c r="A334" s="1010"/>
      <c r="B334" s="729"/>
      <c r="C334" s="729"/>
      <c r="D334" s="729"/>
      <c r="E334" s="1010"/>
      <c r="F334" s="12"/>
      <c r="G334" s="12"/>
      <c r="H334" s="1011"/>
      <c r="I334" s="1011"/>
      <c r="J334" s="1012"/>
      <c r="K334" s="1011"/>
      <c r="L334" s="1011"/>
      <c r="M334" s="1011"/>
      <c r="N334" s="730"/>
      <c r="O334" s="729"/>
      <c r="P334" s="1014"/>
      <c r="Q334" s="1014"/>
      <c r="R334" s="1014"/>
      <c r="S334" s="729"/>
      <c r="T334" s="729"/>
      <c r="U334" s="729"/>
      <c r="V334" s="729"/>
      <c r="W334" s="729"/>
      <c r="X334" s="729"/>
      <c r="Y334" s="729"/>
      <c r="Z334" s="729"/>
      <c r="AA334" s="729"/>
      <c r="AB334" s="729"/>
      <c r="AC334" s="729"/>
      <c r="AD334" s="729"/>
      <c r="AE334" s="729"/>
      <c r="AF334" s="729"/>
      <c r="AG334" s="729"/>
      <c r="AH334" s="729"/>
      <c r="AI334" s="729"/>
      <c r="AJ334" s="729"/>
      <c r="AK334" s="729"/>
      <c r="AL334" s="729"/>
      <c r="AM334" s="729"/>
      <c r="AN334" s="729"/>
      <c r="AO334" s="729"/>
      <c r="AP334" s="729"/>
      <c r="AQ334" s="729"/>
      <c r="AR334" s="729"/>
      <c r="AS334" s="729"/>
      <c r="AT334" s="729"/>
      <c r="AU334" s="729"/>
      <c r="AV334" s="729"/>
      <c r="AW334" s="729"/>
      <c r="AX334" s="729"/>
      <c r="AY334" s="729"/>
      <c r="AZ334" s="729"/>
      <c r="BA334" s="729"/>
      <c r="BB334" s="729"/>
      <c r="BC334" s="729"/>
      <c r="BD334" s="729"/>
      <c r="BE334" s="729"/>
      <c r="BF334" s="729"/>
      <c r="BG334" s="729"/>
      <c r="BH334" s="729"/>
      <c r="BI334" s="228"/>
      <c r="BJ334" s="729"/>
      <c r="BK334" s="729"/>
      <c r="BL334" s="729"/>
      <c r="BM334" s="729"/>
      <c r="BN334" s="729"/>
      <c r="BO334" s="729"/>
      <c r="BP334" s="729"/>
      <c r="BQ334" s="729"/>
    </row>
    <row r="335" spans="1:69" ht="12.75" customHeight="1">
      <c r="A335" s="1010"/>
      <c r="B335" s="729"/>
      <c r="C335" s="729"/>
      <c r="D335" s="729"/>
      <c r="E335" s="1010"/>
      <c r="F335" s="12"/>
      <c r="G335" s="12"/>
      <c r="H335" s="1011"/>
      <c r="I335" s="1011"/>
      <c r="J335" s="1012"/>
      <c r="K335" s="1011"/>
      <c r="L335" s="1011"/>
      <c r="M335" s="1011"/>
      <c r="N335" s="730"/>
      <c r="O335" s="729"/>
      <c r="P335" s="1014"/>
      <c r="Q335" s="1014"/>
      <c r="R335" s="1014"/>
      <c r="S335" s="729"/>
      <c r="T335" s="729"/>
      <c r="U335" s="729"/>
      <c r="V335" s="729"/>
      <c r="W335" s="729"/>
      <c r="X335" s="729"/>
      <c r="Y335" s="729"/>
      <c r="Z335" s="729"/>
      <c r="AA335" s="729"/>
      <c r="AB335" s="729"/>
      <c r="AC335" s="729"/>
      <c r="AD335" s="729"/>
      <c r="AE335" s="729"/>
      <c r="AF335" s="729"/>
      <c r="AG335" s="729"/>
      <c r="AH335" s="729"/>
      <c r="AI335" s="729"/>
      <c r="AJ335" s="729"/>
      <c r="AK335" s="729"/>
      <c r="AL335" s="729"/>
      <c r="AM335" s="729"/>
      <c r="AN335" s="729"/>
      <c r="AO335" s="729"/>
      <c r="AP335" s="729"/>
      <c r="AQ335" s="729"/>
      <c r="AR335" s="729"/>
      <c r="AS335" s="729"/>
      <c r="AT335" s="729"/>
      <c r="AU335" s="729"/>
      <c r="AV335" s="729"/>
      <c r="AW335" s="729"/>
      <c r="AX335" s="729"/>
      <c r="AY335" s="729"/>
      <c r="AZ335" s="729"/>
      <c r="BA335" s="729"/>
      <c r="BB335" s="729"/>
      <c r="BC335" s="729"/>
      <c r="BD335" s="729"/>
      <c r="BE335" s="729"/>
      <c r="BF335" s="729"/>
      <c r="BG335" s="729"/>
      <c r="BH335" s="729"/>
      <c r="BI335" s="228"/>
      <c r="BJ335" s="729"/>
      <c r="BK335" s="729"/>
      <c r="BL335" s="729"/>
      <c r="BM335" s="729"/>
      <c r="BN335" s="729"/>
      <c r="BO335" s="729"/>
      <c r="BP335" s="729"/>
      <c r="BQ335" s="729"/>
    </row>
    <row r="336" spans="1:69" ht="12.75" customHeight="1">
      <c r="A336" s="1010"/>
      <c r="B336" s="729"/>
      <c r="C336" s="729"/>
      <c r="D336" s="729"/>
      <c r="E336" s="1010"/>
      <c r="F336" s="12"/>
      <c r="G336" s="12"/>
      <c r="H336" s="1011"/>
      <c r="I336" s="1011"/>
      <c r="J336" s="1012"/>
      <c r="K336" s="1011"/>
      <c r="L336" s="1011"/>
      <c r="M336" s="1011"/>
      <c r="N336" s="730"/>
      <c r="O336" s="729"/>
      <c r="P336" s="1014"/>
      <c r="Q336" s="1014"/>
      <c r="R336" s="1014"/>
      <c r="S336" s="729"/>
      <c r="T336" s="729"/>
      <c r="U336" s="729"/>
      <c r="V336" s="729"/>
      <c r="W336" s="729"/>
      <c r="X336" s="729"/>
      <c r="Y336" s="729"/>
      <c r="Z336" s="729"/>
      <c r="AA336" s="729"/>
      <c r="AB336" s="729"/>
      <c r="AC336" s="729"/>
      <c r="AD336" s="729"/>
      <c r="AE336" s="729"/>
      <c r="AF336" s="729"/>
      <c r="AG336" s="729"/>
      <c r="AH336" s="729"/>
      <c r="AI336" s="729"/>
      <c r="AJ336" s="729"/>
      <c r="AK336" s="729"/>
      <c r="AL336" s="729"/>
      <c r="AM336" s="729"/>
      <c r="AN336" s="729"/>
      <c r="AO336" s="729"/>
      <c r="AP336" s="729"/>
      <c r="AQ336" s="729"/>
      <c r="AR336" s="729"/>
      <c r="AS336" s="729"/>
      <c r="AT336" s="729"/>
      <c r="AU336" s="729"/>
      <c r="AV336" s="729"/>
      <c r="AW336" s="729"/>
      <c r="AX336" s="729"/>
      <c r="AY336" s="729"/>
      <c r="AZ336" s="729"/>
      <c r="BA336" s="729"/>
      <c r="BB336" s="729"/>
      <c r="BC336" s="729"/>
      <c r="BD336" s="729"/>
      <c r="BE336" s="729"/>
      <c r="BF336" s="729"/>
      <c r="BG336" s="729"/>
      <c r="BH336" s="729"/>
      <c r="BI336" s="228"/>
      <c r="BJ336" s="729"/>
      <c r="BK336" s="729"/>
      <c r="BL336" s="729"/>
      <c r="BM336" s="729"/>
      <c r="BN336" s="729"/>
      <c r="BO336" s="729"/>
      <c r="BP336" s="729"/>
      <c r="BQ336" s="729"/>
    </row>
    <row r="337" spans="1:69" ht="12.75" customHeight="1">
      <c r="A337" s="1010"/>
      <c r="B337" s="729"/>
      <c r="C337" s="729"/>
      <c r="D337" s="729"/>
      <c r="E337" s="1010"/>
      <c r="F337" s="12"/>
      <c r="G337" s="12"/>
      <c r="H337" s="1011"/>
      <c r="I337" s="1011"/>
      <c r="J337" s="1012"/>
      <c r="K337" s="1011"/>
      <c r="L337" s="1011"/>
      <c r="M337" s="1011"/>
      <c r="N337" s="730"/>
      <c r="O337" s="729"/>
      <c r="P337" s="1014"/>
      <c r="Q337" s="1014"/>
      <c r="R337" s="1014"/>
      <c r="S337" s="729"/>
      <c r="T337" s="729"/>
      <c r="U337" s="729"/>
      <c r="V337" s="729"/>
      <c r="W337" s="729"/>
      <c r="X337" s="729"/>
      <c r="Y337" s="729"/>
      <c r="Z337" s="729"/>
      <c r="AA337" s="729"/>
      <c r="AB337" s="729"/>
      <c r="AC337" s="729"/>
      <c r="AD337" s="729"/>
      <c r="AE337" s="729"/>
      <c r="AF337" s="729"/>
      <c r="AG337" s="729"/>
      <c r="AH337" s="729"/>
      <c r="AI337" s="729"/>
      <c r="AJ337" s="729"/>
      <c r="AK337" s="729"/>
      <c r="AL337" s="729"/>
      <c r="AM337" s="729"/>
      <c r="AN337" s="729"/>
      <c r="AO337" s="729"/>
      <c r="AP337" s="729"/>
      <c r="AQ337" s="729"/>
      <c r="AR337" s="729"/>
      <c r="AS337" s="729"/>
      <c r="AT337" s="729"/>
      <c r="AU337" s="729"/>
      <c r="AV337" s="729"/>
      <c r="AW337" s="729"/>
      <c r="AX337" s="729"/>
      <c r="AY337" s="729"/>
      <c r="AZ337" s="729"/>
      <c r="BA337" s="729"/>
      <c r="BB337" s="729"/>
      <c r="BC337" s="729"/>
      <c r="BD337" s="729"/>
      <c r="BE337" s="729"/>
      <c r="BF337" s="729"/>
      <c r="BG337" s="729"/>
      <c r="BH337" s="729"/>
      <c r="BI337" s="228"/>
      <c r="BJ337" s="729"/>
      <c r="BK337" s="729"/>
      <c r="BL337" s="729"/>
      <c r="BM337" s="729"/>
      <c r="BN337" s="729"/>
      <c r="BO337" s="729"/>
      <c r="BP337" s="729"/>
      <c r="BQ337" s="729"/>
    </row>
    <row r="338" spans="1:69" ht="12.75" customHeight="1">
      <c r="A338" s="1010"/>
      <c r="B338" s="729"/>
      <c r="C338" s="729"/>
      <c r="D338" s="729"/>
      <c r="E338" s="1010"/>
      <c r="F338" s="12"/>
      <c r="G338" s="12"/>
      <c r="H338" s="1011"/>
      <c r="I338" s="1011"/>
      <c r="J338" s="1012"/>
      <c r="K338" s="1011"/>
      <c r="L338" s="1011"/>
      <c r="M338" s="1011"/>
      <c r="N338" s="730"/>
      <c r="O338" s="729"/>
      <c r="P338" s="1014"/>
      <c r="Q338" s="1014"/>
      <c r="R338" s="1014"/>
      <c r="S338" s="729"/>
      <c r="T338" s="729"/>
      <c r="U338" s="729"/>
      <c r="V338" s="729"/>
      <c r="W338" s="729"/>
      <c r="X338" s="729"/>
      <c r="Y338" s="729"/>
      <c r="Z338" s="729"/>
      <c r="AA338" s="729"/>
      <c r="AB338" s="729"/>
      <c r="AC338" s="729"/>
      <c r="AD338" s="729"/>
      <c r="AE338" s="729"/>
      <c r="AF338" s="729"/>
      <c r="AG338" s="729"/>
      <c r="AH338" s="729"/>
      <c r="AI338" s="729"/>
      <c r="AJ338" s="729"/>
      <c r="AK338" s="729"/>
      <c r="AL338" s="729"/>
      <c r="AM338" s="729"/>
      <c r="AN338" s="729"/>
      <c r="AO338" s="729"/>
      <c r="AP338" s="729"/>
      <c r="AQ338" s="729"/>
      <c r="AR338" s="729"/>
      <c r="AS338" s="729"/>
      <c r="AT338" s="729"/>
      <c r="AU338" s="729"/>
      <c r="AV338" s="729"/>
      <c r="AW338" s="729"/>
      <c r="AX338" s="729"/>
      <c r="AY338" s="729"/>
      <c r="AZ338" s="729"/>
      <c r="BA338" s="729"/>
      <c r="BB338" s="729"/>
      <c r="BC338" s="729"/>
      <c r="BD338" s="729"/>
      <c r="BE338" s="729"/>
      <c r="BF338" s="729"/>
      <c r="BG338" s="729"/>
      <c r="BH338" s="729"/>
      <c r="BI338" s="228"/>
      <c r="BJ338" s="729"/>
      <c r="BK338" s="729"/>
      <c r="BL338" s="729"/>
      <c r="BM338" s="729"/>
      <c r="BN338" s="729"/>
      <c r="BO338" s="729"/>
      <c r="BP338" s="729"/>
      <c r="BQ338" s="729"/>
    </row>
    <row r="339" spans="1:69" ht="12.75" customHeight="1">
      <c r="A339" s="1010"/>
      <c r="B339" s="729"/>
      <c r="C339" s="729"/>
      <c r="D339" s="729"/>
      <c r="E339" s="1010"/>
      <c r="F339" s="12"/>
      <c r="G339" s="12"/>
      <c r="H339" s="1011"/>
      <c r="I339" s="1011"/>
      <c r="J339" s="1012"/>
      <c r="K339" s="1011"/>
      <c r="L339" s="1011"/>
      <c r="M339" s="1011"/>
      <c r="N339" s="730"/>
      <c r="O339" s="729"/>
      <c r="P339" s="1014"/>
      <c r="Q339" s="1014"/>
      <c r="R339" s="1014"/>
      <c r="S339" s="729"/>
      <c r="T339" s="729"/>
      <c r="U339" s="729"/>
      <c r="V339" s="729"/>
      <c r="W339" s="729"/>
      <c r="X339" s="729"/>
      <c r="Y339" s="729"/>
      <c r="Z339" s="729"/>
      <c r="AA339" s="729"/>
      <c r="AB339" s="729"/>
      <c r="AC339" s="729"/>
      <c r="AD339" s="729"/>
      <c r="AE339" s="729"/>
      <c r="AF339" s="729"/>
      <c r="AG339" s="729"/>
      <c r="AH339" s="729"/>
      <c r="AI339" s="729"/>
      <c r="AJ339" s="729"/>
      <c r="AK339" s="729"/>
      <c r="AL339" s="729"/>
      <c r="AM339" s="729"/>
      <c r="AN339" s="729"/>
      <c r="AO339" s="729"/>
      <c r="AP339" s="729"/>
      <c r="AQ339" s="729"/>
      <c r="AR339" s="729"/>
      <c r="AS339" s="729"/>
      <c r="AT339" s="729"/>
      <c r="AU339" s="729"/>
      <c r="AV339" s="729"/>
      <c r="AW339" s="729"/>
      <c r="AX339" s="729"/>
      <c r="AY339" s="729"/>
      <c r="AZ339" s="729"/>
      <c r="BA339" s="729"/>
      <c r="BB339" s="729"/>
      <c r="BC339" s="729"/>
      <c r="BD339" s="729"/>
      <c r="BE339" s="729"/>
      <c r="BF339" s="729"/>
      <c r="BG339" s="729"/>
      <c r="BH339" s="729"/>
      <c r="BI339" s="228"/>
      <c r="BJ339" s="729"/>
      <c r="BK339" s="729"/>
      <c r="BL339" s="729"/>
      <c r="BM339" s="729"/>
      <c r="BN339" s="729"/>
      <c r="BO339" s="729"/>
      <c r="BP339" s="729"/>
      <c r="BQ339" s="729"/>
    </row>
    <row r="340" spans="1:69" ht="12.75" customHeight="1">
      <c r="A340" s="1010"/>
      <c r="B340" s="729"/>
      <c r="C340" s="729"/>
      <c r="D340" s="729"/>
      <c r="E340" s="1010"/>
      <c r="F340" s="12"/>
      <c r="G340" s="12"/>
      <c r="H340" s="1011"/>
      <c r="I340" s="1011"/>
      <c r="J340" s="1012"/>
      <c r="K340" s="1011"/>
      <c r="L340" s="1011"/>
      <c r="M340" s="1011"/>
      <c r="N340" s="730"/>
      <c r="O340" s="729"/>
      <c r="P340" s="1014"/>
      <c r="Q340" s="1014"/>
      <c r="R340" s="1014"/>
      <c r="S340" s="729"/>
      <c r="T340" s="729"/>
      <c r="U340" s="729"/>
      <c r="V340" s="729"/>
      <c r="W340" s="729"/>
      <c r="X340" s="729"/>
      <c r="Y340" s="729"/>
      <c r="Z340" s="729"/>
      <c r="AA340" s="729"/>
      <c r="AB340" s="729"/>
      <c r="AC340" s="729"/>
      <c r="AD340" s="729"/>
      <c r="AE340" s="729"/>
      <c r="AF340" s="729"/>
      <c r="AG340" s="729"/>
      <c r="AH340" s="729"/>
      <c r="AI340" s="729"/>
      <c r="AJ340" s="729"/>
      <c r="AK340" s="729"/>
      <c r="AL340" s="729"/>
      <c r="AM340" s="729"/>
      <c r="AN340" s="729"/>
      <c r="AO340" s="729"/>
      <c r="AP340" s="729"/>
      <c r="AQ340" s="729"/>
      <c r="AR340" s="729"/>
      <c r="AS340" s="729"/>
      <c r="AT340" s="729"/>
      <c r="AU340" s="729"/>
      <c r="AV340" s="729"/>
      <c r="AW340" s="729"/>
      <c r="AX340" s="729"/>
      <c r="AY340" s="729"/>
      <c r="AZ340" s="729"/>
      <c r="BA340" s="729"/>
      <c r="BB340" s="729"/>
      <c r="BC340" s="729"/>
      <c r="BD340" s="729"/>
      <c r="BE340" s="729"/>
      <c r="BF340" s="729"/>
      <c r="BG340" s="729"/>
      <c r="BH340" s="729"/>
      <c r="BI340" s="228"/>
      <c r="BJ340" s="729"/>
      <c r="BK340" s="729"/>
      <c r="BL340" s="729"/>
      <c r="BM340" s="729"/>
      <c r="BN340" s="729"/>
      <c r="BO340" s="729"/>
      <c r="BP340" s="729"/>
      <c r="BQ340" s="729"/>
    </row>
    <row r="341" spans="1:69" ht="12.75" customHeight="1">
      <c r="A341" s="1010"/>
      <c r="B341" s="729"/>
      <c r="C341" s="729"/>
      <c r="D341" s="729"/>
      <c r="E341" s="1010"/>
      <c r="F341" s="12"/>
      <c r="G341" s="12"/>
      <c r="H341" s="1011"/>
      <c r="I341" s="1011"/>
      <c r="J341" s="1012"/>
      <c r="K341" s="1011"/>
      <c r="L341" s="1011"/>
      <c r="M341" s="1011"/>
      <c r="N341" s="730"/>
      <c r="O341" s="729"/>
      <c r="P341" s="1014"/>
      <c r="Q341" s="1014"/>
      <c r="R341" s="1014"/>
      <c r="S341" s="729"/>
      <c r="T341" s="729"/>
      <c r="U341" s="729"/>
      <c r="V341" s="729"/>
      <c r="W341" s="729"/>
      <c r="X341" s="729"/>
      <c r="Y341" s="729"/>
      <c r="Z341" s="729"/>
      <c r="AA341" s="729"/>
      <c r="AB341" s="729"/>
      <c r="AC341" s="729"/>
      <c r="AD341" s="729"/>
      <c r="AE341" s="729"/>
      <c r="AF341" s="729"/>
      <c r="AG341" s="729"/>
      <c r="AH341" s="729"/>
      <c r="AI341" s="729"/>
      <c r="AJ341" s="729"/>
      <c r="AK341" s="729"/>
      <c r="AL341" s="729"/>
      <c r="AM341" s="729"/>
      <c r="AN341" s="729"/>
      <c r="AO341" s="729"/>
      <c r="AP341" s="729"/>
      <c r="AQ341" s="729"/>
      <c r="AR341" s="729"/>
      <c r="AS341" s="729"/>
      <c r="AT341" s="729"/>
      <c r="AU341" s="729"/>
      <c r="AV341" s="729"/>
      <c r="AW341" s="729"/>
      <c r="AX341" s="729"/>
      <c r="AY341" s="729"/>
      <c r="AZ341" s="729"/>
      <c r="BA341" s="729"/>
      <c r="BB341" s="729"/>
      <c r="BC341" s="729"/>
      <c r="BD341" s="729"/>
      <c r="BE341" s="729"/>
      <c r="BF341" s="729"/>
      <c r="BG341" s="729"/>
      <c r="BH341" s="729"/>
      <c r="BI341" s="228"/>
      <c r="BJ341" s="729"/>
      <c r="BK341" s="729"/>
      <c r="BL341" s="729"/>
      <c r="BM341" s="729"/>
      <c r="BN341" s="729"/>
      <c r="BO341" s="729"/>
      <c r="BP341" s="729"/>
      <c r="BQ341" s="729"/>
    </row>
    <row r="342" spans="1:69" ht="12.75" customHeight="1">
      <c r="A342" s="1010"/>
      <c r="B342" s="729"/>
      <c r="C342" s="729"/>
      <c r="D342" s="729"/>
      <c r="E342" s="1010"/>
      <c r="F342" s="12"/>
      <c r="G342" s="12"/>
      <c r="H342" s="1011"/>
      <c r="I342" s="1011"/>
      <c r="J342" s="1012"/>
      <c r="K342" s="1011"/>
      <c r="L342" s="1011"/>
      <c r="M342" s="1011"/>
      <c r="N342" s="730"/>
      <c r="O342" s="729"/>
      <c r="P342" s="1014"/>
      <c r="Q342" s="1014"/>
      <c r="R342" s="1014"/>
      <c r="S342" s="729"/>
      <c r="T342" s="729"/>
      <c r="U342" s="729"/>
      <c r="V342" s="729"/>
      <c r="W342" s="729"/>
      <c r="X342" s="729"/>
      <c r="Y342" s="729"/>
      <c r="Z342" s="729"/>
      <c r="AA342" s="729"/>
      <c r="AB342" s="729"/>
      <c r="AC342" s="729"/>
      <c r="AD342" s="729"/>
      <c r="AE342" s="729"/>
      <c r="AF342" s="729"/>
      <c r="AG342" s="729"/>
      <c r="AH342" s="729"/>
      <c r="AI342" s="729"/>
      <c r="AJ342" s="729"/>
      <c r="AK342" s="729"/>
      <c r="AL342" s="729"/>
      <c r="AM342" s="729"/>
      <c r="AN342" s="729"/>
      <c r="AO342" s="729"/>
      <c r="AP342" s="729"/>
      <c r="AQ342" s="729"/>
      <c r="AR342" s="729"/>
      <c r="AS342" s="729"/>
      <c r="AT342" s="729"/>
      <c r="AU342" s="729"/>
      <c r="AV342" s="729"/>
      <c r="AW342" s="729"/>
      <c r="AX342" s="729"/>
      <c r="AY342" s="729"/>
      <c r="AZ342" s="729"/>
      <c r="BA342" s="729"/>
      <c r="BB342" s="729"/>
      <c r="BC342" s="729"/>
      <c r="BD342" s="729"/>
      <c r="BE342" s="729"/>
      <c r="BF342" s="729"/>
      <c r="BG342" s="729"/>
      <c r="BH342" s="729"/>
      <c r="BI342" s="228"/>
      <c r="BJ342" s="729"/>
      <c r="BK342" s="729"/>
      <c r="BL342" s="729"/>
      <c r="BM342" s="729"/>
      <c r="BN342" s="729"/>
      <c r="BO342" s="729"/>
      <c r="BP342" s="729"/>
      <c r="BQ342" s="729"/>
    </row>
    <row r="343" spans="1:69" ht="12.75" customHeight="1">
      <c r="A343" s="1010"/>
      <c r="B343" s="729"/>
      <c r="C343" s="729"/>
      <c r="D343" s="729"/>
      <c r="E343" s="1010"/>
      <c r="F343" s="12"/>
      <c r="G343" s="12"/>
      <c r="H343" s="1011"/>
      <c r="I343" s="1011"/>
      <c r="J343" s="1012"/>
      <c r="K343" s="1011"/>
      <c r="L343" s="1011"/>
      <c r="M343" s="1011"/>
      <c r="N343" s="730"/>
      <c r="O343" s="729"/>
      <c r="P343" s="1014"/>
      <c r="Q343" s="1014"/>
      <c r="R343" s="1014"/>
      <c r="S343" s="729"/>
      <c r="T343" s="729"/>
      <c r="U343" s="729"/>
      <c r="V343" s="729"/>
      <c r="W343" s="729"/>
      <c r="X343" s="729"/>
      <c r="Y343" s="729"/>
      <c r="Z343" s="729"/>
      <c r="AA343" s="729"/>
      <c r="AB343" s="729"/>
      <c r="AC343" s="729"/>
      <c r="AD343" s="729"/>
      <c r="AE343" s="729"/>
      <c r="AF343" s="729"/>
      <c r="AG343" s="729"/>
      <c r="AH343" s="729"/>
      <c r="AI343" s="729"/>
      <c r="AJ343" s="729"/>
      <c r="AK343" s="729"/>
      <c r="AL343" s="729"/>
      <c r="AM343" s="729"/>
      <c r="AN343" s="729"/>
      <c r="AO343" s="729"/>
      <c r="AP343" s="729"/>
      <c r="AQ343" s="729"/>
      <c r="AR343" s="729"/>
      <c r="AS343" s="729"/>
      <c r="AT343" s="729"/>
      <c r="AU343" s="729"/>
      <c r="AV343" s="729"/>
      <c r="AW343" s="729"/>
      <c r="AX343" s="729"/>
      <c r="AY343" s="729"/>
      <c r="AZ343" s="729"/>
      <c r="BA343" s="729"/>
      <c r="BB343" s="729"/>
      <c r="BC343" s="729"/>
      <c r="BD343" s="729"/>
      <c r="BE343" s="729"/>
      <c r="BF343" s="729"/>
      <c r="BG343" s="729"/>
      <c r="BH343" s="729"/>
      <c r="BI343" s="228"/>
      <c r="BJ343" s="729"/>
      <c r="BK343" s="729"/>
      <c r="BL343" s="729"/>
      <c r="BM343" s="729"/>
      <c r="BN343" s="729"/>
      <c r="BO343" s="729"/>
      <c r="BP343" s="729"/>
      <c r="BQ343" s="729"/>
    </row>
    <row r="344" spans="1:69" ht="12.75" customHeight="1">
      <c r="A344" s="1010"/>
      <c r="B344" s="729"/>
      <c r="C344" s="729"/>
      <c r="D344" s="729"/>
      <c r="E344" s="1010"/>
      <c r="F344" s="12"/>
      <c r="G344" s="12"/>
      <c r="H344" s="1011"/>
      <c r="I344" s="1011"/>
      <c r="J344" s="1012"/>
      <c r="K344" s="1011"/>
      <c r="L344" s="1011"/>
      <c r="M344" s="1011"/>
      <c r="N344" s="730"/>
      <c r="O344" s="729"/>
      <c r="P344" s="1014"/>
      <c r="Q344" s="1014"/>
      <c r="R344" s="1014"/>
      <c r="S344" s="729"/>
      <c r="T344" s="729"/>
      <c r="U344" s="729"/>
      <c r="V344" s="729"/>
      <c r="W344" s="729"/>
      <c r="X344" s="729"/>
      <c r="Y344" s="729"/>
      <c r="Z344" s="729"/>
      <c r="AA344" s="729"/>
      <c r="AB344" s="729"/>
      <c r="AC344" s="729"/>
      <c r="AD344" s="729"/>
      <c r="AE344" s="729"/>
      <c r="AF344" s="729"/>
      <c r="AG344" s="729"/>
      <c r="AH344" s="729"/>
      <c r="AI344" s="729"/>
      <c r="AJ344" s="729"/>
      <c r="AK344" s="729"/>
      <c r="AL344" s="729"/>
      <c r="AM344" s="729"/>
      <c r="AN344" s="729"/>
      <c r="AO344" s="729"/>
      <c r="AP344" s="729"/>
      <c r="AQ344" s="729"/>
      <c r="AR344" s="729"/>
      <c r="AS344" s="729"/>
      <c r="AT344" s="729"/>
      <c r="AU344" s="729"/>
      <c r="AV344" s="729"/>
      <c r="AW344" s="729"/>
      <c r="AX344" s="729"/>
      <c r="AY344" s="729"/>
      <c r="AZ344" s="729"/>
      <c r="BA344" s="729"/>
      <c r="BB344" s="729"/>
      <c r="BC344" s="729"/>
      <c r="BD344" s="729"/>
      <c r="BE344" s="729"/>
      <c r="BF344" s="729"/>
      <c r="BG344" s="729"/>
      <c r="BH344" s="729"/>
      <c r="BI344" s="228"/>
      <c r="BJ344" s="729"/>
      <c r="BK344" s="729"/>
      <c r="BL344" s="729"/>
      <c r="BM344" s="729"/>
      <c r="BN344" s="729"/>
      <c r="BO344" s="729"/>
      <c r="BP344" s="729"/>
      <c r="BQ344" s="729"/>
    </row>
    <row r="345" spans="1:69" ht="12.75" customHeight="1">
      <c r="A345" s="1010"/>
      <c r="B345" s="729"/>
      <c r="C345" s="729"/>
      <c r="D345" s="729"/>
      <c r="E345" s="1010"/>
      <c r="F345" s="12"/>
      <c r="G345" s="12"/>
      <c r="H345" s="1011"/>
      <c r="I345" s="1011"/>
      <c r="J345" s="1012"/>
      <c r="K345" s="1011"/>
      <c r="L345" s="1011"/>
      <c r="M345" s="1011"/>
      <c r="N345" s="730"/>
      <c r="O345" s="729"/>
      <c r="P345" s="1014"/>
      <c r="Q345" s="1014"/>
      <c r="R345" s="1014"/>
      <c r="S345" s="729"/>
      <c r="T345" s="729"/>
      <c r="U345" s="729"/>
      <c r="V345" s="729"/>
      <c r="W345" s="729"/>
      <c r="X345" s="729"/>
      <c r="Y345" s="729"/>
      <c r="Z345" s="729"/>
      <c r="AA345" s="729"/>
      <c r="AB345" s="729"/>
      <c r="AC345" s="729"/>
      <c r="AD345" s="729"/>
      <c r="AE345" s="729"/>
      <c r="AF345" s="729"/>
      <c r="AG345" s="729"/>
      <c r="AH345" s="729"/>
      <c r="AI345" s="729"/>
      <c r="AJ345" s="729"/>
      <c r="AK345" s="729"/>
      <c r="AL345" s="729"/>
      <c r="AM345" s="729"/>
      <c r="AN345" s="729"/>
      <c r="AO345" s="729"/>
      <c r="AP345" s="729"/>
      <c r="AQ345" s="729"/>
      <c r="AR345" s="729"/>
      <c r="AS345" s="729"/>
      <c r="AT345" s="729"/>
      <c r="AU345" s="729"/>
      <c r="AV345" s="729"/>
      <c r="AW345" s="729"/>
      <c r="AX345" s="729"/>
      <c r="AY345" s="729"/>
      <c r="AZ345" s="729"/>
      <c r="BA345" s="729"/>
      <c r="BB345" s="729"/>
      <c r="BC345" s="729"/>
      <c r="BD345" s="729"/>
      <c r="BE345" s="729"/>
      <c r="BF345" s="729"/>
      <c r="BG345" s="729"/>
      <c r="BH345" s="729"/>
      <c r="BI345" s="228"/>
      <c r="BJ345" s="729"/>
      <c r="BK345" s="729"/>
      <c r="BL345" s="729"/>
      <c r="BM345" s="729"/>
      <c r="BN345" s="729"/>
      <c r="BO345" s="729"/>
      <c r="BP345" s="729"/>
      <c r="BQ345" s="729"/>
    </row>
    <row r="346" spans="1:69" ht="12.75" customHeight="1">
      <c r="A346" s="1010"/>
      <c r="B346" s="729"/>
      <c r="C346" s="729"/>
      <c r="D346" s="729"/>
      <c r="E346" s="1010"/>
      <c r="F346" s="12"/>
      <c r="G346" s="12"/>
      <c r="H346" s="1011"/>
      <c r="I346" s="1011"/>
      <c r="J346" s="1012"/>
      <c r="K346" s="1011"/>
      <c r="L346" s="1011"/>
      <c r="M346" s="1011"/>
      <c r="N346" s="730"/>
      <c r="O346" s="729"/>
      <c r="P346" s="1014"/>
      <c r="Q346" s="1014"/>
      <c r="R346" s="1014"/>
      <c r="S346" s="729"/>
      <c r="T346" s="729"/>
      <c r="U346" s="729"/>
      <c r="V346" s="729"/>
      <c r="W346" s="729"/>
      <c r="X346" s="729"/>
      <c r="Y346" s="729"/>
      <c r="Z346" s="729"/>
      <c r="AA346" s="729"/>
      <c r="AB346" s="729"/>
      <c r="AC346" s="729"/>
      <c r="AD346" s="729"/>
      <c r="AE346" s="729"/>
      <c r="AF346" s="729"/>
      <c r="AG346" s="729"/>
      <c r="AH346" s="729"/>
      <c r="AI346" s="729"/>
      <c r="AJ346" s="729"/>
      <c r="AK346" s="729"/>
      <c r="AL346" s="729"/>
      <c r="AM346" s="729"/>
      <c r="AN346" s="729"/>
      <c r="AO346" s="729"/>
      <c r="AP346" s="729"/>
      <c r="AQ346" s="729"/>
      <c r="AR346" s="729"/>
      <c r="AS346" s="729"/>
      <c r="AT346" s="729"/>
      <c r="AU346" s="729"/>
      <c r="AV346" s="729"/>
      <c r="AW346" s="729"/>
      <c r="AX346" s="729"/>
      <c r="AY346" s="729"/>
      <c r="AZ346" s="729"/>
      <c r="BA346" s="729"/>
      <c r="BB346" s="729"/>
      <c r="BC346" s="729"/>
      <c r="BD346" s="729"/>
      <c r="BE346" s="729"/>
      <c r="BF346" s="729"/>
      <c r="BG346" s="729"/>
      <c r="BH346" s="729"/>
      <c r="BI346" s="228"/>
      <c r="BJ346" s="729"/>
      <c r="BK346" s="729"/>
      <c r="BL346" s="729"/>
      <c r="BM346" s="729"/>
      <c r="BN346" s="729"/>
      <c r="BO346" s="729"/>
      <c r="BP346" s="729"/>
      <c r="BQ346" s="729"/>
    </row>
    <row r="347" spans="1:69" ht="12.75" customHeight="1">
      <c r="A347" s="1010"/>
      <c r="B347" s="729"/>
      <c r="C347" s="729"/>
      <c r="D347" s="729"/>
      <c r="E347" s="1010"/>
      <c r="F347" s="12"/>
      <c r="G347" s="12"/>
      <c r="H347" s="1011"/>
      <c r="I347" s="1011"/>
      <c r="J347" s="1012"/>
      <c r="K347" s="1011"/>
      <c r="L347" s="1011"/>
      <c r="M347" s="1011"/>
      <c r="N347" s="730"/>
      <c r="O347" s="729"/>
      <c r="P347" s="1014"/>
      <c r="Q347" s="1014"/>
      <c r="R347" s="1014"/>
      <c r="S347" s="729"/>
      <c r="T347" s="729"/>
      <c r="U347" s="729"/>
      <c r="V347" s="729"/>
      <c r="W347" s="729"/>
      <c r="X347" s="729"/>
      <c r="Y347" s="729"/>
      <c r="Z347" s="729"/>
      <c r="AA347" s="729"/>
      <c r="AB347" s="729"/>
      <c r="AC347" s="729"/>
      <c r="AD347" s="729"/>
      <c r="AE347" s="729"/>
      <c r="AF347" s="729"/>
      <c r="AG347" s="729"/>
      <c r="AH347" s="729"/>
      <c r="AI347" s="729"/>
      <c r="AJ347" s="729"/>
      <c r="AK347" s="729"/>
      <c r="AL347" s="729"/>
      <c r="AM347" s="729"/>
      <c r="AN347" s="729"/>
      <c r="AO347" s="729"/>
      <c r="AP347" s="729"/>
      <c r="AQ347" s="729"/>
      <c r="AR347" s="729"/>
      <c r="AS347" s="729"/>
      <c r="AT347" s="729"/>
      <c r="AU347" s="729"/>
      <c r="AV347" s="729"/>
      <c r="AW347" s="729"/>
      <c r="AX347" s="729"/>
      <c r="AY347" s="729"/>
      <c r="AZ347" s="729"/>
      <c r="BA347" s="729"/>
      <c r="BB347" s="729"/>
      <c r="BC347" s="729"/>
      <c r="BD347" s="729"/>
      <c r="BE347" s="729"/>
      <c r="BF347" s="729"/>
      <c r="BG347" s="729"/>
      <c r="BH347" s="729"/>
      <c r="BI347" s="228"/>
      <c r="BJ347" s="729"/>
      <c r="BK347" s="729"/>
      <c r="BL347" s="729"/>
      <c r="BM347" s="729"/>
      <c r="BN347" s="729"/>
      <c r="BO347" s="729"/>
      <c r="BP347" s="729"/>
      <c r="BQ347" s="729"/>
    </row>
    <row r="348" spans="1:69" ht="12.75" customHeight="1">
      <c r="A348" s="1010"/>
      <c r="B348" s="729"/>
      <c r="C348" s="729"/>
      <c r="D348" s="729"/>
      <c r="E348" s="1010"/>
      <c r="F348" s="12"/>
      <c r="G348" s="12"/>
      <c r="H348" s="1011"/>
      <c r="I348" s="1011"/>
      <c r="J348" s="1012"/>
      <c r="K348" s="1011"/>
      <c r="L348" s="1011"/>
      <c r="M348" s="1011"/>
      <c r="N348" s="730"/>
      <c r="O348" s="729"/>
      <c r="P348" s="1014"/>
      <c r="Q348" s="1014"/>
      <c r="R348" s="1014"/>
      <c r="S348" s="729"/>
      <c r="T348" s="729"/>
      <c r="U348" s="729"/>
      <c r="V348" s="729"/>
      <c r="W348" s="729"/>
      <c r="X348" s="729"/>
      <c r="Y348" s="729"/>
      <c r="Z348" s="729"/>
      <c r="AA348" s="729"/>
      <c r="AB348" s="729"/>
      <c r="AC348" s="729"/>
      <c r="AD348" s="729"/>
      <c r="AE348" s="729"/>
      <c r="AF348" s="729"/>
      <c r="AG348" s="729"/>
      <c r="AH348" s="729"/>
      <c r="AI348" s="729"/>
      <c r="AJ348" s="729"/>
      <c r="AK348" s="729"/>
      <c r="AL348" s="729"/>
      <c r="AM348" s="729"/>
      <c r="AN348" s="729"/>
      <c r="AO348" s="729"/>
      <c r="AP348" s="729"/>
      <c r="AQ348" s="729"/>
      <c r="AR348" s="729"/>
      <c r="AS348" s="729"/>
      <c r="AT348" s="729"/>
      <c r="AU348" s="729"/>
      <c r="AV348" s="729"/>
      <c r="AW348" s="729"/>
      <c r="AX348" s="729"/>
      <c r="AY348" s="729"/>
      <c r="AZ348" s="729"/>
      <c r="BA348" s="729"/>
      <c r="BB348" s="729"/>
      <c r="BC348" s="729"/>
      <c r="BD348" s="729"/>
      <c r="BE348" s="729"/>
      <c r="BF348" s="729"/>
      <c r="BG348" s="729"/>
      <c r="BH348" s="729"/>
      <c r="BI348" s="228"/>
      <c r="BJ348" s="729"/>
      <c r="BK348" s="729"/>
      <c r="BL348" s="729"/>
      <c r="BM348" s="729"/>
      <c r="BN348" s="729"/>
      <c r="BO348" s="729"/>
      <c r="BP348" s="729"/>
      <c r="BQ348" s="729"/>
    </row>
    <row r="349" spans="1:69" ht="12.75" customHeight="1">
      <c r="A349" s="1010"/>
      <c r="B349" s="729"/>
      <c r="C349" s="729"/>
      <c r="D349" s="729"/>
      <c r="E349" s="1010"/>
      <c r="F349" s="12"/>
      <c r="G349" s="12"/>
      <c r="H349" s="1011"/>
      <c r="I349" s="1011"/>
      <c r="J349" s="1012"/>
      <c r="K349" s="1011"/>
      <c r="L349" s="1011"/>
      <c r="M349" s="1011"/>
      <c r="N349" s="730"/>
      <c r="O349" s="729"/>
      <c r="P349" s="1014"/>
      <c r="Q349" s="1014"/>
      <c r="R349" s="1014"/>
      <c r="S349" s="729"/>
      <c r="T349" s="729"/>
      <c r="U349" s="729"/>
      <c r="V349" s="729"/>
      <c r="W349" s="729"/>
      <c r="X349" s="729"/>
      <c r="Y349" s="729"/>
      <c r="Z349" s="729"/>
      <c r="AA349" s="729"/>
      <c r="AB349" s="729"/>
      <c r="AC349" s="729"/>
      <c r="AD349" s="729"/>
      <c r="AE349" s="729"/>
      <c r="AF349" s="729"/>
      <c r="AG349" s="729"/>
      <c r="AH349" s="729"/>
      <c r="AI349" s="729"/>
      <c r="AJ349" s="729"/>
      <c r="AK349" s="729"/>
      <c r="AL349" s="729"/>
      <c r="AM349" s="729"/>
      <c r="AN349" s="729"/>
      <c r="AO349" s="729"/>
      <c r="AP349" s="729"/>
      <c r="AQ349" s="729"/>
      <c r="AR349" s="729"/>
      <c r="AS349" s="729"/>
      <c r="AT349" s="729"/>
      <c r="AU349" s="729"/>
      <c r="AV349" s="729"/>
      <c r="AW349" s="729"/>
      <c r="AX349" s="729"/>
      <c r="AY349" s="729"/>
      <c r="AZ349" s="729"/>
      <c r="BA349" s="729"/>
      <c r="BB349" s="729"/>
      <c r="BC349" s="729"/>
      <c r="BD349" s="729"/>
      <c r="BE349" s="729"/>
      <c r="BF349" s="729"/>
      <c r="BG349" s="729"/>
      <c r="BH349" s="729"/>
      <c r="BI349" s="228"/>
      <c r="BJ349" s="729"/>
      <c r="BK349" s="729"/>
      <c r="BL349" s="729"/>
      <c r="BM349" s="729"/>
      <c r="BN349" s="729"/>
      <c r="BO349" s="729"/>
      <c r="BP349" s="729"/>
      <c r="BQ349" s="729"/>
    </row>
    <row r="350" spans="1:69" ht="12.75" customHeight="1">
      <c r="A350" s="1010"/>
      <c r="B350" s="729"/>
      <c r="C350" s="729"/>
      <c r="D350" s="729"/>
      <c r="E350" s="1010"/>
      <c r="F350" s="12"/>
      <c r="G350" s="12"/>
      <c r="H350" s="1011"/>
      <c r="I350" s="1011"/>
      <c r="J350" s="1012"/>
      <c r="K350" s="1011"/>
      <c r="L350" s="1011"/>
      <c r="M350" s="1011"/>
      <c r="N350" s="730"/>
      <c r="O350" s="729"/>
      <c r="P350" s="1014"/>
      <c r="Q350" s="1014"/>
      <c r="R350" s="1014"/>
      <c r="S350" s="729"/>
      <c r="T350" s="729"/>
      <c r="U350" s="729"/>
      <c r="V350" s="729"/>
      <c r="W350" s="729"/>
      <c r="X350" s="729"/>
      <c r="Y350" s="729"/>
      <c r="Z350" s="729"/>
      <c r="AA350" s="729"/>
      <c r="AB350" s="729"/>
      <c r="AC350" s="729"/>
      <c r="AD350" s="729"/>
      <c r="AE350" s="729"/>
      <c r="AF350" s="729"/>
      <c r="AG350" s="729"/>
      <c r="AH350" s="729"/>
      <c r="AI350" s="729"/>
      <c r="AJ350" s="729"/>
      <c r="AK350" s="729"/>
      <c r="AL350" s="729"/>
      <c r="AM350" s="729"/>
      <c r="AN350" s="729"/>
      <c r="AO350" s="729"/>
      <c r="AP350" s="729"/>
      <c r="AQ350" s="729"/>
      <c r="AR350" s="729"/>
      <c r="AS350" s="729"/>
      <c r="AT350" s="729"/>
      <c r="AU350" s="729"/>
      <c r="AV350" s="729"/>
      <c r="AW350" s="729"/>
      <c r="AX350" s="729"/>
      <c r="AY350" s="729"/>
      <c r="AZ350" s="729"/>
      <c r="BA350" s="729"/>
      <c r="BB350" s="729"/>
      <c r="BC350" s="729"/>
      <c r="BD350" s="729"/>
      <c r="BE350" s="729"/>
      <c r="BF350" s="729"/>
      <c r="BG350" s="729"/>
      <c r="BH350" s="729"/>
      <c r="BI350" s="228"/>
      <c r="BJ350" s="729"/>
      <c r="BK350" s="729"/>
      <c r="BL350" s="729"/>
      <c r="BM350" s="729"/>
      <c r="BN350" s="729"/>
      <c r="BO350" s="729"/>
      <c r="BP350" s="729"/>
      <c r="BQ350" s="729"/>
    </row>
    <row r="351" spans="1:69" ht="12.75" customHeight="1">
      <c r="A351" s="1010"/>
      <c r="B351" s="729"/>
      <c r="C351" s="729"/>
      <c r="D351" s="729"/>
      <c r="E351" s="1010"/>
      <c r="F351" s="12"/>
      <c r="G351" s="12"/>
      <c r="H351" s="1011"/>
      <c r="I351" s="1011"/>
      <c r="J351" s="1012"/>
      <c r="K351" s="1011"/>
      <c r="L351" s="1011"/>
      <c r="M351" s="1011"/>
      <c r="N351" s="730"/>
      <c r="O351" s="729"/>
      <c r="P351" s="1014"/>
      <c r="Q351" s="1014"/>
      <c r="R351" s="1014"/>
      <c r="S351" s="729"/>
      <c r="T351" s="729"/>
      <c r="U351" s="729"/>
      <c r="V351" s="729"/>
      <c r="W351" s="729"/>
      <c r="X351" s="729"/>
      <c r="Y351" s="729"/>
      <c r="Z351" s="729"/>
      <c r="AA351" s="729"/>
      <c r="AB351" s="729"/>
      <c r="AC351" s="729"/>
      <c r="AD351" s="729"/>
      <c r="AE351" s="729"/>
      <c r="AF351" s="729"/>
      <c r="AG351" s="729"/>
      <c r="AH351" s="729"/>
      <c r="AI351" s="729"/>
      <c r="AJ351" s="729"/>
      <c r="AK351" s="729"/>
      <c r="AL351" s="729"/>
      <c r="AM351" s="729"/>
      <c r="AN351" s="729"/>
      <c r="AO351" s="729"/>
      <c r="AP351" s="729"/>
      <c r="AQ351" s="729"/>
      <c r="AR351" s="729"/>
      <c r="AS351" s="729"/>
      <c r="AT351" s="729"/>
      <c r="AU351" s="729"/>
      <c r="AV351" s="729"/>
      <c r="AW351" s="729"/>
      <c r="AX351" s="729"/>
      <c r="AY351" s="729"/>
      <c r="AZ351" s="729"/>
      <c r="BA351" s="729"/>
      <c r="BB351" s="729"/>
      <c r="BC351" s="729"/>
      <c r="BD351" s="729"/>
      <c r="BE351" s="729"/>
      <c r="BF351" s="729"/>
      <c r="BG351" s="729"/>
      <c r="BH351" s="729"/>
      <c r="BI351" s="228"/>
      <c r="BJ351" s="729"/>
      <c r="BK351" s="729"/>
      <c r="BL351" s="729"/>
      <c r="BM351" s="729"/>
      <c r="BN351" s="729"/>
      <c r="BO351" s="729"/>
      <c r="BP351" s="729"/>
      <c r="BQ351" s="729"/>
    </row>
    <row r="352" spans="1:69" ht="12.75" customHeight="1">
      <c r="A352" s="1010"/>
      <c r="B352" s="729"/>
      <c r="C352" s="729"/>
      <c r="D352" s="729"/>
      <c r="E352" s="1010"/>
      <c r="F352" s="12"/>
      <c r="G352" s="12"/>
      <c r="H352" s="1011"/>
      <c r="I352" s="1011"/>
      <c r="J352" s="1012"/>
      <c r="K352" s="1011"/>
      <c r="L352" s="1011"/>
      <c r="M352" s="1011"/>
      <c r="N352" s="730"/>
      <c r="O352" s="729"/>
      <c r="P352" s="1014"/>
      <c r="Q352" s="1014"/>
      <c r="R352" s="1014"/>
      <c r="S352" s="729"/>
      <c r="T352" s="729"/>
      <c r="U352" s="729"/>
      <c r="V352" s="729"/>
      <c r="W352" s="729"/>
      <c r="X352" s="729"/>
      <c r="Y352" s="729"/>
      <c r="Z352" s="729"/>
      <c r="AA352" s="729"/>
      <c r="AB352" s="729"/>
      <c r="AC352" s="729"/>
      <c r="AD352" s="729"/>
      <c r="AE352" s="729"/>
      <c r="AF352" s="729"/>
      <c r="AG352" s="729"/>
      <c r="AH352" s="729"/>
      <c r="AI352" s="729"/>
      <c r="AJ352" s="729"/>
      <c r="AK352" s="729"/>
      <c r="AL352" s="729"/>
      <c r="AM352" s="729"/>
      <c r="AN352" s="729"/>
      <c r="AO352" s="729"/>
      <c r="AP352" s="729"/>
      <c r="AQ352" s="729"/>
      <c r="AR352" s="729"/>
      <c r="AS352" s="729"/>
      <c r="AT352" s="729"/>
      <c r="AU352" s="729"/>
      <c r="AV352" s="729"/>
      <c r="AW352" s="729"/>
      <c r="AX352" s="729"/>
      <c r="AY352" s="729"/>
      <c r="AZ352" s="729"/>
      <c r="BA352" s="729"/>
      <c r="BB352" s="729"/>
      <c r="BC352" s="729"/>
      <c r="BD352" s="729"/>
      <c r="BE352" s="729"/>
      <c r="BF352" s="729"/>
      <c r="BG352" s="729"/>
      <c r="BH352" s="729"/>
      <c r="BI352" s="228"/>
      <c r="BJ352" s="729"/>
      <c r="BK352" s="729"/>
      <c r="BL352" s="729"/>
      <c r="BM352" s="729"/>
      <c r="BN352" s="729"/>
      <c r="BO352" s="729"/>
      <c r="BP352" s="729"/>
      <c r="BQ352" s="729"/>
    </row>
    <row r="353" spans="1:69" ht="12.75" customHeight="1">
      <c r="A353" s="1010"/>
      <c r="B353" s="729"/>
      <c r="C353" s="729"/>
      <c r="D353" s="729"/>
      <c r="E353" s="1010"/>
      <c r="F353" s="12"/>
      <c r="G353" s="12"/>
      <c r="H353" s="1011"/>
      <c r="I353" s="1011"/>
      <c r="J353" s="1012"/>
      <c r="K353" s="1011"/>
      <c r="L353" s="1011"/>
      <c r="M353" s="1011"/>
      <c r="N353" s="730"/>
      <c r="O353" s="729"/>
      <c r="P353" s="1014"/>
      <c r="Q353" s="1014"/>
      <c r="R353" s="1014"/>
      <c r="S353" s="729"/>
      <c r="T353" s="729"/>
      <c r="U353" s="729"/>
      <c r="V353" s="729"/>
      <c r="W353" s="729"/>
      <c r="X353" s="729"/>
      <c r="Y353" s="729"/>
      <c r="Z353" s="729"/>
      <c r="AA353" s="729"/>
      <c r="AB353" s="729"/>
      <c r="AC353" s="729"/>
      <c r="AD353" s="729"/>
      <c r="AE353" s="729"/>
      <c r="AF353" s="729"/>
      <c r="AG353" s="729"/>
      <c r="AH353" s="729"/>
      <c r="AI353" s="729"/>
      <c r="AJ353" s="729"/>
      <c r="AK353" s="729"/>
      <c r="AL353" s="729"/>
      <c r="AM353" s="729"/>
      <c r="AN353" s="729"/>
      <c r="AO353" s="729"/>
      <c r="AP353" s="729"/>
      <c r="AQ353" s="729"/>
      <c r="AR353" s="729"/>
      <c r="AS353" s="729"/>
      <c r="AT353" s="729"/>
      <c r="AU353" s="729"/>
      <c r="AV353" s="729"/>
      <c r="AW353" s="729"/>
      <c r="AX353" s="729"/>
      <c r="AY353" s="729"/>
      <c r="AZ353" s="729"/>
      <c r="BA353" s="729"/>
      <c r="BB353" s="729"/>
      <c r="BC353" s="729"/>
      <c r="BD353" s="729"/>
      <c r="BE353" s="729"/>
      <c r="BF353" s="729"/>
      <c r="BG353" s="729"/>
      <c r="BH353" s="729"/>
      <c r="BI353" s="228"/>
      <c r="BJ353" s="729"/>
      <c r="BK353" s="729"/>
      <c r="BL353" s="729"/>
      <c r="BM353" s="729"/>
      <c r="BN353" s="729"/>
      <c r="BO353" s="729"/>
      <c r="BP353" s="729"/>
      <c r="BQ353" s="729"/>
    </row>
    <row r="354" spans="1:69" ht="12.75" customHeight="1">
      <c r="A354" s="1010"/>
      <c r="B354" s="729"/>
      <c r="C354" s="729"/>
      <c r="D354" s="729"/>
      <c r="E354" s="1010"/>
      <c r="F354" s="12"/>
      <c r="G354" s="12"/>
      <c r="H354" s="1011"/>
      <c r="I354" s="1011"/>
      <c r="J354" s="1012"/>
      <c r="K354" s="1011"/>
      <c r="L354" s="1011"/>
      <c r="M354" s="1011"/>
      <c r="N354" s="730"/>
      <c r="O354" s="729"/>
      <c r="P354" s="1014"/>
      <c r="Q354" s="1014"/>
      <c r="R354" s="1014"/>
      <c r="S354" s="729"/>
      <c r="T354" s="729"/>
      <c r="U354" s="729"/>
      <c r="V354" s="729"/>
      <c r="W354" s="729"/>
      <c r="X354" s="729"/>
      <c r="Y354" s="729"/>
      <c r="Z354" s="729"/>
      <c r="AA354" s="729"/>
      <c r="AB354" s="729"/>
      <c r="AC354" s="729"/>
      <c r="AD354" s="729"/>
      <c r="AE354" s="729"/>
      <c r="AF354" s="729"/>
      <c r="AG354" s="729"/>
      <c r="AH354" s="729"/>
      <c r="AI354" s="729"/>
      <c r="AJ354" s="729"/>
      <c r="AK354" s="729"/>
      <c r="AL354" s="729"/>
      <c r="AM354" s="729"/>
      <c r="AN354" s="729"/>
      <c r="AO354" s="729"/>
      <c r="AP354" s="729"/>
      <c r="AQ354" s="729"/>
      <c r="AR354" s="729"/>
      <c r="AS354" s="729"/>
      <c r="AT354" s="729"/>
      <c r="AU354" s="729"/>
      <c r="AV354" s="729"/>
      <c r="AW354" s="729"/>
      <c r="AX354" s="729"/>
      <c r="AY354" s="729"/>
      <c r="AZ354" s="729"/>
      <c r="BA354" s="729"/>
      <c r="BB354" s="729"/>
      <c r="BC354" s="729"/>
      <c r="BD354" s="729"/>
      <c r="BE354" s="729"/>
      <c r="BF354" s="729"/>
      <c r="BG354" s="729"/>
      <c r="BH354" s="729"/>
      <c r="BI354" s="228"/>
      <c r="BJ354" s="729"/>
      <c r="BK354" s="729"/>
      <c r="BL354" s="729"/>
      <c r="BM354" s="729"/>
      <c r="BN354" s="729"/>
      <c r="BO354" s="729"/>
      <c r="BP354" s="729"/>
      <c r="BQ354" s="729"/>
    </row>
    <row r="355" spans="1:69" ht="12.75" customHeight="1">
      <c r="A355" s="1010"/>
      <c r="B355" s="729"/>
      <c r="C355" s="729"/>
      <c r="D355" s="729"/>
      <c r="E355" s="1010"/>
      <c r="F355" s="12"/>
      <c r="G355" s="12"/>
      <c r="H355" s="1011"/>
      <c r="I355" s="1011"/>
      <c r="J355" s="1012"/>
      <c r="K355" s="1011"/>
      <c r="L355" s="1011"/>
      <c r="M355" s="1011"/>
      <c r="N355" s="730"/>
      <c r="O355" s="729"/>
      <c r="P355" s="1014"/>
      <c r="Q355" s="1014"/>
      <c r="R355" s="1014"/>
      <c r="S355" s="729"/>
      <c r="T355" s="729"/>
      <c r="U355" s="729"/>
      <c r="V355" s="729"/>
      <c r="W355" s="729"/>
      <c r="X355" s="729"/>
      <c r="Y355" s="729"/>
      <c r="Z355" s="729"/>
      <c r="AA355" s="729"/>
      <c r="AB355" s="729"/>
      <c r="AC355" s="729"/>
      <c r="AD355" s="729"/>
      <c r="AE355" s="729"/>
      <c r="AF355" s="729"/>
      <c r="AG355" s="729"/>
      <c r="AH355" s="729"/>
      <c r="AI355" s="729"/>
      <c r="AJ355" s="729"/>
      <c r="AK355" s="729"/>
      <c r="AL355" s="729"/>
      <c r="AM355" s="729"/>
      <c r="AN355" s="729"/>
      <c r="AO355" s="729"/>
      <c r="AP355" s="729"/>
      <c r="AQ355" s="729"/>
      <c r="AR355" s="729"/>
      <c r="AS355" s="729"/>
      <c r="AT355" s="729"/>
      <c r="AU355" s="729"/>
      <c r="AV355" s="729"/>
      <c r="AW355" s="729"/>
      <c r="AX355" s="729"/>
      <c r="AY355" s="729"/>
      <c r="AZ355" s="729"/>
      <c r="BA355" s="729"/>
      <c r="BB355" s="729"/>
      <c r="BC355" s="729"/>
      <c r="BD355" s="729"/>
      <c r="BE355" s="729"/>
      <c r="BF355" s="729"/>
      <c r="BG355" s="729"/>
      <c r="BH355" s="729"/>
      <c r="BI355" s="228"/>
      <c r="BJ355" s="729"/>
      <c r="BK355" s="729"/>
      <c r="BL355" s="729"/>
      <c r="BM355" s="729"/>
      <c r="BN355" s="729"/>
      <c r="BO355" s="729"/>
      <c r="BP355" s="729"/>
      <c r="BQ355" s="729"/>
    </row>
    <row r="356" spans="1:69" ht="12.75" customHeight="1">
      <c r="A356" s="1010"/>
      <c r="B356" s="729"/>
      <c r="C356" s="729"/>
      <c r="D356" s="729"/>
      <c r="E356" s="1010"/>
      <c r="F356" s="12"/>
      <c r="G356" s="12"/>
      <c r="H356" s="1011"/>
      <c r="I356" s="1011"/>
      <c r="J356" s="1012"/>
      <c r="K356" s="1011"/>
      <c r="L356" s="1011"/>
      <c r="M356" s="1011"/>
      <c r="N356" s="730"/>
      <c r="O356" s="729"/>
      <c r="P356" s="1014"/>
      <c r="Q356" s="1014"/>
      <c r="R356" s="1014"/>
      <c r="S356" s="729"/>
      <c r="T356" s="729"/>
      <c r="U356" s="729"/>
      <c r="V356" s="729"/>
      <c r="W356" s="729"/>
      <c r="X356" s="729"/>
      <c r="Y356" s="729"/>
      <c r="Z356" s="729"/>
      <c r="AA356" s="729"/>
      <c r="AB356" s="729"/>
      <c r="AC356" s="729"/>
      <c r="AD356" s="729"/>
      <c r="AE356" s="729"/>
      <c r="AF356" s="729"/>
      <c r="AG356" s="729"/>
      <c r="AH356" s="729"/>
      <c r="AI356" s="729"/>
      <c r="AJ356" s="729"/>
      <c r="AK356" s="729"/>
      <c r="AL356" s="729"/>
      <c r="AM356" s="729"/>
      <c r="AN356" s="729"/>
      <c r="AO356" s="729"/>
      <c r="AP356" s="729"/>
      <c r="AQ356" s="729"/>
      <c r="AR356" s="729"/>
      <c r="AS356" s="729"/>
      <c r="AT356" s="729"/>
      <c r="AU356" s="729"/>
      <c r="AV356" s="729"/>
      <c r="AW356" s="729"/>
      <c r="AX356" s="729"/>
      <c r="AY356" s="729"/>
      <c r="AZ356" s="729"/>
      <c r="BA356" s="729"/>
      <c r="BB356" s="729"/>
      <c r="BC356" s="729"/>
      <c r="BD356" s="729"/>
      <c r="BE356" s="729"/>
      <c r="BF356" s="729"/>
      <c r="BG356" s="729"/>
      <c r="BH356" s="729"/>
      <c r="BI356" s="228"/>
      <c r="BJ356" s="729"/>
      <c r="BK356" s="729"/>
      <c r="BL356" s="729"/>
      <c r="BM356" s="729"/>
      <c r="BN356" s="729"/>
      <c r="BO356" s="729"/>
      <c r="BP356" s="729"/>
      <c r="BQ356" s="729"/>
    </row>
    <row r="357" spans="1:69" ht="12.75" customHeight="1">
      <c r="A357" s="1010"/>
      <c r="B357" s="729"/>
      <c r="C357" s="729"/>
      <c r="D357" s="729"/>
      <c r="E357" s="1010"/>
      <c r="F357" s="12"/>
      <c r="G357" s="12"/>
      <c r="H357" s="1011"/>
      <c r="I357" s="1011"/>
      <c r="J357" s="1012"/>
      <c r="K357" s="1011"/>
      <c r="L357" s="1011"/>
      <c r="M357" s="1011"/>
      <c r="N357" s="730"/>
      <c r="O357" s="729"/>
      <c r="P357" s="1014"/>
      <c r="Q357" s="1014"/>
      <c r="R357" s="1014"/>
      <c r="S357" s="729"/>
      <c r="T357" s="729"/>
      <c r="U357" s="729"/>
      <c r="V357" s="729"/>
      <c r="W357" s="729"/>
      <c r="X357" s="729"/>
      <c r="Y357" s="729"/>
      <c r="Z357" s="729"/>
      <c r="AA357" s="729"/>
      <c r="AB357" s="729"/>
      <c r="AC357" s="729"/>
      <c r="AD357" s="729"/>
      <c r="AE357" s="729"/>
      <c r="AF357" s="729"/>
      <c r="AG357" s="729"/>
      <c r="AH357" s="729"/>
      <c r="AI357" s="729"/>
      <c r="AJ357" s="729"/>
      <c r="AK357" s="729"/>
      <c r="AL357" s="729"/>
      <c r="AM357" s="729"/>
      <c r="AN357" s="729"/>
      <c r="AO357" s="729"/>
      <c r="AP357" s="729"/>
      <c r="AQ357" s="729"/>
      <c r="AR357" s="729"/>
      <c r="AS357" s="729"/>
      <c r="AT357" s="729"/>
      <c r="AU357" s="729"/>
      <c r="AV357" s="729"/>
      <c r="AW357" s="729"/>
      <c r="AX357" s="729"/>
      <c r="AY357" s="729"/>
      <c r="AZ357" s="729"/>
      <c r="BA357" s="729"/>
      <c r="BB357" s="729"/>
      <c r="BC357" s="729"/>
      <c r="BD357" s="729"/>
      <c r="BE357" s="729"/>
      <c r="BF357" s="729"/>
      <c r="BG357" s="729"/>
      <c r="BH357" s="729"/>
      <c r="BI357" s="228"/>
      <c r="BJ357" s="729"/>
      <c r="BK357" s="729"/>
      <c r="BL357" s="729"/>
      <c r="BM357" s="729"/>
      <c r="BN357" s="729"/>
      <c r="BO357" s="729"/>
      <c r="BP357" s="729"/>
      <c r="BQ357" s="729"/>
    </row>
    <row r="358" spans="1:69" ht="12.75" customHeight="1">
      <c r="A358" s="1010"/>
      <c r="B358" s="729"/>
      <c r="C358" s="729"/>
      <c r="D358" s="729"/>
      <c r="E358" s="1010"/>
      <c r="F358" s="12"/>
      <c r="G358" s="12"/>
      <c r="H358" s="1011"/>
      <c r="I358" s="1011"/>
      <c r="J358" s="1012"/>
      <c r="K358" s="1011"/>
      <c r="L358" s="1011"/>
      <c r="M358" s="1011"/>
      <c r="N358" s="730"/>
      <c r="O358" s="729"/>
      <c r="P358" s="1014"/>
      <c r="Q358" s="1014"/>
      <c r="R358" s="1014"/>
      <c r="S358" s="729"/>
      <c r="T358" s="729"/>
      <c r="U358" s="729"/>
      <c r="V358" s="729"/>
      <c r="W358" s="729"/>
      <c r="X358" s="729"/>
      <c r="Y358" s="729"/>
      <c r="Z358" s="729"/>
      <c r="AA358" s="729"/>
      <c r="AB358" s="729"/>
      <c r="AC358" s="729"/>
      <c r="AD358" s="729"/>
      <c r="AE358" s="729"/>
      <c r="AF358" s="729"/>
      <c r="AG358" s="729"/>
      <c r="AH358" s="729"/>
      <c r="AI358" s="729"/>
      <c r="AJ358" s="729"/>
      <c r="AK358" s="729"/>
      <c r="AL358" s="729"/>
      <c r="AM358" s="729"/>
      <c r="AN358" s="729"/>
      <c r="AO358" s="729"/>
      <c r="AP358" s="729"/>
      <c r="AQ358" s="729"/>
      <c r="AR358" s="729"/>
      <c r="AS358" s="729"/>
      <c r="AT358" s="729"/>
      <c r="AU358" s="729"/>
      <c r="AV358" s="729"/>
      <c r="AW358" s="729"/>
      <c r="AX358" s="729"/>
      <c r="AY358" s="729"/>
      <c r="AZ358" s="729"/>
      <c r="BA358" s="729"/>
      <c r="BB358" s="729"/>
      <c r="BC358" s="729"/>
      <c r="BD358" s="729"/>
      <c r="BE358" s="729"/>
      <c r="BF358" s="729"/>
      <c r="BG358" s="729"/>
      <c r="BH358" s="729"/>
      <c r="BI358" s="228"/>
      <c r="BJ358" s="729"/>
      <c r="BK358" s="729"/>
      <c r="BL358" s="729"/>
      <c r="BM358" s="729"/>
      <c r="BN358" s="729"/>
      <c r="BO358" s="729"/>
      <c r="BP358" s="729"/>
      <c r="BQ358" s="729"/>
    </row>
    <row r="359" spans="1:69" ht="12.75" customHeight="1">
      <c r="A359" s="1010"/>
      <c r="B359" s="729"/>
      <c r="C359" s="729"/>
      <c r="D359" s="729"/>
      <c r="E359" s="1010"/>
      <c r="F359" s="12"/>
      <c r="G359" s="12"/>
      <c r="H359" s="1011"/>
      <c r="I359" s="1011"/>
      <c r="J359" s="1012"/>
      <c r="K359" s="1011"/>
      <c r="L359" s="1011"/>
      <c r="M359" s="1011"/>
      <c r="N359" s="730"/>
      <c r="O359" s="729"/>
      <c r="P359" s="1014"/>
      <c r="Q359" s="1014"/>
      <c r="R359" s="1014"/>
      <c r="S359" s="729"/>
      <c r="T359" s="729"/>
      <c r="U359" s="729"/>
      <c r="V359" s="729"/>
      <c r="W359" s="729"/>
      <c r="X359" s="729"/>
      <c r="Y359" s="729"/>
      <c r="Z359" s="729"/>
      <c r="AA359" s="729"/>
      <c r="AB359" s="729"/>
      <c r="AC359" s="729"/>
      <c r="AD359" s="729"/>
      <c r="AE359" s="729"/>
      <c r="AF359" s="729"/>
      <c r="AG359" s="729"/>
      <c r="AH359" s="729"/>
      <c r="AI359" s="729"/>
      <c r="AJ359" s="729"/>
      <c r="AK359" s="729"/>
      <c r="AL359" s="729"/>
      <c r="AM359" s="729"/>
      <c r="AN359" s="729"/>
      <c r="AO359" s="729"/>
      <c r="AP359" s="729"/>
      <c r="AQ359" s="729"/>
      <c r="AR359" s="729"/>
      <c r="AS359" s="729"/>
      <c r="AT359" s="729"/>
      <c r="AU359" s="729"/>
      <c r="AV359" s="729"/>
      <c r="AW359" s="729"/>
      <c r="AX359" s="729"/>
      <c r="AY359" s="729"/>
      <c r="AZ359" s="729"/>
      <c r="BA359" s="729"/>
      <c r="BB359" s="729"/>
      <c r="BC359" s="729"/>
      <c r="BD359" s="729"/>
      <c r="BE359" s="729"/>
      <c r="BF359" s="729"/>
      <c r="BG359" s="729"/>
      <c r="BH359" s="729"/>
      <c r="BI359" s="228"/>
      <c r="BJ359" s="729"/>
      <c r="BK359" s="729"/>
      <c r="BL359" s="729"/>
      <c r="BM359" s="729"/>
      <c r="BN359" s="729"/>
      <c r="BO359" s="729"/>
      <c r="BP359" s="729"/>
      <c r="BQ359" s="729"/>
    </row>
    <row r="360" spans="1:69" ht="12.75" customHeight="1">
      <c r="A360" s="1010"/>
      <c r="B360" s="729"/>
      <c r="C360" s="729"/>
      <c r="D360" s="729"/>
      <c r="E360" s="1010"/>
      <c r="F360" s="12"/>
      <c r="G360" s="12"/>
      <c r="H360" s="1011"/>
      <c r="I360" s="1011"/>
      <c r="J360" s="1012"/>
      <c r="K360" s="1011"/>
      <c r="L360" s="1011"/>
      <c r="M360" s="1011"/>
      <c r="N360" s="730"/>
      <c r="O360" s="729"/>
      <c r="P360" s="1014"/>
      <c r="Q360" s="1014"/>
      <c r="R360" s="1014"/>
      <c r="S360" s="729"/>
      <c r="T360" s="729"/>
      <c r="U360" s="729"/>
      <c r="V360" s="729"/>
      <c r="W360" s="729"/>
      <c r="X360" s="729"/>
      <c r="Y360" s="729"/>
      <c r="Z360" s="729"/>
      <c r="AA360" s="729"/>
      <c r="AB360" s="729"/>
      <c r="AC360" s="729"/>
      <c r="AD360" s="729"/>
      <c r="AE360" s="729"/>
      <c r="AF360" s="729"/>
      <c r="AG360" s="729"/>
      <c r="AH360" s="729"/>
      <c r="AI360" s="729"/>
      <c r="AJ360" s="729"/>
      <c r="AK360" s="729"/>
      <c r="AL360" s="729"/>
      <c r="AM360" s="729"/>
      <c r="AN360" s="729"/>
      <c r="AO360" s="729"/>
      <c r="AP360" s="729"/>
      <c r="AQ360" s="729"/>
      <c r="AR360" s="729"/>
      <c r="AS360" s="729"/>
      <c r="AT360" s="729"/>
      <c r="AU360" s="729"/>
      <c r="AV360" s="729"/>
      <c r="AW360" s="729"/>
      <c r="AX360" s="729"/>
      <c r="AY360" s="729"/>
      <c r="AZ360" s="729"/>
      <c r="BA360" s="729"/>
      <c r="BB360" s="729"/>
      <c r="BC360" s="729"/>
      <c r="BD360" s="729"/>
      <c r="BE360" s="729"/>
      <c r="BF360" s="729"/>
      <c r="BG360" s="729"/>
      <c r="BH360" s="729"/>
      <c r="BI360" s="228"/>
      <c r="BJ360" s="729"/>
      <c r="BK360" s="729"/>
      <c r="BL360" s="729"/>
      <c r="BM360" s="729"/>
      <c r="BN360" s="729"/>
      <c r="BO360" s="729"/>
      <c r="BP360" s="729"/>
      <c r="BQ360" s="729"/>
    </row>
    <row r="361" spans="1:69" ht="12.75" customHeight="1">
      <c r="A361" s="1010"/>
      <c r="B361" s="729"/>
      <c r="C361" s="729"/>
      <c r="D361" s="729"/>
      <c r="E361" s="1010"/>
      <c r="F361" s="12"/>
      <c r="G361" s="12"/>
      <c r="H361" s="1011"/>
      <c r="I361" s="1011"/>
      <c r="J361" s="1012"/>
      <c r="K361" s="1011"/>
      <c r="L361" s="1011"/>
      <c r="M361" s="1011"/>
      <c r="N361" s="730"/>
      <c r="O361" s="729"/>
      <c r="P361" s="1014"/>
      <c r="Q361" s="1014"/>
      <c r="R361" s="1014"/>
      <c r="S361" s="729"/>
      <c r="T361" s="729"/>
      <c r="U361" s="729"/>
      <c r="V361" s="729"/>
      <c r="W361" s="729"/>
      <c r="X361" s="729"/>
      <c r="Y361" s="729"/>
      <c r="Z361" s="729"/>
      <c r="AA361" s="729"/>
      <c r="AB361" s="729"/>
      <c r="AC361" s="729"/>
      <c r="AD361" s="729"/>
      <c r="AE361" s="729"/>
      <c r="AF361" s="729"/>
      <c r="AG361" s="729"/>
      <c r="AH361" s="729"/>
      <c r="AI361" s="729"/>
      <c r="AJ361" s="729"/>
      <c r="AK361" s="729"/>
      <c r="AL361" s="729"/>
      <c r="AM361" s="729"/>
      <c r="AN361" s="729"/>
      <c r="AO361" s="729"/>
      <c r="AP361" s="729"/>
      <c r="AQ361" s="729"/>
      <c r="AR361" s="729"/>
      <c r="AS361" s="729"/>
      <c r="AT361" s="729"/>
      <c r="AU361" s="729"/>
      <c r="AV361" s="729"/>
      <c r="AW361" s="729"/>
      <c r="AX361" s="729"/>
      <c r="AY361" s="729"/>
      <c r="AZ361" s="729"/>
      <c r="BA361" s="729"/>
      <c r="BB361" s="729"/>
      <c r="BC361" s="729"/>
      <c r="BD361" s="729"/>
      <c r="BE361" s="729"/>
      <c r="BF361" s="729"/>
      <c r="BG361" s="729"/>
      <c r="BH361" s="729"/>
      <c r="BI361" s="228"/>
      <c r="BJ361" s="729"/>
      <c r="BK361" s="729"/>
      <c r="BL361" s="729"/>
      <c r="BM361" s="729"/>
      <c r="BN361" s="729"/>
      <c r="BO361" s="729"/>
      <c r="BP361" s="729"/>
      <c r="BQ361" s="729"/>
    </row>
    <row r="362" spans="1:69" ht="12.75" customHeight="1">
      <c r="A362" s="1010"/>
      <c r="B362" s="729"/>
      <c r="C362" s="729"/>
      <c r="D362" s="729"/>
      <c r="E362" s="1010"/>
      <c r="F362" s="12"/>
      <c r="G362" s="12"/>
      <c r="H362" s="1011"/>
      <c r="I362" s="1011"/>
      <c r="J362" s="1012"/>
      <c r="K362" s="1011"/>
      <c r="L362" s="1011"/>
      <c r="M362" s="1011"/>
      <c r="N362" s="730"/>
      <c r="O362" s="729"/>
      <c r="P362" s="1014"/>
      <c r="Q362" s="1014"/>
      <c r="R362" s="1014"/>
      <c r="S362" s="729"/>
      <c r="T362" s="729"/>
      <c r="U362" s="729"/>
      <c r="V362" s="729"/>
      <c r="W362" s="729"/>
      <c r="X362" s="729"/>
      <c r="Y362" s="729"/>
      <c r="Z362" s="729"/>
      <c r="AA362" s="729"/>
      <c r="AB362" s="729"/>
      <c r="AC362" s="729"/>
      <c r="AD362" s="729"/>
      <c r="AE362" s="729"/>
      <c r="AF362" s="729"/>
      <c r="AG362" s="729"/>
      <c r="AH362" s="729"/>
      <c r="AI362" s="729"/>
      <c r="AJ362" s="729"/>
      <c r="AK362" s="729"/>
      <c r="AL362" s="729"/>
      <c r="AM362" s="729"/>
      <c r="AN362" s="729"/>
      <c r="AO362" s="729"/>
      <c r="AP362" s="729"/>
      <c r="AQ362" s="729"/>
      <c r="AR362" s="729"/>
      <c r="AS362" s="729"/>
      <c r="AT362" s="729"/>
      <c r="AU362" s="729"/>
      <c r="AV362" s="729"/>
      <c r="AW362" s="729"/>
      <c r="AX362" s="729"/>
      <c r="AY362" s="729"/>
      <c r="AZ362" s="729"/>
      <c r="BA362" s="729"/>
      <c r="BB362" s="729"/>
      <c r="BC362" s="729"/>
      <c r="BD362" s="729"/>
      <c r="BE362" s="729"/>
      <c r="BF362" s="729"/>
      <c r="BG362" s="729"/>
      <c r="BH362" s="729"/>
      <c r="BI362" s="228"/>
      <c r="BJ362" s="729"/>
      <c r="BK362" s="729"/>
      <c r="BL362" s="729"/>
      <c r="BM362" s="729"/>
      <c r="BN362" s="729"/>
      <c r="BO362" s="729"/>
      <c r="BP362" s="729"/>
      <c r="BQ362" s="729"/>
    </row>
    <row r="363" spans="1:69" ht="12.75" customHeight="1">
      <c r="A363" s="1010"/>
      <c r="B363" s="729"/>
      <c r="C363" s="729"/>
      <c r="D363" s="729"/>
      <c r="E363" s="1010"/>
      <c r="F363" s="12"/>
      <c r="G363" s="12"/>
      <c r="H363" s="1011"/>
      <c r="I363" s="1011"/>
      <c r="J363" s="1012"/>
      <c r="K363" s="1011"/>
      <c r="L363" s="1011"/>
      <c r="M363" s="1011"/>
      <c r="N363" s="730"/>
      <c r="O363" s="729"/>
      <c r="P363" s="1014"/>
      <c r="Q363" s="1014"/>
      <c r="R363" s="1014"/>
      <c r="S363" s="729"/>
      <c r="T363" s="729"/>
      <c r="U363" s="729"/>
      <c r="V363" s="729"/>
      <c r="W363" s="729"/>
      <c r="X363" s="729"/>
      <c r="Y363" s="729"/>
      <c r="Z363" s="729"/>
      <c r="AA363" s="729"/>
      <c r="AB363" s="729"/>
      <c r="AC363" s="729"/>
      <c r="AD363" s="729"/>
      <c r="AE363" s="729"/>
      <c r="AF363" s="729"/>
      <c r="AG363" s="729"/>
      <c r="AH363" s="729"/>
      <c r="AI363" s="729"/>
      <c r="AJ363" s="729"/>
      <c r="AK363" s="729"/>
      <c r="AL363" s="729"/>
      <c r="AM363" s="729"/>
      <c r="AN363" s="729"/>
      <c r="AO363" s="729"/>
      <c r="AP363" s="729"/>
      <c r="AQ363" s="729"/>
      <c r="AR363" s="729"/>
      <c r="AS363" s="729"/>
      <c r="AT363" s="729"/>
      <c r="AU363" s="729"/>
      <c r="AV363" s="729"/>
      <c r="AW363" s="729"/>
      <c r="AX363" s="729"/>
      <c r="AY363" s="729"/>
      <c r="AZ363" s="729"/>
      <c r="BA363" s="729"/>
      <c r="BB363" s="729"/>
      <c r="BC363" s="729"/>
      <c r="BD363" s="729"/>
      <c r="BE363" s="729"/>
      <c r="BF363" s="729"/>
      <c r="BG363" s="729"/>
      <c r="BH363" s="729"/>
      <c r="BI363" s="228"/>
      <c r="BJ363" s="729"/>
      <c r="BK363" s="729"/>
      <c r="BL363" s="729"/>
      <c r="BM363" s="729"/>
      <c r="BN363" s="729"/>
      <c r="BO363" s="729"/>
      <c r="BP363" s="729"/>
      <c r="BQ363" s="729"/>
    </row>
    <row r="364" spans="1:69" ht="12.75" customHeight="1">
      <c r="A364" s="1010"/>
      <c r="B364" s="729"/>
      <c r="C364" s="729"/>
      <c r="D364" s="729"/>
      <c r="E364" s="1010"/>
      <c r="F364" s="12"/>
      <c r="G364" s="12"/>
      <c r="H364" s="1011"/>
      <c r="I364" s="1011"/>
      <c r="J364" s="1012"/>
      <c r="K364" s="1011"/>
      <c r="L364" s="1011"/>
      <c r="M364" s="1011"/>
      <c r="N364" s="730"/>
      <c r="O364" s="729"/>
      <c r="P364" s="1014"/>
      <c r="Q364" s="1014"/>
      <c r="R364" s="1014"/>
      <c r="S364" s="729"/>
      <c r="T364" s="729"/>
      <c r="U364" s="729"/>
      <c r="V364" s="729"/>
      <c r="W364" s="729"/>
      <c r="X364" s="729"/>
      <c r="Y364" s="729"/>
      <c r="Z364" s="729"/>
      <c r="AA364" s="729"/>
      <c r="AB364" s="729"/>
      <c r="AC364" s="729"/>
      <c r="AD364" s="729"/>
      <c r="AE364" s="729"/>
      <c r="AF364" s="729"/>
      <c r="AG364" s="729"/>
      <c r="AH364" s="729"/>
      <c r="AI364" s="729"/>
      <c r="AJ364" s="729"/>
      <c r="AK364" s="729"/>
      <c r="AL364" s="729"/>
      <c r="AM364" s="729"/>
      <c r="AN364" s="729"/>
      <c r="AO364" s="729"/>
      <c r="AP364" s="729"/>
      <c r="AQ364" s="729"/>
      <c r="AR364" s="729"/>
      <c r="AS364" s="729"/>
      <c r="AT364" s="729"/>
      <c r="AU364" s="729"/>
      <c r="AV364" s="729"/>
      <c r="AW364" s="729"/>
      <c r="AX364" s="729"/>
      <c r="AY364" s="729"/>
      <c r="AZ364" s="729"/>
      <c r="BA364" s="729"/>
      <c r="BB364" s="729"/>
      <c r="BC364" s="729"/>
      <c r="BD364" s="729"/>
      <c r="BE364" s="729"/>
      <c r="BF364" s="729"/>
      <c r="BG364" s="729"/>
      <c r="BH364" s="729"/>
      <c r="BI364" s="228"/>
      <c r="BJ364" s="729"/>
      <c r="BK364" s="729"/>
      <c r="BL364" s="729"/>
      <c r="BM364" s="729"/>
      <c r="BN364" s="729"/>
      <c r="BO364" s="729"/>
      <c r="BP364" s="729"/>
      <c r="BQ364" s="729"/>
    </row>
    <row r="365" spans="1:69" ht="12.75" customHeight="1">
      <c r="A365" s="1010"/>
      <c r="B365" s="729"/>
      <c r="C365" s="729"/>
      <c r="D365" s="729"/>
      <c r="E365" s="1010"/>
      <c r="F365" s="12"/>
      <c r="G365" s="12"/>
      <c r="H365" s="1011"/>
      <c r="I365" s="1011"/>
      <c r="J365" s="1012"/>
      <c r="K365" s="1011"/>
      <c r="L365" s="1011"/>
      <c r="M365" s="1011"/>
      <c r="N365" s="730"/>
      <c r="O365" s="729"/>
      <c r="P365" s="1014"/>
      <c r="Q365" s="1014"/>
      <c r="R365" s="1014"/>
      <c r="S365" s="729"/>
      <c r="T365" s="729"/>
      <c r="U365" s="729"/>
      <c r="V365" s="729"/>
      <c r="W365" s="729"/>
      <c r="X365" s="729"/>
      <c r="Y365" s="729"/>
      <c r="Z365" s="729"/>
      <c r="AA365" s="729"/>
      <c r="AB365" s="729"/>
      <c r="AC365" s="729"/>
      <c r="AD365" s="729"/>
      <c r="AE365" s="729"/>
      <c r="AF365" s="729"/>
      <c r="AG365" s="729"/>
      <c r="AH365" s="729"/>
      <c r="AI365" s="729"/>
      <c r="AJ365" s="729"/>
      <c r="AK365" s="729"/>
      <c r="AL365" s="729"/>
      <c r="AM365" s="729"/>
      <c r="AN365" s="729"/>
      <c r="AO365" s="729"/>
      <c r="AP365" s="729"/>
      <c r="AQ365" s="729"/>
      <c r="AR365" s="729"/>
      <c r="AS365" s="729"/>
      <c r="AT365" s="729"/>
      <c r="AU365" s="729"/>
      <c r="AV365" s="729"/>
      <c r="AW365" s="729"/>
      <c r="AX365" s="729"/>
      <c r="AY365" s="729"/>
      <c r="AZ365" s="729"/>
      <c r="BA365" s="729"/>
      <c r="BB365" s="729"/>
      <c r="BC365" s="729"/>
      <c r="BD365" s="729"/>
      <c r="BE365" s="729"/>
      <c r="BF365" s="729"/>
      <c r="BG365" s="729"/>
      <c r="BH365" s="729"/>
      <c r="BI365" s="228"/>
      <c r="BJ365" s="729"/>
      <c r="BK365" s="729"/>
      <c r="BL365" s="729"/>
      <c r="BM365" s="729"/>
      <c r="BN365" s="729"/>
      <c r="BO365" s="729"/>
      <c r="BP365" s="729"/>
      <c r="BQ365" s="729"/>
    </row>
    <row r="366" spans="1:69" ht="12.75" customHeight="1">
      <c r="A366" s="1010"/>
      <c r="B366" s="729"/>
      <c r="C366" s="729"/>
      <c r="D366" s="729"/>
      <c r="E366" s="1010"/>
      <c r="F366" s="12"/>
      <c r="G366" s="12"/>
      <c r="H366" s="1011"/>
      <c r="I366" s="1011"/>
      <c r="J366" s="1012"/>
      <c r="K366" s="1011"/>
      <c r="L366" s="1011"/>
      <c r="M366" s="1011"/>
      <c r="N366" s="730"/>
      <c r="O366" s="729"/>
      <c r="P366" s="1014"/>
      <c r="Q366" s="1014"/>
      <c r="R366" s="1014"/>
      <c r="S366" s="729"/>
      <c r="T366" s="729"/>
      <c r="U366" s="729"/>
      <c r="V366" s="729"/>
      <c r="W366" s="729"/>
      <c r="X366" s="729"/>
      <c r="Y366" s="729"/>
      <c r="Z366" s="729"/>
      <c r="AA366" s="729"/>
      <c r="AB366" s="729"/>
      <c r="AC366" s="729"/>
      <c r="AD366" s="729"/>
      <c r="AE366" s="729"/>
      <c r="AF366" s="729"/>
      <c r="AG366" s="729"/>
      <c r="AH366" s="729"/>
      <c r="AI366" s="729"/>
      <c r="AJ366" s="729"/>
      <c r="AK366" s="729"/>
      <c r="AL366" s="729"/>
      <c r="AM366" s="729"/>
      <c r="AN366" s="729"/>
      <c r="AO366" s="729"/>
      <c r="AP366" s="729"/>
      <c r="AQ366" s="729"/>
      <c r="AR366" s="729"/>
      <c r="AS366" s="729"/>
      <c r="AT366" s="729"/>
      <c r="AU366" s="729"/>
      <c r="AV366" s="729"/>
      <c r="AW366" s="729"/>
      <c r="AX366" s="729"/>
      <c r="AY366" s="729"/>
      <c r="AZ366" s="729"/>
      <c r="BA366" s="729"/>
      <c r="BB366" s="729"/>
      <c r="BC366" s="729"/>
      <c r="BD366" s="729"/>
      <c r="BE366" s="729"/>
      <c r="BF366" s="729"/>
      <c r="BG366" s="729"/>
      <c r="BH366" s="729"/>
      <c r="BI366" s="228"/>
      <c r="BJ366" s="729"/>
      <c r="BK366" s="729"/>
      <c r="BL366" s="729"/>
      <c r="BM366" s="729"/>
      <c r="BN366" s="729"/>
      <c r="BO366" s="729"/>
      <c r="BP366" s="729"/>
      <c r="BQ366" s="729"/>
    </row>
    <row r="367" spans="1:69" ht="12.75" customHeight="1">
      <c r="A367" s="1010"/>
      <c r="B367" s="729"/>
      <c r="C367" s="729"/>
      <c r="D367" s="729"/>
      <c r="E367" s="1010"/>
      <c r="F367" s="12"/>
      <c r="G367" s="12"/>
      <c r="H367" s="1011"/>
      <c r="I367" s="1011"/>
      <c r="J367" s="1012"/>
      <c r="K367" s="1011"/>
      <c r="L367" s="1011"/>
      <c r="M367" s="1011"/>
      <c r="N367" s="730"/>
      <c r="O367" s="729"/>
      <c r="P367" s="1014"/>
      <c r="Q367" s="1014"/>
      <c r="R367" s="1014"/>
      <c r="S367" s="729"/>
      <c r="T367" s="729"/>
      <c r="U367" s="729"/>
      <c r="V367" s="729"/>
      <c r="W367" s="729"/>
      <c r="X367" s="729"/>
      <c r="Y367" s="729"/>
      <c r="Z367" s="729"/>
      <c r="AA367" s="729"/>
      <c r="AB367" s="729"/>
      <c r="AC367" s="729"/>
      <c r="AD367" s="729"/>
      <c r="AE367" s="729"/>
      <c r="AF367" s="729"/>
      <c r="AG367" s="729"/>
      <c r="AH367" s="729"/>
      <c r="AI367" s="729"/>
      <c r="AJ367" s="729"/>
      <c r="AK367" s="729"/>
      <c r="AL367" s="729"/>
      <c r="AM367" s="729"/>
      <c r="AN367" s="729"/>
      <c r="AO367" s="729"/>
      <c r="AP367" s="729"/>
      <c r="AQ367" s="729"/>
      <c r="AR367" s="729"/>
      <c r="AS367" s="729"/>
      <c r="AT367" s="729"/>
      <c r="AU367" s="729"/>
      <c r="AV367" s="729"/>
      <c r="AW367" s="729"/>
      <c r="AX367" s="729"/>
      <c r="AY367" s="729"/>
      <c r="AZ367" s="729"/>
      <c r="BA367" s="729"/>
      <c r="BB367" s="729"/>
      <c r="BC367" s="729"/>
      <c r="BD367" s="729"/>
      <c r="BE367" s="729"/>
      <c r="BF367" s="729"/>
      <c r="BG367" s="729"/>
      <c r="BH367" s="729"/>
      <c r="BI367" s="228"/>
      <c r="BJ367" s="729"/>
      <c r="BK367" s="729"/>
      <c r="BL367" s="729"/>
      <c r="BM367" s="729"/>
      <c r="BN367" s="729"/>
      <c r="BO367" s="729"/>
      <c r="BP367" s="729"/>
      <c r="BQ367" s="729"/>
    </row>
    <row r="368" spans="1:69" ht="12.75" customHeight="1">
      <c r="A368" s="1010"/>
      <c r="B368" s="729"/>
      <c r="C368" s="729"/>
      <c r="D368" s="729"/>
      <c r="E368" s="1010"/>
      <c r="F368" s="12"/>
      <c r="G368" s="12"/>
      <c r="H368" s="1011"/>
      <c r="I368" s="1011"/>
      <c r="J368" s="1012"/>
      <c r="K368" s="1011"/>
      <c r="L368" s="1011"/>
      <c r="M368" s="1011"/>
      <c r="N368" s="730"/>
      <c r="O368" s="729"/>
      <c r="P368" s="1014"/>
      <c r="Q368" s="1014"/>
      <c r="R368" s="1014"/>
      <c r="S368" s="729"/>
      <c r="T368" s="729"/>
      <c r="U368" s="729"/>
      <c r="V368" s="729"/>
      <c r="W368" s="729"/>
      <c r="X368" s="729"/>
      <c r="Y368" s="729"/>
      <c r="Z368" s="729"/>
      <c r="AA368" s="729"/>
      <c r="AB368" s="729"/>
      <c r="AC368" s="729"/>
      <c r="AD368" s="729"/>
      <c r="AE368" s="729"/>
      <c r="AF368" s="729"/>
      <c r="AG368" s="729"/>
      <c r="AH368" s="729"/>
      <c r="AI368" s="729"/>
      <c r="AJ368" s="729"/>
      <c r="AK368" s="729"/>
      <c r="AL368" s="729"/>
      <c r="AM368" s="729"/>
      <c r="AN368" s="729"/>
      <c r="AO368" s="729"/>
      <c r="AP368" s="729"/>
      <c r="AQ368" s="729"/>
      <c r="AR368" s="729"/>
      <c r="AS368" s="729"/>
      <c r="AT368" s="729"/>
      <c r="AU368" s="729"/>
      <c r="AV368" s="729"/>
      <c r="AW368" s="729"/>
      <c r="AX368" s="729"/>
      <c r="AY368" s="729"/>
      <c r="AZ368" s="729"/>
      <c r="BA368" s="729"/>
      <c r="BB368" s="729"/>
      <c r="BC368" s="729"/>
      <c r="BD368" s="729"/>
      <c r="BE368" s="729"/>
      <c r="BF368" s="729"/>
      <c r="BG368" s="729"/>
      <c r="BH368" s="729"/>
      <c r="BI368" s="228"/>
      <c r="BJ368" s="729"/>
      <c r="BK368" s="729"/>
      <c r="BL368" s="729"/>
      <c r="BM368" s="729"/>
      <c r="BN368" s="729"/>
      <c r="BO368" s="729"/>
      <c r="BP368" s="729"/>
      <c r="BQ368" s="729"/>
    </row>
    <row r="369" spans="1:69" ht="12.75" customHeight="1">
      <c r="A369" s="1010"/>
      <c r="B369" s="729"/>
      <c r="C369" s="729"/>
      <c r="D369" s="729"/>
      <c r="E369" s="1010"/>
      <c r="F369" s="12"/>
      <c r="G369" s="12"/>
      <c r="H369" s="1011"/>
      <c r="I369" s="1011"/>
      <c r="J369" s="1012"/>
      <c r="K369" s="1011"/>
      <c r="L369" s="1011"/>
      <c r="M369" s="1011"/>
      <c r="N369" s="730"/>
      <c r="O369" s="729"/>
      <c r="P369" s="1014"/>
      <c r="Q369" s="1014"/>
      <c r="R369" s="1014"/>
      <c r="S369" s="729"/>
      <c r="T369" s="729"/>
      <c r="U369" s="729"/>
      <c r="V369" s="729"/>
      <c r="W369" s="729"/>
      <c r="X369" s="729"/>
      <c r="Y369" s="729"/>
      <c r="Z369" s="729"/>
      <c r="AA369" s="729"/>
      <c r="AB369" s="729"/>
      <c r="AC369" s="729"/>
      <c r="AD369" s="729"/>
      <c r="AE369" s="729"/>
      <c r="AF369" s="729"/>
      <c r="AG369" s="729"/>
      <c r="AH369" s="729"/>
      <c r="AI369" s="729"/>
      <c r="AJ369" s="729"/>
      <c r="AK369" s="729"/>
      <c r="AL369" s="729"/>
      <c r="AM369" s="729"/>
      <c r="AN369" s="729"/>
      <c r="AO369" s="729"/>
      <c r="AP369" s="729"/>
      <c r="AQ369" s="729"/>
      <c r="AR369" s="729"/>
      <c r="AS369" s="729"/>
      <c r="AT369" s="729"/>
      <c r="AU369" s="729"/>
      <c r="AV369" s="729"/>
      <c r="AW369" s="729"/>
      <c r="AX369" s="729"/>
      <c r="AY369" s="729"/>
      <c r="AZ369" s="729"/>
      <c r="BA369" s="729"/>
      <c r="BB369" s="729"/>
      <c r="BC369" s="729"/>
      <c r="BD369" s="729"/>
      <c r="BE369" s="729"/>
      <c r="BF369" s="729"/>
      <c r="BG369" s="729"/>
      <c r="BH369" s="729"/>
      <c r="BI369" s="228"/>
      <c r="BJ369" s="729"/>
      <c r="BK369" s="729"/>
      <c r="BL369" s="729"/>
      <c r="BM369" s="729"/>
      <c r="BN369" s="729"/>
      <c r="BO369" s="729"/>
      <c r="BP369" s="729"/>
      <c r="BQ369" s="729"/>
    </row>
    <row r="370" spans="1:69" ht="12.75" customHeight="1">
      <c r="A370" s="1010"/>
      <c r="B370" s="729"/>
      <c r="C370" s="729"/>
      <c r="D370" s="729"/>
      <c r="E370" s="1010"/>
      <c r="F370" s="12"/>
      <c r="G370" s="12"/>
      <c r="H370" s="1011"/>
      <c r="I370" s="1011"/>
      <c r="J370" s="1012"/>
      <c r="K370" s="1011"/>
      <c r="L370" s="1011"/>
      <c r="M370" s="1011"/>
      <c r="N370" s="730"/>
      <c r="O370" s="729"/>
      <c r="P370" s="1014"/>
      <c r="Q370" s="1014"/>
      <c r="R370" s="1014"/>
      <c r="S370" s="729"/>
      <c r="T370" s="729"/>
      <c r="U370" s="729"/>
      <c r="V370" s="729"/>
      <c r="W370" s="729"/>
      <c r="X370" s="729"/>
      <c r="Y370" s="729"/>
      <c r="Z370" s="729"/>
      <c r="AA370" s="729"/>
      <c r="AB370" s="729"/>
      <c r="AC370" s="729"/>
      <c r="AD370" s="729"/>
      <c r="AE370" s="729"/>
      <c r="AF370" s="729"/>
      <c r="AG370" s="729"/>
      <c r="AH370" s="729"/>
      <c r="AI370" s="729"/>
      <c r="AJ370" s="729"/>
      <c r="AK370" s="729"/>
      <c r="AL370" s="729"/>
      <c r="AM370" s="729"/>
      <c r="AN370" s="729"/>
      <c r="AO370" s="729"/>
      <c r="AP370" s="729"/>
      <c r="AQ370" s="729"/>
      <c r="AR370" s="729"/>
      <c r="AS370" s="729"/>
      <c r="AT370" s="729"/>
      <c r="AU370" s="729"/>
      <c r="AV370" s="729"/>
      <c r="AW370" s="729"/>
      <c r="AX370" s="729"/>
      <c r="AY370" s="729"/>
      <c r="AZ370" s="729"/>
      <c r="BA370" s="729"/>
      <c r="BB370" s="729"/>
      <c r="BC370" s="729"/>
      <c r="BD370" s="729"/>
      <c r="BE370" s="729"/>
      <c r="BF370" s="729"/>
      <c r="BG370" s="729"/>
      <c r="BH370" s="729"/>
      <c r="BI370" s="228"/>
      <c r="BJ370" s="729"/>
      <c r="BK370" s="729"/>
      <c r="BL370" s="729"/>
      <c r="BM370" s="729"/>
      <c r="BN370" s="729"/>
      <c r="BO370" s="729"/>
      <c r="BP370" s="729"/>
      <c r="BQ370" s="729"/>
    </row>
    <row r="371" spans="1:69" ht="12.75" customHeight="1">
      <c r="A371" s="1010"/>
      <c r="B371" s="729"/>
      <c r="C371" s="729"/>
      <c r="D371" s="729"/>
      <c r="E371" s="1010"/>
      <c r="F371" s="12"/>
      <c r="G371" s="12"/>
      <c r="H371" s="1011"/>
      <c r="I371" s="1011"/>
      <c r="J371" s="1012"/>
      <c r="K371" s="1011"/>
      <c r="L371" s="1011"/>
      <c r="M371" s="1011"/>
      <c r="N371" s="730"/>
      <c r="O371" s="729"/>
      <c r="P371" s="1014"/>
      <c r="Q371" s="1014"/>
      <c r="R371" s="1014"/>
      <c r="S371" s="729"/>
      <c r="T371" s="729"/>
      <c r="U371" s="729"/>
      <c r="V371" s="729"/>
      <c r="W371" s="729"/>
      <c r="X371" s="729"/>
      <c r="Y371" s="729"/>
      <c r="Z371" s="729"/>
      <c r="AA371" s="729"/>
      <c r="AB371" s="729"/>
      <c r="AC371" s="729"/>
      <c r="AD371" s="729"/>
      <c r="AE371" s="729"/>
      <c r="AF371" s="729"/>
      <c r="AG371" s="729"/>
      <c r="AH371" s="729"/>
      <c r="AI371" s="729"/>
      <c r="AJ371" s="729"/>
      <c r="AK371" s="729"/>
      <c r="AL371" s="729"/>
      <c r="AM371" s="729"/>
      <c r="AN371" s="729"/>
      <c r="AO371" s="729"/>
      <c r="AP371" s="729"/>
      <c r="AQ371" s="729"/>
      <c r="AR371" s="729"/>
      <c r="AS371" s="729"/>
      <c r="AT371" s="729"/>
      <c r="AU371" s="729"/>
      <c r="AV371" s="729"/>
      <c r="AW371" s="729"/>
      <c r="AX371" s="729"/>
      <c r="AY371" s="729"/>
      <c r="AZ371" s="729"/>
      <c r="BA371" s="729"/>
      <c r="BB371" s="729"/>
      <c r="BC371" s="729"/>
      <c r="BD371" s="729"/>
      <c r="BE371" s="729"/>
      <c r="BF371" s="729"/>
      <c r="BG371" s="729"/>
      <c r="BH371" s="729"/>
      <c r="BI371" s="228"/>
      <c r="BJ371" s="729"/>
      <c r="BK371" s="729"/>
      <c r="BL371" s="729"/>
      <c r="BM371" s="729"/>
      <c r="BN371" s="729"/>
      <c r="BO371" s="729"/>
      <c r="BP371" s="729"/>
      <c r="BQ371" s="729"/>
    </row>
    <row r="372" spans="1:69" ht="12.75" customHeight="1">
      <c r="A372" s="1010"/>
      <c r="B372" s="729"/>
      <c r="C372" s="729"/>
      <c r="D372" s="729"/>
      <c r="E372" s="1010"/>
      <c r="F372" s="12"/>
      <c r="G372" s="12"/>
      <c r="H372" s="1011"/>
      <c r="I372" s="1011"/>
      <c r="J372" s="1012"/>
      <c r="K372" s="1011"/>
      <c r="L372" s="1011"/>
      <c r="M372" s="1011"/>
      <c r="N372" s="730"/>
      <c r="O372" s="729"/>
      <c r="P372" s="1014"/>
      <c r="Q372" s="1014"/>
      <c r="R372" s="1014"/>
      <c r="S372" s="729"/>
      <c r="T372" s="729"/>
      <c r="U372" s="729"/>
      <c r="V372" s="729"/>
      <c r="W372" s="729"/>
      <c r="X372" s="729"/>
      <c r="Y372" s="729"/>
      <c r="Z372" s="729"/>
      <c r="AA372" s="729"/>
      <c r="AB372" s="729"/>
      <c r="AC372" s="729"/>
      <c r="AD372" s="729"/>
      <c r="AE372" s="729"/>
      <c r="AF372" s="729"/>
      <c r="AG372" s="729"/>
      <c r="AH372" s="729"/>
      <c r="AI372" s="729"/>
      <c r="AJ372" s="729"/>
      <c r="AK372" s="729"/>
      <c r="AL372" s="729"/>
      <c r="AM372" s="729"/>
      <c r="AN372" s="729"/>
      <c r="AO372" s="729"/>
      <c r="AP372" s="729"/>
      <c r="AQ372" s="729"/>
      <c r="AR372" s="729"/>
      <c r="AS372" s="729"/>
      <c r="AT372" s="729"/>
      <c r="AU372" s="729"/>
      <c r="AV372" s="729"/>
      <c r="AW372" s="729"/>
      <c r="AX372" s="729"/>
      <c r="AY372" s="729"/>
      <c r="AZ372" s="729"/>
      <c r="BA372" s="729"/>
      <c r="BB372" s="729"/>
      <c r="BC372" s="729"/>
      <c r="BD372" s="729"/>
      <c r="BE372" s="729"/>
      <c r="BF372" s="729"/>
      <c r="BG372" s="729"/>
      <c r="BH372" s="729"/>
      <c r="BI372" s="228"/>
      <c r="BJ372" s="729"/>
      <c r="BK372" s="729"/>
      <c r="BL372" s="729"/>
      <c r="BM372" s="729"/>
      <c r="BN372" s="729"/>
      <c r="BO372" s="729"/>
      <c r="BP372" s="729"/>
      <c r="BQ372" s="729"/>
    </row>
    <row r="373" spans="1:69" ht="12.75" customHeight="1">
      <c r="A373" s="1010"/>
      <c r="B373" s="729"/>
      <c r="C373" s="729"/>
      <c r="D373" s="729"/>
      <c r="E373" s="1010"/>
      <c r="F373" s="12"/>
      <c r="G373" s="12"/>
      <c r="H373" s="1011"/>
      <c r="I373" s="1011"/>
      <c r="J373" s="1012"/>
      <c r="K373" s="1011"/>
      <c r="L373" s="1011"/>
      <c r="M373" s="1011"/>
      <c r="N373" s="730"/>
      <c r="O373" s="729"/>
      <c r="P373" s="1014"/>
      <c r="Q373" s="1014"/>
      <c r="R373" s="1014"/>
      <c r="S373" s="729"/>
      <c r="T373" s="729"/>
      <c r="U373" s="729"/>
      <c r="V373" s="729"/>
      <c r="W373" s="729"/>
      <c r="X373" s="729"/>
      <c r="Y373" s="729"/>
      <c r="Z373" s="729"/>
      <c r="AA373" s="729"/>
      <c r="AB373" s="729"/>
      <c r="AC373" s="729"/>
      <c r="AD373" s="729"/>
      <c r="AE373" s="729"/>
      <c r="AF373" s="729"/>
      <c r="AG373" s="729"/>
      <c r="AH373" s="729"/>
      <c r="AI373" s="729"/>
      <c r="AJ373" s="729"/>
      <c r="AK373" s="729"/>
      <c r="AL373" s="729"/>
      <c r="AM373" s="729"/>
      <c r="AN373" s="729"/>
      <c r="AO373" s="729"/>
      <c r="AP373" s="729"/>
      <c r="AQ373" s="729"/>
      <c r="AR373" s="729"/>
      <c r="AS373" s="729"/>
      <c r="AT373" s="729"/>
      <c r="AU373" s="729"/>
      <c r="AV373" s="729"/>
      <c r="AW373" s="729"/>
      <c r="AX373" s="729"/>
      <c r="AY373" s="729"/>
      <c r="AZ373" s="729"/>
      <c r="BA373" s="729"/>
      <c r="BB373" s="729"/>
      <c r="BC373" s="729"/>
      <c r="BD373" s="729"/>
      <c r="BE373" s="729"/>
      <c r="BF373" s="729"/>
      <c r="BG373" s="729"/>
      <c r="BH373" s="729"/>
      <c r="BI373" s="228"/>
      <c r="BJ373" s="729"/>
      <c r="BK373" s="729"/>
      <c r="BL373" s="729"/>
      <c r="BM373" s="729"/>
      <c r="BN373" s="729"/>
      <c r="BO373" s="729"/>
      <c r="BP373" s="729"/>
      <c r="BQ373" s="729"/>
    </row>
    <row r="374" spans="1:69" ht="12.75" customHeight="1">
      <c r="A374" s="1010"/>
      <c r="B374" s="729"/>
      <c r="C374" s="729"/>
      <c r="D374" s="729"/>
      <c r="E374" s="1010"/>
      <c r="F374" s="12"/>
      <c r="G374" s="12"/>
      <c r="H374" s="1011"/>
      <c r="I374" s="1011"/>
      <c r="J374" s="1012"/>
      <c r="K374" s="1011"/>
      <c r="L374" s="1011"/>
      <c r="M374" s="1011"/>
      <c r="N374" s="730"/>
      <c r="O374" s="729"/>
      <c r="P374" s="1014"/>
      <c r="Q374" s="1014"/>
      <c r="R374" s="1014"/>
      <c r="S374" s="729"/>
      <c r="T374" s="729"/>
      <c r="U374" s="729"/>
      <c r="V374" s="729"/>
      <c r="W374" s="729"/>
      <c r="X374" s="729"/>
      <c r="Y374" s="729"/>
      <c r="Z374" s="729"/>
      <c r="AA374" s="729"/>
      <c r="AB374" s="729"/>
      <c r="AC374" s="729"/>
      <c r="AD374" s="729"/>
      <c r="AE374" s="729"/>
      <c r="AF374" s="729"/>
      <c r="AG374" s="729"/>
      <c r="AH374" s="729"/>
      <c r="AI374" s="729"/>
      <c r="AJ374" s="729"/>
      <c r="AK374" s="729"/>
      <c r="AL374" s="729"/>
      <c r="AM374" s="729"/>
      <c r="AN374" s="729"/>
      <c r="AO374" s="729"/>
      <c r="AP374" s="729"/>
      <c r="AQ374" s="729"/>
      <c r="AR374" s="729"/>
      <c r="AS374" s="729"/>
      <c r="AT374" s="729"/>
      <c r="AU374" s="729"/>
      <c r="AV374" s="729"/>
      <c r="AW374" s="729"/>
      <c r="AX374" s="729"/>
      <c r="AY374" s="729"/>
      <c r="AZ374" s="729"/>
      <c r="BA374" s="729"/>
      <c r="BB374" s="729"/>
      <c r="BC374" s="729"/>
      <c r="BD374" s="729"/>
      <c r="BE374" s="729"/>
      <c r="BF374" s="729"/>
      <c r="BG374" s="729"/>
      <c r="BH374" s="729"/>
      <c r="BI374" s="228"/>
      <c r="BJ374" s="729"/>
      <c r="BK374" s="729"/>
      <c r="BL374" s="729"/>
      <c r="BM374" s="729"/>
      <c r="BN374" s="729"/>
      <c r="BO374" s="729"/>
      <c r="BP374" s="729"/>
      <c r="BQ374" s="729"/>
    </row>
    <row r="375" spans="1:69" ht="12.75" customHeight="1">
      <c r="A375" s="1010"/>
      <c r="B375" s="729"/>
      <c r="C375" s="729"/>
      <c r="D375" s="729"/>
      <c r="E375" s="1010"/>
      <c r="F375" s="12"/>
      <c r="G375" s="12"/>
      <c r="H375" s="1011"/>
      <c r="I375" s="1011"/>
      <c r="J375" s="1012"/>
      <c r="K375" s="1011"/>
      <c r="L375" s="1011"/>
      <c r="M375" s="1011"/>
      <c r="N375" s="730"/>
      <c r="O375" s="729"/>
      <c r="P375" s="1014"/>
      <c r="Q375" s="1014"/>
      <c r="R375" s="1014"/>
      <c r="S375" s="729"/>
      <c r="T375" s="729"/>
      <c r="U375" s="729"/>
      <c r="V375" s="729"/>
      <c r="W375" s="729"/>
      <c r="X375" s="729"/>
      <c r="Y375" s="729"/>
      <c r="Z375" s="729"/>
      <c r="AA375" s="729"/>
      <c r="AB375" s="729"/>
      <c r="AC375" s="729"/>
      <c r="AD375" s="729"/>
      <c r="AE375" s="729"/>
      <c r="AF375" s="729"/>
      <c r="AG375" s="729"/>
      <c r="AH375" s="729"/>
      <c r="AI375" s="729"/>
      <c r="AJ375" s="729"/>
      <c r="AK375" s="729"/>
      <c r="AL375" s="729"/>
      <c r="AM375" s="729"/>
      <c r="AN375" s="729"/>
      <c r="AO375" s="729"/>
      <c r="AP375" s="729"/>
      <c r="AQ375" s="729"/>
      <c r="AR375" s="729"/>
      <c r="AS375" s="729"/>
      <c r="AT375" s="729"/>
      <c r="AU375" s="729"/>
      <c r="AV375" s="729"/>
      <c r="AW375" s="729"/>
      <c r="AX375" s="729"/>
      <c r="AY375" s="729"/>
      <c r="AZ375" s="729"/>
      <c r="BA375" s="729"/>
      <c r="BB375" s="729"/>
      <c r="BC375" s="729"/>
      <c r="BD375" s="729"/>
      <c r="BE375" s="729"/>
      <c r="BF375" s="729"/>
      <c r="BG375" s="729"/>
      <c r="BH375" s="729"/>
      <c r="BI375" s="228"/>
      <c r="BJ375" s="729"/>
      <c r="BK375" s="729"/>
      <c r="BL375" s="729"/>
      <c r="BM375" s="729"/>
      <c r="BN375" s="729"/>
      <c r="BO375" s="729"/>
      <c r="BP375" s="729"/>
      <c r="BQ375" s="729"/>
    </row>
    <row r="376" spans="1:69" ht="12.75" customHeight="1">
      <c r="A376" s="1010"/>
      <c r="B376" s="729"/>
      <c r="C376" s="729"/>
      <c r="D376" s="729"/>
      <c r="E376" s="1010"/>
      <c r="F376" s="12"/>
      <c r="G376" s="12"/>
      <c r="H376" s="1011"/>
      <c r="I376" s="1011"/>
      <c r="J376" s="1012"/>
      <c r="K376" s="1011"/>
      <c r="L376" s="1011"/>
      <c r="M376" s="1011"/>
      <c r="N376" s="730"/>
      <c r="O376" s="729"/>
      <c r="P376" s="1014"/>
      <c r="Q376" s="1014"/>
      <c r="R376" s="1014"/>
      <c r="S376" s="729"/>
      <c r="T376" s="729"/>
      <c r="U376" s="729"/>
      <c r="V376" s="729"/>
      <c r="W376" s="729"/>
      <c r="X376" s="729"/>
      <c r="Y376" s="729"/>
      <c r="Z376" s="729"/>
      <c r="AA376" s="729"/>
      <c r="AB376" s="729"/>
      <c r="AC376" s="729"/>
      <c r="AD376" s="729"/>
      <c r="AE376" s="729"/>
      <c r="AF376" s="729"/>
      <c r="AG376" s="729"/>
      <c r="AH376" s="729"/>
      <c r="AI376" s="729"/>
      <c r="AJ376" s="729"/>
      <c r="AK376" s="729"/>
      <c r="AL376" s="729"/>
      <c r="AM376" s="729"/>
      <c r="AN376" s="729"/>
      <c r="AO376" s="729"/>
      <c r="AP376" s="729"/>
      <c r="AQ376" s="729"/>
      <c r="AR376" s="729"/>
      <c r="AS376" s="729"/>
      <c r="AT376" s="729"/>
      <c r="AU376" s="729"/>
      <c r="AV376" s="729"/>
      <c r="AW376" s="729"/>
      <c r="AX376" s="729"/>
      <c r="AY376" s="729"/>
      <c r="AZ376" s="729"/>
      <c r="BA376" s="729"/>
      <c r="BB376" s="729"/>
      <c r="BC376" s="729"/>
      <c r="BD376" s="729"/>
      <c r="BE376" s="729"/>
      <c r="BF376" s="729"/>
      <c r="BG376" s="729"/>
      <c r="BH376" s="729"/>
      <c r="BI376" s="228"/>
      <c r="BJ376" s="729"/>
      <c r="BK376" s="729"/>
      <c r="BL376" s="729"/>
      <c r="BM376" s="729"/>
      <c r="BN376" s="729"/>
      <c r="BO376" s="729"/>
      <c r="BP376" s="729"/>
      <c r="BQ376" s="729"/>
    </row>
    <row r="377" spans="1:69" ht="12.75" customHeight="1">
      <c r="A377" s="1010"/>
      <c r="B377" s="729"/>
      <c r="C377" s="729"/>
      <c r="D377" s="729"/>
      <c r="E377" s="1010"/>
      <c r="F377" s="12"/>
      <c r="G377" s="12"/>
      <c r="H377" s="1011"/>
      <c r="I377" s="1011"/>
      <c r="J377" s="1012"/>
      <c r="K377" s="1011"/>
      <c r="L377" s="1011"/>
      <c r="M377" s="1011"/>
      <c r="N377" s="730"/>
      <c r="O377" s="729"/>
      <c r="P377" s="1014"/>
      <c r="Q377" s="1014"/>
      <c r="R377" s="1014"/>
      <c r="S377" s="729"/>
      <c r="T377" s="729"/>
      <c r="U377" s="729"/>
      <c r="V377" s="729"/>
      <c r="W377" s="729"/>
      <c r="X377" s="729"/>
      <c r="Y377" s="729"/>
      <c r="Z377" s="729"/>
      <c r="AA377" s="729"/>
      <c r="AB377" s="729"/>
      <c r="AC377" s="729"/>
      <c r="AD377" s="729"/>
      <c r="AE377" s="729"/>
      <c r="AF377" s="729"/>
      <c r="AG377" s="729"/>
      <c r="AH377" s="729"/>
      <c r="AI377" s="729"/>
      <c r="AJ377" s="729"/>
      <c r="AK377" s="729"/>
      <c r="AL377" s="729"/>
      <c r="AM377" s="729"/>
      <c r="AN377" s="729"/>
      <c r="AO377" s="729"/>
      <c r="AP377" s="729"/>
      <c r="AQ377" s="729"/>
      <c r="AR377" s="729"/>
      <c r="AS377" s="729"/>
      <c r="AT377" s="729"/>
      <c r="AU377" s="729"/>
      <c r="AV377" s="729"/>
      <c r="AW377" s="729"/>
      <c r="AX377" s="729"/>
      <c r="AY377" s="729"/>
      <c r="AZ377" s="729"/>
      <c r="BA377" s="729"/>
      <c r="BB377" s="729"/>
      <c r="BC377" s="729"/>
      <c r="BD377" s="729"/>
      <c r="BE377" s="729"/>
      <c r="BF377" s="729"/>
      <c r="BG377" s="729"/>
      <c r="BH377" s="729"/>
      <c r="BI377" s="228"/>
      <c r="BJ377" s="729"/>
      <c r="BK377" s="729"/>
      <c r="BL377" s="729"/>
      <c r="BM377" s="729"/>
      <c r="BN377" s="729"/>
      <c r="BO377" s="729"/>
      <c r="BP377" s="729"/>
      <c r="BQ377" s="729"/>
    </row>
    <row r="378" spans="1:69" ht="12.75" customHeight="1">
      <c r="A378" s="1010"/>
      <c r="B378" s="729"/>
      <c r="C378" s="729"/>
      <c r="D378" s="729"/>
      <c r="E378" s="1010"/>
      <c r="F378" s="12"/>
      <c r="G378" s="12"/>
      <c r="H378" s="1011"/>
      <c r="I378" s="1011"/>
      <c r="J378" s="1012"/>
      <c r="K378" s="1011"/>
      <c r="L378" s="1011"/>
      <c r="M378" s="1011"/>
      <c r="N378" s="730"/>
      <c r="O378" s="729"/>
      <c r="P378" s="1014"/>
      <c r="Q378" s="1014"/>
      <c r="R378" s="1014"/>
      <c r="S378" s="729"/>
      <c r="T378" s="729"/>
      <c r="U378" s="729"/>
      <c r="V378" s="729"/>
      <c r="W378" s="729"/>
      <c r="X378" s="729"/>
      <c r="Y378" s="729"/>
      <c r="Z378" s="729"/>
      <c r="AA378" s="729"/>
      <c r="AB378" s="729"/>
      <c r="AC378" s="729"/>
      <c r="AD378" s="729"/>
      <c r="AE378" s="729"/>
      <c r="AF378" s="729"/>
      <c r="AG378" s="729"/>
      <c r="AH378" s="729"/>
      <c r="AI378" s="729"/>
      <c r="AJ378" s="729"/>
      <c r="AK378" s="729"/>
      <c r="AL378" s="729"/>
      <c r="AM378" s="729"/>
      <c r="AN378" s="729"/>
      <c r="AO378" s="729"/>
      <c r="AP378" s="729"/>
      <c r="AQ378" s="729"/>
      <c r="AR378" s="729"/>
      <c r="AS378" s="729"/>
      <c r="AT378" s="729"/>
      <c r="AU378" s="729"/>
      <c r="AV378" s="729"/>
      <c r="AW378" s="729"/>
      <c r="AX378" s="729"/>
      <c r="AY378" s="729"/>
      <c r="AZ378" s="729"/>
      <c r="BA378" s="729"/>
      <c r="BB378" s="729"/>
      <c r="BC378" s="729"/>
      <c r="BD378" s="729"/>
      <c r="BE378" s="729"/>
      <c r="BF378" s="729"/>
      <c r="BG378" s="729"/>
      <c r="BH378" s="729"/>
      <c r="BI378" s="228"/>
      <c r="BJ378" s="729"/>
      <c r="BK378" s="729"/>
      <c r="BL378" s="729"/>
      <c r="BM378" s="729"/>
      <c r="BN378" s="729"/>
      <c r="BO378" s="729"/>
      <c r="BP378" s="729"/>
      <c r="BQ378" s="729"/>
    </row>
    <row r="379" spans="1:69" ht="12.75" customHeight="1">
      <c r="A379" s="1010"/>
      <c r="B379" s="729"/>
      <c r="C379" s="729"/>
      <c r="D379" s="729"/>
      <c r="E379" s="1010"/>
      <c r="F379" s="12"/>
      <c r="G379" s="12"/>
      <c r="H379" s="1011"/>
      <c r="I379" s="1011"/>
      <c r="J379" s="1012"/>
      <c r="K379" s="1011"/>
      <c r="L379" s="1011"/>
      <c r="M379" s="1011"/>
      <c r="N379" s="730"/>
      <c r="O379" s="729"/>
      <c r="P379" s="1014"/>
      <c r="Q379" s="1014"/>
      <c r="R379" s="1014"/>
      <c r="S379" s="729"/>
      <c r="T379" s="729"/>
      <c r="U379" s="729"/>
      <c r="V379" s="729"/>
      <c r="W379" s="729"/>
      <c r="X379" s="729"/>
      <c r="Y379" s="729"/>
      <c r="Z379" s="729"/>
      <c r="AA379" s="729"/>
      <c r="AB379" s="729"/>
      <c r="AC379" s="729"/>
      <c r="AD379" s="729"/>
      <c r="AE379" s="729"/>
      <c r="AF379" s="729"/>
      <c r="AG379" s="729"/>
      <c r="AH379" s="729"/>
      <c r="AI379" s="729"/>
      <c r="AJ379" s="729"/>
      <c r="AK379" s="729"/>
      <c r="AL379" s="729"/>
      <c r="AM379" s="729"/>
      <c r="AN379" s="729"/>
      <c r="AO379" s="729"/>
      <c r="AP379" s="729"/>
      <c r="AQ379" s="729"/>
      <c r="AR379" s="729"/>
      <c r="AS379" s="729"/>
      <c r="AT379" s="729"/>
      <c r="AU379" s="729"/>
      <c r="AV379" s="729"/>
      <c r="AW379" s="729"/>
      <c r="AX379" s="729"/>
      <c r="AY379" s="729"/>
      <c r="AZ379" s="729"/>
      <c r="BA379" s="729"/>
      <c r="BB379" s="729"/>
      <c r="BC379" s="729"/>
      <c r="BD379" s="729"/>
      <c r="BE379" s="729"/>
      <c r="BF379" s="729"/>
      <c r="BG379" s="729"/>
      <c r="BH379" s="729"/>
      <c r="BI379" s="228"/>
      <c r="BJ379" s="729"/>
      <c r="BK379" s="729"/>
      <c r="BL379" s="729"/>
      <c r="BM379" s="729"/>
      <c r="BN379" s="729"/>
      <c r="BO379" s="729"/>
      <c r="BP379" s="729"/>
      <c r="BQ379" s="729"/>
    </row>
    <row r="380" spans="1:69" ht="12.75" customHeight="1">
      <c r="A380" s="1010"/>
      <c r="B380" s="729"/>
      <c r="C380" s="729"/>
      <c r="D380" s="729"/>
      <c r="E380" s="1010"/>
      <c r="F380" s="12"/>
      <c r="G380" s="12"/>
      <c r="H380" s="1011"/>
      <c r="I380" s="1011"/>
      <c r="J380" s="1012"/>
      <c r="K380" s="1011"/>
      <c r="L380" s="1011"/>
      <c r="M380" s="1011"/>
      <c r="N380" s="730"/>
      <c r="O380" s="729"/>
      <c r="P380" s="1014"/>
      <c r="Q380" s="1014"/>
      <c r="R380" s="1014"/>
      <c r="S380" s="729"/>
      <c r="T380" s="729"/>
      <c r="U380" s="729"/>
      <c r="V380" s="729"/>
      <c r="W380" s="729"/>
      <c r="X380" s="729"/>
      <c r="Y380" s="729"/>
      <c r="Z380" s="729"/>
      <c r="AA380" s="729"/>
      <c r="AB380" s="729"/>
      <c r="AC380" s="729"/>
      <c r="AD380" s="729"/>
      <c r="AE380" s="729"/>
      <c r="AF380" s="729"/>
      <c r="AG380" s="729"/>
      <c r="AH380" s="729"/>
      <c r="AI380" s="729"/>
      <c r="AJ380" s="729"/>
      <c r="AK380" s="729"/>
      <c r="AL380" s="729"/>
      <c r="AM380" s="729"/>
      <c r="AN380" s="729"/>
      <c r="AO380" s="729"/>
      <c r="AP380" s="729"/>
      <c r="AQ380" s="729"/>
      <c r="AR380" s="729"/>
      <c r="AS380" s="729"/>
      <c r="AT380" s="729"/>
      <c r="AU380" s="729"/>
      <c r="AV380" s="729"/>
      <c r="AW380" s="729"/>
      <c r="AX380" s="729"/>
      <c r="AY380" s="729"/>
      <c r="AZ380" s="729"/>
      <c r="BA380" s="729"/>
      <c r="BB380" s="729"/>
      <c r="BC380" s="729"/>
      <c r="BD380" s="729"/>
      <c r="BE380" s="729"/>
      <c r="BF380" s="729"/>
      <c r="BG380" s="729"/>
      <c r="BH380" s="729"/>
      <c r="BI380" s="228"/>
      <c r="BJ380" s="729"/>
      <c r="BK380" s="729"/>
      <c r="BL380" s="729"/>
      <c r="BM380" s="729"/>
      <c r="BN380" s="729"/>
      <c r="BO380" s="729"/>
      <c r="BP380" s="729"/>
      <c r="BQ380" s="729"/>
    </row>
    <row r="381" spans="1:69" ht="12.75" customHeight="1">
      <c r="A381" s="1010"/>
      <c r="B381" s="729"/>
      <c r="C381" s="729"/>
      <c r="D381" s="729"/>
      <c r="E381" s="1010"/>
      <c r="F381" s="12"/>
      <c r="G381" s="12"/>
      <c r="H381" s="1011"/>
      <c r="I381" s="1011"/>
      <c r="J381" s="1012"/>
      <c r="K381" s="1011"/>
      <c r="L381" s="1011"/>
      <c r="M381" s="1011"/>
      <c r="N381" s="730"/>
      <c r="O381" s="729"/>
      <c r="P381" s="1014"/>
      <c r="Q381" s="1014"/>
      <c r="R381" s="1014"/>
      <c r="S381" s="729"/>
      <c r="T381" s="729"/>
      <c r="U381" s="729"/>
      <c r="V381" s="729"/>
      <c r="W381" s="729"/>
      <c r="X381" s="729"/>
      <c r="Y381" s="729"/>
      <c r="Z381" s="729"/>
      <c r="AA381" s="729"/>
      <c r="AB381" s="729"/>
      <c r="AC381" s="729"/>
      <c r="AD381" s="729"/>
      <c r="AE381" s="729"/>
      <c r="AF381" s="729"/>
      <c r="AG381" s="729"/>
      <c r="AH381" s="729"/>
      <c r="AI381" s="729"/>
      <c r="AJ381" s="729"/>
      <c r="AK381" s="729"/>
      <c r="AL381" s="729"/>
      <c r="AM381" s="729"/>
      <c r="AN381" s="729"/>
      <c r="AO381" s="729"/>
      <c r="AP381" s="729"/>
      <c r="AQ381" s="729"/>
      <c r="AR381" s="729"/>
      <c r="AS381" s="729"/>
      <c r="AT381" s="729"/>
      <c r="AU381" s="729"/>
      <c r="AV381" s="729"/>
      <c r="AW381" s="729"/>
      <c r="AX381" s="729"/>
      <c r="AY381" s="729"/>
      <c r="AZ381" s="729"/>
      <c r="BA381" s="729"/>
      <c r="BB381" s="729"/>
      <c r="BC381" s="729"/>
      <c r="BD381" s="729"/>
      <c r="BE381" s="729"/>
      <c r="BF381" s="729"/>
      <c r="BG381" s="729"/>
      <c r="BH381" s="729"/>
      <c r="BI381" s="228"/>
      <c r="BJ381" s="729"/>
      <c r="BK381" s="729"/>
      <c r="BL381" s="729"/>
      <c r="BM381" s="729"/>
      <c r="BN381" s="729"/>
      <c r="BO381" s="729"/>
      <c r="BP381" s="729"/>
      <c r="BQ381" s="729"/>
    </row>
    <row r="382" spans="1:69" ht="12.75" customHeight="1">
      <c r="A382" s="1010"/>
      <c r="B382" s="729"/>
      <c r="C382" s="729"/>
      <c r="D382" s="729"/>
      <c r="E382" s="1010"/>
      <c r="F382" s="12"/>
      <c r="G382" s="12"/>
      <c r="H382" s="1011"/>
      <c r="I382" s="1011"/>
      <c r="J382" s="1012"/>
      <c r="K382" s="1011"/>
      <c r="L382" s="1011"/>
      <c r="M382" s="1011"/>
      <c r="N382" s="730"/>
      <c r="O382" s="729"/>
      <c r="P382" s="1014"/>
      <c r="Q382" s="1014"/>
      <c r="R382" s="1014"/>
      <c r="S382" s="729"/>
      <c r="T382" s="729"/>
      <c r="U382" s="729"/>
      <c r="V382" s="729"/>
      <c r="W382" s="729"/>
      <c r="X382" s="729"/>
      <c r="Y382" s="729"/>
      <c r="Z382" s="729"/>
      <c r="AA382" s="729"/>
      <c r="AB382" s="729"/>
      <c r="AC382" s="729"/>
      <c r="AD382" s="729"/>
      <c r="AE382" s="729"/>
      <c r="AF382" s="729"/>
      <c r="AG382" s="729"/>
      <c r="AH382" s="729"/>
      <c r="AI382" s="729"/>
      <c r="AJ382" s="729"/>
      <c r="AK382" s="729"/>
      <c r="AL382" s="729"/>
      <c r="AM382" s="729"/>
      <c r="AN382" s="729"/>
      <c r="AO382" s="729"/>
      <c r="AP382" s="729"/>
      <c r="AQ382" s="729"/>
      <c r="AR382" s="729"/>
      <c r="AS382" s="729"/>
      <c r="AT382" s="729"/>
      <c r="AU382" s="729"/>
      <c r="AV382" s="729"/>
      <c r="AW382" s="729"/>
      <c r="AX382" s="729"/>
      <c r="AY382" s="729"/>
      <c r="AZ382" s="729"/>
      <c r="BA382" s="729"/>
      <c r="BB382" s="729"/>
      <c r="BC382" s="729"/>
      <c r="BD382" s="729"/>
      <c r="BE382" s="729"/>
      <c r="BF382" s="729"/>
      <c r="BG382" s="729"/>
      <c r="BH382" s="729"/>
      <c r="BI382" s="228"/>
      <c r="BJ382" s="729"/>
      <c r="BK382" s="729"/>
      <c r="BL382" s="729"/>
      <c r="BM382" s="729"/>
      <c r="BN382" s="729"/>
      <c r="BO382" s="729"/>
      <c r="BP382" s="729"/>
      <c r="BQ382" s="729"/>
    </row>
    <row r="383" spans="1:69" ht="12.75" customHeight="1">
      <c r="A383" s="1010"/>
      <c r="B383" s="729"/>
      <c r="C383" s="729"/>
      <c r="D383" s="729"/>
      <c r="E383" s="1010"/>
      <c r="F383" s="12"/>
      <c r="G383" s="12"/>
      <c r="H383" s="1011"/>
      <c r="I383" s="1011"/>
      <c r="J383" s="1012"/>
      <c r="K383" s="1011"/>
      <c r="L383" s="1011"/>
      <c r="M383" s="1011"/>
      <c r="N383" s="730"/>
      <c r="O383" s="729"/>
      <c r="P383" s="1014"/>
      <c r="Q383" s="1014"/>
      <c r="R383" s="1014"/>
      <c r="S383" s="729"/>
      <c r="T383" s="729"/>
      <c r="U383" s="729"/>
      <c r="V383" s="729"/>
      <c r="W383" s="729"/>
      <c r="X383" s="729"/>
      <c r="Y383" s="729"/>
      <c r="Z383" s="729"/>
      <c r="AA383" s="729"/>
      <c r="AB383" s="729"/>
      <c r="AC383" s="729"/>
      <c r="AD383" s="729"/>
      <c r="AE383" s="729"/>
      <c r="AF383" s="729"/>
      <c r="AG383" s="729"/>
      <c r="AH383" s="729"/>
      <c r="AI383" s="729"/>
      <c r="AJ383" s="729"/>
      <c r="AK383" s="729"/>
      <c r="AL383" s="729"/>
      <c r="AM383" s="729"/>
      <c r="AN383" s="729"/>
      <c r="AO383" s="729"/>
      <c r="AP383" s="729"/>
      <c r="AQ383" s="729"/>
      <c r="AR383" s="729"/>
      <c r="AS383" s="729"/>
      <c r="AT383" s="729"/>
      <c r="AU383" s="729"/>
      <c r="AV383" s="729"/>
      <c r="AW383" s="729"/>
      <c r="AX383" s="729"/>
      <c r="AY383" s="729"/>
      <c r="AZ383" s="729"/>
      <c r="BA383" s="729"/>
      <c r="BB383" s="729"/>
      <c r="BC383" s="729"/>
      <c r="BD383" s="729"/>
      <c r="BE383" s="729"/>
      <c r="BF383" s="729"/>
      <c r="BG383" s="729"/>
      <c r="BH383" s="729"/>
      <c r="BI383" s="228"/>
      <c r="BJ383" s="729"/>
      <c r="BK383" s="729"/>
      <c r="BL383" s="729"/>
      <c r="BM383" s="729"/>
      <c r="BN383" s="729"/>
      <c r="BO383" s="729"/>
      <c r="BP383" s="729"/>
      <c r="BQ383" s="729"/>
    </row>
    <row r="384" spans="1:69" ht="12.75" customHeight="1">
      <c r="A384" s="1010"/>
      <c r="B384" s="729"/>
      <c r="C384" s="729"/>
      <c r="D384" s="729"/>
      <c r="E384" s="1010"/>
      <c r="F384" s="12"/>
      <c r="G384" s="12"/>
      <c r="H384" s="1011"/>
      <c r="I384" s="1011"/>
      <c r="J384" s="1012"/>
      <c r="K384" s="1011"/>
      <c r="L384" s="1011"/>
      <c r="M384" s="1011"/>
      <c r="N384" s="730"/>
      <c r="O384" s="729"/>
      <c r="P384" s="1014"/>
      <c r="Q384" s="1014"/>
      <c r="R384" s="1014"/>
      <c r="S384" s="729"/>
      <c r="T384" s="729"/>
      <c r="U384" s="729"/>
      <c r="V384" s="729"/>
      <c r="W384" s="729"/>
      <c r="X384" s="729"/>
      <c r="Y384" s="729"/>
      <c r="Z384" s="729"/>
      <c r="AA384" s="729"/>
      <c r="AB384" s="729"/>
      <c r="AC384" s="729"/>
      <c r="AD384" s="729"/>
      <c r="AE384" s="729"/>
      <c r="AF384" s="729"/>
      <c r="AG384" s="729"/>
      <c r="AH384" s="729"/>
      <c r="AI384" s="729"/>
      <c r="AJ384" s="729"/>
      <c r="AK384" s="729"/>
      <c r="AL384" s="729"/>
      <c r="AM384" s="729"/>
      <c r="AN384" s="729"/>
      <c r="AO384" s="729"/>
      <c r="AP384" s="729"/>
      <c r="AQ384" s="729"/>
      <c r="AR384" s="729"/>
      <c r="AS384" s="729"/>
      <c r="AT384" s="729"/>
      <c r="AU384" s="729"/>
      <c r="AV384" s="729"/>
      <c r="AW384" s="729"/>
      <c r="AX384" s="729"/>
      <c r="AY384" s="729"/>
      <c r="AZ384" s="729"/>
      <c r="BA384" s="729"/>
      <c r="BB384" s="729"/>
      <c r="BC384" s="729"/>
      <c r="BD384" s="729"/>
      <c r="BE384" s="729"/>
      <c r="BF384" s="729"/>
      <c r="BG384" s="729"/>
      <c r="BH384" s="729"/>
      <c r="BI384" s="228"/>
      <c r="BJ384" s="729"/>
      <c r="BK384" s="729"/>
      <c r="BL384" s="729"/>
      <c r="BM384" s="729"/>
      <c r="BN384" s="729"/>
      <c r="BO384" s="729"/>
      <c r="BP384" s="729"/>
      <c r="BQ384" s="729"/>
    </row>
    <row r="385" spans="1:69" ht="12.75" customHeight="1">
      <c r="A385" s="1010"/>
      <c r="B385" s="729"/>
      <c r="C385" s="729"/>
      <c r="D385" s="729"/>
      <c r="E385" s="1010"/>
      <c r="F385" s="12"/>
      <c r="G385" s="12"/>
      <c r="H385" s="1011"/>
      <c r="I385" s="1011"/>
      <c r="J385" s="1012"/>
      <c r="K385" s="1011"/>
      <c r="L385" s="1011"/>
      <c r="M385" s="1011"/>
      <c r="N385" s="730"/>
      <c r="O385" s="729"/>
      <c r="P385" s="1014"/>
      <c r="Q385" s="1014"/>
      <c r="R385" s="1014"/>
      <c r="S385" s="729"/>
      <c r="T385" s="729"/>
      <c r="U385" s="729"/>
      <c r="V385" s="729"/>
      <c r="W385" s="729"/>
      <c r="X385" s="729"/>
      <c r="Y385" s="729"/>
      <c r="Z385" s="729"/>
      <c r="AA385" s="729"/>
      <c r="AB385" s="729"/>
      <c r="AC385" s="729"/>
      <c r="AD385" s="729"/>
      <c r="AE385" s="729"/>
      <c r="AF385" s="729"/>
      <c r="AG385" s="729"/>
      <c r="AH385" s="729"/>
      <c r="AI385" s="729"/>
      <c r="AJ385" s="729"/>
      <c r="AK385" s="729"/>
      <c r="AL385" s="729"/>
      <c r="AM385" s="729"/>
      <c r="AN385" s="729"/>
      <c r="AO385" s="729"/>
      <c r="AP385" s="729"/>
      <c r="AQ385" s="729"/>
      <c r="AR385" s="729"/>
      <c r="AS385" s="729"/>
      <c r="AT385" s="729"/>
      <c r="AU385" s="729"/>
      <c r="AV385" s="729"/>
      <c r="AW385" s="729"/>
      <c r="AX385" s="729"/>
      <c r="AY385" s="729"/>
      <c r="AZ385" s="729"/>
      <c r="BA385" s="729"/>
      <c r="BB385" s="729"/>
      <c r="BC385" s="729"/>
      <c r="BD385" s="729"/>
      <c r="BE385" s="729"/>
      <c r="BF385" s="729"/>
      <c r="BG385" s="729"/>
      <c r="BH385" s="729"/>
      <c r="BI385" s="228"/>
      <c r="BJ385" s="729"/>
      <c r="BK385" s="729"/>
      <c r="BL385" s="729"/>
      <c r="BM385" s="729"/>
      <c r="BN385" s="729"/>
      <c r="BO385" s="729"/>
      <c r="BP385" s="729"/>
      <c r="BQ385" s="729"/>
    </row>
    <row r="386" spans="1:69" ht="12.75" customHeight="1">
      <c r="A386" s="1010"/>
      <c r="B386" s="729"/>
      <c r="C386" s="729"/>
      <c r="D386" s="729"/>
      <c r="E386" s="1010"/>
      <c r="F386" s="12"/>
      <c r="G386" s="12"/>
      <c r="H386" s="1011"/>
      <c r="I386" s="1011"/>
      <c r="J386" s="1012"/>
      <c r="K386" s="1011"/>
      <c r="L386" s="1011"/>
      <c r="M386" s="1011"/>
      <c r="N386" s="730"/>
      <c r="O386" s="729"/>
      <c r="P386" s="1014"/>
      <c r="Q386" s="1014"/>
      <c r="R386" s="1014"/>
      <c r="S386" s="729"/>
      <c r="T386" s="729"/>
      <c r="U386" s="729"/>
      <c r="V386" s="729"/>
      <c r="W386" s="729"/>
      <c r="X386" s="729"/>
      <c r="Y386" s="729"/>
      <c r="Z386" s="729"/>
      <c r="AA386" s="729"/>
      <c r="AB386" s="729"/>
      <c r="AC386" s="729"/>
      <c r="AD386" s="729"/>
      <c r="AE386" s="729"/>
      <c r="AF386" s="729"/>
      <c r="AG386" s="729"/>
      <c r="AH386" s="729"/>
      <c r="AI386" s="729"/>
      <c r="AJ386" s="729"/>
      <c r="AK386" s="729"/>
      <c r="AL386" s="729"/>
      <c r="AM386" s="729"/>
      <c r="AN386" s="729"/>
      <c r="AO386" s="729"/>
      <c r="AP386" s="729"/>
      <c r="AQ386" s="729"/>
      <c r="AR386" s="729"/>
      <c r="AS386" s="729"/>
      <c r="AT386" s="729"/>
      <c r="AU386" s="729"/>
      <c r="AV386" s="729"/>
      <c r="AW386" s="729"/>
      <c r="AX386" s="729"/>
      <c r="AY386" s="729"/>
      <c r="AZ386" s="729"/>
      <c r="BA386" s="729"/>
      <c r="BB386" s="729"/>
      <c r="BC386" s="729"/>
      <c r="BD386" s="729"/>
      <c r="BE386" s="729"/>
      <c r="BF386" s="729"/>
      <c r="BG386" s="729"/>
      <c r="BH386" s="729"/>
      <c r="BI386" s="228"/>
      <c r="BJ386" s="729"/>
      <c r="BK386" s="729"/>
      <c r="BL386" s="729"/>
      <c r="BM386" s="729"/>
      <c r="BN386" s="729"/>
      <c r="BO386" s="729"/>
      <c r="BP386" s="729"/>
      <c r="BQ386" s="729"/>
    </row>
  </sheetData>
  <autoFilter ref="A1:BQ180" xr:uid="{00000000-0009-0000-0000-000007000000}">
    <filterColumn colId="21">
      <filters>
        <filter val="F"/>
        <filter val="L"/>
        <filter val="R"/>
      </filters>
    </filterColumn>
  </autoFilter>
  <dataValidations count="2">
    <dataValidation type="custom" allowBlank="1" showErrorMessage="1" sqref="J2:J4 J26 J72:J158" xr:uid="{00000000-0002-0000-0700-000000000000}">
      <formula1>"Azienda"</formula1>
    </dataValidation>
    <dataValidation type="list" allowBlank="1" showErrorMessage="1" sqref="AR2:AR3 AR5 AV2:AV5 AZ2:AZ5 BD2:BD5 BH2:BH5 AV12:AV13 AZ12:AZ13 BD12:BD13 BH12:BH13 AR24 AV24 AZ24 BD24 BH24 AV26:AV75 AZ26:AZ175 BD26:BD175 BH26:BH175 AR28:AR179 AV77:AV179" xr:uid="{00000000-0002-0000-0700-000001000000}">
      <formula1>"x"</formula1>
    </dataValidation>
  </dataValidations>
  <hyperlinks>
    <hyperlink ref="L6" r:id="rId1" xr:uid="{00000000-0004-0000-0700-000000000000}"/>
    <hyperlink ref="L9" r:id="rId2" xr:uid="{00000000-0004-0000-0700-000001000000}"/>
    <hyperlink ref="M11" r:id="rId3" xr:uid="{00000000-0004-0000-0700-000002000000}"/>
    <hyperlink ref="L14" r:id="rId4" xr:uid="{00000000-0004-0000-0700-000003000000}"/>
    <hyperlink ref="L16" r:id="rId5" xr:uid="{00000000-0004-0000-0700-000004000000}"/>
    <hyperlink ref="K17" r:id="rId6" xr:uid="{00000000-0004-0000-0700-000005000000}"/>
    <hyperlink ref="L31" r:id="rId7" xr:uid="{00000000-0004-0000-0700-000006000000}"/>
    <hyperlink ref="M31" r:id="rId8" xr:uid="{00000000-0004-0000-0700-000007000000}"/>
    <hyperlink ref="L33" r:id="rId9" xr:uid="{00000000-0004-0000-0700-000008000000}"/>
    <hyperlink ref="L37" r:id="rId10" xr:uid="{00000000-0004-0000-0700-000009000000}"/>
    <hyperlink ref="M37" r:id="rId11" xr:uid="{00000000-0004-0000-0700-00000A000000}"/>
    <hyperlink ref="M39" r:id="rId12" xr:uid="{00000000-0004-0000-0700-00000B000000}"/>
    <hyperlink ref="M47" r:id="rId13" xr:uid="{00000000-0004-0000-0700-00000C000000}"/>
    <hyperlink ref="M49" r:id="rId14" xr:uid="{00000000-0004-0000-0700-00000D000000}"/>
    <hyperlink ref="M58" r:id="rId15" xr:uid="{00000000-0004-0000-0700-00000E000000}"/>
    <hyperlink ref="L59" r:id="rId16" xr:uid="{00000000-0004-0000-0700-00000F000000}"/>
    <hyperlink ref="L60" r:id="rId17" xr:uid="{00000000-0004-0000-0700-000010000000}"/>
    <hyperlink ref="M61" r:id="rId18" xr:uid="{00000000-0004-0000-0700-000011000000}"/>
    <hyperlink ref="M62" r:id="rId19" xr:uid="{00000000-0004-0000-0700-000012000000}"/>
    <hyperlink ref="L69" r:id="rId20" xr:uid="{00000000-0004-0000-0700-000013000000}"/>
    <hyperlink ref="M69" r:id="rId21" xr:uid="{00000000-0004-0000-0700-000014000000}"/>
    <hyperlink ref="D72" r:id="rId22" xr:uid="{00000000-0004-0000-0700-000015000000}"/>
    <hyperlink ref="L72" r:id="rId23" xr:uid="{00000000-0004-0000-0700-000016000000}"/>
    <hyperlink ref="M72" r:id="rId24" xr:uid="{00000000-0004-0000-0700-000017000000}"/>
    <hyperlink ref="D76" r:id="rId25" xr:uid="{00000000-0004-0000-0700-000018000000}"/>
    <hyperlink ref="D77" r:id="rId26" xr:uid="{00000000-0004-0000-0700-000019000000}"/>
    <hyperlink ref="D86" r:id="rId27" xr:uid="{00000000-0004-0000-0700-00001A000000}"/>
    <hyperlink ref="D92" r:id="rId28" xr:uid="{00000000-0004-0000-0700-00001B000000}"/>
    <hyperlink ref="D93" r:id="rId29" xr:uid="{00000000-0004-0000-0700-00001C000000}"/>
    <hyperlink ref="D100" r:id="rId30" xr:uid="{00000000-0004-0000-0700-00001D000000}"/>
    <hyperlink ref="D103" r:id="rId31" xr:uid="{00000000-0004-0000-0700-00001E000000}"/>
    <hyperlink ref="D106" r:id="rId32" xr:uid="{00000000-0004-0000-0700-00001F000000}"/>
    <hyperlink ref="D111" r:id="rId33" xr:uid="{00000000-0004-0000-0700-000020000000}"/>
    <hyperlink ref="D112" r:id="rId34" xr:uid="{00000000-0004-0000-0700-000021000000}"/>
    <hyperlink ref="D114" r:id="rId35" xr:uid="{00000000-0004-0000-0700-000022000000}"/>
    <hyperlink ref="D117" r:id="rId36" xr:uid="{00000000-0004-0000-0700-000023000000}"/>
    <hyperlink ref="D119" r:id="rId37" xr:uid="{00000000-0004-0000-0700-000024000000}"/>
    <hyperlink ref="D123" r:id="rId38" xr:uid="{00000000-0004-0000-0700-000025000000}"/>
    <hyperlink ref="D125" r:id="rId39" xr:uid="{00000000-0004-0000-0700-000026000000}"/>
    <hyperlink ref="D130" r:id="rId40" xr:uid="{00000000-0004-0000-0700-000027000000}"/>
    <hyperlink ref="D131" r:id="rId41" xr:uid="{00000000-0004-0000-0700-000028000000}"/>
    <hyperlink ref="D133" r:id="rId42" xr:uid="{00000000-0004-0000-0700-000029000000}"/>
    <hyperlink ref="D141" r:id="rId43" xr:uid="{00000000-0004-0000-0700-00002A000000}"/>
    <hyperlink ref="D142" r:id="rId44" xr:uid="{00000000-0004-0000-0700-00002B000000}"/>
    <hyperlink ref="D143" r:id="rId45" xr:uid="{00000000-0004-0000-0700-00002C000000}"/>
    <hyperlink ref="D147" r:id="rId46" xr:uid="{00000000-0004-0000-0700-00002D000000}"/>
    <hyperlink ref="D149" r:id="rId47" xr:uid="{00000000-0004-0000-0700-00002E000000}"/>
    <hyperlink ref="D151" r:id="rId48" xr:uid="{00000000-0004-0000-0700-00002F000000}"/>
    <hyperlink ref="D156" r:id="rId49" xr:uid="{00000000-0004-0000-0700-000030000000}"/>
    <hyperlink ref="D157" r:id="rId50" xr:uid="{00000000-0004-0000-0700-000031000000}"/>
    <hyperlink ref="D158" r:id="rId51" xr:uid="{00000000-0004-0000-0700-000032000000}"/>
    <hyperlink ref="D161" r:id="rId52" xr:uid="{00000000-0004-0000-0700-000033000000}"/>
  </hyperlinks>
  <pageMargins left="0.75" right="0.75" top="1" bottom="1"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1000"/>
  <sheetViews>
    <sheetView workbookViewId="0"/>
  </sheetViews>
  <sheetFormatPr defaultColWidth="14.42578125" defaultRowHeight="15" customHeight="1"/>
  <cols>
    <col min="1" max="1" width="8.5703125" customWidth="1"/>
    <col min="2" max="2" width="20.140625" customWidth="1"/>
    <col min="3" max="3" width="5.7109375" customWidth="1"/>
    <col min="4" max="4" width="20.140625" customWidth="1"/>
    <col min="5" max="5" width="5.7109375" customWidth="1"/>
    <col min="6" max="6" width="24" customWidth="1"/>
    <col min="7" max="7" width="5.7109375" customWidth="1"/>
    <col min="8" max="8" width="17.85546875" customWidth="1"/>
    <col min="9" max="9" width="5.7109375" customWidth="1"/>
    <col min="10" max="10" width="17.85546875" customWidth="1"/>
    <col min="11" max="11" width="2" customWidth="1"/>
    <col min="12" max="12" width="24.42578125" customWidth="1"/>
    <col min="13" max="13" width="16.5703125" customWidth="1"/>
    <col min="14" max="18" width="8.5703125" customWidth="1"/>
  </cols>
  <sheetData>
    <row r="1" spans="1:28" ht="13.5" customHeight="1">
      <c r="A1" s="265" t="s">
        <v>5272</v>
      </c>
      <c r="B1" s="265"/>
      <c r="C1" s="265"/>
      <c r="D1" s="265"/>
      <c r="E1" s="265"/>
      <c r="F1" s="265"/>
      <c r="G1" s="265"/>
      <c r="H1" s="265"/>
      <c r="I1" s="265"/>
      <c r="J1" s="265"/>
      <c r="K1" s="265"/>
      <c r="L1" s="265"/>
      <c r="M1" s="265"/>
      <c r="N1" s="265"/>
      <c r="O1" s="265"/>
      <c r="P1" s="265"/>
      <c r="Q1" s="265"/>
      <c r="R1" s="265"/>
      <c r="S1" s="265"/>
      <c r="T1" s="265"/>
      <c r="U1" s="265"/>
      <c r="V1" s="265"/>
      <c r="W1" s="265"/>
      <c r="X1" s="265"/>
      <c r="Y1" s="265"/>
      <c r="Z1" s="265"/>
      <c r="AA1" s="265"/>
      <c r="AB1" s="265"/>
    </row>
    <row r="2" spans="1:28" ht="13.5" customHeight="1">
      <c r="A2" s="265"/>
      <c r="B2" s="18" t="s">
        <v>3539</v>
      </c>
      <c r="C2" s="18"/>
      <c r="D2" s="18" t="s">
        <v>4854</v>
      </c>
      <c r="E2" s="18"/>
      <c r="F2" s="18" t="s">
        <v>5273</v>
      </c>
      <c r="G2" s="265"/>
      <c r="H2" s="18" t="s">
        <v>92</v>
      </c>
      <c r="I2" s="265"/>
      <c r="J2" s="18" t="s">
        <v>25</v>
      </c>
      <c r="K2" s="265"/>
      <c r="L2" s="6" t="s">
        <v>3539</v>
      </c>
      <c r="M2" s="265" t="s">
        <v>5274</v>
      </c>
      <c r="N2" s="265"/>
      <c r="O2" s="265"/>
      <c r="P2" s="265"/>
      <c r="Q2" s="265"/>
      <c r="R2" s="265"/>
      <c r="S2" s="265"/>
      <c r="T2" s="265"/>
      <c r="U2" s="265"/>
      <c r="V2" s="265"/>
      <c r="W2" s="265"/>
      <c r="X2" s="265"/>
      <c r="Y2" s="265"/>
      <c r="Z2" s="265"/>
      <c r="AA2" s="265"/>
      <c r="AB2" s="265"/>
    </row>
    <row r="3" spans="1:28" ht="13.5" customHeight="1">
      <c r="A3" s="265"/>
      <c r="B3" s="1546" t="s">
        <v>262</v>
      </c>
      <c r="C3" s="265"/>
      <c r="D3" s="1547" t="s">
        <v>5275</v>
      </c>
      <c r="E3" s="265"/>
      <c r="F3" s="1548" t="s">
        <v>5276</v>
      </c>
      <c r="G3" s="265"/>
      <c r="H3" s="1549" t="s">
        <v>5277</v>
      </c>
      <c r="I3" s="265"/>
      <c r="J3" s="1550" t="s">
        <v>1148</v>
      </c>
      <c r="K3" s="265"/>
      <c r="L3" s="6" t="s">
        <v>4854</v>
      </c>
      <c r="M3" s="265" t="s">
        <v>5278</v>
      </c>
      <c r="N3" s="265"/>
      <c r="O3" s="265"/>
      <c r="P3" s="265"/>
      <c r="Q3" s="265"/>
      <c r="R3" s="265"/>
      <c r="S3" s="265"/>
      <c r="T3" s="265"/>
      <c r="U3" s="265"/>
      <c r="V3" s="265"/>
      <c r="W3" s="265"/>
      <c r="X3" s="265"/>
      <c r="Y3" s="265"/>
      <c r="Z3" s="265"/>
      <c r="AA3" s="265"/>
      <c r="AB3" s="265"/>
    </row>
    <row r="4" spans="1:28" ht="13.5" customHeight="1">
      <c r="A4" s="265"/>
      <c r="B4" s="1546" t="s">
        <v>525</v>
      </c>
      <c r="C4" s="265"/>
      <c r="D4" s="1547" t="s">
        <v>414</v>
      </c>
      <c r="E4" s="265"/>
      <c r="F4" s="1548" t="s">
        <v>5279</v>
      </c>
      <c r="G4" s="265"/>
      <c r="H4" s="1549" t="s">
        <v>5280</v>
      </c>
      <c r="I4" s="265"/>
      <c r="J4" s="1550" t="s">
        <v>1258</v>
      </c>
      <c r="K4" s="265"/>
      <c r="L4" s="6" t="s">
        <v>5273</v>
      </c>
      <c r="M4" s="265" t="s">
        <v>5281</v>
      </c>
      <c r="N4" s="265"/>
      <c r="O4" s="265"/>
      <c r="P4" s="265"/>
      <c r="Q4" s="265"/>
      <c r="R4" s="265"/>
      <c r="S4" s="265"/>
      <c r="T4" s="265"/>
      <c r="U4" s="265"/>
      <c r="V4" s="265"/>
      <c r="W4" s="265"/>
      <c r="X4" s="265"/>
      <c r="Y4" s="265"/>
      <c r="Z4" s="265"/>
      <c r="AA4" s="265"/>
      <c r="AB4" s="265"/>
    </row>
    <row r="5" spans="1:28" ht="13.5" customHeight="1">
      <c r="A5" s="265"/>
      <c r="B5" s="1546" t="s">
        <v>184</v>
      </c>
      <c r="C5" s="265"/>
      <c r="D5" s="1547" t="s">
        <v>117</v>
      </c>
      <c r="E5" s="265"/>
      <c r="F5" s="1548" t="s">
        <v>5282</v>
      </c>
      <c r="G5" s="265"/>
      <c r="H5" s="1549" t="s">
        <v>5283</v>
      </c>
      <c r="I5" s="265"/>
      <c r="J5" s="1550" t="s">
        <v>514</v>
      </c>
      <c r="K5" s="265"/>
      <c r="L5" s="6" t="s">
        <v>92</v>
      </c>
      <c r="M5" s="265" t="s">
        <v>5284</v>
      </c>
      <c r="N5" s="265"/>
      <c r="O5" s="265"/>
      <c r="P5" s="265"/>
      <c r="Q5" s="265"/>
      <c r="R5" s="265"/>
      <c r="S5" s="265"/>
      <c r="T5" s="265"/>
      <c r="U5" s="265"/>
      <c r="V5" s="265"/>
      <c r="W5" s="265"/>
      <c r="X5" s="265"/>
      <c r="Y5" s="265"/>
      <c r="Z5" s="265"/>
      <c r="AA5" s="265"/>
      <c r="AB5" s="265"/>
    </row>
    <row r="6" spans="1:28" ht="13.5" customHeight="1">
      <c r="A6" s="265"/>
      <c r="B6" s="1546" t="s">
        <v>119</v>
      </c>
      <c r="C6" s="265"/>
      <c r="D6" s="1547" t="s">
        <v>525</v>
      </c>
      <c r="E6" s="265"/>
      <c r="F6" s="1548" t="s">
        <v>5285</v>
      </c>
      <c r="G6" s="265"/>
      <c r="H6" s="1549" t="s">
        <v>2801</v>
      </c>
      <c r="I6" s="265"/>
      <c r="J6" s="1550" t="s">
        <v>1177</v>
      </c>
      <c r="K6" s="265"/>
      <c r="L6" s="8" t="s">
        <v>25</v>
      </c>
      <c r="M6" s="265" t="s">
        <v>5284</v>
      </c>
      <c r="N6" s="265"/>
      <c r="O6" s="265"/>
      <c r="P6" s="265"/>
      <c r="Q6" s="265"/>
      <c r="R6" s="265"/>
      <c r="S6" s="265"/>
      <c r="T6" s="265"/>
      <c r="U6" s="265"/>
      <c r="V6" s="265"/>
      <c r="W6" s="265"/>
      <c r="X6" s="265"/>
      <c r="Y6" s="265"/>
      <c r="Z6" s="265"/>
      <c r="AA6" s="265"/>
      <c r="AB6" s="265"/>
    </row>
    <row r="7" spans="1:28" ht="13.5" customHeight="1">
      <c r="A7" s="265"/>
      <c r="B7" s="1546" t="s">
        <v>133</v>
      </c>
      <c r="C7" s="265"/>
      <c r="D7" s="1547" t="s">
        <v>2613</v>
      </c>
      <c r="E7" s="265"/>
      <c r="F7" s="1548" t="s">
        <v>5286</v>
      </c>
      <c r="G7" s="265"/>
      <c r="H7" s="1549" t="s">
        <v>2693</v>
      </c>
      <c r="I7" s="265"/>
      <c r="J7" s="1550" t="s">
        <v>3403</v>
      </c>
      <c r="K7" s="265"/>
      <c r="L7" s="8"/>
      <c r="M7" s="265"/>
      <c r="N7" s="265"/>
      <c r="O7" s="265"/>
      <c r="P7" s="265"/>
      <c r="Q7" s="265"/>
      <c r="R7" s="265"/>
      <c r="S7" s="265"/>
      <c r="T7" s="265"/>
      <c r="U7" s="265"/>
      <c r="V7" s="265"/>
      <c r="W7" s="265"/>
      <c r="X7" s="265"/>
      <c r="Y7" s="265"/>
      <c r="Z7" s="265"/>
      <c r="AA7" s="265"/>
      <c r="AB7" s="265"/>
    </row>
    <row r="8" spans="1:28" ht="13.5" customHeight="1">
      <c r="A8" s="265"/>
      <c r="B8" s="1546" t="s">
        <v>487</v>
      </c>
      <c r="C8" s="265"/>
      <c r="D8" s="1547" t="s">
        <v>152</v>
      </c>
      <c r="E8" s="265"/>
      <c r="F8" s="1548" t="s">
        <v>3661</v>
      </c>
      <c r="G8" s="265"/>
      <c r="H8" s="1549" t="s">
        <v>1387</v>
      </c>
      <c r="I8" s="265"/>
      <c r="J8" s="1551"/>
      <c r="K8" s="265"/>
      <c r="L8" s="265"/>
      <c r="M8" s="265"/>
      <c r="N8" s="265"/>
      <c r="O8" s="265"/>
      <c r="P8" s="265"/>
      <c r="Q8" s="265"/>
      <c r="R8" s="265"/>
      <c r="S8" s="265"/>
      <c r="T8" s="265"/>
      <c r="U8" s="265"/>
      <c r="V8" s="265"/>
      <c r="W8" s="265"/>
      <c r="X8" s="265"/>
      <c r="Y8" s="265"/>
      <c r="Z8" s="265"/>
      <c r="AA8" s="265"/>
      <c r="AB8" s="265"/>
    </row>
    <row r="9" spans="1:28" ht="13.5" customHeight="1">
      <c r="A9" s="265"/>
      <c r="B9" s="1546" t="s">
        <v>451</v>
      </c>
      <c r="C9" s="265"/>
      <c r="D9" s="1547" t="s">
        <v>184</v>
      </c>
      <c r="E9" s="265"/>
      <c r="F9" s="1548" t="s">
        <v>5287</v>
      </c>
      <c r="G9" s="265"/>
      <c r="H9" s="1549" t="s">
        <v>3128</v>
      </c>
      <c r="I9" s="265"/>
      <c r="J9" s="1551"/>
      <c r="K9" s="265"/>
      <c r="L9" s="265"/>
      <c r="M9" s="265"/>
      <c r="N9" s="265"/>
      <c r="O9" s="265"/>
      <c r="P9" s="265"/>
      <c r="Q9" s="265"/>
      <c r="R9" s="265"/>
      <c r="S9" s="265"/>
      <c r="T9" s="265"/>
      <c r="U9" s="265"/>
      <c r="V9" s="265"/>
      <c r="W9" s="265"/>
      <c r="X9" s="265"/>
      <c r="Y9" s="265"/>
      <c r="Z9" s="265"/>
      <c r="AA9" s="265"/>
      <c r="AB9" s="265"/>
    </row>
    <row r="10" spans="1:28" ht="57.75" customHeight="1">
      <c r="A10" s="265"/>
      <c r="B10" s="1546" t="s">
        <v>160</v>
      </c>
      <c r="C10" s="265"/>
      <c r="D10" s="1547" t="s">
        <v>133</v>
      </c>
      <c r="E10" s="265"/>
      <c r="F10" s="1548" t="s">
        <v>5288</v>
      </c>
      <c r="G10" s="265"/>
      <c r="H10" s="1549" t="s">
        <v>1408</v>
      </c>
      <c r="I10" s="265"/>
      <c r="J10" s="1551"/>
      <c r="K10" s="265"/>
      <c r="L10" s="1523" t="s">
        <v>5263</v>
      </c>
      <c r="M10" s="1523" t="s">
        <v>5264</v>
      </c>
      <c r="N10" s="265"/>
      <c r="O10" s="265"/>
      <c r="P10" s="265"/>
      <c r="Q10" s="265"/>
      <c r="R10" s="265"/>
      <c r="S10" s="265"/>
      <c r="T10" s="265"/>
      <c r="U10" s="265"/>
      <c r="V10" s="265"/>
      <c r="W10" s="265"/>
      <c r="X10" s="265"/>
      <c r="Y10" s="265"/>
      <c r="Z10" s="265"/>
      <c r="AA10" s="265"/>
      <c r="AB10" s="265"/>
    </row>
    <row r="11" spans="1:28" ht="63.75">
      <c r="A11" s="265"/>
      <c r="B11" s="1546" t="s">
        <v>321</v>
      </c>
      <c r="C11" s="265"/>
      <c r="D11" s="1547" t="s">
        <v>487</v>
      </c>
      <c r="E11" s="265"/>
      <c r="F11" s="1548" t="s">
        <v>2834</v>
      </c>
      <c r="G11" s="265"/>
      <c r="H11" s="1549" t="s">
        <v>5289</v>
      </c>
      <c r="I11" s="265"/>
      <c r="J11" s="1551"/>
      <c r="K11" s="265"/>
      <c r="L11" s="1523" t="s">
        <v>5266</v>
      </c>
      <c r="M11" s="1523" t="s">
        <v>5267</v>
      </c>
      <c r="N11" s="265"/>
      <c r="O11" s="265"/>
      <c r="P11" s="265"/>
      <c r="Q11" s="265"/>
      <c r="R11" s="265"/>
      <c r="S11" s="265"/>
      <c r="T11" s="265"/>
      <c r="U11" s="265"/>
      <c r="V11" s="265"/>
      <c r="W11" s="265"/>
      <c r="X11" s="265"/>
      <c r="Y11" s="265"/>
      <c r="Z11" s="265"/>
      <c r="AA11" s="265"/>
      <c r="AB11" s="265"/>
    </row>
    <row r="12" spans="1:28" ht="13.5" customHeight="1">
      <c r="A12" s="265"/>
      <c r="B12" s="1546" t="s">
        <v>141</v>
      </c>
      <c r="C12" s="265"/>
      <c r="D12" s="1547" t="s">
        <v>141</v>
      </c>
      <c r="E12" s="265"/>
      <c r="F12" s="1548" t="s">
        <v>5290</v>
      </c>
      <c r="G12" s="265"/>
      <c r="H12" s="1549" t="s">
        <v>5291</v>
      </c>
      <c r="I12" s="265"/>
      <c r="J12" s="1551"/>
      <c r="K12" s="265"/>
      <c r="L12" s="265"/>
      <c r="M12" s="265"/>
      <c r="N12" s="265"/>
      <c r="O12" s="265"/>
      <c r="P12" s="265"/>
      <c r="Q12" s="265"/>
      <c r="R12" s="265"/>
      <c r="S12" s="265"/>
      <c r="T12" s="265"/>
      <c r="U12" s="265"/>
      <c r="V12" s="265"/>
      <c r="W12" s="265"/>
      <c r="X12" s="265"/>
      <c r="Y12" s="265"/>
      <c r="Z12" s="265"/>
      <c r="AA12" s="265"/>
      <c r="AB12" s="265"/>
    </row>
    <row r="13" spans="1:28" ht="13.5" customHeight="1">
      <c r="A13" s="265"/>
      <c r="B13" s="1546" t="s">
        <v>407</v>
      </c>
      <c r="C13" s="265"/>
      <c r="D13" s="1547" t="s">
        <v>2371</v>
      </c>
      <c r="E13" s="265"/>
      <c r="F13" s="1548" t="s">
        <v>5292</v>
      </c>
      <c r="G13" s="265"/>
      <c r="H13" s="1549" t="s">
        <v>5293</v>
      </c>
      <c r="I13" s="265"/>
      <c r="J13" s="1551"/>
      <c r="K13" s="265"/>
      <c r="L13" s="265"/>
      <c r="M13" s="265"/>
      <c r="N13" s="265"/>
      <c r="O13" s="265"/>
      <c r="P13" s="265"/>
      <c r="Q13" s="265"/>
      <c r="R13" s="265"/>
      <c r="S13" s="265"/>
      <c r="T13" s="265"/>
      <c r="U13" s="265"/>
      <c r="V13" s="265"/>
      <c r="W13" s="265"/>
      <c r="X13" s="265"/>
      <c r="Y13" s="265"/>
      <c r="Z13" s="265"/>
      <c r="AA13" s="265"/>
      <c r="AB13" s="265"/>
    </row>
    <row r="14" spans="1:28" ht="13.5" customHeight="1">
      <c r="A14" s="265"/>
      <c r="B14" s="1546" t="s">
        <v>246</v>
      </c>
      <c r="C14" s="265"/>
      <c r="D14" s="1547" t="s">
        <v>451</v>
      </c>
      <c r="E14" s="265"/>
      <c r="F14" s="1548" t="s">
        <v>5275</v>
      </c>
      <c r="G14" s="265"/>
      <c r="H14" s="1549" t="s">
        <v>5294</v>
      </c>
      <c r="I14" s="265"/>
      <c r="J14" s="1551"/>
      <c r="K14" s="265"/>
      <c r="L14" s="265"/>
      <c r="M14" s="265"/>
      <c r="N14" s="265"/>
      <c r="O14" s="265"/>
      <c r="P14" s="265"/>
      <c r="Q14" s="265"/>
      <c r="R14" s="265"/>
      <c r="S14" s="265"/>
      <c r="T14" s="265"/>
      <c r="U14" s="265"/>
      <c r="V14" s="265"/>
      <c r="W14" s="265"/>
      <c r="X14" s="265"/>
      <c r="Y14" s="265"/>
      <c r="Z14" s="265"/>
      <c r="AA14" s="265"/>
      <c r="AB14" s="265"/>
    </row>
    <row r="15" spans="1:28" ht="13.5" customHeight="1">
      <c r="A15" s="265"/>
      <c r="B15" s="1546" t="s">
        <v>1769</v>
      </c>
      <c r="C15" s="265"/>
      <c r="D15" s="1547" t="s">
        <v>3056</v>
      </c>
      <c r="E15" s="265"/>
      <c r="F15" s="1548" t="s">
        <v>5295</v>
      </c>
      <c r="G15" s="265"/>
      <c r="H15" s="1549" t="s">
        <v>3849</v>
      </c>
      <c r="I15" s="265"/>
      <c r="J15" s="1551"/>
      <c r="K15" s="265"/>
      <c r="L15" s="1785" t="s">
        <v>5296</v>
      </c>
      <c r="M15" s="1786"/>
      <c r="N15" s="1786"/>
      <c r="O15" s="1786"/>
      <c r="P15" s="1786"/>
      <c r="Q15" s="1786"/>
      <c r="R15" s="1787"/>
      <c r="S15" s="265"/>
      <c r="T15" s="265"/>
      <c r="U15" s="265"/>
      <c r="V15" s="265"/>
      <c r="W15" s="265"/>
      <c r="X15" s="265"/>
      <c r="Y15" s="265"/>
      <c r="Z15" s="265"/>
      <c r="AA15" s="265"/>
      <c r="AB15" s="265"/>
    </row>
    <row r="16" spans="1:28" ht="35.25" customHeight="1">
      <c r="A16" s="265"/>
      <c r="B16" s="1546" t="s">
        <v>414</v>
      </c>
      <c r="C16" s="265"/>
      <c r="D16" s="1547" t="s">
        <v>616</v>
      </c>
      <c r="E16" s="265"/>
      <c r="F16" s="1548" t="s">
        <v>5297</v>
      </c>
      <c r="G16" s="265"/>
      <c r="H16" s="1549" t="s">
        <v>5298</v>
      </c>
      <c r="I16" s="265"/>
      <c r="J16" s="1551"/>
      <c r="K16" s="265"/>
      <c r="L16" s="1788" t="s">
        <v>5299</v>
      </c>
      <c r="M16" s="1783"/>
      <c r="N16" s="1783"/>
      <c r="O16" s="1783"/>
      <c r="P16" s="1783"/>
      <c r="Q16" s="1783"/>
      <c r="R16" s="1789"/>
      <c r="S16" s="265"/>
      <c r="T16" s="265"/>
      <c r="U16" s="265"/>
      <c r="V16" s="265"/>
      <c r="W16" s="265"/>
      <c r="X16" s="265"/>
      <c r="Y16" s="265"/>
      <c r="Z16" s="265"/>
      <c r="AA16" s="265"/>
      <c r="AB16" s="265"/>
    </row>
    <row r="17" spans="1:28" ht="30" customHeight="1">
      <c r="A17" s="265"/>
      <c r="B17" s="1546" t="s">
        <v>166</v>
      </c>
      <c r="C17" s="265"/>
      <c r="D17" s="1547" t="s">
        <v>160</v>
      </c>
      <c r="E17" s="265"/>
      <c r="F17" s="1548" t="s">
        <v>5300</v>
      </c>
      <c r="G17" s="265"/>
      <c r="H17" s="1549" t="s">
        <v>690</v>
      </c>
      <c r="I17" s="265"/>
      <c r="J17" s="1551"/>
      <c r="K17" s="265"/>
      <c r="L17" s="1788" t="s">
        <v>5301</v>
      </c>
      <c r="M17" s="1783"/>
      <c r="N17" s="1783"/>
      <c r="O17" s="1783"/>
      <c r="P17" s="1783"/>
      <c r="Q17" s="1783"/>
      <c r="R17" s="1789"/>
      <c r="S17" s="265"/>
      <c r="T17" s="265"/>
      <c r="U17" s="265"/>
      <c r="V17" s="265"/>
      <c r="W17" s="265"/>
      <c r="X17" s="265"/>
      <c r="Y17" s="265"/>
      <c r="Z17" s="265"/>
      <c r="AA17" s="265"/>
      <c r="AB17" s="265"/>
    </row>
    <row r="18" spans="1:28" ht="13.5" customHeight="1">
      <c r="A18" s="265"/>
      <c r="B18" s="1546" t="s">
        <v>2371</v>
      </c>
      <c r="C18" s="265"/>
      <c r="D18" s="1547" t="s">
        <v>5302</v>
      </c>
      <c r="E18" s="265"/>
      <c r="F18" s="1548" t="s">
        <v>5303</v>
      </c>
      <c r="G18" s="265"/>
      <c r="H18" s="1549" t="s">
        <v>5304</v>
      </c>
      <c r="I18" s="265"/>
      <c r="J18" s="1551"/>
      <c r="K18" s="265"/>
      <c r="L18" s="1790" t="s">
        <v>5305</v>
      </c>
      <c r="M18" s="1791"/>
      <c r="N18" s="1791"/>
      <c r="O18" s="1791"/>
      <c r="P18" s="1791"/>
      <c r="Q18" s="1791"/>
      <c r="R18" s="1792"/>
      <c r="S18" s="265"/>
      <c r="T18" s="265"/>
      <c r="U18" s="265"/>
      <c r="V18" s="265"/>
      <c r="W18" s="265"/>
      <c r="X18" s="265"/>
      <c r="Y18" s="265"/>
      <c r="Z18" s="265"/>
      <c r="AA18" s="265"/>
      <c r="AB18" s="265"/>
    </row>
    <row r="19" spans="1:28" ht="31.5" customHeight="1">
      <c r="A19" s="265"/>
      <c r="B19" s="1546" t="s">
        <v>3368</v>
      </c>
      <c r="C19" s="265"/>
      <c r="D19" s="1547" t="s">
        <v>3849</v>
      </c>
      <c r="E19" s="265"/>
      <c r="F19" s="1548" t="s">
        <v>5306</v>
      </c>
      <c r="G19" s="265"/>
      <c r="H19" s="1549" t="s">
        <v>2086</v>
      </c>
      <c r="I19" s="265"/>
      <c r="J19" s="1551"/>
      <c r="K19" s="265"/>
      <c r="L19" s="265"/>
      <c r="M19" s="265"/>
      <c r="N19" s="265"/>
      <c r="O19" s="265"/>
      <c r="P19" s="265"/>
      <c r="Q19" s="265"/>
      <c r="R19" s="265"/>
      <c r="S19" s="265"/>
      <c r="T19" s="265"/>
      <c r="U19" s="265"/>
      <c r="V19" s="265"/>
      <c r="W19" s="265"/>
      <c r="X19" s="265"/>
      <c r="Y19" s="265"/>
      <c r="Z19" s="265"/>
      <c r="AA19" s="265"/>
      <c r="AB19" s="265"/>
    </row>
    <row r="20" spans="1:28" ht="13.5" customHeight="1">
      <c r="A20" s="265"/>
      <c r="B20" s="1546" t="s">
        <v>822</v>
      </c>
      <c r="C20" s="265"/>
      <c r="D20" s="1547" t="s">
        <v>246</v>
      </c>
      <c r="E20" s="265"/>
      <c r="F20" s="1548" t="s">
        <v>5307</v>
      </c>
      <c r="G20" s="265"/>
      <c r="H20" s="1549" t="s">
        <v>1580</v>
      </c>
      <c r="I20" s="265"/>
      <c r="J20" s="1551"/>
      <c r="K20" s="265"/>
      <c r="L20" s="265"/>
      <c r="M20" s="265"/>
      <c r="N20" s="265"/>
      <c r="O20" s="265"/>
      <c r="P20" s="265"/>
      <c r="Q20" s="265"/>
      <c r="R20" s="265"/>
      <c r="S20" s="265"/>
      <c r="T20" s="265"/>
      <c r="U20" s="265"/>
      <c r="V20" s="265"/>
      <c r="W20" s="265"/>
      <c r="X20" s="265"/>
      <c r="Y20" s="265"/>
      <c r="Z20" s="265"/>
      <c r="AA20" s="265"/>
      <c r="AB20" s="265"/>
    </row>
    <row r="21" spans="1:28" ht="30.75" customHeight="1">
      <c r="A21" s="265"/>
      <c r="B21" s="1546" t="s">
        <v>4543</v>
      </c>
      <c r="C21" s="265"/>
      <c r="D21" s="1547" t="s">
        <v>166</v>
      </c>
      <c r="E21" s="265"/>
      <c r="F21" s="1548" t="s">
        <v>5308</v>
      </c>
      <c r="G21" s="265"/>
      <c r="H21" s="1549" t="s">
        <v>5309</v>
      </c>
      <c r="I21" s="265"/>
      <c r="J21" s="1551"/>
      <c r="K21" s="265"/>
      <c r="L21" s="1793" t="s">
        <v>5268</v>
      </c>
      <c r="M21" s="1794"/>
      <c r="N21" s="1794"/>
      <c r="O21" s="1794"/>
      <c r="P21" s="1794"/>
      <c r="Q21" s="1794"/>
      <c r="R21" s="1795"/>
      <c r="S21" s="265"/>
      <c r="T21" s="265"/>
      <c r="U21" s="265"/>
      <c r="V21" s="265"/>
      <c r="W21" s="265"/>
      <c r="X21" s="265"/>
      <c r="Y21" s="265"/>
      <c r="Z21" s="265"/>
      <c r="AA21" s="265"/>
      <c r="AB21" s="265"/>
    </row>
    <row r="22" spans="1:28" ht="13.5" customHeight="1">
      <c r="A22" s="265"/>
      <c r="B22" s="1546" t="s">
        <v>5310</v>
      </c>
      <c r="C22" s="265"/>
      <c r="D22" s="1547" t="s">
        <v>690</v>
      </c>
      <c r="E22" s="265"/>
      <c r="F22" s="1548" t="s">
        <v>998</v>
      </c>
      <c r="G22" s="265"/>
      <c r="H22" s="1549" t="s">
        <v>2633</v>
      </c>
      <c r="I22" s="265"/>
      <c r="J22" s="1551"/>
      <c r="K22" s="265"/>
      <c r="L22" s="265"/>
      <c r="M22" s="265"/>
      <c r="N22" s="265"/>
      <c r="O22" s="265"/>
      <c r="P22" s="265"/>
      <c r="Q22" s="265"/>
      <c r="R22" s="265"/>
      <c r="S22" s="265"/>
      <c r="T22" s="265"/>
      <c r="U22" s="265"/>
      <c r="V22" s="265"/>
      <c r="W22" s="265"/>
      <c r="X22" s="265"/>
      <c r="Y22" s="265"/>
      <c r="Z22" s="265"/>
      <c r="AA22" s="265"/>
      <c r="AB22" s="265"/>
    </row>
    <row r="23" spans="1:28" ht="13.5" customHeight="1">
      <c r="A23" s="265"/>
      <c r="B23" s="1546" t="s">
        <v>2805</v>
      </c>
      <c r="C23" s="265"/>
      <c r="D23" s="1547" t="s">
        <v>1034</v>
      </c>
      <c r="E23" s="265"/>
      <c r="F23" s="1548" t="s">
        <v>907</v>
      </c>
      <c r="G23" s="265"/>
      <c r="H23" s="265"/>
      <c r="I23" s="265"/>
      <c r="J23" s="265"/>
      <c r="K23" s="265"/>
      <c r="L23" s="265"/>
      <c r="M23" s="265"/>
      <c r="N23" s="265"/>
      <c r="O23" s="265"/>
      <c r="P23" s="265"/>
      <c r="Q23" s="265"/>
      <c r="R23" s="265"/>
      <c r="S23" s="265"/>
      <c r="T23" s="265"/>
      <c r="U23" s="265"/>
      <c r="V23" s="265"/>
      <c r="W23" s="265"/>
      <c r="X23" s="265"/>
      <c r="Y23" s="265"/>
      <c r="Z23" s="265"/>
      <c r="AA23" s="265"/>
      <c r="AB23" s="265"/>
    </row>
    <row r="24" spans="1:28" ht="13.5" customHeight="1">
      <c r="A24" s="265"/>
      <c r="B24" s="1546" t="s">
        <v>1248</v>
      </c>
      <c r="C24" s="265"/>
      <c r="D24" s="1547" t="s">
        <v>262</v>
      </c>
      <c r="E24" s="265"/>
      <c r="F24" s="1548" t="s">
        <v>990</v>
      </c>
      <c r="G24" s="265"/>
      <c r="H24" s="265"/>
      <c r="I24" s="265"/>
      <c r="J24" s="265"/>
      <c r="K24" s="265"/>
      <c r="L24" s="265"/>
      <c r="M24" s="265"/>
      <c r="N24" s="265"/>
      <c r="O24" s="265"/>
      <c r="P24" s="265"/>
      <c r="Q24" s="265"/>
      <c r="R24" s="265"/>
      <c r="S24" s="265"/>
      <c r="T24" s="265"/>
      <c r="U24" s="265"/>
      <c r="V24" s="265"/>
      <c r="W24" s="265"/>
      <c r="X24" s="265"/>
      <c r="Y24" s="265"/>
      <c r="Z24" s="265"/>
      <c r="AA24" s="265"/>
      <c r="AB24" s="265"/>
    </row>
    <row r="25" spans="1:28" ht="13.5" customHeight="1">
      <c r="A25" s="265"/>
      <c r="B25" s="1546" t="s">
        <v>2115</v>
      </c>
      <c r="C25" s="265"/>
      <c r="D25" s="1547" t="s">
        <v>119</v>
      </c>
      <c r="E25" s="265"/>
      <c r="F25" s="1548" t="s">
        <v>3828</v>
      </c>
      <c r="G25" s="265"/>
      <c r="H25" s="265"/>
      <c r="I25" s="265"/>
      <c r="J25" s="265"/>
      <c r="K25" s="265"/>
      <c r="L25" s="265"/>
      <c r="M25" s="265"/>
      <c r="N25" s="265"/>
      <c r="O25" s="265"/>
      <c r="P25" s="265"/>
      <c r="Q25" s="265"/>
      <c r="R25" s="265"/>
      <c r="S25" s="265"/>
      <c r="T25" s="265"/>
      <c r="U25" s="265"/>
      <c r="V25" s="265"/>
      <c r="W25" s="265"/>
      <c r="X25" s="265"/>
      <c r="Y25" s="265"/>
      <c r="Z25" s="265"/>
      <c r="AA25" s="265"/>
      <c r="AB25" s="265"/>
    </row>
    <row r="26" spans="1:28" ht="13.5" customHeight="1">
      <c r="A26" s="265"/>
      <c r="B26" s="1546" t="s">
        <v>895</v>
      </c>
      <c r="C26" s="265"/>
      <c r="D26" s="1547" t="s">
        <v>287</v>
      </c>
      <c r="E26" s="265"/>
      <c r="F26" s="1548" t="s">
        <v>5311</v>
      </c>
      <c r="G26" s="265"/>
      <c r="H26" s="265"/>
      <c r="I26" s="265"/>
      <c r="J26" s="265"/>
      <c r="K26" s="265"/>
      <c r="L26" s="265"/>
      <c r="M26" s="265"/>
      <c r="N26" s="265"/>
      <c r="O26" s="265"/>
      <c r="P26" s="265"/>
      <c r="Q26" s="265"/>
      <c r="R26" s="265"/>
      <c r="S26" s="265"/>
      <c r="T26" s="265"/>
      <c r="U26" s="265"/>
      <c r="V26" s="265"/>
      <c r="W26" s="265"/>
      <c r="X26" s="265"/>
      <c r="Y26" s="265"/>
      <c r="Z26" s="265"/>
      <c r="AA26" s="265"/>
      <c r="AB26" s="265"/>
    </row>
    <row r="27" spans="1:28" ht="13.5" customHeight="1">
      <c r="A27" s="265"/>
      <c r="B27" s="1546" t="s">
        <v>287</v>
      </c>
      <c r="C27" s="265"/>
      <c r="D27" s="1547" t="s">
        <v>2680</v>
      </c>
      <c r="E27" s="265"/>
      <c r="F27" s="1548" t="s">
        <v>5312</v>
      </c>
      <c r="G27" s="265"/>
      <c r="H27" s="265"/>
      <c r="I27" s="265"/>
      <c r="J27" s="265"/>
      <c r="K27" s="265"/>
      <c r="L27" s="265"/>
      <c r="M27" s="265"/>
      <c r="N27" s="265"/>
      <c r="O27" s="265"/>
      <c r="P27" s="265"/>
      <c r="Q27" s="265"/>
      <c r="R27" s="265"/>
      <c r="S27" s="265"/>
      <c r="T27" s="265"/>
      <c r="U27" s="265"/>
      <c r="V27" s="265"/>
      <c r="W27" s="265"/>
      <c r="X27" s="265"/>
      <c r="Y27" s="265"/>
      <c r="Z27" s="265"/>
      <c r="AA27" s="265"/>
      <c r="AB27" s="265"/>
    </row>
    <row r="28" spans="1:28" ht="13.5" customHeight="1">
      <c r="A28" s="265"/>
      <c r="B28" s="1546" t="s">
        <v>398</v>
      </c>
      <c r="C28" s="265"/>
      <c r="D28" s="1547" t="s">
        <v>407</v>
      </c>
      <c r="E28" s="265"/>
      <c r="F28" s="1548" t="s">
        <v>3736</v>
      </c>
      <c r="G28" s="265"/>
      <c r="H28" s="265"/>
      <c r="I28" s="265"/>
      <c r="J28" s="265"/>
      <c r="K28" s="265"/>
      <c r="L28" s="265"/>
      <c r="M28" s="265"/>
      <c r="N28" s="265"/>
      <c r="O28" s="265"/>
      <c r="P28" s="265"/>
      <c r="Q28" s="265"/>
      <c r="R28" s="265"/>
      <c r="S28" s="265"/>
      <c r="T28" s="265"/>
      <c r="U28" s="265"/>
      <c r="V28" s="265"/>
      <c r="W28" s="265"/>
      <c r="X28" s="265"/>
      <c r="Y28" s="265"/>
      <c r="Z28" s="265"/>
      <c r="AA28" s="265"/>
      <c r="AB28" s="265"/>
    </row>
    <row r="29" spans="1:28" ht="13.5" customHeight="1">
      <c r="A29" s="265"/>
      <c r="B29" s="1546" t="s">
        <v>300</v>
      </c>
      <c r="C29" s="265"/>
      <c r="D29" s="1547" t="s">
        <v>398</v>
      </c>
      <c r="E29" s="265"/>
      <c r="F29" s="1548" t="s">
        <v>5313</v>
      </c>
      <c r="G29" s="265"/>
      <c r="H29" s="265"/>
      <c r="I29" s="265"/>
      <c r="J29" s="265"/>
      <c r="K29" s="265"/>
      <c r="L29" s="265"/>
      <c r="M29" s="265"/>
      <c r="N29" s="265"/>
      <c r="O29" s="265"/>
      <c r="P29" s="265"/>
      <c r="Q29" s="265"/>
      <c r="R29" s="265"/>
      <c r="S29" s="265"/>
      <c r="T29" s="265"/>
      <c r="U29" s="265"/>
      <c r="V29" s="265"/>
      <c r="W29" s="265"/>
      <c r="X29" s="265"/>
      <c r="Y29" s="265"/>
      <c r="Z29" s="265"/>
      <c r="AA29" s="265"/>
      <c r="AB29" s="265"/>
    </row>
    <row r="30" spans="1:28" ht="13.5" customHeight="1">
      <c r="A30" s="265"/>
      <c r="B30" s="1546" t="s">
        <v>861</v>
      </c>
      <c r="C30" s="265"/>
      <c r="D30" s="1547" t="s">
        <v>300</v>
      </c>
      <c r="E30" s="265"/>
      <c r="F30" s="1548" t="s">
        <v>5314</v>
      </c>
      <c r="G30" s="265"/>
      <c r="H30" s="265"/>
      <c r="I30" s="265"/>
      <c r="J30" s="265"/>
      <c r="K30" s="265"/>
      <c r="L30" s="265"/>
      <c r="M30" s="265"/>
      <c r="N30" s="265"/>
      <c r="O30" s="265"/>
      <c r="P30" s="265"/>
      <c r="Q30" s="265"/>
      <c r="R30" s="265"/>
      <c r="S30" s="265"/>
      <c r="T30" s="265"/>
      <c r="U30" s="265"/>
      <c r="V30" s="265"/>
      <c r="W30" s="265"/>
      <c r="X30" s="265"/>
      <c r="Y30" s="265"/>
      <c r="Z30" s="265"/>
      <c r="AA30" s="265"/>
      <c r="AB30" s="265"/>
    </row>
    <row r="31" spans="1:28" ht="13.5" customHeight="1">
      <c r="A31" s="265"/>
      <c r="B31" s="1546" t="s">
        <v>152</v>
      </c>
      <c r="C31" s="265"/>
      <c r="D31" s="1547" t="s">
        <v>861</v>
      </c>
      <c r="E31" s="265"/>
      <c r="F31" s="1548" t="s">
        <v>5315</v>
      </c>
      <c r="G31" s="265"/>
      <c r="H31" s="265"/>
      <c r="I31" s="265"/>
      <c r="J31" s="265"/>
      <c r="K31" s="265"/>
      <c r="L31" s="265"/>
      <c r="M31" s="265"/>
      <c r="N31" s="265"/>
      <c r="O31" s="265"/>
      <c r="P31" s="265"/>
      <c r="Q31" s="265"/>
      <c r="R31" s="265"/>
      <c r="S31" s="265"/>
      <c r="T31" s="265"/>
      <c r="U31" s="265"/>
      <c r="V31" s="265"/>
      <c r="W31" s="265"/>
      <c r="X31" s="265"/>
      <c r="Y31" s="265"/>
      <c r="Z31" s="265"/>
      <c r="AA31" s="265"/>
      <c r="AB31" s="265"/>
    </row>
    <row r="32" spans="1:28" ht="13.5" customHeight="1">
      <c r="A32" s="265"/>
      <c r="B32" s="1546"/>
      <c r="C32" s="265"/>
      <c r="D32" s="1547" t="s">
        <v>321</v>
      </c>
      <c r="E32" s="265"/>
      <c r="F32" s="1548" t="s">
        <v>5316</v>
      </c>
      <c r="G32" s="265"/>
      <c r="H32" s="265"/>
      <c r="I32" s="265"/>
      <c r="J32" s="265"/>
      <c r="K32" s="265"/>
      <c r="L32" s="265"/>
      <c r="M32" s="265"/>
      <c r="N32" s="265"/>
      <c r="O32" s="265"/>
      <c r="P32" s="265"/>
      <c r="Q32" s="265"/>
      <c r="R32" s="265"/>
      <c r="S32" s="265"/>
      <c r="T32" s="265"/>
      <c r="U32" s="265"/>
      <c r="V32" s="265"/>
      <c r="W32" s="265"/>
      <c r="X32" s="265"/>
      <c r="Y32" s="265"/>
      <c r="Z32" s="265"/>
      <c r="AA32" s="265"/>
      <c r="AB32" s="265"/>
    </row>
    <row r="33" spans="1:28" ht="13.5" customHeight="1">
      <c r="A33" s="265"/>
      <c r="B33" s="1546"/>
      <c r="C33" s="265"/>
      <c r="D33" s="1547" t="s">
        <v>1769</v>
      </c>
      <c r="E33" s="265"/>
      <c r="F33" s="1548" t="s">
        <v>5317</v>
      </c>
      <c r="G33" s="265"/>
      <c r="H33" s="265"/>
      <c r="I33" s="265"/>
      <c r="J33" s="265"/>
      <c r="K33" s="265"/>
      <c r="L33" s="265"/>
      <c r="M33" s="265"/>
      <c r="N33" s="265"/>
      <c r="O33" s="265"/>
      <c r="P33" s="265"/>
      <c r="Q33" s="265"/>
      <c r="R33" s="265"/>
      <c r="S33" s="265"/>
      <c r="T33" s="265"/>
      <c r="U33" s="265"/>
      <c r="V33" s="265"/>
      <c r="W33" s="265"/>
      <c r="X33" s="265"/>
      <c r="Y33" s="265"/>
      <c r="Z33" s="265"/>
      <c r="AA33" s="265"/>
      <c r="AB33" s="265"/>
    </row>
    <row r="34" spans="1:28" ht="13.5" customHeight="1">
      <c r="A34" s="265"/>
      <c r="B34" s="1546"/>
      <c r="C34" s="265"/>
      <c r="D34" s="1547" t="s">
        <v>3368</v>
      </c>
      <c r="E34" s="265"/>
      <c r="F34" s="1548" t="s">
        <v>5318</v>
      </c>
      <c r="G34" s="265"/>
      <c r="H34" s="265"/>
      <c r="I34" s="265"/>
      <c r="J34" s="265"/>
      <c r="K34" s="265"/>
      <c r="L34" s="265"/>
      <c r="M34" s="265"/>
      <c r="N34" s="265"/>
      <c r="O34" s="265"/>
      <c r="P34" s="265"/>
      <c r="Q34" s="265"/>
      <c r="R34" s="265"/>
      <c r="S34" s="265"/>
      <c r="T34" s="265"/>
      <c r="U34" s="265"/>
      <c r="V34" s="265"/>
      <c r="W34" s="265"/>
      <c r="X34" s="265"/>
      <c r="Y34" s="265"/>
      <c r="Z34" s="265"/>
      <c r="AA34" s="265"/>
      <c r="AB34" s="265"/>
    </row>
    <row r="35" spans="1:28" ht="13.5" customHeight="1">
      <c r="A35" s="265"/>
      <c r="B35" s="1546"/>
      <c r="C35" s="265"/>
      <c r="D35" s="1547" t="s">
        <v>822</v>
      </c>
      <c r="E35" s="265"/>
      <c r="F35" s="1548" t="s">
        <v>5319</v>
      </c>
      <c r="G35" s="265"/>
      <c r="H35" s="265"/>
      <c r="I35" s="265"/>
      <c r="J35" s="265"/>
      <c r="K35" s="265"/>
      <c r="L35" s="265"/>
      <c r="M35" s="265"/>
      <c r="N35" s="265"/>
      <c r="O35" s="265"/>
      <c r="P35" s="265"/>
      <c r="Q35" s="265"/>
      <c r="R35" s="265"/>
      <c r="S35" s="265"/>
      <c r="T35" s="265"/>
      <c r="U35" s="265"/>
      <c r="V35" s="265"/>
      <c r="W35" s="265"/>
      <c r="X35" s="265"/>
      <c r="Y35" s="265"/>
      <c r="Z35" s="265"/>
      <c r="AA35" s="265"/>
      <c r="AB35" s="265"/>
    </row>
    <row r="36" spans="1:28" ht="13.5" customHeight="1">
      <c r="A36" s="265"/>
      <c r="B36" s="1546"/>
      <c r="C36" s="265"/>
      <c r="D36" s="1547" t="s">
        <v>4543</v>
      </c>
      <c r="E36" s="265"/>
      <c r="F36" s="1548" t="s">
        <v>1077</v>
      </c>
      <c r="G36" s="265"/>
      <c r="H36" s="265"/>
      <c r="I36" s="265"/>
      <c r="J36" s="265"/>
      <c r="K36" s="265"/>
      <c r="L36" s="265"/>
      <c r="M36" s="265"/>
      <c r="N36" s="265"/>
      <c r="O36" s="265"/>
      <c r="P36" s="265"/>
      <c r="Q36" s="265"/>
      <c r="R36" s="265"/>
      <c r="S36" s="265"/>
      <c r="T36" s="265"/>
      <c r="U36" s="265"/>
      <c r="V36" s="265"/>
      <c r="W36" s="265"/>
      <c r="X36" s="265"/>
      <c r="Y36" s="265"/>
      <c r="Z36" s="265"/>
      <c r="AA36" s="265"/>
      <c r="AB36" s="265"/>
    </row>
    <row r="37" spans="1:28" ht="13.5" customHeight="1">
      <c r="A37" s="265"/>
      <c r="B37" s="1546"/>
      <c r="C37" s="265"/>
      <c r="D37" s="1547" t="s">
        <v>5310</v>
      </c>
      <c r="E37" s="265"/>
      <c r="F37" s="1548" t="s">
        <v>976</v>
      </c>
      <c r="G37" s="265"/>
      <c r="H37" s="265"/>
      <c r="I37" s="265"/>
      <c r="J37" s="265"/>
      <c r="K37" s="265"/>
      <c r="L37" s="265"/>
      <c r="M37" s="265"/>
      <c r="N37" s="265"/>
      <c r="O37" s="265"/>
      <c r="P37" s="265"/>
      <c r="Q37" s="265"/>
      <c r="R37" s="265"/>
      <c r="S37" s="265"/>
      <c r="T37" s="265"/>
      <c r="U37" s="265"/>
      <c r="V37" s="265"/>
      <c r="W37" s="265"/>
      <c r="X37" s="265"/>
      <c r="Y37" s="265"/>
      <c r="Z37" s="265"/>
      <c r="AA37" s="265"/>
      <c r="AB37" s="265"/>
    </row>
    <row r="38" spans="1:28" ht="13.5" customHeight="1">
      <c r="A38" s="265"/>
      <c r="B38" s="1546"/>
      <c r="C38" s="265"/>
      <c r="D38" s="1547" t="s">
        <v>2805</v>
      </c>
      <c r="E38" s="265"/>
      <c r="F38" s="1548" t="s">
        <v>5320</v>
      </c>
      <c r="G38" s="265"/>
      <c r="H38" s="265"/>
      <c r="I38" s="265"/>
      <c r="J38" s="265"/>
      <c r="K38" s="265"/>
      <c r="L38" s="265"/>
      <c r="M38" s="265"/>
      <c r="N38" s="265"/>
      <c r="O38" s="265"/>
      <c r="P38" s="265"/>
      <c r="Q38" s="265"/>
      <c r="R38" s="265"/>
      <c r="S38" s="265"/>
      <c r="T38" s="265"/>
      <c r="U38" s="265"/>
      <c r="V38" s="265"/>
      <c r="W38" s="265"/>
      <c r="X38" s="265"/>
      <c r="Y38" s="265"/>
      <c r="Z38" s="265"/>
      <c r="AA38" s="265"/>
      <c r="AB38" s="265"/>
    </row>
    <row r="39" spans="1:28" ht="13.5" customHeight="1">
      <c r="A39" s="265"/>
      <c r="B39" s="1546"/>
      <c r="C39" s="265"/>
      <c r="D39" s="1547" t="s">
        <v>1248</v>
      </c>
      <c r="E39" s="265"/>
      <c r="F39" s="1548" t="s">
        <v>5321</v>
      </c>
      <c r="G39" s="265"/>
      <c r="H39" s="265"/>
      <c r="I39" s="265"/>
      <c r="J39" s="265"/>
      <c r="K39" s="265"/>
      <c r="L39" s="265"/>
      <c r="M39" s="265"/>
      <c r="N39" s="265"/>
      <c r="O39" s="265"/>
      <c r="P39" s="265"/>
      <c r="Q39" s="265"/>
      <c r="R39" s="265"/>
      <c r="S39" s="265"/>
      <c r="T39" s="265"/>
      <c r="U39" s="265"/>
      <c r="V39" s="265"/>
      <c r="W39" s="265"/>
      <c r="X39" s="265"/>
      <c r="Y39" s="265"/>
      <c r="Z39" s="265"/>
      <c r="AA39" s="265"/>
      <c r="AB39" s="265"/>
    </row>
    <row r="40" spans="1:28" ht="13.5" customHeight="1">
      <c r="A40" s="265"/>
      <c r="B40" s="1546"/>
      <c r="C40" s="265"/>
      <c r="D40" s="1547" t="s">
        <v>2115</v>
      </c>
      <c r="E40" s="265"/>
      <c r="F40" s="1548" t="s">
        <v>5322</v>
      </c>
      <c r="G40" s="265"/>
      <c r="H40" s="265"/>
      <c r="I40" s="265"/>
      <c r="J40" s="265"/>
      <c r="K40" s="265"/>
      <c r="L40" s="265"/>
      <c r="M40" s="265"/>
      <c r="N40" s="265"/>
      <c r="O40" s="265"/>
      <c r="P40" s="265"/>
      <c r="Q40" s="265"/>
      <c r="R40" s="265"/>
      <c r="S40" s="265"/>
      <c r="T40" s="265"/>
      <c r="U40" s="265"/>
      <c r="V40" s="265"/>
      <c r="W40" s="265"/>
      <c r="X40" s="265"/>
      <c r="Y40" s="265"/>
      <c r="Z40" s="265"/>
      <c r="AA40" s="265"/>
      <c r="AB40" s="265"/>
    </row>
    <row r="41" spans="1:28" ht="13.5" customHeight="1">
      <c r="A41" s="265"/>
      <c r="B41" s="1546"/>
      <c r="C41" s="265"/>
      <c r="D41" s="1547" t="s">
        <v>895</v>
      </c>
      <c r="E41" s="265"/>
      <c r="F41" s="1548" t="s">
        <v>3364</v>
      </c>
      <c r="G41" s="265"/>
      <c r="H41" s="265"/>
      <c r="I41" s="265"/>
      <c r="J41" s="265"/>
      <c r="K41" s="265"/>
      <c r="L41" s="265"/>
      <c r="M41" s="265"/>
      <c r="N41" s="265"/>
      <c r="O41" s="265"/>
      <c r="P41" s="265"/>
      <c r="Q41" s="265"/>
      <c r="R41" s="265"/>
      <c r="S41" s="265"/>
      <c r="T41" s="265"/>
      <c r="U41" s="265"/>
      <c r="V41" s="265"/>
      <c r="W41" s="265"/>
      <c r="X41" s="265"/>
      <c r="Y41" s="265"/>
      <c r="Z41" s="265"/>
      <c r="AA41" s="265"/>
      <c r="AB41" s="265"/>
    </row>
    <row r="42" spans="1:28" ht="13.5" customHeight="1">
      <c r="A42" s="265"/>
      <c r="B42" s="1546"/>
      <c r="C42" s="265"/>
      <c r="D42" s="1547"/>
      <c r="E42" s="265"/>
      <c r="F42" s="1548" t="s">
        <v>1388</v>
      </c>
      <c r="G42" s="265"/>
      <c r="H42" s="265"/>
      <c r="I42" s="265"/>
      <c r="J42" s="265"/>
      <c r="K42" s="265"/>
      <c r="L42" s="265"/>
      <c r="M42" s="265"/>
      <c r="N42" s="265"/>
      <c r="O42" s="265"/>
      <c r="P42" s="265"/>
      <c r="Q42" s="265"/>
      <c r="R42" s="265"/>
      <c r="S42" s="265"/>
      <c r="T42" s="265"/>
      <c r="U42" s="265"/>
      <c r="V42" s="265"/>
      <c r="W42" s="265"/>
      <c r="X42" s="265"/>
      <c r="Y42" s="265"/>
      <c r="Z42" s="265"/>
      <c r="AA42" s="265"/>
      <c r="AB42" s="265"/>
    </row>
    <row r="43" spans="1:28" ht="13.5" customHeight="1">
      <c r="A43" s="265"/>
      <c r="B43" s="1546"/>
      <c r="C43" s="265"/>
      <c r="D43" s="1547"/>
      <c r="E43" s="265"/>
      <c r="F43" s="1548" t="s">
        <v>2642</v>
      </c>
      <c r="G43" s="265"/>
      <c r="H43" s="265"/>
      <c r="I43" s="265"/>
      <c r="J43" s="265"/>
      <c r="K43" s="265"/>
      <c r="L43" s="265"/>
      <c r="M43" s="265"/>
      <c r="N43" s="265"/>
      <c r="O43" s="265"/>
      <c r="P43" s="265"/>
      <c r="Q43" s="265"/>
      <c r="R43" s="265"/>
      <c r="S43" s="265"/>
      <c r="T43" s="265"/>
      <c r="U43" s="265"/>
      <c r="V43" s="265"/>
      <c r="W43" s="265"/>
      <c r="X43" s="265"/>
      <c r="Y43" s="265"/>
      <c r="Z43" s="265"/>
      <c r="AA43" s="265"/>
      <c r="AB43" s="265"/>
    </row>
    <row r="44" spans="1:28" ht="13.5" customHeight="1">
      <c r="A44" s="265"/>
      <c r="B44" s="1546"/>
      <c r="C44" s="265"/>
      <c r="D44" s="1547"/>
      <c r="E44" s="265"/>
      <c r="F44" s="1548" t="s">
        <v>3693</v>
      </c>
      <c r="G44" s="265"/>
      <c r="H44" s="265"/>
      <c r="I44" s="265"/>
      <c r="J44" s="265"/>
      <c r="K44" s="265"/>
      <c r="L44" s="265"/>
      <c r="M44" s="265"/>
      <c r="N44" s="265"/>
      <c r="O44" s="265"/>
      <c r="P44" s="265"/>
      <c r="Q44" s="265"/>
      <c r="R44" s="265"/>
      <c r="S44" s="265"/>
      <c r="T44" s="265"/>
      <c r="U44" s="265"/>
      <c r="V44" s="265"/>
      <c r="W44" s="265"/>
      <c r="X44" s="265"/>
      <c r="Y44" s="265"/>
      <c r="Z44" s="265"/>
      <c r="AA44" s="265"/>
      <c r="AB44" s="265"/>
    </row>
    <row r="45" spans="1:28" ht="13.5" customHeight="1">
      <c r="A45" s="265"/>
      <c r="B45" s="1546"/>
      <c r="C45" s="265"/>
      <c r="D45" s="1547"/>
      <c r="E45" s="265"/>
      <c r="F45" s="1548" t="s">
        <v>5323</v>
      </c>
      <c r="G45" s="265"/>
      <c r="H45" s="265"/>
      <c r="I45" s="265"/>
      <c r="J45" s="265"/>
      <c r="K45" s="265"/>
      <c r="L45" s="265"/>
      <c r="M45" s="265"/>
      <c r="N45" s="265"/>
      <c r="O45" s="265"/>
      <c r="P45" s="265"/>
      <c r="Q45" s="265"/>
      <c r="R45" s="265"/>
      <c r="S45" s="265"/>
      <c r="T45" s="265"/>
      <c r="U45" s="265"/>
      <c r="V45" s="265"/>
      <c r="W45" s="265"/>
      <c r="X45" s="265"/>
      <c r="Y45" s="265"/>
      <c r="Z45" s="265"/>
      <c r="AA45" s="265"/>
      <c r="AB45" s="265"/>
    </row>
    <row r="46" spans="1:28" ht="13.5" customHeight="1">
      <c r="A46" s="265"/>
      <c r="B46" s="1546"/>
      <c r="C46" s="265"/>
      <c r="D46" s="1547"/>
      <c r="E46" s="265"/>
      <c r="F46" s="1548" t="s">
        <v>3370</v>
      </c>
      <c r="G46" s="265"/>
      <c r="H46" s="265"/>
      <c r="I46" s="265"/>
      <c r="J46" s="265"/>
      <c r="K46" s="265"/>
      <c r="L46" s="265"/>
      <c r="M46" s="265"/>
      <c r="N46" s="265"/>
      <c r="O46" s="265"/>
      <c r="P46" s="265"/>
      <c r="Q46" s="265"/>
      <c r="R46" s="265"/>
      <c r="S46" s="265"/>
      <c r="T46" s="265"/>
      <c r="U46" s="265"/>
      <c r="V46" s="265"/>
      <c r="W46" s="265"/>
      <c r="X46" s="265"/>
      <c r="Y46" s="265"/>
      <c r="Z46" s="265"/>
      <c r="AA46" s="265"/>
      <c r="AB46" s="265"/>
    </row>
    <row r="47" spans="1:28" ht="13.5" customHeight="1">
      <c r="A47" s="265"/>
      <c r="B47" s="1546"/>
      <c r="C47" s="265"/>
      <c r="D47" s="1547"/>
      <c r="E47" s="265"/>
      <c r="F47" s="1548" t="s">
        <v>5324</v>
      </c>
      <c r="G47" s="265"/>
      <c r="H47" s="265"/>
      <c r="I47" s="265"/>
      <c r="J47" s="265"/>
      <c r="K47" s="265"/>
      <c r="L47" s="265"/>
      <c r="M47" s="265"/>
      <c r="N47" s="265"/>
      <c r="O47" s="265"/>
      <c r="P47" s="265"/>
      <c r="Q47" s="265"/>
      <c r="R47" s="265"/>
      <c r="S47" s="265"/>
      <c r="T47" s="265"/>
      <c r="U47" s="265"/>
      <c r="V47" s="265"/>
      <c r="W47" s="265"/>
      <c r="X47" s="265"/>
      <c r="Y47" s="265"/>
      <c r="Z47" s="265"/>
      <c r="AA47" s="265"/>
      <c r="AB47" s="265"/>
    </row>
    <row r="48" spans="1:28" ht="13.5" customHeight="1">
      <c r="A48" s="265"/>
      <c r="B48" s="1546"/>
      <c r="C48" s="265"/>
      <c r="D48" s="1547"/>
      <c r="E48" s="265"/>
      <c r="F48" s="1548" t="s">
        <v>5325</v>
      </c>
      <c r="G48" s="265"/>
      <c r="H48" s="265"/>
      <c r="I48" s="265"/>
      <c r="J48" s="265"/>
      <c r="K48" s="265"/>
      <c r="L48" s="265"/>
      <c r="M48" s="265"/>
      <c r="N48" s="265"/>
      <c r="O48" s="265"/>
      <c r="P48" s="265"/>
      <c r="Q48" s="265"/>
      <c r="R48" s="265"/>
      <c r="S48" s="265"/>
      <c r="T48" s="265"/>
      <c r="U48" s="265"/>
      <c r="V48" s="265"/>
      <c r="W48" s="265"/>
      <c r="X48" s="265"/>
      <c r="Y48" s="265"/>
      <c r="Z48" s="265"/>
      <c r="AA48" s="265"/>
      <c r="AB48" s="265"/>
    </row>
    <row r="49" spans="1:28" ht="13.5" customHeight="1">
      <c r="A49" s="265"/>
      <c r="B49" s="1546"/>
      <c r="C49" s="265"/>
      <c r="D49" s="1547"/>
      <c r="E49" s="265"/>
      <c r="F49" s="1548" t="s">
        <v>5326</v>
      </c>
      <c r="G49" s="265"/>
      <c r="H49" s="265"/>
      <c r="I49" s="265"/>
      <c r="J49" s="265"/>
      <c r="K49" s="265"/>
      <c r="L49" s="265"/>
      <c r="M49" s="265"/>
      <c r="N49" s="265"/>
      <c r="O49" s="265"/>
      <c r="P49" s="265"/>
      <c r="Q49" s="265"/>
      <c r="R49" s="265"/>
      <c r="S49" s="265"/>
      <c r="T49" s="265"/>
      <c r="U49" s="265"/>
      <c r="V49" s="265"/>
      <c r="W49" s="265"/>
      <c r="X49" s="265"/>
      <c r="Y49" s="265"/>
      <c r="Z49" s="265"/>
      <c r="AA49" s="265"/>
      <c r="AB49" s="265"/>
    </row>
    <row r="50" spans="1:28" ht="13.5" customHeight="1">
      <c r="A50" s="265"/>
      <c r="B50" s="1546"/>
      <c r="C50" s="265"/>
      <c r="D50" s="1547"/>
      <c r="E50" s="265"/>
      <c r="F50" s="1548" t="s">
        <v>5327</v>
      </c>
      <c r="G50" s="265"/>
      <c r="H50" s="265"/>
      <c r="I50" s="265"/>
      <c r="J50" s="265"/>
      <c r="K50" s="265"/>
      <c r="L50" s="265"/>
      <c r="M50" s="265"/>
      <c r="N50" s="265"/>
      <c r="O50" s="265"/>
      <c r="P50" s="265"/>
      <c r="Q50" s="265"/>
      <c r="R50" s="265"/>
      <c r="S50" s="265"/>
      <c r="T50" s="265"/>
      <c r="U50" s="265"/>
      <c r="V50" s="265"/>
      <c r="W50" s="265"/>
      <c r="X50" s="265"/>
      <c r="Y50" s="265"/>
      <c r="Z50" s="265"/>
      <c r="AA50" s="265"/>
      <c r="AB50" s="265"/>
    </row>
    <row r="51" spans="1:28" ht="13.5" customHeight="1">
      <c r="A51" s="265"/>
      <c r="B51" s="265"/>
      <c r="C51" s="265"/>
      <c r="D51" s="1547"/>
      <c r="E51" s="265"/>
      <c r="F51" s="1548" t="s">
        <v>5328</v>
      </c>
      <c r="G51" s="265"/>
      <c r="H51" s="265"/>
      <c r="I51" s="265"/>
      <c r="J51" s="265"/>
      <c r="K51" s="265"/>
      <c r="L51" s="265"/>
      <c r="M51" s="265"/>
      <c r="N51" s="265"/>
      <c r="O51" s="265"/>
      <c r="P51" s="265"/>
      <c r="Q51" s="265"/>
      <c r="R51" s="265"/>
      <c r="S51" s="265"/>
      <c r="T51" s="265"/>
      <c r="U51" s="265"/>
      <c r="V51" s="265"/>
      <c r="W51" s="265"/>
      <c r="X51" s="265"/>
      <c r="Y51" s="265"/>
      <c r="Z51" s="265"/>
      <c r="AA51" s="265"/>
      <c r="AB51" s="265"/>
    </row>
    <row r="52" spans="1:28" ht="13.5" customHeight="1">
      <c r="A52" s="265"/>
      <c r="B52" s="265"/>
      <c r="C52" s="265"/>
      <c r="D52" s="1547"/>
      <c r="E52" s="265"/>
      <c r="F52" s="1548" t="s">
        <v>5329</v>
      </c>
      <c r="G52" s="265"/>
      <c r="H52" s="265"/>
      <c r="I52" s="265"/>
      <c r="J52" s="265"/>
      <c r="K52" s="265"/>
      <c r="L52" s="265"/>
      <c r="M52" s="265"/>
      <c r="N52" s="265"/>
      <c r="O52" s="265"/>
      <c r="P52" s="265"/>
      <c r="Q52" s="265"/>
      <c r="R52" s="265"/>
      <c r="S52" s="265"/>
      <c r="T52" s="265"/>
      <c r="U52" s="265"/>
      <c r="V52" s="265"/>
      <c r="W52" s="265"/>
      <c r="X52" s="265"/>
      <c r="Y52" s="265"/>
      <c r="Z52" s="265"/>
      <c r="AA52" s="265"/>
      <c r="AB52" s="265"/>
    </row>
    <row r="53" spans="1:28" ht="13.5" customHeight="1">
      <c r="A53" s="265"/>
      <c r="B53" s="265"/>
      <c r="C53" s="265"/>
      <c r="D53" s="1547"/>
      <c r="E53" s="265"/>
      <c r="F53" s="1548" t="s">
        <v>5330</v>
      </c>
      <c r="G53" s="265"/>
      <c r="H53" s="265"/>
      <c r="I53" s="265"/>
      <c r="J53" s="265"/>
      <c r="K53" s="265"/>
      <c r="L53" s="265"/>
      <c r="M53" s="265"/>
      <c r="N53" s="265"/>
      <c r="O53" s="265"/>
      <c r="P53" s="265"/>
      <c r="Q53" s="265"/>
      <c r="R53" s="265"/>
      <c r="S53" s="265"/>
      <c r="T53" s="265"/>
      <c r="U53" s="265"/>
      <c r="V53" s="265"/>
      <c r="W53" s="265"/>
      <c r="X53" s="265"/>
      <c r="Y53" s="265"/>
      <c r="Z53" s="265"/>
      <c r="AA53" s="265"/>
      <c r="AB53" s="265"/>
    </row>
    <row r="54" spans="1:28" ht="13.5" customHeight="1">
      <c r="A54" s="265"/>
      <c r="B54" s="265"/>
      <c r="C54" s="265"/>
      <c r="D54" s="1547"/>
      <c r="E54" s="265"/>
      <c r="F54" s="1548" t="s">
        <v>5331</v>
      </c>
      <c r="G54" s="265"/>
      <c r="H54" s="265"/>
      <c r="I54" s="265"/>
      <c r="J54" s="265"/>
      <c r="K54" s="265"/>
      <c r="L54" s="265"/>
      <c r="M54" s="265"/>
      <c r="N54" s="265"/>
      <c r="O54" s="265"/>
      <c r="P54" s="265"/>
      <c r="Q54" s="265"/>
      <c r="R54" s="265"/>
      <c r="S54" s="265"/>
      <c r="T54" s="265"/>
      <c r="U54" s="265"/>
      <c r="V54" s="265"/>
      <c r="W54" s="265"/>
      <c r="X54" s="265"/>
      <c r="Y54" s="265"/>
      <c r="Z54" s="265"/>
      <c r="AA54" s="265"/>
      <c r="AB54" s="265"/>
    </row>
    <row r="55" spans="1:28" ht="13.5" customHeight="1">
      <c r="A55" s="265"/>
      <c r="B55" s="265"/>
      <c r="C55" s="265"/>
      <c r="D55" s="1547"/>
      <c r="E55" s="265"/>
      <c r="F55" s="1548" t="s">
        <v>5332</v>
      </c>
      <c r="G55" s="265"/>
      <c r="H55" s="265"/>
      <c r="I55" s="265"/>
      <c r="J55" s="265"/>
      <c r="K55" s="265"/>
      <c r="L55" s="265"/>
      <c r="M55" s="265"/>
      <c r="N55" s="265"/>
      <c r="O55" s="265"/>
      <c r="P55" s="265"/>
      <c r="Q55" s="265"/>
      <c r="R55" s="265"/>
      <c r="S55" s="265"/>
      <c r="T55" s="265"/>
      <c r="U55" s="265"/>
      <c r="V55" s="265"/>
      <c r="W55" s="265"/>
      <c r="X55" s="265"/>
      <c r="Y55" s="265"/>
      <c r="Z55" s="265"/>
      <c r="AA55" s="265"/>
      <c r="AB55" s="265"/>
    </row>
    <row r="56" spans="1:28" ht="13.5" customHeight="1">
      <c r="A56" s="265"/>
      <c r="B56" s="265"/>
      <c r="C56" s="265"/>
      <c r="D56" s="1547"/>
      <c r="E56" s="265"/>
      <c r="F56" s="1548" t="s">
        <v>5333</v>
      </c>
      <c r="G56" s="265"/>
      <c r="H56" s="265"/>
      <c r="I56" s="265"/>
      <c r="J56" s="265"/>
      <c r="K56" s="265"/>
      <c r="L56" s="265"/>
      <c r="M56" s="265"/>
      <c r="N56" s="265"/>
      <c r="O56" s="265"/>
      <c r="P56" s="265"/>
      <c r="Q56" s="265"/>
      <c r="R56" s="265"/>
      <c r="S56" s="265"/>
      <c r="T56" s="265"/>
      <c r="U56" s="265"/>
      <c r="V56" s="265"/>
      <c r="W56" s="265"/>
      <c r="X56" s="265"/>
      <c r="Y56" s="265"/>
      <c r="Z56" s="265"/>
      <c r="AA56" s="265"/>
      <c r="AB56" s="265"/>
    </row>
    <row r="57" spans="1:28" ht="13.5" customHeight="1">
      <c r="A57" s="265"/>
      <c r="B57" s="265"/>
      <c r="C57" s="265"/>
      <c r="D57" s="1547"/>
      <c r="E57" s="265"/>
      <c r="F57" s="1548" t="s">
        <v>5334</v>
      </c>
      <c r="G57" s="265"/>
      <c r="H57" s="265"/>
      <c r="I57" s="265"/>
      <c r="J57" s="265"/>
      <c r="K57" s="265"/>
      <c r="L57" s="265"/>
      <c r="M57" s="265"/>
      <c r="N57" s="265"/>
      <c r="O57" s="265"/>
      <c r="P57" s="265"/>
      <c r="Q57" s="265"/>
      <c r="R57" s="265"/>
      <c r="S57" s="265"/>
      <c r="T57" s="265"/>
      <c r="U57" s="265"/>
      <c r="V57" s="265"/>
      <c r="W57" s="265"/>
      <c r="X57" s="265"/>
      <c r="Y57" s="265"/>
      <c r="Z57" s="265"/>
      <c r="AA57" s="265"/>
      <c r="AB57" s="265"/>
    </row>
    <row r="58" spans="1:28" ht="13.5" customHeight="1">
      <c r="A58" s="265"/>
      <c r="B58" s="265"/>
      <c r="C58" s="265"/>
      <c r="D58" s="1547"/>
      <c r="E58" s="265"/>
      <c r="F58" s="1548" t="s">
        <v>2940</v>
      </c>
      <c r="G58" s="265"/>
      <c r="H58" s="265"/>
      <c r="I58" s="265"/>
      <c r="J58" s="265"/>
      <c r="K58" s="265"/>
      <c r="L58" s="265"/>
      <c r="M58" s="265"/>
      <c r="N58" s="265"/>
      <c r="O58" s="265"/>
      <c r="P58" s="265"/>
      <c r="Q58" s="265"/>
      <c r="R58" s="265"/>
      <c r="S58" s="265"/>
      <c r="T58" s="265"/>
      <c r="U58" s="265"/>
      <c r="V58" s="265"/>
      <c r="W58" s="265"/>
      <c r="X58" s="265"/>
      <c r="Y58" s="265"/>
      <c r="Z58" s="265"/>
      <c r="AA58" s="265"/>
      <c r="AB58" s="265"/>
    </row>
    <row r="59" spans="1:28" ht="13.5" customHeight="1">
      <c r="A59" s="265"/>
      <c r="B59" s="265"/>
      <c r="C59" s="265"/>
      <c r="D59" s="1547"/>
      <c r="E59" s="265"/>
      <c r="F59" s="1548" t="s">
        <v>5335</v>
      </c>
      <c r="G59" s="265"/>
      <c r="H59" s="265"/>
      <c r="I59" s="265"/>
      <c r="J59" s="265"/>
      <c r="K59" s="265"/>
      <c r="L59" s="265"/>
      <c r="M59" s="265"/>
      <c r="N59" s="265"/>
      <c r="O59" s="265"/>
      <c r="P59" s="265"/>
      <c r="Q59" s="265"/>
      <c r="R59" s="265"/>
      <c r="S59" s="265"/>
      <c r="T59" s="265"/>
      <c r="U59" s="265"/>
      <c r="V59" s="265"/>
      <c r="W59" s="265"/>
      <c r="X59" s="265"/>
      <c r="Y59" s="265"/>
      <c r="Z59" s="265"/>
      <c r="AA59" s="265"/>
      <c r="AB59" s="265"/>
    </row>
    <row r="60" spans="1:28" ht="13.5" customHeight="1">
      <c r="A60" s="265"/>
      <c r="B60" s="265"/>
      <c r="C60" s="265"/>
      <c r="D60" s="1547"/>
      <c r="E60" s="265"/>
      <c r="F60" s="1548" t="s">
        <v>5336</v>
      </c>
      <c r="G60" s="265"/>
      <c r="H60" s="265"/>
      <c r="I60" s="265"/>
      <c r="J60" s="265"/>
      <c r="K60" s="265"/>
      <c r="L60" s="265"/>
      <c r="M60" s="265"/>
      <c r="N60" s="265"/>
      <c r="O60" s="265"/>
      <c r="P60" s="265"/>
      <c r="Q60" s="265"/>
      <c r="R60" s="265"/>
      <c r="S60" s="265"/>
      <c r="T60" s="265"/>
      <c r="U60" s="265"/>
      <c r="V60" s="265"/>
      <c r="W60" s="265"/>
      <c r="X60" s="265"/>
      <c r="Y60" s="265"/>
      <c r="Z60" s="265"/>
      <c r="AA60" s="265"/>
      <c r="AB60" s="265"/>
    </row>
    <row r="61" spans="1:28" ht="13.5" customHeight="1">
      <c r="A61" s="265"/>
      <c r="B61" s="265"/>
      <c r="C61" s="265"/>
      <c r="D61" s="1547"/>
      <c r="E61" s="265"/>
      <c r="F61" s="1548" t="s">
        <v>5337</v>
      </c>
      <c r="G61" s="265"/>
      <c r="H61" s="265"/>
      <c r="I61" s="265"/>
      <c r="J61" s="265"/>
      <c r="K61" s="265"/>
      <c r="L61" s="265"/>
      <c r="M61" s="265"/>
      <c r="N61" s="265"/>
      <c r="O61" s="265"/>
      <c r="P61" s="265"/>
      <c r="Q61" s="265"/>
      <c r="R61" s="265"/>
      <c r="S61" s="265"/>
      <c r="T61" s="265"/>
      <c r="U61" s="265"/>
      <c r="V61" s="265"/>
      <c r="W61" s="265"/>
      <c r="X61" s="265"/>
      <c r="Y61" s="265"/>
      <c r="Z61" s="265"/>
      <c r="AA61" s="265"/>
      <c r="AB61" s="265"/>
    </row>
    <row r="62" spans="1:28" ht="13.5" customHeight="1">
      <c r="A62" s="265"/>
      <c r="B62" s="265"/>
      <c r="C62" s="265"/>
      <c r="D62" s="1547"/>
      <c r="E62" s="265"/>
      <c r="F62" s="1548" t="s">
        <v>5338</v>
      </c>
      <c r="G62" s="265"/>
      <c r="H62" s="265"/>
      <c r="I62" s="265"/>
      <c r="J62" s="265"/>
      <c r="K62" s="265"/>
      <c r="L62" s="265"/>
      <c r="M62" s="265"/>
      <c r="N62" s="265"/>
      <c r="O62" s="265"/>
      <c r="P62" s="265"/>
      <c r="Q62" s="265"/>
      <c r="R62" s="265"/>
      <c r="S62" s="265"/>
      <c r="T62" s="265"/>
      <c r="U62" s="265"/>
      <c r="V62" s="265"/>
      <c r="W62" s="265"/>
      <c r="X62" s="265"/>
      <c r="Y62" s="265"/>
      <c r="Z62" s="265"/>
      <c r="AA62" s="265"/>
      <c r="AB62" s="265"/>
    </row>
    <row r="63" spans="1:28" ht="13.5" customHeight="1">
      <c r="A63" s="265"/>
      <c r="B63" s="265"/>
      <c r="C63" s="265"/>
      <c r="D63" s="1547"/>
      <c r="E63" s="265"/>
      <c r="F63" s="1548" t="s">
        <v>5339</v>
      </c>
      <c r="G63" s="265"/>
      <c r="H63" s="265"/>
      <c r="I63" s="265"/>
      <c r="J63" s="265"/>
      <c r="K63" s="265"/>
      <c r="L63" s="265"/>
      <c r="M63" s="265"/>
      <c r="N63" s="265"/>
      <c r="O63" s="265"/>
      <c r="P63" s="265"/>
      <c r="Q63" s="265"/>
      <c r="R63" s="265"/>
      <c r="S63" s="265"/>
      <c r="T63" s="265"/>
      <c r="U63" s="265"/>
      <c r="V63" s="265"/>
      <c r="W63" s="265"/>
      <c r="X63" s="265"/>
      <c r="Y63" s="265"/>
      <c r="Z63" s="265"/>
      <c r="AA63" s="265"/>
      <c r="AB63" s="265"/>
    </row>
    <row r="64" spans="1:28" ht="13.5" customHeight="1">
      <c r="A64" s="265"/>
      <c r="B64" s="265"/>
      <c r="C64" s="265"/>
      <c r="D64" s="1547"/>
      <c r="E64" s="265"/>
      <c r="F64" s="1548" t="s">
        <v>5340</v>
      </c>
      <c r="G64" s="265"/>
      <c r="H64" s="265"/>
      <c r="I64" s="265"/>
      <c r="J64" s="265"/>
      <c r="K64" s="265"/>
      <c r="L64" s="265"/>
      <c r="M64" s="265"/>
      <c r="N64" s="265"/>
      <c r="O64" s="265"/>
      <c r="P64" s="265"/>
      <c r="Q64" s="265"/>
      <c r="R64" s="265"/>
      <c r="S64" s="265"/>
      <c r="T64" s="265"/>
      <c r="U64" s="265"/>
      <c r="V64" s="265"/>
      <c r="W64" s="265"/>
      <c r="X64" s="265"/>
      <c r="Y64" s="265"/>
      <c r="Z64" s="265"/>
      <c r="AA64" s="265"/>
      <c r="AB64" s="265"/>
    </row>
    <row r="65" spans="1:28" ht="13.5" customHeight="1">
      <c r="A65" s="265"/>
      <c r="B65" s="265"/>
      <c r="C65" s="265"/>
      <c r="D65" s="1547"/>
      <c r="E65" s="265"/>
      <c r="F65" s="1548" t="s">
        <v>5341</v>
      </c>
      <c r="G65" s="265"/>
      <c r="H65" s="265"/>
      <c r="I65" s="265"/>
      <c r="J65" s="265"/>
      <c r="K65" s="265"/>
      <c r="L65" s="265"/>
      <c r="M65" s="265"/>
      <c r="N65" s="265"/>
      <c r="O65" s="265"/>
      <c r="P65" s="265"/>
      <c r="Q65" s="265"/>
      <c r="R65" s="265"/>
      <c r="S65" s="265"/>
      <c r="T65" s="265"/>
      <c r="U65" s="265"/>
      <c r="V65" s="265"/>
      <c r="W65" s="265"/>
      <c r="X65" s="265"/>
      <c r="Y65" s="265"/>
      <c r="Z65" s="265"/>
      <c r="AA65" s="265"/>
      <c r="AB65" s="265"/>
    </row>
    <row r="66" spans="1:28" ht="13.5" customHeight="1">
      <c r="A66" s="265"/>
      <c r="B66" s="265"/>
      <c r="C66" s="265"/>
      <c r="D66" s="1547"/>
      <c r="E66" s="265"/>
      <c r="F66" s="1548" t="s">
        <v>616</v>
      </c>
      <c r="G66" s="265"/>
      <c r="H66" s="265"/>
      <c r="I66" s="265"/>
      <c r="J66" s="265"/>
      <c r="K66" s="265"/>
      <c r="L66" s="265"/>
      <c r="M66" s="265"/>
      <c r="N66" s="265"/>
      <c r="O66" s="265"/>
      <c r="P66" s="265"/>
      <c r="Q66" s="265"/>
      <c r="R66" s="265"/>
      <c r="S66" s="265"/>
      <c r="T66" s="265"/>
      <c r="U66" s="265"/>
      <c r="V66" s="265"/>
      <c r="W66" s="265"/>
      <c r="X66" s="265"/>
      <c r="Y66" s="265"/>
      <c r="Z66" s="265"/>
      <c r="AA66" s="265"/>
      <c r="AB66" s="265"/>
    </row>
    <row r="67" spans="1:28" ht="13.5" customHeight="1">
      <c r="A67" s="265"/>
      <c r="B67" s="265"/>
      <c r="C67" s="265"/>
      <c r="D67" s="1547"/>
      <c r="E67" s="265"/>
      <c r="F67" s="1548" t="s">
        <v>2667</v>
      </c>
      <c r="G67" s="265"/>
      <c r="H67" s="265"/>
      <c r="I67" s="265"/>
      <c r="J67" s="265"/>
      <c r="K67" s="265"/>
      <c r="L67" s="265"/>
      <c r="M67" s="265"/>
      <c r="N67" s="265"/>
      <c r="O67" s="265"/>
      <c r="P67" s="265"/>
      <c r="Q67" s="265"/>
      <c r="R67" s="265"/>
      <c r="S67" s="265"/>
      <c r="T67" s="265"/>
      <c r="U67" s="265"/>
      <c r="V67" s="265"/>
      <c r="W67" s="265"/>
      <c r="X67" s="265"/>
      <c r="Y67" s="265"/>
      <c r="Z67" s="265"/>
      <c r="AA67" s="265"/>
      <c r="AB67" s="265"/>
    </row>
    <row r="68" spans="1:28" ht="13.5" customHeight="1">
      <c r="A68" s="265"/>
      <c r="B68" s="265"/>
      <c r="C68" s="265"/>
      <c r="D68" s="1547"/>
      <c r="E68" s="265"/>
      <c r="F68" s="1548" t="s">
        <v>5342</v>
      </c>
      <c r="G68" s="265"/>
      <c r="H68" s="265"/>
      <c r="I68" s="265"/>
      <c r="J68" s="265"/>
      <c r="K68" s="265"/>
      <c r="L68" s="265"/>
      <c r="M68" s="265"/>
      <c r="N68" s="265"/>
      <c r="O68" s="265"/>
      <c r="P68" s="265"/>
      <c r="Q68" s="265"/>
      <c r="R68" s="265"/>
      <c r="S68" s="265"/>
      <c r="T68" s="265"/>
      <c r="U68" s="265"/>
      <c r="V68" s="265"/>
      <c r="W68" s="265"/>
      <c r="X68" s="265"/>
      <c r="Y68" s="265"/>
      <c r="Z68" s="265"/>
      <c r="AA68" s="265"/>
      <c r="AB68" s="265"/>
    </row>
    <row r="69" spans="1:28" ht="13.5" customHeight="1">
      <c r="A69" s="265"/>
      <c r="B69" s="265"/>
      <c r="C69" s="265"/>
      <c r="D69" s="1547"/>
      <c r="E69" s="265"/>
      <c r="F69" s="1548" t="s">
        <v>5343</v>
      </c>
      <c r="G69" s="265"/>
      <c r="H69" s="265"/>
      <c r="I69" s="265"/>
      <c r="J69" s="265"/>
      <c r="K69" s="265"/>
      <c r="L69" s="265"/>
      <c r="M69" s="265"/>
      <c r="N69" s="265"/>
      <c r="O69" s="265"/>
      <c r="P69" s="265"/>
      <c r="Q69" s="265"/>
      <c r="R69" s="265"/>
      <c r="S69" s="265"/>
      <c r="T69" s="265"/>
      <c r="U69" s="265"/>
      <c r="V69" s="265"/>
      <c r="W69" s="265"/>
      <c r="X69" s="265"/>
      <c r="Y69" s="265"/>
      <c r="Z69" s="265"/>
      <c r="AA69" s="265"/>
      <c r="AB69" s="265"/>
    </row>
    <row r="70" spans="1:28" ht="13.5" customHeight="1">
      <c r="A70" s="265"/>
      <c r="B70" s="265"/>
      <c r="C70" s="265"/>
      <c r="D70" s="1547"/>
      <c r="E70" s="265"/>
      <c r="F70" s="1548" t="s">
        <v>5344</v>
      </c>
      <c r="G70" s="265"/>
      <c r="H70" s="265"/>
      <c r="I70" s="265"/>
      <c r="J70" s="265"/>
      <c r="K70" s="265"/>
      <c r="L70" s="265"/>
      <c r="M70" s="265"/>
      <c r="N70" s="265"/>
      <c r="O70" s="265"/>
      <c r="P70" s="265"/>
      <c r="Q70" s="265"/>
      <c r="R70" s="265"/>
      <c r="S70" s="265"/>
      <c r="T70" s="265"/>
      <c r="U70" s="265"/>
      <c r="V70" s="265"/>
      <c r="W70" s="265"/>
      <c r="X70" s="265"/>
      <c r="Y70" s="265"/>
      <c r="Z70" s="265"/>
      <c r="AA70" s="265"/>
      <c r="AB70" s="265"/>
    </row>
    <row r="71" spans="1:28" ht="13.5" customHeight="1">
      <c r="A71" s="265"/>
      <c r="B71" s="265"/>
      <c r="C71" s="265"/>
      <c r="D71" s="1547"/>
      <c r="E71" s="265"/>
      <c r="F71" s="1548" t="s">
        <v>5345</v>
      </c>
      <c r="G71" s="265"/>
      <c r="H71" s="265"/>
      <c r="I71" s="265"/>
      <c r="J71" s="265"/>
      <c r="K71" s="265"/>
      <c r="L71" s="265"/>
      <c r="M71" s="265"/>
      <c r="N71" s="265"/>
      <c r="O71" s="265"/>
      <c r="P71" s="265"/>
      <c r="Q71" s="265"/>
      <c r="R71" s="265"/>
      <c r="S71" s="265"/>
      <c r="T71" s="265"/>
      <c r="U71" s="265"/>
      <c r="V71" s="265"/>
      <c r="W71" s="265"/>
      <c r="X71" s="265"/>
      <c r="Y71" s="265"/>
      <c r="Z71" s="265"/>
      <c r="AA71" s="265"/>
      <c r="AB71" s="265"/>
    </row>
    <row r="72" spans="1:28" ht="13.5" customHeight="1">
      <c r="A72" s="265"/>
      <c r="B72" s="265"/>
      <c r="C72" s="265"/>
      <c r="D72" s="1547"/>
      <c r="E72" s="265"/>
      <c r="F72" s="1548" t="s">
        <v>5346</v>
      </c>
      <c r="G72" s="265"/>
      <c r="H72" s="265"/>
      <c r="I72" s="265"/>
      <c r="J72" s="265"/>
      <c r="K72" s="265"/>
      <c r="L72" s="265"/>
      <c r="M72" s="265"/>
      <c r="N72" s="265"/>
      <c r="O72" s="265"/>
      <c r="P72" s="265"/>
      <c r="Q72" s="265"/>
      <c r="R72" s="265"/>
      <c r="S72" s="265"/>
      <c r="T72" s="265"/>
      <c r="U72" s="265"/>
      <c r="V72" s="265"/>
      <c r="W72" s="265"/>
      <c r="X72" s="265"/>
      <c r="Y72" s="265"/>
      <c r="Z72" s="265"/>
      <c r="AA72" s="265"/>
      <c r="AB72" s="265"/>
    </row>
    <row r="73" spans="1:28" ht="13.5" customHeight="1">
      <c r="A73" s="265"/>
      <c r="B73" s="265"/>
      <c r="C73" s="265"/>
      <c r="D73" s="1547"/>
      <c r="E73" s="265"/>
      <c r="F73" s="1548" t="s">
        <v>1004</v>
      </c>
      <c r="G73" s="265"/>
      <c r="H73" s="265"/>
      <c r="I73" s="265"/>
      <c r="J73" s="265"/>
      <c r="K73" s="265"/>
      <c r="L73" s="265"/>
      <c r="M73" s="265"/>
      <c r="N73" s="265"/>
      <c r="O73" s="265"/>
      <c r="P73" s="265"/>
      <c r="Q73" s="265"/>
      <c r="R73" s="265"/>
      <c r="S73" s="265"/>
      <c r="T73" s="265"/>
      <c r="U73" s="265"/>
      <c r="V73" s="265"/>
      <c r="W73" s="265"/>
      <c r="X73" s="265"/>
      <c r="Y73" s="265"/>
      <c r="Z73" s="265"/>
      <c r="AA73" s="265"/>
      <c r="AB73" s="265"/>
    </row>
    <row r="74" spans="1:28" ht="13.5" customHeight="1">
      <c r="A74" s="265"/>
      <c r="B74" s="265"/>
      <c r="C74" s="265"/>
      <c r="D74" s="1547"/>
      <c r="E74" s="265"/>
      <c r="F74" s="1548" t="s">
        <v>5347</v>
      </c>
      <c r="G74" s="265"/>
      <c r="H74" s="265"/>
      <c r="I74" s="265"/>
      <c r="J74" s="265"/>
      <c r="K74" s="265"/>
      <c r="L74" s="265"/>
      <c r="M74" s="265"/>
      <c r="N74" s="265"/>
      <c r="O74" s="265"/>
      <c r="P74" s="265"/>
      <c r="Q74" s="265"/>
      <c r="R74" s="265"/>
      <c r="S74" s="265"/>
      <c r="T74" s="265"/>
      <c r="U74" s="265"/>
      <c r="V74" s="265"/>
      <c r="W74" s="265"/>
      <c r="X74" s="265"/>
      <c r="Y74" s="265"/>
      <c r="Z74" s="265"/>
      <c r="AA74" s="265"/>
      <c r="AB74" s="265"/>
    </row>
    <row r="75" spans="1:28" ht="13.5" customHeight="1">
      <c r="A75" s="265"/>
      <c r="B75" s="265"/>
      <c r="C75" s="265"/>
      <c r="D75" s="1547"/>
      <c r="E75" s="265"/>
      <c r="F75" s="1548" t="s">
        <v>3849</v>
      </c>
      <c r="G75" s="265"/>
      <c r="H75" s="265"/>
      <c r="I75" s="265"/>
      <c r="J75" s="265"/>
      <c r="K75" s="265"/>
      <c r="L75" s="265"/>
      <c r="M75" s="265"/>
      <c r="N75" s="265"/>
      <c r="O75" s="265"/>
      <c r="P75" s="265"/>
      <c r="Q75" s="265"/>
      <c r="R75" s="265"/>
      <c r="S75" s="265"/>
      <c r="T75" s="265"/>
      <c r="U75" s="265"/>
      <c r="V75" s="265"/>
      <c r="W75" s="265"/>
      <c r="X75" s="265"/>
      <c r="Y75" s="265"/>
      <c r="Z75" s="265"/>
      <c r="AA75" s="265"/>
      <c r="AB75" s="265"/>
    </row>
    <row r="76" spans="1:28" ht="13.5" customHeight="1">
      <c r="A76" s="265"/>
      <c r="B76" s="265"/>
      <c r="C76" s="265"/>
      <c r="D76" s="1547"/>
      <c r="E76" s="265"/>
      <c r="F76" s="1548" t="s">
        <v>5348</v>
      </c>
      <c r="G76" s="265"/>
      <c r="H76" s="265"/>
      <c r="I76" s="265"/>
      <c r="J76" s="265"/>
      <c r="K76" s="265"/>
      <c r="L76" s="265"/>
      <c r="M76" s="265"/>
      <c r="N76" s="265"/>
      <c r="O76" s="265"/>
      <c r="P76" s="265"/>
      <c r="Q76" s="265"/>
      <c r="R76" s="265"/>
      <c r="S76" s="265"/>
      <c r="T76" s="265"/>
      <c r="U76" s="265"/>
      <c r="V76" s="265"/>
      <c r="W76" s="265"/>
      <c r="X76" s="265"/>
      <c r="Y76" s="265"/>
      <c r="Z76" s="265"/>
      <c r="AA76" s="265"/>
      <c r="AB76" s="265"/>
    </row>
    <row r="77" spans="1:28" ht="13.5" customHeight="1">
      <c r="A77" s="265"/>
      <c r="B77" s="265"/>
      <c r="C77" s="265"/>
      <c r="D77" s="1547"/>
      <c r="E77" s="265"/>
      <c r="F77" s="1548" t="s">
        <v>5349</v>
      </c>
      <c r="G77" s="265"/>
      <c r="H77" s="265"/>
      <c r="I77" s="265"/>
      <c r="J77" s="265"/>
      <c r="K77" s="265"/>
      <c r="L77" s="265"/>
      <c r="M77" s="265"/>
      <c r="N77" s="265"/>
      <c r="O77" s="265"/>
      <c r="P77" s="265"/>
      <c r="Q77" s="265"/>
      <c r="R77" s="265"/>
      <c r="S77" s="265"/>
      <c r="T77" s="265"/>
      <c r="U77" s="265"/>
      <c r="V77" s="265"/>
      <c r="W77" s="265"/>
      <c r="X77" s="265"/>
      <c r="Y77" s="265"/>
      <c r="Z77" s="265"/>
      <c r="AA77" s="265"/>
      <c r="AB77" s="265"/>
    </row>
    <row r="78" spans="1:28" ht="13.5" customHeight="1">
      <c r="A78" s="265"/>
      <c r="B78" s="265"/>
      <c r="C78" s="265"/>
      <c r="D78" s="1547"/>
      <c r="E78" s="265"/>
      <c r="F78" s="1548" t="s">
        <v>2760</v>
      </c>
      <c r="G78" s="265"/>
      <c r="H78" s="265"/>
      <c r="I78" s="265"/>
      <c r="J78" s="265"/>
      <c r="K78" s="265"/>
      <c r="L78" s="265"/>
      <c r="M78" s="265"/>
      <c r="N78" s="265"/>
      <c r="O78" s="265"/>
      <c r="P78" s="265"/>
      <c r="Q78" s="265"/>
      <c r="R78" s="265"/>
      <c r="S78" s="265"/>
      <c r="T78" s="265"/>
      <c r="U78" s="265"/>
      <c r="V78" s="265"/>
      <c r="W78" s="265"/>
      <c r="X78" s="265"/>
      <c r="Y78" s="265"/>
      <c r="Z78" s="265"/>
      <c r="AA78" s="265"/>
      <c r="AB78" s="265"/>
    </row>
    <row r="79" spans="1:28" ht="13.5" customHeight="1">
      <c r="A79" s="265"/>
      <c r="B79" s="265"/>
      <c r="C79" s="265"/>
      <c r="D79" s="1547"/>
      <c r="E79" s="265"/>
      <c r="F79" s="1548" t="s">
        <v>5350</v>
      </c>
      <c r="G79" s="265"/>
      <c r="H79" s="265"/>
      <c r="I79" s="265"/>
      <c r="J79" s="265"/>
      <c r="K79" s="265"/>
      <c r="L79" s="265"/>
      <c r="M79" s="265"/>
      <c r="N79" s="265"/>
      <c r="O79" s="265"/>
      <c r="P79" s="265"/>
      <c r="Q79" s="265"/>
      <c r="R79" s="265"/>
      <c r="S79" s="265"/>
      <c r="T79" s="265"/>
      <c r="U79" s="265"/>
      <c r="V79" s="265"/>
      <c r="W79" s="265"/>
      <c r="X79" s="265"/>
      <c r="Y79" s="265"/>
      <c r="Z79" s="265"/>
      <c r="AA79" s="265"/>
      <c r="AB79" s="265"/>
    </row>
    <row r="80" spans="1:28" ht="13.5" customHeight="1">
      <c r="A80" s="265"/>
      <c r="B80" s="265"/>
      <c r="C80" s="265"/>
      <c r="D80" s="1547"/>
      <c r="E80" s="265"/>
      <c r="F80" s="1548" t="s">
        <v>1007</v>
      </c>
      <c r="G80" s="265"/>
      <c r="H80" s="265"/>
      <c r="I80" s="265"/>
      <c r="J80" s="265"/>
      <c r="K80" s="265"/>
      <c r="L80" s="265"/>
      <c r="M80" s="265"/>
      <c r="N80" s="265"/>
      <c r="O80" s="265"/>
      <c r="P80" s="265"/>
      <c r="Q80" s="265"/>
      <c r="R80" s="265"/>
      <c r="S80" s="265"/>
      <c r="T80" s="265"/>
      <c r="U80" s="265"/>
      <c r="V80" s="265"/>
      <c r="W80" s="265"/>
      <c r="X80" s="265"/>
      <c r="Y80" s="265"/>
      <c r="Z80" s="265"/>
      <c r="AA80" s="265"/>
      <c r="AB80" s="265"/>
    </row>
    <row r="81" spans="1:28" ht="13.5" customHeight="1">
      <c r="A81" s="265"/>
      <c r="B81" s="265"/>
      <c r="C81" s="265"/>
      <c r="D81" s="1547"/>
      <c r="E81" s="265"/>
      <c r="F81" s="1548" t="s">
        <v>2902</v>
      </c>
      <c r="G81" s="265"/>
      <c r="H81" s="265"/>
      <c r="I81" s="265"/>
      <c r="J81" s="265"/>
      <c r="K81" s="265"/>
      <c r="L81" s="265"/>
      <c r="M81" s="265"/>
      <c r="N81" s="265"/>
      <c r="O81" s="265"/>
      <c r="P81" s="265"/>
      <c r="Q81" s="265"/>
      <c r="R81" s="265"/>
      <c r="S81" s="265"/>
      <c r="T81" s="265"/>
      <c r="U81" s="265"/>
      <c r="V81" s="265"/>
      <c r="W81" s="265"/>
      <c r="X81" s="265"/>
      <c r="Y81" s="265"/>
      <c r="Z81" s="265"/>
      <c r="AA81" s="265"/>
      <c r="AB81" s="265"/>
    </row>
    <row r="82" spans="1:28" ht="13.5" customHeight="1">
      <c r="A82" s="265"/>
      <c r="B82" s="265"/>
      <c r="C82" s="265"/>
      <c r="D82" s="1547"/>
      <c r="E82" s="265"/>
      <c r="F82" s="1548" t="s">
        <v>5351</v>
      </c>
      <c r="G82" s="265"/>
      <c r="H82" s="265"/>
      <c r="I82" s="265"/>
      <c r="J82" s="265"/>
      <c r="K82" s="265"/>
      <c r="L82" s="265"/>
      <c r="M82" s="265"/>
      <c r="N82" s="265"/>
      <c r="O82" s="265"/>
      <c r="P82" s="265"/>
      <c r="Q82" s="265"/>
      <c r="R82" s="265"/>
      <c r="S82" s="265"/>
      <c r="T82" s="265"/>
      <c r="U82" s="265"/>
      <c r="V82" s="265"/>
      <c r="W82" s="265"/>
      <c r="X82" s="265"/>
      <c r="Y82" s="265"/>
      <c r="Z82" s="265"/>
      <c r="AA82" s="265"/>
      <c r="AB82" s="265"/>
    </row>
    <row r="83" spans="1:28" ht="13.5" customHeight="1">
      <c r="A83" s="265"/>
      <c r="B83" s="265"/>
      <c r="C83" s="265"/>
      <c r="D83" s="1547"/>
      <c r="E83" s="265"/>
      <c r="F83" s="1548" t="s">
        <v>5352</v>
      </c>
      <c r="G83" s="265"/>
      <c r="H83" s="265"/>
      <c r="I83" s="265"/>
      <c r="J83" s="265"/>
      <c r="K83" s="265"/>
      <c r="L83" s="265"/>
      <c r="M83" s="265"/>
      <c r="N83" s="265"/>
      <c r="O83" s="265"/>
      <c r="P83" s="265"/>
      <c r="Q83" s="265"/>
      <c r="R83" s="265"/>
      <c r="S83" s="265"/>
      <c r="T83" s="265"/>
      <c r="U83" s="265"/>
      <c r="V83" s="265"/>
      <c r="W83" s="265"/>
      <c r="X83" s="265"/>
      <c r="Y83" s="265"/>
      <c r="Z83" s="265"/>
      <c r="AA83" s="265"/>
      <c r="AB83" s="265"/>
    </row>
    <row r="84" spans="1:28" ht="13.5" customHeight="1">
      <c r="A84" s="265"/>
      <c r="B84" s="265"/>
      <c r="C84" s="265"/>
      <c r="D84" s="1547"/>
      <c r="E84" s="265"/>
      <c r="F84" s="1548" t="s">
        <v>5353</v>
      </c>
      <c r="G84" s="265"/>
      <c r="H84" s="265"/>
      <c r="I84" s="265"/>
      <c r="J84" s="265"/>
      <c r="K84" s="265"/>
      <c r="L84" s="265"/>
      <c r="M84" s="265"/>
      <c r="N84" s="265"/>
      <c r="O84" s="265"/>
      <c r="P84" s="265"/>
      <c r="Q84" s="265"/>
      <c r="R84" s="265"/>
      <c r="S84" s="265"/>
      <c r="T84" s="265"/>
      <c r="U84" s="265"/>
      <c r="V84" s="265"/>
      <c r="W84" s="265"/>
      <c r="X84" s="265"/>
      <c r="Y84" s="265"/>
      <c r="Z84" s="265"/>
      <c r="AA84" s="265"/>
      <c r="AB84" s="265"/>
    </row>
    <row r="85" spans="1:28" ht="13.5" customHeight="1">
      <c r="A85" s="265"/>
      <c r="B85" s="265"/>
      <c r="C85" s="265"/>
      <c r="D85" s="1547"/>
      <c r="E85" s="265"/>
      <c r="F85" s="1548" t="s">
        <v>5354</v>
      </c>
      <c r="G85" s="265"/>
      <c r="H85" s="265"/>
      <c r="I85" s="265"/>
      <c r="J85" s="265"/>
      <c r="K85" s="265"/>
      <c r="L85" s="265"/>
      <c r="M85" s="265"/>
      <c r="N85" s="265"/>
      <c r="O85" s="265"/>
      <c r="P85" s="265"/>
      <c r="Q85" s="265"/>
      <c r="R85" s="265"/>
      <c r="S85" s="265"/>
      <c r="T85" s="265"/>
      <c r="U85" s="265"/>
      <c r="V85" s="265"/>
      <c r="W85" s="265"/>
      <c r="X85" s="265"/>
      <c r="Y85" s="265"/>
      <c r="Z85" s="265"/>
      <c r="AA85" s="265"/>
      <c r="AB85" s="265"/>
    </row>
    <row r="86" spans="1:28" ht="13.5" customHeight="1">
      <c r="A86" s="265"/>
      <c r="B86" s="265"/>
      <c r="C86" s="265"/>
      <c r="D86" s="1547"/>
      <c r="E86" s="265"/>
      <c r="F86" s="1548" t="s">
        <v>5355</v>
      </c>
      <c r="G86" s="265"/>
      <c r="H86" s="265"/>
      <c r="I86" s="265"/>
      <c r="J86" s="265"/>
      <c r="K86" s="265"/>
      <c r="L86" s="265"/>
      <c r="M86" s="265"/>
      <c r="N86" s="265"/>
      <c r="O86" s="265"/>
      <c r="P86" s="265"/>
      <c r="Q86" s="265"/>
      <c r="R86" s="265"/>
      <c r="S86" s="265"/>
      <c r="T86" s="265"/>
      <c r="U86" s="265"/>
      <c r="V86" s="265"/>
      <c r="W86" s="265"/>
      <c r="X86" s="265"/>
      <c r="Y86" s="265"/>
      <c r="Z86" s="265"/>
      <c r="AA86" s="265"/>
      <c r="AB86" s="265"/>
    </row>
    <row r="87" spans="1:28" ht="13.5" customHeight="1">
      <c r="A87" s="265"/>
      <c r="B87" s="265"/>
      <c r="C87" s="265"/>
      <c r="D87" s="1547"/>
      <c r="E87" s="265"/>
      <c r="F87" s="1548" t="s">
        <v>3387</v>
      </c>
      <c r="G87" s="265"/>
      <c r="H87" s="265"/>
      <c r="I87" s="265"/>
      <c r="J87" s="265"/>
      <c r="K87" s="265"/>
      <c r="L87" s="265"/>
      <c r="M87" s="265"/>
      <c r="N87" s="265"/>
      <c r="O87" s="265"/>
      <c r="P87" s="265"/>
      <c r="Q87" s="265"/>
      <c r="R87" s="265"/>
      <c r="S87" s="265"/>
      <c r="T87" s="265"/>
      <c r="U87" s="265"/>
      <c r="V87" s="265"/>
      <c r="W87" s="265"/>
      <c r="X87" s="265"/>
      <c r="Y87" s="265"/>
      <c r="Z87" s="265"/>
      <c r="AA87" s="265"/>
      <c r="AB87" s="265"/>
    </row>
    <row r="88" spans="1:28" ht="13.5" customHeight="1">
      <c r="A88" s="265"/>
      <c r="B88" s="265"/>
      <c r="C88" s="265"/>
      <c r="D88" s="1547"/>
      <c r="E88" s="265"/>
      <c r="F88" s="1548" t="s">
        <v>5356</v>
      </c>
      <c r="G88" s="265"/>
      <c r="H88" s="265"/>
      <c r="I88" s="265"/>
      <c r="J88" s="265"/>
      <c r="K88" s="265"/>
      <c r="L88" s="265"/>
      <c r="M88" s="265"/>
      <c r="N88" s="265"/>
      <c r="O88" s="265"/>
      <c r="P88" s="265"/>
      <c r="Q88" s="265"/>
      <c r="R88" s="265"/>
      <c r="S88" s="265"/>
      <c r="T88" s="265"/>
      <c r="U88" s="265"/>
      <c r="V88" s="265"/>
      <c r="W88" s="265"/>
      <c r="X88" s="265"/>
      <c r="Y88" s="265"/>
      <c r="Z88" s="265"/>
      <c r="AA88" s="265"/>
      <c r="AB88" s="265"/>
    </row>
    <row r="89" spans="1:28" ht="13.5" customHeight="1">
      <c r="A89" s="265"/>
      <c r="B89" s="265"/>
      <c r="C89" s="265"/>
      <c r="D89" s="1547"/>
      <c r="E89" s="265"/>
      <c r="F89" s="1548" t="s">
        <v>5357</v>
      </c>
      <c r="G89" s="265"/>
      <c r="H89" s="265"/>
      <c r="I89" s="265"/>
      <c r="J89" s="265"/>
      <c r="K89" s="265"/>
      <c r="L89" s="265"/>
      <c r="M89" s="265"/>
      <c r="N89" s="265"/>
      <c r="O89" s="265"/>
      <c r="P89" s="265"/>
      <c r="Q89" s="265"/>
      <c r="R89" s="265"/>
      <c r="S89" s="265"/>
      <c r="T89" s="265"/>
      <c r="U89" s="265"/>
      <c r="V89" s="265"/>
      <c r="W89" s="265"/>
      <c r="X89" s="265"/>
      <c r="Y89" s="265"/>
      <c r="Z89" s="265"/>
      <c r="AA89" s="265"/>
      <c r="AB89" s="265"/>
    </row>
    <row r="90" spans="1:28" ht="13.5" customHeight="1">
      <c r="A90" s="265"/>
      <c r="B90" s="265"/>
      <c r="C90" s="265"/>
      <c r="D90" s="1547"/>
      <c r="E90" s="265"/>
      <c r="F90" s="1548" t="s">
        <v>5358</v>
      </c>
      <c r="G90" s="265"/>
      <c r="H90" s="265"/>
      <c r="I90" s="265"/>
      <c r="J90" s="265"/>
      <c r="K90" s="265"/>
      <c r="L90" s="265"/>
      <c r="M90" s="265"/>
      <c r="N90" s="265"/>
      <c r="O90" s="265"/>
      <c r="P90" s="265"/>
      <c r="Q90" s="265"/>
      <c r="R90" s="265"/>
      <c r="S90" s="265"/>
      <c r="T90" s="265"/>
      <c r="U90" s="265"/>
      <c r="V90" s="265"/>
      <c r="W90" s="265"/>
      <c r="X90" s="265"/>
      <c r="Y90" s="265"/>
      <c r="Z90" s="265"/>
      <c r="AA90" s="265"/>
      <c r="AB90" s="265"/>
    </row>
    <row r="91" spans="1:28" ht="13.5" customHeight="1">
      <c r="A91" s="265"/>
      <c r="B91" s="265"/>
      <c r="C91" s="265"/>
      <c r="D91" s="1547"/>
      <c r="E91" s="265"/>
      <c r="F91" s="1548" t="s">
        <v>5359</v>
      </c>
      <c r="G91" s="265"/>
      <c r="H91" s="265"/>
      <c r="I91" s="265"/>
      <c r="J91" s="265"/>
      <c r="K91" s="265"/>
      <c r="L91" s="265"/>
      <c r="M91" s="265"/>
      <c r="N91" s="265"/>
      <c r="O91" s="265"/>
      <c r="P91" s="265"/>
      <c r="Q91" s="265"/>
      <c r="R91" s="265"/>
      <c r="S91" s="265"/>
      <c r="T91" s="265"/>
      <c r="U91" s="265"/>
      <c r="V91" s="265"/>
      <c r="W91" s="265"/>
      <c r="X91" s="265"/>
      <c r="Y91" s="265"/>
      <c r="Z91" s="265"/>
      <c r="AA91" s="265"/>
      <c r="AB91" s="265"/>
    </row>
    <row r="92" spans="1:28" ht="13.5" customHeight="1">
      <c r="A92" s="265"/>
      <c r="B92" s="265"/>
      <c r="C92" s="265"/>
      <c r="D92" s="1547"/>
      <c r="E92" s="265"/>
      <c r="F92" s="1548" t="s">
        <v>5360</v>
      </c>
      <c r="G92" s="265"/>
      <c r="H92" s="265"/>
      <c r="I92" s="265"/>
      <c r="J92" s="265"/>
      <c r="K92" s="265"/>
      <c r="L92" s="265"/>
      <c r="M92" s="265"/>
      <c r="N92" s="265"/>
      <c r="O92" s="265"/>
      <c r="P92" s="265"/>
      <c r="Q92" s="265"/>
      <c r="R92" s="265"/>
      <c r="S92" s="265"/>
      <c r="T92" s="265"/>
      <c r="U92" s="265"/>
      <c r="V92" s="265"/>
      <c r="W92" s="265"/>
      <c r="X92" s="265"/>
      <c r="Y92" s="265"/>
      <c r="Z92" s="265"/>
      <c r="AA92" s="265"/>
      <c r="AB92" s="265"/>
    </row>
    <row r="93" spans="1:28" ht="13.5" customHeight="1">
      <c r="A93" s="265"/>
      <c r="B93" s="265"/>
      <c r="C93" s="265"/>
      <c r="D93" s="1547"/>
      <c r="E93" s="265"/>
      <c r="F93" s="1548" t="s">
        <v>5361</v>
      </c>
      <c r="G93" s="265"/>
      <c r="H93" s="265"/>
      <c r="I93" s="265"/>
      <c r="J93" s="265"/>
      <c r="K93" s="265"/>
      <c r="L93" s="265"/>
      <c r="M93" s="265"/>
      <c r="N93" s="265"/>
      <c r="O93" s="265"/>
      <c r="P93" s="265"/>
      <c r="Q93" s="265"/>
      <c r="R93" s="265"/>
      <c r="S93" s="265"/>
      <c r="T93" s="265"/>
      <c r="U93" s="265"/>
      <c r="V93" s="265"/>
      <c r="W93" s="265"/>
      <c r="X93" s="265"/>
      <c r="Y93" s="265"/>
      <c r="Z93" s="265"/>
      <c r="AA93" s="265"/>
      <c r="AB93" s="265"/>
    </row>
    <row r="94" spans="1:28" ht="13.5" customHeight="1">
      <c r="A94" s="265"/>
      <c r="B94" s="265"/>
      <c r="C94" s="265"/>
      <c r="D94" s="1547"/>
      <c r="E94" s="265"/>
      <c r="F94" s="1548" t="s">
        <v>3835</v>
      </c>
      <c r="G94" s="265"/>
      <c r="H94" s="265"/>
      <c r="I94" s="265"/>
      <c r="J94" s="265"/>
      <c r="K94" s="265"/>
      <c r="L94" s="265"/>
      <c r="M94" s="265"/>
      <c r="N94" s="265"/>
      <c r="O94" s="265"/>
      <c r="P94" s="265"/>
      <c r="Q94" s="265"/>
      <c r="R94" s="265"/>
      <c r="S94" s="265"/>
      <c r="T94" s="265"/>
      <c r="U94" s="265"/>
      <c r="V94" s="265"/>
      <c r="W94" s="265"/>
      <c r="X94" s="265"/>
      <c r="Y94" s="265"/>
      <c r="Z94" s="265"/>
      <c r="AA94" s="265"/>
      <c r="AB94" s="265"/>
    </row>
    <row r="95" spans="1:28" ht="13.5" customHeight="1">
      <c r="A95" s="265"/>
      <c r="B95" s="265"/>
      <c r="C95" s="265"/>
      <c r="D95" s="1547"/>
      <c r="E95" s="265"/>
      <c r="F95" s="1548" t="s">
        <v>2689</v>
      </c>
      <c r="G95" s="265"/>
      <c r="H95" s="265"/>
      <c r="I95" s="265"/>
      <c r="J95" s="265"/>
      <c r="K95" s="265"/>
      <c r="L95" s="265"/>
      <c r="M95" s="265"/>
      <c r="N95" s="265"/>
      <c r="O95" s="265"/>
      <c r="P95" s="265"/>
      <c r="Q95" s="265"/>
      <c r="R95" s="265"/>
      <c r="S95" s="265"/>
      <c r="T95" s="265"/>
      <c r="U95" s="265"/>
      <c r="V95" s="265"/>
      <c r="W95" s="265"/>
      <c r="X95" s="265"/>
      <c r="Y95" s="265"/>
      <c r="Z95" s="265"/>
      <c r="AA95" s="265"/>
      <c r="AB95" s="265"/>
    </row>
    <row r="96" spans="1:28" ht="13.5" customHeight="1">
      <c r="A96" s="265"/>
      <c r="B96" s="265"/>
      <c r="C96" s="265"/>
      <c r="D96" s="1547"/>
      <c r="E96" s="265"/>
      <c r="F96" s="1548" t="s">
        <v>5362</v>
      </c>
      <c r="G96" s="265"/>
      <c r="H96" s="265"/>
      <c r="I96" s="265"/>
      <c r="J96" s="265"/>
      <c r="K96" s="265"/>
      <c r="L96" s="265"/>
      <c r="M96" s="265"/>
      <c r="N96" s="265"/>
      <c r="O96" s="265"/>
      <c r="P96" s="265"/>
      <c r="Q96" s="265"/>
      <c r="R96" s="265"/>
      <c r="S96" s="265"/>
      <c r="T96" s="265"/>
      <c r="U96" s="265"/>
      <c r="V96" s="265"/>
      <c r="W96" s="265"/>
      <c r="X96" s="265"/>
      <c r="Y96" s="265"/>
      <c r="Z96" s="265"/>
      <c r="AA96" s="265"/>
      <c r="AB96" s="265"/>
    </row>
    <row r="97" spans="1:28" ht="13.5" customHeight="1">
      <c r="A97" s="265"/>
      <c r="B97" s="265"/>
      <c r="C97" s="265"/>
      <c r="D97" s="1547"/>
      <c r="E97" s="265"/>
      <c r="F97" s="1548" t="s">
        <v>5363</v>
      </c>
      <c r="G97" s="265"/>
      <c r="H97" s="265"/>
      <c r="I97" s="265"/>
      <c r="J97" s="265"/>
      <c r="K97" s="265"/>
      <c r="L97" s="265"/>
      <c r="M97" s="265"/>
      <c r="N97" s="265"/>
      <c r="O97" s="265"/>
      <c r="P97" s="265"/>
      <c r="Q97" s="265"/>
      <c r="R97" s="265"/>
      <c r="S97" s="265"/>
      <c r="T97" s="265"/>
      <c r="U97" s="265"/>
      <c r="V97" s="265"/>
      <c r="W97" s="265"/>
      <c r="X97" s="265"/>
      <c r="Y97" s="265"/>
      <c r="Z97" s="265"/>
      <c r="AA97" s="265"/>
      <c r="AB97" s="265"/>
    </row>
    <row r="98" spans="1:28" ht="13.5" customHeight="1">
      <c r="A98" s="265"/>
      <c r="B98" s="265"/>
      <c r="C98" s="265"/>
      <c r="D98" s="1547"/>
      <c r="E98" s="265"/>
      <c r="F98" s="1548" t="s">
        <v>5364</v>
      </c>
      <c r="G98" s="265"/>
      <c r="H98" s="265"/>
      <c r="I98" s="265"/>
      <c r="J98" s="265"/>
      <c r="K98" s="265"/>
      <c r="L98" s="265"/>
      <c r="M98" s="265"/>
      <c r="N98" s="265"/>
      <c r="O98" s="265"/>
      <c r="P98" s="265"/>
      <c r="Q98" s="265"/>
      <c r="R98" s="265"/>
      <c r="S98" s="265"/>
      <c r="T98" s="265"/>
      <c r="U98" s="265"/>
      <c r="V98" s="265"/>
      <c r="W98" s="265"/>
      <c r="X98" s="265"/>
      <c r="Y98" s="265"/>
      <c r="Z98" s="265"/>
      <c r="AA98" s="265"/>
      <c r="AB98" s="265"/>
    </row>
    <row r="99" spans="1:28" ht="13.5" customHeight="1">
      <c r="A99" s="265"/>
      <c r="B99" s="265"/>
      <c r="C99" s="265"/>
      <c r="D99" s="1547"/>
      <c r="E99" s="265"/>
      <c r="F99" s="1548" t="s">
        <v>5365</v>
      </c>
      <c r="G99" s="265"/>
      <c r="H99" s="265"/>
      <c r="I99" s="265"/>
      <c r="J99" s="265"/>
      <c r="K99" s="265"/>
      <c r="L99" s="265"/>
      <c r="M99" s="265"/>
      <c r="N99" s="265"/>
      <c r="O99" s="265"/>
      <c r="P99" s="265"/>
      <c r="Q99" s="265"/>
      <c r="R99" s="265"/>
      <c r="S99" s="265"/>
      <c r="T99" s="265"/>
      <c r="U99" s="265"/>
      <c r="V99" s="265"/>
      <c r="W99" s="265"/>
      <c r="X99" s="265"/>
      <c r="Y99" s="265"/>
      <c r="Z99" s="265"/>
      <c r="AA99" s="265"/>
      <c r="AB99" s="265"/>
    </row>
    <row r="100" spans="1:28" ht="13.5" customHeight="1">
      <c r="A100" s="265"/>
      <c r="B100" s="265"/>
      <c r="C100" s="265"/>
      <c r="D100" s="265"/>
      <c r="E100" s="265"/>
      <c r="F100" s="1548" t="s">
        <v>5366</v>
      </c>
      <c r="G100" s="265"/>
      <c r="H100" s="265"/>
      <c r="I100" s="265"/>
      <c r="J100" s="265"/>
      <c r="K100" s="265"/>
      <c r="L100" s="265"/>
      <c r="M100" s="265"/>
      <c r="N100" s="265"/>
      <c r="O100" s="265"/>
      <c r="P100" s="265"/>
      <c r="Q100" s="265"/>
      <c r="R100" s="265"/>
      <c r="S100" s="265"/>
      <c r="T100" s="265"/>
      <c r="U100" s="265"/>
      <c r="V100" s="265"/>
      <c r="W100" s="265"/>
      <c r="X100" s="265"/>
      <c r="Y100" s="265"/>
      <c r="Z100" s="265"/>
      <c r="AA100" s="265"/>
      <c r="AB100" s="265"/>
    </row>
    <row r="101" spans="1:28" ht="13.5" customHeight="1">
      <c r="A101" s="265"/>
      <c r="B101" s="265"/>
      <c r="C101" s="265"/>
      <c r="D101" s="265"/>
      <c r="E101" s="265"/>
      <c r="F101" s="1548" t="s">
        <v>5367</v>
      </c>
      <c r="G101" s="265"/>
      <c r="H101" s="265"/>
      <c r="I101" s="265"/>
      <c r="J101" s="265"/>
      <c r="K101" s="265"/>
      <c r="L101" s="265"/>
      <c r="M101" s="265"/>
      <c r="N101" s="265"/>
      <c r="O101" s="265"/>
      <c r="P101" s="265"/>
      <c r="Q101" s="265"/>
      <c r="R101" s="265"/>
      <c r="S101" s="265"/>
      <c r="T101" s="265"/>
      <c r="U101" s="265"/>
      <c r="V101" s="265"/>
      <c r="W101" s="265"/>
      <c r="X101" s="265"/>
      <c r="Y101" s="265"/>
      <c r="Z101" s="265"/>
      <c r="AA101" s="265"/>
      <c r="AB101" s="265"/>
    </row>
    <row r="102" spans="1:28" ht="13.5" customHeight="1">
      <c r="A102" s="265"/>
      <c r="B102" s="265"/>
      <c r="C102" s="265"/>
      <c r="D102" s="265"/>
      <c r="E102" s="265"/>
      <c r="F102" s="1548" t="s">
        <v>5368</v>
      </c>
      <c r="G102" s="265"/>
      <c r="H102" s="265"/>
      <c r="I102" s="265"/>
      <c r="J102" s="265"/>
      <c r="K102" s="265"/>
      <c r="L102" s="265"/>
      <c r="M102" s="265"/>
      <c r="N102" s="265"/>
      <c r="O102" s="265"/>
      <c r="P102" s="265"/>
      <c r="Q102" s="265"/>
      <c r="R102" s="265"/>
      <c r="S102" s="265"/>
      <c r="T102" s="265"/>
      <c r="U102" s="265"/>
      <c r="V102" s="265"/>
      <c r="W102" s="265"/>
      <c r="X102" s="265"/>
      <c r="Y102" s="265"/>
      <c r="Z102" s="265"/>
      <c r="AA102" s="265"/>
      <c r="AB102" s="265"/>
    </row>
    <row r="103" spans="1:28" ht="13.5" customHeight="1">
      <c r="A103" s="265"/>
      <c r="B103" s="265"/>
      <c r="C103" s="265"/>
      <c r="D103" s="265"/>
      <c r="E103" s="265"/>
      <c r="F103" s="1548" t="s">
        <v>4600</v>
      </c>
      <c r="G103" s="265"/>
      <c r="H103" s="265"/>
      <c r="I103" s="265"/>
      <c r="J103" s="265"/>
      <c r="K103" s="265"/>
      <c r="L103" s="265"/>
      <c r="M103" s="265"/>
      <c r="N103" s="265"/>
      <c r="O103" s="265"/>
      <c r="P103" s="265"/>
      <c r="Q103" s="265"/>
      <c r="R103" s="265"/>
      <c r="S103" s="265"/>
      <c r="T103" s="265"/>
      <c r="U103" s="265"/>
      <c r="V103" s="265"/>
      <c r="W103" s="265"/>
      <c r="X103" s="265"/>
      <c r="Y103" s="265"/>
      <c r="Z103" s="265"/>
      <c r="AA103" s="265"/>
      <c r="AB103" s="265"/>
    </row>
    <row r="104" spans="1:28" ht="13.5" customHeight="1">
      <c r="A104" s="265"/>
      <c r="B104" s="265"/>
      <c r="C104" s="265"/>
      <c r="D104" s="265"/>
      <c r="E104" s="265"/>
      <c r="F104" s="1548" t="s">
        <v>5369</v>
      </c>
      <c r="G104" s="265"/>
      <c r="H104" s="265"/>
      <c r="I104" s="265"/>
      <c r="J104" s="265"/>
      <c r="K104" s="265"/>
      <c r="L104" s="265"/>
      <c r="M104" s="265"/>
      <c r="N104" s="265"/>
      <c r="O104" s="265"/>
      <c r="P104" s="265"/>
      <c r="Q104" s="265"/>
      <c r="R104" s="265"/>
      <c r="S104" s="265"/>
      <c r="T104" s="265"/>
      <c r="U104" s="265"/>
      <c r="V104" s="265"/>
      <c r="W104" s="265"/>
      <c r="X104" s="265"/>
      <c r="Y104" s="265"/>
      <c r="Z104" s="265"/>
      <c r="AA104" s="265"/>
      <c r="AB104" s="265"/>
    </row>
    <row r="105" spans="1:28" ht="13.5" customHeight="1">
      <c r="A105" s="265"/>
      <c r="B105" s="265"/>
      <c r="C105" s="265"/>
      <c r="D105" s="265"/>
      <c r="E105" s="265"/>
      <c r="F105" s="1548" t="s">
        <v>5370</v>
      </c>
      <c r="G105" s="265"/>
      <c r="H105" s="265"/>
      <c r="I105" s="265"/>
      <c r="J105" s="265"/>
      <c r="K105" s="265"/>
      <c r="L105" s="265"/>
      <c r="M105" s="265"/>
      <c r="N105" s="265"/>
      <c r="O105" s="265"/>
      <c r="P105" s="265"/>
      <c r="Q105" s="265"/>
      <c r="R105" s="265"/>
      <c r="S105" s="265"/>
      <c r="T105" s="265"/>
      <c r="U105" s="265"/>
      <c r="V105" s="265"/>
      <c r="W105" s="265"/>
      <c r="X105" s="265"/>
      <c r="Y105" s="265"/>
      <c r="Z105" s="265"/>
      <c r="AA105" s="265"/>
      <c r="AB105" s="265"/>
    </row>
    <row r="106" spans="1:28" ht="13.5" customHeight="1">
      <c r="A106" s="265"/>
      <c r="B106" s="265"/>
      <c r="C106" s="265"/>
      <c r="D106" s="265"/>
      <c r="E106" s="265"/>
      <c r="F106" s="1548" t="s">
        <v>1034</v>
      </c>
      <c r="G106" s="265"/>
      <c r="H106" s="265"/>
      <c r="I106" s="265"/>
      <c r="J106" s="265"/>
      <c r="K106" s="265"/>
      <c r="L106" s="265"/>
      <c r="M106" s="265"/>
      <c r="N106" s="265"/>
      <c r="O106" s="265"/>
      <c r="P106" s="265"/>
      <c r="Q106" s="265"/>
      <c r="R106" s="265"/>
      <c r="S106" s="265"/>
      <c r="T106" s="265"/>
      <c r="U106" s="265"/>
      <c r="V106" s="265"/>
      <c r="W106" s="265"/>
      <c r="X106" s="265"/>
      <c r="Y106" s="265"/>
      <c r="Z106" s="265"/>
      <c r="AA106" s="265"/>
      <c r="AB106" s="265"/>
    </row>
    <row r="107" spans="1:28" ht="13.5" customHeight="1">
      <c r="A107" s="265"/>
      <c r="B107" s="265"/>
      <c r="C107" s="265"/>
      <c r="D107" s="265"/>
      <c r="E107" s="265"/>
      <c r="F107" s="1548" t="s">
        <v>4432</v>
      </c>
      <c r="G107" s="265"/>
      <c r="H107" s="265"/>
      <c r="I107" s="265"/>
      <c r="J107" s="265"/>
      <c r="K107" s="265"/>
      <c r="L107" s="265"/>
      <c r="M107" s="265"/>
      <c r="N107" s="265"/>
      <c r="O107" s="265"/>
      <c r="P107" s="265"/>
      <c r="Q107" s="265"/>
      <c r="R107" s="265"/>
      <c r="S107" s="265"/>
      <c r="T107" s="265"/>
      <c r="U107" s="265"/>
      <c r="V107" s="265"/>
      <c r="W107" s="265"/>
      <c r="X107" s="265"/>
      <c r="Y107" s="265"/>
      <c r="Z107" s="265"/>
      <c r="AA107" s="265"/>
      <c r="AB107" s="265"/>
    </row>
    <row r="108" spans="1:28" ht="13.5" customHeight="1">
      <c r="A108" s="265"/>
      <c r="B108" s="265"/>
      <c r="C108" s="265"/>
      <c r="D108" s="265"/>
      <c r="E108" s="265"/>
      <c r="F108" s="1548" t="s">
        <v>5371</v>
      </c>
      <c r="G108" s="265"/>
      <c r="H108" s="265"/>
      <c r="I108" s="265"/>
      <c r="J108" s="265"/>
      <c r="K108" s="265"/>
      <c r="L108" s="265"/>
      <c r="M108" s="265"/>
      <c r="N108" s="265"/>
      <c r="O108" s="265"/>
      <c r="P108" s="265"/>
      <c r="Q108" s="265"/>
      <c r="R108" s="265"/>
      <c r="S108" s="265"/>
      <c r="T108" s="265"/>
      <c r="U108" s="265"/>
      <c r="V108" s="265"/>
      <c r="W108" s="265"/>
      <c r="X108" s="265"/>
      <c r="Y108" s="265"/>
      <c r="Z108" s="265"/>
      <c r="AA108" s="265"/>
      <c r="AB108" s="265"/>
    </row>
    <row r="109" spans="1:28" ht="13.5" customHeight="1">
      <c r="A109" s="265"/>
      <c r="B109" s="265"/>
      <c r="C109" s="265"/>
      <c r="D109" s="265"/>
      <c r="E109" s="265"/>
      <c r="F109" s="1548" t="s">
        <v>5372</v>
      </c>
      <c r="G109" s="265"/>
      <c r="H109" s="265"/>
      <c r="I109" s="265"/>
      <c r="J109" s="265"/>
      <c r="K109" s="265"/>
      <c r="L109" s="265"/>
      <c r="M109" s="265"/>
      <c r="N109" s="265"/>
      <c r="O109" s="265"/>
      <c r="P109" s="265"/>
      <c r="Q109" s="265"/>
      <c r="R109" s="265"/>
      <c r="S109" s="265"/>
      <c r="T109" s="265"/>
      <c r="U109" s="265"/>
      <c r="V109" s="265"/>
      <c r="W109" s="265"/>
      <c r="X109" s="265"/>
      <c r="Y109" s="265"/>
      <c r="Z109" s="265"/>
      <c r="AA109" s="265"/>
      <c r="AB109" s="265"/>
    </row>
    <row r="110" spans="1:28" ht="13.5" customHeight="1">
      <c r="A110" s="265"/>
      <c r="B110" s="265"/>
      <c r="C110" s="265"/>
      <c r="D110" s="265"/>
      <c r="E110" s="265"/>
      <c r="F110" s="1548" t="s">
        <v>2260</v>
      </c>
      <c r="G110" s="265"/>
      <c r="H110" s="265"/>
      <c r="I110" s="265"/>
      <c r="J110" s="265"/>
      <c r="K110" s="265"/>
      <c r="L110" s="265"/>
      <c r="M110" s="265"/>
      <c r="N110" s="265"/>
      <c r="O110" s="265"/>
      <c r="P110" s="265"/>
      <c r="Q110" s="265"/>
      <c r="R110" s="265"/>
      <c r="S110" s="265"/>
      <c r="T110" s="265"/>
      <c r="U110" s="265"/>
      <c r="V110" s="265"/>
      <c r="W110" s="265"/>
      <c r="X110" s="265"/>
      <c r="Y110" s="265"/>
      <c r="Z110" s="265"/>
      <c r="AA110" s="265"/>
      <c r="AB110" s="265"/>
    </row>
    <row r="111" spans="1:28" ht="13.5" customHeight="1">
      <c r="A111" s="265"/>
      <c r="B111" s="265"/>
      <c r="C111" s="265"/>
      <c r="D111" s="265"/>
      <c r="E111" s="265"/>
      <c r="F111" s="1548" t="s">
        <v>5373</v>
      </c>
      <c r="G111" s="265"/>
      <c r="H111" s="265"/>
      <c r="I111" s="265"/>
      <c r="J111" s="265"/>
      <c r="K111" s="265"/>
      <c r="L111" s="265"/>
      <c r="M111" s="265"/>
      <c r="N111" s="265"/>
      <c r="O111" s="265"/>
      <c r="P111" s="265"/>
      <c r="Q111" s="265"/>
      <c r="R111" s="265"/>
      <c r="S111" s="265"/>
      <c r="T111" s="265"/>
      <c r="U111" s="265"/>
      <c r="V111" s="265"/>
      <c r="W111" s="265"/>
      <c r="X111" s="265"/>
      <c r="Y111" s="265"/>
      <c r="Z111" s="265"/>
      <c r="AA111" s="265"/>
      <c r="AB111" s="265"/>
    </row>
    <row r="112" spans="1:28" ht="13.5" customHeight="1">
      <c r="A112" s="265"/>
      <c r="B112" s="265"/>
      <c r="C112" s="265"/>
      <c r="D112" s="265"/>
      <c r="E112" s="265"/>
      <c r="F112" s="1548" t="s">
        <v>5374</v>
      </c>
      <c r="G112" s="265"/>
      <c r="H112" s="265"/>
      <c r="I112" s="265"/>
      <c r="J112" s="265"/>
      <c r="K112" s="265"/>
      <c r="L112" s="265"/>
      <c r="M112" s="265"/>
      <c r="N112" s="265"/>
      <c r="O112" s="265"/>
      <c r="P112" s="265"/>
      <c r="Q112" s="265"/>
      <c r="R112" s="265"/>
      <c r="S112" s="265"/>
      <c r="T112" s="265"/>
      <c r="U112" s="265"/>
      <c r="V112" s="265"/>
      <c r="W112" s="265"/>
      <c r="X112" s="265"/>
      <c r="Y112" s="265"/>
      <c r="Z112" s="265"/>
      <c r="AA112" s="265"/>
      <c r="AB112" s="265"/>
    </row>
    <row r="113" spans="1:28" ht="13.5" customHeight="1">
      <c r="A113" s="265"/>
      <c r="B113" s="265"/>
      <c r="C113" s="265"/>
      <c r="D113" s="265"/>
      <c r="E113" s="265"/>
      <c r="F113" s="1548" t="s">
        <v>5375</v>
      </c>
      <c r="G113" s="265"/>
      <c r="H113" s="265"/>
      <c r="I113" s="265"/>
      <c r="J113" s="265"/>
      <c r="K113" s="265"/>
      <c r="L113" s="265"/>
      <c r="M113" s="265"/>
      <c r="N113" s="265"/>
      <c r="O113" s="265"/>
      <c r="P113" s="265"/>
      <c r="Q113" s="265"/>
      <c r="R113" s="265"/>
      <c r="S113" s="265"/>
      <c r="T113" s="265"/>
      <c r="U113" s="265"/>
      <c r="V113" s="265"/>
      <c r="W113" s="265"/>
      <c r="X113" s="265"/>
      <c r="Y113" s="265"/>
      <c r="Z113" s="265"/>
      <c r="AA113" s="265"/>
      <c r="AB113" s="265"/>
    </row>
    <row r="114" spans="1:28" ht="13.5" customHeight="1">
      <c r="A114" s="265"/>
      <c r="B114" s="265"/>
      <c r="C114" s="265"/>
      <c r="D114" s="265"/>
      <c r="E114" s="265"/>
      <c r="F114" s="1548" t="s">
        <v>5376</v>
      </c>
      <c r="G114" s="265"/>
      <c r="H114" s="265"/>
      <c r="I114" s="265"/>
      <c r="J114" s="265"/>
      <c r="K114" s="265"/>
      <c r="L114" s="265"/>
      <c r="M114" s="265"/>
      <c r="N114" s="265"/>
      <c r="O114" s="265"/>
      <c r="P114" s="265"/>
      <c r="Q114" s="265"/>
      <c r="R114" s="265"/>
      <c r="S114" s="265"/>
      <c r="T114" s="265"/>
      <c r="U114" s="265"/>
      <c r="V114" s="265"/>
      <c r="W114" s="265"/>
      <c r="X114" s="265"/>
      <c r="Y114" s="265"/>
      <c r="Z114" s="265"/>
      <c r="AA114" s="265"/>
      <c r="AB114" s="265"/>
    </row>
    <row r="115" spans="1:28" ht="13.5" customHeight="1">
      <c r="A115" s="265"/>
      <c r="B115" s="265"/>
      <c r="C115" s="265"/>
      <c r="D115" s="265"/>
      <c r="E115" s="265"/>
      <c r="F115" s="1548" t="s">
        <v>5377</v>
      </c>
      <c r="G115" s="265"/>
      <c r="H115" s="265"/>
      <c r="I115" s="265"/>
      <c r="J115" s="265"/>
      <c r="K115" s="265"/>
      <c r="L115" s="265"/>
      <c r="M115" s="265"/>
      <c r="N115" s="265"/>
      <c r="O115" s="265"/>
      <c r="P115" s="265"/>
      <c r="Q115" s="265"/>
      <c r="R115" s="265"/>
      <c r="S115" s="265"/>
      <c r="T115" s="265"/>
      <c r="U115" s="265"/>
      <c r="V115" s="265"/>
      <c r="W115" s="265"/>
      <c r="X115" s="265"/>
      <c r="Y115" s="265"/>
      <c r="Z115" s="265"/>
      <c r="AA115" s="265"/>
      <c r="AB115" s="265"/>
    </row>
    <row r="116" spans="1:28" ht="13.5" customHeight="1">
      <c r="A116" s="265"/>
      <c r="B116" s="265"/>
      <c r="C116" s="265"/>
      <c r="D116" s="265"/>
      <c r="E116" s="265"/>
      <c r="F116" s="1548" t="s">
        <v>5378</v>
      </c>
      <c r="G116" s="265"/>
      <c r="H116" s="265"/>
      <c r="I116" s="265"/>
      <c r="J116" s="265"/>
      <c r="K116" s="265"/>
      <c r="L116" s="265"/>
      <c r="M116" s="265"/>
      <c r="N116" s="265"/>
      <c r="O116" s="265"/>
      <c r="P116" s="265"/>
      <c r="Q116" s="265"/>
      <c r="R116" s="265"/>
      <c r="S116" s="265"/>
      <c r="T116" s="265"/>
      <c r="U116" s="265"/>
      <c r="V116" s="265"/>
      <c r="W116" s="265"/>
      <c r="X116" s="265"/>
      <c r="Y116" s="265"/>
      <c r="Z116" s="265"/>
      <c r="AA116" s="265"/>
      <c r="AB116" s="265"/>
    </row>
    <row r="117" spans="1:28" ht="13.5" customHeight="1">
      <c r="A117" s="265"/>
      <c r="B117" s="265"/>
      <c r="C117" s="265"/>
      <c r="D117" s="265"/>
      <c r="E117" s="265"/>
      <c r="F117" s="1548" t="s">
        <v>262</v>
      </c>
      <c r="G117" s="265"/>
      <c r="H117" s="265"/>
      <c r="I117" s="265"/>
      <c r="J117" s="265"/>
      <c r="K117" s="265"/>
      <c r="L117" s="265"/>
      <c r="M117" s="265"/>
      <c r="N117" s="265"/>
      <c r="O117" s="265"/>
      <c r="P117" s="265"/>
      <c r="Q117" s="265"/>
      <c r="R117" s="265"/>
      <c r="S117" s="265"/>
      <c r="T117" s="265"/>
      <c r="U117" s="265"/>
      <c r="V117" s="265"/>
      <c r="W117" s="265"/>
      <c r="X117" s="265"/>
      <c r="Y117" s="265"/>
      <c r="Z117" s="265"/>
      <c r="AA117" s="265"/>
      <c r="AB117" s="265"/>
    </row>
    <row r="118" spans="1:28" ht="13.5" customHeight="1">
      <c r="A118" s="265"/>
      <c r="B118" s="265"/>
      <c r="C118" s="265"/>
      <c r="D118" s="265"/>
      <c r="E118" s="265"/>
      <c r="F118" s="1548" t="s">
        <v>5379</v>
      </c>
      <c r="G118" s="265"/>
      <c r="H118" s="265"/>
      <c r="I118" s="265"/>
      <c r="J118" s="265"/>
      <c r="K118" s="265"/>
      <c r="L118" s="265"/>
      <c r="M118" s="265"/>
      <c r="N118" s="265"/>
      <c r="O118" s="265"/>
      <c r="P118" s="265"/>
      <c r="Q118" s="265"/>
      <c r="R118" s="265"/>
      <c r="S118" s="265"/>
      <c r="T118" s="265"/>
      <c r="U118" s="265"/>
      <c r="V118" s="265"/>
      <c r="W118" s="265"/>
      <c r="X118" s="265"/>
      <c r="Y118" s="265"/>
      <c r="Z118" s="265"/>
      <c r="AA118" s="265"/>
      <c r="AB118" s="265"/>
    </row>
    <row r="119" spans="1:28" ht="13.5" customHeight="1">
      <c r="A119" s="265"/>
      <c r="B119" s="265"/>
      <c r="C119" s="265"/>
      <c r="D119" s="265"/>
      <c r="E119" s="265"/>
      <c r="F119" s="1548" t="s">
        <v>5380</v>
      </c>
      <c r="G119" s="265"/>
      <c r="H119" s="265"/>
      <c r="I119" s="265"/>
      <c r="J119" s="265"/>
      <c r="K119" s="265"/>
      <c r="L119" s="265"/>
      <c r="M119" s="265"/>
      <c r="N119" s="265"/>
      <c r="O119" s="265"/>
      <c r="P119" s="265"/>
      <c r="Q119" s="265"/>
      <c r="R119" s="265"/>
      <c r="S119" s="265"/>
      <c r="T119" s="265"/>
      <c r="U119" s="265"/>
      <c r="V119" s="265"/>
      <c r="W119" s="265"/>
      <c r="X119" s="265"/>
      <c r="Y119" s="265"/>
      <c r="Z119" s="265"/>
      <c r="AA119" s="265"/>
      <c r="AB119" s="265"/>
    </row>
    <row r="120" spans="1:28" ht="13.5" customHeight="1">
      <c r="A120" s="265"/>
      <c r="B120" s="265"/>
      <c r="C120" s="265"/>
      <c r="D120" s="265"/>
      <c r="E120" s="265"/>
      <c r="F120" s="1548" t="s">
        <v>5381</v>
      </c>
      <c r="G120" s="265"/>
      <c r="H120" s="265"/>
      <c r="I120" s="265"/>
      <c r="J120" s="265"/>
      <c r="K120" s="265"/>
      <c r="L120" s="265"/>
      <c r="M120" s="265"/>
      <c r="N120" s="265"/>
      <c r="O120" s="265"/>
      <c r="P120" s="265"/>
      <c r="Q120" s="265"/>
      <c r="R120" s="265"/>
      <c r="S120" s="265"/>
      <c r="T120" s="265"/>
      <c r="U120" s="265"/>
      <c r="V120" s="265"/>
      <c r="W120" s="265"/>
      <c r="X120" s="265"/>
      <c r="Y120" s="265"/>
      <c r="Z120" s="265"/>
      <c r="AA120" s="265"/>
      <c r="AB120" s="265"/>
    </row>
    <row r="121" spans="1:28" ht="13.5" customHeight="1">
      <c r="A121" s="265"/>
      <c r="B121" s="265"/>
      <c r="C121" s="265"/>
      <c r="D121" s="265"/>
      <c r="E121" s="265"/>
      <c r="F121" s="1548" t="s">
        <v>5382</v>
      </c>
      <c r="G121" s="265"/>
      <c r="H121" s="265"/>
      <c r="I121" s="265"/>
      <c r="J121" s="265"/>
      <c r="K121" s="265"/>
      <c r="L121" s="265"/>
      <c r="M121" s="265"/>
      <c r="N121" s="265"/>
      <c r="O121" s="265"/>
      <c r="P121" s="265"/>
      <c r="Q121" s="265"/>
      <c r="R121" s="265"/>
      <c r="S121" s="265"/>
      <c r="T121" s="265"/>
      <c r="U121" s="265"/>
      <c r="V121" s="265"/>
      <c r="W121" s="265"/>
      <c r="X121" s="265"/>
      <c r="Y121" s="265"/>
      <c r="Z121" s="265"/>
      <c r="AA121" s="265"/>
      <c r="AB121" s="265"/>
    </row>
    <row r="122" spans="1:28" ht="13.5" customHeight="1">
      <c r="A122" s="265"/>
      <c r="B122" s="265"/>
      <c r="C122" s="265"/>
      <c r="D122" s="265"/>
      <c r="E122" s="265"/>
      <c r="F122" s="1548" t="s">
        <v>5383</v>
      </c>
      <c r="G122" s="265"/>
      <c r="H122" s="265"/>
      <c r="I122" s="265"/>
      <c r="J122" s="265"/>
      <c r="K122" s="265"/>
      <c r="L122" s="265"/>
      <c r="M122" s="265"/>
      <c r="N122" s="265"/>
      <c r="O122" s="265"/>
      <c r="P122" s="265"/>
      <c r="Q122" s="265"/>
      <c r="R122" s="265"/>
      <c r="S122" s="265"/>
      <c r="T122" s="265"/>
      <c r="U122" s="265"/>
      <c r="V122" s="265"/>
      <c r="W122" s="265"/>
      <c r="X122" s="265"/>
      <c r="Y122" s="265"/>
      <c r="Z122" s="265"/>
      <c r="AA122" s="265"/>
      <c r="AB122" s="265"/>
    </row>
    <row r="123" spans="1:28" ht="13.5" customHeight="1">
      <c r="A123" s="265"/>
      <c r="B123" s="265"/>
      <c r="C123" s="265"/>
      <c r="D123" s="265"/>
      <c r="E123" s="265"/>
      <c r="F123" s="1548" t="s">
        <v>5384</v>
      </c>
      <c r="G123" s="265"/>
      <c r="H123" s="265"/>
      <c r="I123" s="265"/>
      <c r="J123" s="265"/>
      <c r="K123" s="265"/>
      <c r="L123" s="265"/>
      <c r="M123" s="265"/>
      <c r="N123" s="265"/>
      <c r="O123" s="265"/>
      <c r="P123" s="265"/>
      <c r="Q123" s="265"/>
      <c r="R123" s="265"/>
      <c r="S123" s="265"/>
      <c r="T123" s="265"/>
      <c r="U123" s="265"/>
      <c r="V123" s="265"/>
      <c r="W123" s="265"/>
      <c r="X123" s="265"/>
      <c r="Y123" s="265"/>
      <c r="Z123" s="265"/>
      <c r="AA123" s="265"/>
      <c r="AB123" s="265"/>
    </row>
    <row r="124" spans="1:28" ht="13.5" customHeight="1">
      <c r="A124" s="265"/>
      <c r="B124" s="265"/>
      <c r="C124" s="265"/>
      <c r="D124" s="265"/>
      <c r="E124" s="265"/>
      <c r="F124" s="1548" t="s">
        <v>3395</v>
      </c>
      <c r="G124" s="265"/>
      <c r="H124" s="265"/>
      <c r="I124" s="265"/>
      <c r="J124" s="265"/>
      <c r="K124" s="265"/>
      <c r="L124" s="265"/>
      <c r="M124" s="265"/>
      <c r="N124" s="265"/>
      <c r="O124" s="265"/>
      <c r="P124" s="265"/>
      <c r="Q124" s="265"/>
      <c r="R124" s="265"/>
      <c r="S124" s="265"/>
      <c r="T124" s="265"/>
      <c r="U124" s="265"/>
      <c r="V124" s="265"/>
      <c r="W124" s="265"/>
      <c r="X124" s="265"/>
      <c r="Y124" s="265"/>
      <c r="Z124" s="265"/>
      <c r="AA124" s="265"/>
      <c r="AB124" s="265"/>
    </row>
    <row r="125" spans="1:28" ht="13.5" customHeight="1">
      <c r="A125" s="265"/>
      <c r="B125" s="265"/>
      <c r="C125" s="265"/>
      <c r="D125" s="265"/>
      <c r="E125" s="265"/>
      <c r="F125" s="1548" t="s">
        <v>5385</v>
      </c>
      <c r="G125" s="265"/>
      <c r="H125" s="265"/>
      <c r="I125" s="265"/>
      <c r="J125" s="265"/>
      <c r="K125" s="265"/>
      <c r="L125" s="265"/>
      <c r="M125" s="265"/>
      <c r="N125" s="265"/>
      <c r="O125" s="265"/>
      <c r="P125" s="265"/>
      <c r="Q125" s="265"/>
      <c r="R125" s="265"/>
      <c r="S125" s="265"/>
      <c r="T125" s="265"/>
      <c r="U125" s="265"/>
      <c r="V125" s="265"/>
      <c r="W125" s="265"/>
      <c r="X125" s="265"/>
      <c r="Y125" s="265"/>
      <c r="Z125" s="265"/>
      <c r="AA125" s="265"/>
      <c r="AB125" s="265"/>
    </row>
    <row r="126" spans="1:28" ht="13.5" customHeight="1">
      <c r="A126" s="265"/>
      <c r="B126" s="265"/>
      <c r="C126" s="265"/>
      <c r="D126" s="265"/>
      <c r="E126" s="265"/>
      <c r="F126" s="1548" t="s">
        <v>5386</v>
      </c>
      <c r="G126" s="265"/>
      <c r="H126" s="265"/>
      <c r="I126" s="265"/>
      <c r="J126" s="265"/>
      <c r="K126" s="265"/>
      <c r="L126" s="265"/>
      <c r="M126" s="265"/>
      <c r="N126" s="265"/>
      <c r="O126" s="265"/>
      <c r="P126" s="265"/>
      <c r="Q126" s="265"/>
      <c r="R126" s="265"/>
      <c r="S126" s="265"/>
      <c r="T126" s="265"/>
      <c r="U126" s="265"/>
      <c r="V126" s="265"/>
      <c r="W126" s="265"/>
      <c r="X126" s="265"/>
      <c r="Y126" s="265"/>
      <c r="Z126" s="265"/>
      <c r="AA126" s="265"/>
      <c r="AB126" s="265"/>
    </row>
    <row r="127" spans="1:28" ht="13.5" customHeight="1">
      <c r="A127" s="265"/>
      <c r="B127" s="265"/>
      <c r="C127" s="265"/>
      <c r="D127" s="265"/>
      <c r="E127" s="265"/>
      <c r="F127" s="1548" t="s">
        <v>5387</v>
      </c>
      <c r="G127" s="265"/>
      <c r="H127" s="265"/>
      <c r="I127" s="265"/>
      <c r="J127" s="265"/>
      <c r="K127" s="265"/>
      <c r="L127" s="265"/>
      <c r="M127" s="265"/>
      <c r="N127" s="265"/>
      <c r="O127" s="265"/>
      <c r="P127" s="265"/>
      <c r="Q127" s="265"/>
      <c r="R127" s="265"/>
      <c r="S127" s="265"/>
      <c r="T127" s="265"/>
      <c r="U127" s="265"/>
      <c r="V127" s="265"/>
      <c r="W127" s="265"/>
      <c r="X127" s="265"/>
      <c r="Y127" s="265"/>
      <c r="Z127" s="265"/>
      <c r="AA127" s="265"/>
      <c r="AB127" s="265"/>
    </row>
    <row r="128" spans="1:28" ht="13.5" customHeight="1">
      <c r="A128" s="265"/>
      <c r="B128" s="265"/>
      <c r="C128" s="265"/>
      <c r="D128" s="265"/>
      <c r="E128" s="265"/>
      <c r="F128" s="1548" t="s">
        <v>5388</v>
      </c>
      <c r="G128" s="265"/>
      <c r="H128" s="265"/>
      <c r="I128" s="265"/>
      <c r="J128" s="265"/>
      <c r="K128" s="265"/>
      <c r="L128" s="265"/>
      <c r="M128" s="265"/>
      <c r="N128" s="265"/>
      <c r="O128" s="265"/>
      <c r="P128" s="265"/>
      <c r="Q128" s="265"/>
      <c r="R128" s="265"/>
      <c r="S128" s="265"/>
      <c r="T128" s="265"/>
      <c r="U128" s="265"/>
      <c r="V128" s="265"/>
      <c r="W128" s="265"/>
      <c r="X128" s="265"/>
      <c r="Y128" s="265"/>
      <c r="Z128" s="265"/>
      <c r="AA128" s="265"/>
      <c r="AB128" s="265"/>
    </row>
    <row r="129" spans="1:28" ht="13.5" customHeight="1">
      <c r="A129" s="265"/>
      <c r="B129" s="265"/>
      <c r="C129" s="265"/>
      <c r="D129" s="265"/>
      <c r="E129" s="265"/>
      <c r="F129" s="1548" t="s">
        <v>3802</v>
      </c>
      <c r="G129" s="265"/>
      <c r="H129" s="265"/>
      <c r="I129" s="265"/>
      <c r="J129" s="265"/>
      <c r="K129" s="265"/>
      <c r="L129" s="265"/>
      <c r="M129" s="265"/>
      <c r="N129" s="265"/>
      <c r="O129" s="265"/>
      <c r="P129" s="265"/>
      <c r="Q129" s="265"/>
      <c r="R129" s="265"/>
      <c r="S129" s="265"/>
      <c r="T129" s="265"/>
      <c r="U129" s="265"/>
      <c r="V129" s="265"/>
      <c r="W129" s="265"/>
      <c r="X129" s="265"/>
      <c r="Y129" s="265"/>
      <c r="Z129" s="265"/>
      <c r="AA129" s="265"/>
      <c r="AB129" s="265"/>
    </row>
    <row r="130" spans="1:28" ht="13.5" customHeight="1">
      <c r="A130" s="265"/>
      <c r="B130" s="265"/>
      <c r="C130" s="265"/>
      <c r="D130" s="265"/>
      <c r="E130" s="265"/>
      <c r="F130" s="1548" t="s">
        <v>5389</v>
      </c>
      <c r="G130" s="265"/>
      <c r="H130" s="265"/>
      <c r="I130" s="265"/>
      <c r="J130" s="265"/>
      <c r="K130" s="265"/>
      <c r="L130" s="265"/>
      <c r="M130" s="265"/>
      <c r="N130" s="265"/>
      <c r="O130" s="265"/>
      <c r="P130" s="265"/>
      <c r="Q130" s="265"/>
      <c r="R130" s="265"/>
      <c r="S130" s="265"/>
      <c r="T130" s="265"/>
      <c r="U130" s="265"/>
      <c r="V130" s="265"/>
      <c r="W130" s="265"/>
      <c r="X130" s="265"/>
      <c r="Y130" s="265"/>
      <c r="Z130" s="265"/>
      <c r="AA130" s="265"/>
      <c r="AB130" s="265"/>
    </row>
    <row r="131" spans="1:28" ht="13.5" customHeight="1">
      <c r="A131" s="265"/>
      <c r="B131" s="265"/>
      <c r="C131" s="265"/>
      <c r="D131" s="265"/>
      <c r="E131" s="265"/>
      <c r="F131" s="1548" t="s">
        <v>5390</v>
      </c>
      <c r="G131" s="265"/>
      <c r="H131" s="265"/>
      <c r="I131" s="265"/>
      <c r="J131" s="265"/>
      <c r="K131" s="265"/>
      <c r="L131" s="265"/>
      <c r="M131" s="265"/>
      <c r="N131" s="265"/>
      <c r="O131" s="265"/>
      <c r="P131" s="265"/>
      <c r="Q131" s="265"/>
      <c r="R131" s="265"/>
      <c r="S131" s="265"/>
      <c r="T131" s="265"/>
      <c r="U131" s="265"/>
      <c r="V131" s="265"/>
      <c r="W131" s="265"/>
      <c r="X131" s="265"/>
      <c r="Y131" s="265"/>
      <c r="Z131" s="265"/>
      <c r="AA131" s="265"/>
      <c r="AB131" s="265"/>
    </row>
    <row r="132" spans="1:28" ht="13.5" customHeight="1">
      <c r="A132" s="265"/>
      <c r="B132" s="265"/>
      <c r="C132" s="265"/>
      <c r="D132" s="265"/>
      <c r="E132" s="265"/>
      <c r="F132" s="1548" t="s">
        <v>5391</v>
      </c>
      <c r="G132" s="265"/>
      <c r="H132" s="265"/>
      <c r="I132" s="265"/>
      <c r="J132" s="265"/>
      <c r="K132" s="265"/>
      <c r="L132" s="265"/>
      <c r="M132" s="265"/>
      <c r="N132" s="265"/>
      <c r="O132" s="265"/>
      <c r="P132" s="265"/>
      <c r="Q132" s="265"/>
      <c r="R132" s="265"/>
      <c r="S132" s="265"/>
      <c r="T132" s="265"/>
      <c r="U132" s="265"/>
      <c r="V132" s="265"/>
      <c r="W132" s="265"/>
      <c r="X132" s="265"/>
      <c r="Y132" s="265"/>
      <c r="Z132" s="265"/>
      <c r="AA132" s="265"/>
      <c r="AB132" s="265"/>
    </row>
    <row r="133" spans="1:28" ht="13.5" customHeight="1">
      <c r="A133" s="265"/>
      <c r="B133" s="265"/>
      <c r="C133" s="265"/>
      <c r="D133" s="265"/>
      <c r="E133" s="265"/>
      <c r="F133" s="1548" t="s">
        <v>4677</v>
      </c>
      <c r="G133" s="265"/>
      <c r="H133" s="265"/>
      <c r="I133" s="265"/>
      <c r="J133" s="265"/>
      <c r="K133" s="265"/>
      <c r="L133" s="265"/>
      <c r="M133" s="265"/>
      <c r="N133" s="265"/>
      <c r="O133" s="265"/>
      <c r="P133" s="265"/>
      <c r="Q133" s="265"/>
      <c r="R133" s="265"/>
      <c r="S133" s="265"/>
      <c r="T133" s="265"/>
      <c r="U133" s="265"/>
      <c r="V133" s="265"/>
      <c r="W133" s="265"/>
      <c r="X133" s="265"/>
      <c r="Y133" s="265"/>
      <c r="Z133" s="265"/>
      <c r="AA133" s="265"/>
      <c r="AB133" s="265"/>
    </row>
    <row r="134" spans="1:28" ht="13.5" customHeight="1">
      <c r="A134" s="265"/>
      <c r="B134" s="265"/>
      <c r="C134" s="265"/>
      <c r="D134" s="265"/>
      <c r="E134" s="265"/>
      <c r="F134" s="1548" t="s">
        <v>5392</v>
      </c>
      <c r="G134" s="265"/>
      <c r="H134" s="265"/>
      <c r="I134" s="265"/>
      <c r="J134" s="265"/>
      <c r="K134" s="265"/>
      <c r="L134" s="265"/>
      <c r="M134" s="265"/>
      <c r="N134" s="265"/>
      <c r="O134" s="265"/>
      <c r="P134" s="265"/>
      <c r="Q134" s="265"/>
      <c r="R134" s="265"/>
      <c r="S134" s="265"/>
      <c r="T134" s="265"/>
      <c r="U134" s="265"/>
      <c r="V134" s="265"/>
      <c r="W134" s="265"/>
      <c r="X134" s="265"/>
      <c r="Y134" s="265"/>
      <c r="Z134" s="265"/>
      <c r="AA134" s="265"/>
      <c r="AB134" s="265"/>
    </row>
    <row r="135" spans="1:28" ht="13.5" customHeight="1">
      <c r="A135" s="265"/>
      <c r="B135" s="265"/>
      <c r="C135" s="265"/>
      <c r="D135" s="265"/>
      <c r="E135" s="265"/>
      <c r="F135" s="1548" t="s">
        <v>5393</v>
      </c>
      <c r="G135" s="265"/>
      <c r="H135" s="265"/>
      <c r="I135" s="265"/>
      <c r="J135" s="265"/>
      <c r="K135" s="265"/>
      <c r="L135" s="265"/>
      <c r="M135" s="265"/>
      <c r="N135" s="265"/>
      <c r="O135" s="265"/>
      <c r="P135" s="265"/>
      <c r="Q135" s="265"/>
      <c r="R135" s="265"/>
      <c r="S135" s="265"/>
      <c r="T135" s="265"/>
      <c r="U135" s="265"/>
      <c r="V135" s="265"/>
      <c r="W135" s="265"/>
      <c r="X135" s="265"/>
      <c r="Y135" s="265"/>
      <c r="Z135" s="265"/>
      <c r="AA135" s="265"/>
      <c r="AB135" s="265"/>
    </row>
    <row r="136" spans="1:28" ht="13.5" customHeight="1">
      <c r="A136" s="265"/>
      <c r="B136" s="265"/>
      <c r="C136" s="265"/>
      <c r="D136" s="265"/>
      <c r="E136" s="265"/>
      <c r="F136" s="1548" t="s">
        <v>2680</v>
      </c>
      <c r="G136" s="265"/>
      <c r="H136" s="265"/>
      <c r="I136" s="265"/>
      <c r="J136" s="265"/>
      <c r="K136" s="265"/>
      <c r="L136" s="265"/>
      <c r="M136" s="265"/>
      <c r="N136" s="265"/>
      <c r="O136" s="265"/>
      <c r="P136" s="265"/>
      <c r="Q136" s="265"/>
      <c r="R136" s="265"/>
      <c r="S136" s="265"/>
      <c r="T136" s="265"/>
      <c r="U136" s="265"/>
      <c r="V136" s="265"/>
      <c r="W136" s="265"/>
      <c r="X136" s="265"/>
      <c r="Y136" s="265"/>
      <c r="Z136" s="265"/>
      <c r="AA136" s="265"/>
      <c r="AB136" s="265"/>
    </row>
    <row r="137" spans="1:28" ht="13.5" customHeight="1">
      <c r="A137" s="265"/>
      <c r="B137" s="265"/>
      <c r="C137" s="265"/>
      <c r="D137" s="265"/>
      <c r="E137" s="265"/>
      <c r="F137" s="1548" t="s">
        <v>5394</v>
      </c>
      <c r="G137" s="265"/>
      <c r="H137" s="265"/>
      <c r="I137" s="265"/>
      <c r="J137" s="265"/>
      <c r="K137" s="265"/>
      <c r="L137" s="265"/>
      <c r="M137" s="265"/>
      <c r="N137" s="265"/>
      <c r="O137" s="265"/>
      <c r="P137" s="265"/>
      <c r="Q137" s="265"/>
      <c r="R137" s="265"/>
      <c r="S137" s="265"/>
      <c r="T137" s="265"/>
      <c r="U137" s="265"/>
      <c r="V137" s="265"/>
      <c r="W137" s="265"/>
      <c r="X137" s="265"/>
      <c r="Y137" s="265"/>
      <c r="Z137" s="265"/>
      <c r="AA137" s="265"/>
      <c r="AB137" s="265"/>
    </row>
    <row r="138" spans="1:28" ht="13.5" customHeight="1">
      <c r="A138" s="265"/>
      <c r="B138" s="265"/>
      <c r="C138" s="265"/>
      <c r="D138" s="265"/>
      <c r="E138" s="265"/>
      <c r="F138" s="1548" t="s">
        <v>5395</v>
      </c>
      <c r="G138" s="265"/>
      <c r="H138" s="265"/>
      <c r="I138" s="265"/>
      <c r="J138" s="265"/>
      <c r="K138" s="265"/>
      <c r="L138" s="265"/>
      <c r="M138" s="265"/>
      <c r="N138" s="265"/>
      <c r="O138" s="265"/>
      <c r="P138" s="265"/>
      <c r="Q138" s="265"/>
      <c r="R138" s="265"/>
      <c r="S138" s="265"/>
      <c r="T138" s="265"/>
      <c r="U138" s="265"/>
      <c r="V138" s="265"/>
      <c r="W138" s="265"/>
      <c r="X138" s="265"/>
      <c r="Y138" s="265"/>
      <c r="Z138" s="265"/>
      <c r="AA138" s="265"/>
      <c r="AB138" s="265"/>
    </row>
    <row r="139" spans="1:28" ht="13.5" customHeight="1">
      <c r="A139" s="265"/>
      <c r="B139" s="265"/>
      <c r="C139" s="265"/>
      <c r="D139" s="265"/>
      <c r="E139" s="265"/>
      <c r="F139" s="1548" t="s">
        <v>3872</v>
      </c>
      <c r="G139" s="265"/>
      <c r="H139" s="265"/>
      <c r="I139" s="265"/>
      <c r="J139" s="265"/>
      <c r="K139" s="265"/>
      <c r="L139" s="265"/>
      <c r="M139" s="265"/>
      <c r="N139" s="265"/>
      <c r="O139" s="265"/>
      <c r="P139" s="265"/>
      <c r="Q139" s="265"/>
      <c r="R139" s="265"/>
      <c r="S139" s="265"/>
      <c r="T139" s="265"/>
      <c r="U139" s="265"/>
      <c r="V139" s="265"/>
      <c r="W139" s="265"/>
      <c r="X139" s="265"/>
      <c r="Y139" s="265"/>
      <c r="Z139" s="265"/>
      <c r="AA139" s="265"/>
      <c r="AB139" s="265"/>
    </row>
    <row r="140" spans="1:28" ht="13.5" customHeight="1">
      <c r="A140" s="265"/>
      <c r="B140" s="265"/>
      <c r="C140" s="265"/>
      <c r="D140" s="265"/>
      <c r="E140" s="265"/>
      <c r="F140" s="1548" t="s">
        <v>2802</v>
      </c>
      <c r="G140" s="265"/>
      <c r="H140" s="265"/>
      <c r="I140" s="265"/>
      <c r="J140" s="265"/>
      <c r="K140" s="265"/>
      <c r="L140" s="265"/>
      <c r="M140" s="265"/>
      <c r="N140" s="265"/>
      <c r="O140" s="265"/>
      <c r="P140" s="265"/>
      <c r="Q140" s="265"/>
      <c r="R140" s="265"/>
      <c r="S140" s="265"/>
      <c r="T140" s="265"/>
      <c r="U140" s="265"/>
      <c r="V140" s="265"/>
      <c r="W140" s="265"/>
      <c r="X140" s="265"/>
      <c r="Y140" s="265"/>
      <c r="Z140" s="265"/>
      <c r="AA140" s="265"/>
      <c r="AB140" s="265"/>
    </row>
    <row r="141" spans="1:28" ht="13.5" customHeight="1">
      <c r="A141" s="265"/>
      <c r="B141" s="265"/>
      <c r="C141" s="265"/>
      <c r="D141" s="265"/>
      <c r="E141" s="265"/>
      <c r="F141" s="1548" t="s">
        <v>5396</v>
      </c>
      <c r="G141" s="265"/>
      <c r="H141" s="265"/>
      <c r="I141" s="265"/>
      <c r="J141" s="265"/>
      <c r="K141" s="265"/>
      <c r="L141" s="265"/>
      <c r="M141" s="265"/>
      <c r="N141" s="265"/>
      <c r="O141" s="265"/>
      <c r="P141" s="265"/>
      <c r="Q141" s="265"/>
      <c r="R141" s="265"/>
      <c r="S141" s="265"/>
      <c r="T141" s="265"/>
      <c r="U141" s="265"/>
      <c r="V141" s="265"/>
      <c r="W141" s="265"/>
      <c r="X141" s="265"/>
      <c r="Y141" s="265"/>
      <c r="Z141" s="265"/>
      <c r="AA141" s="265"/>
      <c r="AB141" s="265"/>
    </row>
    <row r="142" spans="1:28" ht="13.5" customHeight="1">
      <c r="A142" s="265"/>
      <c r="B142" s="265"/>
      <c r="C142" s="265"/>
      <c r="D142" s="265"/>
      <c r="E142" s="265"/>
      <c r="F142" s="1548" t="s">
        <v>5397</v>
      </c>
      <c r="G142" s="265"/>
      <c r="H142" s="265"/>
      <c r="I142" s="265"/>
      <c r="J142" s="265"/>
      <c r="K142" s="265"/>
      <c r="L142" s="265"/>
      <c r="M142" s="265"/>
      <c r="N142" s="265"/>
      <c r="O142" s="265"/>
      <c r="P142" s="265"/>
      <c r="Q142" s="265"/>
      <c r="R142" s="265"/>
      <c r="S142" s="265"/>
      <c r="T142" s="265"/>
      <c r="U142" s="265"/>
      <c r="V142" s="265"/>
      <c r="W142" s="265"/>
      <c r="X142" s="265"/>
      <c r="Y142" s="265"/>
      <c r="Z142" s="265"/>
      <c r="AA142" s="265"/>
      <c r="AB142" s="265"/>
    </row>
    <row r="143" spans="1:28" ht="13.5" customHeight="1">
      <c r="A143" s="265"/>
      <c r="B143" s="265"/>
      <c r="C143" s="265"/>
      <c r="D143" s="265"/>
      <c r="E143" s="265"/>
      <c r="F143" s="1548" t="s">
        <v>5398</v>
      </c>
      <c r="G143" s="265"/>
      <c r="H143" s="265"/>
      <c r="I143" s="265"/>
      <c r="J143" s="265"/>
      <c r="K143" s="265"/>
      <c r="L143" s="265"/>
      <c r="M143" s="265"/>
      <c r="N143" s="265"/>
      <c r="O143" s="265"/>
      <c r="P143" s="265"/>
      <c r="Q143" s="265"/>
      <c r="R143" s="265"/>
      <c r="S143" s="265"/>
      <c r="T143" s="265"/>
      <c r="U143" s="265"/>
      <c r="V143" s="265"/>
      <c r="W143" s="265"/>
      <c r="X143" s="265"/>
      <c r="Y143" s="265"/>
      <c r="Z143" s="265"/>
      <c r="AA143" s="265"/>
      <c r="AB143" s="265"/>
    </row>
    <row r="144" spans="1:28" ht="13.5" customHeight="1">
      <c r="A144" s="265"/>
      <c r="B144" s="265"/>
      <c r="C144" s="265"/>
      <c r="D144" s="265"/>
      <c r="E144" s="265"/>
      <c r="F144" s="1548" t="s">
        <v>5399</v>
      </c>
      <c r="G144" s="265"/>
      <c r="H144" s="265"/>
      <c r="I144" s="265"/>
      <c r="J144" s="265"/>
      <c r="K144" s="265"/>
      <c r="L144" s="265"/>
      <c r="M144" s="265"/>
      <c r="N144" s="265"/>
      <c r="O144" s="265"/>
      <c r="P144" s="265"/>
      <c r="Q144" s="265"/>
      <c r="R144" s="265"/>
      <c r="S144" s="265"/>
      <c r="T144" s="265"/>
      <c r="U144" s="265"/>
      <c r="V144" s="265"/>
      <c r="W144" s="265"/>
      <c r="X144" s="265"/>
      <c r="Y144" s="265"/>
      <c r="Z144" s="265"/>
      <c r="AA144" s="265"/>
      <c r="AB144" s="265"/>
    </row>
    <row r="145" spans="1:28" ht="13.5" customHeight="1">
      <c r="A145" s="265"/>
      <c r="B145" s="265"/>
      <c r="C145" s="265"/>
      <c r="D145" s="265"/>
      <c r="E145" s="265"/>
      <c r="F145" s="1548" t="s">
        <v>5400</v>
      </c>
      <c r="G145" s="265"/>
      <c r="H145" s="265"/>
      <c r="I145" s="265"/>
      <c r="J145" s="265"/>
      <c r="K145" s="265"/>
      <c r="L145" s="265"/>
      <c r="M145" s="265"/>
      <c r="N145" s="265"/>
      <c r="O145" s="265"/>
      <c r="P145" s="265"/>
      <c r="Q145" s="265"/>
      <c r="R145" s="265"/>
      <c r="S145" s="265"/>
      <c r="T145" s="265"/>
      <c r="U145" s="265"/>
      <c r="V145" s="265"/>
      <c r="W145" s="265"/>
      <c r="X145" s="265"/>
      <c r="Y145" s="265"/>
      <c r="Z145" s="265"/>
      <c r="AA145" s="265"/>
      <c r="AB145" s="265"/>
    </row>
    <row r="146" spans="1:28" ht="13.5" customHeight="1">
      <c r="A146" s="265"/>
      <c r="B146" s="265"/>
      <c r="C146" s="265"/>
      <c r="D146" s="265"/>
      <c r="E146" s="265"/>
      <c r="F146" s="1548" t="s">
        <v>3916</v>
      </c>
      <c r="G146" s="265"/>
      <c r="H146" s="265"/>
      <c r="I146" s="265"/>
      <c r="J146" s="265"/>
      <c r="K146" s="265"/>
      <c r="L146" s="265"/>
      <c r="M146" s="265"/>
      <c r="N146" s="265"/>
      <c r="O146" s="265"/>
      <c r="P146" s="265"/>
      <c r="Q146" s="265"/>
      <c r="R146" s="265"/>
      <c r="S146" s="265"/>
      <c r="T146" s="265"/>
      <c r="U146" s="265"/>
      <c r="V146" s="265"/>
      <c r="W146" s="265"/>
      <c r="X146" s="265"/>
      <c r="Y146" s="265"/>
      <c r="Z146" s="265"/>
      <c r="AA146" s="265"/>
      <c r="AB146" s="265"/>
    </row>
    <row r="147" spans="1:28" ht="13.5" customHeight="1">
      <c r="A147" s="265"/>
      <c r="B147" s="265"/>
      <c r="C147" s="265"/>
      <c r="D147" s="265"/>
      <c r="E147" s="265"/>
      <c r="F147" s="1548" t="s">
        <v>5401</v>
      </c>
      <c r="G147" s="265"/>
      <c r="H147" s="265"/>
      <c r="I147" s="265"/>
      <c r="J147" s="265"/>
      <c r="K147" s="265"/>
      <c r="L147" s="265"/>
      <c r="M147" s="265"/>
      <c r="N147" s="265"/>
      <c r="O147" s="265"/>
      <c r="P147" s="265"/>
      <c r="Q147" s="265"/>
      <c r="R147" s="265"/>
      <c r="S147" s="265"/>
      <c r="T147" s="265"/>
      <c r="U147" s="265"/>
      <c r="V147" s="265"/>
      <c r="W147" s="265"/>
      <c r="X147" s="265"/>
      <c r="Y147" s="265"/>
      <c r="Z147" s="265"/>
      <c r="AA147" s="265"/>
      <c r="AB147" s="265"/>
    </row>
    <row r="148" spans="1:28" ht="13.5" customHeight="1">
      <c r="A148" s="265"/>
      <c r="B148" s="265"/>
      <c r="C148" s="265"/>
      <c r="D148" s="265"/>
      <c r="E148" s="265"/>
      <c r="F148" s="1548" t="s">
        <v>5402</v>
      </c>
      <c r="G148" s="265"/>
      <c r="H148" s="265"/>
      <c r="I148" s="265"/>
      <c r="J148" s="265"/>
      <c r="K148" s="265"/>
      <c r="L148" s="265"/>
      <c r="M148" s="265"/>
      <c r="N148" s="265"/>
      <c r="O148" s="265"/>
      <c r="P148" s="265"/>
      <c r="Q148" s="265"/>
      <c r="R148" s="265"/>
      <c r="S148" s="265"/>
      <c r="T148" s="265"/>
      <c r="U148" s="265"/>
      <c r="V148" s="265"/>
      <c r="W148" s="265"/>
      <c r="X148" s="265"/>
      <c r="Y148" s="265"/>
      <c r="Z148" s="265"/>
      <c r="AA148" s="265"/>
      <c r="AB148" s="265"/>
    </row>
    <row r="149" spans="1:28" ht="13.5" customHeight="1">
      <c r="A149" s="265"/>
      <c r="B149" s="265"/>
      <c r="C149" s="265"/>
      <c r="D149" s="265"/>
      <c r="E149" s="265"/>
      <c r="F149" s="1548" t="s">
        <v>5176</v>
      </c>
      <c r="G149" s="265"/>
      <c r="H149" s="265"/>
      <c r="I149" s="265"/>
      <c r="J149" s="265"/>
      <c r="K149" s="265"/>
      <c r="L149" s="265"/>
      <c r="M149" s="265"/>
      <c r="N149" s="265"/>
      <c r="O149" s="265"/>
      <c r="P149" s="265"/>
      <c r="Q149" s="265"/>
      <c r="R149" s="265"/>
      <c r="S149" s="265"/>
      <c r="T149" s="265"/>
      <c r="U149" s="265"/>
      <c r="V149" s="265"/>
      <c r="W149" s="265"/>
      <c r="X149" s="265"/>
      <c r="Y149" s="265"/>
      <c r="Z149" s="265"/>
      <c r="AA149" s="265"/>
      <c r="AB149" s="265"/>
    </row>
    <row r="150" spans="1:28" ht="13.5" customHeight="1">
      <c r="A150" s="265"/>
      <c r="B150" s="265"/>
      <c r="C150" s="265"/>
      <c r="D150" s="265"/>
      <c r="E150" s="265"/>
      <c r="F150" s="1548" t="s">
        <v>5403</v>
      </c>
      <c r="G150" s="265"/>
      <c r="H150" s="265"/>
      <c r="I150" s="265"/>
      <c r="J150" s="265"/>
      <c r="K150" s="265"/>
      <c r="L150" s="265"/>
      <c r="M150" s="265"/>
      <c r="N150" s="265"/>
      <c r="O150" s="265"/>
      <c r="P150" s="265"/>
      <c r="Q150" s="265"/>
      <c r="R150" s="265"/>
      <c r="S150" s="265"/>
      <c r="T150" s="265"/>
      <c r="U150" s="265"/>
      <c r="V150" s="265"/>
      <c r="W150" s="265"/>
      <c r="X150" s="265"/>
      <c r="Y150" s="265"/>
      <c r="Z150" s="265"/>
      <c r="AA150" s="265"/>
      <c r="AB150" s="265"/>
    </row>
    <row r="151" spans="1:28" ht="13.5" customHeight="1">
      <c r="A151" s="265"/>
      <c r="B151" s="265"/>
      <c r="C151" s="265"/>
      <c r="D151" s="265"/>
      <c r="E151" s="265"/>
      <c r="F151" s="1548" t="s">
        <v>5404</v>
      </c>
      <c r="G151" s="265"/>
      <c r="H151" s="265"/>
      <c r="I151" s="265"/>
      <c r="J151" s="265"/>
      <c r="K151" s="265"/>
      <c r="L151" s="265"/>
      <c r="M151" s="265"/>
      <c r="N151" s="265"/>
      <c r="O151" s="265"/>
      <c r="P151" s="265"/>
      <c r="Q151" s="265"/>
      <c r="R151" s="265"/>
      <c r="S151" s="265"/>
      <c r="T151" s="265"/>
      <c r="U151" s="265"/>
      <c r="V151" s="265"/>
      <c r="W151" s="265"/>
      <c r="X151" s="265"/>
      <c r="Y151" s="265"/>
      <c r="Z151" s="265"/>
      <c r="AA151" s="265"/>
      <c r="AB151" s="265"/>
    </row>
    <row r="152" spans="1:28" ht="13.5" customHeight="1">
      <c r="A152" s="265"/>
      <c r="B152" s="265"/>
      <c r="C152" s="265"/>
      <c r="D152" s="265"/>
      <c r="E152" s="265"/>
      <c r="F152" s="1548" t="s">
        <v>3366</v>
      </c>
      <c r="G152" s="265"/>
      <c r="H152" s="265"/>
      <c r="I152" s="265"/>
      <c r="J152" s="265"/>
      <c r="K152" s="265"/>
      <c r="L152" s="265"/>
      <c r="M152" s="265"/>
      <c r="N152" s="265"/>
      <c r="O152" s="265"/>
      <c r="P152" s="265"/>
      <c r="Q152" s="265"/>
      <c r="R152" s="265"/>
      <c r="S152" s="265"/>
      <c r="T152" s="265"/>
      <c r="U152" s="265"/>
      <c r="V152" s="265"/>
      <c r="W152" s="265"/>
      <c r="X152" s="265"/>
      <c r="Y152" s="265"/>
      <c r="Z152" s="265"/>
      <c r="AA152" s="265"/>
      <c r="AB152" s="265"/>
    </row>
    <row r="153" spans="1:28" ht="13.5" customHeight="1">
      <c r="A153" s="265"/>
      <c r="B153" s="265"/>
      <c r="C153" s="265"/>
      <c r="D153" s="265"/>
      <c r="E153" s="265"/>
      <c r="F153" s="1548" t="s">
        <v>3372</v>
      </c>
      <c r="G153" s="265"/>
      <c r="H153" s="265"/>
      <c r="I153" s="265"/>
      <c r="J153" s="265"/>
      <c r="K153" s="265"/>
      <c r="L153" s="265"/>
      <c r="M153" s="265"/>
      <c r="N153" s="265"/>
      <c r="O153" s="265"/>
      <c r="P153" s="265"/>
      <c r="Q153" s="265"/>
      <c r="R153" s="265"/>
      <c r="S153" s="265"/>
      <c r="T153" s="265"/>
      <c r="U153" s="265"/>
      <c r="V153" s="265"/>
      <c r="W153" s="265"/>
      <c r="X153" s="265"/>
      <c r="Y153" s="265"/>
      <c r="Z153" s="265"/>
      <c r="AA153" s="265"/>
      <c r="AB153" s="265"/>
    </row>
    <row r="154" spans="1:28" ht="13.5" customHeight="1">
      <c r="A154" s="265"/>
      <c r="B154" s="265"/>
      <c r="C154" s="265"/>
      <c r="D154" s="265"/>
      <c r="E154" s="265"/>
      <c r="F154" s="1548" t="s">
        <v>3368</v>
      </c>
      <c r="G154" s="265"/>
      <c r="H154" s="265"/>
      <c r="I154" s="265"/>
      <c r="J154" s="265"/>
      <c r="K154" s="265"/>
      <c r="L154" s="265"/>
      <c r="M154" s="265"/>
      <c r="N154" s="265"/>
      <c r="O154" s="265"/>
      <c r="P154" s="265"/>
      <c r="Q154" s="265"/>
      <c r="R154" s="265"/>
      <c r="S154" s="265"/>
      <c r="T154" s="265"/>
      <c r="U154" s="265"/>
      <c r="V154" s="265"/>
      <c r="W154" s="265"/>
      <c r="X154" s="265"/>
      <c r="Y154" s="265"/>
      <c r="Z154" s="265"/>
      <c r="AA154" s="265"/>
      <c r="AB154" s="265"/>
    </row>
    <row r="155" spans="1:28" ht="13.5" customHeight="1">
      <c r="A155" s="265"/>
      <c r="B155" s="265"/>
      <c r="C155" s="265"/>
      <c r="D155" s="265"/>
      <c r="E155" s="265"/>
      <c r="F155" s="1548" t="s">
        <v>3405</v>
      </c>
      <c r="G155" s="265"/>
      <c r="H155" s="265"/>
      <c r="I155" s="265"/>
      <c r="J155" s="265"/>
      <c r="K155" s="265"/>
      <c r="L155" s="265"/>
      <c r="M155" s="265"/>
      <c r="N155" s="265"/>
      <c r="O155" s="265"/>
      <c r="P155" s="265"/>
      <c r="Q155" s="265"/>
      <c r="R155" s="265"/>
      <c r="S155" s="265"/>
      <c r="T155" s="265"/>
      <c r="U155" s="265"/>
      <c r="V155" s="265"/>
      <c r="W155" s="265"/>
      <c r="X155" s="265"/>
      <c r="Y155" s="265"/>
      <c r="Z155" s="265"/>
      <c r="AA155" s="265"/>
      <c r="AB155" s="265"/>
    </row>
    <row r="156" spans="1:28" ht="13.5" customHeight="1">
      <c r="A156" s="265"/>
      <c r="B156" s="265"/>
      <c r="C156" s="265"/>
      <c r="D156" s="265"/>
      <c r="E156" s="265"/>
      <c r="F156" s="1548" t="s">
        <v>3357</v>
      </c>
      <c r="G156" s="265"/>
      <c r="H156" s="265"/>
      <c r="I156" s="265"/>
      <c r="J156" s="265"/>
      <c r="K156" s="265"/>
      <c r="L156" s="265"/>
      <c r="M156" s="265"/>
      <c r="N156" s="265"/>
      <c r="O156" s="265"/>
      <c r="P156" s="265"/>
      <c r="Q156" s="265"/>
      <c r="R156" s="265"/>
      <c r="S156" s="265"/>
      <c r="T156" s="265"/>
      <c r="U156" s="265"/>
      <c r="V156" s="265"/>
      <c r="W156" s="265"/>
      <c r="X156" s="265"/>
      <c r="Y156" s="265"/>
      <c r="Z156" s="265"/>
      <c r="AA156" s="265"/>
      <c r="AB156" s="265"/>
    </row>
    <row r="157" spans="1:28" ht="13.5" customHeight="1">
      <c r="A157" s="265"/>
      <c r="B157" s="265"/>
      <c r="C157" s="265"/>
      <c r="D157" s="265"/>
      <c r="E157" s="265"/>
      <c r="F157" s="1548" t="s">
        <v>3396</v>
      </c>
      <c r="G157" s="265"/>
      <c r="H157" s="265"/>
      <c r="I157" s="265"/>
      <c r="J157" s="265"/>
      <c r="K157" s="265"/>
      <c r="L157" s="265"/>
      <c r="M157" s="265"/>
      <c r="N157" s="265"/>
      <c r="O157" s="265"/>
      <c r="P157" s="265"/>
      <c r="Q157" s="265"/>
      <c r="R157" s="265"/>
      <c r="S157" s="265"/>
      <c r="T157" s="265"/>
      <c r="U157" s="265"/>
      <c r="V157" s="265"/>
      <c r="W157" s="265"/>
      <c r="X157" s="265"/>
      <c r="Y157" s="265"/>
      <c r="Z157" s="265"/>
      <c r="AA157" s="265"/>
      <c r="AB157" s="265"/>
    </row>
    <row r="158" spans="1:28" ht="13.5" customHeight="1">
      <c r="A158" s="265"/>
      <c r="B158" s="265"/>
      <c r="C158" s="265"/>
      <c r="D158" s="265"/>
      <c r="E158" s="265"/>
      <c r="F158" s="1548" t="s">
        <v>3391</v>
      </c>
      <c r="G158" s="265"/>
      <c r="H158" s="265"/>
      <c r="I158" s="265"/>
      <c r="J158" s="265"/>
      <c r="K158" s="265"/>
      <c r="L158" s="265"/>
      <c r="M158" s="265"/>
      <c r="N158" s="265"/>
      <c r="O158" s="265"/>
      <c r="P158" s="265"/>
      <c r="Q158" s="265"/>
      <c r="R158" s="265"/>
      <c r="S158" s="265"/>
      <c r="T158" s="265"/>
      <c r="U158" s="265"/>
      <c r="V158" s="265"/>
      <c r="W158" s="265"/>
      <c r="X158" s="265"/>
      <c r="Y158" s="265"/>
      <c r="Z158" s="265"/>
      <c r="AA158" s="265"/>
      <c r="AB158" s="265"/>
    </row>
    <row r="159" spans="1:28" ht="13.5" customHeight="1">
      <c r="A159" s="265"/>
      <c r="B159" s="265"/>
      <c r="C159" s="265"/>
      <c r="D159" s="265"/>
      <c r="E159" s="265"/>
      <c r="F159" s="1548" t="s">
        <v>3399</v>
      </c>
      <c r="G159" s="265"/>
      <c r="H159" s="265"/>
      <c r="I159" s="265"/>
      <c r="J159" s="265"/>
      <c r="K159" s="265"/>
      <c r="L159" s="265"/>
      <c r="M159" s="265"/>
      <c r="N159" s="265"/>
      <c r="O159" s="265"/>
      <c r="P159" s="265"/>
      <c r="Q159" s="265"/>
      <c r="R159" s="265"/>
      <c r="S159" s="265"/>
      <c r="T159" s="265"/>
      <c r="U159" s="265"/>
      <c r="V159" s="265"/>
      <c r="W159" s="265"/>
      <c r="X159" s="265"/>
      <c r="Y159" s="265"/>
      <c r="Z159" s="265"/>
      <c r="AA159" s="265"/>
      <c r="AB159" s="265"/>
    </row>
    <row r="160" spans="1:28" ht="13.5" customHeight="1">
      <c r="A160" s="265"/>
      <c r="B160" s="265"/>
      <c r="C160" s="265"/>
      <c r="D160" s="265"/>
      <c r="E160" s="265"/>
      <c r="F160" s="1548" t="s">
        <v>3401</v>
      </c>
      <c r="G160" s="265"/>
      <c r="H160" s="265"/>
      <c r="I160" s="265"/>
      <c r="J160" s="265"/>
      <c r="K160" s="265"/>
      <c r="L160" s="265"/>
      <c r="M160" s="265"/>
      <c r="N160" s="265"/>
      <c r="O160" s="265"/>
      <c r="P160" s="265"/>
      <c r="Q160" s="265"/>
      <c r="R160" s="265"/>
      <c r="S160" s="265"/>
      <c r="T160" s="265"/>
      <c r="U160" s="265"/>
      <c r="V160" s="265"/>
      <c r="W160" s="265"/>
      <c r="X160" s="265"/>
      <c r="Y160" s="265"/>
      <c r="Z160" s="265"/>
      <c r="AA160" s="265"/>
      <c r="AB160" s="265"/>
    </row>
    <row r="161" spans="1:28" ht="13.5" customHeight="1">
      <c r="A161" s="265"/>
      <c r="B161" s="265"/>
      <c r="C161" s="265"/>
      <c r="D161" s="265"/>
      <c r="E161" s="265"/>
      <c r="F161" s="1548" t="s">
        <v>3407</v>
      </c>
      <c r="G161" s="265"/>
      <c r="H161" s="265"/>
      <c r="I161" s="265"/>
      <c r="J161" s="265"/>
      <c r="K161" s="265"/>
      <c r="L161" s="265"/>
      <c r="M161" s="265"/>
      <c r="N161" s="265"/>
      <c r="O161" s="265"/>
      <c r="P161" s="265"/>
      <c r="Q161" s="265"/>
      <c r="R161" s="265"/>
      <c r="S161" s="265"/>
      <c r="T161" s="265"/>
      <c r="U161" s="265"/>
      <c r="V161" s="265"/>
      <c r="W161" s="265"/>
      <c r="X161" s="265"/>
      <c r="Y161" s="265"/>
      <c r="Z161" s="265"/>
      <c r="AA161" s="265"/>
      <c r="AB161" s="265"/>
    </row>
    <row r="162" spans="1:28" ht="13.5" customHeight="1">
      <c r="A162" s="265"/>
      <c r="B162" s="265"/>
      <c r="C162" s="265"/>
      <c r="D162" s="265"/>
      <c r="E162" s="265"/>
      <c r="F162" s="1548" t="s">
        <v>3398</v>
      </c>
      <c r="G162" s="265"/>
      <c r="H162" s="265"/>
      <c r="I162" s="265"/>
      <c r="J162" s="265"/>
      <c r="K162" s="265"/>
      <c r="L162" s="265"/>
      <c r="M162" s="265"/>
      <c r="N162" s="265"/>
      <c r="O162" s="265"/>
      <c r="P162" s="265"/>
      <c r="Q162" s="265"/>
      <c r="R162" s="265"/>
      <c r="S162" s="265"/>
      <c r="T162" s="265"/>
      <c r="U162" s="265"/>
      <c r="V162" s="265"/>
      <c r="W162" s="265"/>
      <c r="X162" s="265"/>
      <c r="Y162" s="265"/>
      <c r="Z162" s="265"/>
      <c r="AA162" s="265"/>
      <c r="AB162" s="265"/>
    </row>
    <row r="163" spans="1:28" ht="13.5" customHeight="1">
      <c r="A163" s="265"/>
      <c r="B163" s="265"/>
      <c r="C163" s="265"/>
      <c r="D163" s="265"/>
      <c r="E163" s="265"/>
      <c r="F163" s="1548" t="s">
        <v>3346</v>
      </c>
      <c r="G163" s="265"/>
      <c r="H163" s="265"/>
      <c r="I163" s="265"/>
      <c r="J163" s="265"/>
      <c r="K163" s="265"/>
      <c r="L163" s="265"/>
      <c r="M163" s="265"/>
      <c r="N163" s="265"/>
      <c r="O163" s="265"/>
      <c r="P163" s="265"/>
      <c r="Q163" s="265"/>
      <c r="R163" s="265"/>
      <c r="S163" s="265"/>
      <c r="T163" s="265"/>
      <c r="U163" s="265"/>
      <c r="V163" s="265"/>
      <c r="W163" s="265"/>
      <c r="X163" s="265"/>
      <c r="Y163" s="265"/>
      <c r="Z163" s="265"/>
      <c r="AA163" s="265"/>
      <c r="AB163" s="265"/>
    </row>
    <row r="164" spans="1:28" ht="13.5" customHeight="1">
      <c r="A164" s="265"/>
      <c r="B164" s="265"/>
      <c r="C164" s="265"/>
      <c r="D164" s="265"/>
      <c r="E164" s="265"/>
      <c r="F164" s="1548" t="s">
        <v>3400</v>
      </c>
      <c r="G164" s="265"/>
      <c r="H164" s="265"/>
      <c r="I164" s="265"/>
      <c r="J164" s="265"/>
      <c r="K164" s="265"/>
      <c r="L164" s="265"/>
      <c r="M164" s="265"/>
      <c r="N164" s="265"/>
      <c r="O164" s="265"/>
      <c r="P164" s="265"/>
      <c r="Q164" s="265"/>
      <c r="R164" s="265"/>
      <c r="S164" s="265"/>
      <c r="T164" s="265"/>
      <c r="U164" s="265"/>
      <c r="V164" s="265"/>
      <c r="W164" s="265"/>
      <c r="X164" s="265"/>
      <c r="Y164" s="265"/>
      <c r="Z164" s="265"/>
      <c r="AA164" s="265"/>
      <c r="AB164" s="265"/>
    </row>
    <row r="165" spans="1:28" ht="13.5" customHeight="1">
      <c r="A165" s="265"/>
      <c r="B165" s="265"/>
      <c r="C165" s="265"/>
      <c r="D165" s="265"/>
      <c r="E165" s="265"/>
      <c r="F165" s="1548" t="s">
        <v>5405</v>
      </c>
      <c r="G165" s="265"/>
      <c r="H165" s="265"/>
      <c r="I165" s="265"/>
      <c r="J165" s="265"/>
      <c r="K165" s="265"/>
      <c r="L165" s="265"/>
      <c r="M165" s="265"/>
      <c r="N165" s="265"/>
      <c r="O165" s="265"/>
      <c r="P165" s="265"/>
      <c r="Q165" s="265"/>
      <c r="R165" s="265"/>
      <c r="S165" s="265"/>
      <c r="T165" s="265"/>
      <c r="U165" s="265"/>
      <c r="V165" s="265"/>
      <c r="W165" s="265"/>
      <c r="X165" s="265"/>
      <c r="Y165" s="265"/>
      <c r="Z165" s="265"/>
      <c r="AA165" s="265"/>
      <c r="AB165" s="265"/>
    </row>
    <row r="166" spans="1:28" ht="13.5" customHeight="1">
      <c r="A166" s="265"/>
      <c r="B166" s="265"/>
      <c r="C166" s="265"/>
      <c r="D166" s="265"/>
      <c r="E166" s="265"/>
      <c r="F166" s="1548" t="s">
        <v>5406</v>
      </c>
      <c r="G166" s="265"/>
      <c r="H166" s="265"/>
      <c r="I166" s="265"/>
      <c r="J166" s="265"/>
      <c r="K166" s="265"/>
      <c r="L166" s="265"/>
      <c r="M166" s="265"/>
      <c r="N166" s="265"/>
      <c r="O166" s="265"/>
      <c r="P166" s="265"/>
      <c r="Q166" s="265"/>
      <c r="R166" s="265"/>
      <c r="S166" s="265"/>
      <c r="T166" s="265"/>
      <c r="U166" s="265"/>
      <c r="V166" s="265"/>
      <c r="W166" s="265"/>
      <c r="X166" s="265"/>
      <c r="Y166" s="265"/>
      <c r="Z166" s="265"/>
      <c r="AA166" s="265"/>
      <c r="AB166" s="265"/>
    </row>
    <row r="167" spans="1:28" ht="13.5" customHeight="1">
      <c r="A167" s="265"/>
      <c r="B167" s="265"/>
      <c r="C167" s="265"/>
      <c r="D167" s="265"/>
      <c r="E167" s="265"/>
      <c r="F167" s="1548" t="s">
        <v>5157</v>
      </c>
      <c r="G167" s="265"/>
      <c r="H167" s="265"/>
      <c r="I167" s="265"/>
      <c r="J167" s="265"/>
      <c r="K167" s="265"/>
      <c r="L167" s="265"/>
      <c r="M167" s="265"/>
      <c r="N167" s="265"/>
      <c r="O167" s="265"/>
      <c r="P167" s="265"/>
      <c r="Q167" s="265"/>
      <c r="R167" s="265"/>
      <c r="S167" s="265"/>
      <c r="T167" s="265"/>
      <c r="U167" s="265"/>
      <c r="V167" s="265"/>
      <c r="W167" s="265"/>
      <c r="X167" s="265"/>
      <c r="Y167" s="265"/>
      <c r="Z167" s="265"/>
      <c r="AA167" s="265"/>
      <c r="AB167" s="265"/>
    </row>
    <row r="168" spans="1:28" ht="13.5" customHeight="1">
      <c r="A168" s="265"/>
      <c r="B168" s="265"/>
      <c r="C168" s="265"/>
      <c r="D168" s="265"/>
      <c r="E168" s="265"/>
      <c r="F168" s="1548" t="s">
        <v>4020</v>
      </c>
      <c r="G168" s="265"/>
      <c r="H168" s="265"/>
      <c r="I168" s="265"/>
      <c r="J168" s="265"/>
      <c r="K168" s="265"/>
      <c r="L168" s="265"/>
      <c r="M168" s="265"/>
      <c r="N168" s="265"/>
      <c r="O168" s="265"/>
      <c r="P168" s="265"/>
      <c r="Q168" s="265"/>
      <c r="R168" s="265"/>
      <c r="S168" s="265"/>
      <c r="T168" s="265"/>
      <c r="U168" s="265"/>
      <c r="V168" s="265"/>
      <c r="W168" s="265"/>
      <c r="X168" s="265"/>
      <c r="Y168" s="265"/>
      <c r="Z168" s="265"/>
      <c r="AA168" s="265"/>
      <c r="AB168" s="265"/>
    </row>
    <row r="169" spans="1:28" ht="13.5" customHeight="1">
      <c r="A169" s="265"/>
      <c r="B169" s="265"/>
      <c r="C169" s="265"/>
      <c r="D169" s="265"/>
      <c r="E169" s="265"/>
      <c r="F169" s="1548" t="s">
        <v>5407</v>
      </c>
      <c r="G169" s="265"/>
      <c r="H169" s="265"/>
      <c r="I169" s="265"/>
      <c r="J169" s="265"/>
      <c r="K169" s="265"/>
      <c r="L169" s="265"/>
      <c r="M169" s="265"/>
      <c r="N169" s="265"/>
      <c r="O169" s="265"/>
      <c r="P169" s="265"/>
      <c r="Q169" s="265"/>
      <c r="R169" s="265"/>
      <c r="S169" s="265"/>
      <c r="T169" s="265"/>
      <c r="U169" s="265"/>
      <c r="V169" s="265"/>
      <c r="W169" s="265"/>
      <c r="X169" s="265"/>
      <c r="Y169" s="265"/>
      <c r="Z169" s="265"/>
      <c r="AA169" s="265"/>
      <c r="AB169" s="265"/>
    </row>
    <row r="170" spans="1:28" ht="13.5" customHeight="1">
      <c r="A170" s="265"/>
      <c r="B170" s="265"/>
      <c r="C170" s="265"/>
      <c r="D170" s="265"/>
      <c r="E170" s="265"/>
      <c r="F170" s="1548" t="s">
        <v>5408</v>
      </c>
      <c r="G170" s="265"/>
      <c r="H170" s="265"/>
      <c r="I170" s="265"/>
      <c r="J170" s="265"/>
      <c r="K170" s="265"/>
      <c r="L170" s="265"/>
      <c r="M170" s="265"/>
      <c r="N170" s="265"/>
      <c r="O170" s="265"/>
      <c r="P170" s="265"/>
      <c r="Q170" s="265"/>
      <c r="R170" s="265"/>
      <c r="S170" s="265"/>
      <c r="T170" s="265"/>
      <c r="U170" s="265"/>
      <c r="V170" s="265"/>
      <c r="W170" s="265"/>
      <c r="X170" s="265"/>
      <c r="Y170" s="265"/>
      <c r="Z170" s="265"/>
      <c r="AA170" s="265"/>
      <c r="AB170" s="265"/>
    </row>
    <row r="171" spans="1:28" ht="13.5" customHeight="1">
      <c r="A171" s="265"/>
      <c r="B171" s="265"/>
      <c r="C171" s="265"/>
      <c r="D171" s="265"/>
      <c r="E171" s="265"/>
      <c r="F171" s="1548" t="s">
        <v>5409</v>
      </c>
      <c r="G171" s="265"/>
      <c r="H171" s="265"/>
      <c r="I171" s="265"/>
      <c r="J171" s="265"/>
      <c r="K171" s="265"/>
      <c r="L171" s="265"/>
      <c r="M171" s="265"/>
      <c r="N171" s="265"/>
      <c r="O171" s="265"/>
      <c r="P171" s="265"/>
      <c r="Q171" s="265"/>
      <c r="R171" s="265"/>
      <c r="S171" s="265"/>
      <c r="T171" s="265"/>
      <c r="U171" s="265"/>
      <c r="V171" s="265"/>
      <c r="W171" s="265"/>
      <c r="X171" s="265"/>
      <c r="Y171" s="265"/>
      <c r="Z171" s="265"/>
      <c r="AA171" s="265"/>
      <c r="AB171" s="265"/>
    </row>
    <row r="172" spans="1:28" ht="13.5" customHeight="1">
      <c r="A172" s="265"/>
      <c r="B172" s="265"/>
      <c r="C172" s="265"/>
      <c r="D172" s="265"/>
      <c r="E172" s="265"/>
      <c r="F172" s="1548" t="s">
        <v>5410</v>
      </c>
      <c r="G172" s="265"/>
      <c r="H172" s="265"/>
      <c r="I172" s="265"/>
      <c r="J172" s="265"/>
      <c r="K172" s="265"/>
      <c r="L172" s="265"/>
      <c r="M172" s="265"/>
      <c r="N172" s="265"/>
      <c r="O172" s="265"/>
      <c r="P172" s="265"/>
      <c r="Q172" s="265"/>
      <c r="R172" s="265"/>
      <c r="S172" s="265"/>
      <c r="T172" s="265"/>
      <c r="U172" s="265"/>
      <c r="V172" s="265"/>
      <c r="W172" s="265"/>
      <c r="X172" s="265"/>
      <c r="Y172" s="265"/>
      <c r="Z172" s="265"/>
      <c r="AA172" s="265"/>
      <c r="AB172" s="265"/>
    </row>
    <row r="173" spans="1:28" ht="13.5" customHeight="1">
      <c r="A173" s="265"/>
      <c r="B173" s="265"/>
      <c r="C173" s="265"/>
      <c r="D173" s="265"/>
      <c r="E173" s="265"/>
      <c r="F173" s="1548" t="s">
        <v>5411</v>
      </c>
      <c r="G173" s="265"/>
      <c r="H173" s="265"/>
      <c r="I173" s="265"/>
      <c r="J173" s="265"/>
      <c r="K173" s="265"/>
      <c r="L173" s="265"/>
      <c r="M173" s="265"/>
      <c r="N173" s="265"/>
      <c r="O173" s="265"/>
      <c r="P173" s="265"/>
      <c r="Q173" s="265"/>
      <c r="R173" s="265"/>
      <c r="S173" s="265"/>
      <c r="T173" s="265"/>
      <c r="U173" s="265"/>
      <c r="V173" s="265"/>
      <c r="W173" s="265"/>
      <c r="X173" s="265"/>
      <c r="Y173" s="265"/>
      <c r="Z173" s="265"/>
      <c r="AA173" s="265"/>
      <c r="AB173" s="265"/>
    </row>
    <row r="174" spans="1:28" ht="13.5" customHeight="1">
      <c r="A174" s="265"/>
      <c r="B174" s="265"/>
      <c r="C174" s="265"/>
      <c r="D174" s="265"/>
      <c r="E174" s="265"/>
      <c r="F174" s="1548" t="s">
        <v>5412</v>
      </c>
      <c r="G174" s="265"/>
      <c r="H174" s="265"/>
      <c r="I174" s="265"/>
      <c r="J174" s="265"/>
      <c r="K174" s="265"/>
      <c r="L174" s="265"/>
      <c r="M174" s="265"/>
      <c r="N174" s="265"/>
      <c r="O174" s="265"/>
      <c r="P174" s="265"/>
      <c r="Q174" s="265"/>
      <c r="R174" s="265"/>
      <c r="S174" s="265"/>
      <c r="T174" s="265"/>
      <c r="U174" s="265"/>
      <c r="V174" s="265"/>
      <c r="W174" s="265"/>
      <c r="X174" s="265"/>
      <c r="Y174" s="265"/>
      <c r="Z174" s="265"/>
      <c r="AA174" s="265"/>
      <c r="AB174" s="265"/>
    </row>
    <row r="175" spans="1:28" ht="13.5" customHeight="1">
      <c r="A175" s="265"/>
      <c r="B175" s="265"/>
      <c r="C175" s="265"/>
      <c r="D175" s="265"/>
      <c r="E175" s="265"/>
      <c r="F175" s="1548" t="s">
        <v>5413</v>
      </c>
      <c r="G175" s="265"/>
      <c r="H175" s="265"/>
      <c r="I175" s="265"/>
      <c r="J175" s="265"/>
      <c r="K175" s="265"/>
      <c r="L175" s="265"/>
      <c r="M175" s="265"/>
      <c r="N175" s="265"/>
      <c r="O175" s="265"/>
      <c r="P175" s="265"/>
      <c r="Q175" s="265"/>
      <c r="R175" s="265"/>
      <c r="S175" s="265"/>
      <c r="T175" s="265"/>
      <c r="U175" s="265"/>
      <c r="V175" s="265"/>
      <c r="W175" s="265"/>
      <c r="X175" s="265"/>
      <c r="Y175" s="265"/>
      <c r="Z175" s="265"/>
      <c r="AA175" s="265"/>
      <c r="AB175" s="265"/>
    </row>
    <row r="176" spans="1:28" ht="13.5" customHeight="1">
      <c r="A176" s="265"/>
      <c r="B176" s="265"/>
      <c r="C176" s="265"/>
      <c r="D176" s="265"/>
      <c r="E176" s="265"/>
      <c r="F176" s="1548" t="s">
        <v>5414</v>
      </c>
      <c r="G176" s="265"/>
      <c r="H176" s="265"/>
      <c r="I176" s="265"/>
      <c r="J176" s="265"/>
      <c r="K176" s="265"/>
      <c r="L176" s="265"/>
      <c r="M176" s="265"/>
      <c r="N176" s="265"/>
      <c r="O176" s="265"/>
      <c r="P176" s="265"/>
      <c r="Q176" s="265"/>
      <c r="R176" s="265"/>
      <c r="S176" s="265"/>
      <c r="T176" s="265"/>
      <c r="U176" s="265"/>
      <c r="V176" s="265"/>
      <c r="W176" s="265"/>
      <c r="X176" s="265"/>
      <c r="Y176" s="265"/>
      <c r="Z176" s="265"/>
      <c r="AA176" s="265"/>
      <c r="AB176" s="265"/>
    </row>
    <row r="177" spans="1:28" ht="13.5" customHeight="1">
      <c r="A177" s="265"/>
      <c r="B177" s="265"/>
      <c r="C177" s="265"/>
      <c r="D177" s="265"/>
      <c r="E177" s="265"/>
      <c r="F177" s="1548" t="s">
        <v>5415</v>
      </c>
      <c r="G177" s="265"/>
      <c r="H177" s="265"/>
      <c r="I177" s="265"/>
      <c r="J177" s="265"/>
      <c r="K177" s="265"/>
      <c r="L177" s="265"/>
      <c r="M177" s="265"/>
      <c r="N177" s="265"/>
      <c r="O177" s="265"/>
      <c r="P177" s="265"/>
      <c r="Q177" s="265"/>
      <c r="R177" s="265"/>
      <c r="S177" s="265"/>
      <c r="T177" s="265"/>
      <c r="U177" s="265"/>
      <c r="V177" s="265"/>
      <c r="W177" s="265"/>
      <c r="X177" s="265"/>
      <c r="Y177" s="265"/>
      <c r="Z177" s="265"/>
      <c r="AA177" s="265"/>
      <c r="AB177" s="265"/>
    </row>
    <row r="178" spans="1:28" ht="13.5" customHeight="1">
      <c r="A178" s="265"/>
      <c r="B178" s="265"/>
      <c r="C178" s="265"/>
      <c r="D178" s="265"/>
      <c r="E178" s="265"/>
      <c r="F178" s="1548" t="s">
        <v>2727</v>
      </c>
      <c r="G178" s="265"/>
      <c r="H178" s="265"/>
      <c r="I178" s="265"/>
      <c r="J178" s="265"/>
      <c r="K178" s="265"/>
      <c r="L178" s="265"/>
      <c r="M178" s="265"/>
      <c r="N178" s="265"/>
      <c r="O178" s="265"/>
      <c r="P178" s="265"/>
      <c r="Q178" s="265"/>
      <c r="R178" s="265"/>
      <c r="S178" s="265"/>
      <c r="T178" s="265"/>
      <c r="U178" s="265"/>
      <c r="V178" s="265"/>
      <c r="W178" s="265"/>
      <c r="X178" s="265"/>
      <c r="Y178" s="265"/>
      <c r="Z178" s="265"/>
      <c r="AA178" s="265"/>
      <c r="AB178" s="265"/>
    </row>
    <row r="179" spans="1:28" ht="13.5" customHeight="1">
      <c r="A179" s="265"/>
      <c r="B179" s="265"/>
      <c r="C179" s="265"/>
      <c r="D179" s="265"/>
      <c r="E179" s="265"/>
      <c r="F179" s="1548" t="s">
        <v>5416</v>
      </c>
      <c r="G179" s="265"/>
      <c r="H179" s="265"/>
      <c r="I179" s="265"/>
      <c r="J179" s="265"/>
      <c r="K179" s="265"/>
      <c r="L179" s="265"/>
      <c r="M179" s="265"/>
      <c r="N179" s="265"/>
      <c r="O179" s="265"/>
      <c r="P179" s="265"/>
      <c r="Q179" s="265"/>
      <c r="R179" s="265"/>
      <c r="S179" s="265"/>
      <c r="T179" s="265"/>
      <c r="U179" s="265"/>
      <c r="V179" s="265"/>
      <c r="W179" s="265"/>
      <c r="X179" s="265"/>
      <c r="Y179" s="265"/>
      <c r="Z179" s="265"/>
      <c r="AA179" s="265"/>
      <c r="AB179" s="265"/>
    </row>
    <row r="180" spans="1:28" ht="13.5" customHeight="1">
      <c r="A180" s="265"/>
      <c r="B180" s="265"/>
      <c r="C180" s="265"/>
      <c r="D180" s="265"/>
      <c r="E180" s="265"/>
      <c r="F180" s="1548" t="s">
        <v>5417</v>
      </c>
      <c r="G180" s="265"/>
      <c r="H180" s="265"/>
      <c r="I180" s="265"/>
      <c r="J180" s="265"/>
      <c r="K180" s="265"/>
      <c r="L180" s="265"/>
      <c r="M180" s="265"/>
      <c r="N180" s="265"/>
      <c r="O180" s="265"/>
      <c r="P180" s="265"/>
      <c r="Q180" s="265"/>
      <c r="R180" s="265"/>
      <c r="S180" s="265"/>
      <c r="T180" s="265"/>
      <c r="U180" s="265"/>
      <c r="V180" s="265"/>
      <c r="W180" s="265"/>
      <c r="X180" s="265"/>
      <c r="Y180" s="265"/>
      <c r="Z180" s="265"/>
      <c r="AA180" s="265"/>
      <c r="AB180" s="265"/>
    </row>
    <row r="181" spans="1:28" ht="13.5" customHeight="1">
      <c r="A181" s="265"/>
      <c r="B181" s="265"/>
      <c r="C181" s="265"/>
      <c r="D181" s="265"/>
      <c r="E181" s="265"/>
      <c r="F181" s="1548" t="s">
        <v>4678</v>
      </c>
      <c r="G181" s="265"/>
      <c r="H181" s="265"/>
      <c r="I181" s="265"/>
      <c r="J181" s="265"/>
      <c r="K181" s="265"/>
      <c r="L181" s="265"/>
      <c r="M181" s="265"/>
      <c r="N181" s="265"/>
      <c r="O181" s="265"/>
      <c r="P181" s="265"/>
      <c r="Q181" s="265"/>
      <c r="R181" s="265"/>
      <c r="S181" s="265"/>
      <c r="T181" s="265"/>
      <c r="U181" s="265"/>
      <c r="V181" s="265"/>
      <c r="W181" s="265"/>
      <c r="X181" s="265"/>
      <c r="Y181" s="265"/>
      <c r="Z181" s="265"/>
      <c r="AA181" s="265"/>
      <c r="AB181" s="265"/>
    </row>
    <row r="182" spans="1:28" ht="13.5" customHeight="1">
      <c r="A182" s="265"/>
      <c r="B182" s="265"/>
      <c r="C182" s="265"/>
      <c r="D182" s="265"/>
      <c r="E182" s="265"/>
      <c r="F182" s="1548"/>
      <c r="G182" s="265"/>
      <c r="H182" s="265"/>
      <c r="I182" s="265"/>
      <c r="J182" s="265"/>
      <c r="K182" s="265"/>
      <c r="L182" s="265"/>
      <c r="M182" s="265"/>
      <c r="N182" s="265"/>
      <c r="O182" s="265"/>
      <c r="P182" s="265"/>
      <c r="Q182" s="265"/>
      <c r="R182" s="265"/>
      <c r="S182" s="265"/>
      <c r="T182" s="265"/>
      <c r="U182" s="265"/>
      <c r="V182" s="265"/>
      <c r="W182" s="265"/>
      <c r="X182" s="265"/>
      <c r="Y182" s="265"/>
      <c r="Z182" s="265"/>
      <c r="AA182" s="265"/>
      <c r="AB182" s="265"/>
    </row>
    <row r="183" spans="1:28" ht="13.5" customHeight="1">
      <c r="A183" s="265"/>
      <c r="B183" s="265"/>
      <c r="C183" s="265"/>
      <c r="D183" s="265"/>
      <c r="E183" s="265"/>
      <c r="F183" s="1548"/>
      <c r="G183" s="265"/>
      <c r="H183" s="265"/>
      <c r="I183" s="265"/>
      <c r="J183" s="265"/>
      <c r="K183" s="265"/>
      <c r="L183" s="265"/>
      <c r="M183" s="265"/>
      <c r="N183" s="265"/>
      <c r="O183" s="265"/>
      <c r="P183" s="265"/>
      <c r="Q183" s="265"/>
      <c r="R183" s="265"/>
      <c r="S183" s="265"/>
      <c r="T183" s="265"/>
      <c r="U183" s="265"/>
      <c r="V183" s="265"/>
      <c r="W183" s="265"/>
      <c r="X183" s="265"/>
      <c r="Y183" s="265"/>
      <c r="Z183" s="265"/>
      <c r="AA183" s="265"/>
      <c r="AB183" s="265"/>
    </row>
    <row r="184" spans="1:28" ht="13.5" customHeight="1">
      <c r="A184" s="265"/>
      <c r="B184" s="265"/>
      <c r="C184" s="265"/>
      <c r="D184" s="265"/>
      <c r="E184" s="265"/>
      <c r="F184" s="1548"/>
      <c r="G184" s="265"/>
      <c r="H184" s="265"/>
      <c r="I184" s="265"/>
      <c r="J184" s="265"/>
      <c r="K184" s="265"/>
      <c r="L184" s="265"/>
      <c r="M184" s="265"/>
      <c r="N184" s="265"/>
      <c r="O184" s="265"/>
      <c r="P184" s="265"/>
      <c r="Q184" s="265"/>
      <c r="R184" s="265"/>
      <c r="S184" s="265"/>
      <c r="T184" s="265"/>
      <c r="U184" s="265"/>
      <c r="V184" s="265"/>
      <c r="W184" s="265"/>
      <c r="X184" s="265"/>
      <c r="Y184" s="265"/>
      <c r="Z184" s="265"/>
      <c r="AA184" s="265"/>
      <c r="AB184" s="265"/>
    </row>
    <row r="185" spans="1:28" ht="13.5" customHeight="1">
      <c r="A185" s="265"/>
      <c r="B185" s="265"/>
      <c r="C185" s="265"/>
      <c r="D185" s="265"/>
      <c r="E185" s="265"/>
      <c r="F185" s="1548"/>
      <c r="G185" s="265"/>
      <c r="H185" s="265"/>
      <c r="I185" s="265"/>
      <c r="J185" s="265"/>
      <c r="K185" s="265"/>
      <c r="L185" s="265"/>
      <c r="M185" s="265"/>
      <c r="N185" s="265"/>
      <c r="O185" s="265"/>
      <c r="P185" s="265"/>
      <c r="Q185" s="265"/>
      <c r="R185" s="265"/>
      <c r="S185" s="265"/>
      <c r="T185" s="265"/>
      <c r="U185" s="265"/>
      <c r="V185" s="265"/>
      <c r="W185" s="265"/>
      <c r="X185" s="265"/>
      <c r="Y185" s="265"/>
      <c r="Z185" s="265"/>
      <c r="AA185" s="265"/>
      <c r="AB185" s="265"/>
    </row>
    <row r="186" spans="1:28" ht="13.5" customHeight="1">
      <c r="A186" s="265"/>
      <c r="B186" s="265"/>
      <c r="C186" s="265"/>
      <c r="D186" s="265"/>
      <c r="E186" s="265"/>
      <c r="F186" s="1548"/>
      <c r="G186" s="265"/>
      <c r="H186" s="265"/>
      <c r="I186" s="265"/>
      <c r="J186" s="265"/>
      <c r="K186" s="265"/>
      <c r="L186" s="265"/>
      <c r="M186" s="265"/>
      <c r="N186" s="265"/>
      <c r="O186" s="265"/>
      <c r="P186" s="265"/>
      <c r="Q186" s="265"/>
      <c r="R186" s="265"/>
      <c r="S186" s="265"/>
      <c r="T186" s="265"/>
      <c r="U186" s="265"/>
      <c r="V186" s="265"/>
      <c r="W186" s="265"/>
      <c r="X186" s="265"/>
      <c r="Y186" s="265"/>
      <c r="Z186" s="265"/>
      <c r="AA186" s="265"/>
      <c r="AB186" s="265"/>
    </row>
    <row r="187" spans="1:28" ht="13.5" customHeight="1">
      <c r="A187" s="265"/>
      <c r="B187" s="265"/>
      <c r="C187" s="265"/>
      <c r="D187" s="265"/>
      <c r="E187" s="265"/>
      <c r="F187" s="1548"/>
      <c r="G187" s="265"/>
      <c r="H187" s="265"/>
      <c r="I187" s="265"/>
      <c r="J187" s="265"/>
      <c r="K187" s="265"/>
      <c r="L187" s="265"/>
      <c r="M187" s="265"/>
      <c r="N187" s="265"/>
      <c r="O187" s="265"/>
      <c r="P187" s="265"/>
      <c r="Q187" s="265"/>
      <c r="R187" s="265"/>
      <c r="S187" s="265"/>
      <c r="T187" s="265"/>
      <c r="U187" s="265"/>
      <c r="V187" s="265"/>
      <c r="W187" s="265"/>
      <c r="X187" s="265"/>
      <c r="Y187" s="265"/>
      <c r="Z187" s="265"/>
      <c r="AA187" s="265"/>
      <c r="AB187" s="265"/>
    </row>
    <row r="188" spans="1:28" ht="13.5" customHeight="1">
      <c r="A188" s="265"/>
      <c r="B188" s="265"/>
      <c r="C188" s="265"/>
      <c r="D188" s="265"/>
      <c r="E188" s="265"/>
      <c r="F188" s="1548"/>
      <c r="G188" s="265"/>
      <c r="H188" s="265"/>
      <c r="I188" s="265"/>
      <c r="J188" s="265"/>
      <c r="K188" s="265"/>
      <c r="L188" s="265"/>
      <c r="M188" s="265"/>
      <c r="N188" s="265"/>
      <c r="O188" s="265"/>
      <c r="P188" s="265"/>
      <c r="Q188" s="265"/>
      <c r="R188" s="265"/>
      <c r="S188" s="265"/>
      <c r="T188" s="265"/>
      <c r="U188" s="265"/>
      <c r="V188" s="265"/>
      <c r="W188" s="265"/>
      <c r="X188" s="265"/>
      <c r="Y188" s="265"/>
      <c r="Z188" s="265"/>
      <c r="AA188" s="265"/>
      <c r="AB188" s="265"/>
    </row>
    <row r="189" spans="1:28" ht="13.5" customHeight="1">
      <c r="A189" s="265"/>
      <c r="B189" s="265"/>
      <c r="C189" s="265"/>
      <c r="D189" s="265"/>
      <c r="E189" s="265"/>
      <c r="F189" s="1548"/>
      <c r="G189" s="265"/>
      <c r="H189" s="265"/>
      <c r="I189" s="265"/>
      <c r="J189" s="265"/>
      <c r="K189" s="265"/>
      <c r="L189" s="265"/>
      <c r="M189" s="265"/>
      <c r="N189" s="265"/>
      <c r="O189" s="265"/>
      <c r="P189" s="265"/>
      <c r="Q189" s="265"/>
      <c r="R189" s="265"/>
      <c r="S189" s="265"/>
      <c r="T189" s="265"/>
      <c r="U189" s="265"/>
      <c r="V189" s="265"/>
      <c r="W189" s="265"/>
      <c r="X189" s="265"/>
      <c r="Y189" s="265"/>
      <c r="Z189" s="265"/>
      <c r="AA189" s="265"/>
      <c r="AB189" s="265"/>
    </row>
    <row r="190" spans="1:28" ht="13.5" customHeight="1">
      <c r="A190" s="265"/>
      <c r="B190" s="265"/>
      <c r="C190" s="265"/>
      <c r="D190" s="265"/>
      <c r="E190" s="265"/>
      <c r="F190" s="1548"/>
      <c r="G190" s="265"/>
      <c r="H190" s="265"/>
      <c r="I190" s="265"/>
      <c r="J190" s="265"/>
      <c r="K190" s="265"/>
      <c r="L190" s="265"/>
      <c r="M190" s="265"/>
      <c r="N190" s="265"/>
      <c r="O190" s="265"/>
      <c r="P190" s="265"/>
      <c r="Q190" s="265"/>
      <c r="R190" s="265"/>
      <c r="S190" s="265"/>
      <c r="T190" s="265"/>
      <c r="U190" s="265"/>
      <c r="V190" s="265"/>
      <c r="W190" s="265"/>
      <c r="X190" s="265"/>
      <c r="Y190" s="265"/>
      <c r="Z190" s="265"/>
      <c r="AA190" s="265"/>
      <c r="AB190" s="265"/>
    </row>
    <row r="191" spans="1:28" ht="13.5" customHeight="1">
      <c r="A191" s="265"/>
      <c r="B191" s="265"/>
      <c r="C191" s="265"/>
      <c r="D191" s="265"/>
      <c r="E191" s="265"/>
      <c r="F191" s="1548"/>
      <c r="G191" s="265"/>
      <c r="H191" s="265"/>
      <c r="I191" s="265"/>
      <c r="J191" s="265"/>
      <c r="K191" s="265"/>
      <c r="L191" s="265"/>
      <c r="M191" s="265"/>
      <c r="N191" s="265"/>
      <c r="O191" s="265"/>
      <c r="P191" s="265"/>
      <c r="Q191" s="265"/>
      <c r="R191" s="265"/>
      <c r="S191" s="265"/>
      <c r="T191" s="265"/>
      <c r="U191" s="265"/>
      <c r="V191" s="265"/>
      <c r="W191" s="265"/>
      <c r="X191" s="265"/>
      <c r="Y191" s="265"/>
      <c r="Z191" s="265"/>
      <c r="AA191" s="265"/>
      <c r="AB191" s="265"/>
    </row>
    <row r="192" spans="1:28" ht="13.5" customHeight="1">
      <c r="A192" s="265"/>
      <c r="B192" s="265"/>
      <c r="C192" s="265"/>
      <c r="D192" s="265"/>
      <c r="E192" s="265"/>
      <c r="F192" s="1548"/>
      <c r="G192" s="265"/>
      <c r="H192" s="265"/>
      <c r="I192" s="265"/>
      <c r="J192" s="265"/>
      <c r="K192" s="265"/>
      <c r="L192" s="265"/>
      <c r="M192" s="265"/>
      <c r="N192" s="265"/>
      <c r="O192" s="265"/>
      <c r="P192" s="265"/>
      <c r="Q192" s="265"/>
      <c r="R192" s="265"/>
      <c r="S192" s="265"/>
      <c r="T192" s="265"/>
      <c r="U192" s="265"/>
      <c r="V192" s="265"/>
      <c r="W192" s="265"/>
      <c r="X192" s="265"/>
      <c r="Y192" s="265"/>
      <c r="Z192" s="265"/>
      <c r="AA192" s="265"/>
      <c r="AB192" s="265"/>
    </row>
    <row r="193" spans="1:28" ht="13.5" customHeight="1">
      <c r="A193" s="265"/>
      <c r="B193" s="265"/>
      <c r="C193" s="265"/>
      <c r="D193" s="265"/>
      <c r="E193" s="265"/>
      <c r="F193" s="1548"/>
      <c r="G193" s="265"/>
      <c r="H193" s="265"/>
      <c r="I193" s="265"/>
      <c r="J193" s="265"/>
      <c r="K193" s="265"/>
      <c r="L193" s="265"/>
      <c r="M193" s="265"/>
      <c r="N193" s="265"/>
      <c r="O193" s="265"/>
      <c r="P193" s="265"/>
      <c r="Q193" s="265"/>
      <c r="R193" s="265"/>
      <c r="S193" s="265"/>
      <c r="T193" s="265"/>
      <c r="U193" s="265"/>
      <c r="V193" s="265"/>
      <c r="W193" s="265"/>
      <c r="X193" s="265"/>
      <c r="Y193" s="265"/>
      <c r="Z193" s="265"/>
      <c r="AA193" s="265"/>
      <c r="AB193" s="265"/>
    </row>
    <row r="194" spans="1:28" ht="13.5" customHeight="1">
      <c r="A194" s="265"/>
      <c r="B194" s="265"/>
      <c r="C194" s="265"/>
      <c r="D194" s="265"/>
      <c r="E194" s="265"/>
      <c r="F194" s="1548"/>
      <c r="G194" s="265"/>
      <c r="H194" s="265"/>
      <c r="I194" s="265"/>
      <c r="J194" s="265"/>
      <c r="K194" s="265"/>
      <c r="L194" s="265"/>
      <c r="M194" s="265"/>
      <c r="N194" s="265"/>
      <c r="O194" s="265"/>
      <c r="P194" s="265"/>
      <c r="Q194" s="265"/>
      <c r="R194" s="265"/>
      <c r="S194" s="265"/>
      <c r="T194" s="265"/>
      <c r="U194" s="265"/>
      <c r="V194" s="265"/>
      <c r="W194" s="265"/>
      <c r="X194" s="265"/>
      <c r="Y194" s="265"/>
      <c r="Z194" s="265"/>
      <c r="AA194" s="265"/>
      <c r="AB194" s="265"/>
    </row>
    <row r="195" spans="1:28" ht="13.5" customHeight="1">
      <c r="A195" s="265"/>
      <c r="B195" s="265"/>
      <c r="C195" s="265"/>
      <c r="D195" s="265"/>
      <c r="E195" s="265"/>
      <c r="F195" s="1548"/>
      <c r="G195" s="265"/>
      <c r="H195" s="265"/>
      <c r="I195" s="265"/>
      <c r="J195" s="265"/>
      <c r="K195" s="265"/>
      <c r="L195" s="265"/>
      <c r="M195" s="265"/>
      <c r="N195" s="265"/>
      <c r="O195" s="265"/>
      <c r="P195" s="265"/>
      <c r="Q195" s="265"/>
      <c r="R195" s="265"/>
      <c r="S195" s="265"/>
      <c r="T195" s="265"/>
      <c r="U195" s="265"/>
      <c r="V195" s="265"/>
      <c r="W195" s="265"/>
      <c r="X195" s="265"/>
      <c r="Y195" s="265"/>
      <c r="Z195" s="265"/>
      <c r="AA195" s="265"/>
      <c r="AB195" s="265"/>
    </row>
    <row r="196" spans="1:28" ht="13.5" customHeight="1">
      <c r="A196" s="265"/>
      <c r="B196" s="265"/>
      <c r="C196" s="265"/>
      <c r="D196" s="265"/>
      <c r="E196" s="265"/>
      <c r="F196" s="1548"/>
      <c r="G196" s="265"/>
      <c r="H196" s="265"/>
      <c r="I196" s="265"/>
      <c r="J196" s="265"/>
      <c r="K196" s="265"/>
      <c r="L196" s="265"/>
      <c r="M196" s="265"/>
      <c r="N196" s="265"/>
      <c r="O196" s="265"/>
      <c r="P196" s="265"/>
      <c r="Q196" s="265"/>
      <c r="R196" s="265"/>
      <c r="S196" s="265"/>
      <c r="T196" s="265"/>
      <c r="U196" s="265"/>
      <c r="V196" s="265"/>
      <c r="W196" s="265"/>
      <c r="X196" s="265"/>
      <c r="Y196" s="265"/>
      <c r="Z196" s="265"/>
      <c r="AA196" s="265"/>
      <c r="AB196" s="265"/>
    </row>
    <row r="197" spans="1:28" ht="13.5" customHeight="1">
      <c r="A197" s="265"/>
      <c r="B197" s="265"/>
      <c r="C197" s="265"/>
      <c r="D197" s="265"/>
      <c r="E197" s="265"/>
      <c r="F197" s="1548"/>
      <c r="G197" s="265"/>
      <c r="H197" s="265"/>
      <c r="I197" s="265"/>
      <c r="J197" s="265"/>
      <c r="K197" s="265"/>
      <c r="L197" s="265"/>
      <c r="M197" s="265"/>
      <c r="N197" s="265"/>
      <c r="O197" s="265"/>
      <c r="P197" s="265"/>
      <c r="Q197" s="265"/>
      <c r="R197" s="265"/>
      <c r="S197" s="265"/>
      <c r="T197" s="265"/>
      <c r="U197" s="265"/>
      <c r="V197" s="265"/>
      <c r="W197" s="265"/>
      <c r="X197" s="265"/>
      <c r="Y197" s="265"/>
      <c r="Z197" s="265"/>
      <c r="AA197" s="265"/>
      <c r="AB197" s="265"/>
    </row>
    <row r="198" spans="1:28" ht="13.5" customHeight="1">
      <c r="A198" s="265"/>
      <c r="B198" s="265"/>
      <c r="C198" s="265"/>
      <c r="D198" s="265"/>
      <c r="E198" s="265"/>
      <c r="F198" s="1548"/>
      <c r="G198" s="265"/>
      <c r="H198" s="265"/>
      <c r="I198" s="265"/>
      <c r="J198" s="265"/>
      <c r="K198" s="265"/>
      <c r="L198" s="265"/>
      <c r="M198" s="265"/>
      <c r="N198" s="265"/>
      <c r="O198" s="265"/>
      <c r="P198" s="265"/>
      <c r="Q198" s="265"/>
      <c r="R198" s="265"/>
      <c r="S198" s="265"/>
      <c r="T198" s="265"/>
      <c r="U198" s="265"/>
      <c r="V198" s="265"/>
      <c r="W198" s="265"/>
      <c r="X198" s="265"/>
      <c r="Y198" s="265"/>
      <c r="Z198" s="265"/>
      <c r="AA198" s="265"/>
      <c r="AB198" s="265"/>
    </row>
    <row r="199" spans="1:28" ht="13.5" customHeight="1">
      <c r="A199" s="265"/>
      <c r="B199" s="265"/>
      <c r="C199" s="265"/>
      <c r="D199" s="265"/>
      <c r="E199" s="265"/>
      <c r="F199" s="1548"/>
      <c r="G199" s="265"/>
      <c r="H199" s="265"/>
      <c r="I199" s="265"/>
      <c r="J199" s="265"/>
      <c r="K199" s="265"/>
      <c r="L199" s="265"/>
      <c r="M199" s="265"/>
      <c r="N199" s="265"/>
      <c r="O199" s="265"/>
      <c r="P199" s="265"/>
      <c r="Q199" s="265"/>
      <c r="R199" s="265"/>
      <c r="S199" s="265"/>
      <c r="T199" s="265"/>
      <c r="U199" s="265"/>
      <c r="V199" s="265"/>
      <c r="W199" s="265"/>
      <c r="X199" s="265"/>
      <c r="Y199" s="265"/>
      <c r="Z199" s="265"/>
      <c r="AA199" s="265"/>
      <c r="AB199" s="265"/>
    </row>
    <row r="200" spans="1:28" ht="13.5" customHeight="1">
      <c r="A200" s="265"/>
      <c r="B200" s="265"/>
      <c r="C200" s="265"/>
      <c r="D200" s="265"/>
      <c r="E200" s="265"/>
      <c r="F200" s="265"/>
      <c r="G200" s="265"/>
      <c r="H200" s="265"/>
      <c r="I200" s="265"/>
      <c r="J200" s="265"/>
      <c r="K200" s="265"/>
      <c r="L200" s="265"/>
      <c r="M200" s="265"/>
      <c r="N200" s="265"/>
      <c r="O200" s="265"/>
      <c r="P200" s="265"/>
      <c r="Q200" s="265"/>
      <c r="R200" s="265"/>
      <c r="S200" s="265"/>
      <c r="T200" s="265"/>
      <c r="U200" s="265"/>
      <c r="V200" s="265"/>
      <c r="W200" s="265"/>
      <c r="X200" s="265"/>
      <c r="Y200" s="265"/>
      <c r="Z200" s="265"/>
      <c r="AA200" s="265"/>
      <c r="AB200" s="265"/>
    </row>
    <row r="201" spans="1:28" ht="13.5" customHeight="1">
      <c r="A201" s="265"/>
      <c r="B201" s="265"/>
      <c r="C201" s="265"/>
      <c r="D201" s="265"/>
      <c r="E201" s="265"/>
      <c r="F201" s="265"/>
      <c r="G201" s="265"/>
      <c r="H201" s="265"/>
      <c r="I201" s="265"/>
      <c r="J201" s="265"/>
      <c r="K201" s="265"/>
      <c r="L201" s="265"/>
      <c r="M201" s="265"/>
      <c r="N201" s="265"/>
      <c r="O201" s="265"/>
      <c r="P201" s="265"/>
      <c r="Q201" s="265"/>
      <c r="R201" s="265"/>
      <c r="S201" s="265"/>
      <c r="T201" s="265"/>
      <c r="U201" s="265"/>
      <c r="V201" s="265"/>
      <c r="W201" s="265"/>
      <c r="X201" s="265"/>
      <c r="Y201" s="265"/>
      <c r="Z201" s="265"/>
      <c r="AA201" s="265"/>
      <c r="AB201" s="265"/>
    </row>
    <row r="202" spans="1:28" ht="13.5" customHeight="1">
      <c r="A202" s="265"/>
      <c r="B202" s="265"/>
      <c r="C202" s="265"/>
      <c r="D202" s="265"/>
      <c r="E202" s="265"/>
      <c r="F202" s="265"/>
      <c r="G202" s="265"/>
      <c r="H202" s="265"/>
      <c r="I202" s="265"/>
      <c r="J202" s="265"/>
      <c r="K202" s="265"/>
      <c r="L202" s="265"/>
      <c r="M202" s="265"/>
      <c r="N202" s="265"/>
      <c r="O202" s="265"/>
      <c r="P202" s="265"/>
      <c r="Q202" s="265"/>
      <c r="R202" s="265"/>
      <c r="S202" s="265"/>
      <c r="T202" s="265"/>
      <c r="U202" s="265"/>
      <c r="V202" s="265"/>
      <c r="W202" s="265"/>
      <c r="X202" s="265"/>
      <c r="Y202" s="265"/>
      <c r="Z202" s="265"/>
      <c r="AA202" s="265"/>
      <c r="AB202" s="265"/>
    </row>
    <row r="203" spans="1:28" ht="13.5" customHeight="1">
      <c r="A203" s="265"/>
      <c r="B203" s="265"/>
      <c r="C203" s="265"/>
      <c r="D203" s="265"/>
      <c r="E203" s="265"/>
      <c r="F203" s="265"/>
      <c r="G203" s="265"/>
      <c r="H203" s="265"/>
      <c r="I203" s="265"/>
      <c r="J203" s="265"/>
      <c r="K203" s="265"/>
      <c r="L203" s="265"/>
      <c r="M203" s="265"/>
      <c r="N203" s="265"/>
      <c r="O203" s="265"/>
      <c r="P203" s="265"/>
      <c r="Q203" s="265"/>
      <c r="R203" s="265"/>
      <c r="S203" s="265"/>
      <c r="T203" s="265"/>
      <c r="U203" s="265"/>
      <c r="V203" s="265"/>
      <c r="W203" s="265"/>
      <c r="X203" s="265"/>
      <c r="Y203" s="265"/>
      <c r="Z203" s="265"/>
      <c r="AA203" s="265"/>
      <c r="AB203" s="265"/>
    </row>
    <row r="204" spans="1:28" ht="13.5" customHeight="1">
      <c r="A204" s="265"/>
      <c r="B204" s="265"/>
      <c r="C204" s="265"/>
      <c r="D204" s="265"/>
      <c r="E204" s="265"/>
      <c r="F204" s="265"/>
      <c r="G204" s="265"/>
      <c r="H204" s="265"/>
      <c r="I204" s="265"/>
      <c r="J204" s="265"/>
      <c r="K204" s="265"/>
      <c r="L204" s="265"/>
      <c r="M204" s="265"/>
      <c r="N204" s="265"/>
      <c r="O204" s="265"/>
      <c r="P204" s="265"/>
      <c r="Q204" s="265"/>
      <c r="R204" s="265"/>
      <c r="S204" s="265"/>
      <c r="T204" s="265"/>
      <c r="U204" s="265"/>
      <c r="V204" s="265"/>
      <c r="W204" s="265"/>
      <c r="X204" s="265"/>
      <c r="Y204" s="265"/>
      <c r="Z204" s="265"/>
      <c r="AA204" s="265"/>
      <c r="AB204" s="265"/>
    </row>
    <row r="205" spans="1:28" ht="13.5" customHeight="1">
      <c r="A205" s="265"/>
      <c r="B205" s="265"/>
      <c r="C205" s="265"/>
      <c r="D205" s="265"/>
      <c r="E205" s="265"/>
      <c r="F205" s="265"/>
      <c r="G205" s="265"/>
      <c r="H205" s="265"/>
      <c r="I205" s="265"/>
      <c r="J205" s="265"/>
      <c r="K205" s="265"/>
      <c r="L205" s="265"/>
      <c r="M205" s="265"/>
      <c r="N205" s="265"/>
      <c r="O205" s="265"/>
      <c r="P205" s="265"/>
      <c r="Q205" s="265"/>
      <c r="R205" s="265"/>
      <c r="S205" s="265"/>
      <c r="T205" s="265"/>
      <c r="U205" s="265"/>
      <c r="V205" s="265"/>
      <c r="W205" s="265"/>
      <c r="X205" s="265"/>
      <c r="Y205" s="265"/>
      <c r="Z205" s="265"/>
      <c r="AA205" s="265"/>
      <c r="AB205" s="265"/>
    </row>
    <row r="206" spans="1:28" ht="13.5" customHeight="1">
      <c r="A206" s="265"/>
      <c r="B206" s="265"/>
      <c r="C206" s="265"/>
      <c r="D206" s="265"/>
      <c r="E206" s="265"/>
      <c r="F206" s="265"/>
      <c r="G206" s="265"/>
      <c r="H206" s="265"/>
      <c r="I206" s="265"/>
      <c r="J206" s="265"/>
      <c r="K206" s="265"/>
      <c r="L206" s="265"/>
      <c r="M206" s="265"/>
      <c r="N206" s="265"/>
      <c r="O206" s="265"/>
      <c r="P206" s="265"/>
      <c r="Q206" s="265"/>
      <c r="R206" s="265"/>
      <c r="S206" s="265"/>
      <c r="T206" s="265"/>
      <c r="U206" s="265"/>
      <c r="V206" s="265"/>
      <c r="W206" s="265"/>
      <c r="X206" s="265"/>
      <c r="Y206" s="265"/>
      <c r="Z206" s="265"/>
      <c r="AA206" s="265"/>
      <c r="AB206" s="265"/>
    </row>
    <row r="207" spans="1:28" ht="13.5" customHeight="1">
      <c r="A207" s="265"/>
      <c r="B207" s="265"/>
      <c r="C207" s="265"/>
      <c r="D207" s="265"/>
      <c r="E207" s="265"/>
      <c r="F207" s="265"/>
      <c r="G207" s="265"/>
      <c r="H207" s="265"/>
      <c r="I207" s="265"/>
      <c r="J207" s="265"/>
      <c r="K207" s="265"/>
      <c r="L207" s="265"/>
      <c r="M207" s="265"/>
      <c r="N207" s="265"/>
      <c r="O207" s="265"/>
      <c r="P207" s="265"/>
      <c r="Q207" s="265"/>
      <c r="R207" s="265"/>
      <c r="S207" s="265"/>
      <c r="T207" s="265"/>
      <c r="U207" s="265"/>
      <c r="V207" s="265"/>
      <c r="W207" s="265"/>
      <c r="X207" s="265"/>
      <c r="Y207" s="265"/>
      <c r="Z207" s="265"/>
      <c r="AA207" s="265"/>
      <c r="AB207" s="265"/>
    </row>
    <row r="208" spans="1:28" ht="13.5" customHeight="1">
      <c r="A208" s="265"/>
      <c r="B208" s="265"/>
      <c r="C208" s="265"/>
      <c r="D208" s="265"/>
      <c r="E208" s="265"/>
      <c r="F208" s="265"/>
      <c r="G208" s="265"/>
      <c r="H208" s="265"/>
      <c r="I208" s="265"/>
      <c r="J208" s="265"/>
      <c r="K208" s="265"/>
      <c r="L208" s="265"/>
      <c r="M208" s="265"/>
      <c r="N208" s="265"/>
      <c r="O208" s="265"/>
      <c r="P208" s="265"/>
      <c r="Q208" s="265"/>
      <c r="R208" s="265"/>
      <c r="S208" s="265"/>
      <c r="T208" s="265"/>
      <c r="U208" s="265"/>
      <c r="V208" s="265"/>
      <c r="W208" s="265"/>
      <c r="X208" s="265"/>
      <c r="Y208" s="265"/>
      <c r="Z208" s="265"/>
      <c r="AA208" s="265"/>
      <c r="AB208" s="265"/>
    </row>
    <row r="209" spans="1:28" ht="13.5" customHeight="1">
      <c r="A209" s="265"/>
      <c r="B209" s="265"/>
      <c r="C209" s="265"/>
      <c r="D209" s="265"/>
      <c r="E209" s="265"/>
      <c r="F209" s="265"/>
      <c r="G209" s="265"/>
      <c r="H209" s="265"/>
      <c r="I209" s="265"/>
      <c r="J209" s="265"/>
      <c r="K209" s="265"/>
      <c r="L209" s="265"/>
      <c r="M209" s="265"/>
      <c r="N209" s="265"/>
      <c r="O209" s="265"/>
      <c r="P209" s="265"/>
      <c r="Q209" s="265"/>
      <c r="R209" s="265"/>
      <c r="S209" s="265"/>
      <c r="T209" s="265"/>
      <c r="U209" s="265"/>
      <c r="V209" s="265"/>
      <c r="W209" s="265"/>
      <c r="X209" s="265"/>
      <c r="Y209" s="265"/>
      <c r="Z209" s="265"/>
      <c r="AA209" s="265"/>
      <c r="AB209" s="265"/>
    </row>
    <row r="210" spans="1:28" ht="13.5" customHeight="1">
      <c r="A210" s="265"/>
      <c r="B210" s="265"/>
      <c r="C210" s="265"/>
      <c r="D210" s="265"/>
      <c r="E210" s="265"/>
      <c r="F210" s="265"/>
      <c r="G210" s="265"/>
      <c r="H210" s="265"/>
      <c r="I210" s="265"/>
      <c r="J210" s="265"/>
      <c r="K210" s="265"/>
      <c r="L210" s="265"/>
      <c r="M210" s="265"/>
      <c r="N210" s="265"/>
      <c r="O210" s="265"/>
      <c r="P210" s="265"/>
      <c r="Q210" s="265"/>
      <c r="R210" s="265"/>
      <c r="S210" s="265"/>
      <c r="T210" s="265"/>
      <c r="U210" s="265"/>
      <c r="V210" s="265"/>
      <c r="W210" s="265"/>
      <c r="X210" s="265"/>
      <c r="Y210" s="265"/>
      <c r="Z210" s="265"/>
      <c r="AA210" s="265"/>
      <c r="AB210" s="265"/>
    </row>
    <row r="211" spans="1:28" ht="13.5" customHeight="1">
      <c r="A211" s="265"/>
      <c r="B211" s="265"/>
      <c r="C211" s="265"/>
      <c r="D211" s="265"/>
      <c r="E211" s="265"/>
      <c r="F211" s="265"/>
      <c r="G211" s="265"/>
      <c r="H211" s="265"/>
      <c r="I211" s="265"/>
      <c r="J211" s="265"/>
      <c r="K211" s="265"/>
      <c r="L211" s="265"/>
      <c r="M211" s="265"/>
      <c r="N211" s="265"/>
      <c r="O211" s="265"/>
      <c r="P211" s="265"/>
      <c r="Q211" s="265"/>
      <c r="R211" s="265"/>
      <c r="S211" s="265"/>
      <c r="T211" s="265"/>
      <c r="U211" s="265"/>
      <c r="V211" s="265"/>
      <c r="W211" s="265"/>
      <c r="X211" s="265"/>
      <c r="Y211" s="265"/>
      <c r="Z211" s="265"/>
      <c r="AA211" s="265"/>
      <c r="AB211" s="265"/>
    </row>
    <row r="212" spans="1:28" ht="13.5" customHeight="1">
      <c r="A212" s="265"/>
      <c r="B212" s="265"/>
      <c r="C212" s="265"/>
      <c r="D212" s="265"/>
      <c r="E212" s="265"/>
      <c r="F212" s="265"/>
      <c r="G212" s="265"/>
      <c r="H212" s="265"/>
      <c r="I212" s="265"/>
      <c r="J212" s="265"/>
      <c r="K212" s="265"/>
      <c r="L212" s="265"/>
      <c r="M212" s="265"/>
      <c r="N212" s="265"/>
      <c r="O212" s="265"/>
      <c r="P212" s="265"/>
      <c r="Q212" s="265"/>
      <c r="R212" s="265"/>
      <c r="S212" s="265"/>
      <c r="T212" s="265"/>
      <c r="U212" s="265"/>
      <c r="V212" s="265"/>
      <c r="W212" s="265"/>
      <c r="X212" s="265"/>
      <c r="Y212" s="265"/>
      <c r="Z212" s="265"/>
      <c r="AA212" s="265"/>
      <c r="AB212" s="265"/>
    </row>
    <row r="213" spans="1:28" ht="13.5" customHeight="1">
      <c r="A213" s="265"/>
      <c r="B213" s="265"/>
      <c r="C213" s="265"/>
      <c r="D213" s="265"/>
      <c r="E213" s="265"/>
      <c r="F213" s="265"/>
      <c r="G213" s="265"/>
      <c r="H213" s="265"/>
      <c r="I213" s="265"/>
      <c r="J213" s="265"/>
      <c r="K213" s="265"/>
      <c r="L213" s="265"/>
      <c r="M213" s="265"/>
      <c r="N213" s="265"/>
      <c r="O213" s="265"/>
      <c r="P213" s="265"/>
      <c r="Q213" s="265"/>
      <c r="R213" s="265"/>
      <c r="S213" s="265"/>
      <c r="T213" s="265"/>
      <c r="U213" s="265"/>
      <c r="V213" s="265"/>
      <c r="W213" s="265"/>
      <c r="X213" s="265"/>
      <c r="Y213" s="265"/>
      <c r="Z213" s="265"/>
      <c r="AA213" s="265"/>
      <c r="AB213" s="265"/>
    </row>
    <row r="214" spans="1:28" ht="13.5" customHeight="1">
      <c r="A214" s="265"/>
      <c r="B214" s="265"/>
      <c r="C214" s="265"/>
      <c r="D214" s="265"/>
      <c r="E214" s="265"/>
      <c r="F214" s="265"/>
      <c r="G214" s="265"/>
      <c r="H214" s="265"/>
      <c r="I214" s="265"/>
      <c r="J214" s="265"/>
      <c r="K214" s="265"/>
      <c r="L214" s="265"/>
      <c r="M214" s="265"/>
      <c r="N214" s="265"/>
      <c r="O214" s="265"/>
      <c r="P214" s="265"/>
      <c r="Q214" s="265"/>
      <c r="R214" s="265"/>
      <c r="S214" s="265"/>
      <c r="T214" s="265"/>
      <c r="U214" s="265"/>
      <c r="V214" s="265"/>
      <c r="W214" s="265"/>
      <c r="X214" s="265"/>
      <c r="Y214" s="265"/>
      <c r="Z214" s="265"/>
      <c r="AA214" s="265"/>
      <c r="AB214" s="265"/>
    </row>
    <row r="215" spans="1:28" ht="13.5" customHeight="1">
      <c r="A215" s="265"/>
      <c r="B215" s="265"/>
      <c r="C215" s="265"/>
      <c r="D215" s="265"/>
      <c r="E215" s="265"/>
      <c r="F215" s="265"/>
      <c r="G215" s="265"/>
      <c r="H215" s="265"/>
      <c r="I215" s="265"/>
      <c r="J215" s="265"/>
      <c r="K215" s="265"/>
      <c r="L215" s="265"/>
      <c r="M215" s="265"/>
      <c r="N215" s="265"/>
      <c r="O215" s="265"/>
      <c r="P215" s="265"/>
      <c r="Q215" s="265"/>
      <c r="R215" s="265"/>
      <c r="S215" s="265"/>
      <c r="T215" s="265"/>
      <c r="U215" s="265"/>
      <c r="V215" s="265"/>
      <c r="W215" s="265"/>
      <c r="X215" s="265"/>
      <c r="Y215" s="265"/>
      <c r="Z215" s="265"/>
      <c r="AA215" s="265"/>
      <c r="AB215" s="265"/>
    </row>
    <row r="216" spans="1:28" ht="13.5" customHeight="1">
      <c r="A216" s="265"/>
      <c r="B216" s="265"/>
      <c r="C216" s="265"/>
      <c r="D216" s="265"/>
      <c r="E216" s="265"/>
      <c r="F216" s="265"/>
      <c r="G216" s="265"/>
      <c r="H216" s="265"/>
      <c r="I216" s="265"/>
      <c r="J216" s="265"/>
      <c r="K216" s="265"/>
      <c r="L216" s="265"/>
      <c r="M216" s="265"/>
      <c r="N216" s="265"/>
      <c r="O216" s="265"/>
      <c r="P216" s="265"/>
      <c r="Q216" s="265"/>
      <c r="R216" s="265"/>
      <c r="S216" s="265"/>
      <c r="T216" s="265"/>
      <c r="U216" s="265"/>
      <c r="V216" s="265"/>
      <c r="W216" s="265"/>
      <c r="X216" s="265"/>
      <c r="Y216" s="265"/>
      <c r="Z216" s="265"/>
      <c r="AA216" s="265"/>
      <c r="AB216" s="265"/>
    </row>
    <row r="217" spans="1:28" ht="13.5" customHeight="1">
      <c r="A217" s="265"/>
      <c r="B217" s="265"/>
      <c r="C217" s="265"/>
      <c r="D217" s="265"/>
      <c r="E217" s="265"/>
      <c r="F217" s="265"/>
      <c r="G217" s="265"/>
      <c r="H217" s="265"/>
      <c r="I217" s="265"/>
      <c r="J217" s="265"/>
      <c r="K217" s="265"/>
      <c r="L217" s="265"/>
      <c r="M217" s="265"/>
      <c r="N217" s="265"/>
      <c r="O217" s="265"/>
      <c r="P217" s="265"/>
      <c r="Q217" s="265"/>
      <c r="R217" s="265"/>
      <c r="S217" s="265"/>
      <c r="T217" s="265"/>
      <c r="U217" s="265"/>
      <c r="V217" s="265"/>
      <c r="W217" s="265"/>
      <c r="X217" s="265"/>
      <c r="Y217" s="265"/>
      <c r="Z217" s="265"/>
      <c r="AA217" s="265"/>
      <c r="AB217" s="265"/>
    </row>
    <row r="218" spans="1:28" ht="13.5" customHeight="1">
      <c r="A218" s="265"/>
      <c r="B218" s="265"/>
      <c r="C218" s="265"/>
      <c r="D218" s="265"/>
      <c r="E218" s="265"/>
      <c r="F218" s="265"/>
      <c r="G218" s="265"/>
      <c r="H218" s="265"/>
      <c r="I218" s="265"/>
      <c r="J218" s="265"/>
      <c r="K218" s="265"/>
      <c r="L218" s="265"/>
      <c r="M218" s="265"/>
      <c r="N218" s="265"/>
      <c r="O218" s="265"/>
      <c r="P218" s="265"/>
      <c r="Q218" s="265"/>
      <c r="R218" s="265"/>
      <c r="S218" s="265"/>
      <c r="T218" s="265"/>
      <c r="U218" s="265"/>
      <c r="V218" s="265"/>
      <c r="W218" s="265"/>
      <c r="X218" s="265"/>
      <c r="Y218" s="265"/>
      <c r="Z218" s="265"/>
      <c r="AA218" s="265"/>
      <c r="AB218" s="265"/>
    </row>
    <row r="219" spans="1:28" ht="13.5" customHeight="1">
      <c r="A219" s="265"/>
      <c r="B219" s="265"/>
      <c r="C219" s="265"/>
      <c r="D219" s="265"/>
      <c r="E219" s="265"/>
      <c r="F219" s="265"/>
      <c r="G219" s="265"/>
      <c r="H219" s="265"/>
      <c r="I219" s="265"/>
      <c r="J219" s="265"/>
      <c r="K219" s="265"/>
      <c r="L219" s="265"/>
      <c r="M219" s="265"/>
      <c r="N219" s="265"/>
      <c r="O219" s="265"/>
      <c r="P219" s="265"/>
      <c r="Q219" s="265"/>
      <c r="R219" s="265"/>
      <c r="S219" s="265"/>
      <c r="T219" s="265"/>
      <c r="U219" s="265"/>
      <c r="V219" s="265"/>
      <c r="W219" s="265"/>
      <c r="X219" s="265"/>
      <c r="Y219" s="265"/>
      <c r="Z219" s="265"/>
      <c r="AA219" s="265"/>
      <c r="AB219" s="265"/>
    </row>
    <row r="220" spans="1:28" ht="13.5" customHeight="1">
      <c r="A220" s="265"/>
      <c r="B220" s="265"/>
      <c r="C220" s="265"/>
      <c r="D220" s="265"/>
      <c r="E220" s="265"/>
      <c r="F220" s="265"/>
      <c r="G220" s="265"/>
      <c r="H220" s="265"/>
      <c r="I220" s="265"/>
      <c r="J220" s="265"/>
      <c r="K220" s="265"/>
      <c r="L220" s="265"/>
      <c r="M220" s="265"/>
      <c r="N220" s="265"/>
      <c r="O220" s="265"/>
      <c r="P220" s="265"/>
      <c r="Q220" s="265"/>
      <c r="R220" s="265"/>
      <c r="S220" s="265"/>
      <c r="T220" s="265"/>
      <c r="U220" s="265"/>
      <c r="V220" s="265"/>
      <c r="W220" s="265"/>
      <c r="X220" s="265"/>
      <c r="Y220" s="265"/>
      <c r="Z220" s="265"/>
      <c r="AA220" s="265"/>
      <c r="AB220" s="265"/>
    </row>
    <row r="221" spans="1:28" ht="13.5" customHeight="1">
      <c r="A221" s="265"/>
      <c r="B221" s="265"/>
      <c r="C221" s="265"/>
      <c r="D221" s="265"/>
      <c r="E221" s="265"/>
      <c r="F221" s="265"/>
      <c r="G221" s="265"/>
      <c r="H221" s="265"/>
      <c r="I221" s="265"/>
      <c r="J221" s="265"/>
      <c r="K221" s="265"/>
      <c r="L221" s="265"/>
      <c r="M221" s="265"/>
      <c r="N221" s="265"/>
      <c r="O221" s="265"/>
      <c r="P221" s="265"/>
      <c r="Q221" s="265"/>
      <c r="R221" s="265"/>
      <c r="S221" s="265"/>
      <c r="T221" s="265"/>
      <c r="U221" s="265"/>
      <c r="V221" s="265"/>
      <c r="W221" s="265"/>
      <c r="X221" s="265"/>
      <c r="Y221" s="265"/>
      <c r="Z221" s="265"/>
      <c r="AA221" s="265"/>
      <c r="AB221" s="265"/>
    </row>
    <row r="222" spans="1:28" ht="13.5" customHeight="1">
      <c r="A222" s="265"/>
      <c r="B222" s="265"/>
      <c r="C222" s="265"/>
      <c r="D222" s="265"/>
      <c r="E222" s="265"/>
      <c r="F222" s="265"/>
      <c r="G222" s="265"/>
      <c r="H222" s="265"/>
      <c r="I222" s="265"/>
      <c r="J222" s="265"/>
      <c r="K222" s="265"/>
      <c r="L222" s="265"/>
      <c r="M222" s="265"/>
      <c r="N222" s="265"/>
      <c r="O222" s="265"/>
      <c r="P222" s="265"/>
      <c r="Q222" s="265"/>
      <c r="R222" s="265"/>
      <c r="S222" s="265"/>
      <c r="T222" s="265"/>
      <c r="U222" s="265"/>
      <c r="V222" s="265"/>
      <c r="W222" s="265"/>
      <c r="X222" s="265"/>
      <c r="Y222" s="265"/>
      <c r="Z222" s="265"/>
      <c r="AA222" s="265"/>
      <c r="AB222" s="265"/>
    </row>
    <row r="223" spans="1:28" ht="13.5" customHeight="1">
      <c r="A223" s="265"/>
      <c r="B223" s="265"/>
      <c r="C223" s="265"/>
      <c r="D223" s="265"/>
      <c r="E223" s="265"/>
      <c r="F223" s="265"/>
      <c r="G223" s="265"/>
      <c r="H223" s="265"/>
      <c r="I223" s="265"/>
      <c r="J223" s="265"/>
      <c r="K223" s="265"/>
      <c r="L223" s="265"/>
      <c r="M223" s="265"/>
      <c r="N223" s="265"/>
      <c r="O223" s="265"/>
      <c r="P223" s="265"/>
      <c r="Q223" s="265"/>
      <c r="R223" s="265"/>
      <c r="S223" s="265"/>
      <c r="T223" s="265"/>
      <c r="U223" s="265"/>
      <c r="V223" s="265"/>
      <c r="W223" s="265"/>
      <c r="X223" s="265"/>
      <c r="Y223" s="265"/>
      <c r="Z223" s="265"/>
      <c r="AA223" s="265"/>
      <c r="AB223" s="265"/>
    </row>
    <row r="224" spans="1:28" ht="13.5" customHeight="1">
      <c r="A224" s="265"/>
      <c r="B224" s="265"/>
      <c r="C224" s="265"/>
      <c r="D224" s="265"/>
      <c r="E224" s="265"/>
      <c r="F224" s="265"/>
      <c r="G224" s="265"/>
      <c r="H224" s="265"/>
      <c r="I224" s="265"/>
      <c r="J224" s="265"/>
      <c r="K224" s="265"/>
      <c r="L224" s="265"/>
      <c r="M224" s="265"/>
      <c r="N224" s="265"/>
      <c r="O224" s="265"/>
      <c r="P224" s="265"/>
      <c r="Q224" s="265"/>
      <c r="R224" s="265"/>
      <c r="S224" s="265"/>
      <c r="T224" s="265"/>
      <c r="U224" s="265"/>
      <c r="V224" s="265"/>
      <c r="W224" s="265"/>
      <c r="X224" s="265"/>
      <c r="Y224" s="265"/>
      <c r="Z224" s="265"/>
      <c r="AA224" s="265"/>
      <c r="AB224" s="265"/>
    </row>
    <row r="225" spans="1:28" ht="13.5" customHeight="1">
      <c r="A225" s="265"/>
      <c r="B225" s="265"/>
      <c r="C225" s="265"/>
      <c r="D225" s="265"/>
      <c r="E225" s="265"/>
      <c r="F225" s="265"/>
      <c r="G225" s="265"/>
      <c r="H225" s="265"/>
      <c r="I225" s="265"/>
      <c r="J225" s="265"/>
      <c r="K225" s="265"/>
      <c r="L225" s="265"/>
      <c r="M225" s="265"/>
      <c r="N225" s="265"/>
      <c r="O225" s="265"/>
      <c r="P225" s="265"/>
      <c r="Q225" s="265"/>
      <c r="R225" s="265"/>
      <c r="S225" s="265"/>
      <c r="T225" s="265"/>
      <c r="U225" s="265"/>
      <c r="V225" s="265"/>
      <c r="W225" s="265"/>
      <c r="X225" s="265"/>
      <c r="Y225" s="265"/>
      <c r="Z225" s="265"/>
      <c r="AA225" s="265"/>
      <c r="AB225" s="265"/>
    </row>
    <row r="226" spans="1:28" ht="13.5" customHeight="1">
      <c r="A226" s="265"/>
      <c r="B226" s="265"/>
      <c r="C226" s="265"/>
      <c r="D226" s="265"/>
      <c r="E226" s="265"/>
      <c r="F226" s="265"/>
      <c r="G226" s="265"/>
      <c r="H226" s="265"/>
      <c r="I226" s="265"/>
      <c r="J226" s="265"/>
      <c r="K226" s="265"/>
      <c r="L226" s="265"/>
      <c r="M226" s="265"/>
      <c r="N226" s="265"/>
      <c r="O226" s="265"/>
      <c r="P226" s="265"/>
      <c r="Q226" s="265"/>
      <c r="R226" s="265"/>
      <c r="S226" s="265"/>
      <c r="T226" s="265"/>
      <c r="U226" s="265"/>
      <c r="V226" s="265"/>
      <c r="W226" s="265"/>
      <c r="X226" s="265"/>
      <c r="Y226" s="265"/>
      <c r="Z226" s="265"/>
      <c r="AA226" s="265"/>
      <c r="AB226" s="265"/>
    </row>
    <row r="227" spans="1:28" ht="13.5" customHeight="1">
      <c r="A227" s="265"/>
      <c r="B227" s="265"/>
      <c r="C227" s="265"/>
      <c r="D227" s="265"/>
      <c r="E227" s="265"/>
      <c r="F227" s="265"/>
      <c r="G227" s="265"/>
      <c r="H227" s="265"/>
      <c r="I227" s="265"/>
      <c r="J227" s="265"/>
      <c r="K227" s="265"/>
      <c r="L227" s="265"/>
      <c r="M227" s="265"/>
      <c r="N227" s="265"/>
      <c r="O227" s="265"/>
      <c r="P227" s="265"/>
      <c r="Q227" s="265"/>
      <c r="R227" s="265"/>
      <c r="S227" s="265"/>
      <c r="T227" s="265"/>
      <c r="U227" s="265"/>
      <c r="V227" s="265"/>
      <c r="W227" s="265"/>
      <c r="X227" s="265"/>
      <c r="Y227" s="265"/>
      <c r="Z227" s="265"/>
      <c r="AA227" s="265"/>
      <c r="AB227" s="265"/>
    </row>
    <row r="228" spans="1:28" ht="13.5" customHeight="1">
      <c r="A228" s="265"/>
      <c r="B228" s="265"/>
      <c r="C228" s="265"/>
      <c r="D228" s="265"/>
      <c r="E228" s="265"/>
      <c r="F228" s="265"/>
      <c r="G228" s="265"/>
      <c r="H228" s="265"/>
      <c r="I228" s="265"/>
      <c r="J228" s="265"/>
      <c r="K228" s="265"/>
      <c r="L228" s="265"/>
      <c r="M228" s="265"/>
      <c r="N228" s="265"/>
      <c r="O228" s="265"/>
      <c r="P228" s="265"/>
      <c r="Q228" s="265"/>
      <c r="R228" s="265"/>
      <c r="S228" s="265"/>
      <c r="T228" s="265"/>
      <c r="U228" s="265"/>
      <c r="V228" s="265"/>
      <c r="W228" s="265"/>
      <c r="X228" s="265"/>
      <c r="Y228" s="265"/>
      <c r="Z228" s="265"/>
      <c r="AA228" s="265"/>
      <c r="AB228" s="265"/>
    </row>
    <row r="229" spans="1:28" ht="13.5" customHeight="1">
      <c r="A229" s="265"/>
      <c r="B229" s="265"/>
      <c r="C229" s="265"/>
      <c r="D229" s="265"/>
      <c r="E229" s="265"/>
      <c r="F229" s="265"/>
      <c r="G229" s="265"/>
      <c r="H229" s="265"/>
      <c r="I229" s="265"/>
      <c r="J229" s="265"/>
      <c r="K229" s="265"/>
      <c r="L229" s="265"/>
      <c r="M229" s="265"/>
      <c r="N229" s="265"/>
      <c r="O229" s="265"/>
      <c r="P229" s="265"/>
      <c r="Q229" s="265"/>
      <c r="R229" s="265"/>
      <c r="S229" s="265"/>
      <c r="T229" s="265"/>
      <c r="U229" s="265"/>
      <c r="V229" s="265"/>
      <c r="W229" s="265"/>
      <c r="X229" s="265"/>
      <c r="Y229" s="265"/>
      <c r="Z229" s="265"/>
      <c r="AA229" s="265"/>
      <c r="AB229" s="265"/>
    </row>
    <row r="230" spans="1:28" ht="13.5" customHeight="1">
      <c r="A230" s="265"/>
      <c r="B230" s="265"/>
      <c r="C230" s="265"/>
      <c r="D230" s="265"/>
      <c r="E230" s="265"/>
      <c r="F230" s="265"/>
      <c r="G230" s="265"/>
      <c r="H230" s="265"/>
      <c r="I230" s="265"/>
      <c r="J230" s="265"/>
      <c r="K230" s="265"/>
      <c r="L230" s="265"/>
      <c r="M230" s="265"/>
      <c r="N230" s="265"/>
      <c r="O230" s="265"/>
      <c r="P230" s="265"/>
      <c r="Q230" s="265"/>
      <c r="R230" s="265"/>
      <c r="S230" s="265"/>
      <c r="T230" s="265"/>
      <c r="U230" s="265"/>
      <c r="V230" s="265"/>
      <c r="W230" s="265"/>
      <c r="X230" s="265"/>
      <c r="Y230" s="265"/>
      <c r="Z230" s="265"/>
      <c r="AA230" s="265"/>
      <c r="AB230" s="265"/>
    </row>
    <row r="231" spans="1:28" ht="13.5" customHeight="1">
      <c r="A231" s="265"/>
      <c r="B231" s="265"/>
      <c r="C231" s="265"/>
      <c r="D231" s="265"/>
      <c r="E231" s="265"/>
      <c r="F231" s="265"/>
      <c r="G231" s="265"/>
      <c r="H231" s="265"/>
      <c r="I231" s="265"/>
      <c r="J231" s="265"/>
      <c r="K231" s="265"/>
      <c r="L231" s="265"/>
      <c r="M231" s="265"/>
      <c r="N231" s="265"/>
      <c r="O231" s="265"/>
      <c r="P231" s="265"/>
      <c r="Q231" s="265"/>
      <c r="R231" s="265"/>
      <c r="S231" s="265"/>
      <c r="T231" s="265"/>
      <c r="U231" s="265"/>
      <c r="V231" s="265"/>
      <c r="W231" s="265"/>
      <c r="X231" s="265"/>
      <c r="Y231" s="265"/>
      <c r="Z231" s="265"/>
      <c r="AA231" s="265"/>
      <c r="AB231" s="265"/>
    </row>
    <row r="232" spans="1:28" ht="13.5" customHeight="1">
      <c r="A232" s="265"/>
      <c r="B232" s="265"/>
      <c r="C232" s="265"/>
      <c r="D232" s="265"/>
      <c r="E232" s="265"/>
      <c r="F232" s="265"/>
      <c r="G232" s="265"/>
      <c r="H232" s="265"/>
      <c r="I232" s="265"/>
      <c r="J232" s="265"/>
      <c r="K232" s="265"/>
      <c r="L232" s="265"/>
      <c r="M232" s="265"/>
      <c r="N232" s="265"/>
      <c r="O232" s="265"/>
      <c r="P232" s="265"/>
      <c r="Q232" s="265"/>
      <c r="R232" s="265"/>
      <c r="S232" s="265"/>
      <c r="T232" s="265"/>
      <c r="U232" s="265"/>
      <c r="V232" s="265"/>
      <c r="W232" s="265"/>
      <c r="X232" s="265"/>
      <c r="Y232" s="265"/>
      <c r="Z232" s="265"/>
      <c r="AA232" s="265"/>
      <c r="AB232" s="265"/>
    </row>
    <row r="233" spans="1:28" ht="13.5" customHeight="1">
      <c r="A233" s="265"/>
      <c r="B233" s="265"/>
      <c r="C233" s="265"/>
      <c r="D233" s="265"/>
      <c r="E233" s="265"/>
      <c r="F233" s="265"/>
      <c r="G233" s="265"/>
      <c r="H233" s="265"/>
      <c r="I233" s="265"/>
      <c r="J233" s="265"/>
      <c r="K233" s="265"/>
      <c r="L233" s="265"/>
      <c r="M233" s="265"/>
      <c r="N233" s="265"/>
      <c r="O233" s="265"/>
      <c r="P233" s="265"/>
      <c r="Q233" s="265"/>
      <c r="R233" s="265"/>
      <c r="S233" s="265"/>
      <c r="T233" s="265"/>
      <c r="U233" s="265"/>
      <c r="V233" s="265"/>
      <c r="W233" s="265"/>
      <c r="X233" s="265"/>
      <c r="Y233" s="265"/>
      <c r="Z233" s="265"/>
      <c r="AA233" s="265"/>
      <c r="AB233" s="265"/>
    </row>
    <row r="234" spans="1:28" ht="13.5" customHeight="1">
      <c r="A234" s="265"/>
      <c r="B234" s="265"/>
      <c r="C234" s="265"/>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row>
    <row r="235" spans="1:28" ht="13.5" customHeight="1">
      <c r="A235" s="265"/>
      <c r="B235" s="265"/>
      <c r="C235" s="265"/>
      <c r="D235" s="265"/>
      <c r="E235" s="265"/>
      <c r="F235" s="265"/>
      <c r="G235" s="265"/>
      <c r="H235" s="265"/>
      <c r="I235" s="265"/>
      <c r="J235" s="265"/>
      <c r="K235" s="265"/>
      <c r="L235" s="265"/>
      <c r="M235" s="265"/>
      <c r="N235" s="265"/>
      <c r="O235" s="265"/>
      <c r="P235" s="265"/>
      <c r="Q235" s="265"/>
      <c r="R235" s="265"/>
      <c r="S235" s="265"/>
      <c r="T235" s="265"/>
      <c r="U235" s="265"/>
      <c r="V235" s="265"/>
      <c r="W235" s="265"/>
      <c r="X235" s="265"/>
      <c r="Y235" s="265"/>
      <c r="Z235" s="265"/>
      <c r="AA235" s="265"/>
      <c r="AB235" s="265"/>
    </row>
    <row r="236" spans="1:28" ht="13.5" customHeight="1">
      <c r="A236" s="265"/>
      <c r="B236" s="265"/>
      <c r="C236" s="265"/>
      <c r="D236" s="265"/>
      <c r="E236" s="265"/>
      <c r="F236" s="265"/>
      <c r="G236" s="265"/>
      <c r="H236" s="265"/>
      <c r="I236" s="265"/>
      <c r="J236" s="265"/>
      <c r="K236" s="265"/>
      <c r="L236" s="265"/>
      <c r="M236" s="265"/>
      <c r="N236" s="265"/>
      <c r="O236" s="265"/>
      <c r="P236" s="265"/>
      <c r="Q236" s="265"/>
      <c r="R236" s="265"/>
      <c r="S236" s="265"/>
      <c r="T236" s="265"/>
      <c r="U236" s="265"/>
      <c r="V236" s="265"/>
      <c r="W236" s="265"/>
      <c r="X236" s="265"/>
      <c r="Y236" s="265"/>
      <c r="Z236" s="265"/>
      <c r="AA236" s="265"/>
      <c r="AB236" s="265"/>
    </row>
    <row r="237" spans="1:28" ht="13.5" customHeight="1">
      <c r="A237" s="265"/>
      <c r="B237" s="265"/>
      <c r="C237" s="265"/>
      <c r="D237" s="265"/>
      <c r="E237" s="265"/>
      <c r="F237" s="265"/>
      <c r="G237" s="265"/>
      <c r="H237" s="265"/>
      <c r="I237" s="265"/>
      <c r="J237" s="265"/>
      <c r="K237" s="265"/>
      <c r="L237" s="265"/>
      <c r="M237" s="265"/>
      <c r="N237" s="265"/>
      <c r="O237" s="265"/>
      <c r="P237" s="265"/>
      <c r="Q237" s="265"/>
      <c r="R237" s="265"/>
      <c r="S237" s="265"/>
      <c r="T237" s="265"/>
      <c r="U237" s="265"/>
      <c r="V237" s="265"/>
      <c r="W237" s="265"/>
      <c r="X237" s="265"/>
      <c r="Y237" s="265"/>
      <c r="Z237" s="265"/>
      <c r="AA237" s="265"/>
      <c r="AB237" s="265"/>
    </row>
    <row r="238" spans="1:28" ht="13.5" customHeight="1">
      <c r="A238" s="265"/>
      <c r="B238" s="265"/>
      <c r="C238" s="265"/>
      <c r="D238" s="265"/>
      <c r="E238" s="265"/>
      <c r="F238" s="265"/>
      <c r="G238" s="265"/>
      <c r="H238" s="265"/>
      <c r="I238" s="265"/>
      <c r="J238" s="265"/>
      <c r="K238" s="265"/>
      <c r="L238" s="265"/>
      <c r="M238" s="265"/>
      <c r="N238" s="265"/>
      <c r="O238" s="265"/>
      <c r="P238" s="265"/>
      <c r="Q238" s="265"/>
      <c r="R238" s="265"/>
      <c r="S238" s="265"/>
      <c r="T238" s="265"/>
      <c r="U238" s="265"/>
      <c r="V238" s="265"/>
      <c r="W238" s="265"/>
      <c r="X238" s="265"/>
      <c r="Y238" s="265"/>
      <c r="Z238" s="265"/>
      <c r="AA238" s="265"/>
      <c r="AB238" s="265"/>
    </row>
    <row r="239" spans="1:28" ht="13.5" customHeight="1">
      <c r="A239" s="265"/>
      <c r="B239" s="265"/>
      <c r="C239" s="265"/>
      <c r="D239" s="265"/>
      <c r="E239" s="265"/>
      <c r="F239" s="265"/>
      <c r="G239" s="265"/>
      <c r="H239" s="265"/>
      <c r="I239" s="265"/>
      <c r="J239" s="265"/>
      <c r="K239" s="265"/>
      <c r="L239" s="265"/>
      <c r="M239" s="265"/>
      <c r="N239" s="265"/>
      <c r="O239" s="265"/>
      <c r="P239" s="265"/>
      <c r="Q239" s="265"/>
      <c r="R239" s="265"/>
      <c r="S239" s="265"/>
      <c r="T239" s="265"/>
      <c r="U239" s="265"/>
      <c r="V239" s="265"/>
      <c r="W239" s="265"/>
      <c r="X239" s="265"/>
      <c r="Y239" s="265"/>
      <c r="Z239" s="265"/>
      <c r="AA239" s="265"/>
      <c r="AB239" s="265"/>
    </row>
    <row r="240" spans="1:28" ht="13.5" customHeight="1">
      <c r="A240" s="265"/>
      <c r="B240" s="265"/>
      <c r="C240" s="265"/>
      <c r="D240" s="265"/>
      <c r="E240" s="265"/>
      <c r="F240" s="265"/>
      <c r="G240" s="265"/>
      <c r="H240" s="265"/>
      <c r="I240" s="265"/>
      <c r="J240" s="265"/>
      <c r="K240" s="265"/>
      <c r="L240" s="265"/>
      <c r="M240" s="265"/>
      <c r="N240" s="265"/>
      <c r="O240" s="265"/>
      <c r="P240" s="265"/>
      <c r="Q240" s="265"/>
      <c r="R240" s="265"/>
      <c r="S240" s="265"/>
      <c r="T240" s="265"/>
      <c r="U240" s="265"/>
      <c r="V240" s="265"/>
      <c r="W240" s="265"/>
      <c r="X240" s="265"/>
      <c r="Y240" s="265"/>
      <c r="Z240" s="265"/>
      <c r="AA240" s="265"/>
      <c r="AB240" s="265"/>
    </row>
    <row r="241" spans="1:28" ht="13.5" customHeight="1">
      <c r="A241" s="265"/>
      <c r="B241" s="265"/>
      <c r="C241" s="265"/>
      <c r="D241" s="265"/>
      <c r="E241" s="265"/>
      <c r="F241" s="265"/>
      <c r="G241" s="265"/>
      <c r="H241" s="265"/>
      <c r="I241" s="265"/>
      <c r="J241" s="265"/>
      <c r="K241" s="265"/>
      <c r="L241" s="265"/>
      <c r="M241" s="265"/>
      <c r="N241" s="265"/>
      <c r="O241" s="265"/>
      <c r="P241" s="265"/>
      <c r="Q241" s="265"/>
      <c r="R241" s="265"/>
      <c r="S241" s="265"/>
      <c r="T241" s="265"/>
      <c r="U241" s="265"/>
      <c r="V241" s="265"/>
      <c r="W241" s="265"/>
      <c r="X241" s="265"/>
      <c r="Y241" s="265"/>
      <c r="Z241" s="265"/>
      <c r="AA241" s="265"/>
      <c r="AB241" s="265"/>
    </row>
    <row r="242" spans="1:28" ht="13.5" customHeight="1">
      <c r="A242" s="265"/>
      <c r="B242" s="265"/>
      <c r="C242" s="265"/>
      <c r="D242" s="265"/>
      <c r="E242" s="265"/>
      <c r="F242" s="265"/>
      <c r="G242" s="265"/>
      <c r="H242" s="265"/>
      <c r="I242" s="265"/>
      <c r="J242" s="265"/>
      <c r="K242" s="265"/>
      <c r="L242" s="265"/>
      <c r="M242" s="265"/>
      <c r="N242" s="265"/>
      <c r="O242" s="265"/>
      <c r="P242" s="265"/>
      <c r="Q242" s="265"/>
      <c r="R242" s="265"/>
      <c r="S242" s="265"/>
      <c r="T242" s="265"/>
      <c r="U242" s="265"/>
      <c r="V242" s="265"/>
      <c r="W242" s="265"/>
      <c r="X242" s="265"/>
      <c r="Y242" s="265"/>
      <c r="Z242" s="265"/>
      <c r="AA242" s="265"/>
      <c r="AB242" s="265"/>
    </row>
    <row r="243" spans="1:28" ht="13.5" customHeight="1">
      <c r="A243" s="265"/>
      <c r="B243" s="265"/>
      <c r="C243" s="265"/>
      <c r="D243" s="265"/>
      <c r="E243" s="265"/>
      <c r="F243" s="265"/>
      <c r="G243" s="265"/>
      <c r="H243" s="265"/>
      <c r="I243" s="265"/>
      <c r="J243" s="265"/>
      <c r="K243" s="265"/>
      <c r="L243" s="265"/>
      <c r="M243" s="265"/>
      <c r="N243" s="265"/>
      <c r="O243" s="265"/>
      <c r="P243" s="265"/>
      <c r="Q243" s="265"/>
      <c r="R243" s="265"/>
      <c r="S243" s="265"/>
      <c r="T243" s="265"/>
      <c r="U243" s="265"/>
      <c r="V243" s="265"/>
      <c r="W243" s="265"/>
      <c r="X243" s="265"/>
      <c r="Y243" s="265"/>
      <c r="Z243" s="265"/>
      <c r="AA243" s="265"/>
      <c r="AB243" s="265"/>
    </row>
    <row r="244" spans="1:28" ht="13.5" customHeight="1">
      <c r="A244" s="265"/>
      <c r="B244" s="265"/>
      <c r="C244" s="265"/>
      <c r="D244" s="265"/>
      <c r="E244" s="265"/>
      <c r="F244" s="265"/>
      <c r="G244" s="265"/>
      <c r="H244" s="265"/>
      <c r="I244" s="265"/>
      <c r="J244" s="265"/>
      <c r="K244" s="265"/>
      <c r="L244" s="265"/>
      <c r="M244" s="265"/>
      <c r="N244" s="265"/>
      <c r="O244" s="265"/>
      <c r="P244" s="265"/>
      <c r="Q244" s="265"/>
      <c r="R244" s="265"/>
      <c r="S244" s="265"/>
      <c r="T244" s="265"/>
      <c r="U244" s="265"/>
      <c r="V244" s="265"/>
      <c r="W244" s="265"/>
      <c r="X244" s="265"/>
      <c r="Y244" s="265"/>
      <c r="Z244" s="265"/>
      <c r="AA244" s="265"/>
      <c r="AB244" s="265"/>
    </row>
    <row r="245" spans="1:28" ht="13.5" customHeight="1">
      <c r="A245" s="265"/>
      <c r="B245" s="265"/>
      <c r="C245" s="265"/>
      <c r="D245" s="265"/>
      <c r="E245" s="265"/>
      <c r="F245" s="265"/>
      <c r="G245" s="265"/>
      <c r="H245" s="265"/>
      <c r="I245" s="265"/>
      <c r="J245" s="265"/>
      <c r="K245" s="265"/>
      <c r="L245" s="265"/>
      <c r="M245" s="265"/>
      <c r="N245" s="265"/>
      <c r="O245" s="265"/>
      <c r="P245" s="265"/>
      <c r="Q245" s="265"/>
      <c r="R245" s="265"/>
      <c r="S245" s="265"/>
      <c r="T245" s="265"/>
      <c r="U245" s="265"/>
      <c r="V245" s="265"/>
      <c r="W245" s="265"/>
      <c r="X245" s="265"/>
      <c r="Y245" s="265"/>
      <c r="Z245" s="265"/>
      <c r="AA245" s="265"/>
      <c r="AB245" s="265"/>
    </row>
    <row r="246" spans="1:28" ht="13.5" customHeight="1">
      <c r="A246" s="265"/>
      <c r="B246" s="265"/>
      <c r="C246" s="265"/>
      <c r="D246" s="265"/>
      <c r="E246" s="265"/>
      <c r="F246" s="265"/>
      <c r="G246" s="265"/>
      <c r="H246" s="265"/>
      <c r="I246" s="265"/>
      <c r="J246" s="265"/>
      <c r="K246" s="265"/>
      <c r="L246" s="265"/>
      <c r="M246" s="265"/>
      <c r="N246" s="265"/>
      <c r="O246" s="265"/>
      <c r="P246" s="265"/>
      <c r="Q246" s="265"/>
      <c r="R246" s="265"/>
      <c r="S246" s="265"/>
      <c r="T246" s="265"/>
      <c r="U246" s="265"/>
      <c r="V246" s="265"/>
      <c r="W246" s="265"/>
      <c r="X246" s="265"/>
      <c r="Y246" s="265"/>
      <c r="Z246" s="265"/>
      <c r="AA246" s="265"/>
      <c r="AB246" s="265"/>
    </row>
    <row r="247" spans="1:28" ht="13.5" customHeight="1">
      <c r="A247" s="265"/>
      <c r="B247" s="265"/>
      <c r="C247" s="265"/>
      <c r="D247" s="265"/>
      <c r="E247" s="265"/>
      <c r="F247" s="265"/>
      <c r="G247" s="265"/>
      <c r="H247" s="265"/>
      <c r="I247" s="265"/>
      <c r="J247" s="265"/>
      <c r="K247" s="265"/>
      <c r="L247" s="265"/>
      <c r="M247" s="265"/>
      <c r="N247" s="265"/>
      <c r="O247" s="265"/>
      <c r="P247" s="265"/>
      <c r="Q247" s="265"/>
      <c r="R247" s="265"/>
      <c r="S247" s="265"/>
      <c r="T247" s="265"/>
      <c r="U247" s="265"/>
      <c r="V247" s="265"/>
      <c r="W247" s="265"/>
      <c r="X247" s="265"/>
      <c r="Y247" s="265"/>
      <c r="Z247" s="265"/>
      <c r="AA247" s="265"/>
      <c r="AB247" s="265"/>
    </row>
    <row r="248" spans="1:28" ht="13.5" customHeight="1">
      <c r="A248" s="265"/>
      <c r="B248" s="265"/>
      <c r="C248" s="265"/>
      <c r="D248" s="265"/>
      <c r="E248" s="265"/>
      <c r="F248" s="265"/>
      <c r="G248" s="265"/>
      <c r="H248" s="265"/>
      <c r="I248" s="265"/>
      <c r="J248" s="265"/>
      <c r="K248" s="265"/>
      <c r="L248" s="265"/>
      <c r="M248" s="265"/>
      <c r="N248" s="265"/>
      <c r="O248" s="265"/>
      <c r="P248" s="265"/>
      <c r="Q248" s="265"/>
      <c r="R248" s="265"/>
      <c r="S248" s="265"/>
      <c r="T248" s="265"/>
      <c r="U248" s="265"/>
      <c r="V248" s="265"/>
      <c r="W248" s="265"/>
      <c r="X248" s="265"/>
      <c r="Y248" s="265"/>
      <c r="Z248" s="265"/>
      <c r="AA248" s="265"/>
      <c r="AB248" s="265"/>
    </row>
    <row r="249" spans="1:28" ht="13.5" customHeight="1">
      <c r="A249" s="265"/>
      <c r="B249" s="265"/>
      <c r="C249" s="265"/>
      <c r="D249" s="265"/>
      <c r="E249" s="265"/>
      <c r="F249" s="265"/>
      <c r="G249" s="265"/>
      <c r="H249" s="265"/>
      <c r="I249" s="265"/>
      <c r="J249" s="265"/>
      <c r="K249" s="265"/>
      <c r="L249" s="265"/>
      <c r="M249" s="265"/>
      <c r="N249" s="265"/>
      <c r="O249" s="265"/>
      <c r="P249" s="265"/>
      <c r="Q249" s="265"/>
      <c r="R249" s="265"/>
      <c r="S249" s="265"/>
      <c r="T249" s="265"/>
      <c r="U249" s="265"/>
      <c r="V249" s="265"/>
      <c r="W249" s="265"/>
      <c r="X249" s="265"/>
      <c r="Y249" s="265"/>
      <c r="Z249" s="265"/>
      <c r="AA249" s="265"/>
      <c r="AB249" s="265"/>
    </row>
    <row r="250" spans="1:28" ht="13.5" customHeight="1">
      <c r="A250" s="265"/>
      <c r="B250" s="265"/>
      <c r="C250" s="265"/>
      <c r="D250" s="265"/>
      <c r="E250" s="265"/>
      <c r="F250" s="265"/>
      <c r="G250" s="265"/>
      <c r="H250" s="265"/>
      <c r="I250" s="265"/>
      <c r="J250" s="265"/>
      <c r="K250" s="265"/>
      <c r="L250" s="265"/>
      <c r="M250" s="265"/>
      <c r="N250" s="265"/>
      <c r="O250" s="265"/>
      <c r="P250" s="265"/>
      <c r="Q250" s="265"/>
      <c r="R250" s="265"/>
      <c r="S250" s="265"/>
      <c r="T250" s="265"/>
      <c r="U250" s="265"/>
      <c r="V250" s="265"/>
      <c r="W250" s="265"/>
      <c r="X250" s="265"/>
      <c r="Y250" s="265"/>
      <c r="Z250" s="265"/>
      <c r="AA250" s="265"/>
      <c r="AB250" s="265"/>
    </row>
    <row r="251" spans="1:28" ht="13.5" customHeight="1">
      <c r="A251" s="265"/>
      <c r="B251" s="265"/>
      <c r="C251" s="265"/>
      <c r="D251" s="265"/>
      <c r="E251" s="265"/>
      <c r="F251" s="265"/>
      <c r="G251" s="265"/>
      <c r="H251" s="265"/>
      <c r="I251" s="265"/>
      <c r="J251" s="265"/>
      <c r="K251" s="265"/>
      <c r="L251" s="265"/>
      <c r="M251" s="265"/>
      <c r="N251" s="265"/>
      <c r="O251" s="265"/>
      <c r="P251" s="265"/>
      <c r="Q251" s="265"/>
      <c r="R251" s="265"/>
      <c r="S251" s="265"/>
      <c r="T251" s="265"/>
      <c r="U251" s="265"/>
      <c r="V251" s="265"/>
      <c r="W251" s="265"/>
      <c r="X251" s="265"/>
      <c r="Y251" s="265"/>
      <c r="Z251" s="265"/>
      <c r="AA251" s="265"/>
      <c r="AB251" s="265"/>
    </row>
    <row r="252" spans="1:28" ht="13.5" customHeight="1">
      <c r="A252" s="265"/>
      <c r="B252" s="265"/>
      <c r="C252" s="265"/>
      <c r="D252" s="265"/>
      <c r="E252" s="265"/>
      <c r="F252" s="265"/>
      <c r="G252" s="265"/>
      <c r="H252" s="265"/>
      <c r="I252" s="265"/>
      <c r="J252" s="265"/>
      <c r="K252" s="265"/>
      <c r="L252" s="265"/>
      <c r="M252" s="265"/>
      <c r="N252" s="265"/>
      <c r="O252" s="265"/>
      <c r="P252" s="265"/>
      <c r="Q252" s="265"/>
      <c r="R252" s="265"/>
      <c r="S252" s="265"/>
      <c r="T252" s="265"/>
      <c r="U252" s="265"/>
      <c r="V252" s="265"/>
      <c r="W252" s="265"/>
      <c r="X252" s="265"/>
      <c r="Y252" s="265"/>
      <c r="Z252" s="265"/>
      <c r="AA252" s="265"/>
      <c r="AB252" s="265"/>
    </row>
    <row r="253" spans="1:28" ht="13.5" customHeight="1">
      <c r="A253" s="265"/>
      <c r="B253" s="265"/>
      <c r="C253" s="265"/>
      <c r="D253" s="265"/>
      <c r="E253" s="265"/>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row>
    <row r="254" spans="1:28" ht="13.5" customHeight="1">
      <c r="A254" s="265"/>
      <c r="B254" s="265"/>
      <c r="C254" s="265"/>
      <c r="D254" s="265"/>
      <c r="E254" s="265"/>
      <c r="F254" s="265"/>
      <c r="G254" s="265"/>
      <c r="H254" s="265"/>
      <c r="I254" s="265"/>
      <c r="J254" s="265"/>
      <c r="K254" s="265"/>
      <c r="L254" s="265"/>
      <c r="M254" s="265"/>
      <c r="N254" s="265"/>
      <c r="O254" s="265"/>
      <c r="P254" s="265"/>
      <c r="Q254" s="265"/>
      <c r="R254" s="265"/>
      <c r="S254" s="265"/>
      <c r="T254" s="265"/>
      <c r="U254" s="265"/>
      <c r="V254" s="265"/>
      <c r="W254" s="265"/>
      <c r="X254" s="265"/>
      <c r="Y254" s="265"/>
      <c r="Z254" s="265"/>
      <c r="AA254" s="265"/>
      <c r="AB254" s="265"/>
    </row>
    <row r="255" spans="1:28" ht="13.5" customHeight="1">
      <c r="A255" s="265"/>
      <c r="B255" s="265"/>
      <c r="C255" s="265"/>
      <c r="D255" s="265"/>
      <c r="E255" s="265"/>
      <c r="F255" s="265"/>
      <c r="G255" s="265"/>
      <c r="H255" s="265"/>
      <c r="I255" s="265"/>
      <c r="J255" s="265"/>
      <c r="K255" s="265"/>
      <c r="L255" s="265"/>
      <c r="M255" s="265"/>
      <c r="N255" s="265"/>
      <c r="O255" s="265"/>
      <c r="P255" s="265"/>
      <c r="Q255" s="265"/>
      <c r="R255" s="265"/>
      <c r="S255" s="265"/>
      <c r="T255" s="265"/>
      <c r="U255" s="265"/>
      <c r="V255" s="265"/>
      <c r="W255" s="265"/>
      <c r="X255" s="265"/>
      <c r="Y255" s="265"/>
      <c r="Z255" s="265"/>
      <c r="AA255" s="265"/>
      <c r="AB255" s="265"/>
    </row>
    <row r="256" spans="1:28" ht="13.5" customHeight="1">
      <c r="A256" s="265"/>
      <c r="B256" s="265"/>
      <c r="C256" s="265"/>
      <c r="D256" s="265"/>
      <c r="E256" s="265"/>
      <c r="F256" s="265"/>
      <c r="G256" s="265"/>
      <c r="H256" s="265"/>
      <c r="I256" s="265"/>
      <c r="J256" s="265"/>
      <c r="K256" s="265"/>
      <c r="L256" s="265"/>
      <c r="M256" s="265"/>
      <c r="N256" s="265"/>
      <c r="O256" s="265"/>
      <c r="P256" s="265"/>
      <c r="Q256" s="265"/>
      <c r="R256" s="265"/>
      <c r="S256" s="265"/>
      <c r="T256" s="265"/>
      <c r="U256" s="265"/>
      <c r="V256" s="265"/>
      <c r="W256" s="265"/>
      <c r="X256" s="265"/>
      <c r="Y256" s="265"/>
      <c r="Z256" s="265"/>
      <c r="AA256" s="265"/>
      <c r="AB256" s="265"/>
    </row>
    <row r="257" spans="1:28" ht="13.5" customHeight="1">
      <c r="A257" s="265"/>
      <c r="B257" s="265"/>
      <c r="C257" s="265"/>
      <c r="D257" s="265"/>
      <c r="E257" s="265"/>
      <c r="F257" s="265"/>
      <c r="G257" s="265"/>
      <c r="H257" s="265"/>
      <c r="I257" s="265"/>
      <c r="J257" s="265"/>
      <c r="K257" s="265"/>
      <c r="L257" s="265"/>
      <c r="M257" s="265"/>
      <c r="N257" s="265"/>
      <c r="O257" s="265"/>
      <c r="P257" s="265"/>
      <c r="Q257" s="265"/>
      <c r="R257" s="265"/>
      <c r="S257" s="265"/>
      <c r="T257" s="265"/>
      <c r="U257" s="265"/>
      <c r="V257" s="265"/>
      <c r="W257" s="265"/>
      <c r="X257" s="265"/>
      <c r="Y257" s="265"/>
      <c r="Z257" s="265"/>
      <c r="AA257" s="265"/>
      <c r="AB257" s="265"/>
    </row>
    <row r="258" spans="1:28" ht="13.5" customHeight="1">
      <c r="A258" s="265"/>
      <c r="B258" s="265"/>
      <c r="C258" s="265"/>
      <c r="D258" s="265"/>
      <c r="E258" s="265"/>
      <c r="F258" s="265"/>
      <c r="G258" s="265"/>
      <c r="H258" s="265"/>
      <c r="I258" s="265"/>
      <c r="J258" s="265"/>
      <c r="K258" s="265"/>
      <c r="L258" s="265"/>
      <c r="M258" s="265"/>
      <c r="N258" s="265"/>
      <c r="O258" s="265"/>
      <c r="P258" s="265"/>
      <c r="Q258" s="265"/>
      <c r="R258" s="265"/>
      <c r="S258" s="265"/>
      <c r="T258" s="265"/>
      <c r="U258" s="265"/>
      <c r="V258" s="265"/>
      <c r="W258" s="265"/>
      <c r="X258" s="265"/>
      <c r="Y258" s="265"/>
      <c r="Z258" s="265"/>
      <c r="AA258" s="265"/>
      <c r="AB258" s="265"/>
    </row>
    <row r="259" spans="1:28" ht="13.5" customHeight="1">
      <c r="A259" s="265"/>
      <c r="B259" s="265"/>
      <c r="C259" s="265"/>
      <c r="D259" s="265"/>
      <c r="E259" s="265"/>
      <c r="F259" s="265"/>
      <c r="G259" s="265"/>
      <c r="H259" s="265"/>
      <c r="I259" s="265"/>
      <c r="J259" s="265"/>
      <c r="K259" s="265"/>
      <c r="L259" s="265"/>
      <c r="M259" s="265"/>
      <c r="N259" s="265"/>
      <c r="O259" s="265"/>
      <c r="P259" s="265"/>
      <c r="Q259" s="265"/>
      <c r="R259" s="265"/>
      <c r="S259" s="265"/>
      <c r="T259" s="265"/>
      <c r="U259" s="265"/>
      <c r="V259" s="265"/>
      <c r="W259" s="265"/>
      <c r="X259" s="265"/>
      <c r="Y259" s="265"/>
      <c r="Z259" s="265"/>
      <c r="AA259" s="265"/>
      <c r="AB259" s="265"/>
    </row>
    <row r="260" spans="1:28" ht="13.5" customHeight="1">
      <c r="A260" s="265"/>
      <c r="B260" s="265"/>
      <c r="C260" s="265"/>
      <c r="D260" s="265"/>
      <c r="E260" s="265"/>
      <c r="F260" s="265"/>
      <c r="G260" s="265"/>
      <c r="H260" s="265"/>
      <c r="I260" s="265"/>
      <c r="J260" s="265"/>
      <c r="K260" s="265"/>
      <c r="L260" s="265"/>
      <c r="M260" s="265"/>
      <c r="N260" s="265"/>
      <c r="O260" s="265"/>
      <c r="P260" s="265"/>
      <c r="Q260" s="265"/>
      <c r="R260" s="265"/>
      <c r="S260" s="265"/>
      <c r="T260" s="265"/>
      <c r="U260" s="265"/>
      <c r="V260" s="265"/>
      <c r="W260" s="265"/>
      <c r="X260" s="265"/>
      <c r="Y260" s="265"/>
      <c r="Z260" s="265"/>
      <c r="AA260" s="265"/>
      <c r="AB260" s="265"/>
    </row>
    <row r="261" spans="1:28" ht="13.5" customHeight="1">
      <c r="A261" s="265"/>
      <c r="B261" s="265"/>
      <c r="C261" s="265"/>
      <c r="D261" s="265"/>
      <c r="E261" s="265"/>
      <c r="F261" s="265"/>
      <c r="G261" s="265"/>
      <c r="H261" s="265"/>
      <c r="I261" s="265"/>
      <c r="J261" s="265"/>
      <c r="K261" s="265"/>
      <c r="L261" s="265"/>
      <c r="M261" s="265"/>
      <c r="N261" s="265"/>
      <c r="O261" s="265"/>
      <c r="P261" s="265"/>
      <c r="Q261" s="265"/>
      <c r="R261" s="265"/>
      <c r="S261" s="265"/>
      <c r="T261" s="265"/>
      <c r="U261" s="265"/>
      <c r="V261" s="265"/>
      <c r="W261" s="265"/>
      <c r="X261" s="265"/>
      <c r="Y261" s="265"/>
      <c r="Z261" s="265"/>
      <c r="AA261" s="265"/>
      <c r="AB261" s="265"/>
    </row>
    <row r="262" spans="1:28" ht="13.5" customHeight="1">
      <c r="A262" s="265"/>
      <c r="B262" s="265"/>
      <c r="C262" s="265"/>
      <c r="D262" s="265"/>
      <c r="E262" s="265"/>
      <c r="F262" s="265"/>
      <c r="G262" s="265"/>
      <c r="H262" s="265"/>
      <c r="I262" s="265"/>
      <c r="J262" s="265"/>
      <c r="K262" s="265"/>
      <c r="L262" s="265"/>
      <c r="M262" s="265"/>
      <c r="N262" s="265"/>
      <c r="O262" s="265"/>
      <c r="P262" s="265"/>
      <c r="Q262" s="265"/>
      <c r="R262" s="265"/>
      <c r="S262" s="265"/>
      <c r="T262" s="265"/>
      <c r="U262" s="265"/>
      <c r="V262" s="265"/>
      <c r="W262" s="265"/>
      <c r="X262" s="265"/>
      <c r="Y262" s="265"/>
      <c r="Z262" s="265"/>
      <c r="AA262" s="265"/>
      <c r="AB262" s="265"/>
    </row>
    <row r="263" spans="1:28" ht="13.5" customHeight="1">
      <c r="A263" s="265"/>
      <c r="B263" s="265"/>
      <c r="C263" s="265"/>
      <c r="D263" s="265"/>
      <c r="E263" s="265"/>
      <c r="F263" s="265"/>
      <c r="G263" s="265"/>
      <c r="H263" s="265"/>
      <c r="I263" s="265"/>
      <c r="J263" s="265"/>
      <c r="K263" s="265"/>
      <c r="L263" s="265"/>
      <c r="M263" s="265"/>
      <c r="N263" s="265"/>
      <c r="O263" s="265"/>
      <c r="P263" s="265"/>
      <c r="Q263" s="265"/>
      <c r="R263" s="265"/>
      <c r="S263" s="265"/>
      <c r="T263" s="265"/>
      <c r="U263" s="265"/>
      <c r="V263" s="265"/>
      <c r="W263" s="265"/>
      <c r="X263" s="265"/>
      <c r="Y263" s="265"/>
      <c r="Z263" s="265"/>
      <c r="AA263" s="265"/>
      <c r="AB263" s="265"/>
    </row>
    <row r="264" spans="1:28" ht="13.5" customHeight="1">
      <c r="A264" s="265"/>
      <c r="B264" s="265"/>
      <c r="C264" s="265"/>
      <c r="D264" s="265"/>
      <c r="E264" s="265"/>
      <c r="F264" s="265"/>
      <c r="G264" s="265"/>
      <c r="H264" s="265"/>
      <c r="I264" s="265"/>
      <c r="J264" s="265"/>
      <c r="K264" s="265"/>
      <c r="L264" s="265"/>
      <c r="M264" s="265"/>
      <c r="N264" s="265"/>
      <c r="O264" s="265"/>
      <c r="P264" s="265"/>
      <c r="Q264" s="265"/>
      <c r="R264" s="265"/>
      <c r="S264" s="265"/>
      <c r="T264" s="265"/>
      <c r="U264" s="265"/>
      <c r="V264" s="265"/>
      <c r="W264" s="265"/>
      <c r="X264" s="265"/>
      <c r="Y264" s="265"/>
      <c r="Z264" s="265"/>
      <c r="AA264" s="265"/>
      <c r="AB264" s="265"/>
    </row>
    <row r="265" spans="1:28" ht="13.5" customHeight="1">
      <c r="A265" s="265"/>
      <c r="B265" s="265"/>
      <c r="C265" s="265"/>
      <c r="D265" s="265"/>
      <c r="E265" s="265"/>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c r="AB265" s="265"/>
    </row>
    <row r="266" spans="1:28" ht="13.5" customHeight="1">
      <c r="A266" s="265"/>
      <c r="B266" s="265"/>
      <c r="C266" s="265"/>
      <c r="D266" s="265"/>
      <c r="E266" s="265"/>
      <c r="F266" s="265"/>
      <c r="G266" s="265"/>
      <c r="H266" s="265"/>
      <c r="I266" s="265"/>
      <c r="J266" s="265"/>
      <c r="K266" s="265"/>
      <c r="L266" s="265"/>
      <c r="M266" s="265"/>
      <c r="N266" s="265"/>
      <c r="O266" s="265"/>
      <c r="P266" s="265"/>
      <c r="Q266" s="265"/>
      <c r="R266" s="265"/>
      <c r="S266" s="265"/>
      <c r="T266" s="265"/>
      <c r="U266" s="265"/>
      <c r="V266" s="265"/>
      <c r="W266" s="265"/>
      <c r="X266" s="265"/>
      <c r="Y266" s="265"/>
      <c r="Z266" s="265"/>
      <c r="AA266" s="265"/>
      <c r="AB266" s="265"/>
    </row>
    <row r="267" spans="1:28" ht="13.5" customHeight="1">
      <c r="A267" s="265"/>
      <c r="B267" s="265"/>
      <c r="C267" s="265"/>
      <c r="D267" s="265"/>
      <c r="E267" s="265"/>
      <c r="F267" s="265"/>
      <c r="G267" s="265"/>
      <c r="H267" s="265"/>
      <c r="I267" s="265"/>
      <c r="J267" s="265"/>
      <c r="K267" s="265"/>
      <c r="L267" s="265"/>
      <c r="M267" s="265"/>
      <c r="N267" s="265"/>
      <c r="O267" s="265"/>
      <c r="P267" s="265"/>
      <c r="Q267" s="265"/>
      <c r="R267" s="265"/>
      <c r="S267" s="265"/>
      <c r="T267" s="265"/>
      <c r="U267" s="265"/>
      <c r="V267" s="265"/>
      <c r="W267" s="265"/>
      <c r="X267" s="265"/>
      <c r="Y267" s="265"/>
      <c r="Z267" s="265"/>
      <c r="AA267" s="265"/>
      <c r="AB267" s="265"/>
    </row>
    <row r="268" spans="1:28" ht="13.5" customHeight="1">
      <c r="A268" s="265"/>
      <c r="B268" s="265"/>
      <c r="C268" s="265"/>
      <c r="D268" s="265"/>
      <c r="E268" s="265"/>
      <c r="F268" s="265"/>
      <c r="G268" s="265"/>
      <c r="H268" s="265"/>
      <c r="I268" s="265"/>
      <c r="J268" s="265"/>
      <c r="K268" s="265"/>
      <c r="L268" s="265"/>
      <c r="M268" s="265"/>
      <c r="N268" s="265"/>
      <c r="O268" s="265"/>
      <c r="P268" s="265"/>
      <c r="Q268" s="265"/>
      <c r="R268" s="265"/>
      <c r="S268" s="265"/>
      <c r="T268" s="265"/>
      <c r="U268" s="265"/>
      <c r="V268" s="265"/>
      <c r="W268" s="265"/>
      <c r="X268" s="265"/>
      <c r="Y268" s="265"/>
      <c r="Z268" s="265"/>
      <c r="AA268" s="265"/>
      <c r="AB268" s="265"/>
    </row>
    <row r="269" spans="1:28" ht="13.5" customHeight="1">
      <c r="A269" s="265"/>
      <c r="B269" s="265"/>
      <c r="C269" s="265"/>
      <c r="D269" s="265"/>
      <c r="E269" s="265"/>
      <c r="F269" s="265"/>
      <c r="G269" s="265"/>
      <c r="H269" s="265"/>
      <c r="I269" s="265"/>
      <c r="J269" s="265"/>
      <c r="K269" s="265"/>
      <c r="L269" s="265"/>
      <c r="M269" s="265"/>
      <c r="N269" s="265"/>
      <c r="O269" s="265"/>
      <c r="P269" s="265"/>
      <c r="Q269" s="265"/>
      <c r="R269" s="265"/>
      <c r="S269" s="265"/>
      <c r="T269" s="265"/>
      <c r="U269" s="265"/>
      <c r="V269" s="265"/>
      <c r="W269" s="265"/>
      <c r="X269" s="265"/>
      <c r="Y269" s="265"/>
      <c r="Z269" s="265"/>
      <c r="AA269" s="265"/>
      <c r="AB269" s="265"/>
    </row>
    <row r="270" spans="1:28" ht="13.5" customHeight="1">
      <c r="A270" s="265"/>
      <c r="B270" s="265"/>
      <c r="C270" s="265"/>
      <c r="D270" s="265"/>
      <c r="E270" s="265"/>
      <c r="F270" s="265"/>
      <c r="G270" s="265"/>
      <c r="H270" s="265"/>
      <c r="I270" s="265"/>
      <c r="J270" s="265"/>
      <c r="K270" s="265"/>
      <c r="L270" s="265"/>
      <c r="M270" s="265"/>
      <c r="N270" s="265"/>
      <c r="O270" s="265"/>
      <c r="P270" s="265"/>
      <c r="Q270" s="265"/>
      <c r="R270" s="265"/>
      <c r="S270" s="265"/>
      <c r="T270" s="265"/>
      <c r="U270" s="265"/>
      <c r="V270" s="265"/>
      <c r="W270" s="265"/>
      <c r="X270" s="265"/>
      <c r="Y270" s="265"/>
      <c r="Z270" s="265"/>
      <c r="AA270" s="265"/>
      <c r="AB270" s="265"/>
    </row>
    <row r="271" spans="1:28" ht="13.5" customHeight="1">
      <c r="A271" s="265"/>
      <c r="B271" s="265"/>
      <c r="C271" s="265"/>
      <c r="D271" s="265"/>
      <c r="E271" s="265"/>
      <c r="F271" s="265"/>
      <c r="G271" s="265"/>
      <c r="H271" s="265"/>
      <c r="I271" s="265"/>
      <c r="J271" s="265"/>
      <c r="K271" s="265"/>
      <c r="L271" s="265"/>
      <c r="M271" s="265"/>
      <c r="N271" s="265"/>
      <c r="O271" s="265"/>
      <c r="P271" s="265"/>
      <c r="Q271" s="265"/>
      <c r="R271" s="265"/>
      <c r="S271" s="265"/>
      <c r="T271" s="265"/>
      <c r="U271" s="265"/>
      <c r="V271" s="265"/>
      <c r="W271" s="265"/>
      <c r="X271" s="265"/>
      <c r="Y271" s="265"/>
      <c r="Z271" s="265"/>
      <c r="AA271" s="265"/>
      <c r="AB271" s="265"/>
    </row>
    <row r="272" spans="1:28" ht="13.5" customHeight="1">
      <c r="A272" s="265"/>
      <c r="B272" s="265"/>
      <c r="C272" s="265"/>
      <c r="D272" s="265"/>
      <c r="E272" s="265"/>
      <c r="F272" s="265"/>
      <c r="G272" s="265"/>
      <c r="H272" s="265"/>
      <c r="I272" s="265"/>
      <c r="J272" s="265"/>
      <c r="K272" s="265"/>
      <c r="L272" s="265"/>
      <c r="M272" s="265"/>
      <c r="N272" s="265"/>
      <c r="O272" s="265"/>
      <c r="P272" s="265"/>
      <c r="Q272" s="265"/>
      <c r="R272" s="265"/>
      <c r="S272" s="265"/>
      <c r="T272" s="265"/>
      <c r="U272" s="265"/>
      <c r="V272" s="265"/>
      <c r="W272" s="265"/>
      <c r="X272" s="265"/>
      <c r="Y272" s="265"/>
      <c r="Z272" s="265"/>
      <c r="AA272" s="265"/>
      <c r="AB272" s="265"/>
    </row>
    <row r="273" spans="1:28" ht="13.5" customHeight="1">
      <c r="A273" s="265"/>
      <c r="B273" s="265"/>
      <c r="C273" s="265"/>
      <c r="D273" s="265"/>
      <c r="E273" s="265"/>
      <c r="F273" s="265"/>
      <c r="G273" s="265"/>
      <c r="H273" s="265"/>
      <c r="I273" s="265"/>
      <c r="J273" s="265"/>
      <c r="K273" s="265"/>
      <c r="L273" s="265"/>
      <c r="M273" s="265"/>
      <c r="N273" s="265"/>
      <c r="O273" s="265"/>
      <c r="P273" s="265"/>
      <c r="Q273" s="265"/>
      <c r="R273" s="265"/>
      <c r="S273" s="265"/>
      <c r="T273" s="265"/>
      <c r="U273" s="265"/>
      <c r="V273" s="265"/>
      <c r="W273" s="265"/>
      <c r="X273" s="265"/>
      <c r="Y273" s="265"/>
      <c r="Z273" s="265"/>
      <c r="AA273" s="265"/>
      <c r="AB273" s="265"/>
    </row>
    <row r="274" spans="1:28" ht="13.5" customHeight="1">
      <c r="A274" s="265"/>
      <c r="B274" s="265"/>
      <c r="C274" s="265"/>
      <c r="D274" s="265"/>
      <c r="E274" s="265"/>
      <c r="F274" s="265"/>
      <c r="G274" s="265"/>
      <c r="H274" s="265"/>
      <c r="I274" s="265"/>
      <c r="J274" s="265"/>
      <c r="K274" s="265"/>
      <c r="L274" s="265"/>
      <c r="M274" s="265"/>
      <c r="N274" s="265"/>
      <c r="O274" s="265"/>
      <c r="P274" s="265"/>
      <c r="Q274" s="265"/>
      <c r="R274" s="265"/>
      <c r="S274" s="265"/>
      <c r="T274" s="265"/>
      <c r="U274" s="265"/>
      <c r="V274" s="265"/>
      <c r="W274" s="265"/>
      <c r="X274" s="265"/>
      <c r="Y274" s="265"/>
      <c r="Z274" s="265"/>
      <c r="AA274" s="265"/>
      <c r="AB274" s="265"/>
    </row>
    <row r="275" spans="1:28" ht="13.5" customHeight="1">
      <c r="A275" s="265"/>
      <c r="B275" s="265"/>
      <c r="C275" s="265"/>
      <c r="D275" s="265"/>
      <c r="E275" s="265"/>
      <c r="F275" s="265"/>
      <c r="G275" s="265"/>
      <c r="H275" s="265"/>
      <c r="I275" s="265"/>
      <c r="J275" s="265"/>
      <c r="K275" s="265"/>
      <c r="L275" s="265"/>
      <c r="M275" s="265"/>
      <c r="N275" s="265"/>
      <c r="O275" s="265"/>
      <c r="P275" s="265"/>
      <c r="Q275" s="265"/>
      <c r="R275" s="265"/>
      <c r="S275" s="265"/>
      <c r="T275" s="265"/>
      <c r="U275" s="265"/>
      <c r="V275" s="265"/>
      <c r="W275" s="265"/>
      <c r="X275" s="265"/>
      <c r="Y275" s="265"/>
      <c r="Z275" s="265"/>
      <c r="AA275" s="265"/>
      <c r="AB275" s="265"/>
    </row>
    <row r="276" spans="1:28" ht="13.5" customHeight="1">
      <c r="A276" s="265"/>
      <c r="B276" s="265"/>
      <c r="C276" s="265"/>
      <c r="D276" s="265"/>
      <c r="E276" s="265"/>
      <c r="F276" s="265"/>
      <c r="G276" s="265"/>
      <c r="H276" s="265"/>
      <c r="I276" s="265"/>
      <c r="J276" s="265"/>
      <c r="K276" s="265"/>
      <c r="L276" s="265"/>
      <c r="M276" s="265"/>
      <c r="N276" s="265"/>
      <c r="O276" s="265"/>
      <c r="P276" s="265"/>
      <c r="Q276" s="265"/>
      <c r="R276" s="265"/>
      <c r="S276" s="265"/>
      <c r="T276" s="265"/>
      <c r="U276" s="265"/>
      <c r="V276" s="265"/>
      <c r="W276" s="265"/>
      <c r="X276" s="265"/>
      <c r="Y276" s="265"/>
      <c r="Z276" s="265"/>
      <c r="AA276" s="265"/>
      <c r="AB276" s="265"/>
    </row>
    <row r="277" spans="1:28" ht="13.5" customHeight="1">
      <c r="A277" s="265"/>
      <c r="B277" s="265"/>
      <c r="C277" s="265"/>
      <c r="D277" s="265"/>
      <c r="E277" s="265"/>
      <c r="F277" s="265"/>
      <c r="G277" s="265"/>
      <c r="H277" s="265"/>
      <c r="I277" s="265"/>
      <c r="J277" s="265"/>
      <c r="K277" s="265"/>
      <c r="L277" s="265"/>
      <c r="M277" s="265"/>
      <c r="N277" s="265"/>
      <c r="O277" s="265"/>
      <c r="P277" s="265"/>
      <c r="Q277" s="265"/>
      <c r="R277" s="265"/>
      <c r="S277" s="265"/>
      <c r="T277" s="265"/>
      <c r="U277" s="265"/>
      <c r="V277" s="265"/>
      <c r="W277" s="265"/>
      <c r="X277" s="265"/>
      <c r="Y277" s="265"/>
      <c r="Z277" s="265"/>
      <c r="AA277" s="265"/>
      <c r="AB277" s="265"/>
    </row>
    <row r="278" spans="1:28" ht="13.5" customHeight="1">
      <c r="A278" s="265"/>
      <c r="B278" s="265"/>
      <c r="C278" s="265"/>
      <c r="D278" s="265"/>
      <c r="E278" s="265"/>
      <c r="F278" s="265"/>
      <c r="G278" s="265"/>
      <c r="H278" s="265"/>
      <c r="I278" s="265"/>
      <c r="J278" s="265"/>
      <c r="K278" s="265"/>
      <c r="L278" s="265"/>
      <c r="M278" s="265"/>
      <c r="N278" s="265"/>
      <c r="O278" s="265"/>
      <c r="P278" s="265"/>
      <c r="Q278" s="265"/>
      <c r="R278" s="265"/>
      <c r="S278" s="265"/>
      <c r="T278" s="265"/>
      <c r="U278" s="265"/>
      <c r="V278" s="265"/>
      <c r="W278" s="265"/>
      <c r="X278" s="265"/>
      <c r="Y278" s="265"/>
      <c r="Z278" s="265"/>
      <c r="AA278" s="265"/>
      <c r="AB278" s="265"/>
    </row>
    <row r="279" spans="1:28" ht="13.5" customHeight="1">
      <c r="A279" s="265"/>
      <c r="B279" s="265"/>
      <c r="C279" s="265"/>
      <c r="D279" s="265"/>
      <c r="E279" s="265"/>
      <c r="F279" s="265"/>
      <c r="G279" s="265"/>
      <c r="H279" s="265"/>
      <c r="I279" s="265"/>
      <c r="J279" s="265"/>
      <c r="K279" s="265"/>
      <c r="L279" s="265"/>
      <c r="M279" s="265"/>
      <c r="N279" s="265"/>
      <c r="O279" s="265"/>
      <c r="P279" s="265"/>
      <c r="Q279" s="265"/>
      <c r="R279" s="265"/>
      <c r="S279" s="265"/>
      <c r="T279" s="265"/>
      <c r="U279" s="265"/>
      <c r="V279" s="265"/>
      <c r="W279" s="265"/>
      <c r="X279" s="265"/>
      <c r="Y279" s="265"/>
      <c r="Z279" s="265"/>
      <c r="AA279" s="265"/>
      <c r="AB279" s="265"/>
    </row>
    <row r="280" spans="1:28" ht="13.5" customHeight="1">
      <c r="A280" s="265"/>
      <c r="B280" s="265"/>
      <c r="C280" s="265"/>
      <c r="D280" s="265"/>
      <c r="E280" s="265"/>
      <c r="F280" s="265"/>
      <c r="G280" s="265"/>
      <c r="H280" s="265"/>
      <c r="I280" s="265"/>
      <c r="J280" s="265"/>
      <c r="K280" s="265"/>
      <c r="L280" s="265"/>
      <c r="M280" s="265"/>
      <c r="N280" s="265"/>
      <c r="O280" s="265"/>
      <c r="P280" s="265"/>
      <c r="Q280" s="265"/>
      <c r="R280" s="265"/>
      <c r="S280" s="265"/>
      <c r="T280" s="265"/>
      <c r="U280" s="265"/>
      <c r="V280" s="265"/>
      <c r="W280" s="265"/>
      <c r="X280" s="265"/>
      <c r="Y280" s="265"/>
      <c r="Z280" s="265"/>
      <c r="AA280" s="265"/>
      <c r="AB280" s="265"/>
    </row>
    <row r="281" spans="1:28" ht="13.5" customHeight="1">
      <c r="A281" s="265"/>
      <c r="B281" s="265"/>
      <c r="C281" s="265"/>
      <c r="D281" s="265"/>
      <c r="E281" s="265"/>
      <c r="F281" s="265"/>
      <c r="G281" s="265"/>
      <c r="H281" s="265"/>
      <c r="I281" s="265"/>
      <c r="J281" s="265"/>
      <c r="K281" s="265"/>
      <c r="L281" s="265"/>
      <c r="M281" s="265"/>
      <c r="N281" s="265"/>
      <c r="O281" s="265"/>
      <c r="P281" s="265"/>
      <c r="Q281" s="265"/>
      <c r="R281" s="265"/>
      <c r="S281" s="265"/>
      <c r="T281" s="265"/>
      <c r="U281" s="265"/>
      <c r="V281" s="265"/>
      <c r="W281" s="265"/>
      <c r="X281" s="265"/>
      <c r="Y281" s="265"/>
      <c r="Z281" s="265"/>
      <c r="AA281" s="265"/>
      <c r="AB281" s="265"/>
    </row>
    <row r="282" spans="1:28" ht="13.5" customHeight="1">
      <c r="A282" s="265"/>
      <c r="B282" s="265"/>
      <c r="C282" s="265"/>
      <c r="D282" s="265"/>
      <c r="E282" s="265"/>
      <c r="F282" s="265"/>
      <c r="G282" s="265"/>
      <c r="H282" s="265"/>
      <c r="I282" s="265"/>
      <c r="J282" s="265"/>
      <c r="K282" s="265"/>
      <c r="L282" s="265"/>
      <c r="M282" s="265"/>
      <c r="N282" s="265"/>
      <c r="O282" s="265"/>
      <c r="P282" s="265"/>
      <c r="Q282" s="265"/>
      <c r="R282" s="265"/>
      <c r="S282" s="265"/>
      <c r="T282" s="265"/>
      <c r="U282" s="265"/>
      <c r="V282" s="265"/>
      <c r="W282" s="265"/>
      <c r="X282" s="265"/>
      <c r="Y282" s="265"/>
      <c r="Z282" s="265"/>
      <c r="AA282" s="265"/>
      <c r="AB282" s="265"/>
    </row>
    <row r="283" spans="1:28" ht="13.5" customHeight="1">
      <c r="A283" s="265"/>
      <c r="B283" s="265"/>
      <c r="C283" s="265"/>
      <c r="D283" s="265"/>
      <c r="E283" s="265"/>
      <c r="F283" s="265"/>
      <c r="G283" s="265"/>
      <c r="H283" s="265"/>
      <c r="I283" s="265"/>
      <c r="J283" s="265"/>
      <c r="K283" s="265"/>
      <c r="L283" s="265"/>
      <c r="M283" s="265"/>
      <c r="N283" s="265"/>
      <c r="O283" s="265"/>
      <c r="P283" s="265"/>
      <c r="Q283" s="265"/>
      <c r="R283" s="265"/>
      <c r="S283" s="265"/>
      <c r="T283" s="265"/>
      <c r="U283" s="265"/>
      <c r="V283" s="265"/>
      <c r="W283" s="265"/>
      <c r="X283" s="265"/>
      <c r="Y283" s="265"/>
      <c r="Z283" s="265"/>
      <c r="AA283" s="265"/>
      <c r="AB283" s="265"/>
    </row>
    <row r="284" spans="1:28" ht="13.5" customHeight="1">
      <c r="A284" s="265"/>
      <c r="B284" s="265"/>
      <c r="C284" s="265"/>
      <c r="D284" s="265"/>
      <c r="E284" s="265"/>
      <c r="F284" s="265"/>
      <c r="G284" s="265"/>
      <c r="H284" s="265"/>
      <c r="I284" s="265"/>
      <c r="J284" s="265"/>
      <c r="K284" s="265"/>
      <c r="L284" s="265"/>
      <c r="M284" s="265"/>
      <c r="N284" s="265"/>
      <c r="O284" s="265"/>
      <c r="P284" s="265"/>
      <c r="Q284" s="265"/>
      <c r="R284" s="265"/>
      <c r="S284" s="265"/>
      <c r="T284" s="265"/>
      <c r="U284" s="265"/>
      <c r="V284" s="265"/>
      <c r="W284" s="265"/>
      <c r="X284" s="265"/>
      <c r="Y284" s="265"/>
      <c r="Z284" s="265"/>
      <c r="AA284" s="265"/>
      <c r="AB284" s="265"/>
    </row>
    <row r="285" spans="1:28" ht="13.5" customHeight="1">
      <c r="A285" s="265"/>
      <c r="B285" s="265"/>
      <c r="C285" s="265"/>
      <c r="D285" s="265"/>
      <c r="E285" s="265"/>
      <c r="F285" s="265"/>
      <c r="G285" s="265"/>
      <c r="H285" s="265"/>
      <c r="I285" s="265"/>
      <c r="J285" s="265"/>
      <c r="K285" s="265"/>
      <c r="L285" s="265"/>
      <c r="M285" s="265"/>
      <c r="N285" s="265"/>
      <c r="O285" s="265"/>
      <c r="P285" s="265"/>
      <c r="Q285" s="265"/>
      <c r="R285" s="265"/>
      <c r="S285" s="265"/>
      <c r="T285" s="265"/>
      <c r="U285" s="265"/>
      <c r="V285" s="265"/>
      <c r="W285" s="265"/>
      <c r="X285" s="265"/>
      <c r="Y285" s="265"/>
      <c r="Z285" s="265"/>
      <c r="AA285" s="265"/>
      <c r="AB285" s="265"/>
    </row>
    <row r="286" spans="1:28" ht="13.5" customHeight="1">
      <c r="A286" s="265"/>
      <c r="B286" s="265"/>
      <c r="C286" s="265"/>
      <c r="D286" s="265"/>
      <c r="E286" s="265"/>
      <c r="F286" s="265"/>
      <c r="G286" s="265"/>
      <c r="H286" s="265"/>
      <c r="I286" s="265"/>
      <c r="J286" s="265"/>
      <c r="K286" s="265"/>
      <c r="L286" s="265"/>
      <c r="M286" s="265"/>
      <c r="N286" s="265"/>
      <c r="O286" s="265"/>
      <c r="P286" s="265"/>
      <c r="Q286" s="265"/>
      <c r="R286" s="265"/>
      <c r="S286" s="265"/>
      <c r="T286" s="265"/>
      <c r="U286" s="265"/>
      <c r="V286" s="265"/>
      <c r="W286" s="265"/>
      <c r="X286" s="265"/>
      <c r="Y286" s="265"/>
      <c r="Z286" s="265"/>
      <c r="AA286" s="265"/>
      <c r="AB286" s="265"/>
    </row>
    <row r="287" spans="1:28" ht="13.5" customHeight="1">
      <c r="A287" s="265"/>
      <c r="B287" s="265"/>
      <c r="C287" s="265"/>
      <c r="D287" s="265"/>
      <c r="E287" s="265"/>
      <c r="F287" s="265"/>
      <c r="G287" s="265"/>
      <c r="H287" s="265"/>
      <c r="I287" s="265"/>
      <c r="J287" s="265"/>
      <c r="K287" s="265"/>
      <c r="L287" s="265"/>
      <c r="M287" s="265"/>
      <c r="N287" s="265"/>
      <c r="O287" s="265"/>
      <c r="P287" s="265"/>
      <c r="Q287" s="265"/>
      <c r="R287" s="265"/>
      <c r="S287" s="265"/>
      <c r="T287" s="265"/>
      <c r="U287" s="265"/>
      <c r="V287" s="265"/>
      <c r="W287" s="265"/>
      <c r="X287" s="265"/>
      <c r="Y287" s="265"/>
      <c r="Z287" s="265"/>
      <c r="AA287" s="265"/>
      <c r="AB287" s="265"/>
    </row>
    <row r="288" spans="1:28" ht="13.5" customHeight="1">
      <c r="A288" s="265"/>
      <c r="B288" s="265"/>
      <c r="C288" s="265"/>
      <c r="D288" s="265"/>
      <c r="E288" s="265"/>
      <c r="F288" s="265"/>
      <c r="G288" s="265"/>
      <c r="H288" s="265"/>
      <c r="I288" s="265"/>
      <c r="J288" s="265"/>
      <c r="K288" s="265"/>
      <c r="L288" s="265"/>
      <c r="M288" s="265"/>
      <c r="N288" s="265"/>
      <c r="O288" s="265"/>
      <c r="P288" s="265"/>
      <c r="Q288" s="265"/>
      <c r="R288" s="265"/>
      <c r="S288" s="265"/>
      <c r="T288" s="265"/>
      <c r="U288" s="265"/>
      <c r="V288" s="265"/>
      <c r="W288" s="265"/>
      <c r="X288" s="265"/>
      <c r="Y288" s="265"/>
      <c r="Z288" s="265"/>
      <c r="AA288" s="265"/>
      <c r="AB288" s="265"/>
    </row>
    <row r="289" spans="1:28" ht="13.5" customHeight="1">
      <c r="A289" s="265"/>
      <c r="B289" s="265"/>
      <c r="C289" s="265"/>
      <c r="D289" s="265"/>
      <c r="E289" s="265"/>
      <c r="F289" s="265"/>
      <c r="G289" s="265"/>
      <c r="H289" s="265"/>
      <c r="I289" s="265"/>
      <c r="J289" s="265"/>
      <c r="K289" s="265"/>
      <c r="L289" s="265"/>
      <c r="M289" s="265"/>
      <c r="N289" s="265"/>
      <c r="O289" s="265"/>
      <c r="P289" s="265"/>
      <c r="Q289" s="265"/>
      <c r="R289" s="265"/>
      <c r="S289" s="265"/>
      <c r="T289" s="265"/>
      <c r="U289" s="265"/>
      <c r="V289" s="265"/>
      <c r="W289" s="265"/>
      <c r="X289" s="265"/>
      <c r="Y289" s="265"/>
      <c r="Z289" s="265"/>
      <c r="AA289" s="265"/>
      <c r="AB289" s="265"/>
    </row>
    <row r="290" spans="1:28" ht="13.5" customHeight="1">
      <c r="A290" s="265"/>
      <c r="B290" s="265"/>
      <c r="C290" s="265"/>
      <c r="D290" s="265"/>
      <c r="E290" s="265"/>
      <c r="F290" s="265"/>
      <c r="G290" s="265"/>
      <c r="H290" s="265"/>
      <c r="I290" s="265"/>
      <c r="J290" s="265"/>
      <c r="K290" s="265"/>
      <c r="L290" s="265"/>
      <c r="M290" s="265"/>
      <c r="N290" s="265"/>
      <c r="O290" s="265"/>
      <c r="P290" s="265"/>
      <c r="Q290" s="265"/>
      <c r="R290" s="265"/>
      <c r="S290" s="265"/>
      <c r="T290" s="265"/>
      <c r="U290" s="265"/>
      <c r="V290" s="265"/>
      <c r="W290" s="265"/>
      <c r="X290" s="265"/>
      <c r="Y290" s="265"/>
      <c r="Z290" s="265"/>
      <c r="AA290" s="265"/>
      <c r="AB290" s="265"/>
    </row>
    <row r="291" spans="1:28" ht="13.5" customHeight="1">
      <c r="A291" s="265"/>
      <c r="B291" s="265"/>
      <c r="C291" s="265"/>
      <c r="D291" s="265"/>
      <c r="E291" s="265"/>
      <c r="F291" s="265"/>
      <c r="G291" s="265"/>
      <c r="H291" s="265"/>
      <c r="I291" s="265"/>
      <c r="J291" s="265"/>
      <c r="K291" s="265"/>
      <c r="L291" s="265"/>
      <c r="M291" s="265"/>
      <c r="N291" s="265"/>
      <c r="O291" s="265"/>
      <c r="P291" s="265"/>
      <c r="Q291" s="265"/>
      <c r="R291" s="265"/>
      <c r="S291" s="265"/>
      <c r="T291" s="265"/>
      <c r="U291" s="265"/>
      <c r="V291" s="265"/>
      <c r="W291" s="265"/>
      <c r="X291" s="265"/>
      <c r="Y291" s="265"/>
      <c r="Z291" s="265"/>
      <c r="AA291" s="265"/>
      <c r="AB291" s="265"/>
    </row>
    <row r="292" spans="1:28" ht="13.5" customHeight="1">
      <c r="A292" s="265"/>
      <c r="B292" s="265"/>
      <c r="C292" s="265"/>
      <c r="D292" s="265"/>
      <c r="E292" s="265"/>
      <c r="F292" s="265"/>
      <c r="G292" s="265"/>
      <c r="H292" s="265"/>
      <c r="I292" s="265"/>
      <c r="J292" s="265"/>
      <c r="K292" s="265"/>
      <c r="L292" s="265"/>
      <c r="M292" s="265"/>
      <c r="N292" s="265"/>
      <c r="O292" s="265"/>
      <c r="P292" s="265"/>
      <c r="Q292" s="265"/>
      <c r="R292" s="265"/>
      <c r="S292" s="265"/>
      <c r="T292" s="265"/>
      <c r="U292" s="265"/>
      <c r="V292" s="265"/>
      <c r="W292" s="265"/>
      <c r="X292" s="265"/>
      <c r="Y292" s="265"/>
      <c r="Z292" s="265"/>
      <c r="AA292" s="265"/>
      <c r="AB292" s="265"/>
    </row>
    <row r="293" spans="1:28" ht="13.5" customHeight="1">
      <c r="A293" s="265"/>
      <c r="B293" s="265"/>
      <c r="C293" s="265"/>
      <c r="D293" s="265"/>
      <c r="E293" s="265"/>
      <c r="F293" s="265"/>
      <c r="G293" s="265"/>
      <c r="H293" s="265"/>
      <c r="I293" s="265"/>
      <c r="J293" s="265"/>
      <c r="K293" s="265"/>
      <c r="L293" s="265"/>
      <c r="M293" s="265"/>
      <c r="N293" s="265"/>
      <c r="O293" s="265"/>
      <c r="P293" s="265"/>
      <c r="Q293" s="265"/>
      <c r="R293" s="265"/>
      <c r="S293" s="265"/>
      <c r="T293" s="265"/>
      <c r="U293" s="265"/>
      <c r="V293" s="265"/>
      <c r="W293" s="265"/>
      <c r="X293" s="265"/>
      <c r="Y293" s="265"/>
      <c r="Z293" s="265"/>
      <c r="AA293" s="265"/>
      <c r="AB293" s="265"/>
    </row>
    <row r="294" spans="1:28" ht="13.5" customHeight="1">
      <c r="A294" s="265"/>
      <c r="B294" s="265"/>
      <c r="C294" s="265"/>
      <c r="D294" s="265"/>
      <c r="E294" s="265"/>
      <c r="F294" s="265"/>
      <c r="G294" s="265"/>
      <c r="H294" s="265"/>
      <c r="I294" s="265"/>
      <c r="J294" s="265"/>
      <c r="K294" s="265"/>
      <c r="L294" s="265"/>
      <c r="M294" s="265"/>
      <c r="N294" s="265"/>
      <c r="O294" s="265"/>
      <c r="P294" s="265"/>
      <c r="Q294" s="265"/>
      <c r="R294" s="265"/>
      <c r="S294" s="265"/>
      <c r="T294" s="265"/>
      <c r="U294" s="265"/>
      <c r="V294" s="265"/>
      <c r="W294" s="265"/>
      <c r="X294" s="265"/>
      <c r="Y294" s="265"/>
      <c r="Z294" s="265"/>
      <c r="AA294" s="265"/>
      <c r="AB294" s="265"/>
    </row>
    <row r="295" spans="1:28" ht="13.5" customHeight="1">
      <c r="A295" s="265"/>
      <c r="B295" s="265"/>
      <c r="C295" s="265"/>
      <c r="D295" s="265"/>
      <c r="E295" s="265"/>
      <c r="F295" s="265"/>
      <c r="G295" s="265"/>
      <c r="H295" s="265"/>
      <c r="I295" s="265"/>
      <c r="J295" s="265"/>
      <c r="K295" s="265"/>
      <c r="L295" s="265"/>
      <c r="M295" s="265"/>
      <c r="N295" s="265"/>
      <c r="O295" s="265"/>
      <c r="P295" s="265"/>
      <c r="Q295" s="265"/>
      <c r="R295" s="265"/>
      <c r="S295" s="265"/>
      <c r="T295" s="265"/>
      <c r="U295" s="265"/>
      <c r="V295" s="265"/>
      <c r="W295" s="265"/>
      <c r="X295" s="265"/>
      <c r="Y295" s="265"/>
      <c r="Z295" s="265"/>
      <c r="AA295" s="265"/>
      <c r="AB295" s="265"/>
    </row>
    <row r="296" spans="1:28" ht="13.5" customHeight="1">
      <c r="A296" s="265"/>
      <c r="B296" s="265"/>
      <c r="C296" s="265"/>
      <c r="D296" s="265"/>
      <c r="E296" s="265"/>
      <c r="F296" s="265"/>
      <c r="G296" s="265"/>
      <c r="H296" s="265"/>
      <c r="I296" s="265"/>
      <c r="J296" s="265"/>
      <c r="K296" s="265"/>
      <c r="L296" s="265"/>
      <c r="M296" s="265"/>
      <c r="N296" s="265"/>
      <c r="O296" s="265"/>
      <c r="P296" s="265"/>
      <c r="Q296" s="265"/>
      <c r="R296" s="265"/>
      <c r="S296" s="265"/>
      <c r="T296" s="265"/>
      <c r="U296" s="265"/>
      <c r="V296" s="265"/>
      <c r="W296" s="265"/>
      <c r="X296" s="265"/>
      <c r="Y296" s="265"/>
      <c r="Z296" s="265"/>
      <c r="AA296" s="265"/>
      <c r="AB296" s="265"/>
    </row>
    <row r="297" spans="1:28" ht="13.5" customHeight="1">
      <c r="A297" s="265"/>
      <c r="B297" s="265"/>
      <c r="C297" s="265"/>
      <c r="D297" s="265"/>
      <c r="E297" s="265"/>
      <c r="F297" s="265"/>
      <c r="G297" s="265"/>
      <c r="H297" s="265"/>
      <c r="I297" s="265"/>
      <c r="J297" s="265"/>
      <c r="K297" s="265"/>
      <c r="L297" s="265"/>
      <c r="M297" s="265"/>
      <c r="N297" s="265"/>
      <c r="O297" s="265"/>
      <c r="P297" s="265"/>
      <c r="Q297" s="265"/>
      <c r="R297" s="265"/>
      <c r="S297" s="265"/>
      <c r="T297" s="265"/>
      <c r="U297" s="265"/>
      <c r="V297" s="265"/>
      <c r="W297" s="265"/>
      <c r="X297" s="265"/>
      <c r="Y297" s="265"/>
      <c r="Z297" s="265"/>
      <c r="AA297" s="265"/>
      <c r="AB297" s="265"/>
    </row>
    <row r="298" spans="1:28" ht="13.5" customHeight="1">
      <c r="A298" s="265"/>
      <c r="B298" s="265"/>
      <c r="C298" s="265"/>
      <c r="D298" s="265"/>
      <c r="E298" s="265"/>
      <c r="F298" s="265"/>
      <c r="G298" s="265"/>
      <c r="H298" s="265"/>
      <c r="I298" s="265"/>
      <c r="J298" s="265"/>
      <c r="K298" s="265"/>
      <c r="L298" s="265"/>
      <c r="M298" s="265"/>
      <c r="N298" s="265"/>
      <c r="O298" s="265"/>
      <c r="P298" s="265"/>
      <c r="Q298" s="265"/>
      <c r="R298" s="265"/>
      <c r="S298" s="265"/>
      <c r="T298" s="265"/>
      <c r="U298" s="265"/>
      <c r="V298" s="265"/>
      <c r="W298" s="265"/>
      <c r="X298" s="265"/>
      <c r="Y298" s="265"/>
      <c r="Z298" s="265"/>
      <c r="AA298" s="265"/>
      <c r="AB298" s="265"/>
    </row>
    <row r="299" spans="1:28" ht="13.5" customHeight="1">
      <c r="A299" s="265"/>
      <c r="B299" s="265"/>
      <c r="C299" s="265"/>
      <c r="D299" s="265"/>
      <c r="E299" s="265"/>
      <c r="F299" s="265"/>
      <c r="G299" s="265"/>
      <c r="H299" s="265"/>
      <c r="I299" s="265"/>
      <c r="J299" s="265"/>
      <c r="K299" s="265"/>
      <c r="L299" s="265"/>
      <c r="M299" s="265"/>
      <c r="N299" s="265"/>
      <c r="O299" s="265"/>
      <c r="P299" s="265"/>
      <c r="Q299" s="265"/>
      <c r="R299" s="265"/>
      <c r="S299" s="265"/>
      <c r="T299" s="265"/>
      <c r="U299" s="265"/>
      <c r="V299" s="265"/>
      <c r="W299" s="265"/>
      <c r="X299" s="265"/>
      <c r="Y299" s="265"/>
      <c r="Z299" s="265"/>
      <c r="AA299" s="265"/>
      <c r="AB299" s="265"/>
    </row>
    <row r="300" spans="1:28" ht="13.5" customHeight="1">
      <c r="A300" s="265"/>
      <c r="B300" s="265"/>
      <c r="C300" s="265"/>
      <c r="D300" s="265"/>
      <c r="E300" s="265"/>
      <c r="F300" s="265"/>
      <c r="G300" s="265"/>
      <c r="H300" s="265"/>
      <c r="I300" s="265"/>
      <c r="J300" s="265"/>
      <c r="K300" s="265"/>
      <c r="L300" s="265"/>
      <c r="M300" s="265"/>
      <c r="N300" s="265"/>
      <c r="O300" s="265"/>
      <c r="P300" s="265"/>
      <c r="Q300" s="265"/>
      <c r="R300" s="265"/>
      <c r="S300" s="265"/>
      <c r="T300" s="265"/>
      <c r="U300" s="265"/>
      <c r="V300" s="265"/>
      <c r="W300" s="265"/>
      <c r="X300" s="265"/>
      <c r="Y300" s="265"/>
      <c r="Z300" s="265"/>
      <c r="AA300" s="265"/>
      <c r="AB300" s="265"/>
    </row>
    <row r="301" spans="1:28" ht="13.5" customHeight="1">
      <c r="A301" s="265"/>
      <c r="B301" s="265"/>
      <c r="C301" s="265"/>
      <c r="D301" s="265"/>
      <c r="E301" s="265"/>
      <c r="F301" s="265"/>
      <c r="G301" s="265"/>
      <c r="H301" s="265"/>
      <c r="I301" s="265"/>
      <c r="J301" s="265"/>
      <c r="K301" s="265"/>
      <c r="L301" s="265"/>
      <c r="M301" s="265"/>
      <c r="N301" s="265"/>
      <c r="O301" s="265"/>
      <c r="P301" s="265"/>
      <c r="Q301" s="265"/>
      <c r="R301" s="265"/>
      <c r="S301" s="265"/>
      <c r="T301" s="265"/>
      <c r="U301" s="265"/>
      <c r="V301" s="265"/>
      <c r="W301" s="265"/>
      <c r="X301" s="265"/>
      <c r="Y301" s="265"/>
      <c r="Z301" s="265"/>
      <c r="AA301" s="265"/>
      <c r="AB301" s="265"/>
    </row>
    <row r="302" spans="1:28" ht="13.5" customHeight="1">
      <c r="A302" s="265"/>
      <c r="B302" s="265"/>
      <c r="C302" s="265"/>
      <c r="D302" s="265"/>
      <c r="E302" s="265"/>
      <c r="F302" s="265"/>
      <c r="G302" s="265"/>
      <c r="H302" s="265"/>
      <c r="I302" s="265"/>
      <c r="J302" s="265"/>
      <c r="K302" s="265"/>
      <c r="L302" s="265"/>
      <c r="M302" s="265"/>
      <c r="N302" s="265"/>
      <c r="O302" s="265"/>
      <c r="P302" s="265"/>
      <c r="Q302" s="265"/>
      <c r="R302" s="265"/>
      <c r="S302" s="265"/>
      <c r="T302" s="265"/>
      <c r="U302" s="265"/>
      <c r="V302" s="265"/>
      <c r="W302" s="265"/>
      <c r="X302" s="265"/>
      <c r="Y302" s="265"/>
      <c r="Z302" s="265"/>
      <c r="AA302" s="265"/>
      <c r="AB302" s="265"/>
    </row>
    <row r="303" spans="1:28" ht="13.5" customHeight="1">
      <c r="A303" s="265"/>
      <c r="B303" s="265"/>
      <c r="C303" s="265"/>
      <c r="D303" s="265"/>
      <c r="E303" s="265"/>
      <c r="F303" s="265"/>
      <c r="G303" s="265"/>
      <c r="H303" s="265"/>
      <c r="I303" s="265"/>
      <c r="J303" s="265"/>
      <c r="K303" s="265"/>
      <c r="L303" s="265"/>
      <c r="M303" s="265"/>
      <c r="N303" s="265"/>
      <c r="O303" s="265"/>
      <c r="P303" s="265"/>
      <c r="Q303" s="265"/>
      <c r="R303" s="265"/>
      <c r="S303" s="265"/>
      <c r="T303" s="265"/>
      <c r="U303" s="265"/>
      <c r="V303" s="265"/>
      <c r="W303" s="265"/>
      <c r="X303" s="265"/>
      <c r="Y303" s="265"/>
      <c r="Z303" s="265"/>
      <c r="AA303" s="265"/>
      <c r="AB303" s="265"/>
    </row>
    <row r="304" spans="1:28" ht="13.5" customHeight="1">
      <c r="A304" s="265"/>
      <c r="B304" s="265"/>
      <c r="C304" s="265"/>
      <c r="D304" s="265"/>
      <c r="E304" s="265"/>
      <c r="F304" s="265"/>
      <c r="G304" s="265"/>
      <c r="H304" s="265"/>
      <c r="I304" s="265"/>
      <c r="J304" s="265"/>
      <c r="K304" s="265"/>
      <c r="L304" s="265"/>
      <c r="M304" s="265"/>
      <c r="N304" s="265"/>
      <c r="O304" s="265"/>
      <c r="P304" s="265"/>
      <c r="Q304" s="265"/>
      <c r="R304" s="265"/>
      <c r="S304" s="265"/>
      <c r="T304" s="265"/>
      <c r="U304" s="265"/>
      <c r="V304" s="265"/>
      <c r="W304" s="265"/>
      <c r="X304" s="265"/>
      <c r="Y304" s="265"/>
      <c r="Z304" s="265"/>
      <c r="AA304" s="265"/>
      <c r="AB304" s="265"/>
    </row>
    <row r="305" spans="1:28" ht="13.5" customHeight="1">
      <c r="A305" s="265"/>
      <c r="B305" s="265"/>
      <c r="C305" s="265"/>
      <c r="D305" s="265"/>
      <c r="E305" s="265"/>
      <c r="F305" s="265"/>
      <c r="G305" s="265"/>
      <c r="H305" s="265"/>
      <c r="I305" s="265"/>
      <c r="J305" s="265"/>
      <c r="K305" s="265"/>
      <c r="L305" s="265"/>
      <c r="M305" s="265"/>
      <c r="N305" s="265"/>
      <c r="O305" s="265"/>
      <c r="P305" s="265"/>
      <c r="Q305" s="265"/>
      <c r="R305" s="265"/>
      <c r="S305" s="265"/>
      <c r="T305" s="265"/>
      <c r="U305" s="265"/>
      <c r="V305" s="265"/>
      <c r="W305" s="265"/>
      <c r="X305" s="265"/>
      <c r="Y305" s="265"/>
      <c r="Z305" s="265"/>
      <c r="AA305" s="265"/>
      <c r="AB305" s="265"/>
    </row>
    <row r="306" spans="1:28" ht="13.5" customHeight="1">
      <c r="A306" s="265"/>
      <c r="B306" s="265"/>
      <c r="C306" s="265"/>
      <c r="D306" s="265"/>
      <c r="E306" s="265"/>
      <c r="F306" s="265"/>
      <c r="G306" s="265"/>
      <c r="H306" s="265"/>
      <c r="I306" s="265"/>
      <c r="J306" s="265"/>
      <c r="K306" s="265"/>
      <c r="L306" s="265"/>
      <c r="M306" s="265"/>
      <c r="N306" s="265"/>
      <c r="O306" s="265"/>
      <c r="P306" s="265"/>
      <c r="Q306" s="265"/>
      <c r="R306" s="265"/>
      <c r="S306" s="265"/>
      <c r="T306" s="265"/>
      <c r="U306" s="265"/>
      <c r="V306" s="265"/>
      <c r="W306" s="265"/>
      <c r="X306" s="265"/>
      <c r="Y306" s="265"/>
      <c r="Z306" s="265"/>
      <c r="AA306" s="265"/>
      <c r="AB306" s="265"/>
    </row>
    <row r="307" spans="1:28" ht="13.5" customHeight="1">
      <c r="A307" s="265"/>
      <c r="B307" s="265"/>
      <c r="C307" s="265"/>
      <c r="D307" s="265"/>
      <c r="E307" s="265"/>
      <c r="F307" s="265"/>
      <c r="G307" s="265"/>
      <c r="H307" s="265"/>
      <c r="I307" s="265"/>
      <c r="J307" s="265"/>
      <c r="K307" s="265"/>
      <c r="L307" s="265"/>
      <c r="M307" s="265"/>
      <c r="N307" s="265"/>
      <c r="O307" s="265"/>
      <c r="P307" s="265"/>
      <c r="Q307" s="265"/>
      <c r="R307" s="265"/>
      <c r="S307" s="265"/>
      <c r="T307" s="265"/>
      <c r="U307" s="265"/>
      <c r="V307" s="265"/>
      <c r="W307" s="265"/>
      <c r="X307" s="265"/>
      <c r="Y307" s="265"/>
      <c r="Z307" s="265"/>
      <c r="AA307" s="265"/>
      <c r="AB307" s="265"/>
    </row>
    <row r="308" spans="1:28" ht="13.5" customHeight="1">
      <c r="A308" s="265"/>
      <c r="B308" s="265"/>
      <c r="C308" s="265"/>
      <c r="D308" s="265"/>
      <c r="E308" s="265"/>
      <c r="F308" s="265"/>
      <c r="G308" s="265"/>
      <c r="H308" s="265"/>
      <c r="I308" s="265"/>
      <c r="J308" s="265"/>
      <c r="K308" s="265"/>
      <c r="L308" s="265"/>
      <c r="M308" s="265"/>
      <c r="N308" s="265"/>
      <c r="O308" s="265"/>
      <c r="P308" s="265"/>
      <c r="Q308" s="265"/>
      <c r="R308" s="265"/>
      <c r="S308" s="265"/>
      <c r="T308" s="265"/>
      <c r="U308" s="265"/>
      <c r="V308" s="265"/>
      <c r="W308" s="265"/>
      <c r="X308" s="265"/>
      <c r="Y308" s="265"/>
      <c r="Z308" s="265"/>
      <c r="AA308" s="265"/>
      <c r="AB308" s="265"/>
    </row>
    <row r="309" spans="1:28" ht="13.5" customHeight="1">
      <c r="A309" s="265"/>
      <c r="B309" s="265"/>
      <c r="C309" s="265"/>
      <c r="D309" s="265"/>
      <c r="E309" s="265"/>
      <c r="F309" s="265"/>
      <c r="G309" s="265"/>
      <c r="H309" s="265"/>
      <c r="I309" s="265"/>
      <c r="J309" s="265"/>
      <c r="K309" s="265"/>
      <c r="L309" s="265"/>
      <c r="M309" s="265"/>
      <c r="N309" s="265"/>
      <c r="O309" s="265"/>
      <c r="P309" s="265"/>
      <c r="Q309" s="265"/>
      <c r="R309" s="265"/>
      <c r="S309" s="265"/>
      <c r="T309" s="265"/>
      <c r="U309" s="265"/>
      <c r="V309" s="265"/>
      <c r="W309" s="265"/>
      <c r="X309" s="265"/>
      <c r="Y309" s="265"/>
      <c r="Z309" s="265"/>
      <c r="AA309" s="265"/>
      <c r="AB309" s="265"/>
    </row>
    <row r="310" spans="1:28" ht="13.5" customHeight="1">
      <c r="A310" s="265"/>
      <c r="B310" s="265"/>
      <c r="C310" s="265"/>
      <c r="D310" s="265"/>
      <c r="E310" s="265"/>
      <c r="F310" s="265"/>
      <c r="G310" s="265"/>
      <c r="H310" s="265"/>
      <c r="I310" s="265"/>
      <c r="J310" s="265"/>
      <c r="K310" s="265"/>
      <c r="L310" s="265"/>
      <c r="M310" s="265"/>
      <c r="N310" s="265"/>
      <c r="O310" s="265"/>
      <c r="P310" s="265"/>
      <c r="Q310" s="265"/>
      <c r="R310" s="265"/>
      <c r="S310" s="265"/>
      <c r="T310" s="265"/>
      <c r="U310" s="265"/>
      <c r="V310" s="265"/>
      <c r="W310" s="265"/>
      <c r="X310" s="265"/>
      <c r="Y310" s="265"/>
      <c r="Z310" s="265"/>
      <c r="AA310" s="265"/>
      <c r="AB310" s="265"/>
    </row>
    <row r="311" spans="1:28" ht="13.5" customHeight="1">
      <c r="A311" s="265"/>
      <c r="B311" s="265"/>
      <c r="C311" s="265"/>
      <c r="D311" s="265"/>
      <c r="E311" s="265"/>
      <c r="F311" s="265"/>
      <c r="G311" s="265"/>
      <c r="H311" s="265"/>
      <c r="I311" s="265"/>
      <c r="J311" s="265"/>
      <c r="K311" s="265"/>
      <c r="L311" s="265"/>
      <c r="M311" s="265"/>
      <c r="N311" s="265"/>
      <c r="O311" s="265"/>
      <c r="P311" s="265"/>
      <c r="Q311" s="265"/>
      <c r="R311" s="265"/>
      <c r="S311" s="265"/>
      <c r="T311" s="265"/>
      <c r="U311" s="265"/>
      <c r="V311" s="265"/>
      <c r="W311" s="265"/>
      <c r="X311" s="265"/>
      <c r="Y311" s="265"/>
      <c r="Z311" s="265"/>
      <c r="AA311" s="265"/>
      <c r="AB311" s="265"/>
    </row>
    <row r="312" spans="1:28" ht="13.5" customHeight="1">
      <c r="A312" s="265"/>
      <c r="B312" s="265"/>
      <c r="C312" s="265"/>
      <c r="D312" s="265"/>
      <c r="E312" s="265"/>
      <c r="F312" s="265"/>
      <c r="G312" s="265"/>
      <c r="H312" s="265"/>
      <c r="I312" s="265"/>
      <c r="J312" s="265"/>
      <c r="K312" s="265"/>
      <c r="L312" s="265"/>
      <c r="M312" s="265"/>
      <c r="N312" s="265"/>
      <c r="O312" s="265"/>
      <c r="P312" s="265"/>
      <c r="Q312" s="265"/>
      <c r="R312" s="265"/>
      <c r="S312" s="265"/>
      <c r="T312" s="265"/>
      <c r="U312" s="265"/>
      <c r="V312" s="265"/>
      <c r="W312" s="265"/>
      <c r="X312" s="265"/>
      <c r="Y312" s="265"/>
      <c r="Z312" s="265"/>
      <c r="AA312" s="265"/>
      <c r="AB312" s="265"/>
    </row>
    <row r="313" spans="1:28" ht="13.5" customHeight="1">
      <c r="A313" s="265"/>
      <c r="B313" s="265"/>
      <c r="C313" s="265"/>
      <c r="D313" s="265"/>
      <c r="E313" s="265"/>
      <c r="F313" s="265"/>
      <c r="G313" s="265"/>
      <c r="H313" s="265"/>
      <c r="I313" s="265"/>
      <c r="J313" s="265"/>
      <c r="K313" s="265"/>
      <c r="L313" s="265"/>
      <c r="M313" s="265"/>
      <c r="N313" s="265"/>
      <c r="O313" s="265"/>
      <c r="P313" s="265"/>
      <c r="Q313" s="265"/>
      <c r="R313" s="265"/>
      <c r="S313" s="265"/>
      <c r="T313" s="265"/>
      <c r="U313" s="265"/>
      <c r="V313" s="265"/>
      <c r="W313" s="265"/>
      <c r="X313" s="265"/>
      <c r="Y313" s="265"/>
      <c r="Z313" s="265"/>
      <c r="AA313" s="265"/>
      <c r="AB313" s="265"/>
    </row>
    <row r="314" spans="1:28" ht="13.5" customHeight="1">
      <c r="A314" s="265"/>
      <c r="B314" s="265"/>
      <c r="C314" s="265"/>
      <c r="D314" s="265"/>
      <c r="E314" s="265"/>
      <c r="F314" s="265"/>
      <c r="G314" s="265"/>
      <c r="H314" s="265"/>
      <c r="I314" s="265"/>
      <c r="J314" s="265"/>
      <c r="K314" s="265"/>
      <c r="L314" s="265"/>
      <c r="M314" s="265"/>
      <c r="N314" s="265"/>
      <c r="O314" s="265"/>
      <c r="P314" s="265"/>
      <c r="Q314" s="265"/>
      <c r="R314" s="265"/>
      <c r="S314" s="265"/>
      <c r="T314" s="265"/>
      <c r="U314" s="265"/>
      <c r="V314" s="265"/>
      <c r="W314" s="265"/>
      <c r="X314" s="265"/>
      <c r="Y314" s="265"/>
      <c r="Z314" s="265"/>
      <c r="AA314" s="265"/>
      <c r="AB314" s="265"/>
    </row>
    <row r="315" spans="1:28" ht="13.5" customHeight="1">
      <c r="A315" s="265"/>
      <c r="B315" s="265"/>
      <c r="C315" s="265"/>
      <c r="D315" s="265"/>
      <c r="E315" s="265"/>
      <c r="F315" s="265"/>
      <c r="G315" s="265"/>
      <c r="H315" s="265"/>
      <c r="I315" s="265"/>
      <c r="J315" s="265"/>
      <c r="K315" s="265"/>
      <c r="L315" s="265"/>
      <c r="M315" s="265"/>
      <c r="N315" s="265"/>
      <c r="O315" s="265"/>
      <c r="P315" s="265"/>
      <c r="Q315" s="265"/>
      <c r="R315" s="265"/>
      <c r="S315" s="265"/>
      <c r="T315" s="265"/>
      <c r="U315" s="265"/>
      <c r="V315" s="265"/>
      <c r="W315" s="265"/>
      <c r="X315" s="265"/>
      <c r="Y315" s="265"/>
      <c r="Z315" s="265"/>
      <c r="AA315" s="265"/>
      <c r="AB315" s="265"/>
    </row>
    <row r="316" spans="1:28" ht="13.5" customHeight="1">
      <c r="A316" s="265"/>
      <c r="B316" s="265"/>
      <c r="C316" s="265"/>
      <c r="D316" s="265"/>
      <c r="E316" s="265"/>
      <c r="F316" s="265"/>
      <c r="G316" s="265"/>
      <c r="H316" s="265"/>
      <c r="I316" s="265"/>
      <c r="J316" s="265"/>
      <c r="K316" s="265"/>
      <c r="L316" s="265"/>
      <c r="M316" s="265"/>
      <c r="N316" s="265"/>
      <c r="O316" s="265"/>
      <c r="P316" s="265"/>
      <c r="Q316" s="265"/>
      <c r="R316" s="265"/>
      <c r="S316" s="265"/>
      <c r="T316" s="265"/>
      <c r="U316" s="265"/>
      <c r="V316" s="265"/>
      <c r="W316" s="265"/>
      <c r="X316" s="265"/>
      <c r="Y316" s="265"/>
      <c r="Z316" s="265"/>
      <c r="AA316" s="265"/>
      <c r="AB316" s="265"/>
    </row>
    <row r="317" spans="1:28" ht="13.5" customHeight="1">
      <c r="A317" s="265"/>
      <c r="B317" s="265"/>
      <c r="C317" s="265"/>
      <c r="D317" s="265"/>
      <c r="E317" s="265"/>
      <c r="F317" s="265"/>
      <c r="G317" s="265"/>
      <c r="H317" s="265"/>
      <c r="I317" s="265"/>
      <c r="J317" s="265"/>
      <c r="K317" s="265"/>
      <c r="L317" s="265"/>
      <c r="M317" s="265"/>
      <c r="N317" s="265"/>
      <c r="O317" s="265"/>
      <c r="P317" s="265"/>
      <c r="Q317" s="265"/>
      <c r="R317" s="265"/>
      <c r="S317" s="265"/>
      <c r="T317" s="265"/>
      <c r="U317" s="265"/>
      <c r="V317" s="265"/>
      <c r="W317" s="265"/>
      <c r="X317" s="265"/>
      <c r="Y317" s="265"/>
      <c r="Z317" s="265"/>
      <c r="AA317" s="265"/>
      <c r="AB317" s="265"/>
    </row>
    <row r="318" spans="1:28" ht="13.5" customHeight="1">
      <c r="A318" s="265"/>
      <c r="B318" s="265"/>
      <c r="C318" s="265"/>
      <c r="D318" s="265"/>
      <c r="E318" s="265"/>
      <c r="F318" s="265"/>
      <c r="G318" s="265"/>
      <c r="H318" s="265"/>
      <c r="I318" s="265"/>
      <c r="J318" s="265"/>
      <c r="K318" s="265"/>
      <c r="L318" s="265"/>
      <c r="M318" s="265"/>
      <c r="N318" s="265"/>
      <c r="O318" s="265"/>
      <c r="P318" s="265"/>
      <c r="Q318" s="265"/>
      <c r="R318" s="265"/>
      <c r="S318" s="265"/>
      <c r="T318" s="265"/>
      <c r="U318" s="265"/>
      <c r="V318" s="265"/>
      <c r="W318" s="265"/>
      <c r="X318" s="265"/>
      <c r="Y318" s="265"/>
      <c r="Z318" s="265"/>
      <c r="AA318" s="265"/>
      <c r="AB318" s="265"/>
    </row>
    <row r="319" spans="1:28" ht="13.5" customHeight="1">
      <c r="A319" s="265"/>
      <c r="B319" s="265"/>
      <c r="C319" s="265"/>
      <c r="D319" s="265"/>
      <c r="E319" s="265"/>
      <c r="F319" s="265"/>
      <c r="G319" s="265"/>
      <c r="H319" s="265"/>
      <c r="I319" s="265"/>
      <c r="J319" s="265"/>
      <c r="K319" s="265"/>
      <c r="L319" s="265"/>
      <c r="M319" s="265"/>
      <c r="N319" s="265"/>
      <c r="O319" s="265"/>
      <c r="P319" s="265"/>
      <c r="Q319" s="265"/>
      <c r="R319" s="265"/>
      <c r="S319" s="265"/>
      <c r="T319" s="265"/>
      <c r="U319" s="265"/>
      <c r="V319" s="265"/>
      <c r="W319" s="265"/>
      <c r="X319" s="265"/>
      <c r="Y319" s="265"/>
      <c r="Z319" s="265"/>
      <c r="AA319" s="265"/>
      <c r="AB319" s="265"/>
    </row>
    <row r="320" spans="1:28" ht="13.5" customHeight="1">
      <c r="A320" s="265"/>
      <c r="B320" s="265"/>
      <c r="C320" s="265"/>
      <c r="D320" s="265"/>
      <c r="E320" s="265"/>
      <c r="F320" s="265"/>
      <c r="G320" s="265"/>
      <c r="H320" s="265"/>
      <c r="I320" s="265"/>
      <c r="J320" s="265"/>
      <c r="K320" s="265"/>
      <c r="L320" s="265"/>
      <c r="M320" s="265"/>
      <c r="N320" s="265"/>
      <c r="O320" s="265"/>
      <c r="P320" s="265"/>
      <c r="Q320" s="265"/>
      <c r="R320" s="265"/>
      <c r="S320" s="265"/>
      <c r="T320" s="265"/>
      <c r="U320" s="265"/>
      <c r="V320" s="265"/>
      <c r="W320" s="265"/>
      <c r="X320" s="265"/>
      <c r="Y320" s="265"/>
      <c r="Z320" s="265"/>
      <c r="AA320" s="265"/>
      <c r="AB320" s="265"/>
    </row>
    <row r="321" spans="1:28" ht="13.5" customHeight="1">
      <c r="A321" s="265"/>
      <c r="B321" s="265"/>
      <c r="C321" s="265"/>
      <c r="D321" s="265"/>
      <c r="E321" s="265"/>
      <c r="F321" s="265"/>
      <c r="G321" s="265"/>
      <c r="H321" s="265"/>
      <c r="I321" s="265"/>
      <c r="J321" s="265"/>
      <c r="K321" s="265"/>
      <c r="L321" s="265"/>
      <c r="M321" s="265"/>
      <c r="N321" s="265"/>
      <c r="O321" s="265"/>
      <c r="P321" s="265"/>
      <c r="Q321" s="265"/>
      <c r="R321" s="265"/>
      <c r="S321" s="265"/>
      <c r="T321" s="265"/>
      <c r="U321" s="265"/>
      <c r="V321" s="265"/>
      <c r="W321" s="265"/>
      <c r="X321" s="265"/>
      <c r="Y321" s="265"/>
      <c r="Z321" s="265"/>
      <c r="AA321" s="265"/>
      <c r="AB321" s="265"/>
    </row>
    <row r="322" spans="1:28" ht="13.5" customHeight="1">
      <c r="A322" s="265"/>
      <c r="B322" s="265"/>
      <c r="C322" s="265"/>
      <c r="D322" s="265"/>
      <c r="E322" s="265"/>
      <c r="F322" s="265"/>
      <c r="G322" s="265"/>
      <c r="H322" s="265"/>
      <c r="I322" s="265"/>
      <c r="J322" s="265"/>
      <c r="K322" s="265"/>
      <c r="L322" s="265"/>
      <c r="M322" s="265"/>
      <c r="N322" s="265"/>
      <c r="O322" s="265"/>
      <c r="P322" s="265"/>
      <c r="Q322" s="265"/>
      <c r="R322" s="265"/>
      <c r="S322" s="265"/>
      <c r="T322" s="265"/>
      <c r="U322" s="265"/>
      <c r="V322" s="265"/>
      <c r="W322" s="265"/>
      <c r="X322" s="265"/>
      <c r="Y322" s="265"/>
      <c r="Z322" s="265"/>
      <c r="AA322" s="265"/>
      <c r="AB322" s="265"/>
    </row>
    <row r="323" spans="1:28" ht="13.5" customHeight="1">
      <c r="A323" s="265"/>
      <c r="B323" s="265"/>
      <c r="C323" s="265"/>
      <c r="D323" s="265"/>
      <c r="E323" s="265"/>
      <c r="F323" s="265"/>
      <c r="G323" s="265"/>
      <c r="H323" s="265"/>
      <c r="I323" s="265"/>
      <c r="J323" s="265"/>
      <c r="K323" s="265"/>
      <c r="L323" s="265"/>
      <c r="M323" s="265"/>
      <c r="N323" s="265"/>
      <c r="O323" s="265"/>
      <c r="P323" s="265"/>
      <c r="Q323" s="265"/>
      <c r="R323" s="265"/>
      <c r="S323" s="265"/>
      <c r="T323" s="265"/>
      <c r="U323" s="265"/>
      <c r="V323" s="265"/>
      <c r="W323" s="265"/>
      <c r="X323" s="265"/>
      <c r="Y323" s="265"/>
      <c r="Z323" s="265"/>
      <c r="AA323" s="265"/>
      <c r="AB323" s="265"/>
    </row>
    <row r="324" spans="1:28" ht="13.5" customHeight="1">
      <c r="A324" s="265"/>
      <c r="B324" s="265"/>
      <c r="C324" s="265"/>
      <c r="D324" s="265"/>
      <c r="E324" s="265"/>
      <c r="F324" s="265"/>
      <c r="G324" s="265"/>
      <c r="H324" s="265"/>
      <c r="I324" s="265"/>
      <c r="J324" s="265"/>
      <c r="K324" s="265"/>
      <c r="L324" s="265"/>
      <c r="M324" s="265"/>
      <c r="N324" s="265"/>
      <c r="O324" s="265"/>
      <c r="P324" s="265"/>
      <c r="Q324" s="265"/>
      <c r="R324" s="265"/>
      <c r="S324" s="265"/>
      <c r="T324" s="265"/>
      <c r="U324" s="265"/>
      <c r="V324" s="265"/>
      <c r="W324" s="265"/>
      <c r="X324" s="265"/>
      <c r="Y324" s="265"/>
      <c r="Z324" s="265"/>
      <c r="AA324" s="265"/>
      <c r="AB324" s="265"/>
    </row>
    <row r="325" spans="1:28" ht="13.5" customHeight="1">
      <c r="A325" s="265"/>
      <c r="B325" s="265"/>
      <c r="C325" s="265"/>
      <c r="D325" s="265"/>
      <c r="E325" s="265"/>
      <c r="F325" s="265"/>
      <c r="G325" s="265"/>
      <c r="H325" s="265"/>
      <c r="I325" s="265"/>
      <c r="J325" s="265"/>
      <c r="K325" s="265"/>
      <c r="L325" s="265"/>
      <c r="M325" s="265"/>
      <c r="N325" s="265"/>
      <c r="O325" s="265"/>
      <c r="P325" s="265"/>
      <c r="Q325" s="265"/>
      <c r="R325" s="265"/>
      <c r="S325" s="265"/>
      <c r="T325" s="265"/>
      <c r="U325" s="265"/>
      <c r="V325" s="265"/>
      <c r="W325" s="265"/>
      <c r="X325" s="265"/>
      <c r="Y325" s="265"/>
      <c r="Z325" s="265"/>
      <c r="AA325" s="265"/>
      <c r="AB325" s="265"/>
    </row>
    <row r="326" spans="1:28" ht="13.5" customHeight="1">
      <c r="A326" s="265"/>
      <c r="B326" s="265"/>
      <c r="C326" s="265"/>
      <c r="D326" s="265"/>
      <c r="E326" s="265"/>
      <c r="F326" s="265"/>
      <c r="G326" s="265"/>
      <c r="H326" s="265"/>
      <c r="I326" s="265"/>
      <c r="J326" s="265"/>
      <c r="K326" s="265"/>
      <c r="L326" s="265"/>
      <c r="M326" s="265"/>
      <c r="N326" s="265"/>
      <c r="O326" s="265"/>
      <c r="P326" s="265"/>
      <c r="Q326" s="265"/>
      <c r="R326" s="265"/>
      <c r="S326" s="265"/>
      <c r="T326" s="265"/>
      <c r="U326" s="265"/>
      <c r="V326" s="265"/>
      <c r="W326" s="265"/>
      <c r="X326" s="265"/>
      <c r="Y326" s="265"/>
      <c r="Z326" s="265"/>
      <c r="AA326" s="265"/>
      <c r="AB326" s="265"/>
    </row>
    <row r="327" spans="1:28" ht="13.5" customHeight="1">
      <c r="A327" s="265"/>
      <c r="B327" s="265"/>
      <c r="C327" s="265"/>
      <c r="D327" s="265"/>
      <c r="E327" s="265"/>
      <c r="F327" s="265"/>
      <c r="G327" s="265"/>
      <c r="H327" s="265"/>
      <c r="I327" s="265"/>
      <c r="J327" s="265"/>
      <c r="K327" s="265"/>
      <c r="L327" s="265"/>
      <c r="M327" s="265"/>
      <c r="N327" s="265"/>
      <c r="O327" s="265"/>
      <c r="P327" s="265"/>
      <c r="Q327" s="265"/>
      <c r="R327" s="265"/>
      <c r="S327" s="265"/>
      <c r="T327" s="265"/>
      <c r="U327" s="265"/>
      <c r="V327" s="265"/>
      <c r="W327" s="265"/>
      <c r="X327" s="265"/>
      <c r="Y327" s="265"/>
      <c r="Z327" s="265"/>
      <c r="AA327" s="265"/>
      <c r="AB327" s="265"/>
    </row>
    <row r="328" spans="1:28" ht="13.5" customHeight="1">
      <c r="A328" s="265"/>
      <c r="B328" s="265"/>
      <c r="C328" s="265"/>
      <c r="D328" s="265"/>
      <c r="E328" s="265"/>
      <c r="F328" s="265"/>
      <c r="G328" s="265"/>
      <c r="H328" s="265"/>
      <c r="I328" s="265"/>
      <c r="J328" s="265"/>
      <c r="K328" s="265"/>
      <c r="L328" s="265"/>
      <c r="M328" s="265"/>
      <c r="N328" s="265"/>
      <c r="O328" s="265"/>
      <c r="P328" s="265"/>
      <c r="Q328" s="265"/>
      <c r="R328" s="265"/>
      <c r="S328" s="265"/>
      <c r="T328" s="265"/>
      <c r="U328" s="265"/>
      <c r="V328" s="265"/>
      <c r="W328" s="265"/>
      <c r="X328" s="265"/>
      <c r="Y328" s="265"/>
      <c r="Z328" s="265"/>
      <c r="AA328" s="265"/>
      <c r="AB328" s="265"/>
    </row>
    <row r="329" spans="1:28" ht="13.5" customHeight="1">
      <c r="A329" s="265"/>
      <c r="B329" s="265"/>
      <c r="C329" s="265"/>
      <c r="D329" s="265"/>
      <c r="E329" s="265"/>
      <c r="F329" s="265"/>
      <c r="G329" s="265"/>
      <c r="H329" s="265"/>
      <c r="I329" s="265"/>
      <c r="J329" s="265"/>
      <c r="K329" s="265"/>
      <c r="L329" s="265"/>
      <c r="M329" s="265"/>
      <c r="N329" s="265"/>
      <c r="O329" s="265"/>
      <c r="P329" s="265"/>
      <c r="Q329" s="265"/>
      <c r="R329" s="265"/>
      <c r="S329" s="265"/>
      <c r="T329" s="265"/>
      <c r="U329" s="265"/>
      <c r="V329" s="265"/>
      <c r="W329" s="265"/>
      <c r="X329" s="265"/>
      <c r="Y329" s="265"/>
      <c r="Z329" s="265"/>
      <c r="AA329" s="265"/>
      <c r="AB329" s="265"/>
    </row>
    <row r="330" spans="1:28" ht="13.5" customHeight="1">
      <c r="A330" s="265"/>
      <c r="B330" s="265"/>
      <c r="C330" s="265"/>
      <c r="D330" s="265"/>
      <c r="E330" s="265"/>
      <c r="F330" s="265"/>
      <c r="G330" s="265"/>
      <c r="H330" s="265"/>
      <c r="I330" s="265"/>
      <c r="J330" s="265"/>
      <c r="K330" s="265"/>
      <c r="L330" s="265"/>
      <c r="M330" s="265"/>
      <c r="N330" s="265"/>
      <c r="O330" s="265"/>
      <c r="P330" s="265"/>
      <c r="Q330" s="265"/>
      <c r="R330" s="265"/>
      <c r="S330" s="265"/>
      <c r="T330" s="265"/>
      <c r="U330" s="265"/>
      <c r="V330" s="265"/>
      <c r="W330" s="265"/>
      <c r="X330" s="265"/>
      <c r="Y330" s="265"/>
      <c r="Z330" s="265"/>
      <c r="AA330" s="265"/>
      <c r="AB330" s="265"/>
    </row>
    <row r="331" spans="1:28" ht="13.5" customHeight="1">
      <c r="A331" s="265"/>
      <c r="B331" s="265"/>
      <c r="C331" s="265"/>
      <c r="D331" s="265"/>
      <c r="E331" s="265"/>
      <c r="F331" s="265"/>
      <c r="G331" s="265"/>
      <c r="H331" s="265"/>
      <c r="I331" s="265"/>
      <c r="J331" s="265"/>
      <c r="K331" s="265"/>
      <c r="L331" s="265"/>
      <c r="M331" s="265"/>
      <c r="N331" s="265"/>
      <c r="O331" s="265"/>
      <c r="P331" s="265"/>
      <c r="Q331" s="265"/>
      <c r="R331" s="265"/>
      <c r="S331" s="265"/>
      <c r="T331" s="265"/>
      <c r="U331" s="265"/>
      <c r="V331" s="265"/>
      <c r="W331" s="265"/>
      <c r="X331" s="265"/>
      <c r="Y331" s="265"/>
      <c r="Z331" s="265"/>
      <c r="AA331" s="265"/>
      <c r="AB331" s="265"/>
    </row>
    <row r="332" spans="1:28" ht="13.5" customHeight="1">
      <c r="A332" s="265"/>
      <c r="B332" s="265"/>
      <c r="C332" s="265"/>
      <c r="D332" s="265"/>
      <c r="E332" s="265"/>
      <c r="F332" s="265"/>
      <c r="G332" s="265"/>
      <c r="H332" s="265"/>
      <c r="I332" s="265"/>
      <c r="J332" s="265"/>
      <c r="K332" s="265"/>
      <c r="L332" s="265"/>
      <c r="M332" s="265"/>
      <c r="N332" s="265"/>
      <c r="O332" s="265"/>
      <c r="P332" s="265"/>
      <c r="Q332" s="265"/>
      <c r="R332" s="265"/>
      <c r="S332" s="265"/>
      <c r="T332" s="265"/>
      <c r="U332" s="265"/>
      <c r="V332" s="265"/>
      <c r="W332" s="265"/>
      <c r="X332" s="265"/>
      <c r="Y332" s="265"/>
      <c r="Z332" s="265"/>
      <c r="AA332" s="265"/>
      <c r="AB332" s="265"/>
    </row>
    <row r="333" spans="1:28" ht="13.5" customHeight="1">
      <c r="A333" s="265"/>
      <c r="B333" s="265"/>
      <c r="C333" s="265"/>
      <c r="D333" s="265"/>
      <c r="E333" s="265"/>
      <c r="F333" s="265"/>
      <c r="G333" s="265"/>
      <c r="H333" s="265"/>
      <c r="I333" s="265"/>
      <c r="J333" s="265"/>
      <c r="K333" s="265"/>
      <c r="L333" s="265"/>
      <c r="M333" s="265"/>
      <c r="N333" s="265"/>
      <c r="O333" s="265"/>
      <c r="P333" s="265"/>
      <c r="Q333" s="265"/>
      <c r="R333" s="265"/>
      <c r="S333" s="265"/>
      <c r="T333" s="265"/>
      <c r="U333" s="265"/>
      <c r="V333" s="265"/>
      <c r="W333" s="265"/>
      <c r="X333" s="265"/>
      <c r="Y333" s="265"/>
      <c r="Z333" s="265"/>
      <c r="AA333" s="265"/>
      <c r="AB333" s="265"/>
    </row>
    <row r="334" spans="1:28" ht="13.5" customHeight="1">
      <c r="A334" s="265"/>
      <c r="B334" s="265"/>
      <c r="C334" s="265"/>
      <c r="D334" s="265"/>
      <c r="E334" s="265"/>
      <c r="F334" s="265"/>
      <c r="G334" s="265"/>
      <c r="H334" s="265"/>
      <c r="I334" s="265"/>
      <c r="J334" s="265"/>
      <c r="K334" s="265"/>
      <c r="L334" s="265"/>
      <c r="M334" s="265"/>
      <c r="N334" s="265"/>
      <c r="O334" s="265"/>
      <c r="P334" s="265"/>
      <c r="Q334" s="265"/>
      <c r="R334" s="265"/>
      <c r="S334" s="265"/>
      <c r="T334" s="265"/>
      <c r="U334" s="265"/>
      <c r="V334" s="265"/>
      <c r="W334" s="265"/>
      <c r="X334" s="265"/>
      <c r="Y334" s="265"/>
      <c r="Z334" s="265"/>
      <c r="AA334" s="265"/>
      <c r="AB334" s="265"/>
    </row>
    <row r="335" spans="1:28" ht="13.5" customHeight="1">
      <c r="A335" s="265"/>
      <c r="B335" s="265"/>
      <c r="C335" s="265"/>
      <c r="D335" s="265"/>
      <c r="E335" s="265"/>
      <c r="F335" s="265"/>
      <c r="G335" s="265"/>
      <c r="H335" s="265"/>
      <c r="I335" s="265"/>
      <c r="J335" s="265"/>
      <c r="K335" s="265"/>
      <c r="L335" s="265"/>
      <c r="M335" s="265"/>
      <c r="N335" s="265"/>
      <c r="O335" s="265"/>
      <c r="P335" s="265"/>
      <c r="Q335" s="265"/>
      <c r="R335" s="265"/>
      <c r="S335" s="265"/>
      <c r="T335" s="265"/>
      <c r="U335" s="265"/>
      <c r="V335" s="265"/>
      <c r="W335" s="265"/>
      <c r="X335" s="265"/>
      <c r="Y335" s="265"/>
      <c r="Z335" s="265"/>
      <c r="AA335" s="265"/>
      <c r="AB335" s="265"/>
    </row>
    <row r="336" spans="1:28" ht="13.5" customHeight="1">
      <c r="A336" s="265"/>
      <c r="B336" s="265"/>
      <c r="C336" s="265"/>
      <c r="D336" s="265"/>
      <c r="E336" s="265"/>
      <c r="F336" s="265"/>
      <c r="G336" s="265"/>
      <c r="H336" s="265"/>
      <c r="I336" s="265"/>
      <c r="J336" s="265"/>
      <c r="K336" s="265"/>
      <c r="L336" s="265"/>
      <c r="M336" s="265"/>
      <c r="N336" s="265"/>
      <c r="O336" s="265"/>
      <c r="P336" s="265"/>
      <c r="Q336" s="265"/>
      <c r="R336" s="265"/>
      <c r="S336" s="265"/>
      <c r="T336" s="265"/>
      <c r="U336" s="265"/>
      <c r="V336" s="265"/>
      <c r="W336" s="265"/>
      <c r="X336" s="265"/>
      <c r="Y336" s="265"/>
      <c r="Z336" s="265"/>
      <c r="AA336" s="265"/>
      <c r="AB336" s="265"/>
    </row>
    <row r="337" spans="1:28" ht="13.5" customHeight="1">
      <c r="A337" s="265"/>
      <c r="B337" s="265"/>
      <c r="C337" s="265"/>
      <c r="D337" s="265"/>
      <c r="E337" s="265"/>
      <c r="F337" s="265"/>
      <c r="G337" s="265"/>
      <c r="H337" s="265"/>
      <c r="I337" s="265"/>
      <c r="J337" s="265"/>
      <c r="K337" s="265"/>
      <c r="L337" s="265"/>
      <c r="M337" s="265"/>
      <c r="N337" s="265"/>
      <c r="O337" s="265"/>
      <c r="P337" s="265"/>
      <c r="Q337" s="265"/>
      <c r="R337" s="265"/>
      <c r="S337" s="265"/>
      <c r="T337" s="265"/>
      <c r="U337" s="265"/>
      <c r="V337" s="265"/>
      <c r="W337" s="265"/>
      <c r="X337" s="265"/>
      <c r="Y337" s="265"/>
      <c r="Z337" s="265"/>
      <c r="AA337" s="265"/>
      <c r="AB337" s="265"/>
    </row>
    <row r="338" spans="1:28" ht="13.5" customHeight="1">
      <c r="A338" s="265"/>
      <c r="B338" s="265"/>
      <c r="C338" s="265"/>
      <c r="D338" s="265"/>
      <c r="E338" s="265"/>
      <c r="F338" s="265"/>
      <c r="G338" s="265"/>
      <c r="H338" s="265"/>
      <c r="I338" s="265"/>
      <c r="J338" s="265"/>
      <c r="K338" s="265"/>
      <c r="L338" s="265"/>
      <c r="M338" s="265"/>
      <c r="N338" s="265"/>
      <c r="O338" s="265"/>
      <c r="P338" s="265"/>
      <c r="Q338" s="265"/>
      <c r="R338" s="265"/>
      <c r="S338" s="265"/>
      <c r="T338" s="265"/>
      <c r="U338" s="265"/>
      <c r="V338" s="265"/>
      <c r="W338" s="265"/>
      <c r="X338" s="265"/>
      <c r="Y338" s="265"/>
      <c r="Z338" s="265"/>
      <c r="AA338" s="265"/>
      <c r="AB338" s="265"/>
    </row>
    <row r="339" spans="1:28" ht="13.5" customHeight="1">
      <c r="A339" s="265"/>
      <c r="B339" s="265"/>
      <c r="C339" s="265"/>
      <c r="D339" s="265"/>
      <c r="E339" s="265"/>
      <c r="F339" s="265"/>
      <c r="G339" s="265"/>
      <c r="H339" s="265"/>
      <c r="I339" s="265"/>
      <c r="J339" s="265"/>
      <c r="K339" s="265"/>
      <c r="L339" s="265"/>
      <c r="M339" s="265"/>
      <c r="N339" s="265"/>
      <c r="O339" s="265"/>
      <c r="P339" s="265"/>
      <c r="Q339" s="265"/>
      <c r="R339" s="265"/>
      <c r="S339" s="265"/>
      <c r="T339" s="265"/>
      <c r="U339" s="265"/>
      <c r="V339" s="265"/>
      <c r="W339" s="265"/>
      <c r="X339" s="265"/>
      <c r="Y339" s="265"/>
      <c r="Z339" s="265"/>
      <c r="AA339" s="265"/>
      <c r="AB339" s="265"/>
    </row>
    <row r="340" spans="1:28" ht="13.5" customHeight="1">
      <c r="A340" s="265"/>
      <c r="B340" s="265"/>
      <c r="C340" s="265"/>
      <c r="D340" s="265"/>
      <c r="E340" s="265"/>
      <c r="F340" s="265"/>
      <c r="G340" s="265"/>
      <c r="H340" s="265"/>
      <c r="I340" s="265"/>
      <c r="J340" s="265"/>
      <c r="K340" s="265"/>
      <c r="L340" s="265"/>
      <c r="M340" s="265"/>
      <c r="N340" s="265"/>
      <c r="O340" s="265"/>
      <c r="P340" s="265"/>
      <c r="Q340" s="265"/>
      <c r="R340" s="265"/>
      <c r="S340" s="265"/>
      <c r="T340" s="265"/>
      <c r="U340" s="265"/>
      <c r="V340" s="265"/>
      <c r="W340" s="265"/>
      <c r="X340" s="265"/>
      <c r="Y340" s="265"/>
      <c r="Z340" s="265"/>
      <c r="AA340" s="265"/>
      <c r="AB340" s="265"/>
    </row>
    <row r="341" spans="1:28" ht="13.5" customHeight="1">
      <c r="A341" s="265"/>
      <c r="B341" s="265"/>
      <c r="C341" s="265"/>
      <c r="D341" s="265"/>
      <c r="E341" s="265"/>
      <c r="F341" s="265"/>
      <c r="G341" s="265"/>
      <c r="H341" s="265"/>
      <c r="I341" s="265"/>
      <c r="J341" s="265"/>
      <c r="K341" s="265"/>
      <c r="L341" s="265"/>
      <c r="M341" s="265"/>
      <c r="N341" s="265"/>
      <c r="O341" s="265"/>
      <c r="P341" s="265"/>
      <c r="Q341" s="265"/>
      <c r="R341" s="265"/>
      <c r="S341" s="265"/>
      <c r="T341" s="265"/>
      <c r="U341" s="265"/>
      <c r="V341" s="265"/>
      <c r="W341" s="265"/>
      <c r="X341" s="265"/>
      <c r="Y341" s="265"/>
      <c r="Z341" s="265"/>
      <c r="AA341" s="265"/>
      <c r="AB341" s="265"/>
    </row>
    <row r="342" spans="1:28" ht="13.5" customHeight="1">
      <c r="A342" s="265"/>
      <c r="B342" s="265"/>
      <c r="C342" s="265"/>
      <c r="D342" s="265"/>
      <c r="E342" s="265"/>
      <c r="F342" s="265"/>
      <c r="G342" s="265"/>
      <c r="H342" s="265"/>
      <c r="I342" s="265"/>
      <c r="J342" s="265"/>
      <c r="K342" s="265"/>
      <c r="L342" s="265"/>
      <c r="M342" s="265"/>
      <c r="N342" s="265"/>
      <c r="O342" s="265"/>
      <c r="P342" s="265"/>
      <c r="Q342" s="265"/>
      <c r="R342" s="265"/>
      <c r="S342" s="265"/>
      <c r="T342" s="265"/>
      <c r="U342" s="265"/>
      <c r="V342" s="265"/>
      <c r="W342" s="265"/>
      <c r="X342" s="265"/>
      <c r="Y342" s="265"/>
      <c r="Z342" s="265"/>
      <c r="AA342" s="265"/>
      <c r="AB342" s="265"/>
    </row>
    <row r="343" spans="1:28" ht="13.5" customHeight="1">
      <c r="A343" s="265"/>
      <c r="B343" s="265"/>
      <c r="C343" s="265"/>
      <c r="D343" s="265"/>
      <c r="E343" s="265"/>
      <c r="F343" s="265"/>
      <c r="G343" s="265"/>
      <c r="H343" s="265"/>
      <c r="I343" s="265"/>
      <c r="J343" s="265"/>
      <c r="K343" s="265"/>
      <c r="L343" s="265"/>
      <c r="M343" s="265"/>
      <c r="N343" s="265"/>
      <c r="O343" s="265"/>
      <c r="P343" s="265"/>
      <c r="Q343" s="265"/>
      <c r="R343" s="265"/>
      <c r="S343" s="265"/>
      <c r="T343" s="265"/>
      <c r="U343" s="265"/>
      <c r="V343" s="265"/>
      <c r="W343" s="265"/>
      <c r="X343" s="265"/>
      <c r="Y343" s="265"/>
      <c r="Z343" s="265"/>
      <c r="AA343" s="265"/>
      <c r="AB343" s="265"/>
    </row>
    <row r="344" spans="1:28" ht="13.5" customHeight="1">
      <c r="A344" s="265"/>
      <c r="B344" s="265"/>
      <c r="C344" s="265"/>
      <c r="D344" s="265"/>
      <c r="E344" s="265"/>
      <c r="F344" s="265"/>
      <c r="G344" s="265"/>
      <c r="H344" s="265"/>
      <c r="I344" s="265"/>
      <c r="J344" s="265"/>
      <c r="K344" s="265"/>
      <c r="L344" s="265"/>
      <c r="M344" s="265"/>
      <c r="N344" s="265"/>
      <c r="O344" s="265"/>
      <c r="P344" s="265"/>
      <c r="Q344" s="265"/>
      <c r="R344" s="265"/>
      <c r="S344" s="265"/>
      <c r="T344" s="265"/>
      <c r="U344" s="265"/>
      <c r="V344" s="265"/>
      <c r="W344" s="265"/>
      <c r="X344" s="265"/>
      <c r="Y344" s="265"/>
      <c r="Z344" s="265"/>
      <c r="AA344" s="265"/>
      <c r="AB344" s="265"/>
    </row>
    <row r="345" spans="1:28" ht="13.5" customHeight="1">
      <c r="A345" s="265"/>
      <c r="B345" s="265"/>
      <c r="C345" s="265"/>
      <c r="D345" s="265"/>
      <c r="E345" s="265"/>
      <c r="F345" s="265"/>
      <c r="G345" s="265"/>
      <c r="H345" s="265"/>
      <c r="I345" s="265"/>
      <c r="J345" s="265"/>
      <c r="K345" s="265"/>
      <c r="L345" s="265"/>
      <c r="M345" s="265"/>
      <c r="N345" s="265"/>
      <c r="O345" s="265"/>
      <c r="P345" s="265"/>
      <c r="Q345" s="265"/>
      <c r="R345" s="265"/>
      <c r="S345" s="265"/>
      <c r="T345" s="265"/>
      <c r="U345" s="265"/>
      <c r="V345" s="265"/>
      <c r="W345" s="265"/>
      <c r="X345" s="265"/>
      <c r="Y345" s="265"/>
      <c r="Z345" s="265"/>
      <c r="AA345" s="265"/>
      <c r="AB345" s="265"/>
    </row>
    <row r="346" spans="1:28" ht="13.5" customHeight="1">
      <c r="A346" s="265"/>
      <c r="B346" s="265"/>
      <c r="C346" s="265"/>
      <c r="D346" s="265"/>
      <c r="E346" s="265"/>
      <c r="F346" s="265"/>
      <c r="G346" s="265"/>
      <c r="H346" s="265"/>
      <c r="I346" s="265"/>
      <c r="J346" s="265"/>
      <c r="K346" s="265"/>
      <c r="L346" s="265"/>
      <c r="M346" s="265"/>
      <c r="N346" s="265"/>
      <c r="O346" s="265"/>
      <c r="P346" s="265"/>
      <c r="Q346" s="265"/>
      <c r="R346" s="265"/>
      <c r="S346" s="265"/>
      <c r="T346" s="265"/>
      <c r="U346" s="265"/>
      <c r="V346" s="265"/>
      <c r="W346" s="265"/>
      <c r="X346" s="265"/>
      <c r="Y346" s="265"/>
      <c r="Z346" s="265"/>
      <c r="AA346" s="265"/>
      <c r="AB346" s="265"/>
    </row>
    <row r="347" spans="1:28" ht="13.5" customHeight="1">
      <c r="A347" s="265"/>
      <c r="B347" s="265"/>
      <c r="C347" s="265"/>
      <c r="D347" s="265"/>
      <c r="E347" s="265"/>
      <c r="F347" s="265"/>
      <c r="G347" s="265"/>
      <c r="H347" s="265"/>
      <c r="I347" s="265"/>
      <c r="J347" s="265"/>
      <c r="K347" s="265"/>
      <c r="L347" s="265"/>
      <c r="M347" s="265"/>
      <c r="N347" s="265"/>
      <c r="O347" s="265"/>
      <c r="P347" s="265"/>
      <c r="Q347" s="265"/>
      <c r="R347" s="265"/>
      <c r="S347" s="265"/>
      <c r="T347" s="265"/>
      <c r="U347" s="265"/>
      <c r="V347" s="265"/>
      <c r="W347" s="265"/>
      <c r="X347" s="265"/>
      <c r="Y347" s="265"/>
      <c r="Z347" s="265"/>
      <c r="AA347" s="265"/>
      <c r="AB347" s="265"/>
    </row>
    <row r="348" spans="1:28" ht="13.5" customHeight="1">
      <c r="A348" s="265"/>
      <c r="B348" s="265"/>
      <c r="C348" s="265"/>
      <c r="D348" s="265"/>
      <c r="E348" s="265"/>
      <c r="F348" s="265"/>
      <c r="G348" s="265"/>
      <c r="H348" s="265"/>
      <c r="I348" s="265"/>
      <c r="J348" s="265"/>
      <c r="K348" s="265"/>
      <c r="L348" s="265"/>
      <c r="M348" s="265"/>
      <c r="N348" s="265"/>
      <c r="O348" s="265"/>
      <c r="P348" s="265"/>
      <c r="Q348" s="265"/>
      <c r="R348" s="265"/>
      <c r="S348" s="265"/>
      <c r="T348" s="265"/>
      <c r="U348" s="265"/>
      <c r="V348" s="265"/>
      <c r="W348" s="265"/>
      <c r="X348" s="265"/>
      <c r="Y348" s="265"/>
      <c r="Z348" s="265"/>
      <c r="AA348" s="265"/>
      <c r="AB348" s="265"/>
    </row>
    <row r="349" spans="1:28" ht="13.5" customHeight="1">
      <c r="A349" s="265"/>
      <c r="B349" s="265"/>
      <c r="C349" s="265"/>
      <c r="D349" s="265"/>
      <c r="E349" s="265"/>
      <c r="F349" s="265"/>
      <c r="G349" s="265"/>
      <c r="H349" s="265"/>
      <c r="I349" s="265"/>
      <c r="J349" s="265"/>
      <c r="K349" s="265"/>
      <c r="L349" s="265"/>
      <c r="M349" s="265"/>
      <c r="N349" s="265"/>
      <c r="O349" s="265"/>
      <c r="P349" s="265"/>
      <c r="Q349" s="265"/>
      <c r="R349" s="265"/>
      <c r="S349" s="265"/>
      <c r="T349" s="265"/>
      <c r="U349" s="265"/>
      <c r="V349" s="265"/>
      <c r="W349" s="265"/>
      <c r="X349" s="265"/>
      <c r="Y349" s="265"/>
      <c r="Z349" s="265"/>
      <c r="AA349" s="265"/>
      <c r="AB349" s="265"/>
    </row>
    <row r="350" spans="1:28" ht="13.5" customHeight="1">
      <c r="A350" s="265"/>
      <c r="B350" s="265"/>
      <c r="C350" s="265"/>
      <c r="D350" s="265"/>
      <c r="E350" s="265"/>
      <c r="F350" s="265"/>
      <c r="G350" s="265"/>
      <c r="H350" s="265"/>
      <c r="I350" s="265"/>
      <c r="J350" s="265"/>
      <c r="K350" s="265"/>
      <c r="L350" s="265"/>
      <c r="M350" s="265"/>
      <c r="N350" s="265"/>
      <c r="O350" s="265"/>
      <c r="P350" s="265"/>
      <c r="Q350" s="265"/>
      <c r="R350" s="265"/>
      <c r="S350" s="265"/>
      <c r="T350" s="265"/>
      <c r="U350" s="265"/>
      <c r="V350" s="265"/>
      <c r="W350" s="265"/>
      <c r="X350" s="265"/>
      <c r="Y350" s="265"/>
      <c r="Z350" s="265"/>
      <c r="AA350" s="265"/>
      <c r="AB350" s="265"/>
    </row>
    <row r="351" spans="1:28" ht="13.5" customHeight="1">
      <c r="A351" s="265"/>
      <c r="B351" s="265"/>
      <c r="C351" s="265"/>
      <c r="D351" s="265"/>
      <c r="E351" s="265"/>
      <c r="F351" s="265"/>
      <c r="G351" s="265"/>
      <c r="H351" s="265"/>
      <c r="I351" s="265"/>
      <c r="J351" s="265"/>
      <c r="K351" s="265"/>
      <c r="L351" s="265"/>
      <c r="M351" s="265"/>
      <c r="N351" s="265"/>
      <c r="O351" s="265"/>
      <c r="P351" s="265"/>
      <c r="Q351" s="265"/>
      <c r="R351" s="265"/>
      <c r="S351" s="265"/>
      <c r="T351" s="265"/>
      <c r="U351" s="265"/>
      <c r="V351" s="265"/>
      <c r="W351" s="265"/>
      <c r="X351" s="265"/>
      <c r="Y351" s="265"/>
      <c r="Z351" s="265"/>
      <c r="AA351" s="265"/>
      <c r="AB351" s="265"/>
    </row>
    <row r="352" spans="1:28" ht="13.5" customHeight="1">
      <c r="A352" s="265"/>
      <c r="B352" s="265"/>
      <c r="C352" s="265"/>
      <c r="D352" s="265"/>
      <c r="E352" s="265"/>
      <c r="F352" s="265"/>
      <c r="G352" s="265"/>
      <c r="H352" s="265"/>
      <c r="I352" s="265"/>
      <c r="J352" s="265"/>
      <c r="K352" s="265"/>
      <c r="L352" s="265"/>
      <c r="M352" s="265"/>
      <c r="N352" s="265"/>
      <c r="O352" s="265"/>
      <c r="P352" s="265"/>
      <c r="Q352" s="265"/>
      <c r="R352" s="265"/>
      <c r="S352" s="265"/>
      <c r="T352" s="265"/>
      <c r="U352" s="265"/>
      <c r="V352" s="265"/>
      <c r="W352" s="265"/>
      <c r="X352" s="265"/>
      <c r="Y352" s="265"/>
      <c r="Z352" s="265"/>
      <c r="AA352" s="265"/>
      <c r="AB352" s="265"/>
    </row>
    <row r="353" spans="1:28" ht="13.5" customHeight="1">
      <c r="A353" s="265"/>
      <c r="B353" s="265"/>
      <c r="C353" s="265"/>
      <c r="D353" s="265"/>
      <c r="E353" s="265"/>
      <c r="F353" s="265"/>
      <c r="G353" s="265"/>
      <c r="H353" s="265"/>
      <c r="I353" s="265"/>
      <c r="J353" s="265"/>
      <c r="K353" s="265"/>
      <c r="L353" s="265"/>
      <c r="M353" s="265"/>
      <c r="N353" s="265"/>
      <c r="O353" s="265"/>
      <c r="P353" s="265"/>
      <c r="Q353" s="265"/>
      <c r="R353" s="265"/>
      <c r="S353" s="265"/>
      <c r="T353" s="265"/>
      <c r="U353" s="265"/>
      <c r="V353" s="265"/>
      <c r="W353" s="265"/>
      <c r="X353" s="265"/>
      <c r="Y353" s="265"/>
      <c r="Z353" s="265"/>
      <c r="AA353" s="265"/>
      <c r="AB353" s="265"/>
    </row>
    <row r="354" spans="1:28" ht="13.5" customHeight="1">
      <c r="A354" s="265"/>
      <c r="B354" s="265"/>
      <c r="C354" s="265"/>
      <c r="D354" s="265"/>
      <c r="E354" s="265"/>
      <c r="F354" s="265"/>
      <c r="G354" s="265"/>
      <c r="H354" s="265"/>
      <c r="I354" s="265"/>
      <c r="J354" s="265"/>
      <c r="K354" s="265"/>
      <c r="L354" s="265"/>
      <c r="M354" s="265"/>
      <c r="N354" s="265"/>
      <c r="O354" s="265"/>
      <c r="P354" s="265"/>
      <c r="Q354" s="265"/>
      <c r="R354" s="265"/>
      <c r="S354" s="265"/>
      <c r="T354" s="265"/>
      <c r="U354" s="265"/>
      <c r="V354" s="265"/>
      <c r="W354" s="265"/>
      <c r="X354" s="265"/>
      <c r="Y354" s="265"/>
      <c r="Z354" s="265"/>
      <c r="AA354" s="265"/>
      <c r="AB354" s="265"/>
    </row>
    <row r="355" spans="1:28" ht="13.5" customHeight="1">
      <c r="A355" s="265"/>
      <c r="B355" s="265"/>
      <c r="C355" s="265"/>
      <c r="D355" s="265"/>
      <c r="E355" s="265"/>
      <c r="F355" s="265"/>
      <c r="G355" s="265"/>
      <c r="H355" s="265"/>
      <c r="I355" s="265"/>
      <c r="J355" s="265"/>
      <c r="K355" s="265"/>
      <c r="L355" s="265"/>
      <c r="M355" s="265"/>
      <c r="N355" s="265"/>
      <c r="O355" s="265"/>
      <c r="P355" s="265"/>
      <c r="Q355" s="265"/>
      <c r="R355" s="265"/>
      <c r="S355" s="265"/>
      <c r="T355" s="265"/>
      <c r="U355" s="265"/>
      <c r="V355" s="265"/>
      <c r="W355" s="265"/>
      <c r="X355" s="265"/>
      <c r="Y355" s="265"/>
      <c r="Z355" s="265"/>
      <c r="AA355" s="265"/>
      <c r="AB355" s="265"/>
    </row>
    <row r="356" spans="1:28" ht="13.5" customHeight="1">
      <c r="A356" s="265"/>
      <c r="B356" s="265"/>
      <c r="C356" s="265"/>
      <c r="D356" s="265"/>
      <c r="E356" s="265"/>
      <c r="F356" s="265"/>
      <c r="G356" s="265"/>
      <c r="H356" s="265"/>
      <c r="I356" s="265"/>
      <c r="J356" s="265"/>
      <c r="K356" s="265"/>
      <c r="L356" s="265"/>
      <c r="M356" s="265"/>
      <c r="N356" s="265"/>
      <c r="O356" s="265"/>
      <c r="P356" s="265"/>
      <c r="Q356" s="265"/>
      <c r="R356" s="265"/>
      <c r="S356" s="265"/>
      <c r="T356" s="265"/>
      <c r="U356" s="265"/>
      <c r="V356" s="265"/>
      <c r="W356" s="265"/>
      <c r="X356" s="265"/>
      <c r="Y356" s="265"/>
      <c r="Z356" s="265"/>
      <c r="AA356" s="265"/>
      <c r="AB356" s="265"/>
    </row>
    <row r="357" spans="1:28" ht="13.5" customHeight="1">
      <c r="A357" s="265"/>
      <c r="B357" s="265"/>
      <c r="C357" s="265"/>
      <c r="D357" s="265"/>
      <c r="E357" s="265"/>
      <c r="F357" s="265"/>
      <c r="G357" s="265"/>
      <c r="H357" s="265"/>
      <c r="I357" s="265"/>
      <c r="J357" s="265"/>
      <c r="K357" s="265"/>
      <c r="L357" s="265"/>
      <c r="M357" s="265"/>
      <c r="N357" s="265"/>
      <c r="O357" s="265"/>
      <c r="P357" s="265"/>
      <c r="Q357" s="265"/>
      <c r="R357" s="265"/>
      <c r="S357" s="265"/>
      <c r="T357" s="265"/>
      <c r="U357" s="265"/>
      <c r="V357" s="265"/>
      <c r="W357" s="265"/>
      <c r="X357" s="265"/>
      <c r="Y357" s="265"/>
      <c r="Z357" s="265"/>
      <c r="AA357" s="265"/>
      <c r="AB357" s="265"/>
    </row>
    <row r="358" spans="1:28" ht="13.5" customHeight="1">
      <c r="A358" s="265"/>
      <c r="B358" s="265"/>
      <c r="C358" s="265"/>
      <c r="D358" s="265"/>
      <c r="E358" s="265"/>
      <c r="F358" s="265"/>
      <c r="G358" s="265"/>
      <c r="H358" s="265"/>
      <c r="I358" s="265"/>
      <c r="J358" s="265"/>
      <c r="K358" s="265"/>
      <c r="L358" s="265"/>
      <c r="M358" s="265"/>
      <c r="N358" s="265"/>
      <c r="O358" s="265"/>
      <c r="P358" s="265"/>
      <c r="Q358" s="265"/>
      <c r="R358" s="265"/>
      <c r="S358" s="265"/>
      <c r="T358" s="265"/>
      <c r="U358" s="265"/>
      <c r="V358" s="265"/>
      <c r="W358" s="265"/>
      <c r="X358" s="265"/>
      <c r="Y358" s="265"/>
      <c r="Z358" s="265"/>
      <c r="AA358" s="265"/>
      <c r="AB358" s="265"/>
    </row>
    <row r="359" spans="1:28" ht="13.5" customHeight="1">
      <c r="A359" s="265"/>
      <c r="B359" s="265"/>
      <c r="C359" s="265"/>
      <c r="D359" s="265"/>
      <c r="E359" s="265"/>
      <c r="F359" s="265"/>
      <c r="G359" s="265"/>
      <c r="H359" s="265"/>
      <c r="I359" s="265"/>
      <c r="J359" s="265"/>
      <c r="K359" s="265"/>
      <c r="L359" s="265"/>
      <c r="M359" s="265"/>
      <c r="N359" s="265"/>
      <c r="O359" s="265"/>
      <c r="P359" s="265"/>
      <c r="Q359" s="265"/>
      <c r="R359" s="265"/>
      <c r="S359" s="265"/>
      <c r="T359" s="265"/>
      <c r="U359" s="265"/>
      <c r="V359" s="265"/>
      <c r="W359" s="265"/>
      <c r="X359" s="265"/>
      <c r="Y359" s="265"/>
      <c r="Z359" s="265"/>
      <c r="AA359" s="265"/>
      <c r="AB359" s="265"/>
    </row>
    <row r="360" spans="1:28" ht="13.5" customHeight="1">
      <c r="A360" s="265"/>
      <c r="B360" s="265"/>
      <c r="C360" s="265"/>
      <c r="D360" s="265"/>
      <c r="E360" s="265"/>
      <c r="F360" s="265"/>
      <c r="G360" s="265"/>
      <c r="H360" s="265"/>
      <c r="I360" s="265"/>
      <c r="J360" s="265"/>
      <c r="K360" s="265"/>
      <c r="L360" s="265"/>
      <c r="M360" s="265"/>
      <c r="N360" s="265"/>
      <c r="O360" s="265"/>
      <c r="P360" s="265"/>
      <c r="Q360" s="265"/>
      <c r="R360" s="265"/>
      <c r="S360" s="265"/>
      <c r="T360" s="265"/>
      <c r="U360" s="265"/>
      <c r="V360" s="265"/>
      <c r="W360" s="265"/>
      <c r="X360" s="265"/>
      <c r="Y360" s="265"/>
      <c r="Z360" s="265"/>
      <c r="AA360" s="265"/>
      <c r="AB360" s="265"/>
    </row>
    <row r="361" spans="1:28" ht="13.5" customHeight="1">
      <c r="A361" s="265"/>
      <c r="B361" s="265"/>
      <c r="C361" s="265"/>
      <c r="D361" s="265"/>
      <c r="E361" s="265"/>
      <c r="F361" s="265"/>
      <c r="G361" s="265"/>
      <c r="H361" s="265"/>
      <c r="I361" s="265"/>
      <c r="J361" s="265"/>
      <c r="K361" s="265"/>
      <c r="L361" s="265"/>
      <c r="M361" s="265"/>
      <c r="N361" s="265"/>
      <c r="O361" s="265"/>
      <c r="P361" s="265"/>
      <c r="Q361" s="265"/>
      <c r="R361" s="265"/>
      <c r="S361" s="265"/>
      <c r="T361" s="265"/>
      <c r="U361" s="265"/>
      <c r="V361" s="265"/>
      <c r="W361" s="265"/>
      <c r="X361" s="265"/>
      <c r="Y361" s="265"/>
      <c r="Z361" s="265"/>
      <c r="AA361" s="265"/>
      <c r="AB361" s="265"/>
    </row>
    <row r="362" spans="1:28" ht="13.5" customHeight="1">
      <c r="A362" s="265"/>
      <c r="B362" s="265"/>
      <c r="C362" s="265"/>
      <c r="D362" s="265"/>
      <c r="E362" s="265"/>
      <c r="F362" s="265"/>
      <c r="G362" s="265"/>
      <c r="H362" s="265"/>
      <c r="I362" s="265"/>
      <c r="J362" s="265"/>
      <c r="K362" s="265"/>
      <c r="L362" s="265"/>
      <c r="M362" s="265"/>
      <c r="N362" s="265"/>
      <c r="O362" s="265"/>
      <c r="P362" s="265"/>
      <c r="Q362" s="265"/>
      <c r="R362" s="265"/>
      <c r="S362" s="265"/>
      <c r="T362" s="265"/>
      <c r="U362" s="265"/>
      <c r="V362" s="265"/>
      <c r="W362" s="265"/>
      <c r="X362" s="265"/>
      <c r="Y362" s="265"/>
      <c r="Z362" s="265"/>
      <c r="AA362" s="265"/>
      <c r="AB362" s="265"/>
    </row>
    <row r="363" spans="1:28" ht="13.5" customHeight="1">
      <c r="A363" s="265"/>
      <c r="B363" s="265"/>
      <c r="C363" s="265"/>
      <c r="D363" s="265"/>
      <c r="E363" s="265"/>
      <c r="F363" s="265"/>
      <c r="G363" s="265"/>
      <c r="H363" s="265"/>
      <c r="I363" s="265"/>
      <c r="J363" s="265"/>
      <c r="K363" s="265"/>
      <c r="L363" s="265"/>
      <c r="M363" s="265"/>
      <c r="N363" s="265"/>
      <c r="O363" s="265"/>
      <c r="P363" s="265"/>
      <c r="Q363" s="265"/>
      <c r="R363" s="265"/>
      <c r="S363" s="265"/>
      <c r="T363" s="265"/>
      <c r="U363" s="265"/>
      <c r="V363" s="265"/>
      <c r="W363" s="265"/>
      <c r="X363" s="265"/>
      <c r="Y363" s="265"/>
      <c r="Z363" s="265"/>
      <c r="AA363" s="265"/>
      <c r="AB363" s="265"/>
    </row>
    <row r="364" spans="1:28" ht="13.5" customHeight="1">
      <c r="A364" s="265"/>
      <c r="B364" s="265"/>
      <c r="C364" s="265"/>
      <c r="D364" s="265"/>
      <c r="E364" s="265"/>
      <c r="F364" s="265"/>
      <c r="G364" s="265"/>
      <c r="H364" s="265"/>
      <c r="I364" s="265"/>
      <c r="J364" s="265"/>
      <c r="K364" s="265"/>
      <c r="L364" s="265"/>
      <c r="M364" s="265"/>
      <c r="N364" s="265"/>
      <c r="O364" s="265"/>
      <c r="P364" s="265"/>
      <c r="Q364" s="265"/>
      <c r="R364" s="265"/>
      <c r="S364" s="265"/>
      <c r="T364" s="265"/>
      <c r="U364" s="265"/>
      <c r="V364" s="265"/>
      <c r="W364" s="265"/>
      <c r="X364" s="265"/>
      <c r="Y364" s="265"/>
      <c r="Z364" s="265"/>
      <c r="AA364" s="265"/>
      <c r="AB364" s="265"/>
    </row>
    <row r="365" spans="1:28" ht="13.5" customHeight="1">
      <c r="A365" s="265"/>
      <c r="B365" s="265"/>
      <c r="C365" s="265"/>
      <c r="D365" s="265"/>
      <c r="E365" s="265"/>
      <c r="F365" s="265"/>
      <c r="G365" s="265"/>
      <c r="H365" s="265"/>
      <c r="I365" s="265"/>
      <c r="J365" s="265"/>
      <c r="K365" s="265"/>
      <c r="L365" s="265"/>
      <c r="M365" s="265"/>
      <c r="N365" s="265"/>
      <c r="O365" s="265"/>
      <c r="P365" s="265"/>
      <c r="Q365" s="265"/>
      <c r="R365" s="265"/>
      <c r="S365" s="265"/>
      <c r="T365" s="265"/>
      <c r="U365" s="265"/>
      <c r="V365" s="265"/>
      <c r="W365" s="265"/>
      <c r="X365" s="265"/>
      <c r="Y365" s="265"/>
      <c r="Z365" s="265"/>
      <c r="AA365" s="265"/>
      <c r="AB365" s="265"/>
    </row>
    <row r="366" spans="1:28" ht="13.5" customHeight="1">
      <c r="A366" s="265"/>
      <c r="B366" s="265"/>
      <c r="C366" s="265"/>
      <c r="D366" s="265"/>
      <c r="E366" s="265"/>
      <c r="F366" s="265"/>
      <c r="G366" s="265"/>
      <c r="H366" s="265"/>
      <c r="I366" s="265"/>
      <c r="J366" s="265"/>
      <c r="K366" s="265"/>
      <c r="L366" s="265"/>
      <c r="M366" s="265"/>
      <c r="N366" s="265"/>
      <c r="O366" s="265"/>
      <c r="P366" s="265"/>
      <c r="Q366" s="265"/>
      <c r="R366" s="265"/>
      <c r="S366" s="265"/>
      <c r="T366" s="265"/>
      <c r="U366" s="265"/>
      <c r="V366" s="265"/>
      <c r="W366" s="265"/>
      <c r="X366" s="265"/>
      <c r="Y366" s="265"/>
      <c r="Z366" s="265"/>
      <c r="AA366" s="265"/>
      <c r="AB366" s="265"/>
    </row>
    <row r="367" spans="1:28" ht="13.5" customHeight="1">
      <c r="A367" s="265"/>
      <c r="B367" s="265"/>
      <c r="C367" s="265"/>
      <c r="D367" s="265"/>
      <c r="E367" s="265"/>
      <c r="F367" s="265"/>
      <c r="G367" s="265"/>
      <c r="H367" s="265"/>
      <c r="I367" s="265"/>
      <c r="J367" s="265"/>
      <c r="K367" s="265"/>
      <c r="L367" s="265"/>
      <c r="M367" s="265"/>
      <c r="N367" s="265"/>
      <c r="O367" s="265"/>
      <c r="P367" s="265"/>
      <c r="Q367" s="265"/>
      <c r="R367" s="265"/>
      <c r="S367" s="265"/>
      <c r="T367" s="265"/>
      <c r="U367" s="265"/>
      <c r="V367" s="265"/>
      <c r="W367" s="265"/>
      <c r="X367" s="265"/>
      <c r="Y367" s="265"/>
      <c r="Z367" s="265"/>
      <c r="AA367" s="265"/>
      <c r="AB367" s="265"/>
    </row>
    <row r="368" spans="1:28" ht="13.5" customHeight="1">
      <c r="A368" s="265"/>
      <c r="B368" s="265"/>
      <c r="C368" s="265"/>
      <c r="D368" s="265"/>
      <c r="E368" s="265"/>
      <c r="F368" s="265"/>
      <c r="G368" s="265"/>
      <c r="H368" s="265"/>
      <c r="I368" s="265"/>
      <c r="J368" s="265"/>
      <c r="K368" s="265"/>
      <c r="L368" s="265"/>
      <c r="M368" s="265"/>
      <c r="N368" s="265"/>
      <c r="O368" s="265"/>
      <c r="P368" s="265"/>
      <c r="Q368" s="265"/>
      <c r="R368" s="265"/>
      <c r="S368" s="265"/>
      <c r="T368" s="265"/>
      <c r="U368" s="265"/>
      <c r="V368" s="265"/>
      <c r="W368" s="265"/>
      <c r="X368" s="265"/>
      <c r="Y368" s="265"/>
      <c r="Z368" s="265"/>
      <c r="AA368" s="265"/>
      <c r="AB368" s="265"/>
    </row>
    <row r="369" spans="1:28" ht="13.5" customHeight="1">
      <c r="A369" s="265"/>
      <c r="B369" s="265"/>
      <c r="C369" s="265"/>
      <c r="D369" s="265"/>
      <c r="E369" s="265"/>
      <c r="F369" s="265"/>
      <c r="G369" s="265"/>
      <c r="H369" s="265"/>
      <c r="I369" s="265"/>
      <c r="J369" s="265"/>
      <c r="K369" s="265"/>
      <c r="L369" s="265"/>
      <c r="M369" s="265"/>
      <c r="N369" s="265"/>
      <c r="O369" s="265"/>
      <c r="P369" s="265"/>
      <c r="Q369" s="265"/>
      <c r="R369" s="265"/>
      <c r="S369" s="265"/>
      <c r="T369" s="265"/>
      <c r="U369" s="265"/>
      <c r="V369" s="265"/>
      <c r="W369" s="265"/>
      <c r="X369" s="265"/>
      <c r="Y369" s="265"/>
      <c r="Z369" s="265"/>
      <c r="AA369" s="265"/>
      <c r="AB369" s="265"/>
    </row>
    <row r="370" spans="1:28" ht="13.5" customHeight="1">
      <c r="A370" s="265"/>
      <c r="B370" s="265"/>
      <c r="C370" s="265"/>
      <c r="D370" s="265"/>
      <c r="E370" s="265"/>
      <c r="F370" s="265"/>
      <c r="G370" s="265"/>
      <c r="H370" s="265"/>
      <c r="I370" s="265"/>
      <c r="J370" s="265"/>
      <c r="K370" s="265"/>
      <c r="L370" s="265"/>
      <c r="M370" s="265"/>
      <c r="N370" s="265"/>
      <c r="O370" s="265"/>
      <c r="P370" s="265"/>
      <c r="Q370" s="265"/>
      <c r="R370" s="265"/>
      <c r="S370" s="265"/>
      <c r="T370" s="265"/>
      <c r="U370" s="265"/>
      <c r="V370" s="265"/>
      <c r="W370" s="265"/>
      <c r="X370" s="265"/>
      <c r="Y370" s="265"/>
      <c r="Z370" s="265"/>
      <c r="AA370" s="265"/>
      <c r="AB370" s="265"/>
    </row>
    <row r="371" spans="1:28" ht="13.5" customHeight="1">
      <c r="A371" s="265"/>
      <c r="B371" s="265"/>
      <c r="C371" s="265"/>
      <c r="D371" s="265"/>
      <c r="E371" s="265"/>
      <c r="F371" s="265"/>
      <c r="G371" s="265"/>
      <c r="H371" s="265"/>
      <c r="I371" s="265"/>
      <c r="J371" s="265"/>
      <c r="K371" s="265"/>
      <c r="L371" s="265"/>
      <c r="M371" s="265"/>
      <c r="N371" s="265"/>
      <c r="O371" s="265"/>
      <c r="P371" s="265"/>
      <c r="Q371" s="265"/>
      <c r="R371" s="265"/>
      <c r="S371" s="265"/>
      <c r="T371" s="265"/>
      <c r="U371" s="265"/>
      <c r="V371" s="265"/>
      <c r="W371" s="265"/>
      <c r="X371" s="265"/>
      <c r="Y371" s="265"/>
      <c r="Z371" s="265"/>
      <c r="AA371" s="265"/>
      <c r="AB371" s="265"/>
    </row>
    <row r="372" spans="1:28" ht="13.5" customHeight="1">
      <c r="A372" s="265"/>
      <c r="B372" s="265"/>
      <c r="C372" s="265"/>
      <c r="D372" s="265"/>
      <c r="E372" s="265"/>
      <c r="F372" s="265"/>
      <c r="G372" s="265"/>
      <c r="H372" s="265"/>
      <c r="I372" s="265"/>
      <c r="J372" s="265"/>
      <c r="K372" s="265"/>
      <c r="L372" s="265"/>
      <c r="M372" s="265"/>
      <c r="N372" s="265"/>
      <c r="O372" s="265"/>
      <c r="P372" s="265"/>
      <c r="Q372" s="265"/>
      <c r="R372" s="265"/>
      <c r="S372" s="265"/>
      <c r="T372" s="265"/>
      <c r="U372" s="265"/>
      <c r="V372" s="265"/>
      <c r="W372" s="265"/>
      <c r="X372" s="265"/>
      <c r="Y372" s="265"/>
      <c r="Z372" s="265"/>
      <c r="AA372" s="265"/>
      <c r="AB372" s="265"/>
    </row>
    <row r="373" spans="1:28" ht="13.5" customHeight="1">
      <c r="A373" s="265"/>
      <c r="B373" s="265"/>
      <c r="C373" s="265"/>
      <c r="D373" s="265"/>
      <c r="E373" s="265"/>
      <c r="F373" s="265"/>
      <c r="G373" s="265"/>
      <c r="H373" s="265"/>
      <c r="I373" s="265"/>
      <c r="J373" s="265"/>
      <c r="K373" s="265"/>
      <c r="L373" s="265"/>
      <c r="M373" s="265"/>
      <c r="N373" s="265"/>
      <c r="O373" s="265"/>
      <c r="P373" s="265"/>
      <c r="Q373" s="265"/>
      <c r="R373" s="265"/>
      <c r="S373" s="265"/>
      <c r="T373" s="265"/>
      <c r="U373" s="265"/>
      <c r="V373" s="265"/>
      <c r="W373" s="265"/>
      <c r="X373" s="265"/>
      <c r="Y373" s="265"/>
      <c r="Z373" s="265"/>
      <c r="AA373" s="265"/>
      <c r="AB373" s="265"/>
    </row>
    <row r="374" spans="1:28" ht="13.5" customHeight="1">
      <c r="A374" s="265"/>
      <c r="B374" s="265"/>
      <c r="C374" s="265"/>
      <c r="D374" s="265"/>
      <c r="E374" s="265"/>
      <c r="F374" s="265"/>
      <c r="G374" s="265"/>
      <c r="H374" s="265"/>
      <c r="I374" s="265"/>
      <c r="J374" s="265"/>
      <c r="K374" s="265"/>
      <c r="L374" s="265"/>
      <c r="M374" s="265"/>
      <c r="N374" s="265"/>
      <c r="O374" s="265"/>
      <c r="P374" s="265"/>
      <c r="Q374" s="265"/>
      <c r="R374" s="265"/>
      <c r="S374" s="265"/>
      <c r="T374" s="265"/>
      <c r="U374" s="265"/>
      <c r="V374" s="265"/>
      <c r="W374" s="265"/>
      <c r="X374" s="265"/>
      <c r="Y374" s="265"/>
      <c r="Z374" s="265"/>
      <c r="AA374" s="265"/>
      <c r="AB374" s="265"/>
    </row>
    <row r="375" spans="1:28" ht="13.5" customHeight="1">
      <c r="A375" s="265"/>
      <c r="B375" s="265"/>
      <c r="C375" s="265"/>
      <c r="D375" s="265"/>
      <c r="E375" s="265"/>
      <c r="F375" s="265"/>
      <c r="G375" s="265"/>
      <c r="H375" s="265"/>
      <c r="I375" s="265"/>
      <c r="J375" s="265"/>
      <c r="K375" s="265"/>
      <c r="L375" s="265"/>
      <c r="M375" s="265"/>
      <c r="N375" s="265"/>
      <c r="O375" s="265"/>
      <c r="P375" s="265"/>
      <c r="Q375" s="265"/>
      <c r="R375" s="265"/>
      <c r="S375" s="265"/>
      <c r="T375" s="265"/>
      <c r="U375" s="265"/>
      <c r="V375" s="265"/>
      <c r="W375" s="265"/>
      <c r="X375" s="265"/>
      <c r="Y375" s="265"/>
      <c r="Z375" s="265"/>
      <c r="AA375" s="265"/>
      <c r="AB375" s="265"/>
    </row>
    <row r="376" spans="1:28" ht="13.5" customHeight="1">
      <c r="A376" s="265"/>
      <c r="B376" s="265"/>
      <c r="C376" s="265"/>
      <c r="D376" s="265"/>
      <c r="E376" s="265"/>
      <c r="F376" s="265"/>
      <c r="G376" s="265"/>
      <c r="H376" s="265"/>
      <c r="I376" s="265"/>
      <c r="J376" s="265"/>
      <c r="K376" s="265"/>
      <c r="L376" s="265"/>
      <c r="M376" s="265"/>
      <c r="N376" s="265"/>
      <c r="O376" s="265"/>
      <c r="P376" s="265"/>
      <c r="Q376" s="265"/>
      <c r="R376" s="265"/>
      <c r="S376" s="265"/>
      <c r="T376" s="265"/>
      <c r="U376" s="265"/>
      <c r="V376" s="265"/>
      <c r="W376" s="265"/>
      <c r="X376" s="265"/>
      <c r="Y376" s="265"/>
      <c r="Z376" s="265"/>
      <c r="AA376" s="265"/>
      <c r="AB376" s="265"/>
    </row>
    <row r="377" spans="1:28" ht="13.5" customHeight="1">
      <c r="A377" s="265"/>
      <c r="B377" s="265"/>
      <c r="C377" s="265"/>
      <c r="D377" s="265"/>
      <c r="E377" s="265"/>
      <c r="F377" s="265"/>
      <c r="G377" s="265"/>
      <c r="H377" s="265"/>
      <c r="I377" s="265"/>
      <c r="J377" s="265"/>
      <c r="K377" s="265"/>
      <c r="L377" s="265"/>
      <c r="M377" s="265"/>
      <c r="N377" s="265"/>
      <c r="O377" s="265"/>
      <c r="P377" s="265"/>
      <c r="Q377" s="265"/>
      <c r="R377" s="265"/>
      <c r="S377" s="265"/>
      <c r="T377" s="265"/>
      <c r="U377" s="265"/>
      <c r="V377" s="265"/>
      <c r="W377" s="265"/>
      <c r="X377" s="265"/>
      <c r="Y377" s="265"/>
      <c r="Z377" s="265"/>
      <c r="AA377" s="265"/>
      <c r="AB377" s="265"/>
    </row>
    <row r="378" spans="1:28" ht="13.5" customHeight="1">
      <c r="A378" s="265"/>
      <c r="B378" s="265"/>
      <c r="C378" s="265"/>
      <c r="D378" s="265"/>
      <c r="E378" s="265"/>
      <c r="F378" s="265"/>
      <c r="G378" s="265"/>
      <c r="H378" s="265"/>
      <c r="I378" s="265"/>
      <c r="J378" s="265"/>
      <c r="K378" s="265"/>
      <c r="L378" s="265"/>
      <c r="M378" s="265"/>
      <c r="N378" s="265"/>
      <c r="O378" s="265"/>
      <c r="P378" s="265"/>
      <c r="Q378" s="265"/>
      <c r="R378" s="265"/>
      <c r="S378" s="265"/>
      <c r="T378" s="265"/>
      <c r="U378" s="265"/>
      <c r="V378" s="265"/>
      <c r="W378" s="265"/>
      <c r="X378" s="265"/>
      <c r="Y378" s="265"/>
      <c r="Z378" s="265"/>
      <c r="AA378" s="265"/>
      <c r="AB378" s="265"/>
    </row>
    <row r="379" spans="1:28" ht="13.5" customHeight="1">
      <c r="A379" s="265"/>
      <c r="B379" s="265"/>
      <c r="C379" s="265"/>
      <c r="D379" s="265"/>
      <c r="E379" s="265"/>
      <c r="F379" s="265"/>
      <c r="G379" s="265"/>
      <c r="H379" s="265"/>
      <c r="I379" s="265"/>
      <c r="J379" s="265"/>
      <c r="K379" s="265"/>
      <c r="L379" s="265"/>
      <c r="M379" s="265"/>
      <c r="N379" s="265"/>
      <c r="O379" s="265"/>
      <c r="P379" s="265"/>
      <c r="Q379" s="265"/>
      <c r="R379" s="265"/>
      <c r="S379" s="265"/>
      <c r="T379" s="265"/>
      <c r="U379" s="265"/>
      <c r="V379" s="265"/>
      <c r="W379" s="265"/>
      <c r="X379" s="265"/>
      <c r="Y379" s="265"/>
      <c r="Z379" s="265"/>
      <c r="AA379" s="265"/>
      <c r="AB379" s="265"/>
    </row>
    <row r="380" spans="1:28" ht="13.5" customHeight="1">
      <c r="A380" s="265"/>
      <c r="B380" s="265"/>
      <c r="C380" s="265"/>
      <c r="D380" s="265"/>
      <c r="E380" s="265"/>
      <c r="F380" s="265"/>
      <c r="G380" s="265"/>
      <c r="H380" s="265"/>
      <c r="I380" s="265"/>
      <c r="J380" s="265"/>
      <c r="K380" s="265"/>
      <c r="L380" s="265"/>
      <c r="M380" s="265"/>
      <c r="N380" s="265"/>
      <c r="O380" s="265"/>
      <c r="P380" s="265"/>
      <c r="Q380" s="265"/>
      <c r="R380" s="265"/>
      <c r="S380" s="265"/>
      <c r="T380" s="265"/>
      <c r="U380" s="265"/>
      <c r="V380" s="265"/>
      <c r="W380" s="265"/>
      <c r="X380" s="265"/>
      <c r="Y380" s="265"/>
      <c r="Z380" s="265"/>
      <c r="AA380" s="265"/>
      <c r="AB380" s="265"/>
    </row>
    <row r="381" spans="1:28" ht="13.5" customHeight="1">
      <c r="A381" s="265"/>
      <c r="B381" s="265"/>
      <c r="C381" s="265"/>
      <c r="D381" s="265"/>
      <c r="E381" s="265"/>
      <c r="F381" s="265"/>
      <c r="G381" s="265"/>
      <c r="H381" s="265"/>
      <c r="I381" s="265"/>
      <c r="J381" s="265"/>
      <c r="K381" s="265"/>
      <c r="L381" s="265"/>
      <c r="M381" s="265"/>
      <c r="N381" s="265"/>
      <c r="O381" s="265"/>
      <c r="P381" s="265"/>
      <c r="Q381" s="265"/>
      <c r="R381" s="265"/>
      <c r="S381" s="265"/>
      <c r="T381" s="265"/>
      <c r="U381" s="265"/>
      <c r="V381" s="265"/>
      <c r="W381" s="265"/>
      <c r="X381" s="265"/>
      <c r="Y381" s="265"/>
      <c r="Z381" s="265"/>
      <c r="AA381" s="265"/>
      <c r="AB381" s="265"/>
    </row>
    <row r="382" spans="1:28" ht="15.75" customHeight="1">
      <c r="A382" s="265"/>
      <c r="B382" s="265"/>
      <c r="C382" s="265"/>
      <c r="D382" s="265"/>
      <c r="E382" s="265"/>
      <c r="F382" s="265"/>
      <c r="G382" s="265"/>
      <c r="H382" s="265"/>
      <c r="I382" s="265"/>
      <c r="J382" s="265"/>
      <c r="K382" s="265"/>
      <c r="L382" s="265"/>
      <c r="M382" s="265"/>
      <c r="N382" s="265"/>
      <c r="O382" s="265"/>
      <c r="P382" s="265"/>
      <c r="Q382" s="265"/>
      <c r="R382" s="265"/>
      <c r="S382" s="265"/>
      <c r="T382" s="265"/>
      <c r="U382" s="265"/>
      <c r="V382" s="265"/>
      <c r="W382" s="265"/>
      <c r="X382" s="265"/>
      <c r="Y382" s="265"/>
      <c r="Z382" s="265"/>
      <c r="AA382" s="265"/>
      <c r="AB382" s="265"/>
    </row>
    <row r="383" spans="1:28" ht="15.75" customHeight="1">
      <c r="A383" s="265"/>
      <c r="B383" s="265"/>
      <c r="C383" s="265"/>
      <c r="D383" s="265"/>
      <c r="E383" s="265"/>
      <c r="F383" s="265"/>
      <c r="G383" s="265"/>
      <c r="H383" s="265"/>
      <c r="I383" s="265"/>
      <c r="J383" s="265"/>
      <c r="K383" s="265"/>
      <c r="L383" s="265"/>
      <c r="M383" s="265"/>
      <c r="N383" s="265"/>
      <c r="O383" s="265"/>
      <c r="P383" s="265"/>
      <c r="Q383" s="265"/>
      <c r="R383" s="265"/>
      <c r="S383" s="265"/>
      <c r="T383" s="265"/>
      <c r="U383" s="265"/>
      <c r="V383" s="265"/>
      <c r="W383" s="265"/>
      <c r="X383" s="265"/>
      <c r="Y383" s="265"/>
      <c r="Z383" s="265"/>
      <c r="AA383" s="265"/>
      <c r="AB383" s="265"/>
    </row>
    <row r="384" spans="1:28" ht="15.75" customHeight="1">
      <c r="A384" s="265"/>
      <c r="B384" s="265"/>
      <c r="C384" s="265"/>
      <c r="D384" s="265"/>
      <c r="E384" s="265"/>
      <c r="F384" s="265"/>
      <c r="G384" s="265"/>
      <c r="H384" s="265"/>
      <c r="I384" s="265"/>
      <c r="J384" s="265"/>
      <c r="K384" s="265"/>
      <c r="L384" s="265"/>
      <c r="M384" s="265"/>
      <c r="N384" s="265"/>
      <c r="O384" s="265"/>
      <c r="P384" s="265"/>
      <c r="Q384" s="265"/>
      <c r="R384" s="265"/>
      <c r="S384" s="265"/>
      <c r="T384" s="265"/>
      <c r="U384" s="265"/>
      <c r="V384" s="265"/>
      <c r="W384" s="265"/>
      <c r="X384" s="265"/>
      <c r="Y384" s="265"/>
      <c r="Z384" s="265"/>
      <c r="AA384" s="265"/>
      <c r="AB384" s="265"/>
    </row>
    <row r="385" spans="1:28" ht="15.75" customHeight="1">
      <c r="A385" s="265"/>
      <c r="B385" s="265"/>
      <c r="C385" s="265"/>
      <c r="D385" s="265"/>
      <c r="E385" s="265"/>
      <c r="F385" s="265"/>
      <c r="G385" s="265"/>
      <c r="H385" s="265"/>
      <c r="I385" s="265"/>
      <c r="J385" s="265"/>
      <c r="K385" s="265"/>
      <c r="L385" s="265"/>
      <c r="M385" s="265"/>
      <c r="N385" s="265"/>
      <c r="O385" s="265"/>
      <c r="P385" s="265"/>
      <c r="Q385" s="265"/>
      <c r="R385" s="265"/>
      <c r="S385" s="265"/>
      <c r="T385" s="265"/>
      <c r="U385" s="265"/>
      <c r="V385" s="265"/>
      <c r="W385" s="265"/>
      <c r="X385" s="265"/>
      <c r="Y385" s="265"/>
      <c r="Z385" s="265"/>
      <c r="AA385" s="265"/>
      <c r="AB385" s="265"/>
    </row>
    <row r="386" spans="1:28" ht="15.75" customHeight="1">
      <c r="A386" s="265"/>
      <c r="B386" s="265"/>
      <c r="C386" s="265"/>
      <c r="D386" s="265"/>
      <c r="E386" s="265"/>
      <c r="F386" s="265"/>
      <c r="G386" s="265"/>
      <c r="H386" s="265"/>
      <c r="I386" s="265"/>
      <c r="J386" s="265"/>
      <c r="K386" s="265"/>
      <c r="L386" s="265"/>
      <c r="M386" s="265"/>
      <c r="N386" s="265"/>
      <c r="O386" s="265"/>
      <c r="P386" s="265"/>
      <c r="Q386" s="265"/>
      <c r="R386" s="265"/>
      <c r="S386" s="265"/>
      <c r="T386" s="265"/>
      <c r="U386" s="265"/>
      <c r="V386" s="265"/>
      <c r="W386" s="265"/>
      <c r="X386" s="265"/>
      <c r="Y386" s="265"/>
      <c r="Z386" s="265"/>
      <c r="AA386" s="265"/>
      <c r="AB386" s="265"/>
    </row>
    <row r="387" spans="1:28" ht="15.75" customHeight="1">
      <c r="A387" s="265"/>
      <c r="B387" s="265"/>
      <c r="C387" s="265"/>
      <c r="D387" s="265"/>
      <c r="E387" s="265"/>
      <c r="F387" s="265"/>
      <c r="G387" s="265"/>
      <c r="H387" s="265"/>
      <c r="I387" s="265"/>
      <c r="J387" s="265"/>
      <c r="K387" s="265"/>
      <c r="L387" s="265"/>
      <c r="M387" s="265"/>
      <c r="N387" s="265"/>
      <c r="O387" s="265"/>
      <c r="P387" s="265"/>
      <c r="Q387" s="265"/>
      <c r="R387" s="265"/>
      <c r="S387" s="265"/>
      <c r="T387" s="265"/>
      <c r="U387" s="265"/>
      <c r="V387" s="265"/>
      <c r="W387" s="265"/>
      <c r="X387" s="265"/>
      <c r="Y387" s="265"/>
      <c r="Z387" s="265"/>
      <c r="AA387" s="265"/>
      <c r="AB387" s="265"/>
    </row>
    <row r="388" spans="1:28" ht="15.75" customHeight="1">
      <c r="A388" s="265"/>
      <c r="B388" s="265"/>
      <c r="C388" s="265"/>
      <c r="D388" s="265"/>
      <c r="E388" s="265"/>
      <c r="F388" s="265"/>
      <c r="G388" s="265"/>
      <c r="H388" s="265"/>
      <c r="I388" s="265"/>
      <c r="J388" s="265"/>
      <c r="K388" s="265"/>
      <c r="L388" s="265"/>
      <c r="M388" s="265"/>
      <c r="N388" s="265"/>
      <c r="O388" s="265"/>
      <c r="P388" s="265"/>
      <c r="Q388" s="265"/>
      <c r="R388" s="265"/>
      <c r="S388" s="265"/>
      <c r="T388" s="265"/>
      <c r="U388" s="265"/>
      <c r="V388" s="265"/>
      <c r="W388" s="265"/>
      <c r="X388" s="265"/>
      <c r="Y388" s="265"/>
      <c r="Z388" s="265"/>
      <c r="AA388" s="265"/>
      <c r="AB388" s="265"/>
    </row>
    <row r="389" spans="1:28" ht="15.75" customHeight="1">
      <c r="A389" s="265"/>
      <c r="B389" s="265"/>
      <c r="C389" s="265"/>
      <c r="D389" s="265"/>
      <c r="E389" s="265"/>
      <c r="F389" s="265"/>
      <c r="G389" s="265"/>
      <c r="H389" s="265"/>
      <c r="I389" s="265"/>
      <c r="J389" s="265"/>
      <c r="K389" s="265"/>
      <c r="L389" s="265"/>
      <c r="M389" s="265"/>
      <c r="N389" s="265"/>
      <c r="O389" s="265"/>
      <c r="P389" s="265"/>
      <c r="Q389" s="265"/>
      <c r="R389" s="265"/>
      <c r="S389" s="265"/>
      <c r="T389" s="265"/>
      <c r="U389" s="265"/>
      <c r="V389" s="265"/>
      <c r="W389" s="265"/>
      <c r="X389" s="265"/>
      <c r="Y389" s="265"/>
      <c r="Z389" s="265"/>
      <c r="AA389" s="265"/>
      <c r="AB389" s="265"/>
    </row>
    <row r="390" spans="1:28" ht="15.75" customHeight="1">
      <c r="A390" s="265"/>
      <c r="B390" s="265"/>
      <c r="C390" s="265"/>
      <c r="D390" s="265"/>
      <c r="E390" s="265"/>
      <c r="F390" s="265"/>
      <c r="G390" s="265"/>
      <c r="H390" s="265"/>
      <c r="I390" s="265"/>
      <c r="J390" s="265"/>
      <c r="K390" s="265"/>
      <c r="L390" s="265"/>
      <c r="M390" s="265"/>
      <c r="N390" s="265"/>
      <c r="O390" s="265"/>
      <c r="P390" s="265"/>
      <c r="Q390" s="265"/>
      <c r="R390" s="265"/>
      <c r="S390" s="265"/>
      <c r="T390" s="265"/>
      <c r="U390" s="265"/>
      <c r="V390" s="265"/>
      <c r="W390" s="265"/>
      <c r="X390" s="265"/>
      <c r="Y390" s="265"/>
      <c r="Z390" s="265"/>
      <c r="AA390" s="265"/>
      <c r="AB390" s="265"/>
    </row>
    <row r="391" spans="1:28" ht="15.75" customHeight="1">
      <c r="A391" s="265"/>
      <c r="B391" s="265"/>
      <c r="C391" s="265"/>
      <c r="D391" s="265"/>
      <c r="E391" s="265"/>
      <c r="F391" s="265"/>
      <c r="G391" s="265"/>
      <c r="H391" s="265"/>
      <c r="I391" s="265"/>
      <c r="J391" s="265"/>
      <c r="K391" s="265"/>
      <c r="L391" s="265"/>
      <c r="M391" s="265"/>
      <c r="N391" s="265"/>
      <c r="O391" s="265"/>
      <c r="P391" s="265"/>
      <c r="Q391" s="265"/>
      <c r="R391" s="265"/>
      <c r="S391" s="265"/>
      <c r="T391" s="265"/>
      <c r="U391" s="265"/>
      <c r="V391" s="265"/>
      <c r="W391" s="265"/>
      <c r="X391" s="265"/>
      <c r="Y391" s="265"/>
      <c r="Z391" s="265"/>
      <c r="AA391" s="265"/>
      <c r="AB391" s="265"/>
    </row>
    <row r="392" spans="1:28" ht="15.75" customHeight="1">
      <c r="A392" s="265"/>
      <c r="B392" s="265"/>
      <c r="C392" s="265"/>
      <c r="D392" s="265"/>
      <c r="E392" s="265"/>
      <c r="F392" s="265"/>
      <c r="G392" s="265"/>
      <c r="H392" s="265"/>
      <c r="I392" s="265"/>
      <c r="J392" s="265"/>
      <c r="K392" s="265"/>
      <c r="L392" s="265"/>
      <c r="M392" s="265"/>
      <c r="N392" s="265"/>
      <c r="O392" s="265"/>
      <c r="P392" s="265"/>
      <c r="Q392" s="265"/>
      <c r="R392" s="265"/>
      <c r="S392" s="265"/>
      <c r="T392" s="265"/>
      <c r="U392" s="265"/>
      <c r="V392" s="265"/>
      <c r="W392" s="265"/>
      <c r="X392" s="265"/>
      <c r="Y392" s="265"/>
      <c r="Z392" s="265"/>
      <c r="AA392" s="265"/>
      <c r="AB392" s="265"/>
    </row>
    <row r="393" spans="1:28" ht="15.75" customHeight="1">
      <c r="A393" s="265"/>
      <c r="B393" s="265"/>
      <c r="C393" s="265"/>
      <c r="D393" s="265"/>
      <c r="E393" s="265"/>
      <c r="F393" s="265"/>
      <c r="G393" s="265"/>
      <c r="H393" s="265"/>
      <c r="I393" s="265"/>
      <c r="J393" s="265"/>
      <c r="K393" s="265"/>
      <c r="L393" s="265"/>
      <c r="M393" s="265"/>
      <c r="N393" s="265"/>
      <c r="O393" s="265"/>
      <c r="P393" s="265"/>
      <c r="Q393" s="265"/>
      <c r="R393" s="265"/>
      <c r="S393" s="265"/>
      <c r="T393" s="265"/>
      <c r="U393" s="265"/>
      <c r="V393" s="265"/>
      <c r="W393" s="265"/>
      <c r="X393" s="265"/>
      <c r="Y393" s="265"/>
      <c r="Z393" s="265"/>
      <c r="AA393" s="265"/>
      <c r="AB393" s="265"/>
    </row>
    <row r="394" spans="1:28" ht="15.75" customHeight="1">
      <c r="A394" s="265"/>
      <c r="B394" s="265"/>
      <c r="C394" s="265"/>
      <c r="D394" s="265"/>
      <c r="E394" s="265"/>
      <c r="F394" s="265"/>
      <c r="G394" s="265"/>
      <c r="H394" s="265"/>
      <c r="I394" s="265"/>
      <c r="J394" s="265"/>
      <c r="K394" s="265"/>
      <c r="L394" s="265"/>
      <c r="M394" s="265"/>
      <c r="N394" s="265"/>
      <c r="O394" s="265"/>
      <c r="P394" s="265"/>
      <c r="Q394" s="265"/>
      <c r="R394" s="265"/>
      <c r="S394" s="265"/>
      <c r="T394" s="265"/>
      <c r="U394" s="265"/>
      <c r="V394" s="265"/>
      <c r="W394" s="265"/>
      <c r="X394" s="265"/>
      <c r="Y394" s="265"/>
      <c r="Z394" s="265"/>
      <c r="AA394" s="265"/>
      <c r="AB394" s="265"/>
    </row>
    <row r="395" spans="1:28" ht="15.75" customHeight="1">
      <c r="A395" s="265"/>
      <c r="B395" s="265"/>
      <c r="C395" s="265"/>
      <c r="D395" s="265"/>
      <c r="E395" s="265"/>
      <c r="F395" s="265"/>
      <c r="G395" s="265"/>
      <c r="H395" s="265"/>
      <c r="I395" s="265"/>
      <c r="J395" s="265"/>
      <c r="K395" s="265"/>
      <c r="L395" s="265"/>
      <c r="M395" s="265"/>
      <c r="N395" s="265"/>
      <c r="O395" s="265"/>
      <c r="P395" s="265"/>
      <c r="Q395" s="265"/>
      <c r="R395" s="265"/>
      <c r="S395" s="265"/>
      <c r="T395" s="265"/>
      <c r="U395" s="265"/>
      <c r="V395" s="265"/>
      <c r="W395" s="265"/>
      <c r="X395" s="265"/>
      <c r="Y395" s="265"/>
      <c r="Z395" s="265"/>
      <c r="AA395" s="265"/>
      <c r="AB395" s="265"/>
    </row>
    <row r="396" spans="1:28" ht="15.75" customHeight="1">
      <c r="A396" s="265"/>
      <c r="B396" s="265"/>
      <c r="C396" s="265"/>
      <c r="D396" s="265"/>
      <c r="E396" s="265"/>
      <c r="F396" s="265"/>
      <c r="G396" s="265"/>
      <c r="H396" s="265"/>
      <c r="I396" s="265"/>
      <c r="J396" s="265"/>
      <c r="K396" s="265"/>
      <c r="L396" s="265"/>
      <c r="M396" s="265"/>
      <c r="N396" s="265"/>
      <c r="O396" s="265"/>
      <c r="P396" s="265"/>
      <c r="Q396" s="265"/>
      <c r="R396" s="265"/>
      <c r="S396" s="265"/>
      <c r="T396" s="265"/>
      <c r="U396" s="265"/>
      <c r="V396" s="265"/>
      <c r="W396" s="265"/>
      <c r="X396" s="265"/>
      <c r="Y396" s="265"/>
      <c r="Z396" s="265"/>
      <c r="AA396" s="265"/>
      <c r="AB396" s="265"/>
    </row>
    <row r="397" spans="1:28" ht="15.75" customHeight="1">
      <c r="A397" s="265"/>
      <c r="B397" s="265"/>
      <c r="C397" s="265"/>
      <c r="D397" s="265"/>
      <c r="E397" s="265"/>
      <c r="F397" s="265"/>
      <c r="G397" s="265"/>
      <c r="H397" s="265"/>
      <c r="I397" s="265"/>
      <c r="J397" s="265"/>
      <c r="K397" s="265"/>
      <c r="L397" s="265"/>
      <c r="M397" s="265"/>
      <c r="N397" s="265"/>
      <c r="O397" s="265"/>
      <c r="P397" s="265"/>
      <c r="Q397" s="265"/>
      <c r="R397" s="265"/>
      <c r="S397" s="265"/>
      <c r="T397" s="265"/>
      <c r="U397" s="265"/>
      <c r="V397" s="265"/>
      <c r="W397" s="265"/>
      <c r="X397" s="265"/>
      <c r="Y397" s="265"/>
      <c r="Z397" s="265"/>
      <c r="AA397" s="265"/>
      <c r="AB397" s="265"/>
    </row>
    <row r="398" spans="1:28" ht="15.75" customHeight="1">
      <c r="A398" s="265"/>
      <c r="B398" s="265"/>
      <c r="C398" s="265"/>
      <c r="D398" s="265"/>
      <c r="E398" s="265"/>
      <c r="F398" s="265"/>
      <c r="G398" s="265"/>
      <c r="H398" s="265"/>
      <c r="I398" s="265"/>
      <c r="J398" s="265"/>
      <c r="K398" s="265"/>
      <c r="L398" s="265"/>
      <c r="M398" s="265"/>
      <c r="N398" s="265"/>
      <c r="O398" s="265"/>
      <c r="P398" s="265"/>
      <c r="Q398" s="265"/>
      <c r="R398" s="265"/>
      <c r="S398" s="265"/>
      <c r="T398" s="265"/>
      <c r="U398" s="265"/>
      <c r="V398" s="265"/>
      <c r="W398" s="265"/>
      <c r="X398" s="265"/>
      <c r="Y398" s="265"/>
      <c r="Z398" s="265"/>
      <c r="AA398" s="265"/>
      <c r="AB398" s="265"/>
    </row>
    <row r="399" spans="1:28" ht="15.75" customHeight="1">
      <c r="A399" s="265"/>
      <c r="B399" s="265"/>
      <c r="C399" s="265"/>
      <c r="D399" s="265"/>
      <c r="E399" s="265"/>
      <c r="F399" s="265"/>
      <c r="G399" s="265"/>
      <c r="H399" s="265"/>
      <c r="I399" s="265"/>
      <c r="J399" s="265"/>
      <c r="K399" s="265"/>
      <c r="L399" s="265"/>
      <c r="M399" s="265"/>
      <c r="N399" s="265"/>
      <c r="O399" s="265"/>
      <c r="P399" s="265"/>
      <c r="Q399" s="265"/>
      <c r="R399" s="265"/>
      <c r="S399" s="265"/>
      <c r="T399" s="265"/>
      <c r="U399" s="265"/>
      <c r="V399" s="265"/>
      <c r="W399" s="265"/>
      <c r="X399" s="265"/>
      <c r="Y399" s="265"/>
      <c r="Z399" s="265"/>
      <c r="AA399" s="265"/>
      <c r="AB399" s="265"/>
    </row>
    <row r="400" spans="1:28" ht="15.75" customHeight="1">
      <c r="A400" s="265"/>
      <c r="B400" s="265"/>
      <c r="C400" s="265"/>
      <c r="D400" s="265"/>
      <c r="E400" s="265"/>
      <c r="F400" s="265"/>
      <c r="G400" s="265"/>
      <c r="H400" s="265"/>
      <c r="I400" s="265"/>
      <c r="J400" s="265"/>
      <c r="K400" s="265"/>
      <c r="L400" s="265"/>
      <c r="M400" s="265"/>
      <c r="N400" s="265"/>
      <c r="O400" s="265"/>
      <c r="P400" s="265"/>
      <c r="Q400" s="265"/>
      <c r="R400" s="265"/>
      <c r="S400" s="265"/>
      <c r="T400" s="265"/>
      <c r="U400" s="265"/>
      <c r="V400" s="265"/>
      <c r="W400" s="265"/>
      <c r="X400" s="265"/>
      <c r="Y400" s="265"/>
      <c r="Z400" s="265"/>
      <c r="AA400" s="265"/>
      <c r="AB400" s="265"/>
    </row>
    <row r="401" spans="1:28" ht="15.75" customHeight="1">
      <c r="A401" s="265"/>
      <c r="B401" s="265"/>
      <c r="C401" s="265"/>
      <c r="D401" s="265"/>
      <c r="E401" s="265"/>
      <c r="F401" s="265"/>
      <c r="G401" s="265"/>
      <c r="H401" s="265"/>
      <c r="I401" s="265"/>
      <c r="J401" s="265"/>
      <c r="K401" s="265"/>
      <c r="L401" s="265"/>
      <c r="M401" s="265"/>
      <c r="N401" s="265"/>
      <c r="O401" s="265"/>
      <c r="P401" s="265"/>
      <c r="Q401" s="265"/>
      <c r="R401" s="265"/>
      <c r="S401" s="265"/>
      <c r="T401" s="265"/>
      <c r="U401" s="265"/>
      <c r="V401" s="265"/>
      <c r="W401" s="265"/>
      <c r="X401" s="265"/>
      <c r="Y401" s="265"/>
      <c r="Z401" s="265"/>
      <c r="AA401" s="265"/>
      <c r="AB401" s="265"/>
    </row>
    <row r="402" spans="1:28" ht="15.75" customHeight="1">
      <c r="A402" s="265"/>
      <c r="B402" s="265"/>
      <c r="C402" s="265"/>
      <c r="D402" s="265"/>
      <c r="E402" s="265"/>
      <c r="F402" s="265"/>
      <c r="G402" s="265"/>
      <c r="H402" s="265"/>
      <c r="I402" s="265"/>
      <c r="J402" s="265"/>
      <c r="K402" s="265"/>
      <c r="L402" s="265"/>
      <c r="M402" s="265"/>
      <c r="N402" s="265"/>
      <c r="O402" s="265"/>
      <c r="P402" s="265"/>
      <c r="Q402" s="265"/>
      <c r="R402" s="265"/>
      <c r="S402" s="265"/>
      <c r="T402" s="265"/>
      <c r="U402" s="265"/>
      <c r="V402" s="265"/>
      <c r="W402" s="265"/>
      <c r="X402" s="265"/>
      <c r="Y402" s="265"/>
      <c r="Z402" s="265"/>
      <c r="AA402" s="265"/>
      <c r="AB402" s="265"/>
    </row>
    <row r="403" spans="1:28" ht="15.75" customHeight="1">
      <c r="A403" s="265"/>
      <c r="B403" s="265"/>
      <c r="C403" s="265"/>
      <c r="D403" s="265"/>
      <c r="E403" s="265"/>
      <c r="F403" s="265"/>
      <c r="G403" s="265"/>
      <c r="H403" s="265"/>
      <c r="I403" s="265"/>
      <c r="J403" s="265"/>
      <c r="K403" s="265"/>
      <c r="L403" s="265"/>
      <c r="M403" s="265"/>
      <c r="N403" s="265"/>
      <c r="O403" s="265"/>
      <c r="P403" s="265"/>
      <c r="Q403" s="265"/>
      <c r="R403" s="265"/>
      <c r="S403" s="265"/>
      <c r="T403" s="265"/>
      <c r="U403" s="265"/>
      <c r="V403" s="265"/>
      <c r="W403" s="265"/>
      <c r="X403" s="265"/>
      <c r="Y403" s="265"/>
      <c r="Z403" s="265"/>
      <c r="AA403" s="265"/>
      <c r="AB403" s="265"/>
    </row>
    <row r="404" spans="1:28" ht="15.75" customHeight="1">
      <c r="A404" s="265"/>
      <c r="B404" s="265"/>
      <c r="C404" s="265"/>
      <c r="D404" s="265"/>
      <c r="E404" s="265"/>
      <c r="F404" s="265"/>
      <c r="G404" s="265"/>
      <c r="H404" s="265"/>
      <c r="I404" s="265"/>
      <c r="J404" s="265"/>
      <c r="K404" s="265"/>
      <c r="L404" s="265"/>
      <c r="M404" s="265"/>
      <c r="N404" s="265"/>
      <c r="O404" s="265"/>
      <c r="P404" s="265"/>
      <c r="Q404" s="265"/>
      <c r="R404" s="265"/>
      <c r="S404" s="265"/>
      <c r="T404" s="265"/>
      <c r="U404" s="265"/>
      <c r="V404" s="265"/>
      <c r="W404" s="265"/>
      <c r="X404" s="265"/>
      <c r="Y404" s="265"/>
      <c r="Z404" s="265"/>
      <c r="AA404" s="265"/>
      <c r="AB404" s="265"/>
    </row>
    <row r="405" spans="1:28" ht="15.75" customHeight="1">
      <c r="A405" s="265"/>
      <c r="B405" s="265"/>
      <c r="C405" s="265"/>
      <c r="D405" s="265"/>
      <c r="E405" s="265"/>
      <c r="F405" s="265"/>
      <c r="G405" s="265"/>
      <c r="H405" s="265"/>
      <c r="I405" s="265"/>
      <c r="J405" s="265"/>
      <c r="K405" s="265"/>
      <c r="L405" s="265"/>
      <c r="M405" s="265"/>
      <c r="N405" s="265"/>
      <c r="O405" s="265"/>
      <c r="P405" s="265"/>
      <c r="Q405" s="265"/>
      <c r="R405" s="265"/>
      <c r="S405" s="265"/>
      <c r="T405" s="265"/>
      <c r="U405" s="265"/>
      <c r="V405" s="265"/>
      <c r="W405" s="265"/>
      <c r="X405" s="265"/>
      <c r="Y405" s="265"/>
      <c r="Z405" s="265"/>
      <c r="AA405" s="265"/>
      <c r="AB405" s="265"/>
    </row>
    <row r="406" spans="1:28" ht="15.75" customHeight="1">
      <c r="A406" s="265"/>
      <c r="B406" s="265"/>
      <c r="C406" s="265"/>
      <c r="D406" s="265"/>
      <c r="E406" s="265"/>
      <c r="F406" s="265"/>
      <c r="G406" s="265"/>
      <c r="H406" s="265"/>
      <c r="I406" s="265"/>
      <c r="J406" s="265"/>
      <c r="K406" s="265"/>
      <c r="L406" s="265"/>
      <c r="M406" s="265"/>
      <c r="N406" s="265"/>
      <c r="O406" s="265"/>
      <c r="P406" s="265"/>
      <c r="Q406" s="265"/>
      <c r="R406" s="265"/>
      <c r="S406" s="265"/>
      <c r="T406" s="265"/>
      <c r="U406" s="265"/>
      <c r="V406" s="265"/>
      <c r="W406" s="265"/>
      <c r="X406" s="265"/>
      <c r="Y406" s="265"/>
      <c r="Z406" s="265"/>
      <c r="AA406" s="265"/>
      <c r="AB406" s="265"/>
    </row>
    <row r="407" spans="1:28" ht="15.75" customHeight="1">
      <c r="A407" s="265"/>
      <c r="B407" s="265"/>
      <c r="C407" s="265"/>
      <c r="D407" s="265"/>
      <c r="E407" s="265"/>
      <c r="F407" s="265"/>
      <c r="G407" s="265"/>
      <c r="H407" s="265"/>
      <c r="I407" s="265"/>
      <c r="J407" s="265"/>
      <c r="K407" s="265"/>
      <c r="L407" s="265"/>
      <c r="M407" s="265"/>
      <c r="N407" s="265"/>
      <c r="O407" s="265"/>
      <c r="P407" s="265"/>
      <c r="Q407" s="265"/>
      <c r="R407" s="265"/>
      <c r="S407" s="265"/>
      <c r="T407" s="265"/>
      <c r="U407" s="265"/>
      <c r="V407" s="265"/>
      <c r="W407" s="265"/>
      <c r="X407" s="265"/>
      <c r="Y407" s="265"/>
      <c r="Z407" s="265"/>
      <c r="AA407" s="265"/>
      <c r="AB407" s="265"/>
    </row>
    <row r="408" spans="1:28" ht="15.75" customHeight="1">
      <c r="A408" s="265"/>
      <c r="B408" s="265"/>
      <c r="C408" s="265"/>
      <c r="D408" s="265"/>
      <c r="E408" s="265"/>
      <c r="F408" s="265"/>
      <c r="G408" s="265"/>
      <c r="H408" s="265"/>
      <c r="I408" s="265"/>
      <c r="J408" s="265"/>
      <c r="K408" s="265"/>
      <c r="L408" s="265"/>
      <c r="M408" s="265"/>
      <c r="N408" s="265"/>
      <c r="O408" s="265"/>
      <c r="P408" s="265"/>
      <c r="Q408" s="265"/>
      <c r="R408" s="265"/>
      <c r="S408" s="265"/>
      <c r="T408" s="265"/>
      <c r="U408" s="265"/>
      <c r="V408" s="265"/>
      <c r="W408" s="265"/>
      <c r="X408" s="265"/>
      <c r="Y408" s="265"/>
      <c r="Z408" s="265"/>
      <c r="AA408" s="265"/>
      <c r="AB408" s="265"/>
    </row>
    <row r="409" spans="1:28" ht="15.75" customHeight="1">
      <c r="A409" s="265"/>
      <c r="B409" s="265"/>
      <c r="C409" s="265"/>
      <c r="D409" s="265"/>
      <c r="E409" s="265"/>
      <c r="F409" s="265"/>
      <c r="G409" s="265"/>
      <c r="H409" s="265"/>
      <c r="I409" s="265"/>
      <c r="J409" s="265"/>
      <c r="K409" s="265"/>
      <c r="L409" s="265"/>
      <c r="M409" s="265"/>
      <c r="N409" s="265"/>
      <c r="O409" s="265"/>
      <c r="P409" s="265"/>
      <c r="Q409" s="265"/>
      <c r="R409" s="265"/>
      <c r="S409" s="265"/>
      <c r="T409" s="265"/>
      <c r="U409" s="265"/>
      <c r="V409" s="265"/>
      <c r="W409" s="265"/>
      <c r="X409" s="265"/>
      <c r="Y409" s="265"/>
      <c r="Z409" s="265"/>
      <c r="AA409" s="265"/>
      <c r="AB409" s="265"/>
    </row>
    <row r="410" spans="1:28" ht="15.75" customHeight="1">
      <c r="A410" s="265"/>
      <c r="B410" s="265"/>
      <c r="C410" s="265"/>
      <c r="D410" s="265"/>
      <c r="E410" s="265"/>
      <c r="F410" s="265"/>
      <c r="G410" s="265"/>
      <c r="H410" s="265"/>
      <c r="I410" s="265"/>
      <c r="J410" s="265"/>
      <c r="K410" s="265"/>
      <c r="L410" s="265"/>
      <c r="M410" s="265"/>
      <c r="N410" s="265"/>
      <c r="O410" s="265"/>
      <c r="P410" s="265"/>
      <c r="Q410" s="265"/>
      <c r="R410" s="265"/>
      <c r="S410" s="265"/>
      <c r="T410" s="265"/>
      <c r="U410" s="265"/>
      <c r="V410" s="265"/>
      <c r="W410" s="265"/>
      <c r="X410" s="265"/>
      <c r="Y410" s="265"/>
      <c r="Z410" s="265"/>
      <c r="AA410" s="265"/>
      <c r="AB410" s="265"/>
    </row>
    <row r="411" spans="1:28" ht="15.75" customHeight="1">
      <c r="A411" s="265"/>
      <c r="B411" s="265"/>
      <c r="C411" s="265"/>
      <c r="D411" s="265"/>
      <c r="E411" s="265"/>
      <c r="F411" s="265"/>
      <c r="G411" s="265"/>
      <c r="H411" s="265"/>
      <c r="I411" s="265"/>
      <c r="J411" s="265"/>
      <c r="K411" s="265"/>
      <c r="L411" s="265"/>
      <c r="M411" s="265"/>
      <c r="N411" s="265"/>
      <c r="O411" s="265"/>
      <c r="P411" s="265"/>
      <c r="Q411" s="265"/>
      <c r="R411" s="265"/>
      <c r="S411" s="265"/>
      <c r="T411" s="265"/>
      <c r="U411" s="265"/>
      <c r="V411" s="265"/>
      <c r="W411" s="265"/>
      <c r="X411" s="265"/>
      <c r="Y411" s="265"/>
      <c r="Z411" s="265"/>
      <c r="AA411" s="265"/>
      <c r="AB411" s="265"/>
    </row>
    <row r="412" spans="1:28" ht="15.75" customHeight="1">
      <c r="A412" s="265"/>
      <c r="B412" s="265"/>
      <c r="C412" s="265"/>
      <c r="D412" s="265"/>
      <c r="E412" s="265"/>
      <c r="F412" s="265"/>
      <c r="G412" s="265"/>
      <c r="H412" s="265"/>
      <c r="I412" s="265"/>
      <c r="J412" s="265"/>
      <c r="K412" s="265"/>
      <c r="L412" s="265"/>
      <c r="M412" s="265"/>
      <c r="N412" s="265"/>
      <c r="O412" s="265"/>
      <c r="P412" s="265"/>
      <c r="Q412" s="265"/>
      <c r="R412" s="265"/>
      <c r="S412" s="265"/>
      <c r="T412" s="265"/>
      <c r="U412" s="265"/>
      <c r="V412" s="265"/>
      <c r="W412" s="265"/>
      <c r="X412" s="265"/>
      <c r="Y412" s="265"/>
      <c r="Z412" s="265"/>
      <c r="AA412" s="265"/>
      <c r="AB412" s="265"/>
    </row>
    <row r="413" spans="1:28" ht="15.75" customHeight="1">
      <c r="A413" s="265"/>
      <c r="B413" s="265"/>
      <c r="C413" s="265"/>
      <c r="D413" s="265"/>
      <c r="E413" s="265"/>
      <c r="F413" s="265"/>
      <c r="G413" s="265"/>
      <c r="H413" s="265"/>
      <c r="I413" s="265"/>
      <c r="J413" s="265"/>
      <c r="K413" s="265"/>
      <c r="L413" s="265"/>
      <c r="M413" s="265"/>
      <c r="N413" s="265"/>
      <c r="O413" s="265"/>
      <c r="P413" s="265"/>
      <c r="Q413" s="265"/>
      <c r="R413" s="265"/>
      <c r="S413" s="265"/>
      <c r="T413" s="265"/>
      <c r="U413" s="265"/>
      <c r="V413" s="265"/>
      <c r="W413" s="265"/>
      <c r="X413" s="265"/>
      <c r="Y413" s="265"/>
      <c r="Z413" s="265"/>
      <c r="AA413" s="265"/>
      <c r="AB413" s="265"/>
    </row>
    <row r="414" spans="1:28" ht="15.75" customHeight="1">
      <c r="A414" s="265"/>
      <c r="B414" s="265"/>
      <c r="C414" s="265"/>
      <c r="D414" s="265"/>
      <c r="E414" s="265"/>
      <c r="F414" s="265"/>
      <c r="G414" s="265"/>
      <c r="H414" s="265"/>
      <c r="I414" s="265"/>
      <c r="J414" s="265"/>
      <c r="K414" s="265"/>
      <c r="L414" s="265"/>
      <c r="M414" s="265"/>
      <c r="N414" s="265"/>
      <c r="O414" s="265"/>
      <c r="P414" s="265"/>
      <c r="Q414" s="265"/>
      <c r="R414" s="265"/>
      <c r="S414" s="265"/>
      <c r="T414" s="265"/>
      <c r="U414" s="265"/>
      <c r="V414" s="265"/>
      <c r="W414" s="265"/>
      <c r="X414" s="265"/>
      <c r="Y414" s="265"/>
      <c r="Z414" s="265"/>
      <c r="AA414" s="265"/>
      <c r="AB414" s="265"/>
    </row>
    <row r="415" spans="1:28" ht="15.75" customHeight="1">
      <c r="A415" s="265"/>
      <c r="B415" s="265"/>
      <c r="C415" s="265"/>
      <c r="D415" s="265"/>
      <c r="E415" s="265"/>
      <c r="F415" s="265"/>
      <c r="G415" s="265"/>
      <c r="H415" s="265"/>
      <c r="I415" s="265"/>
      <c r="J415" s="265"/>
      <c r="K415" s="265"/>
      <c r="L415" s="265"/>
      <c r="M415" s="265"/>
      <c r="N415" s="265"/>
      <c r="O415" s="265"/>
      <c r="P415" s="265"/>
      <c r="Q415" s="265"/>
      <c r="R415" s="265"/>
      <c r="S415" s="265"/>
      <c r="T415" s="265"/>
      <c r="U415" s="265"/>
      <c r="V415" s="265"/>
      <c r="W415" s="265"/>
      <c r="X415" s="265"/>
      <c r="Y415" s="265"/>
      <c r="Z415" s="265"/>
      <c r="AA415" s="265"/>
      <c r="AB415" s="265"/>
    </row>
    <row r="416" spans="1:28" ht="15.75" customHeight="1">
      <c r="A416" s="265"/>
      <c r="B416" s="265"/>
      <c r="C416" s="265"/>
      <c r="D416" s="265"/>
      <c r="E416" s="265"/>
      <c r="F416" s="265"/>
      <c r="G416" s="265"/>
      <c r="H416" s="265"/>
      <c r="I416" s="265"/>
      <c r="J416" s="265"/>
      <c r="K416" s="265"/>
      <c r="L416" s="265"/>
      <c r="M416" s="265"/>
      <c r="N416" s="265"/>
      <c r="O416" s="265"/>
      <c r="P416" s="265"/>
      <c r="Q416" s="265"/>
      <c r="R416" s="265"/>
      <c r="S416" s="265"/>
      <c r="T416" s="265"/>
      <c r="U416" s="265"/>
      <c r="V416" s="265"/>
      <c r="W416" s="265"/>
      <c r="X416" s="265"/>
      <c r="Y416" s="265"/>
      <c r="Z416" s="265"/>
      <c r="AA416" s="265"/>
      <c r="AB416" s="265"/>
    </row>
    <row r="417" spans="1:28" ht="15.75" customHeight="1">
      <c r="A417" s="265"/>
      <c r="B417" s="265"/>
      <c r="C417" s="265"/>
      <c r="D417" s="265"/>
      <c r="E417" s="265"/>
      <c r="F417" s="265"/>
      <c r="G417" s="265"/>
      <c r="H417" s="265"/>
      <c r="I417" s="265"/>
      <c r="J417" s="265"/>
      <c r="K417" s="265"/>
      <c r="L417" s="265"/>
      <c r="M417" s="265"/>
      <c r="N417" s="265"/>
      <c r="O417" s="265"/>
      <c r="P417" s="265"/>
      <c r="Q417" s="265"/>
      <c r="R417" s="265"/>
      <c r="S417" s="265"/>
      <c r="T417" s="265"/>
      <c r="U417" s="265"/>
      <c r="V417" s="265"/>
      <c r="W417" s="265"/>
      <c r="X417" s="265"/>
      <c r="Y417" s="265"/>
      <c r="Z417" s="265"/>
      <c r="AA417" s="265"/>
      <c r="AB417" s="265"/>
    </row>
    <row r="418" spans="1:28" ht="15.75" customHeight="1">
      <c r="A418" s="265"/>
      <c r="B418" s="265"/>
      <c r="C418" s="265"/>
      <c r="D418" s="265"/>
      <c r="E418" s="265"/>
      <c r="F418" s="265"/>
      <c r="G418" s="265"/>
      <c r="H418" s="265"/>
      <c r="I418" s="265"/>
      <c r="J418" s="265"/>
      <c r="K418" s="265"/>
      <c r="L418" s="265"/>
      <c r="M418" s="265"/>
      <c r="N418" s="265"/>
      <c r="O418" s="265"/>
      <c r="P418" s="265"/>
      <c r="Q418" s="265"/>
      <c r="R418" s="265"/>
      <c r="S418" s="265"/>
      <c r="T418" s="265"/>
      <c r="U418" s="265"/>
      <c r="V418" s="265"/>
      <c r="W418" s="265"/>
      <c r="X418" s="265"/>
      <c r="Y418" s="265"/>
      <c r="Z418" s="265"/>
      <c r="AA418" s="265"/>
      <c r="AB418" s="265"/>
    </row>
    <row r="419" spans="1:28" ht="15.75" customHeight="1">
      <c r="A419" s="265"/>
      <c r="B419" s="265"/>
      <c r="C419" s="265"/>
      <c r="D419" s="265"/>
      <c r="E419" s="265"/>
      <c r="F419" s="265"/>
      <c r="G419" s="265"/>
      <c r="H419" s="265"/>
      <c r="I419" s="265"/>
      <c r="J419" s="265"/>
      <c r="K419" s="265"/>
      <c r="L419" s="265"/>
      <c r="M419" s="265"/>
      <c r="N419" s="265"/>
      <c r="O419" s="265"/>
      <c r="P419" s="265"/>
      <c r="Q419" s="265"/>
      <c r="R419" s="265"/>
      <c r="S419" s="265"/>
      <c r="T419" s="265"/>
      <c r="U419" s="265"/>
      <c r="V419" s="265"/>
      <c r="W419" s="265"/>
      <c r="X419" s="265"/>
      <c r="Y419" s="265"/>
      <c r="Z419" s="265"/>
      <c r="AA419" s="265"/>
      <c r="AB419" s="265"/>
    </row>
    <row r="420" spans="1:28" ht="15.75" customHeight="1">
      <c r="A420" s="265"/>
      <c r="B420" s="265"/>
      <c r="C420" s="265"/>
      <c r="D420" s="265"/>
      <c r="E420" s="265"/>
      <c r="F420" s="265"/>
      <c r="G420" s="265"/>
      <c r="H420" s="265"/>
      <c r="I420" s="265"/>
      <c r="J420" s="265"/>
      <c r="K420" s="265"/>
      <c r="L420" s="265"/>
      <c r="M420" s="265"/>
      <c r="N420" s="265"/>
      <c r="O420" s="265"/>
      <c r="P420" s="265"/>
      <c r="Q420" s="265"/>
      <c r="R420" s="265"/>
      <c r="S420" s="265"/>
      <c r="T420" s="265"/>
      <c r="U420" s="265"/>
      <c r="V420" s="265"/>
      <c r="W420" s="265"/>
      <c r="X420" s="265"/>
      <c r="Y420" s="265"/>
      <c r="Z420" s="265"/>
      <c r="AA420" s="265"/>
      <c r="AB420" s="265"/>
    </row>
    <row r="421" spans="1:28" ht="15.75" customHeight="1">
      <c r="A421" s="265"/>
      <c r="B421" s="265"/>
      <c r="C421" s="265"/>
      <c r="D421" s="265"/>
      <c r="E421" s="265"/>
      <c r="F421" s="265"/>
      <c r="G421" s="265"/>
      <c r="H421" s="265"/>
      <c r="I421" s="265"/>
      <c r="J421" s="265"/>
      <c r="K421" s="265"/>
      <c r="L421" s="265"/>
      <c r="M421" s="265"/>
      <c r="N421" s="265"/>
      <c r="O421" s="265"/>
      <c r="P421" s="265"/>
      <c r="Q421" s="265"/>
      <c r="R421" s="265"/>
      <c r="S421" s="265"/>
      <c r="T421" s="265"/>
      <c r="U421" s="265"/>
      <c r="V421" s="265"/>
      <c r="W421" s="265"/>
      <c r="X421" s="265"/>
      <c r="Y421" s="265"/>
      <c r="Z421" s="265"/>
      <c r="AA421" s="265"/>
      <c r="AB421" s="265"/>
    </row>
    <row r="422" spans="1:28" ht="15.75" customHeight="1">
      <c r="A422" s="265"/>
      <c r="B422" s="265"/>
      <c r="C422" s="265"/>
      <c r="D422" s="265"/>
      <c r="E422" s="265"/>
      <c r="F422" s="265"/>
      <c r="G422" s="265"/>
      <c r="H422" s="265"/>
      <c r="I422" s="265"/>
      <c r="J422" s="265"/>
      <c r="K422" s="265"/>
      <c r="L422" s="265"/>
      <c r="M422" s="265"/>
      <c r="N422" s="265"/>
      <c r="O422" s="265"/>
      <c r="P422" s="265"/>
      <c r="Q422" s="265"/>
      <c r="R422" s="265"/>
      <c r="S422" s="265"/>
      <c r="T422" s="265"/>
      <c r="U422" s="265"/>
      <c r="V422" s="265"/>
      <c r="W422" s="265"/>
      <c r="X422" s="265"/>
      <c r="Y422" s="265"/>
      <c r="Z422" s="265"/>
      <c r="AA422" s="265"/>
      <c r="AB422" s="265"/>
    </row>
    <row r="423" spans="1:28" ht="15.75" customHeight="1">
      <c r="A423" s="265"/>
      <c r="B423" s="265"/>
      <c r="C423" s="265"/>
      <c r="D423" s="265"/>
      <c r="E423" s="265"/>
      <c r="F423" s="265"/>
      <c r="G423" s="265"/>
      <c r="H423" s="265"/>
      <c r="I423" s="265"/>
      <c r="J423" s="265"/>
      <c r="K423" s="265"/>
      <c r="L423" s="265"/>
      <c r="M423" s="265"/>
      <c r="N423" s="265"/>
      <c r="O423" s="265"/>
      <c r="P423" s="265"/>
      <c r="Q423" s="265"/>
      <c r="R423" s="265"/>
      <c r="S423" s="265"/>
      <c r="T423" s="265"/>
      <c r="U423" s="265"/>
      <c r="V423" s="265"/>
      <c r="W423" s="265"/>
      <c r="X423" s="265"/>
      <c r="Y423" s="265"/>
      <c r="Z423" s="265"/>
      <c r="AA423" s="265"/>
      <c r="AB423" s="265"/>
    </row>
    <row r="424" spans="1:28" ht="15.75" customHeight="1">
      <c r="A424" s="265"/>
      <c r="B424" s="265"/>
      <c r="C424" s="265"/>
      <c r="D424" s="265"/>
      <c r="E424" s="265"/>
      <c r="F424" s="265"/>
      <c r="G424" s="265"/>
      <c r="H424" s="265"/>
      <c r="I424" s="265"/>
      <c r="J424" s="265"/>
      <c r="K424" s="265"/>
      <c r="L424" s="265"/>
      <c r="M424" s="265"/>
      <c r="N424" s="265"/>
      <c r="O424" s="265"/>
      <c r="P424" s="265"/>
      <c r="Q424" s="265"/>
      <c r="R424" s="265"/>
      <c r="S424" s="265"/>
      <c r="T424" s="265"/>
      <c r="U424" s="265"/>
      <c r="V424" s="265"/>
      <c r="W424" s="265"/>
      <c r="X424" s="265"/>
      <c r="Y424" s="265"/>
      <c r="Z424" s="265"/>
      <c r="AA424" s="265"/>
      <c r="AB424" s="265"/>
    </row>
    <row r="425" spans="1:28" ht="15.75" customHeight="1">
      <c r="A425" s="265"/>
      <c r="B425" s="265"/>
      <c r="C425" s="265"/>
      <c r="D425" s="265"/>
      <c r="E425" s="265"/>
      <c r="F425" s="265"/>
      <c r="G425" s="265"/>
      <c r="H425" s="265"/>
      <c r="I425" s="265"/>
      <c r="J425" s="265"/>
      <c r="K425" s="265"/>
      <c r="L425" s="265"/>
      <c r="M425" s="265"/>
      <c r="N425" s="265"/>
      <c r="O425" s="265"/>
      <c r="P425" s="265"/>
      <c r="Q425" s="265"/>
      <c r="R425" s="265"/>
      <c r="S425" s="265"/>
      <c r="T425" s="265"/>
      <c r="U425" s="265"/>
      <c r="V425" s="265"/>
      <c r="W425" s="265"/>
      <c r="X425" s="265"/>
      <c r="Y425" s="265"/>
      <c r="Z425" s="265"/>
      <c r="AA425" s="265"/>
      <c r="AB425" s="265"/>
    </row>
    <row r="426" spans="1:28" ht="15.75" customHeight="1">
      <c r="A426" s="265"/>
      <c r="B426" s="265"/>
      <c r="C426" s="265"/>
      <c r="D426" s="265"/>
      <c r="E426" s="265"/>
      <c r="F426" s="265"/>
      <c r="G426" s="265"/>
      <c r="H426" s="265"/>
      <c r="I426" s="265"/>
      <c r="J426" s="265"/>
      <c r="K426" s="265"/>
      <c r="L426" s="265"/>
      <c r="M426" s="265"/>
      <c r="N426" s="265"/>
      <c r="O426" s="265"/>
      <c r="P426" s="265"/>
      <c r="Q426" s="265"/>
      <c r="R426" s="265"/>
      <c r="S426" s="265"/>
      <c r="T426" s="265"/>
      <c r="U426" s="265"/>
      <c r="V426" s="265"/>
      <c r="W426" s="265"/>
      <c r="X426" s="265"/>
      <c r="Y426" s="265"/>
      <c r="Z426" s="265"/>
      <c r="AA426" s="265"/>
      <c r="AB426" s="265"/>
    </row>
    <row r="427" spans="1:28" ht="15.75" customHeight="1">
      <c r="A427" s="265"/>
      <c r="B427" s="265"/>
      <c r="C427" s="265"/>
      <c r="D427" s="265"/>
      <c r="E427" s="265"/>
      <c r="F427" s="265"/>
      <c r="G427" s="265"/>
      <c r="H427" s="265"/>
      <c r="I427" s="265"/>
      <c r="J427" s="265"/>
      <c r="K427" s="265"/>
      <c r="L427" s="265"/>
      <c r="M427" s="265"/>
      <c r="N427" s="265"/>
      <c r="O427" s="265"/>
      <c r="P427" s="265"/>
      <c r="Q427" s="265"/>
      <c r="R427" s="265"/>
      <c r="S427" s="265"/>
      <c r="T427" s="265"/>
      <c r="U427" s="265"/>
      <c r="V427" s="265"/>
      <c r="W427" s="265"/>
      <c r="X427" s="265"/>
      <c r="Y427" s="265"/>
      <c r="Z427" s="265"/>
      <c r="AA427" s="265"/>
      <c r="AB427" s="265"/>
    </row>
    <row r="428" spans="1:28" ht="15.75" customHeight="1">
      <c r="A428" s="265"/>
      <c r="B428" s="265"/>
      <c r="C428" s="265"/>
      <c r="D428" s="265"/>
      <c r="E428" s="265"/>
      <c r="F428" s="265"/>
      <c r="G428" s="265"/>
      <c r="H428" s="265"/>
      <c r="I428" s="265"/>
      <c r="J428" s="265"/>
      <c r="K428" s="265"/>
      <c r="L428" s="265"/>
      <c r="M428" s="265"/>
      <c r="N428" s="265"/>
      <c r="O428" s="265"/>
      <c r="P428" s="265"/>
      <c r="Q428" s="265"/>
      <c r="R428" s="265"/>
      <c r="S428" s="265"/>
      <c r="T428" s="265"/>
      <c r="U428" s="265"/>
      <c r="V428" s="265"/>
      <c r="W428" s="265"/>
      <c r="X428" s="265"/>
      <c r="Y428" s="265"/>
      <c r="Z428" s="265"/>
      <c r="AA428" s="265"/>
      <c r="AB428" s="265"/>
    </row>
    <row r="429" spans="1:28" ht="15.75" customHeight="1">
      <c r="A429" s="265"/>
      <c r="B429" s="265"/>
      <c r="C429" s="265"/>
      <c r="D429" s="265"/>
      <c r="E429" s="265"/>
      <c r="F429" s="265"/>
      <c r="G429" s="265"/>
      <c r="H429" s="265"/>
      <c r="I429" s="265"/>
      <c r="J429" s="265"/>
      <c r="K429" s="265"/>
      <c r="L429" s="265"/>
      <c r="M429" s="265"/>
      <c r="N429" s="265"/>
      <c r="O429" s="265"/>
      <c r="P429" s="265"/>
      <c r="Q429" s="265"/>
      <c r="R429" s="265"/>
      <c r="S429" s="265"/>
      <c r="T429" s="265"/>
      <c r="U429" s="265"/>
      <c r="V429" s="265"/>
      <c r="W429" s="265"/>
      <c r="X429" s="265"/>
      <c r="Y429" s="265"/>
      <c r="Z429" s="265"/>
      <c r="AA429" s="265"/>
      <c r="AB429" s="265"/>
    </row>
    <row r="430" spans="1:28" ht="15.75" customHeight="1">
      <c r="A430" s="265"/>
      <c r="B430" s="265"/>
      <c r="C430" s="265"/>
      <c r="D430" s="265"/>
      <c r="E430" s="265"/>
      <c r="F430" s="265"/>
      <c r="G430" s="265"/>
      <c r="H430" s="265"/>
      <c r="I430" s="265"/>
      <c r="J430" s="265"/>
      <c r="K430" s="265"/>
      <c r="L430" s="265"/>
      <c r="M430" s="265"/>
      <c r="N430" s="265"/>
      <c r="O430" s="265"/>
      <c r="P430" s="265"/>
      <c r="Q430" s="265"/>
      <c r="R430" s="265"/>
      <c r="S430" s="265"/>
      <c r="T430" s="265"/>
      <c r="U430" s="265"/>
      <c r="V430" s="265"/>
      <c r="W430" s="265"/>
      <c r="X430" s="265"/>
      <c r="Y430" s="265"/>
      <c r="Z430" s="265"/>
      <c r="AA430" s="265"/>
      <c r="AB430" s="265"/>
    </row>
    <row r="431" spans="1:28" ht="15.75" customHeight="1">
      <c r="A431" s="265"/>
      <c r="B431" s="265"/>
      <c r="C431" s="265"/>
      <c r="D431" s="265"/>
      <c r="E431" s="265"/>
      <c r="F431" s="265"/>
      <c r="G431" s="265"/>
      <c r="H431" s="265"/>
      <c r="I431" s="265"/>
      <c r="J431" s="265"/>
      <c r="K431" s="265"/>
      <c r="L431" s="265"/>
      <c r="M431" s="265"/>
      <c r="N431" s="265"/>
      <c r="O431" s="265"/>
      <c r="P431" s="265"/>
      <c r="Q431" s="265"/>
      <c r="R431" s="265"/>
      <c r="S431" s="265"/>
      <c r="T431" s="265"/>
      <c r="U431" s="265"/>
      <c r="V431" s="265"/>
      <c r="W431" s="265"/>
      <c r="X431" s="265"/>
      <c r="Y431" s="265"/>
      <c r="Z431" s="265"/>
      <c r="AA431" s="265"/>
      <c r="AB431" s="265"/>
    </row>
    <row r="432" spans="1:28" ht="15.75" customHeight="1">
      <c r="A432" s="265"/>
      <c r="B432" s="265"/>
      <c r="C432" s="265"/>
      <c r="D432" s="265"/>
      <c r="E432" s="265"/>
      <c r="F432" s="265"/>
      <c r="G432" s="265"/>
      <c r="H432" s="265"/>
      <c r="I432" s="265"/>
      <c r="J432" s="265"/>
      <c r="K432" s="265"/>
      <c r="L432" s="265"/>
      <c r="M432" s="265"/>
      <c r="N432" s="265"/>
      <c r="O432" s="265"/>
      <c r="P432" s="265"/>
      <c r="Q432" s="265"/>
      <c r="R432" s="265"/>
      <c r="S432" s="265"/>
      <c r="T432" s="265"/>
      <c r="U432" s="265"/>
      <c r="V432" s="265"/>
      <c r="W432" s="265"/>
      <c r="X432" s="265"/>
      <c r="Y432" s="265"/>
      <c r="Z432" s="265"/>
      <c r="AA432" s="265"/>
      <c r="AB432" s="265"/>
    </row>
    <row r="433" spans="1:28" ht="15.75" customHeight="1">
      <c r="A433" s="265"/>
      <c r="B433" s="265"/>
      <c r="C433" s="265"/>
      <c r="D433" s="265"/>
      <c r="E433" s="265"/>
      <c r="F433" s="265"/>
      <c r="G433" s="265"/>
      <c r="H433" s="265"/>
      <c r="I433" s="265"/>
      <c r="J433" s="265"/>
      <c r="K433" s="265"/>
      <c r="L433" s="265"/>
      <c r="M433" s="265"/>
      <c r="N433" s="265"/>
      <c r="O433" s="265"/>
      <c r="P433" s="265"/>
      <c r="Q433" s="265"/>
      <c r="R433" s="265"/>
      <c r="S433" s="265"/>
      <c r="T433" s="265"/>
      <c r="U433" s="265"/>
      <c r="V433" s="265"/>
      <c r="W433" s="265"/>
      <c r="X433" s="265"/>
      <c r="Y433" s="265"/>
      <c r="Z433" s="265"/>
      <c r="AA433" s="265"/>
      <c r="AB433" s="265"/>
    </row>
    <row r="434" spans="1:28" ht="15.75" customHeight="1">
      <c r="A434" s="265"/>
      <c r="B434" s="265"/>
      <c r="C434" s="265"/>
      <c r="D434" s="265"/>
      <c r="E434" s="265"/>
      <c r="F434" s="265"/>
      <c r="G434" s="265"/>
      <c r="H434" s="265"/>
      <c r="I434" s="265"/>
      <c r="J434" s="265"/>
      <c r="K434" s="265"/>
      <c r="L434" s="265"/>
      <c r="M434" s="265"/>
      <c r="N434" s="265"/>
      <c r="O434" s="265"/>
      <c r="P434" s="265"/>
      <c r="Q434" s="265"/>
      <c r="R434" s="265"/>
      <c r="S434" s="265"/>
      <c r="T434" s="265"/>
      <c r="U434" s="265"/>
      <c r="V434" s="265"/>
      <c r="W434" s="265"/>
      <c r="X434" s="265"/>
      <c r="Y434" s="265"/>
      <c r="Z434" s="265"/>
      <c r="AA434" s="265"/>
      <c r="AB434" s="265"/>
    </row>
    <row r="435" spans="1:28" ht="15.75" customHeight="1">
      <c r="A435" s="265"/>
      <c r="B435" s="265"/>
      <c r="C435" s="265"/>
      <c r="D435" s="265"/>
      <c r="E435" s="265"/>
      <c r="F435" s="265"/>
      <c r="G435" s="265"/>
      <c r="H435" s="265"/>
      <c r="I435" s="265"/>
      <c r="J435" s="265"/>
      <c r="K435" s="265"/>
      <c r="L435" s="265"/>
      <c r="M435" s="265"/>
      <c r="N435" s="265"/>
      <c r="O435" s="265"/>
      <c r="P435" s="265"/>
      <c r="Q435" s="265"/>
      <c r="R435" s="265"/>
      <c r="S435" s="265"/>
      <c r="T435" s="265"/>
      <c r="U435" s="265"/>
      <c r="V435" s="265"/>
      <c r="W435" s="265"/>
      <c r="X435" s="265"/>
      <c r="Y435" s="265"/>
      <c r="Z435" s="265"/>
      <c r="AA435" s="265"/>
      <c r="AB435" s="265"/>
    </row>
    <row r="436" spans="1:28" ht="15.75" customHeight="1">
      <c r="A436" s="265"/>
      <c r="B436" s="265"/>
      <c r="C436" s="265"/>
      <c r="D436" s="265"/>
      <c r="E436" s="265"/>
      <c r="F436" s="265"/>
      <c r="G436" s="265"/>
      <c r="H436" s="265"/>
      <c r="I436" s="265"/>
      <c r="J436" s="265"/>
      <c r="K436" s="265"/>
      <c r="L436" s="265"/>
      <c r="M436" s="265"/>
      <c r="N436" s="265"/>
      <c r="O436" s="265"/>
      <c r="P436" s="265"/>
      <c r="Q436" s="265"/>
      <c r="R436" s="265"/>
      <c r="S436" s="265"/>
      <c r="T436" s="265"/>
      <c r="U436" s="265"/>
      <c r="V436" s="265"/>
      <c r="W436" s="265"/>
      <c r="X436" s="265"/>
      <c r="Y436" s="265"/>
      <c r="Z436" s="265"/>
      <c r="AA436" s="265"/>
      <c r="AB436" s="265"/>
    </row>
    <row r="437" spans="1:28" ht="15.75" customHeight="1">
      <c r="A437" s="265"/>
      <c r="B437" s="265"/>
      <c r="C437" s="265"/>
      <c r="D437" s="265"/>
      <c r="E437" s="265"/>
      <c r="F437" s="265"/>
      <c r="G437" s="265"/>
      <c r="H437" s="265"/>
      <c r="I437" s="265"/>
      <c r="J437" s="265"/>
      <c r="K437" s="265"/>
      <c r="L437" s="265"/>
      <c r="M437" s="265"/>
      <c r="N437" s="265"/>
      <c r="O437" s="265"/>
      <c r="P437" s="265"/>
      <c r="Q437" s="265"/>
      <c r="R437" s="265"/>
      <c r="S437" s="265"/>
      <c r="T437" s="265"/>
      <c r="U437" s="265"/>
      <c r="V437" s="265"/>
      <c r="W437" s="265"/>
      <c r="X437" s="265"/>
      <c r="Y437" s="265"/>
      <c r="Z437" s="265"/>
      <c r="AA437" s="265"/>
      <c r="AB437" s="265"/>
    </row>
    <row r="438" spans="1:28" ht="15.75" customHeight="1">
      <c r="A438" s="265"/>
      <c r="B438" s="265"/>
      <c r="C438" s="265"/>
      <c r="D438" s="265"/>
      <c r="E438" s="265"/>
      <c r="F438" s="265"/>
      <c r="G438" s="265"/>
      <c r="H438" s="265"/>
      <c r="I438" s="265"/>
      <c r="J438" s="265"/>
      <c r="K438" s="265"/>
      <c r="L438" s="265"/>
      <c r="M438" s="265"/>
      <c r="N438" s="265"/>
      <c r="O438" s="265"/>
      <c r="P438" s="265"/>
      <c r="Q438" s="265"/>
      <c r="R438" s="265"/>
      <c r="S438" s="265"/>
      <c r="T438" s="265"/>
      <c r="U438" s="265"/>
      <c r="V438" s="265"/>
      <c r="W438" s="265"/>
      <c r="X438" s="265"/>
      <c r="Y438" s="265"/>
      <c r="Z438" s="265"/>
      <c r="AA438" s="265"/>
      <c r="AB438" s="265"/>
    </row>
    <row r="439" spans="1:28" ht="15.75" customHeight="1">
      <c r="A439" s="265"/>
      <c r="B439" s="265"/>
      <c r="C439" s="265"/>
      <c r="D439" s="265"/>
      <c r="E439" s="265"/>
      <c r="F439" s="265"/>
      <c r="G439" s="265"/>
      <c r="H439" s="265"/>
      <c r="I439" s="265"/>
      <c r="J439" s="265"/>
      <c r="K439" s="265"/>
      <c r="L439" s="265"/>
      <c r="M439" s="265"/>
      <c r="N439" s="265"/>
      <c r="O439" s="265"/>
      <c r="P439" s="265"/>
      <c r="Q439" s="265"/>
      <c r="R439" s="265"/>
      <c r="S439" s="265"/>
      <c r="T439" s="265"/>
      <c r="U439" s="265"/>
      <c r="V439" s="265"/>
      <c r="W439" s="265"/>
      <c r="X439" s="265"/>
      <c r="Y439" s="265"/>
      <c r="Z439" s="265"/>
      <c r="AA439" s="265"/>
      <c r="AB439" s="265"/>
    </row>
    <row r="440" spans="1:28" ht="15.75" customHeight="1">
      <c r="A440" s="265"/>
      <c r="B440" s="265"/>
      <c r="C440" s="265"/>
      <c r="D440" s="265"/>
      <c r="E440" s="265"/>
      <c r="F440" s="265"/>
      <c r="G440" s="265"/>
      <c r="H440" s="265"/>
      <c r="I440" s="265"/>
      <c r="J440" s="265"/>
      <c r="K440" s="265"/>
      <c r="L440" s="265"/>
      <c r="M440" s="265"/>
      <c r="N440" s="265"/>
      <c r="O440" s="265"/>
      <c r="P440" s="265"/>
      <c r="Q440" s="265"/>
      <c r="R440" s="265"/>
      <c r="S440" s="265"/>
      <c r="T440" s="265"/>
      <c r="U440" s="265"/>
      <c r="V440" s="265"/>
      <c r="W440" s="265"/>
      <c r="X440" s="265"/>
      <c r="Y440" s="265"/>
      <c r="Z440" s="265"/>
      <c r="AA440" s="265"/>
      <c r="AB440" s="265"/>
    </row>
    <row r="441" spans="1:28" ht="15.75" customHeight="1">
      <c r="A441" s="265"/>
      <c r="B441" s="265"/>
      <c r="C441" s="265"/>
      <c r="D441" s="265"/>
      <c r="E441" s="265"/>
      <c r="F441" s="265"/>
      <c r="G441" s="265"/>
      <c r="H441" s="265"/>
      <c r="I441" s="265"/>
      <c r="J441" s="265"/>
      <c r="K441" s="265"/>
      <c r="L441" s="265"/>
      <c r="M441" s="265"/>
      <c r="N441" s="265"/>
      <c r="O441" s="265"/>
      <c r="P441" s="265"/>
      <c r="Q441" s="265"/>
      <c r="R441" s="265"/>
      <c r="S441" s="265"/>
      <c r="T441" s="265"/>
      <c r="U441" s="265"/>
      <c r="V441" s="265"/>
      <c r="W441" s="265"/>
      <c r="X441" s="265"/>
      <c r="Y441" s="265"/>
      <c r="Z441" s="265"/>
      <c r="AA441" s="265"/>
      <c r="AB441" s="265"/>
    </row>
    <row r="442" spans="1:28" ht="15.75" customHeight="1">
      <c r="A442" s="265"/>
      <c r="B442" s="265"/>
      <c r="C442" s="265"/>
      <c r="D442" s="265"/>
      <c r="E442" s="265"/>
      <c r="F442" s="265"/>
      <c r="G442" s="265"/>
      <c r="H442" s="265"/>
      <c r="I442" s="265"/>
      <c r="J442" s="265"/>
      <c r="K442" s="265"/>
      <c r="L442" s="265"/>
      <c r="M442" s="265"/>
      <c r="N442" s="265"/>
      <c r="O442" s="265"/>
      <c r="P442" s="265"/>
      <c r="Q442" s="265"/>
      <c r="R442" s="265"/>
      <c r="S442" s="265"/>
      <c r="T442" s="265"/>
      <c r="U442" s="265"/>
      <c r="V442" s="265"/>
      <c r="W442" s="265"/>
      <c r="X442" s="265"/>
      <c r="Y442" s="265"/>
      <c r="Z442" s="265"/>
      <c r="AA442" s="265"/>
      <c r="AB442" s="265"/>
    </row>
    <row r="443" spans="1:28" ht="15.75" customHeight="1">
      <c r="A443" s="265"/>
      <c r="B443" s="265"/>
      <c r="C443" s="265"/>
      <c r="D443" s="265"/>
      <c r="E443" s="265"/>
      <c r="F443" s="265"/>
      <c r="G443" s="265"/>
      <c r="H443" s="265"/>
      <c r="I443" s="265"/>
      <c r="J443" s="265"/>
      <c r="K443" s="265"/>
      <c r="L443" s="265"/>
      <c r="M443" s="265"/>
      <c r="N443" s="265"/>
      <c r="O443" s="265"/>
      <c r="P443" s="265"/>
      <c r="Q443" s="265"/>
      <c r="R443" s="265"/>
      <c r="S443" s="265"/>
      <c r="T443" s="265"/>
      <c r="U443" s="265"/>
      <c r="V443" s="265"/>
      <c r="W443" s="265"/>
      <c r="X443" s="265"/>
      <c r="Y443" s="265"/>
      <c r="Z443" s="265"/>
      <c r="AA443" s="265"/>
      <c r="AB443" s="265"/>
    </row>
    <row r="444" spans="1:28" ht="15.75" customHeight="1">
      <c r="A444" s="265"/>
      <c r="B444" s="265"/>
      <c r="C444" s="265"/>
      <c r="D444" s="265"/>
      <c r="E444" s="265"/>
      <c r="F444" s="265"/>
      <c r="G444" s="265"/>
      <c r="H444" s="265"/>
      <c r="I444" s="265"/>
      <c r="J444" s="265"/>
      <c r="K444" s="265"/>
      <c r="L444" s="265"/>
      <c r="M444" s="265"/>
      <c r="N444" s="265"/>
      <c r="O444" s="265"/>
      <c r="P444" s="265"/>
      <c r="Q444" s="265"/>
      <c r="R444" s="265"/>
      <c r="S444" s="265"/>
      <c r="T444" s="265"/>
      <c r="U444" s="265"/>
      <c r="V444" s="265"/>
      <c r="W444" s="265"/>
      <c r="X444" s="265"/>
      <c r="Y444" s="265"/>
      <c r="Z444" s="265"/>
      <c r="AA444" s="265"/>
      <c r="AB444" s="265"/>
    </row>
    <row r="445" spans="1:28" ht="15.75" customHeight="1">
      <c r="A445" s="265"/>
      <c r="B445" s="265"/>
      <c r="C445" s="265"/>
      <c r="D445" s="265"/>
      <c r="E445" s="265"/>
      <c r="F445" s="265"/>
      <c r="G445" s="265"/>
      <c r="H445" s="265"/>
      <c r="I445" s="265"/>
      <c r="J445" s="265"/>
      <c r="K445" s="265"/>
      <c r="L445" s="265"/>
      <c r="M445" s="265"/>
      <c r="N445" s="265"/>
      <c r="O445" s="265"/>
      <c r="P445" s="265"/>
      <c r="Q445" s="265"/>
      <c r="R445" s="265"/>
      <c r="S445" s="265"/>
      <c r="T445" s="265"/>
      <c r="U445" s="265"/>
      <c r="V445" s="265"/>
      <c r="W445" s="265"/>
      <c r="X445" s="265"/>
      <c r="Y445" s="265"/>
      <c r="Z445" s="265"/>
      <c r="AA445" s="265"/>
      <c r="AB445" s="265"/>
    </row>
    <row r="446" spans="1:28" ht="15.75" customHeight="1">
      <c r="A446" s="265"/>
      <c r="B446" s="265"/>
      <c r="C446" s="265"/>
      <c r="D446" s="265"/>
      <c r="E446" s="265"/>
      <c r="F446" s="265"/>
      <c r="G446" s="265"/>
      <c r="H446" s="265"/>
      <c r="I446" s="265"/>
      <c r="J446" s="265"/>
      <c r="K446" s="265"/>
      <c r="L446" s="265"/>
      <c r="M446" s="265"/>
      <c r="N446" s="265"/>
      <c r="O446" s="265"/>
      <c r="P446" s="265"/>
      <c r="Q446" s="265"/>
      <c r="R446" s="265"/>
      <c r="S446" s="265"/>
      <c r="T446" s="265"/>
      <c r="U446" s="265"/>
      <c r="V446" s="265"/>
      <c r="W446" s="265"/>
      <c r="X446" s="265"/>
      <c r="Y446" s="265"/>
      <c r="Z446" s="265"/>
      <c r="AA446" s="265"/>
      <c r="AB446" s="265"/>
    </row>
    <row r="447" spans="1:28" ht="15.75" customHeight="1">
      <c r="A447" s="265"/>
      <c r="B447" s="265"/>
      <c r="C447" s="265"/>
      <c r="D447" s="265"/>
      <c r="E447" s="265"/>
      <c r="F447" s="265"/>
      <c r="G447" s="265"/>
      <c r="H447" s="265"/>
      <c r="I447" s="265"/>
      <c r="J447" s="265"/>
      <c r="K447" s="265"/>
      <c r="L447" s="265"/>
      <c r="M447" s="265"/>
      <c r="N447" s="265"/>
      <c r="O447" s="265"/>
      <c r="P447" s="265"/>
      <c r="Q447" s="265"/>
      <c r="R447" s="265"/>
      <c r="S447" s="265"/>
      <c r="T447" s="265"/>
      <c r="U447" s="265"/>
      <c r="V447" s="265"/>
      <c r="W447" s="265"/>
      <c r="X447" s="265"/>
      <c r="Y447" s="265"/>
      <c r="Z447" s="265"/>
      <c r="AA447" s="265"/>
      <c r="AB447" s="265"/>
    </row>
    <row r="448" spans="1:28" ht="15.75" customHeight="1">
      <c r="A448" s="265"/>
      <c r="B448" s="265"/>
      <c r="C448" s="265"/>
      <c r="D448" s="265"/>
      <c r="E448" s="265"/>
      <c r="F448" s="265"/>
      <c r="G448" s="265"/>
      <c r="H448" s="265"/>
      <c r="I448" s="265"/>
      <c r="J448" s="265"/>
      <c r="K448" s="265"/>
      <c r="L448" s="265"/>
      <c r="M448" s="265"/>
      <c r="N448" s="265"/>
      <c r="O448" s="265"/>
      <c r="P448" s="265"/>
      <c r="Q448" s="265"/>
      <c r="R448" s="265"/>
      <c r="S448" s="265"/>
      <c r="T448" s="265"/>
      <c r="U448" s="265"/>
      <c r="V448" s="265"/>
      <c r="W448" s="265"/>
      <c r="X448" s="265"/>
      <c r="Y448" s="265"/>
      <c r="Z448" s="265"/>
      <c r="AA448" s="265"/>
      <c r="AB448" s="265"/>
    </row>
    <row r="449" spans="1:28" ht="15.75" customHeight="1">
      <c r="A449" s="265"/>
      <c r="B449" s="265"/>
      <c r="C449" s="265"/>
      <c r="D449" s="265"/>
      <c r="E449" s="265"/>
      <c r="F449" s="265"/>
      <c r="G449" s="265"/>
      <c r="H449" s="265"/>
      <c r="I449" s="265"/>
      <c r="J449" s="265"/>
      <c r="K449" s="265"/>
      <c r="L449" s="265"/>
      <c r="M449" s="265"/>
      <c r="N449" s="265"/>
      <c r="O449" s="265"/>
      <c r="P449" s="265"/>
      <c r="Q449" s="265"/>
      <c r="R449" s="265"/>
      <c r="S449" s="265"/>
      <c r="T449" s="265"/>
      <c r="U449" s="265"/>
      <c r="V449" s="265"/>
      <c r="W449" s="265"/>
      <c r="X449" s="265"/>
      <c r="Y449" s="265"/>
      <c r="Z449" s="265"/>
      <c r="AA449" s="265"/>
      <c r="AB449" s="265"/>
    </row>
    <row r="450" spans="1:28" ht="15.75" customHeight="1">
      <c r="A450" s="265"/>
      <c r="B450" s="265"/>
      <c r="C450" s="265"/>
      <c r="D450" s="265"/>
      <c r="E450" s="265"/>
      <c r="F450" s="265"/>
      <c r="G450" s="265"/>
      <c r="H450" s="265"/>
      <c r="I450" s="265"/>
      <c r="J450" s="265"/>
      <c r="K450" s="265"/>
      <c r="L450" s="265"/>
      <c r="M450" s="265"/>
      <c r="N450" s="265"/>
      <c r="O450" s="265"/>
      <c r="P450" s="265"/>
      <c r="Q450" s="265"/>
      <c r="R450" s="265"/>
      <c r="S450" s="265"/>
      <c r="T450" s="265"/>
      <c r="U450" s="265"/>
      <c r="V450" s="265"/>
      <c r="W450" s="265"/>
      <c r="X450" s="265"/>
      <c r="Y450" s="265"/>
      <c r="Z450" s="265"/>
      <c r="AA450" s="265"/>
      <c r="AB450" s="265"/>
    </row>
    <row r="451" spans="1:28" ht="15.75" customHeight="1">
      <c r="A451" s="265"/>
      <c r="B451" s="265"/>
      <c r="C451" s="265"/>
      <c r="D451" s="265"/>
      <c r="E451" s="265"/>
      <c r="F451" s="265"/>
      <c r="G451" s="265"/>
      <c r="H451" s="265"/>
      <c r="I451" s="265"/>
      <c r="J451" s="265"/>
      <c r="K451" s="265"/>
      <c r="L451" s="265"/>
      <c r="M451" s="265"/>
      <c r="N451" s="265"/>
      <c r="O451" s="265"/>
      <c r="P451" s="265"/>
      <c r="Q451" s="265"/>
      <c r="R451" s="265"/>
      <c r="S451" s="265"/>
      <c r="T451" s="265"/>
      <c r="U451" s="265"/>
      <c r="V451" s="265"/>
      <c r="W451" s="265"/>
      <c r="X451" s="265"/>
      <c r="Y451" s="265"/>
      <c r="Z451" s="265"/>
      <c r="AA451" s="265"/>
      <c r="AB451" s="265"/>
    </row>
    <row r="452" spans="1:28" ht="15.75" customHeight="1">
      <c r="A452" s="265"/>
      <c r="B452" s="265"/>
      <c r="C452" s="265"/>
      <c r="D452" s="265"/>
      <c r="E452" s="265"/>
      <c r="F452" s="265"/>
      <c r="G452" s="265"/>
      <c r="H452" s="265"/>
      <c r="I452" s="265"/>
      <c r="J452" s="265"/>
      <c r="K452" s="265"/>
      <c r="L452" s="265"/>
      <c r="M452" s="265"/>
      <c r="N452" s="265"/>
      <c r="O452" s="265"/>
      <c r="P452" s="265"/>
      <c r="Q452" s="265"/>
      <c r="R452" s="265"/>
      <c r="S452" s="265"/>
      <c r="T452" s="265"/>
      <c r="U452" s="265"/>
      <c r="V452" s="265"/>
      <c r="W452" s="265"/>
      <c r="X452" s="265"/>
      <c r="Y452" s="265"/>
      <c r="Z452" s="265"/>
      <c r="AA452" s="265"/>
      <c r="AB452" s="265"/>
    </row>
    <row r="453" spans="1:28" ht="15.75" customHeight="1">
      <c r="A453" s="265"/>
      <c r="B453" s="265"/>
      <c r="C453" s="265"/>
      <c r="D453" s="265"/>
      <c r="E453" s="265"/>
      <c r="F453" s="265"/>
      <c r="G453" s="265"/>
      <c r="H453" s="265"/>
      <c r="I453" s="265"/>
      <c r="J453" s="265"/>
      <c r="K453" s="265"/>
      <c r="L453" s="265"/>
      <c r="M453" s="265"/>
      <c r="N453" s="265"/>
      <c r="O453" s="265"/>
      <c r="P453" s="265"/>
      <c r="Q453" s="265"/>
      <c r="R453" s="265"/>
      <c r="S453" s="265"/>
      <c r="T453" s="265"/>
      <c r="U453" s="265"/>
      <c r="V453" s="265"/>
      <c r="W453" s="265"/>
      <c r="X453" s="265"/>
      <c r="Y453" s="265"/>
      <c r="Z453" s="265"/>
      <c r="AA453" s="265"/>
      <c r="AB453" s="265"/>
    </row>
    <row r="454" spans="1:28" ht="15.75" customHeight="1">
      <c r="A454" s="265"/>
      <c r="B454" s="265"/>
      <c r="C454" s="265"/>
      <c r="D454" s="265"/>
      <c r="E454" s="265"/>
      <c r="F454" s="265"/>
      <c r="G454" s="265"/>
      <c r="H454" s="265"/>
      <c r="I454" s="265"/>
      <c r="J454" s="265"/>
      <c r="K454" s="265"/>
      <c r="L454" s="265"/>
      <c r="M454" s="265"/>
      <c r="N454" s="265"/>
      <c r="O454" s="265"/>
      <c r="P454" s="265"/>
      <c r="Q454" s="265"/>
      <c r="R454" s="265"/>
      <c r="S454" s="265"/>
      <c r="T454" s="265"/>
      <c r="U454" s="265"/>
      <c r="V454" s="265"/>
      <c r="W454" s="265"/>
      <c r="X454" s="265"/>
      <c r="Y454" s="265"/>
      <c r="Z454" s="265"/>
      <c r="AA454" s="265"/>
      <c r="AB454" s="265"/>
    </row>
    <row r="455" spans="1:28" ht="15.75" customHeight="1">
      <c r="A455" s="265"/>
      <c r="B455" s="265"/>
      <c r="C455" s="265"/>
      <c r="D455" s="265"/>
      <c r="E455" s="265"/>
      <c r="F455" s="265"/>
      <c r="G455" s="265"/>
      <c r="H455" s="265"/>
      <c r="I455" s="265"/>
      <c r="J455" s="265"/>
      <c r="K455" s="265"/>
      <c r="L455" s="265"/>
      <c r="M455" s="265"/>
      <c r="N455" s="265"/>
      <c r="O455" s="265"/>
      <c r="P455" s="265"/>
      <c r="Q455" s="265"/>
      <c r="R455" s="265"/>
      <c r="S455" s="265"/>
      <c r="T455" s="265"/>
      <c r="U455" s="265"/>
      <c r="V455" s="265"/>
      <c r="W455" s="265"/>
      <c r="X455" s="265"/>
      <c r="Y455" s="265"/>
      <c r="Z455" s="265"/>
      <c r="AA455" s="265"/>
      <c r="AB455" s="265"/>
    </row>
    <row r="456" spans="1:28" ht="15.75" customHeight="1">
      <c r="A456" s="265"/>
      <c r="B456" s="265"/>
      <c r="C456" s="265"/>
      <c r="D456" s="265"/>
      <c r="E456" s="265"/>
      <c r="F456" s="265"/>
      <c r="G456" s="265"/>
      <c r="H456" s="265"/>
      <c r="I456" s="265"/>
      <c r="J456" s="265"/>
      <c r="K456" s="265"/>
      <c r="L456" s="265"/>
      <c r="M456" s="265"/>
      <c r="N456" s="265"/>
      <c r="O456" s="265"/>
      <c r="P456" s="265"/>
      <c r="Q456" s="265"/>
      <c r="R456" s="265"/>
      <c r="S456" s="265"/>
      <c r="T456" s="265"/>
      <c r="U456" s="265"/>
      <c r="V456" s="265"/>
      <c r="W456" s="265"/>
      <c r="X456" s="265"/>
      <c r="Y456" s="265"/>
      <c r="Z456" s="265"/>
      <c r="AA456" s="265"/>
      <c r="AB456" s="265"/>
    </row>
    <row r="457" spans="1:28" ht="15.75" customHeight="1">
      <c r="A457" s="265"/>
      <c r="B457" s="265"/>
      <c r="C457" s="265"/>
      <c r="D457" s="265"/>
      <c r="E457" s="265"/>
      <c r="F457" s="265"/>
      <c r="G457" s="265"/>
      <c r="H457" s="265"/>
      <c r="I457" s="265"/>
      <c r="J457" s="265"/>
      <c r="K457" s="265"/>
      <c r="L457" s="265"/>
      <c r="M457" s="265"/>
      <c r="N457" s="265"/>
      <c r="O457" s="265"/>
      <c r="P457" s="265"/>
      <c r="Q457" s="265"/>
      <c r="R457" s="265"/>
      <c r="S457" s="265"/>
      <c r="T457" s="265"/>
      <c r="U457" s="265"/>
      <c r="V457" s="265"/>
      <c r="W457" s="265"/>
      <c r="X457" s="265"/>
      <c r="Y457" s="265"/>
      <c r="Z457" s="265"/>
      <c r="AA457" s="265"/>
      <c r="AB457" s="265"/>
    </row>
    <row r="458" spans="1:28" ht="15.75" customHeight="1">
      <c r="A458" s="265"/>
      <c r="B458" s="265"/>
      <c r="C458" s="265"/>
      <c r="D458" s="265"/>
      <c r="E458" s="265"/>
      <c r="F458" s="265"/>
      <c r="G458" s="265"/>
      <c r="H458" s="265"/>
      <c r="I458" s="265"/>
      <c r="J458" s="265"/>
      <c r="K458" s="265"/>
      <c r="L458" s="265"/>
      <c r="M458" s="265"/>
      <c r="N458" s="265"/>
      <c r="O458" s="265"/>
      <c r="P458" s="265"/>
      <c r="Q458" s="265"/>
      <c r="R458" s="265"/>
      <c r="S458" s="265"/>
      <c r="T458" s="265"/>
      <c r="U458" s="265"/>
      <c r="V458" s="265"/>
      <c r="W458" s="265"/>
      <c r="X458" s="265"/>
      <c r="Y458" s="265"/>
      <c r="Z458" s="265"/>
      <c r="AA458" s="265"/>
      <c r="AB458" s="265"/>
    </row>
    <row r="459" spans="1:28" ht="15.75" customHeight="1">
      <c r="A459" s="265"/>
      <c r="B459" s="265"/>
      <c r="C459" s="265"/>
      <c r="D459" s="265"/>
      <c r="E459" s="265"/>
      <c r="F459" s="265"/>
      <c r="G459" s="265"/>
      <c r="H459" s="265"/>
      <c r="I459" s="265"/>
      <c r="J459" s="265"/>
      <c r="K459" s="265"/>
      <c r="L459" s="265"/>
      <c r="M459" s="265"/>
      <c r="N459" s="265"/>
      <c r="O459" s="265"/>
      <c r="P459" s="265"/>
      <c r="Q459" s="265"/>
      <c r="R459" s="265"/>
      <c r="S459" s="265"/>
      <c r="T459" s="265"/>
      <c r="U459" s="265"/>
      <c r="V459" s="265"/>
      <c r="W459" s="265"/>
      <c r="X459" s="265"/>
      <c r="Y459" s="265"/>
      <c r="Z459" s="265"/>
      <c r="AA459" s="265"/>
      <c r="AB459" s="265"/>
    </row>
    <row r="460" spans="1:28" ht="15.75" customHeight="1">
      <c r="A460" s="265"/>
      <c r="B460" s="265"/>
      <c r="C460" s="265"/>
      <c r="D460" s="265"/>
      <c r="E460" s="265"/>
      <c r="F460" s="265"/>
      <c r="G460" s="265"/>
      <c r="H460" s="265"/>
      <c r="I460" s="265"/>
      <c r="J460" s="265"/>
      <c r="K460" s="265"/>
      <c r="L460" s="265"/>
      <c r="M460" s="265"/>
      <c r="N460" s="265"/>
      <c r="O460" s="265"/>
      <c r="P460" s="265"/>
      <c r="Q460" s="265"/>
      <c r="R460" s="265"/>
      <c r="S460" s="265"/>
      <c r="T460" s="265"/>
      <c r="U460" s="265"/>
      <c r="V460" s="265"/>
      <c r="W460" s="265"/>
      <c r="X460" s="265"/>
      <c r="Y460" s="265"/>
      <c r="Z460" s="265"/>
      <c r="AA460" s="265"/>
      <c r="AB460" s="265"/>
    </row>
    <row r="461" spans="1:28" ht="15.75" customHeight="1">
      <c r="A461" s="265"/>
      <c r="B461" s="265"/>
      <c r="C461" s="265"/>
      <c r="D461" s="265"/>
      <c r="E461" s="265"/>
      <c r="F461" s="265"/>
      <c r="G461" s="265"/>
      <c r="H461" s="265"/>
      <c r="I461" s="265"/>
      <c r="J461" s="265"/>
      <c r="K461" s="265"/>
      <c r="L461" s="265"/>
      <c r="M461" s="265"/>
      <c r="N461" s="265"/>
      <c r="O461" s="265"/>
      <c r="P461" s="265"/>
      <c r="Q461" s="265"/>
      <c r="R461" s="265"/>
      <c r="S461" s="265"/>
      <c r="T461" s="265"/>
      <c r="U461" s="265"/>
      <c r="V461" s="265"/>
      <c r="W461" s="265"/>
      <c r="X461" s="265"/>
      <c r="Y461" s="265"/>
      <c r="Z461" s="265"/>
      <c r="AA461" s="265"/>
      <c r="AB461" s="265"/>
    </row>
    <row r="462" spans="1:28" ht="15.75" customHeight="1">
      <c r="A462" s="265"/>
      <c r="B462" s="265"/>
      <c r="C462" s="265"/>
      <c r="D462" s="265"/>
      <c r="E462" s="265"/>
      <c r="F462" s="265"/>
      <c r="G462" s="265"/>
      <c r="H462" s="265"/>
      <c r="I462" s="265"/>
      <c r="J462" s="265"/>
      <c r="K462" s="265"/>
      <c r="L462" s="265"/>
      <c r="M462" s="265"/>
      <c r="N462" s="265"/>
      <c r="O462" s="265"/>
      <c r="P462" s="265"/>
      <c r="Q462" s="265"/>
      <c r="R462" s="265"/>
      <c r="S462" s="265"/>
      <c r="T462" s="265"/>
      <c r="U462" s="265"/>
      <c r="V462" s="265"/>
      <c r="W462" s="265"/>
      <c r="X462" s="265"/>
      <c r="Y462" s="265"/>
      <c r="Z462" s="265"/>
      <c r="AA462" s="265"/>
      <c r="AB462" s="265"/>
    </row>
    <row r="463" spans="1:28" ht="15.75" customHeight="1">
      <c r="A463" s="265"/>
      <c r="B463" s="265"/>
      <c r="C463" s="265"/>
      <c r="D463" s="265"/>
      <c r="E463" s="265"/>
      <c r="F463" s="265"/>
      <c r="G463" s="265"/>
      <c r="H463" s="265"/>
      <c r="I463" s="265"/>
      <c r="J463" s="265"/>
      <c r="K463" s="265"/>
      <c r="L463" s="265"/>
      <c r="M463" s="265"/>
      <c r="N463" s="265"/>
      <c r="O463" s="265"/>
      <c r="P463" s="265"/>
      <c r="Q463" s="265"/>
      <c r="R463" s="265"/>
      <c r="S463" s="265"/>
      <c r="T463" s="265"/>
      <c r="U463" s="265"/>
      <c r="V463" s="265"/>
      <c r="W463" s="265"/>
      <c r="X463" s="265"/>
      <c r="Y463" s="265"/>
      <c r="Z463" s="265"/>
      <c r="AA463" s="265"/>
      <c r="AB463" s="265"/>
    </row>
    <row r="464" spans="1:28" ht="15.75" customHeight="1">
      <c r="A464" s="265"/>
      <c r="B464" s="265"/>
      <c r="C464" s="265"/>
      <c r="D464" s="265"/>
      <c r="E464" s="265"/>
      <c r="F464" s="265"/>
      <c r="G464" s="265"/>
      <c r="H464" s="265"/>
      <c r="I464" s="265"/>
      <c r="J464" s="265"/>
      <c r="K464" s="265"/>
      <c r="L464" s="265"/>
      <c r="M464" s="265"/>
      <c r="N464" s="265"/>
      <c r="O464" s="265"/>
      <c r="P464" s="265"/>
      <c r="Q464" s="265"/>
      <c r="R464" s="265"/>
      <c r="S464" s="265"/>
      <c r="T464" s="265"/>
      <c r="U464" s="265"/>
      <c r="V464" s="265"/>
      <c r="W464" s="265"/>
      <c r="X464" s="265"/>
      <c r="Y464" s="265"/>
      <c r="Z464" s="265"/>
      <c r="AA464" s="265"/>
      <c r="AB464" s="265"/>
    </row>
    <row r="465" spans="1:28" ht="15.75" customHeight="1">
      <c r="A465" s="265"/>
      <c r="B465" s="265"/>
      <c r="C465" s="265"/>
      <c r="D465" s="265"/>
      <c r="E465" s="265"/>
      <c r="F465" s="265"/>
      <c r="G465" s="265"/>
      <c r="H465" s="265"/>
      <c r="I465" s="265"/>
      <c r="J465" s="265"/>
      <c r="K465" s="265"/>
      <c r="L465" s="265"/>
      <c r="M465" s="265"/>
      <c r="N465" s="265"/>
      <c r="O465" s="265"/>
      <c r="P465" s="265"/>
      <c r="Q465" s="265"/>
      <c r="R465" s="265"/>
      <c r="S465" s="265"/>
      <c r="T465" s="265"/>
      <c r="U465" s="265"/>
      <c r="V465" s="265"/>
      <c r="W465" s="265"/>
      <c r="X465" s="265"/>
      <c r="Y465" s="265"/>
      <c r="Z465" s="265"/>
      <c r="AA465" s="265"/>
      <c r="AB465" s="265"/>
    </row>
    <row r="466" spans="1:28" ht="15.75" customHeight="1">
      <c r="A466" s="265"/>
      <c r="B466" s="265"/>
      <c r="C466" s="265"/>
      <c r="D466" s="265"/>
      <c r="E466" s="265"/>
      <c r="F466" s="265"/>
      <c r="G466" s="265"/>
      <c r="H466" s="265"/>
      <c r="I466" s="265"/>
      <c r="J466" s="265"/>
      <c r="K466" s="265"/>
      <c r="L466" s="265"/>
      <c r="M466" s="265"/>
      <c r="N466" s="265"/>
      <c r="O466" s="265"/>
      <c r="P466" s="265"/>
      <c r="Q466" s="265"/>
      <c r="R466" s="265"/>
      <c r="S466" s="265"/>
      <c r="T466" s="265"/>
      <c r="U466" s="265"/>
      <c r="V466" s="265"/>
      <c r="W466" s="265"/>
      <c r="X466" s="265"/>
      <c r="Y466" s="265"/>
      <c r="Z466" s="265"/>
      <c r="AA466" s="265"/>
      <c r="AB466" s="265"/>
    </row>
    <row r="467" spans="1:28" ht="15.75" customHeight="1">
      <c r="A467" s="265"/>
      <c r="B467" s="265"/>
      <c r="C467" s="265"/>
      <c r="D467" s="265"/>
      <c r="E467" s="265"/>
      <c r="F467" s="265"/>
      <c r="G467" s="265"/>
      <c r="H467" s="265"/>
      <c r="I467" s="265"/>
      <c r="J467" s="265"/>
      <c r="K467" s="265"/>
      <c r="L467" s="265"/>
      <c r="M467" s="265"/>
      <c r="N467" s="265"/>
      <c r="O467" s="265"/>
      <c r="P467" s="265"/>
      <c r="Q467" s="265"/>
      <c r="R467" s="265"/>
      <c r="S467" s="265"/>
      <c r="T467" s="265"/>
      <c r="U467" s="265"/>
      <c r="V467" s="265"/>
      <c r="W467" s="265"/>
      <c r="X467" s="265"/>
      <c r="Y467" s="265"/>
      <c r="Z467" s="265"/>
      <c r="AA467" s="265"/>
      <c r="AB467" s="265"/>
    </row>
    <row r="468" spans="1:28" ht="15.75" customHeight="1">
      <c r="A468" s="265"/>
      <c r="B468" s="265"/>
      <c r="C468" s="265"/>
      <c r="D468" s="265"/>
      <c r="E468" s="265"/>
      <c r="F468" s="265"/>
      <c r="G468" s="265"/>
      <c r="H468" s="265"/>
      <c r="I468" s="265"/>
      <c r="J468" s="265"/>
      <c r="K468" s="265"/>
      <c r="L468" s="265"/>
      <c r="M468" s="265"/>
      <c r="N468" s="265"/>
      <c r="O468" s="265"/>
      <c r="P468" s="265"/>
      <c r="Q468" s="265"/>
      <c r="R468" s="265"/>
      <c r="S468" s="265"/>
      <c r="T468" s="265"/>
      <c r="U468" s="265"/>
      <c r="V468" s="265"/>
      <c r="W468" s="265"/>
      <c r="X468" s="265"/>
      <c r="Y468" s="265"/>
      <c r="Z468" s="265"/>
      <c r="AA468" s="265"/>
      <c r="AB468" s="265"/>
    </row>
    <row r="469" spans="1:28" ht="15.75" customHeight="1">
      <c r="A469" s="265"/>
      <c r="B469" s="265"/>
      <c r="C469" s="265"/>
      <c r="D469" s="265"/>
      <c r="E469" s="265"/>
      <c r="F469" s="265"/>
      <c r="G469" s="265"/>
      <c r="H469" s="265"/>
      <c r="I469" s="265"/>
      <c r="J469" s="265"/>
      <c r="K469" s="265"/>
      <c r="L469" s="265"/>
      <c r="M469" s="265"/>
      <c r="N469" s="265"/>
      <c r="O469" s="265"/>
      <c r="P469" s="265"/>
      <c r="Q469" s="265"/>
      <c r="R469" s="265"/>
      <c r="S469" s="265"/>
      <c r="T469" s="265"/>
      <c r="U469" s="265"/>
      <c r="V469" s="265"/>
      <c r="W469" s="265"/>
      <c r="X469" s="265"/>
      <c r="Y469" s="265"/>
      <c r="Z469" s="265"/>
      <c r="AA469" s="265"/>
      <c r="AB469" s="265"/>
    </row>
    <row r="470" spans="1:28" ht="15.75" customHeight="1">
      <c r="A470" s="265"/>
      <c r="B470" s="265"/>
      <c r="C470" s="265"/>
      <c r="D470" s="265"/>
      <c r="E470" s="265"/>
      <c r="F470" s="265"/>
      <c r="G470" s="265"/>
      <c r="H470" s="265"/>
      <c r="I470" s="265"/>
      <c r="J470" s="265"/>
      <c r="K470" s="265"/>
      <c r="L470" s="265"/>
      <c r="M470" s="265"/>
      <c r="N470" s="265"/>
      <c r="O470" s="265"/>
      <c r="P470" s="265"/>
      <c r="Q470" s="265"/>
      <c r="R470" s="265"/>
      <c r="S470" s="265"/>
      <c r="T470" s="265"/>
      <c r="U470" s="265"/>
      <c r="V470" s="265"/>
      <c r="W470" s="265"/>
      <c r="X470" s="265"/>
      <c r="Y470" s="265"/>
      <c r="Z470" s="265"/>
      <c r="AA470" s="265"/>
      <c r="AB470" s="265"/>
    </row>
    <row r="471" spans="1:28" ht="15.75" customHeight="1">
      <c r="A471" s="265"/>
      <c r="B471" s="265"/>
      <c r="C471" s="265"/>
      <c r="D471" s="265"/>
      <c r="E471" s="265"/>
      <c r="F471" s="265"/>
      <c r="G471" s="265"/>
      <c r="H471" s="265"/>
      <c r="I471" s="265"/>
      <c r="J471" s="265"/>
      <c r="K471" s="265"/>
      <c r="L471" s="265"/>
      <c r="M471" s="265"/>
      <c r="N471" s="265"/>
      <c r="O471" s="265"/>
      <c r="P471" s="265"/>
      <c r="Q471" s="265"/>
      <c r="R471" s="265"/>
      <c r="S471" s="265"/>
      <c r="T471" s="265"/>
      <c r="U471" s="265"/>
      <c r="V471" s="265"/>
      <c r="W471" s="265"/>
      <c r="X471" s="265"/>
      <c r="Y471" s="265"/>
      <c r="Z471" s="265"/>
      <c r="AA471" s="265"/>
      <c r="AB471" s="265"/>
    </row>
    <row r="472" spans="1:28" ht="15.75" customHeight="1">
      <c r="A472" s="265"/>
      <c r="B472" s="265"/>
      <c r="C472" s="265"/>
      <c r="D472" s="265"/>
      <c r="E472" s="265"/>
      <c r="F472" s="265"/>
      <c r="G472" s="265"/>
      <c r="H472" s="265"/>
      <c r="I472" s="265"/>
      <c r="J472" s="265"/>
      <c r="K472" s="265"/>
      <c r="L472" s="265"/>
      <c r="M472" s="265"/>
      <c r="N472" s="265"/>
      <c r="O472" s="265"/>
      <c r="P472" s="265"/>
      <c r="Q472" s="265"/>
      <c r="R472" s="265"/>
      <c r="S472" s="265"/>
      <c r="T472" s="265"/>
      <c r="U472" s="265"/>
      <c r="V472" s="265"/>
      <c r="W472" s="265"/>
      <c r="X472" s="265"/>
      <c r="Y472" s="265"/>
      <c r="Z472" s="265"/>
      <c r="AA472" s="265"/>
      <c r="AB472" s="265"/>
    </row>
    <row r="473" spans="1:28" ht="15.75" customHeight="1">
      <c r="A473" s="265"/>
      <c r="B473" s="265"/>
      <c r="C473" s="265"/>
      <c r="D473" s="265"/>
      <c r="E473" s="265"/>
      <c r="F473" s="265"/>
      <c r="G473" s="265"/>
      <c r="H473" s="265"/>
      <c r="I473" s="265"/>
      <c r="J473" s="265"/>
      <c r="K473" s="265"/>
      <c r="L473" s="265"/>
      <c r="M473" s="265"/>
      <c r="N473" s="265"/>
      <c r="O473" s="265"/>
      <c r="P473" s="265"/>
      <c r="Q473" s="265"/>
      <c r="R473" s="265"/>
      <c r="S473" s="265"/>
      <c r="T473" s="265"/>
      <c r="U473" s="265"/>
      <c r="V473" s="265"/>
      <c r="W473" s="265"/>
      <c r="X473" s="265"/>
      <c r="Y473" s="265"/>
      <c r="Z473" s="265"/>
      <c r="AA473" s="265"/>
      <c r="AB473" s="265"/>
    </row>
    <row r="474" spans="1:28" ht="15.75" customHeight="1">
      <c r="A474" s="265"/>
      <c r="B474" s="265"/>
      <c r="C474" s="265"/>
      <c r="D474" s="265"/>
      <c r="E474" s="265"/>
      <c r="F474" s="265"/>
      <c r="G474" s="265"/>
      <c r="H474" s="265"/>
      <c r="I474" s="265"/>
      <c r="J474" s="265"/>
      <c r="K474" s="265"/>
      <c r="L474" s="265"/>
      <c r="M474" s="265"/>
      <c r="N474" s="265"/>
      <c r="O474" s="265"/>
      <c r="P474" s="265"/>
      <c r="Q474" s="265"/>
      <c r="R474" s="265"/>
      <c r="S474" s="265"/>
      <c r="T474" s="265"/>
      <c r="U474" s="265"/>
      <c r="V474" s="265"/>
      <c r="W474" s="265"/>
      <c r="X474" s="265"/>
      <c r="Y474" s="265"/>
      <c r="Z474" s="265"/>
      <c r="AA474" s="265"/>
      <c r="AB474" s="265"/>
    </row>
    <row r="475" spans="1:28" ht="15.75" customHeight="1">
      <c r="A475" s="265"/>
      <c r="B475" s="265"/>
      <c r="C475" s="265"/>
      <c r="D475" s="265"/>
      <c r="E475" s="265"/>
      <c r="F475" s="265"/>
      <c r="G475" s="265"/>
      <c r="H475" s="265"/>
      <c r="I475" s="265"/>
      <c r="J475" s="265"/>
      <c r="K475" s="265"/>
      <c r="L475" s="265"/>
      <c r="M475" s="265"/>
      <c r="N475" s="265"/>
      <c r="O475" s="265"/>
      <c r="P475" s="265"/>
      <c r="Q475" s="265"/>
      <c r="R475" s="265"/>
      <c r="S475" s="265"/>
      <c r="T475" s="265"/>
      <c r="U475" s="265"/>
      <c r="V475" s="265"/>
      <c r="W475" s="265"/>
      <c r="X475" s="265"/>
      <c r="Y475" s="265"/>
      <c r="Z475" s="265"/>
      <c r="AA475" s="265"/>
      <c r="AB475" s="265"/>
    </row>
    <row r="476" spans="1:28" ht="15.75" customHeight="1">
      <c r="A476" s="265"/>
      <c r="B476" s="265"/>
      <c r="C476" s="265"/>
      <c r="D476" s="265"/>
      <c r="E476" s="265"/>
      <c r="F476" s="265"/>
      <c r="G476" s="265"/>
      <c r="H476" s="265"/>
      <c r="I476" s="265"/>
      <c r="J476" s="265"/>
      <c r="K476" s="265"/>
      <c r="L476" s="265"/>
      <c r="M476" s="265"/>
      <c r="N476" s="265"/>
      <c r="O476" s="265"/>
      <c r="P476" s="265"/>
      <c r="Q476" s="265"/>
      <c r="R476" s="265"/>
      <c r="S476" s="265"/>
      <c r="T476" s="265"/>
      <c r="U476" s="265"/>
      <c r="V476" s="265"/>
      <c r="W476" s="265"/>
      <c r="X476" s="265"/>
      <c r="Y476" s="265"/>
      <c r="Z476" s="265"/>
      <c r="AA476" s="265"/>
      <c r="AB476" s="265"/>
    </row>
    <row r="477" spans="1:28" ht="15.75" customHeight="1">
      <c r="A477" s="265"/>
      <c r="B477" s="265"/>
      <c r="C477" s="265"/>
      <c r="D477" s="265"/>
      <c r="E477" s="265"/>
      <c r="F477" s="265"/>
      <c r="G477" s="265"/>
      <c r="H477" s="265"/>
      <c r="I477" s="265"/>
      <c r="J477" s="265"/>
      <c r="K477" s="265"/>
      <c r="L477" s="265"/>
      <c r="M477" s="265"/>
      <c r="N477" s="265"/>
      <c r="O477" s="265"/>
      <c r="P477" s="265"/>
      <c r="Q477" s="265"/>
      <c r="R477" s="265"/>
      <c r="S477" s="265"/>
      <c r="T477" s="265"/>
      <c r="U477" s="265"/>
      <c r="V477" s="265"/>
      <c r="W477" s="265"/>
      <c r="X477" s="265"/>
      <c r="Y477" s="265"/>
      <c r="Z477" s="265"/>
      <c r="AA477" s="265"/>
      <c r="AB477" s="265"/>
    </row>
    <row r="478" spans="1:28" ht="15.75" customHeight="1">
      <c r="A478" s="265"/>
      <c r="B478" s="265"/>
      <c r="C478" s="265"/>
      <c r="D478" s="265"/>
      <c r="E478" s="265"/>
      <c r="F478" s="265"/>
      <c r="G478" s="265"/>
      <c r="H478" s="265"/>
      <c r="I478" s="265"/>
      <c r="J478" s="265"/>
      <c r="K478" s="265"/>
      <c r="L478" s="265"/>
      <c r="M478" s="265"/>
      <c r="N478" s="265"/>
      <c r="O478" s="265"/>
      <c r="P478" s="265"/>
      <c r="Q478" s="265"/>
      <c r="R478" s="265"/>
      <c r="S478" s="265"/>
      <c r="T478" s="265"/>
      <c r="U478" s="265"/>
      <c r="V478" s="265"/>
      <c r="W478" s="265"/>
      <c r="X478" s="265"/>
      <c r="Y478" s="265"/>
      <c r="Z478" s="265"/>
      <c r="AA478" s="265"/>
      <c r="AB478" s="265"/>
    </row>
    <row r="479" spans="1:28" ht="15.75" customHeight="1">
      <c r="A479" s="265"/>
      <c r="B479" s="265"/>
      <c r="C479" s="265"/>
      <c r="D479" s="265"/>
      <c r="E479" s="265"/>
      <c r="F479" s="265"/>
      <c r="G479" s="265"/>
      <c r="H479" s="265"/>
      <c r="I479" s="265"/>
      <c r="J479" s="265"/>
      <c r="K479" s="265"/>
      <c r="L479" s="265"/>
      <c r="M479" s="265"/>
      <c r="N479" s="265"/>
      <c r="O479" s="265"/>
      <c r="P479" s="265"/>
      <c r="Q479" s="265"/>
      <c r="R479" s="265"/>
      <c r="S479" s="265"/>
      <c r="T479" s="265"/>
      <c r="U479" s="265"/>
      <c r="V479" s="265"/>
      <c r="W479" s="265"/>
      <c r="X479" s="265"/>
      <c r="Y479" s="265"/>
      <c r="Z479" s="265"/>
      <c r="AA479" s="265"/>
      <c r="AB479" s="265"/>
    </row>
    <row r="480" spans="1:28" ht="15.75" customHeight="1">
      <c r="A480" s="265"/>
      <c r="B480" s="265"/>
      <c r="C480" s="265"/>
      <c r="D480" s="265"/>
      <c r="E480" s="265"/>
      <c r="F480" s="265"/>
      <c r="G480" s="265"/>
      <c r="H480" s="265"/>
      <c r="I480" s="265"/>
      <c r="J480" s="265"/>
      <c r="K480" s="265"/>
      <c r="L480" s="265"/>
      <c r="M480" s="265"/>
      <c r="N480" s="265"/>
      <c r="O480" s="265"/>
      <c r="P480" s="265"/>
      <c r="Q480" s="265"/>
      <c r="R480" s="265"/>
      <c r="S480" s="265"/>
      <c r="T480" s="265"/>
      <c r="U480" s="265"/>
      <c r="V480" s="265"/>
      <c r="W480" s="265"/>
      <c r="X480" s="265"/>
      <c r="Y480" s="265"/>
      <c r="Z480" s="265"/>
      <c r="AA480" s="265"/>
      <c r="AB480" s="265"/>
    </row>
    <row r="481" spans="1:28" ht="15.75" customHeight="1">
      <c r="A481" s="265"/>
      <c r="B481" s="265"/>
      <c r="C481" s="265"/>
      <c r="D481" s="265"/>
      <c r="E481" s="265"/>
      <c r="F481" s="265"/>
      <c r="G481" s="265"/>
      <c r="H481" s="265"/>
      <c r="I481" s="265"/>
      <c r="J481" s="265"/>
      <c r="K481" s="265"/>
      <c r="L481" s="265"/>
      <c r="M481" s="265"/>
      <c r="N481" s="265"/>
      <c r="O481" s="265"/>
      <c r="P481" s="265"/>
      <c r="Q481" s="265"/>
      <c r="R481" s="265"/>
      <c r="S481" s="265"/>
      <c r="T481" s="265"/>
      <c r="U481" s="265"/>
      <c r="V481" s="265"/>
      <c r="W481" s="265"/>
      <c r="X481" s="265"/>
      <c r="Y481" s="265"/>
      <c r="Z481" s="265"/>
      <c r="AA481" s="265"/>
      <c r="AB481" s="265"/>
    </row>
    <row r="482" spans="1:28" ht="15.75" customHeight="1">
      <c r="A482" s="265"/>
      <c r="B482" s="265"/>
      <c r="C482" s="265"/>
      <c r="D482" s="265"/>
      <c r="E482" s="265"/>
      <c r="F482" s="265"/>
      <c r="G482" s="265"/>
      <c r="H482" s="265"/>
      <c r="I482" s="265"/>
      <c r="J482" s="265"/>
      <c r="K482" s="265"/>
      <c r="L482" s="265"/>
      <c r="M482" s="265"/>
      <c r="N482" s="265"/>
      <c r="O482" s="265"/>
      <c r="P482" s="265"/>
      <c r="Q482" s="265"/>
      <c r="R482" s="265"/>
      <c r="S482" s="265"/>
      <c r="T482" s="265"/>
      <c r="U482" s="265"/>
      <c r="V482" s="265"/>
      <c r="W482" s="265"/>
      <c r="X482" s="265"/>
      <c r="Y482" s="265"/>
      <c r="Z482" s="265"/>
      <c r="AA482" s="265"/>
      <c r="AB482" s="265"/>
    </row>
    <row r="483" spans="1:28" ht="15.75" customHeight="1">
      <c r="A483" s="265"/>
      <c r="B483" s="265"/>
      <c r="C483" s="265"/>
      <c r="D483" s="265"/>
      <c r="E483" s="265"/>
      <c r="F483" s="265"/>
      <c r="G483" s="265"/>
      <c r="H483" s="265"/>
      <c r="I483" s="265"/>
      <c r="J483" s="265"/>
      <c r="K483" s="265"/>
      <c r="L483" s="265"/>
      <c r="M483" s="265"/>
      <c r="N483" s="265"/>
      <c r="O483" s="265"/>
      <c r="P483" s="265"/>
      <c r="Q483" s="265"/>
      <c r="R483" s="265"/>
      <c r="S483" s="265"/>
      <c r="T483" s="265"/>
      <c r="U483" s="265"/>
      <c r="V483" s="265"/>
      <c r="W483" s="265"/>
      <c r="X483" s="265"/>
      <c r="Y483" s="265"/>
      <c r="Z483" s="265"/>
      <c r="AA483" s="265"/>
      <c r="AB483" s="265"/>
    </row>
    <row r="484" spans="1:28" ht="15.75" customHeight="1">
      <c r="A484" s="265"/>
      <c r="B484" s="265"/>
      <c r="C484" s="265"/>
      <c r="D484" s="265"/>
      <c r="E484" s="265"/>
      <c r="F484" s="265"/>
      <c r="G484" s="265"/>
      <c r="H484" s="265"/>
      <c r="I484" s="265"/>
      <c r="J484" s="265"/>
      <c r="K484" s="265"/>
      <c r="L484" s="265"/>
      <c r="M484" s="265"/>
      <c r="N484" s="265"/>
      <c r="O484" s="265"/>
      <c r="P484" s="265"/>
      <c r="Q484" s="265"/>
      <c r="R484" s="265"/>
      <c r="S484" s="265"/>
      <c r="T484" s="265"/>
      <c r="U484" s="265"/>
      <c r="V484" s="265"/>
      <c r="W484" s="265"/>
      <c r="X484" s="265"/>
      <c r="Y484" s="265"/>
      <c r="Z484" s="265"/>
      <c r="AA484" s="265"/>
      <c r="AB484" s="265"/>
    </row>
    <row r="485" spans="1:28" ht="15.75" customHeight="1">
      <c r="A485" s="265"/>
      <c r="B485" s="265"/>
      <c r="C485" s="265"/>
      <c r="D485" s="265"/>
      <c r="E485" s="265"/>
      <c r="F485" s="265"/>
      <c r="G485" s="265"/>
      <c r="H485" s="265"/>
      <c r="I485" s="265"/>
      <c r="J485" s="265"/>
      <c r="K485" s="265"/>
      <c r="L485" s="265"/>
      <c r="M485" s="265"/>
      <c r="N485" s="265"/>
      <c r="O485" s="265"/>
      <c r="P485" s="265"/>
      <c r="Q485" s="265"/>
      <c r="R485" s="265"/>
      <c r="S485" s="265"/>
      <c r="T485" s="265"/>
      <c r="U485" s="265"/>
      <c r="V485" s="265"/>
      <c r="W485" s="265"/>
      <c r="X485" s="265"/>
      <c r="Y485" s="265"/>
      <c r="Z485" s="265"/>
      <c r="AA485" s="265"/>
      <c r="AB485" s="265"/>
    </row>
    <row r="486" spans="1:28" ht="15.75" customHeight="1">
      <c r="A486" s="265"/>
      <c r="B486" s="265"/>
      <c r="C486" s="265"/>
      <c r="D486" s="265"/>
      <c r="E486" s="265"/>
      <c r="F486" s="265"/>
      <c r="G486" s="265"/>
      <c r="H486" s="265"/>
      <c r="I486" s="265"/>
      <c r="J486" s="265"/>
      <c r="K486" s="265"/>
      <c r="L486" s="265"/>
      <c r="M486" s="265"/>
      <c r="N486" s="265"/>
      <c r="O486" s="265"/>
      <c r="P486" s="265"/>
      <c r="Q486" s="265"/>
      <c r="R486" s="265"/>
      <c r="S486" s="265"/>
      <c r="T486" s="265"/>
      <c r="U486" s="265"/>
      <c r="V486" s="265"/>
      <c r="W486" s="265"/>
      <c r="X486" s="265"/>
      <c r="Y486" s="265"/>
      <c r="Z486" s="265"/>
      <c r="AA486" s="265"/>
      <c r="AB486" s="265"/>
    </row>
    <row r="487" spans="1:28" ht="15.75" customHeight="1">
      <c r="A487" s="265"/>
      <c r="B487" s="265"/>
      <c r="C487" s="265"/>
      <c r="D487" s="265"/>
      <c r="E487" s="265"/>
      <c r="F487" s="265"/>
      <c r="G487" s="265"/>
      <c r="H487" s="265"/>
      <c r="I487" s="265"/>
      <c r="J487" s="265"/>
      <c r="K487" s="265"/>
      <c r="L487" s="265"/>
      <c r="M487" s="265"/>
      <c r="N487" s="265"/>
      <c r="O487" s="265"/>
      <c r="P487" s="265"/>
      <c r="Q487" s="265"/>
      <c r="R487" s="265"/>
      <c r="S487" s="265"/>
      <c r="T487" s="265"/>
      <c r="U487" s="265"/>
      <c r="V487" s="265"/>
      <c r="W487" s="265"/>
      <c r="X487" s="265"/>
      <c r="Y487" s="265"/>
      <c r="Z487" s="265"/>
      <c r="AA487" s="265"/>
      <c r="AB487" s="265"/>
    </row>
    <row r="488" spans="1:28" ht="15.75" customHeight="1">
      <c r="A488" s="265"/>
      <c r="B488" s="265"/>
      <c r="C488" s="265"/>
      <c r="D488" s="265"/>
      <c r="E488" s="265"/>
      <c r="F488" s="265"/>
      <c r="G488" s="265"/>
      <c r="H488" s="265"/>
      <c r="I488" s="265"/>
      <c r="J488" s="265"/>
      <c r="K488" s="265"/>
      <c r="L488" s="265"/>
      <c r="M488" s="265"/>
      <c r="N488" s="265"/>
      <c r="O488" s="265"/>
      <c r="P488" s="265"/>
      <c r="Q488" s="265"/>
      <c r="R488" s="265"/>
      <c r="S488" s="265"/>
      <c r="T488" s="265"/>
      <c r="U488" s="265"/>
      <c r="V488" s="265"/>
      <c r="W488" s="265"/>
      <c r="X488" s="265"/>
      <c r="Y488" s="265"/>
      <c r="Z488" s="265"/>
      <c r="AA488" s="265"/>
      <c r="AB488" s="265"/>
    </row>
    <row r="489" spans="1:28" ht="15.75" customHeight="1">
      <c r="A489" s="265"/>
      <c r="B489" s="265"/>
      <c r="C489" s="265"/>
      <c r="D489" s="265"/>
      <c r="E489" s="265"/>
      <c r="F489" s="265"/>
      <c r="G489" s="265"/>
      <c r="H489" s="265"/>
      <c r="I489" s="265"/>
      <c r="J489" s="265"/>
      <c r="K489" s="265"/>
      <c r="L489" s="265"/>
      <c r="M489" s="265"/>
      <c r="N489" s="265"/>
      <c r="O489" s="265"/>
      <c r="P489" s="265"/>
      <c r="Q489" s="265"/>
      <c r="R489" s="265"/>
      <c r="S489" s="265"/>
      <c r="T489" s="265"/>
      <c r="U489" s="265"/>
      <c r="V489" s="265"/>
      <c r="W489" s="265"/>
      <c r="X489" s="265"/>
      <c r="Y489" s="265"/>
      <c r="Z489" s="265"/>
      <c r="AA489" s="265"/>
      <c r="AB489" s="265"/>
    </row>
    <row r="490" spans="1:28" ht="15.75" customHeight="1">
      <c r="A490" s="265"/>
      <c r="B490" s="265"/>
      <c r="C490" s="265"/>
      <c r="D490" s="265"/>
      <c r="E490" s="265"/>
      <c r="F490" s="265"/>
      <c r="G490" s="265"/>
      <c r="H490" s="265"/>
      <c r="I490" s="265"/>
      <c r="J490" s="265"/>
      <c r="K490" s="265"/>
      <c r="L490" s="265"/>
      <c r="M490" s="265"/>
      <c r="N490" s="265"/>
      <c r="O490" s="265"/>
      <c r="P490" s="265"/>
      <c r="Q490" s="265"/>
      <c r="R490" s="265"/>
      <c r="S490" s="265"/>
      <c r="T490" s="265"/>
      <c r="U490" s="265"/>
      <c r="V490" s="265"/>
      <c r="W490" s="265"/>
      <c r="X490" s="265"/>
      <c r="Y490" s="265"/>
      <c r="Z490" s="265"/>
      <c r="AA490" s="265"/>
      <c r="AB490" s="265"/>
    </row>
    <row r="491" spans="1:28" ht="15.75" customHeight="1">
      <c r="A491" s="265"/>
      <c r="B491" s="265"/>
      <c r="C491" s="265"/>
      <c r="D491" s="265"/>
      <c r="E491" s="265"/>
      <c r="F491" s="265"/>
      <c r="G491" s="265"/>
      <c r="H491" s="265"/>
      <c r="I491" s="265"/>
      <c r="J491" s="265"/>
      <c r="K491" s="265"/>
      <c r="L491" s="265"/>
      <c r="M491" s="265"/>
      <c r="N491" s="265"/>
      <c r="O491" s="265"/>
      <c r="P491" s="265"/>
      <c r="Q491" s="265"/>
      <c r="R491" s="265"/>
      <c r="S491" s="265"/>
      <c r="T491" s="265"/>
      <c r="U491" s="265"/>
      <c r="V491" s="265"/>
      <c r="W491" s="265"/>
      <c r="X491" s="265"/>
      <c r="Y491" s="265"/>
      <c r="Z491" s="265"/>
      <c r="AA491" s="265"/>
      <c r="AB491" s="265"/>
    </row>
    <row r="492" spans="1:28" ht="15.75" customHeight="1">
      <c r="A492" s="265"/>
      <c r="B492" s="265"/>
      <c r="C492" s="265"/>
      <c r="D492" s="265"/>
      <c r="E492" s="265"/>
      <c r="F492" s="265"/>
      <c r="G492" s="265"/>
      <c r="H492" s="265"/>
      <c r="I492" s="265"/>
      <c r="J492" s="265"/>
      <c r="K492" s="265"/>
      <c r="L492" s="265"/>
      <c r="M492" s="265"/>
      <c r="N492" s="265"/>
      <c r="O492" s="265"/>
      <c r="P492" s="265"/>
      <c r="Q492" s="265"/>
      <c r="R492" s="265"/>
      <c r="S492" s="265"/>
      <c r="T492" s="265"/>
      <c r="U492" s="265"/>
      <c r="V492" s="265"/>
      <c r="W492" s="265"/>
      <c r="X492" s="265"/>
      <c r="Y492" s="265"/>
      <c r="Z492" s="265"/>
      <c r="AA492" s="265"/>
      <c r="AB492" s="265"/>
    </row>
    <row r="493" spans="1:28" ht="15.75" customHeight="1">
      <c r="A493" s="265"/>
      <c r="B493" s="265"/>
      <c r="C493" s="265"/>
      <c r="D493" s="265"/>
      <c r="E493" s="265"/>
      <c r="F493" s="265"/>
      <c r="G493" s="265"/>
      <c r="H493" s="265"/>
      <c r="I493" s="265"/>
      <c r="J493" s="265"/>
      <c r="K493" s="265"/>
      <c r="L493" s="265"/>
      <c r="M493" s="265"/>
      <c r="N493" s="265"/>
      <c r="O493" s="265"/>
      <c r="P493" s="265"/>
      <c r="Q493" s="265"/>
      <c r="R493" s="265"/>
      <c r="S493" s="265"/>
      <c r="T493" s="265"/>
      <c r="U493" s="265"/>
      <c r="V493" s="265"/>
      <c r="W493" s="265"/>
      <c r="X493" s="265"/>
      <c r="Y493" s="265"/>
      <c r="Z493" s="265"/>
      <c r="AA493" s="265"/>
      <c r="AB493" s="265"/>
    </row>
    <row r="494" spans="1:28" ht="15.75" customHeight="1">
      <c r="A494" s="265"/>
      <c r="B494" s="265"/>
      <c r="C494" s="265"/>
      <c r="D494" s="265"/>
      <c r="E494" s="265"/>
      <c r="F494" s="265"/>
      <c r="G494" s="265"/>
      <c r="H494" s="265"/>
      <c r="I494" s="265"/>
      <c r="J494" s="265"/>
      <c r="K494" s="265"/>
      <c r="L494" s="265"/>
      <c r="M494" s="265"/>
      <c r="N494" s="265"/>
      <c r="O494" s="265"/>
      <c r="P494" s="265"/>
      <c r="Q494" s="265"/>
      <c r="R494" s="265"/>
      <c r="S494" s="265"/>
      <c r="T494" s="265"/>
      <c r="U494" s="265"/>
      <c r="V494" s="265"/>
      <c r="W494" s="265"/>
      <c r="X494" s="265"/>
      <c r="Y494" s="265"/>
      <c r="Z494" s="265"/>
      <c r="AA494" s="265"/>
      <c r="AB494" s="265"/>
    </row>
    <row r="495" spans="1:28" ht="15.75" customHeight="1">
      <c r="A495" s="265"/>
      <c r="B495" s="265"/>
      <c r="C495" s="265"/>
      <c r="D495" s="265"/>
      <c r="E495" s="265"/>
      <c r="F495" s="265"/>
      <c r="G495" s="265"/>
      <c r="H495" s="265"/>
      <c r="I495" s="265"/>
      <c r="J495" s="265"/>
      <c r="K495" s="265"/>
      <c r="L495" s="265"/>
      <c r="M495" s="265"/>
      <c r="N495" s="265"/>
      <c r="O495" s="265"/>
      <c r="P495" s="265"/>
      <c r="Q495" s="265"/>
      <c r="R495" s="265"/>
      <c r="S495" s="265"/>
      <c r="T495" s="265"/>
      <c r="U495" s="265"/>
      <c r="V495" s="265"/>
      <c r="W495" s="265"/>
      <c r="X495" s="265"/>
      <c r="Y495" s="265"/>
      <c r="Z495" s="265"/>
      <c r="AA495" s="265"/>
      <c r="AB495" s="265"/>
    </row>
    <row r="496" spans="1:28" ht="15.75" customHeight="1">
      <c r="A496" s="265"/>
      <c r="B496" s="265"/>
      <c r="C496" s="265"/>
      <c r="D496" s="265"/>
      <c r="E496" s="265"/>
      <c r="F496" s="265"/>
      <c r="G496" s="265"/>
      <c r="H496" s="265"/>
      <c r="I496" s="265"/>
      <c r="J496" s="265"/>
      <c r="K496" s="265"/>
      <c r="L496" s="265"/>
      <c r="M496" s="265"/>
      <c r="N496" s="265"/>
      <c r="O496" s="265"/>
      <c r="P496" s="265"/>
      <c r="Q496" s="265"/>
      <c r="R496" s="265"/>
      <c r="S496" s="265"/>
      <c r="T496" s="265"/>
      <c r="U496" s="265"/>
      <c r="V496" s="265"/>
      <c r="W496" s="265"/>
      <c r="X496" s="265"/>
      <c r="Y496" s="265"/>
      <c r="Z496" s="265"/>
      <c r="AA496" s="265"/>
      <c r="AB496" s="265"/>
    </row>
    <row r="497" spans="1:28" ht="15.75" customHeight="1">
      <c r="A497" s="265"/>
      <c r="B497" s="265"/>
      <c r="C497" s="265"/>
      <c r="D497" s="265"/>
      <c r="E497" s="265"/>
      <c r="F497" s="265"/>
      <c r="G497" s="265"/>
      <c r="H497" s="265"/>
      <c r="I497" s="265"/>
      <c r="J497" s="265"/>
      <c r="K497" s="265"/>
      <c r="L497" s="265"/>
      <c r="M497" s="265"/>
      <c r="N497" s="265"/>
      <c r="O497" s="265"/>
      <c r="P497" s="265"/>
      <c r="Q497" s="265"/>
      <c r="R497" s="265"/>
      <c r="S497" s="265"/>
      <c r="T497" s="265"/>
      <c r="U497" s="265"/>
      <c r="V497" s="265"/>
      <c r="W497" s="265"/>
      <c r="X497" s="265"/>
      <c r="Y497" s="265"/>
      <c r="Z497" s="265"/>
      <c r="AA497" s="265"/>
      <c r="AB497" s="265"/>
    </row>
    <row r="498" spans="1:28" ht="15.75" customHeight="1">
      <c r="A498" s="265"/>
      <c r="B498" s="265"/>
      <c r="C498" s="265"/>
      <c r="D498" s="265"/>
      <c r="E498" s="265"/>
      <c r="F498" s="265"/>
      <c r="G498" s="265"/>
      <c r="H498" s="265"/>
      <c r="I498" s="265"/>
      <c r="J498" s="265"/>
      <c r="K498" s="265"/>
      <c r="L498" s="265"/>
      <c r="M498" s="265"/>
      <c r="N498" s="265"/>
      <c r="O498" s="265"/>
      <c r="P498" s="265"/>
      <c r="Q498" s="265"/>
      <c r="R498" s="265"/>
      <c r="S498" s="265"/>
      <c r="T498" s="265"/>
      <c r="U498" s="265"/>
      <c r="V498" s="265"/>
      <c r="W498" s="265"/>
      <c r="X498" s="265"/>
      <c r="Y498" s="265"/>
      <c r="Z498" s="265"/>
      <c r="AA498" s="265"/>
      <c r="AB498" s="265"/>
    </row>
    <row r="499" spans="1:28" ht="15.75" customHeight="1">
      <c r="A499" s="265"/>
      <c r="B499" s="265"/>
      <c r="C499" s="265"/>
      <c r="D499" s="265"/>
      <c r="E499" s="265"/>
      <c r="F499" s="265"/>
      <c r="G499" s="265"/>
      <c r="H499" s="265"/>
      <c r="I499" s="265"/>
      <c r="J499" s="265"/>
      <c r="K499" s="265"/>
      <c r="L499" s="265"/>
      <c r="M499" s="265"/>
      <c r="N499" s="265"/>
      <c r="O499" s="265"/>
      <c r="P499" s="265"/>
      <c r="Q499" s="265"/>
      <c r="R499" s="265"/>
      <c r="S499" s="265"/>
      <c r="T499" s="265"/>
      <c r="U499" s="265"/>
      <c r="V499" s="265"/>
      <c r="W499" s="265"/>
      <c r="X499" s="265"/>
      <c r="Y499" s="265"/>
      <c r="Z499" s="265"/>
      <c r="AA499" s="265"/>
      <c r="AB499" s="265"/>
    </row>
    <row r="500" spans="1:28" ht="15.75" customHeight="1">
      <c r="A500" s="265"/>
      <c r="B500" s="265"/>
      <c r="C500" s="265"/>
      <c r="D500" s="265"/>
      <c r="E500" s="265"/>
      <c r="F500" s="265"/>
      <c r="G500" s="265"/>
      <c r="H500" s="265"/>
      <c r="I500" s="265"/>
      <c r="J500" s="265"/>
      <c r="K500" s="265"/>
      <c r="L500" s="265"/>
      <c r="M500" s="265"/>
      <c r="N500" s="265"/>
      <c r="O500" s="265"/>
      <c r="P500" s="265"/>
      <c r="Q500" s="265"/>
      <c r="R500" s="265"/>
      <c r="S500" s="265"/>
      <c r="T500" s="265"/>
      <c r="U500" s="265"/>
      <c r="V500" s="265"/>
      <c r="W500" s="265"/>
      <c r="X500" s="265"/>
      <c r="Y500" s="265"/>
      <c r="Z500" s="265"/>
      <c r="AA500" s="265"/>
      <c r="AB500" s="265"/>
    </row>
    <row r="501" spans="1:28" ht="15.75" customHeight="1">
      <c r="A501" s="265"/>
      <c r="B501" s="265"/>
      <c r="C501" s="265"/>
      <c r="D501" s="265"/>
      <c r="E501" s="265"/>
      <c r="F501" s="265"/>
      <c r="G501" s="265"/>
      <c r="H501" s="265"/>
      <c r="I501" s="265"/>
      <c r="J501" s="265"/>
      <c r="K501" s="265"/>
      <c r="L501" s="265"/>
      <c r="M501" s="265"/>
      <c r="N501" s="265"/>
      <c r="O501" s="265"/>
      <c r="P501" s="265"/>
      <c r="Q501" s="265"/>
      <c r="R501" s="265"/>
      <c r="S501" s="265"/>
      <c r="T501" s="265"/>
      <c r="U501" s="265"/>
      <c r="V501" s="265"/>
      <c r="W501" s="265"/>
      <c r="X501" s="265"/>
      <c r="Y501" s="265"/>
      <c r="Z501" s="265"/>
      <c r="AA501" s="265"/>
      <c r="AB501" s="265"/>
    </row>
    <row r="502" spans="1:28" ht="15.75" customHeight="1">
      <c r="A502" s="265"/>
      <c r="B502" s="265"/>
      <c r="C502" s="265"/>
      <c r="D502" s="265"/>
      <c r="E502" s="265"/>
      <c r="F502" s="265"/>
      <c r="G502" s="265"/>
      <c r="H502" s="265"/>
      <c r="I502" s="265"/>
      <c r="J502" s="265"/>
      <c r="K502" s="265"/>
      <c r="L502" s="265"/>
      <c r="M502" s="265"/>
      <c r="N502" s="265"/>
      <c r="O502" s="265"/>
      <c r="P502" s="265"/>
      <c r="Q502" s="265"/>
      <c r="R502" s="265"/>
      <c r="S502" s="265"/>
      <c r="T502" s="265"/>
      <c r="U502" s="265"/>
      <c r="V502" s="265"/>
      <c r="W502" s="265"/>
      <c r="X502" s="265"/>
      <c r="Y502" s="265"/>
      <c r="Z502" s="265"/>
      <c r="AA502" s="265"/>
      <c r="AB502" s="265"/>
    </row>
    <row r="503" spans="1:28" ht="15.75" customHeight="1">
      <c r="A503" s="265"/>
      <c r="B503" s="265"/>
      <c r="C503" s="265"/>
      <c r="D503" s="265"/>
      <c r="E503" s="265"/>
      <c r="F503" s="265"/>
      <c r="G503" s="265"/>
      <c r="H503" s="265"/>
      <c r="I503" s="265"/>
      <c r="J503" s="265"/>
      <c r="K503" s="265"/>
      <c r="L503" s="265"/>
      <c r="M503" s="265"/>
      <c r="N503" s="265"/>
      <c r="O503" s="265"/>
      <c r="P503" s="265"/>
      <c r="Q503" s="265"/>
      <c r="R503" s="265"/>
      <c r="S503" s="265"/>
      <c r="T503" s="265"/>
      <c r="U503" s="265"/>
      <c r="V503" s="265"/>
      <c r="W503" s="265"/>
      <c r="X503" s="265"/>
      <c r="Y503" s="265"/>
      <c r="Z503" s="265"/>
      <c r="AA503" s="265"/>
      <c r="AB503" s="265"/>
    </row>
    <row r="504" spans="1:28" ht="15.75" customHeight="1">
      <c r="A504" s="265"/>
      <c r="B504" s="265"/>
      <c r="C504" s="265"/>
      <c r="D504" s="265"/>
      <c r="E504" s="265"/>
      <c r="F504" s="265"/>
      <c r="G504" s="265"/>
      <c r="H504" s="265"/>
      <c r="I504" s="265"/>
      <c r="J504" s="265"/>
      <c r="K504" s="265"/>
      <c r="L504" s="265"/>
      <c r="M504" s="265"/>
      <c r="N504" s="265"/>
      <c r="O504" s="265"/>
      <c r="P504" s="265"/>
      <c r="Q504" s="265"/>
      <c r="R504" s="265"/>
      <c r="S504" s="265"/>
      <c r="T504" s="265"/>
      <c r="U504" s="265"/>
      <c r="V504" s="265"/>
      <c r="W504" s="265"/>
      <c r="X504" s="265"/>
      <c r="Y504" s="265"/>
      <c r="Z504" s="265"/>
      <c r="AA504" s="265"/>
      <c r="AB504" s="265"/>
    </row>
    <row r="505" spans="1:28" ht="15.75" customHeight="1">
      <c r="A505" s="265"/>
      <c r="B505" s="265"/>
      <c r="C505" s="265"/>
      <c r="D505" s="265"/>
      <c r="E505" s="265"/>
      <c r="F505" s="265"/>
      <c r="G505" s="265"/>
      <c r="H505" s="265"/>
      <c r="I505" s="265"/>
      <c r="J505" s="265"/>
      <c r="K505" s="265"/>
      <c r="L505" s="265"/>
      <c r="M505" s="265"/>
      <c r="N505" s="265"/>
      <c r="O505" s="265"/>
      <c r="P505" s="265"/>
      <c r="Q505" s="265"/>
      <c r="R505" s="265"/>
      <c r="S505" s="265"/>
      <c r="T505" s="265"/>
      <c r="U505" s="265"/>
      <c r="V505" s="265"/>
      <c r="W505" s="265"/>
      <c r="X505" s="265"/>
      <c r="Y505" s="265"/>
      <c r="Z505" s="265"/>
      <c r="AA505" s="265"/>
      <c r="AB505" s="265"/>
    </row>
    <row r="506" spans="1:28" ht="15.75" customHeight="1">
      <c r="A506" s="265"/>
      <c r="B506" s="265"/>
      <c r="C506" s="265"/>
      <c r="D506" s="265"/>
      <c r="E506" s="265"/>
      <c r="F506" s="265"/>
      <c r="G506" s="265"/>
      <c r="H506" s="265"/>
      <c r="I506" s="265"/>
      <c r="J506" s="265"/>
      <c r="K506" s="265"/>
      <c r="L506" s="265"/>
      <c r="M506" s="265"/>
      <c r="N506" s="265"/>
      <c r="O506" s="265"/>
      <c r="P506" s="265"/>
      <c r="Q506" s="265"/>
      <c r="R506" s="265"/>
      <c r="S506" s="265"/>
      <c r="T506" s="265"/>
      <c r="U506" s="265"/>
      <c r="V506" s="265"/>
      <c r="W506" s="265"/>
      <c r="X506" s="265"/>
      <c r="Y506" s="265"/>
      <c r="Z506" s="265"/>
      <c r="AA506" s="265"/>
      <c r="AB506" s="265"/>
    </row>
    <row r="507" spans="1:28" ht="15.75" customHeight="1">
      <c r="A507" s="265"/>
      <c r="B507" s="265"/>
      <c r="C507" s="265"/>
      <c r="D507" s="265"/>
      <c r="E507" s="265"/>
      <c r="F507" s="265"/>
      <c r="G507" s="265"/>
      <c r="H507" s="265"/>
      <c r="I507" s="265"/>
      <c r="J507" s="265"/>
      <c r="K507" s="265"/>
      <c r="L507" s="265"/>
      <c r="M507" s="265"/>
      <c r="N507" s="265"/>
      <c r="O507" s="265"/>
      <c r="P507" s="265"/>
      <c r="Q507" s="265"/>
      <c r="R507" s="265"/>
      <c r="S507" s="265"/>
      <c r="T507" s="265"/>
      <c r="U507" s="265"/>
      <c r="V507" s="265"/>
      <c r="W507" s="265"/>
      <c r="X507" s="265"/>
      <c r="Y507" s="265"/>
      <c r="Z507" s="265"/>
      <c r="AA507" s="265"/>
      <c r="AB507" s="265"/>
    </row>
    <row r="508" spans="1:28" ht="15.75" customHeight="1">
      <c r="A508" s="265"/>
      <c r="B508" s="265"/>
      <c r="C508" s="265"/>
      <c r="D508" s="265"/>
      <c r="E508" s="265"/>
      <c r="F508" s="265"/>
      <c r="G508" s="265"/>
      <c r="H508" s="265"/>
      <c r="I508" s="265"/>
      <c r="J508" s="265"/>
      <c r="K508" s="265"/>
      <c r="L508" s="265"/>
      <c r="M508" s="265"/>
      <c r="N508" s="265"/>
      <c r="O508" s="265"/>
      <c r="P508" s="265"/>
      <c r="Q508" s="265"/>
      <c r="R508" s="265"/>
      <c r="S508" s="265"/>
      <c r="T508" s="265"/>
      <c r="U508" s="265"/>
      <c r="V508" s="265"/>
      <c r="W508" s="265"/>
      <c r="X508" s="265"/>
      <c r="Y508" s="265"/>
      <c r="Z508" s="265"/>
      <c r="AA508" s="265"/>
      <c r="AB508" s="265"/>
    </row>
    <row r="509" spans="1:28" ht="15.75" customHeight="1">
      <c r="A509" s="265"/>
      <c r="B509" s="265"/>
      <c r="C509" s="265"/>
      <c r="D509" s="265"/>
      <c r="E509" s="265"/>
      <c r="F509" s="265"/>
      <c r="G509" s="265"/>
      <c r="H509" s="265"/>
      <c r="I509" s="265"/>
      <c r="J509" s="265"/>
      <c r="K509" s="265"/>
      <c r="L509" s="265"/>
      <c r="M509" s="265"/>
      <c r="N509" s="265"/>
      <c r="O509" s="265"/>
      <c r="P509" s="265"/>
      <c r="Q509" s="265"/>
      <c r="R509" s="265"/>
      <c r="S509" s="265"/>
      <c r="T509" s="265"/>
      <c r="U509" s="265"/>
      <c r="V509" s="265"/>
      <c r="W509" s="265"/>
      <c r="X509" s="265"/>
      <c r="Y509" s="265"/>
      <c r="Z509" s="265"/>
      <c r="AA509" s="265"/>
      <c r="AB509" s="265"/>
    </row>
    <row r="510" spans="1:28" ht="15.75" customHeight="1">
      <c r="A510" s="265"/>
      <c r="B510" s="265"/>
      <c r="C510" s="265"/>
      <c r="D510" s="265"/>
      <c r="E510" s="265"/>
      <c r="F510" s="265"/>
      <c r="G510" s="265"/>
      <c r="H510" s="265"/>
      <c r="I510" s="265"/>
      <c r="J510" s="265"/>
      <c r="K510" s="265"/>
      <c r="L510" s="265"/>
      <c r="M510" s="265"/>
      <c r="N510" s="265"/>
      <c r="O510" s="265"/>
      <c r="P510" s="265"/>
      <c r="Q510" s="265"/>
      <c r="R510" s="265"/>
      <c r="S510" s="265"/>
      <c r="T510" s="265"/>
      <c r="U510" s="265"/>
      <c r="V510" s="265"/>
      <c r="W510" s="265"/>
      <c r="X510" s="265"/>
      <c r="Y510" s="265"/>
      <c r="Z510" s="265"/>
      <c r="AA510" s="265"/>
      <c r="AB510" s="265"/>
    </row>
    <row r="511" spans="1:28" ht="15.75" customHeight="1">
      <c r="A511" s="265"/>
      <c r="B511" s="265"/>
      <c r="C511" s="265"/>
      <c r="D511" s="265"/>
      <c r="E511" s="265"/>
      <c r="F511" s="265"/>
      <c r="G511" s="265"/>
      <c r="H511" s="265"/>
      <c r="I511" s="265"/>
      <c r="J511" s="265"/>
      <c r="K511" s="265"/>
      <c r="L511" s="265"/>
      <c r="M511" s="265"/>
      <c r="N511" s="265"/>
      <c r="O511" s="265"/>
      <c r="P511" s="265"/>
      <c r="Q511" s="265"/>
      <c r="R511" s="265"/>
      <c r="S511" s="265"/>
      <c r="T511" s="265"/>
      <c r="U511" s="265"/>
      <c r="V511" s="265"/>
      <c r="W511" s="265"/>
      <c r="X511" s="265"/>
      <c r="Y511" s="265"/>
      <c r="Z511" s="265"/>
      <c r="AA511" s="265"/>
      <c r="AB511" s="265"/>
    </row>
    <row r="512" spans="1:28" ht="15.75" customHeight="1">
      <c r="A512" s="265"/>
      <c r="B512" s="265"/>
      <c r="C512" s="265"/>
      <c r="D512" s="265"/>
      <c r="E512" s="265"/>
      <c r="F512" s="265"/>
      <c r="G512" s="265"/>
      <c r="H512" s="265"/>
      <c r="I512" s="265"/>
      <c r="J512" s="265"/>
      <c r="K512" s="265"/>
      <c r="L512" s="265"/>
      <c r="M512" s="265"/>
      <c r="N512" s="265"/>
      <c r="O512" s="265"/>
      <c r="P512" s="265"/>
      <c r="Q512" s="265"/>
      <c r="R512" s="265"/>
      <c r="S512" s="265"/>
      <c r="T512" s="265"/>
      <c r="U512" s="265"/>
      <c r="V512" s="265"/>
      <c r="W512" s="265"/>
      <c r="X512" s="265"/>
      <c r="Y512" s="265"/>
      <c r="Z512" s="265"/>
      <c r="AA512" s="265"/>
      <c r="AB512" s="265"/>
    </row>
    <row r="513" spans="1:28" ht="15.75" customHeight="1">
      <c r="A513" s="265"/>
      <c r="B513" s="265"/>
      <c r="C513" s="265"/>
      <c r="D513" s="265"/>
      <c r="E513" s="265"/>
      <c r="F513" s="265"/>
      <c r="G513" s="265"/>
      <c r="H513" s="265"/>
      <c r="I513" s="265"/>
      <c r="J513" s="265"/>
      <c r="K513" s="265"/>
      <c r="L513" s="265"/>
      <c r="M513" s="265"/>
      <c r="N513" s="265"/>
      <c r="O513" s="265"/>
      <c r="P513" s="265"/>
      <c r="Q513" s="265"/>
      <c r="R513" s="265"/>
      <c r="S513" s="265"/>
      <c r="T513" s="265"/>
      <c r="U513" s="265"/>
      <c r="V513" s="265"/>
      <c r="W513" s="265"/>
      <c r="X513" s="265"/>
      <c r="Y513" s="265"/>
      <c r="Z513" s="265"/>
      <c r="AA513" s="265"/>
      <c r="AB513" s="265"/>
    </row>
    <row r="514" spans="1:28" ht="15.75" customHeight="1">
      <c r="A514" s="265"/>
      <c r="B514" s="265"/>
      <c r="C514" s="265"/>
      <c r="D514" s="265"/>
      <c r="E514" s="265"/>
      <c r="F514" s="265"/>
      <c r="G514" s="265"/>
      <c r="H514" s="265"/>
      <c r="I514" s="265"/>
      <c r="J514" s="265"/>
      <c r="K514" s="265"/>
      <c r="L514" s="265"/>
      <c r="M514" s="265"/>
      <c r="N514" s="265"/>
      <c r="O514" s="265"/>
      <c r="P514" s="265"/>
      <c r="Q514" s="265"/>
      <c r="R514" s="265"/>
      <c r="S514" s="265"/>
      <c r="T514" s="265"/>
      <c r="U514" s="265"/>
      <c r="V514" s="265"/>
      <c r="W514" s="265"/>
      <c r="X514" s="265"/>
      <c r="Y514" s="265"/>
      <c r="Z514" s="265"/>
      <c r="AA514" s="265"/>
      <c r="AB514" s="265"/>
    </row>
    <row r="515" spans="1:28" ht="15.75" customHeight="1">
      <c r="A515" s="265"/>
      <c r="B515" s="265"/>
      <c r="C515" s="265"/>
      <c r="D515" s="265"/>
      <c r="E515" s="265"/>
      <c r="F515" s="265"/>
      <c r="G515" s="265"/>
      <c r="H515" s="265"/>
      <c r="I515" s="265"/>
      <c r="J515" s="265"/>
      <c r="K515" s="265"/>
      <c r="L515" s="265"/>
      <c r="M515" s="265"/>
      <c r="N515" s="265"/>
      <c r="O515" s="265"/>
      <c r="P515" s="265"/>
      <c r="Q515" s="265"/>
      <c r="R515" s="265"/>
      <c r="S515" s="265"/>
      <c r="T515" s="265"/>
      <c r="U515" s="265"/>
      <c r="V515" s="265"/>
      <c r="W515" s="265"/>
      <c r="X515" s="265"/>
      <c r="Y515" s="265"/>
      <c r="Z515" s="265"/>
      <c r="AA515" s="265"/>
      <c r="AB515" s="265"/>
    </row>
    <row r="516" spans="1:28" ht="15.75" customHeight="1">
      <c r="A516" s="265"/>
      <c r="B516" s="265"/>
      <c r="C516" s="265"/>
      <c r="D516" s="265"/>
      <c r="E516" s="265"/>
      <c r="F516" s="265"/>
      <c r="G516" s="265"/>
      <c r="H516" s="265"/>
      <c r="I516" s="265"/>
      <c r="J516" s="265"/>
      <c r="K516" s="265"/>
      <c r="L516" s="265"/>
      <c r="M516" s="265"/>
      <c r="N516" s="265"/>
      <c r="O516" s="265"/>
      <c r="P516" s="265"/>
      <c r="Q516" s="265"/>
      <c r="R516" s="265"/>
      <c r="S516" s="265"/>
      <c r="T516" s="265"/>
      <c r="U516" s="265"/>
      <c r="V516" s="265"/>
      <c r="W516" s="265"/>
      <c r="X516" s="265"/>
      <c r="Y516" s="265"/>
      <c r="Z516" s="265"/>
      <c r="AA516" s="265"/>
      <c r="AB516" s="265"/>
    </row>
    <row r="517" spans="1:28" ht="15.75" customHeight="1">
      <c r="A517" s="265"/>
      <c r="B517" s="265"/>
      <c r="C517" s="265"/>
      <c r="D517" s="265"/>
      <c r="E517" s="265"/>
      <c r="F517" s="265"/>
      <c r="G517" s="265"/>
      <c r="H517" s="265"/>
      <c r="I517" s="265"/>
      <c r="J517" s="265"/>
      <c r="K517" s="265"/>
      <c r="L517" s="265"/>
      <c r="M517" s="265"/>
      <c r="N517" s="265"/>
      <c r="O517" s="265"/>
      <c r="P517" s="265"/>
      <c r="Q517" s="265"/>
      <c r="R517" s="265"/>
      <c r="S517" s="265"/>
      <c r="T517" s="265"/>
      <c r="U517" s="265"/>
      <c r="V517" s="265"/>
      <c r="W517" s="265"/>
      <c r="X517" s="265"/>
      <c r="Y517" s="265"/>
      <c r="Z517" s="265"/>
      <c r="AA517" s="265"/>
      <c r="AB517" s="265"/>
    </row>
    <row r="518" spans="1:28" ht="15.75" customHeight="1">
      <c r="A518" s="265"/>
      <c r="B518" s="265"/>
      <c r="C518" s="265"/>
      <c r="D518" s="265"/>
      <c r="E518" s="265"/>
      <c r="F518" s="265"/>
      <c r="G518" s="265"/>
      <c r="H518" s="265"/>
      <c r="I518" s="265"/>
      <c r="J518" s="265"/>
      <c r="K518" s="265"/>
      <c r="L518" s="265"/>
      <c r="M518" s="265"/>
      <c r="N518" s="265"/>
      <c r="O518" s="265"/>
      <c r="P518" s="265"/>
      <c r="Q518" s="265"/>
      <c r="R518" s="265"/>
      <c r="S518" s="265"/>
      <c r="T518" s="265"/>
      <c r="U518" s="265"/>
      <c r="V518" s="265"/>
      <c r="W518" s="265"/>
      <c r="X518" s="265"/>
      <c r="Y518" s="265"/>
      <c r="Z518" s="265"/>
      <c r="AA518" s="265"/>
      <c r="AB518" s="265"/>
    </row>
    <row r="519" spans="1:28" ht="15.75" customHeight="1">
      <c r="A519" s="265"/>
      <c r="B519" s="265"/>
      <c r="C519" s="265"/>
      <c r="D519" s="265"/>
      <c r="E519" s="265"/>
      <c r="F519" s="265"/>
      <c r="G519" s="265"/>
      <c r="H519" s="265"/>
      <c r="I519" s="265"/>
      <c r="J519" s="265"/>
      <c r="K519" s="265"/>
      <c r="L519" s="265"/>
      <c r="M519" s="265"/>
      <c r="N519" s="265"/>
      <c r="O519" s="265"/>
      <c r="P519" s="265"/>
      <c r="Q519" s="265"/>
      <c r="R519" s="265"/>
      <c r="S519" s="265"/>
      <c r="T519" s="265"/>
      <c r="U519" s="265"/>
      <c r="V519" s="265"/>
      <c r="W519" s="265"/>
      <c r="X519" s="265"/>
      <c r="Y519" s="265"/>
      <c r="Z519" s="265"/>
      <c r="AA519" s="265"/>
      <c r="AB519" s="265"/>
    </row>
    <row r="520" spans="1:28" ht="15.75" customHeight="1">
      <c r="A520" s="265"/>
      <c r="B520" s="265"/>
      <c r="C520" s="265"/>
      <c r="D520" s="265"/>
      <c r="E520" s="265"/>
      <c r="F520" s="265"/>
      <c r="G520" s="265"/>
      <c r="H520" s="265"/>
      <c r="I520" s="265"/>
      <c r="J520" s="265"/>
      <c r="K520" s="265"/>
      <c r="L520" s="265"/>
      <c r="M520" s="265"/>
      <c r="N520" s="265"/>
      <c r="O520" s="265"/>
      <c r="P520" s="265"/>
      <c r="Q520" s="265"/>
      <c r="R520" s="265"/>
      <c r="S520" s="265"/>
      <c r="T520" s="265"/>
      <c r="U520" s="265"/>
      <c r="V520" s="265"/>
      <c r="W520" s="265"/>
      <c r="X520" s="265"/>
      <c r="Y520" s="265"/>
      <c r="Z520" s="265"/>
      <c r="AA520" s="265"/>
      <c r="AB520" s="265"/>
    </row>
    <row r="521" spans="1:28" ht="15.75" customHeight="1">
      <c r="A521" s="265"/>
      <c r="B521" s="265"/>
      <c r="C521" s="265"/>
      <c r="D521" s="265"/>
      <c r="E521" s="265"/>
      <c r="F521" s="265"/>
      <c r="G521" s="265"/>
      <c r="H521" s="265"/>
      <c r="I521" s="265"/>
      <c r="J521" s="265"/>
      <c r="K521" s="265"/>
      <c r="L521" s="265"/>
      <c r="M521" s="265"/>
      <c r="N521" s="265"/>
      <c r="O521" s="265"/>
      <c r="P521" s="265"/>
      <c r="Q521" s="265"/>
      <c r="R521" s="265"/>
      <c r="S521" s="265"/>
      <c r="T521" s="265"/>
      <c r="U521" s="265"/>
      <c r="V521" s="265"/>
      <c r="W521" s="265"/>
      <c r="X521" s="265"/>
      <c r="Y521" s="265"/>
      <c r="Z521" s="265"/>
      <c r="AA521" s="265"/>
      <c r="AB521" s="265"/>
    </row>
    <row r="522" spans="1:28" ht="15.75" customHeight="1">
      <c r="A522" s="265"/>
      <c r="B522" s="265"/>
      <c r="C522" s="265"/>
      <c r="D522" s="265"/>
      <c r="E522" s="265"/>
      <c r="F522" s="265"/>
      <c r="G522" s="265"/>
      <c r="H522" s="265"/>
      <c r="I522" s="265"/>
      <c r="J522" s="265"/>
      <c r="K522" s="265"/>
      <c r="L522" s="265"/>
      <c r="M522" s="265"/>
      <c r="N522" s="265"/>
      <c r="O522" s="265"/>
      <c r="P522" s="265"/>
      <c r="Q522" s="265"/>
      <c r="R522" s="265"/>
      <c r="S522" s="265"/>
      <c r="T522" s="265"/>
      <c r="U522" s="265"/>
      <c r="V522" s="265"/>
      <c r="W522" s="265"/>
      <c r="X522" s="265"/>
      <c r="Y522" s="265"/>
      <c r="Z522" s="265"/>
      <c r="AA522" s="265"/>
      <c r="AB522" s="265"/>
    </row>
    <row r="523" spans="1:28" ht="15.75" customHeight="1">
      <c r="A523" s="265"/>
      <c r="B523" s="265"/>
      <c r="C523" s="265"/>
      <c r="D523" s="265"/>
      <c r="E523" s="265"/>
      <c r="F523" s="265"/>
      <c r="G523" s="265"/>
      <c r="H523" s="265"/>
      <c r="I523" s="265"/>
      <c r="J523" s="265"/>
      <c r="K523" s="265"/>
      <c r="L523" s="265"/>
      <c r="M523" s="265"/>
      <c r="N523" s="265"/>
      <c r="O523" s="265"/>
      <c r="P523" s="265"/>
      <c r="Q523" s="265"/>
      <c r="R523" s="265"/>
      <c r="S523" s="265"/>
      <c r="T523" s="265"/>
      <c r="U523" s="265"/>
      <c r="V523" s="265"/>
      <c r="W523" s="265"/>
      <c r="X523" s="265"/>
      <c r="Y523" s="265"/>
      <c r="Z523" s="265"/>
      <c r="AA523" s="265"/>
      <c r="AB523" s="265"/>
    </row>
    <row r="524" spans="1:28" ht="15.75" customHeight="1">
      <c r="A524" s="265"/>
      <c r="B524" s="265"/>
      <c r="C524" s="265"/>
      <c r="D524" s="265"/>
      <c r="E524" s="265"/>
      <c r="F524" s="265"/>
      <c r="G524" s="265"/>
      <c r="H524" s="265"/>
      <c r="I524" s="265"/>
      <c r="J524" s="265"/>
      <c r="K524" s="265"/>
      <c r="L524" s="265"/>
      <c r="M524" s="265"/>
      <c r="N524" s="265"/>
      <c r="O524" s="265"/>
      <c r="P524" s="265"/>
      <c r="Q524" s="265"/>
      <c r="R524" s="265"/>
      <c r="S524" s="265"/>
      <c r="T524" s="265"/>
      <c r="U524" s="265"/>
      <c r="V524" s="265"/>
      <c r="W524" s="265"/>
      <c r="X524" s="265"/>
      <c r="Y524" s="265"/>
      <c r="Z524" s="265"/>
      <c r="AA524" s="265"/>
      <c r="AB524" s="265"/>
    </row>
    <row r="525" spans="1:28" ht="15.75" customHeight="1">
      <c r="A525" s="265"/>
      <c r="B525" s="265"/>
      <c r="C525" s="265"/>
      <c r="D525" s="265"/>
      <c r="E525" s="265"/>
      <c r="F525" s="265"/>
      <c r="G525" s="265"/>
      <c r="H525" s="265"/>
      <c r="I525" s="265"/>
      <c r="J525" s="265"/>
      <c r="K525" s="265"/>
      <c r="L525" s="265"/>
      <c r="M525" s="265"/>
      <c r="N525" s="265"/>
      <c r="O525" s="265"/>
      <c r="P525" s="265"/>
      <c r="Q525" s="265"/>
      <c r="R525" s="265"/>
      <c r="S525" s="265"/>
      <c r="T525" s="265"/>
      <c r="U525" s="265"/>
      <c r="V525" s="265"/>
      <c r="W525" s="265"/>
      <c r="X525" s="265"/>
      <c r="Y525" s="265"/>
      <c r="Z525" s="265"/>
      <c r="AA525" s="265"/>
      <c r="AB525" s="265"/>
    </row>
    <row r="526" spans="1:28" ht="15.75" customHeight="1">
      <c r="A526" s="265"/>
      <c r="B526" s="265"/>
      <c r="C526" s="265"/>
      <c r="D526" s="265"/>
      <c r="E526" s="265"/>
      <c r="F526" s="265"/>
      <c r="G526" s="265"/>
      <c r="H526" s="265"/>
      <c r="I526" s="265"/>
      <c r="J526" s="265"/>
      <c r="K526" s="265"/>
      <c r="L526" s="265"/>
      <c r="M526" s="265"/>
      <c r="N526" s="265"/>
      <c r="O526" s="265"/>
      <c r="P526" s="265"/>
      <c r="Q526" s="265"/>
      <c r="R526" s="265"/>
      <c r="S526" s="265"/>
      <c r="T526" s="265"/>
      <c r="U526" s="265"/>
      <c r="V526" s="265"/>
      <c r="W526" s="265"/>
      <c r="X526" s="265"/>
      <c r="Y526" s="265"/>
      <c r="Z526" s="265"/>
      <c r="AA526" s="265"/>
      <c r="AB526" s="265"/>
    </row>
    <row r="527" spans="1:28" ht="15.75" customHeight="1">
      <c r="A527" s="265"/>
      <c r="B527" s="265"/>
      <c r="C527" s="265"/>
      <c r="D527" s="265"/>
      <c r="E527" s="265"/>
      <c r="F527" s="265"/>
      <c r="G527" s="265"/>
      <c r="H527" s="265"/>
      <c r="I527" s="265"/>
      <c r="J527" s="265"/>
      <c r="K527" s="265"/>
      <c r="L527" s="265"/>
      <c r="M527" s="265"/>
      <c r="N527" s="265"/>
      <c r="O527" s="265"/>
      <c r="P527" s="265"/>
      <c r="Q527" s="265"/>
      <c r="R527" s="265"/>
      <c r="S527" s="265"/>
      <c r="T527" s="265"/>
      <c r="U527" s="265"/>
      <c r="V527" s="265"/>
      <c r="W527" s="265"/>
      <c r="X527" s="265"/>
      <c r="Y527" s="265"/>
      <c r="Z527" s="265"/>
      <c r="AA527" s="265"/>
      <c r="AB527" s="265"/>
    </row>
    <row r="528" spans="1:28" ht="15.75" customHeight="1">
      <c r="A528" s="265"/>
      <c r="B528" s="265"/>
      <c r="C528" s="265"/>
      <c r="D528" s="265"/>
      <c r="E528" s="265"/>
      <c r="F528" s="265"/>
      <c r="G528" s="265"/>
      <c r="H528" s="265"/>
      <c r="I528" s="265"/>
      <c r="J528" s="265"/>
      <c r="K528" s="265"/>
      <c r="L528" s="265"/>
      <c r="M528" s="265"/>
      <c r="N528" s="265"/>
      <c r="O528" s="265"/>
      <c r="P528" s="265"/>
      <c r="Q528" s="265"/>
      <c r="R528" s="265"/>
      <c r="S528" s="265"/>
      <c r="T528" s="265"/>
      <c r="U528" s="265"/>
      <c r="V528" s="265"/>
      <c r="W528" s="265"/>
      <c r="X528" s="265"/>
      <c r="Y528" s="265"/>
      <c r="Z528" s="265"/>
      <c r="AA528" s="265"/>
      <c r="AB528" s="265"/>
    </row>
    <row r="529" spans="1:28" ht="15.75" customHeight="1">
      <c r="A529" s="265"/>
      <c r="B529" s="265"/>
      <c r="C529" s="265"/>
      <c r="D529" s="265"/>
      <c r="E529" s="265"/>
      <c r="F529" s="265"/>
      <c r="G529" s="265"/>
      <c r="H529" s="265"/>
      <c r="I529" s="265"/>
      <c r="J529" s="265"/>
      <c r="K529" s="265"/>
      <c r="L529" s="265"/>
      <c r="M529" s="265"/>
      <c r="N529" s="265"/>
      <c r="O529" s="265"/>
      <c r="P529" s="265"/>
      <c r="Q529" s="265"/>
      <c r="R529" s="265"/>
      <c r="S529" s="265"/>
      <c r="T529" s="265"/>
      <c r="U529" s="265"/>
      <c r="V529" s="265"/>
      <c r="W529" s="265"/>
      <c r="X529" s="265"/>
      <c r="Y529" s="265"/>
      <c r="Z529" s="265"/>
      <c r="AA529" s="265"/>
      <c r="AB529" s="265"/>
    </row>
    <row r="530" spans="1:28" ht="15.75" customHeight="1">
      <c r="A530" s="265"/>
      <c r="B530" s="265"/>
      <c r="C530" s="265"/>
      <c r="D530" s="265"/>
      <c r="E530" s="265"/>
      <c r="F530" s="265"/>
      <c r="G530" s="265"/>
      <c r="H530" s="265"/>
      <c r="I530" s="265"/>
      <c r="J530" s="265"/>
      <c r="K530" s="265"/>
      <c r="L530" s="265"/>
      <c r="M530" s="265"/>
      <c r="N530" s="265"/>
      <c r="O530" s="265"/>
      <c r="P530" s="265"/>
      <c r="Q530" s="265"/>
      <c r="R530" s="265"/>
      <c r="S530" s="265"/>
      <c r="T530" s="265"/>
      <c r="U530" s="265"/>
      <c r="V530" s="265"/>
      <c r="W530" s="265"/>
      <c r="X530" s="265"/>
      <c r="Y530" s="265"/>
      <c r="Z530" s="265"/>
      <c r="AA530" s="265"/>
      <c r="AB530" s="265"/>
    </row>
    <row r="531" spans="1:28" ht="15.75" customHeight="1">
      <c r="A531" s="265"/>
      <c r="B531" s="265"/>
      <c r="C531" s="265"/>
      <c r="D531" s="265"/>
      <c r="E531" s="265"/>
      <c r="F531" s="265"/>
      <c r="G531" s="265"/>
      <c r="H531" s="265"/>
      <c r="I531" s="265"/>
      <c r="J531" s="265"/>
      <c r="K531" s="265"/>
      <c r="L531" s="265"/>
      <c r="M531" s="265"/>
      <c r="N531" s="265"/>
      <c r="O531" s="265"/>
      <c r="P531" s="265"/>
      <c r="Q531" s="265"/>
      <c r="R531" s="265"/>
      <c r="S531" s="265"/>
      <c r="T531" s="265"/>
      <c r="U531" s="265"/>
      <c r="V531" s="265"/>
      <c r="W531" s="265"/>
      <c r="X531" s="265"/>
      <c r="Y531" s="265"/>
      <c r="Z531" s="265"/>
      <c r="AA531" s="265"/>
      <c r="AB531" s="265"/>
    </row>
    <row r="532" spans="1:28" ht="15.75" customHeight="1">
      <c r="A532" s="265"/>
      <c r="B532" s="265"/>
      <c r="C532" s="265"/>
      <c r="D532" s="265"/>
      <c r="E532" s="265"/>
      <c r="F532" s="265"/>
      <c r="G532" s="265"/>
      <c r="H532" s="265"/>
      <c r="I532" s="265"/>
      <c r="J532" s="265"/>
      <c r="K532" s="265"/>
      <c r="L532" s="265"/>
      <c r="M532" s="265"/>
      <c r="N532" s="265"/>
      <c r="O532" s="265"/>
      <c r="P532" s="265"/>
      <c r="Q532" s="265"/>
      <c r="R532" s="265"/>
      <c r="S532" s="265"/>
      <c r="T532" s="265"/>
      <c r="U532" s="265"/>
      <c r="V532" s="265"/>
      <c r="W532" s="265"/>
      <c r="X532" s="265"/>
      <c r="Y532" s="265"/>
      <c r="Z532" s="265"/>
      <c r="AA532" s="265"/>
      <c r="AB532" s="265"/>
    </row>
    <row r="533" spans="1:28" ht="15.75" customHeight="1">
      <c r="A533" s="265"/>
      <c r="B533" s="265"/>
      <c r="C533" s="265"/>
      <c r="D533" s="265"/>
      <c r="E533" s="265"/>
      <c r="F533" s="265"/>
      <c r="G533" s="265"/>
      <c r="H533" s="265"/>
      <c r="I533" s="265"/>
      <c r="J533" s="265"/>
      <c r="K533" s="265"/>
      <c r="L533" s="265"/>
      <c r="M533" s="265"/>
      <c r="N533" s="265"/>
      <c r="O533" s="265"/>
      <c r="P533" s="265"/>
      <c r="Q533" s="265"/>
      <c r="R533" s="265"/>
      <c r="S533" s="265"/>
      <c r="T533" s="265"/>
      <c r="U533" s="265"/>
      <c r="V533" s="265"/>
      <c r="W533" s="265"/>
      <c r="X533" s="265"/>
      <c r="Y533" s="265"/>
      <c r="Z533" s="265"/>
      <c r="AA533" s="265"/>
      <c r="AB533" s="265"/>
    </row>
    <row r="534" spans="1:28" ht="15.75" customHeight="1">
      <c r="A534" s="265"/>
      <c r="B534" s="265"/>
      <c r="C534" s="265"/>
      <c r="D534" s="265"/>
      <c r="E534" s="265"/>
      <c r="F534" s="265"/>
      <c r="G534" s="265"/>
      <c r="H534" s="265"/>
      <c r="I534" s="265"/>
      <c r="J534" s="265"/>
      <c r="K534" s="265"/>
      <c r="L534" s="265"/>
      <c r="M534" s="265"/>
      <c r="N534" s="265"/>
      <c r="O534" s="265"/>
      <c r="P534" s="265"/>
      <c r="Q534" s="265"/>
      <c r="R534" s="265"/>
      <c r="S534" s="265"/>
      <c r="T534" s="265"/>
      <c r="U534" s="265"/>
      <c r="V534" s="265"/>
      <c r="W534" s="265"/>
      <c r="X534" s="265"/>
      <c r="Y534" s="265"/>
      <c r="Z534" s="265"/>
      <c r="AA534" s="265"/>
      <c r="AB534" s="265"/>
    </row>
    <row r="535" spans="1:28" ht="15.75" customHeight="1">
      <c r="A535" s="265"/>
      <c r="B535" s="265"/>
      <c r="C535" s="265"/>
      <c r="D535" s="265"/>
      <c r="E535" s="265"/>
      <c r="F535" s="265"/>
      <c r="G535" s="265"/>
      <c r="H535" s="265"/>
      <c r="I535" s="265"/>
      <c r="J535" s="265"/>
      <c r="K535" s="265"/>
      <c r="L535" s="265"/>
      <c r="M535" s="265"/>
      <c r="N535" s="265"/>
      <c r="O535" s="265"/>
      <c r="P535" s="265"/>
      <c r="Q535" s="265"/>
      <c r="R535" s="265"/>
      <c r="S535" s="265"/>
      <c r="T535" s="265"/>
      <c r="U535" s="265"/>
      <c r="V535" s="265"/>
      <c r="W535" s="265"/>
      <c r="X535" s="265"/>
      <c r="Y535" s="265"/>
      <c r="Z535" s="265"/>
      <c r="AA535" s="265"/>
      <c r="AB535" s="265"/>
    </row>
    <row r="536" spans="1:28" ht="15.75" customHeight="1">
      <c r="A536" s="265"/>
      <c r="B536" s="265"/>
      <c r="C536" s="265"/>
      <c r="D536" s="265"/>
      <c r="E536" s="265"/>
      <c r="F536" s="265"/>
      <c r="G536" s="265"/>
      <c r="H536" s="265"/>
      <c r="I536" s="265"/>
      <c r="J536" s="265"/>
      <c r="K536" s="265"/>
      <c r="L536" s="265"/>
      <c r="M536" s="265"/>
      <c r="N536" s="265"/>
      <c r="O536" s="265"/>
      <c r="P536" s="265"/>
      <c r="Q536" s="265"/>
      <c r="R536" s="265"/>
      <c r="S536" s="265"/>
      <c r="T536" s="265"/>
      <c r="U536" s="265"/>
      <c r="V536" s="265"/>
      <c r="W536" s="265"/>
      <c r="X536" s="265"/>
      <c r="Y536" s="265"/>
      <c r="Z536" s="265"/>
      <c r="AA536" s="265"/>
      <c r="AB536" s="265"/>
    </row>
    <row r="537" spans="1:28" ht="15.75" customHeight="1">
      <c r="A537" s="265"/>
      <c r="B537" s="265"/>
      <c r="C537" s="265"/>
      <c r="D537" s="265"/>
      <c r="E537" s="265"/>
      <c r="F537" s="265"/>
      <c r="G537" s="265"/>
      <c r="H537" s="265"/>
      <c r="I537" s="265"/>
      <c r="J537" s="265"/>
      <c r="K537" s="265"/>
      <c r="L537" s="265"/>
      <c r="M537" s="265"/>
      <c r="N537" s="265"/>
      <c r="O537" s="265"/>
      <c r="P537" s="265"/>
      <c r="Q537" s="265"/>
      <c r="R537" s="265"/>
      <c r="S537" s="265"/>
      <c r="T537" s="265"/>
      <c r="U537" s="265"/>
      <c r="V537" s="265"/>
      <c r="W537" s="265"/>
      <c r="X537" s="265"/>
      <c r="Y537" s="265"/>
      <c r="Z537" s="265"/>
      <c r="AA537" s="265"/>
      <c r="AB537" s="265"/>
    </row>
    <row r="538" spans="1:28" ht="15.75" customHeight="1">
      <c r="A538" s="265"/>
      <c r="B538" s="265"/>
      <c r="C538" s="265"/>
      <c r="D538" s="265"/>
      <c r="E538" s="265"/>
      <c r="F538" s="265"/>
      <c r="G538" s="265"/>
      <c r="H538" s="265"/>
      <c r="I538" s="265"/>
      <c r="J538" s="265"/>
      <c r="K538" s="265"/>
      <c r="L538" s="265"/>
      <c r="M538" s="265"/>
      <c r="N538" s="265"/>
      <c r="O538" s="265"/>
      <c r="P538" s="265"/>
      <c r="Q538" s="265"/>
      <c r="R538" s="265"/>
      <c r="S538" s="265"/>
      <c r="T538" s="265"/>
      <c r="U538" s="265"/>
      <c r="V538" s="265"/>
      <c r="W538" s="265"/>
      <c r="X538" s="265"/>
      <c r="Y538" s="265"/>
      <c r="Z538" s="265"/>
      <c r="AA538" s="265"/>
      <c r="AB538" s="265"/>
    </row>
    <row r="539" spans="1:28" ht="15.75" customHeight="1">
      <c r="A539" s="265"/>
      <c r="B539" s="265"/>
      <c r="C539" s="265"/>
      <c r="D539" s="265"/>
      <c r="E539" s="265"/>
      <c r="F539" s="265"/>
      <c r="G539" s="265"/>
      <c r="H539" s="265"/>
      <c r="I539" s="265"/>
      <c r="J539" s="265"/>
      <c r="K539" s="265"/>
      <c r="L539" s="265"/>
      <c r="M539" s="265"/>
      <c r="N539" s="265"/>
      <c r="O539" s="265"/>
      <c r="P539" s="265"/>
      <c r="Q539" s="265"/>
      <c r="R539" s="265"/>
      <c r="S539" s="265"/>
      <c r="T539" s="265"/>
      <c r="U539" s="265"/>
      <c r="V539" s="265"/>
      <c r="W539" s="265"/>
      <c r="X539" s="265"/>
      <c r="Y539" s="265"/>
      <c r="Z539" s="265"/>
      <c r="AA539" s="265"/>
      <c r="AB539" s="265"/>
    </row>
    <row r="540" spans="1:28" ht="15.75" customHeight="1">
      <c r="A540" s="265"/>
      <c r="B540" s="265"/>
      <c r="C540" s="265"/>
      <c r="D540" s="265"/>
      <c r="E540" s="265"/>
      <c r="F540" s="265"/>
      <c r="G540" s="265"/>
      <c r="H540" s="265"/>
      <c r="I540" s="265"/>
      <c r="J540" s="265"/>
      <c r="K540" s="265"/>
      <c r="L540" s="265"/>
      <c r="M540" s="265"/>
      <c r="N540" s="265"/>
      <c r="O540" s="265"/>
      <c r="P540" s="265"/>
      <c r="Q540" s="265"/>
      <c r="R540" s="265"/>
      <c r="S540" s="265"/>
      <c r="T540" s="265"/>
      <c r="U540" s="265"/>
      <c r="V540" s="265"/>
      <c r="W540" s="265"/>
      <c r="X540" s="265"/>
      <c r="Y540" s="265"/>
      <c r="Z540" s="265"/>
      <c r="AA540" s="265"/>
      <c r="AB540" s="265"/>
    </row>
    <row r="541" spans="1:28" ht="15.75" customHeight="1">
      <c r="A541" s="265"/>
      <c r="B541" s="265"/>
      <c r="C541" s="265"/>
      <c r="D541" s="265"/>
      <c r="E541" s="265"/>
      <c r="F541" s="265"/>
      <c r="G541" s="265"/>
      <c r="H541" s="265"/>
      <c r="I541" s="265"/>
      <c r="J541" s="265"/>
      <c r="K541" s="265"/>
      <c r="L541" s="265"/>
      <c r="M541" s="265"/>
      <c r="N541" s="265"/>
      <c r="O541" s="265"/>
      <c r="P541" s="265"/>
      <c r="Q541" s="265"/>
      <c r="R541" s="265"/>
      <c r="S541" s="265"/>
      <c r="T541" s="265"/>
      <c r="U541" s="265"/>
      <c r="V541" s="265"/>
      <c r="W541" s="265"/>
      <c r="X541" s="265"/>
      <c r="Y541" s="265"/>
      <c r="Z541" s="265"/>
      <c r="AA541" s="265"/>
      <c r="AB541" s="265"/>
    </row>
    <row r="542" spans="1:28" ht="15.75" customHeight="1">
      <c r="A542" s="265"/>
      <c r="B542" s="265"/>
      <c r="C542" s="265"/>
      <c r="D542" s="265"/>
      <c r="E542" s="265"/>
      <c r="F542" s="265"/>
      <c r="G542" s="265"/>
      <c r="H542" s="265"/>
      <c r="I542" s="265"/>
      <c r="J542" s="265"/>
      <c r="K542" s="265"/>
      <c r="L542" s="265"/>
      <c r="M542" s="265"/>
      <c r="N542" s="265"/>
      <c r="O542" s="265"/>
      <c r="P542" s="265"/>
      <c r="Q542" s="265"/>
      <c r="R542" s="265"/>
      <c r="S542" s="265"/>
      <c r="T542" s="265"/>
      <c r="U542" s="265"/>
      <c r="V542" s="265"/>
      <c r="W542" s="265"/>
      <c r="X542" s="265"/>
      <c r="Y542" s="265"/>
      <c r="Z542" s="265"/>
      <c r="AA542" s="265"/>
      <c r="AB542" s="265"/>
    </row>
    <row r="543" spans="1:28" ht="15.75" customHeight="1">
      <c r="A543" s="265"/>
      <c r="B543" s="265"/>
      <c r="C543" s="265"/>
      <c r="D543" s="265"/>
      <c r="E543" s="265"/>
      <c r="F543" s="265"/>
      <c r="G543" s="265"/>
      <c r="H543" s="265"/>
      <c r="I543" s="265"/>
      <c r="J543" s="265"/>
      <c r="K543" s="265"/>
      <c r="L543" s="265"/>
      <c r="M543" s="265"/>
      <c r="N543" s="265"/>
      <c r="O543" s="265"/>
      <c r="P543" s="265"/>
      <c r="Q543" s="265"/>
      <c r="R543" s="265"/>
      <c r="S543" s="265"/>
      <c r="T543" s="265"/>
      <c r="U543" s="265"/>
      <c r="V543" s="265"/>
      <c r="W543" s="265"/>
      <c r="X543" s="265"/>
      <c r="Y543" s="265"/>
      <c r="Z543" s="265"/>
      <c r="AA543" s="265"/>
      <c r="AB543" s="265"/>
    </row>
    <row r="544" spans="1:28" ht="15.75" customHeight="1">
      <c r="A544" s="265"/>
      <c r="B544" s="265"/>
      <c r="C544" s="265"/>
      <c r="D544" s="265"/>
      <c r="E544" s="265"/>
      <c r="F544" s="265"/>
      <c r="G544" s="265"/>
      <c r="H544" s="265"/>
      <c r="I544" s="265"/>
      <c r="J544" s="265"/>
      <c r="K544" s="265"/>
      <c r="L544" s="265"/>
      <c r="M544" s="265"/>
      <c r="N544" s="265"/>
      <c r="O544" s="265"/>
      <c r="P544" s="265"/>
      <c r="Q544" s="265"/>
      <c r="R544" s="265"/>
      <c r="S544" s="265"/>
      <c r="T544" s="265"/>
      <c r="U544" s="265"/>
      <c r="V544" s="265"/>
      <c r="W544" s="265"/>
      <c r="X544" s="265"/>
      <c r="Y544" s="265"/>
      <c r="Z544" s="265"/>
      <c r="AA544" s="265"/>
      <c r="AB544" s="265"/>
    </row>
    <row r="545" spans="1:28" ht="15.75" customHeight="1">
      <c r="A545" s="265"/>
      <c r="B545" s="265"/>
      <c r="C545" s="265"/>
      <c r="D545" s="265"/>
      <c r="E545" s="265"/>
      <c r="F545" s="265"/>
      <c r="G545" s="265"/>
      <c r="H545" s="265"/>
      <c r="I545" s="265"/>
      <c r="J545" s="265"/>
      <c r="K545" s="265"/>
      <c r="L545" s="265"/>
      <c r="M545" s="265"/>
      <c r="N545" s="265"/>
      <c r="O545" s="265"/>
      <c r="P545" s="265"/>
      <c r="Q545" s="265"/>
      <c r="R545" s="265"/>
      <c r="S545" s="265"/>
      <c r="T545" s="265"/>
      <c r="U545" s="265"/>
      <c r="V545" s="265"/>
      <c r="W545" s="265"/>
      <c r="X545" s="265"/>
      <c r="Y545" s="265"/>
      <c r="Z545" s="265"/>
      <c r="AA545" s="265"/>
      <c r="AB545" s="265"/>
    </row>
    <row r="546" spans="1:28" ht="15.75" customHeight="1">
      <c r="A546" s="265"/>
      <c r="B546" s="265"/>
      <c r="C546" s="265"/>
      <c r="D546" s="265"/>
      <c r="E546" s="265"/>
      <c r="F546" s="265"/>
      <c r="G546" s="265"/>
      <c r="H546" s="265"/>
      <c r="I546" s="265"/>
      <c r="J546" s="265"/>
      <c r="K546" s="265"/>
      <c r="L546" s="265"/>
      <c r="M546" s="265"/>
      <c r="N546" s="265"/>
      <c r="O546" s="265"/>
      <c r="P546" s="265"/>
      <c r="Q546" s="265"/>
      <c r="R546" s="265"/>
      <c r="S546" s="265"/>
      <c r="T546" s="265"/>
      <c r="U546" s="265"/>
      <c r="V546" s="265"/>
      <c r="W546" s="265"/>
      <c r="X546" s="265"/>
      <c r="Y546" s="265"/>
      <c r="Z546" s="265"/>
      <c r="AA546" s="265"/>
      <c r="AB546" s="265"/>
    </row>
    <row r="547" spans="1:28" ht="15.75" customHeight="1">
      <c r="A547" s="265"/>
      <c r="B547" s="265"/>
      <c r="C547" s="265"/>
      <c r="D547" s="265"/>
      <c r="E547" s="265"/>
      <c r="F547" s="265"/>
      <c r="G547" s="265"/>
      <c r="H547" s="265"/>
      <c r="I547" s="265"/>
      <c r="J547" s="265"/>
      <c r="K547" s="265"/>
      <c r="L547" s="265"/>
      <c r="M547" s="265"/>
      <c r="N547" s="265"/>
      <c r="O547" s="265"/>
      <c r="P547" s="265"/>
      <c r="Q547" s="265"/>
      <c r="R547" s="265"/>
      <c r="S547" s="265"/>
      <c r="T547" s="265"/>
      <c r="U547" s="265"/>
      <c r="V547" s="265"/>
      <c r="W547" s="265"/>
      <c r="X547" s="265"/>
      <c r="Y547" s="265"/>
      <c r="Z547" s="265"/>
      <c r="AA547" s="265"/>
      <c r="AB547" s="265"/>
    </row>
    <row r="548" spans="1:28" ht="15.75" customHeight="1">
      <c r="A548" s="265"/>
      <c r="B548" s="265"/>
      <c r="C548" s="265"/>
      <c r="D548" s="265"/>
      <c r="E548" s="265"/>
      <c r="F548" s="265"/>
      <c r="G548" s="265"/>
      <c r="H548" s="265"/>
      <c r="I548" s="265"/>
      <c r="J548" s="265"/>
      <c r="K548" s="265"/>
      <c r="L548" s="265"/>
      <c r="M548" s="265"/>
      <c r="N548" s="265"/>
      <c r="O548" s="265"/>
      <c r="P548" s="265"/>
      <c r="Q548" s="265"/>
      <c r="R548" s="265"/>
      <c r="S548" s="265"/>
      <c r="T548" s="265"/>
      <c r="U548" s="265"/>
      <c r="V548" s="265"/>
      <c r="W548" s="265"/>
      <c r="X548" s="265"/>
      <c r="Y548" s="265"/>
      <c r="Z548" s="265"/>
      <c r="AA548" s="265"/>
      <c r="AB548" s="265"/>
    </row>
    <row r="549" spans="1:28" ht="15.75" customHeight="1">
      <c r="A549" s="265"/>
      <c r="B549" s="265"/>
      <c r="C549" s="265"/>
      <c r="D549" s="265"/>
      <c r="E549" s="265"/>
      <c r="F549" s="265"/>
      <c r="G549" s="265"/>
      <c r="H549" s="265"/>
      <c r="I549" s="265"/>
      <c r="J549" s="265"/>
      <c r="K549" s="265"/>
      <c r="L549" s="265"/>
      <c r="M549" s="265"/>
      <c r="N549" s="265"/>
      <c r="O549" s="265"/>
      <c r="P549" s="265"/>
      <c r="Q549" s="265"/>
      <c r="R549" s="265"/>
      <c r="S549" s="265"/>
      <c r="T549" s="265"/>
      <c r="U549" s="265"/>
      <c r="V549" s="265"/>
      <c r="W549" s="265"/>
      <c r="X549" s="265"/>
      <c r="Y549" s="265"/>
      <c r="Z549" s="265"/>
      <c r="AA549" s="265"/>
      <c r="AB549" s="265"/>
    </row>
    <row r="550" spans="1:28" ht="15.75" customHeight="1">
      <c r="A550" s="265"/>
      <c r="B550" s="265"/>
      <c r="C550" s="265"/>
      <c r="D550" s="265"/>
      <c r="E550" s="265"/>
      <c r="F550" s="265"/>
      <c r="G550" s="265"/>
      <c r="H550" s="265"/>
      <c r="I550" s="265"/>
      <c r="J550" s="265"/>
      <c r="K550" s="265"/>
      <c r="L550" s="265"/>
      <c r="M550" s="265"/>
      <c r="N550" s="265"/>
      <c r="O550" s="265"/>
      <c r="P550" s="265"/>
      <c r="Q550" s="265"/>
      <c r="R550" s="265"/>
      <c r="S550" s="265"/>
      <c r="T550" s="265"/>
      <c r="U550" s="265"/>
      <c r="V550" s="265"/>
      <c r="W550" s="265"/>
      <c r="X550" s="265"/>
      <c r="Y550" s="265"/>
      <c r="Z550" s="265"/>
      <c r="AA550" s="265"/>
      <c r="AB550" s="265"/>
    </row>
    <row r="551" spans="1:28" ht="15.75" customHeight="1">
      <c r="A551" s="265"/>
      <c r="B551" s="265"/>
      <c r="C551" s="265"/>
      <c r="D551" s="265"/>
      <c r="E551" s="265"/>
      <c r="F551" s="265"/>
      <c r="G551" s="265"/>
      <c r="H551" s="265"/>
      <c r="I551" s="265"/>
      <c r="J551" s="265"/>
      <c r="K551" s="265"/>
      <c r="L551" s="265"/>
      <c r="M551" s="265"/>
      <c r="N551" s="265"/>
      <c r="O551" s="265"/>
      <c r="P551" s="265"/>
      <c r="Q551" s="265"/>
      <c r="R551" s="265"/>
      <c r="S551" s="265"/>
      <c r="T551" s="265"/>
      <c r="U551" s="265"/>
      <c r="V551" s="265"/>
      <c r="W551" s="265"/>
      <c r="X551" s="265"/>
      <c r="Y551" s="265"/>
      <c r="Z551" s="265"/>
      <c r="AA551" s="265"/>
      <c r="AB551" s="265"/>
    </row>
    <row r="552" spans="1:28" ht="15.75" customHeight="1">
      <c r="A552" s="265"/>
      <c r="B552" s="265"/>
      <c r="C552" s="265"/>
      <c r="D552" s="265"/>
      <c r="E552" s="265"/>
      <c r="F552" s="265"/>
      <c r="G552" s="265"/>
      <c r="H552" s="265"/>
      <c r="I552" s="265"/>
      <c r="J552" s="265"/>
      <c r="K552" s="265"/>
      <c r="L552" s="265"/>
      <c r="M552" s="265"/>
      <c r="N552" s="265"/>
      <c r="O552" s="265"/>
      <c r="P552" s="265"/>
      <c r="Q552" s="265"/>
      <c r="R552" s="265"/>
      <c r="S552" s="265"/>
      <c r="T552" s="265"/>
      <c r="U552" s="265"/>
      <c r="V552" s="265"/>
      <c r="W552" s="265"/>
      <c r="X552" s="265"/>
      <c r="Y552" s="265"/>
      <c r="Z552" s="265"/>
      <c r="AA552" s="265"/>
      <c r="AB552" s="265"/>
    </row>
    <row r="553" spans="1:28" ht="15.75" customHeight="1">
      <c r="A553" s="265"/>
      <c r="B553" s="265"/>
      <c r="C553" s="265"/>
      <c r="D553" s="265"/>
      <c r="E553" s="265"/>
      <c r="F553" s="265"/>
      <c r="G553" s="265"/>
      <c r="H553" s="265"/>
      <c r="I553" s="265"/>
      <c r="J553" s="265"/>
      <c r="K553" s="265"/>
      <c r="L553" s="265"/>
      <c r="M553" s="265"/>
      <c r="N553" s="265"/>
      <c r="O553" s="265"/>
      <c r="P553" s="265"/>
      <c r="Q553" s="265"/>
      <c r="R553" s="265"/>
      <c r="S553" s="265"/>
      <c r="T553" s="265"/>
      <c r="U553" s="265"/>
      <c r="V553" s="265"/>
      <c r="W553" s="265"/>
      <c r="X553" s="265"/>
      <c r="Y553" s="265"/>
      <c r="Z553" s="265"/>
      <c r="AA553" s="265"/>
      <c r="AB553" s="265"/>
    </row>
    <row r="554" spans="1:28" ht="15.75" customHeight="1">
      <c r="A554" s="265"/>
      <c r="B554" s="265"/>
      <c r="C554" s="265"/>
      <c r="D554" s="265"/>
      <c r="E554" s="265"/>
      <c r="F554" s="265"/>
      <c r="G554" s="265"/>
      <c r="H554" s="265"/>
      <c r="I554" s="265"/>
      <c r="J554" s="265"/>
      <c r="K554" s="265"/>
      <c r="L554" s="265"/>
      <c r="M554" s="265"/>
      <c r="N554" s="265"/>
      <c r="O554" s="265"/>
      <c r="P554" s="265"/>
      <c r="Q554" s="265"/>
      <c r="R554" s="265"/>
      <c r="S554" s="265"/>
      <c r="T554" s="265"/>
      <c r="U554" s="265"/>
      <c r="V554" s="265"/>
      <c r="W554" s="265"/>
      <c r="X554" s="265"/>
      <c r="Y554" s="265"/>
      <c r="Z554" s="265"/>
      <c r="AA554" s="265"/>
      <c r="AB554" s="265"/>
    </row>
    <row r="555" spans="1:28" ht="15.75" customHeight="1">
      <c r="A555" s="265"/>
      <c r="B555" s="265"/>
      <c r="C555" s="265"/>
      <c r="D555" s="265"/>
      <c r="E555" s="265"/>
      <c r="F555" s="265"/>
      <c r="G555" s="265"/>
      <c r="H555" s="265"/>
      <c r="I555" s="265"/>
      <c r="J555" s="265"/>
      <c r="K555" s="265"/>
      <c r="L555" s="265"/>
      <c r="M555" s="265"/>
      <c r="N555" s="265"/>
      <c r="O555" s="265"/>
      <c r="P555" s="265"/>
      <c r="Q555" s="265"/>
      <c r="R555" s="265"/>
      <c r="S555" s="265"/>
      <c r="T555" s="265"/>
      <c r="U555" s="265"/>
      <c r="V555" s="265"/>
      <c r="W555" s="265"/>
      <c r="X555" s="265"/>
      <c r="Y555" s="265"/>
      <c r="Z555" s="265"/>
      <c r="AA555" s="265"/>
      <c r="AB555" s="265"/>
    </row>
    <row r="556" spans="1:28" ht="15.75" customHeight="1">
      <c r="A556" s="265"/>
      <c r="B556" s="265"/>
      <c r="C556" s="265"/>
      <c r="D556" s="265"/>
      <c r="E556" s="265"/>
      <c r="F556" s="265"/>
      <c r="G556" s="265"/>
      <c r="H556" s="265"/>
      <c r="I556" s="265"/>
      <c r="J556" s="265"/>
      <c r="K556" s="265"/>
      <c r="L556" s="265"/>
      <c r="M556" s="265"/>
      <c r="N556" s="265"/>
      <c r="O556" s="265"/>
      <c r="P556" s="265"/>
      <c r="Q556" s="265"/>
      <c r="R556" s="265"/>
      <c r="S556" s="265"/>
      <c r="T556" s="265"/>
      <c r="U556" s="265"/>
      <c r="V556" s="265"/>
      <c r="W556" s="265"/>
      <c r="X556" s="265"/>
      <c r="Y556" s="265"/>
      <c r="Z556" s="265"/>
      <c r="AA556" s="265"/>
      <c r="AB556" s="265"/>
    </row>
    <row r="557" spans="1:28" ht="15.75" customHeight="1">
      <c r="A557" s="265"/>
      <c r="B557" s="265"/>
      <c r="C557" s="265"/>
      <c r="D557" s="265"/>
      <c r="E557" s="265"/>
      <c r="F557" s="265"/>
      <c r="G557" s="265"/>
      <c r="H557" s="265"/>
      <c r="I557" s="265"/>
      <c r="J557" s="265"/>
      <c r="K557" s="265"/>
      <c r="L557" s="265"/>
      <c r="M557" s="265"/>
      <c r="N557" s="265"/>
      <c r="O557" s="265"/>
      <c r="P557" s="265"/>
      <c r="Q557" s="265"/>
      <c r="R557" s="265"/>
      <c r="S557" s="265"/>
      <c r="T557" s="265"/>
      <c r="U557" s="265"/>
      <c r="V557" s="265"/>
      <c r="W557" s="265"/>
      <c r="X557" s="265"/>
      <c r="Y557" s="265"/>
      <c r="Z557" s="265"/>
      <c r="AA557" s="265"/>
      <c r="AB557" s="265"/>
    </row>
    <row r="558" spans="1:28" ht="15.75" customHeight="1">
      <c r="A558" s="265"/>
      <c r="B558" s="265"/>
      <c r="C558" s="265"/>
      <c r="D558" s="265"/>
      <c r="E558" s="265"/>
      <c r="F558" s="265"/>
      <c r="G558" s="265"/>
      <c r="H558" s="265"/>
      <c r="I558" s="265"/>
      <c r="J558" s="265"/>
      <c r="K558" s="265"/>
      <c r="L558" s="265"/>
      <c r="M558" s="265"/>
      <c r="N558" s="265"/>
      <c r="O558" s="265"/>
      <c r="P558" s="265"/>
      <c r="Q558" s="265"/>
      <c r="R558" s="265"/>
      <c r="S558" s="265"/>
      <c r="T558" s="265"/>
      <c r="U558" s="265"/>
      <c r="V558" s="265"/>
      <c r="W558" s="265"/>
      <c r="X558" s="265"/>
      <c r="Y558" s="265"/>
      <c r="Z558" s="265"/>
      <c r="AA558" s="265"/>
      <c r="AB558" s="265"/>
    </row>
    <row r="559" spans="1:28" ht="15.75" customHeight="1">
      <c r="A559" s="265"/>
      <c r="B559" s="265"/>
      <c r="C559" s="265"/>
      <c r="D559" s="265"/>
      <c r="E559" s="265"/>
      <c r="F559" s="265"/>
      <c r="G559" s="265"/>
      <c r="H559" s="265"/>
      <c r="I559" s="265"/>
      <c r="J559" s="265"/>
      <c r="K559" s="265"/>
      <c r="L559" s="265"/>
      <c r="M559" s="265"/>
      <c r="N559" s="265"/>
      <c r="O559" s="265"/>
      <c r="P559" s="265"/>
      <c r="Q559" s="265"/>
      <c r="R559" s="265"/>
      <c r="S559" s="265"/>
      <c r="T559" s="265"/>
      <c r="U559" s="265"/>
      <c r="V559" s="265"/>
      <c r="W559" s="265"/>
      <c r="X559" s="265"/>
      <c r="Y559" s="265"/>
      <c r="Z559" s="265"/>
      <c r="AA559" s="265"/>
      <c r="AB559" s="265"/>
    </row>
    <row r="560" spans="1:28" ht="15.75" customHeight="1">
      <c r="A560" s="265"/>
      <c r="B560" s="265"/>
      <c r="C560" s="265"/>
      <c r="D560" s="265"/>
      <c r="E560" s="265"/>
      <c r="F560" s="265"/>
      <c r="G560" s="265"/>
      <c r="H560" s="265"/>
      <c r="I560" s="265"/>
      <c r="J560" s="265"/>
      <c r="K560" s="265"/>
      <c r="L560" s="265"/>
      <c r="M560" s="265"/>
      <c r="N560" s="265"/>
      <c r="O560" s="265"/>
      <c r="P560" s="265"/>
      <c r="Q560" s="265"/>
      <c r="R560" s="265"/>
      <c r="S560" s="265"/>
      <c r="T560" s="265"/>
      <c r="U560" s="265"/>
      <c r="V560" s="265"/>
      <c r="W560" s="265"/>
      <c r="X560" s="265"/>
      <c r="Y560" s="265"/>
      <c r="Z560" s="265"/>
      <c r="AA560" s="265"/>
      <c r="AB560" s="265"/>
    </row>
    <row r="561" spans="1:28" ht="15.75" customHeight="1">
      <c r="A561" s="265"/>
      <c r="B561" s="265"/>
      <c r="C561" s="265"/>
      <c r="D561" s="265"/>
      <c r="E561" s="265"/>
      <c r="F561" s="265"/>
      <c r="G561" s="265"/>
      <c r="H561" s="265"/>
      <c r="I561" s="265"/>
      <c r="J561" s="265"/>
      <c r="K561" s="265"/>
      <c r="L561" s="265"/>
      <c r="M561" s="265"/>
      <c r="N561" s="265"/>
      <c r="O561" s="265"/>
      <c r="P561" s="265"/>
      <c r="Q561" s="265"/>
      <c r="R561" s="265"/>
      <c r="S561" s="265"/>
      <c r="T561" s="265"/>
      <c r="U561" s="265"/>
      <c r="V561" s="265"/>
      <c r="W561" s="265"/>
      <c r="X561" s="265"/>
      <c r="Y561" s="265"/>
      <c r="Z561" s="265"/>
      <c r="AA561" s="265"/>
      <c r="AB561" s="265"/>
    </row>
    <row r="562" spans="1:28" ht="15.75" customHeight="1">
      <c r="A562" s="265"/>
      <c r="B562" s="265"/>
      <c r="C562" s="265"/>
      <c r="D562" s="265"/>
      <c r="E562" s="265"/>
      <c r="F562" s="265"/>
      <c r="G562" s="265"/>
      <c r="H562" s="265"/>
      <c r="I562" s="265"/>
      <c r="J562" s="265"/>
      <c r="K562" s="265"/>
      <c r="L562" s="265"/>
      <c r="M562" s="265"/>
      <c r="N562" s="265"/>
      <c r="O562" s="265"/>
      <c r="P562" s="265"/>
      <c r="Q562" s="265"/>
      <c r="R562" s="265"/>
      <c r="S562" s="265"/>
      <c r="T562" s="265"/>
      <c r="U562" s="265"/>
      <c r="V562" s="265"/>
      <c r="W562" s="265"/>
      <c r="X562" s="265"/>
      <c r="Y562" s="265"/>
      <c r="Z562" s="265"/>
      <c r="AA562" s="265"/>
      <c r="AB562" s="265"/>
    </row>
    <row r="563" spans="1:28" ht="15.75" customHeight="1">
      <c r="A563" s="265"/>
      <c r="B563" s="265"/>
      <c r="C563" s="265"/>
      <c r="D563" s="265"/>
      <c r="E563" s="265"/>
      <c r="F563" s="265"/>
      <c r="G563" s="265"/>
      <c r="H563" s="265"/>
      <c r="I563" s="265"/>
      <c r="J563" s="265"/>
      <c r="K563" s="265"/>
      <c r="L563" s="265"/>
      <c r="M563" s="265"/>
      <c r="N563" s="265"/>
      <c r="O563" s="265"/>
      <c r="P563" s="265"/>
      <c r="Q563" s="265"/>
      <c r="R563" s="265"/>
      <c r="S563" s="265"/>
      <c r="T563" s="265"/>
      <c r="U563" s="265"/>
      <c r="V563" s="265"/>
      <c r="W563" s="265"/>
      <c r="X563" s="265"/>
      <c r="Y563" s="265"/>
      <c r="Z563" s="265"/>
      <c r="AA563" s="265"/>
      <c r="AB563" s="265"/>
    </row>
    <row r="564" spans="1:28" ht="15.75" customHeight="1">
      <c r="A564" s="265"/>
      <c r="B564" s="265"/>
      <c r="C564" s="265"/>
      <c r="D564" s="265"/>
      <c r="E564" s="265"/>
      <c r="F564" s="265"/>
      <c r="G564" s="265"/>
      <c r="H564" s="265"/>
      <c r="I564" s="265"/>
      <c r="J564" s="265"/>
      <c r="K564" s="265"/>
      <c r="L564" s="265"/>
      <c r="M564" s="265"/>
      <c r="N564" s="265"/>
      <c r="O564" s="265"/>
      <c r="P564" s="265"/>
      <c r="Q564" s="265"/>
      <c r="R564" s="265"/>
      <c r="S564" s="265"/>
      <c r="T564" s="265"/>
      <c r="U564" s="265"/>
      <c r="V564" s="265"/>
      <c r="W564" s="265"/>
      <c r="X564" s="265"/>
      <c r="Y564" s="265"/>
      <c r="Z564" s="265"/>
      <c r="AA564" s="265"/>
      <c r="AB564" s="265"/>
    </row>
    <row r="565" spans="1:28" ht="15.75" customHeight="1">
      <c r="A565" s="265"/>
      <c r="B565" s="265"/>
      <c r="C565" s="265"/>
      <c r="D565" s="265"/>
      <c r="E565" s="265"/>
      <c r="F565" s="265"/>
      <c r="G565" s="265"/>
      <c r="H565" s="265"/>
      <c r="I565" s="265"/>
      <c r="J565" s="265"/>
      <c r="K565" s="265"/>
      <c r="L565" s="265"/>
      <c r="M565" s="265"/>
      <c r="N565" s="265"/>
      <c r="O565" s="265"/>
      <c r="P565" s="265"/>
      <c r="Q565" s="265"/>
      <c r="R565" s="265"/>
      <c r="S565" s="265"/>
      <c r="T565" s="265"/>
      <c r="U565" s="265"/>
      <c r="V565" s="265"/>
      <c r="W565" s="265"/>
      <c r="X565" s="265"/>
      <c r="Y565" s="265"/>
      <c r="Z565" s="265"/>
      <c r="AA565" s="265"/>
      <c r="AB565" s="265"/>
    </row>
    <row r="566" spans="1:28" ht="15.75" customHeight="1">
      <c r="A566" s="265"/>
      <c r="B566" s="265"/>
      <c r="C566" s="265"/>
      <c r="D566" s="265"/>
      <c r="E566" s="265"/>
      <c r="F566" s="265"/>
      <c r="G566" s="265"/>
      <c r="H566" s="265"/>
      <c r="I566" s="265"/>
      <c r="J566" s="265"/>
      <c r="K566" s="265"/>
      <c r="L566" s="265"/>
      <c r="M566" s="265"/>
      <c r="N566" s="265"/>
      <c r="O566" s="265"/>
      <c r="P566" s="265"/>
      <c r="Q566" s="265"/>
      <c r="R566" s="265"/>
      <c r="S566" s="265"/>
      <c r="T566" s="265"/>
      <c r="U566" s="265"/>
      <c r="V566" s="265"/>
      <c r="W566" s="265"/>
      <c r="X566" s="265"/>
      <c r="Y566" s="265"/>
      <c r="Z566" s="265"/>
      <c r="AA566" s="265"/>
      <c r="AB566" s="265"/>
    </row>
    <row r="567" spans="1:28" ht="15.75" customHeight="1">
      <c r="A567" s="265"/>
      <c r="B567" s="265"/>
      <c r="C567" s="265"/>
      <c r="D567" s="265"/>
      <c r="E567" s="265"/>
      <c r="F567" s="265"/>
      <c r="G567" s="265"/>
      <c r="H567" s="265"/>
      <c r="I567" s="265"/>
      <c r="J567" s="265"/>
      <c r="K567" s="265"/>
      <c r="L567" s="265"/>
      <c r="M567" s="265"/>
      <c r="N567" s="265"/>
      <c r="O567" s="265"/>
      <c r="P567" s="265"/>
      <c r="Q567" s="265"/>
      <c r="R567" s="265"/>
      <c r="S567" s="265"/>
      <c r="T567" s="265"/>
      <c r="U567" s="265"/>
      <c r="V567" s="265"/>
      <c r="W567" s="265"/>
      <c r="X567" s="265"/>
      <c r="Y567" s="265"/>
      <c r="Z567" s="265"/>
      <c r="AA567" s="265"/>
      <c r="AB567" s="265"/>
    </row>
    <row r="568" spans="1:28" ht="15.75" customHeight="1">
      <c r="A568" s="265"/>
      <c r="B568" s="265"/>
      <c r="C568" s="265"/>
      <c r="D568" s="265"/>
      <c r="E568" s="265"/>
      <c r="F568" s="265"/>
      <c r="G568" s="265"/>
      <c r="H568" s="265"/>
      <c r="I568" s="265"/>
      <c r="J568" s="265"/>
      <c r="K568" s="265"/>
      <c r="L568" s="265"/>
      <c r="M568" s="265"/>
      <c r="N568" s="265"/>
      <c r="O568" s="265"/>
      <c r="P568" s="265"/>
      <c r="Q568" s="265"/>
      <c r="R568" s="265"/>
      <c r="S568" s="265"/>
      <c r="T568" s="265"/>
      <c r="U568" s="265"/>
      <c r="V568" s="265"/>
      <c r="W568" s="265"/>
      <c r="X568" s="265"/>
      <c r="Y568" s="265"/>
      <c r="Z568" s="265"/>
      <c r="AA568" s="265"/>
      <c r="AB568" s="265"/>
    </row>
    <row r="569" spans="1:28" ht="15.75" customHeight="1">
      <c r="A569" s="265"/>
      <c r="B569" s="265"/>
      <c r="C569" s="265"/>
      <c r="D569" s="265"/>
      <c r="E569" s="265"/>
      <c r="F569" s="265"/>
      <c r="G569" s="265"/>
      <c r="H569" s="265"/>
      <c r="I569" s="265"/>
      <c r="J569" s="265"/>
      <c r="K569" s="265"/>
      <c r="L569" s="265"/>
      <c r="M569" s="265"/>
      <c r="N569" s="265"/>
      <c r="O569" s="265"/>
      <c r="P569" s="265"/>
      <c r="Q569" s="265"/>
      <c r="R569" s="265"/>
      <c r="S569" s="265"/>
      <c r="T569" s="265"/>
      <c r="U569" s="265"/>
      <c r="V569" s="265"/>
      <c r="W569" s="265"/>
      <c r="X569" s="265"/>
      <c r="Y569" s="265"/>
      <c r="Z569" s="265"/>
      <c r="AA569" s="265"/>
      <c r="AB569" s="265"/>
    </row>
    <row r="570" spans="1:28" ht="15.75" customHeight="1">
      <c r="A570" s="265"/>
      <c r="B570" s="265"/>
      <c r="C570" s="265"/>
      <c r="D570" s="265"/>
      <c r="E570" s="265"/>
      <c r="F570" s="265"/>
      <c r="G570" s="265"/>
      <c r="H570" s="265"/>
      <c r="I570" s="265"/>
      <c r="J570" s="265"/>
      <c r="K570" s="265"/>
      <c r="L570" s="265"/>
      <c r="M570" s="265"/>
      <c r="N570" s="265"/>
      <c r="O570" s="265"/>
      <c r="P570" s="265"/>
      <c r="Q570" s="265"/>
      <c r="R570" s="265"/>
      <c r="S570" s="265"/>
      <c r="T570" s="265"/>
      <c r="U570" s="265"/>
      <c r="V570" s="265"/>
      <c r="W570" s="265"/>
      <c r="X570" s="265"/>
      <c r="Y570" s="265"/>
      <c r="Z570" s="265"/>
      <c r="AA570" s="265"/>
      <c r="AB570" s="265"/>
    </row>
    <row r="571" spans="1:28" ht="15.75" customHeight="1">
      <c r="A571" s="265"/>
      <c r="B571" s="265"/>
      <c r="C571" s="265"/>
      <c r="D571" s="265"/>
      <c r="E571" s="265"/>
      <c r="F571" s="265"/>
      <c r="G571" s="265"/>
      <c r="H571" s="265"/>
      <c r="I571" s="265"/>
      <c r="J571" s="265"/>
      <c r="K571" s="265"/>
      <c r="L571" s="265"/>
      <c r="M571" s="265"/>
      <c r="N571" s="265"/>
      <c r="O571" s="265"/>
      <c r="P571" s="265"/>
      <c r="Q571" s="265"/>
      <c r="R571" s="265"/>
      <c r="S571" s="265"/>
      <c r="T571" s="265"/>
      <c r="U571" s="265"/>
      <c r="V571" s="265"/>
      <c r="W571" s="265"/>
      <c r="X571" s="265"/>
      <c r="Y571" s="265"/>
      <c r="Z571" s="265"/>
      <c r="AA571" s="265"/>
      <c r="AB571" s="265"/>
    </row>
    <row r="572" spans="1:28" ht="15.75" customHeight="1">
      <c r="A572" s="265"/>
      <c r="B572" s="265"/>
      <c r="C572" s="265"/>
      <c r="D572" s="265"/>
      <c r="E572" s="265"/>
      <c r="F572" s="265"/>
      <c r="G572" s="265"/>
      <c r="H572" s="265"/>
      <c r="I572" s="265"/>
      <c r="J572" s="265"/>
      <c r="K572" s="265"/>
      <c r="L572" s="265"/>
      <c r="M572" s="265"/>
      <c r="N572" s="265"/>
      <c r="O572" s="265"/>
      <c r="P572" s="265"/>
      <c r="Q572" s="265"/>
      <c r="R572" s="265"/>
      <c r="S572" s="265"/>
      <c r="T572" s="265"/>
      <c r="U572" s="265"/>
      <c r="V572" s="265"/>
      <c r="W572" s="265"/>
      <c r="X572" s="265"/>
      <c r="Y572" s="265"/>
      <c r="Z572" s="265"/>
      <c r="AA572" s="265"/>
      <c r="AB572" s="265"/>
    </row>
    <row r="573" spans="1:28" ht="15.75" customHeight="1">
      <c r="A573" s="265"/>
      <c r="B573" s="265"/>
      <c r="C573" s="265"/>
      <c r="D573" s="265"/>
      <c r="E573" s="265"/>
      <c r="F573" s="265"/>
      <c r="G573" s="265"/>
      <c r="H573" s="265"/>
      <c r="I573" s="265"/>
      <c r="J573" s="265"/>
      <c r="K573" s="265"/>
      <c r="L573" s="265"/>
      <c r="M573" s="265"/>
      <c r="N573" s="265"/>
      <c r="O573" s="265"/>
      <c r="P573" s="265"/>
      <c r="Q573" s="265"/>
      <c r="R573" s="265"/>
      <c r="S573" s="265"/>
      <c r="T573" s="265"/>
      <c r="U573" s="265"/>
      <c r="V573" s="265"/>
      <c r="W573" s="265"/>
      <c r="X573" s="265"/>
      <c r="Y573" s="265"/>
      <c r="Z573" s="265"/>
      <c r="AA573" s="265"/>
      <c r="AB573" s="265"/>
    </row>
    <row r="574" spans="1:28" ht="15.75" customHeight="1">
      <c r="A574" s="265"/>
      <c r="B574" s="265"/>
      <c r="C574" s="265"/>
      <c r="D574" s="265"/>
      <c r="E574" s="265"/>
      <c r="F574" s="265"/>
      <c r="G574" s="265"/>
      <c r="H574" s="265"/>
      <c r="I574" s="265"/>
      <c r="J574" s="265"/>
      <c r="K574" s="265"/>
      <c r="L574" s="265"/>
      <c r="M574" s="265"/>
      <c r="N574" s="265"/>
      <c r="O574" s="265"/>
      <c r="P574" s="265"/>
      <c r="Q574" s="265"/>
      <c r="R574" s="265"/>
      <c r="S574" s="265"/>
      <c r="T574" s="265"/>
      <c r="U574" s="265"/>
      <c r="V574" s="265"/>
      <c r="W574" s="265"/>
      <c r="X574" s="265"/>
      <c r="Y574" s="265"/>
      <c r="Z574" s="265"/>
      <c r="AA574" s="265"/>
      <c r="AB574" s="265"/>
    </row>
    <row r="575" spans="1:28" ht="15.75" customHeight="1">
      <c r="A575" s="265"/>
      <c r="B575" s="265"/>
      <c r="C575" s="265"/>
      <c r="D575" s="265"/>
      <c r="E575" s="265"/>
      <c r="F575" s="265"/>
      <c r="G575" s="265"/>
      <c r="H575" s="265"/>
      <c r="I575" s="265"/>
      <c r="J575" s="265"/>
      <c r="K575" s="265"/>
      <c r="L575" s="265"/>
      <c r="M575" s="265"/>
      <c r="N575" s="265"/>
      <c r="O575" s="265"/>
      <c r="P575" s="265"/>
      <c r="Q575" s="265"/>
      <c r="R575" s="265"/>
      <c r="S575" s="265"/>
      <c r="T575" s="265"/>
      <c r="U575" s="265"/>
      <c r="V575" s="265"/>
      <c r="W575" s="265"/>
      <c r="X575" s="265"/>
      <c r="Y575" s="265"/>
      <c r="Z575" s="265"/>
      <c r="AA575" s="265"/>
      <c r="AB575" s="265"/>
    </row>
    <row r="576" spans="1:28" ht="15.75" customHeight="1">
      <c r="A576" s="265"/>
      <c r="B576" s="265"/>
      <c r="C576" s="265"/>
      <c r="D576" s="265"/>
      <c r="E576" s="265"/>
      <c r="F576" s="265"/>
      <c r="G576" s="265"/>
      <c r="H576" s="265"/>
      <c r="I576" s="265"/>
      <c r="J576" s="265"/>
      <c r="K576" s="265"/>
      <c r="L576" s="265"/>
      <c r="M576" s="265"/>
      <c r="N576" s="265"/>
      <c r="O576" s="265"/>
      <c r="P576" s="265"/>
      <c r="Q576" s="265"/>
      <c r="R576" s="265"/>
      <c r="S576" s="265"/>
      <c r="T576" s="265"/>
      <c r="U576" s="265"/>
      <c r="V576" s="265"/>
      <c r="W576" s="265"/>
      <c r="X576" s="265"/>
      <c r="Y576" s="265"/>
      <c r="Z576" s="265"/>
      <c r="AA576" s="265"/>
      <c r="AB576" s="265"/>
    </row>
    <row r="577" spans="1:28" ht="15.75" customHeight="1">
      <c r="A577" s="265"/>
      <c r="B577" s="265"/>
      <c r="C577" s="265"/>
      <c r="D577" s="265"/>
      <c r="E577" s="265"/>
      <c r="F577" s="265"/>
      <c r="G577" s="265"/>
      <c r="H577" s="265"/>
      <c r="I577" s="265"/>
      <c r="J577" s="265"/>
      <c r="K577" s="265"/>
      <c r="L577" s="265"/>
      <c r="M577" s="265"/>
      <c r="N577" s="265"/>
      <c r="O577" s="265"/>
      <c r="P577" s="265"/>
      <c r="Q577" s="265"/>
      <c r="R577" s="265"/>
      <c r="S577" s="265"/>
      <c r="T577" s="265"/>
      <c r="U577" s="265"/>
      <c r="V577" s="265"/>
      <c r="W577" s="265"/>
      <c r="X577" s="265"/>
      <c r="Y577" s="265"/>
      <c r="Z577" s="265"/>
      <c r="AA577" s="265"/>
      <c r="AB577" s="265"/>
    </row>
    <row r="578" spans="1:28" ht="15.75" customHeight="1">
      <c r="A578" s="265"/>
      <c r="B578" s="265"/>
      <c r="C578" s="265"/>
      <c r="D578" s="265"/>
      <c r="E578" s="265"/>
      <c r="F578" s="265"/>
      <c r="G578" s="265"/>
      <c r="H578" s="265"/>
      <c r="I578" s="265"/>
      <c r="J578" s="265"/>
      <c r="K578" s="265"/>
      <c r="L578" s="265"/>
      <c r="M578" s="265"/>
      <c r="N578" s="265"/>
      <c r="O578" s="265"/>
      <c r="P578" s="265"/>
      <c r="Q578" s="265"/>
      <c r="R578" s="265"/>
      <c r="S578" s="265"/>
      <c r="T578" s="265"/>
      <c r="U578" s="265"/>
      <c r="V578" s="265"/>
      <c r="W578" s="265"/>
      <c r="X578" s="265"/>
      <c r="Y578" s="265"/>
      <c r="Z578" s="265"/>
      <c r="AA578" s="265"/>
      <c r="AB578" s="265"/>
    </row>
    <row r="579" spans="1:28" ht="15.75" customHeight="1">
      <c r="A579" s="265"/>
      <c r="B579" s="265"/>
      <c r="C579" s="265"/>
      <c r="D579" s="265"/>
      <c r="E579" s="265"/>
      <c r="F579" s="265"/>
      <c r="G579" s="265"/>
      <c r="H579" s="265"/>
      <c r="I579" s="265"/>
      <c r="J579" s="265"/>
      <c r="K579" s="265"/>
      <c r="L579" s="265"/>
      <c r="M579" s="265"/>
      <c r="N579" s="265"/>
      <c r="O579" s="265"/>
      <c r="P579" s="265"/>
      <c r="Q579" s="265"/>
      <c r="R579" s="265"/>
      <c r="S579" s="265"/>
      <c r="T579" s="265"/>
      <c r="U579" s="265"/>
      <c r="V579" s="265"/>
      <c r="W579" s="265"/>
      <c r="X579" s="265"/>
      <c r="Y579" s="265"/>
      <c r="Z579" s="265"/>
      <c r="AA579" s="265"/>
      <c r="AB579" s="265"/>
    </row>
    <row r="580" spans="1:28" ht="15.75" customHeight="1">
      <c r="A580" s="265"/>
      <c r="B580" s="265"/>
      <c r="C580" s="265"/>
      <c r="D580" s="265"/>
      <c r="E580" s="265"/>
      <c r="F580" s="265"/>
      <c r="G580" s="265"/>
      <c r="H580" s="265"/>
      <c r="I580" s="265"/>
      <c r="J580" s="265"/>
      <c r="K580" s="265"/>
      <c r="L580" s="265"/>
      <c r="M580" s="265"/>
      <c r="N580" s="265"/>
      <c r="O580" s="265"/>
      <c r="P580" s="265"/>
      <c r="Q580" s="265"/>
      <c r="R580" s="265"/>
      <c r="S580" s="265"/>
      <c r="T580" s="265"/>
      <c r="U580" s="265"/>
      <c r="V580" s="265"/>
      <c r="W580" s="265"/>
      <c r="X580" s="265"/>
      <c r="Y580" s="265"/>
      <c r="Z580" s="265"/>
      <c r="AA580" s="265"/>
      <c r="AB580" s="265"/>
    </row>
    <row r="581" spans="1:28" ht="15.75" customHeight="1">
      <c r="A581" s="265"/>
      <c r="B581" s="265"/>
      <c r="C581" s="265"/>
      <c r="D581" s="265"/>
      <c r="E581" s="265"/>
      <c r="F581" s="265"/>
      <c r="G581" s="265"/>
      <c r="H581" s="265"/>
      <c r="I581" s="265"/>
      <c r="J581" s="265"/>
      <c r="K581" s="265"/>
      <c r="L581" s="265"/>
      <c r="M581" s="265"/>
      <c r="N581" s="265"/>
      <c r="O581" s="265"/>
      <c r="P581" s="265"/>
      <c r="Q581" s="265"/>
      <c r="R581" s="265"/>
      <c r="S581" s="265"/>
      <c r="T581" s="265"/>
      <c r="U581" s="265"/>
      <c r="V581" s="265"/>
      <c r="W581" s="265"/>
      <c r="X581" s="265"/>
      <c r="Y581" s="265"/>
      <c r="Z581" s="265"/>
      <c r="AA581" s="265"/>
      <c r="AB581" s="265"/>
    </row>
    <row r="582" spans="1:28" ht="15.75" customHeight="1">
      <c r="A582" s="265"/>
      <c r="B582" s="265"/>
      <c r="C582" s="265"/>
      <c r="D582" s="265"/>
      <c r="E582" s="265"/>
      <c r="F582" s="265"/>
      <c r="G582" s="265"/>
      <c r="H582" s="265"/>
      <c r="I582" s="265"/>
      <c r="J582" s="265"/>
      <c r="K582" s="265"/>
      <c r="L582" s="265"/>
      <c r="M582" s="265"/>
      <c r="N582" s="265"/>
      <c r="O582" s="265"/>
      <c r="P582" s="265"/>
      <c r="Q582" s="265"/>
      <c r="R582" s="265"/>
      <c r="S582" s="265"/>
      <c r="T582" s="265"/>
      <c r="U582" s="265"/>
      <c r="V582" s="265"/>
      <c r="W582" s="265"/>
      <c r="X582" s="265"/>
      <c r="Y582" s="265"/>
      <c r="Z582" s="265"/>
      <c r="AA582" s="265"/>
      <c r="AB582" s="265"/>
    </row>
    <row r="583" spans="1:28" ht="15.75" customHeight="1">
      <c r="A583" s="265"/>
      <c r="B583" s="265"/>
      <c r="C583" s="265"/>
      <c r="D583" s="265"/>
      <c r="E583" s="265"/>
      <c r="F583" s="265"/>
      <c r="G583" s="265"/>
      <c r="H583" s="265"/>
      <c r="I583" s="265"/>
      <c r="J583" s="265"/>
      <c r="K583" s="265"/>
      <c r="L583" s="265"/>
      <c r="M583" s="265"/>
      <c r="N583" s="265"/>
      <c r="O583" s="265"/>
      <c r="P583" s="265"/>
      <c r="Q583" s="265"/>
      <c r="R583" s="265"/>
      <c r="S583" s="265"/>
      <c r="T583" s="265"/>
      <c r="U583" s="265"/>
      <c r="V583" s="265"/>
      <c r="W583" s="265"/>
      <c r="X583" s="265"/>
      <c r="Y583" s="265"/>
      <c r="Z583" s="265"/>
      <c r="AA583" s="265"/>
      <c r="AB583" s="265"/>
    </row>
    <row r="584" spans="1:28" ht="15.75" customHeight="1">
      <c r="A584" s="265"/>
      <c r="B584" s="265"/>
      <c r="C584" s="265"/>
      <c r="D584" s="265"/>
      <c r="E584" s="265"/>
      <c r="F584" s="265"/>
      <c r="G584" s="265"/>
      <c r="H584" s="265"/>
      <c r="I584" s="265"/>
      <c r="J584" s="265"/>
      <c r="K584" s="265"/>
      <c r="L584" s="265"/>
      <c r="M584" s="265"/>
      <c r="N584" s="265"/>
      <c r="O584" s="265"/>
      <c r="P584" s="265"/>
      <c r="Q584" s="265"/>
      <c r="R584" s="265"/>
      <c r="S584" s="265"/>
      <c r="T584" s="265"/>
      <c r="U584" s="265"/>
      <c r="V584" s="265"/>
      <c r="W584" s="265"/>
      <c r="X584" s="265"/>
      <c r="Y584" s="265"/>
      <c r="Z584" s="265"/>
      <c r="AA584" s="265"/>
      <c r="AB584" s="265"/>
    </row>
    <row r="585" spans="1:28" ht="15.75" customHeight="1">
      <c r="A585" s="265"/>
      <c r="B585" s="265"/>
      <c r="C585" s="265"/>
      <c r="D585" s="265"/>
      <c r="E585" s="265"/>
      <c r="F585" s="265"/>
      <c r="G585" s="265"/>
      <c r="H585" s="265"/>
      <c r="I585" s="265"/>
      <c r="J585" s="265"/>
      <c r="K585" s="265"/>
      <c r="L585" s="265"/>
      <c r="M585" s="265"/>
      <c r="N585" s="265"/>
      <c r="O585" s="265"/>
      <c r="P585" s="265"/>
      <c r="Q585" s="265"/>
      <c r="R585" s="265"/>
      <c r="S585" s="265"/>
      <c r="T585" s="265"/>
      <c r="U585" s="265"/>
      <c r="V585" s="265"/>
      <c r="W585" s="265"/>
      <c r="X585" s="265"/>
      <c r="Y585" s="265"/>
      <c r="Z585" s="265"/>
      <c r="AA585" s="265"/>
      <c r="AB585" s="265"/>
    </row>
    <row r="586" spans="1:28" ht="15.75" customHeight="1">
      <c r="A586" s="265"/>
      <c r="B586" s="265"/>
      <c r="C586" s="265"/>
      <c r="D586" s="265"/>
      <c r="E586" s="265"/>
      <c r="F586" s="265"/>
      <c r="G586" s="265"/>
      <c r="H586" s="265"/>
      <c r="I586" s="265"/>
      <c r="J586" s="265"/>
      <c r="K586" s="265"/>
      <c r="L586" s="265"/>
      <c r="M586" s="265"/>
      <c r="N586" s="265"/>
      <c r="O586" s="265"/>
      <c r="P586" s="265"/>
      <c r="Q586" s="265"/>
      <c r="R586" s="265"/>
      <c r="S586" s="265"/>
      <c r="T586" s="265"/>
      <c r="U586" s="265"/>
      <c r="V586" s="265"/>
      <c r="W586" s="265"/>
      <c r="X586" s="265"/>
      <c r="Y586" s="265"/>
      <c r="Z586" s="265"/>
      <c r="AA586" s="265"/>
      <c r="AB586" s="265"/>
    </row>
    <row r="587" spans="1:28" ht="15.75" customHeight="1">
      <c r="A587" s="265"/>
      <c r="B587" s="265"/>
      <c r="C587" s="265"/>
      <c r="D587" s="265"/>
      <c r="E587" s="265"/>
      <c r="F587" s="265"/>
      <c r="G587" s="265"/>
      <c r="H587" s="265"/>
      <c r="I587" s="265"/>
      <c r="J587" s="265"/>
      <c r="K587" s="265"/>
      <c r="L587" s="265"/>
      <c r="M587" s="265"/>
      <c r="N587" s="265"/>
      <c r="O587" s="265"/>
      <c r="P587" s="265"/>
      <c r="Q587" s="265"/>
      <c r="R587" s="265"/>
      <c r="S587" s="265"/>
      <c r="T587" s="265"/>
      <c r="U587" s="265"/>
      <c r="V587" s="265"/>
      <c r="W587" s="265"/>
      <c r="X587" s="265"/>
      <c r="Y587" s="265"/>
      <c r="Z587" s="265"/>
      <c r="AA587" s="265"/>
      <c r="AB587" s="265"/>
    </row>
    <row r="588" spans="1:28" ht="15.75" customHeight="1">
      <c r="A588" s="265"/>
      <c r="B588" s="265"/>
      <c r="C588" s="265"/>
      <c r="D588" s="265"/>
      <c r="E588" s="265"/>
      <c r="F588" s="265"/>
      <c r="G588" s="265"/>
      <c r="H588" s="265"/>
      <c r="I588" s="265"/>
      <c r="J588" s="265"/>
      <c r="K588" s="265"/>
      <c r="L588" s="265"/>
      <c r="M588" s="265"/>
      <c r="N588" s="265"/>
      <c r="O588" s="265"/>
      <c r="P588" s="265"/>
      <c r="Q588" s="265"/>
      <c r="R588" s="265"/>
      <c r="S588" s="265"/>
      <c r="T588" s="265"/>
      <c r="U588" s="265"/>
      <c r="V588" s="265"/>
      <c r="W588" s="265"/>
      <c r="X588" s="265"/>
      <c r="Y588" s="265"/>
      <c r="Z588" s="265"/>
      <c r="AA588" s="265"/>
      <c r="AB588" s="265"/>
    </row>
    <row r="589" spans="1:28" ht="15.75" customHeight="1">
      <c r="A589" s="265"/>
      <c r="B589" s="265"/>
      <c r="C589" s="265"/>
      <c r="D589" s="265"/>
      <c r="E589" s="265"/>
      <c r="F589" s="265"/>
      <c r="G589" s="265"/>
      <c r="H589" s="265"/>
      <c r="I589" s="265"/>
      <c r="J589" s="265"/>
      <c r="K589" s="265"/>
      <c r="L589" s="265"/>
      <c r="M589" s="265"/>
      <c r="N589" s="265"/>
      <c r="O589" s="265"/>
      <c r="P589" s="265"/>
      <c r="Q589" s="265"/>
      <c r="R589" s="265"/>
      <c r="S589" s="265"/>
      <c r="T589" s="265"/>
      <c r="U589" s="265"/>
      <c r="V589" s="265"/>
      <c r="W589" s="265"/>
      <c r="X589" s="265"/>
      <c r="Y589" s="265"/>
      <c r="Z589" s="265"/>
      <c r="AA589" s="265"/>
      <c r="AB589" s="265"/>
    </row>
    <row r="590" spans="1:28" ht="15.75" customHeight="1">
      <c r="A590" s="265"/>
      <c r="B590" s="265"/>
      <c r="C590" s="265"/>
      <c r="D590" s="265"/>
      <c r="E590" s="265"/>
      <c r="F590" s="265"/>
      <c r="G590" s="265"/>
      <c r="H590" s="265"/>
      <c r="I590" s="265"/>
      <c r="J590" s="265"/>
      <c r="K590" s="265"/>
      <c r="L590" s="265"/>
      <c r="M590" s="265"/>
      <c r="N590" s="265"/>
      <c r="O590" s="265"/>
      <c r="P590" s="265"/>
      <c r="Q590" s="265"/>
      <c r="R590" s="265"/>
      <c r="S590" s="265"/>
      <c r="T590" s="265"/>
      <c r="U590" s="265"/>
      <c r="V590" s="265"/>
      <c r="W590" s="265"/>
      <c r="X590" s="265"/>
      <c r="Y590" s="265"/>
      <c r="Z590" s="265"/>
      <c r="AA590" s="265"/>
      <c r="AB590" s="265"/>
    </row>
    <row r="591" spans="1:28" ht="15.75" customHeight="1">
      <c r="A591" s="265"/>
      <c r="B591" s="265"/>
      <c r="C591" s="265"/>
      <c r="D591" s="265"/>
      <c r="E591" s="265"/>
      <c r="F591" s="265"/>
      <c r="G591" s="265"/>
      <c r="H591" s="265"/>
      <c r="I591" s="265"/>
      <c r="J591" s="265"/>
      <c r="K591" s="265"/>
      <c r="L591" s="265"/>
      <c r="M591" s="265"/>
      <c r="N591" s="265"/>
      <c r="O591" s="265"/>
      <c r="P591" s="265"/>
      <c r="Q591" s="265"/>
      <c r="R591" s="265"/>
      <c r="S591" s="265"/>
      <c r="T591" s="265"/>
      <c r="U591" s="265"/>
      <c r="V591" s="265"/>
      <c r="W591" s="265"/>
      <c r="X591" s="265"/>
      <c r="Y591" s="265"/>
      <c r="Z591" s="265"/>
      <c r="AA591" s="265"/>
      <c r="AB591" s="265"/>
    </row>
    <row r="592" spans="1:28" ht="15.75" customHeight="1">
      <c r="A592" s="265"/>
      <c r="B592" s="265"/>
      <c r="C592" s="265"/>
      <c r="D592" s="265"/>
      <c r="E592" s="265"/>
      <c r="F592" s="265"/>
      <c r="G592" s="265"/>
      <c r="H592" s="265"/>
      <c r="I592" s="265"/>
      <c r="J592" s="265"/>
      <c r="K592" s="265"/>
      <c r="L592" s="265"/>
      <c r="M592" s="265"/>
      <c r="N592" s="265"/>
      <c r="O592" s="265"/>
      <c r="P592" s="265"/>
      <c r="Q592" s="265"/>
      <c r="R592" s="265"/>
      <c r="S592" s="265"/>
      <c r="T592" s="265"/>
      <c r="U592" s="265"/>
      <c r="V592" s="265"/>
      <c r="W592" s="265"/>
      <c r="X592" s="265"/>
      <c r="Y592" s="265"/>
      <c r="Z592" s="265"/>
      <c r="AA592" s="265"/>
      <c r="AB592" s="265"/>
    </row>
    <row r="593" spans="1:28" ht="15.75" customHeight="1">
      <c r="A593" s="265"/>
      <c r="B593" s="265"/>
      <c r="C593" s="265"/>
      <c r="D593" s="265"/>
      <c r="E593" s="265"/>
      <c r="F593" s="265"/>
      <c r="G593" s="265"/>
      <c r="H593" s="265"/>
      <c r="I593" s="265"/>
      <c r="J593" s="265"/>
      <c r="K593" s="265"/>
      <c r="L593" s="265"/>
      <c r="M593" s="265"/>
      <c r="N593" s="265"/>
      <c r="O593" s="265"/>
      <c r="P593" s="265"/>
      <c r="Q593" s="265"/>
      <c r="R593" s="265"/>
      <c r="S593" s="265"/>
      <c r="T593" s="265"/>
      <c r="U593" s="265"/>
      <c r="V593" s="265"/>
      <c r="W593" s="265"/>
      <c r="X593" s="265"/>
      <c r="Y593" s="265"/>
      <c r="Z593" s="265"/>
      <c r="AA593" s="265"/>
      <c r="AB593" s="265"/>
    </row>
    <row r="594" spans="1:28" ht="15.75" customHeight="1">
      <c r="A594" s="265"/>
      <c r="B594" s="265"/>
      <c r="C594" s="265"/>
      <c r="D594" s="265"/>
      <c r="E594" s="265"/>
      <c r="F594" s="265"/>
      <c r="G594" s="265"/>
      <c r="H594" s="265"/>
      <c r="I594" s="265"/>
      <c r="J594" s="265"/>
      <c r="K594" s="265"/>
      <c r="L594" s="265"/>
      <c r="M594" s="265"/>
      <c r="N594" s="265"/>
      <c r="O594" s="265"/>
      <c r="P594" s="265"/>
      <c r="Q594" s="265"/>
      <c r="R594" s="265"/>
      <c r="S594" s="265"/>
      <c r="T594" s="265"/>
      <c r="U594" s="265"/>
      <c r="V594" s="265"/>
      <c r="W594" s="265"/>
      <c r="X594" s="265"/>
      <c r="Y594" s="265"/>
      <c r="Z594" s="265"/>
      <c r="AA594" s="265"/>
      <c r="AB594" s="265"/>
    </row>
    <row r="595" spans="1:28" ht="15.75" customHeight="1">
      <c r="A595" s="265"/>
      <c r="B595" s="265"/>
      <c r="C595" s="265"/>
      <c r="D595" s="265"/>
      <c r="E595" s="265"/>
      <c r="F595" s="265"/>
      <c r="G595" s="265"/>
      <c r="H595" s="265"/>
      <c r="I595" s="265"/>
      <c r="J595" s="265"/>
      <c r="K595" s="265"/>
      <c r="L595" s="265"/>
      <c r="M595" s="265"/>
      <c r="N595" s="265"/>
      <c r="O595" s="265"/>
      <c r="P595" s="265"/>
      <c r="Q595" s="265"/>
      <c r="R595" s="265"/>
      <c r="S595" s="265"/>
      <c r="T595" s="265"/>
      <c r="U595" s="265"/>
      <c r="V595" s="265"/>
      <c r="W595" s="265"/>
      <c r="X595" s="265"/>
      <c r="Y595" s="265"/>
      <c r="Z595" s="265"/>
      <c r="AA595" s="265"/>
      <c r="AB595" s="265"/>
    </row>
    <row r="596" spans="1:28" ht="15.75" customHeight="1">
      <c r="A596" s="265"/>
      <c r="B596" s="265"/>
      <c r="C596" s="265"/>
      <c r="D596" s="265"/>
      <c r="E596" s="265"/>
      <c r="F596" s="265"/>
      <c r="G596" s="265"/>
      <c r="H596" s="265"/>
      <c r="I596" s="265"/>
      <c r="J596" s="265"/>
      <c r="K596" s="265"/>
      <c r="L596" s="265"/>
      <c r="M596" s="265"/>
      <c r="N596" s="265"/>
      <c r="O596" s="265"/>
      <c r="P596" s="265"/>
      <c r="Q596" s="265"/>
      <c r="R596" s="265"/>
      <c r="S596" s="265"/>
      <c r="T596" s="265"/>
      <c r="U596" s="265"/>
      <c r="V596" s="265"/>
      <c r="W596" s="265"/>
      <c r="X596" s="265"/>
      <c r="Y596" s="265"/>
      <c r="Z596" s="265"/>
      <c r="AA596" s="265"/>
      <c r="AB596" s="265"/>
    </row>
    <row r="597" spans="1:28" ht="15.75" customHeight="1">
      <c r="A597" s="265"/>
      <c r="B597" s="265"/>
      <c r="C597" s="265"/>
      <c r="D597" s="265"/>
      <c r="E597" s="265"/>
      <c r="F597" s="265"/>
      <c r="G597" s="265"/>
      <c r="H597" s="265"/>
      <c r="I597" s="265"/>
      <c r="J597" s="265"/>
      <c r="K597" s="265"/>
      <c r="L597" s="265"/>
      <c r="M597" s="265"/>
      <c r="N597" s="265"/>
      <c r="O597" s="265"/>
      <c r="P597" s="265"/>
      <c r="Q597" s="265"/>
      <c r="R597" s="265"/>
      <c r="S597" s="265"/>
      <c r="T597" s="265"/>
      <c r="U597" s="265"/>
      <c r="V597" s="265"/>
      <c r="W597" s="265"/>
      <c r="X597" s="265"/>
      <c r="Y597" s="265"/>
      <c r="Z597" s="265"/>
      <c r="AA597" s="265"/>
      <c r="AB597" s="265"/>
    </row>
    <row r="598" spans="1:28" ht="15.75" customHeight="1">
      <c r="A598" s="265"/>
      <c r="B598" s="265"/>
      <c r="C598" s="265"/>
      <c r="D598" s="265"/>
      <c r="E598" s="265"/>
      <c r="F598" s="265"/>
      <c r="G598" s="265"/>
      <c r="H598" s="265"/>
      <c r="I598" s="265"/>
      <c r="J598" s="265"/>
      <c r="K598" s="265"/>
      <c r="L598" s="265"/>
      <c r="M598" s="265"/>
      <c r="N598" s="265"/>
      <c r="O598" s="265"/>
      <c r="P598" s="265"/>
      <c r="Q598" s="265"/>
      <c r="R598" s="265"/>
      <c r="S598" s="265"/>
      <c r="T598" s="265"/>
      <c r="U598" s="265"/>
      <c r="V598" s="265"/>
      <c r="W598" s="265"/>
      <c r="X598" s="265"/>
      <c r="Y598" s="265"/>
      <c r="Z598" s="265"/>
      <c r="AA598" s="265"/>
      <c r="AB598" s="265"/>
    </row>
    <row r="599" spans="1:28" ht="15.75" customHeight="1">
      <c r="A599" s="265"/>
      <c r="B599" s="265"/>
      <c r="C599" s="265"/>
      <c r="D599" s="265"/>
      <c r="E599" s="265"/>
      <c r="F599" s="265"/>
      <c r="G599" s="265"/>
      <c r="H599" s="265"/>
      <c r="I599" s="265"/>
      <c r="J599" s="265"/>
      <c r="K599" s="265"/>
      <c r="L599" s="265"/>
      <c r="M599" s="265"/>
      <c r="N599" s="265"/>
      <c r="O599" s="265"/>
      <c r="P599" s="265"/>
      <c r="Q599" s="265"/>
      <c r="R599" s="265"/>
      <c r="S599" s="265"/>
      <c r="T599" s="265"/>
      <c r="U599" s="265"/>
      <c r="V599" s="265"/>
      <c r="W599" s="265"/>
      <c r="X599" s="265"/>
      <c r="Y599" s="265"/>
      <c r="Z599" s="265"/>
      <c r="AA599" s="265"/>
      <c r="AB599" s="265"/>
    </row>
    <row r="600" spans="1:28" ht="15.75" customHeight="1">
      <c r="A600" s="265"/>
      <c r="B600" s="265"/>
      <c r="C600" s="265"/>
      <c r="D600" s="265"/>
      <c r="E600" s="265"/>
      <c r="F600" s="265"/>
      <c r="G600" s="265"/>
      <c r="H600" s="265"/>
      <c r="I600" s="265"/>
      <c r="J600" s="265"/>
      <c r="K600" s="265"/>
      <c r="L600" s="265"/>
      <c r="M600" s="265"/>
      <c r="N600" s="265"/>
      <c r="O600" s="265"/>
      <c r="P600" s="265"/>
      <c r="Q600" s="265"/>
      <c r="R600" s="265"/>
      <c r="S600" s="265"/>
      <c r="T600" s="265"/>
      <c r="U600" s="265"/>
      <c r="V600" s="265"/>
      <c r="W600" s="265"/>
      <c r="X600" s="265"/>
      <c r="Y600" s="265"/>
      <c r="Z600" s="265"/>
      <c r="AA600" s="265"/>
      <c r="AB600" s="265"/>
    </row>
    <row r="601" spans="1:28" ht="15.75" customHeight="1">
      <c r="A601" s="265"/>
      <c r="B601" s="265"/>
      <c r="C601" s="265"/>
      <c r="D601" s="265"/>
      <c r="E601" s="265"/>
      <c r="F601" s="265"/>
      <c r="G601" s="265"/>
      <c r="H601" s="265"/>
      <c r="I601" s="265"/>
      <c r="J601" s="265"/>
      <c r="K601" s="265"/>
      <c r="L601" s="265"/>
      <c r="M601" s="265"/>
      <c r="N601" s="265"/>
      <c r="O601" s="265"/>
      <c r="P601" s="265"/>
      <c r="Q601" s="265"/>
      <c r="R601" s="265"/>
      <c r="S601" s="265"/>
      <c r="T601" s="265"/>
      <c r="U601" s="265"/>
      <c r="V601" s="265"/>
      <c r="W601" s="265"/>
      <c r="X601" s="265"/>
      <c r="Y601" s="265"/>
      <c r="Z601" s="265"/>
      <c r="AA601" s="265"/>
      <c r="AB601" s="265"/>
    </row>
    <row r="602" spans="1:28" ht="15.75" customHeight="1">
      <c r="A602" s="265"/>
      <c r="B602" s="265"/>
      <c r="C602" s="265"/>
      <c r="D602" s="265"/>
      <c r="E602" s="265"/>
      <c r="F602" s="265"/>
      <c r="G602" s="265"/>
      <c r="H602" s="265"/>
      <c r="I602" s="265"/>
      <c r="J602" s="265"/>
      <c r="K602" s="265"/>
      <c r="L602" s="265"/>
      <c r="M602" s="265"/>
      <c r="N602" s="265"/>
      <c r="O602" s="265"/>
      <c r="P602" s="265"/>
      <c r="Q602" s="265"/>
      <c r="R602" s="265"/>
      <c r="S602" s="265"/>
      <c r="T602" s="265"/>
      <c r="U602" s="265"/>
      <c r="V602" s="265"/>
      <c r="W602" s="265"/>
      <c r="X602" s="265"/>
      <c r="Y602" s="265"/>
      <c r="Z602" s="265"/>
      <c r="AA602" s="265"/>
      <c r="AB602" s="265"/>
    </row>
    <row r="603" spans="1:28" ht="15.75" customHeight="1">
      <c r="A603" s="265"/>
      <c r="B603" s="265"/>
      <c r="C603" s="265"/>
      <c r="D603" s="265"/>
      <c r="E603" s="265"/>
      <c r="F603" s="265"/>
      <c r="G603" s="265"/>
      <c r="H603" s="265"/>
      <c r="I603" s="265"/>
      <c r="J603" s="265"/>
      <c r="K603" s="265"/>
      <c r="L603" s="265"/>
      <c r="M603" s="265"/>
      <c r="N603" s="265"/>
      <c r="O603" s="265"/>
      <c r="P603" s="265"/>
      <c r="Q603" s="265"/>
      <c r="R603" s="265"/>
      <c r="S603" s="265"/>
      <c r="T603" s="265"/>
      <c r="U603" s="265"/>
      <c r="V603" s="265"/>
      <c r="W603" s="265"/>
      <c r="X603" s="265"/>
      <c r="Y603" s="265"/>
      <c r="Z603" s="265"/>
      <c r="AA603" s="265"/>
      <c r="AB603" s="265"/>
    </row>
    <row r="604" spans="1:28" ht="15.75" customHeight="1">
      <c r="A604" s="265"/>
      <c r="B604" s="265"/>
      <c r="C604" s="265"/>
      <c r="D604" s="265"/>
      <c r="E604" s="265"/>
      <c r="F604" s="265"/>
      <c r="G604" s="265"/>
      <c r="H604" s="265"/>
      <c r="I604" s="265"/>
      <c r="J604" s="265"/>
      <c r="K604" s="265"/>
      <c r="L604" s="265"/>
      <c r="M604" s="265"/>
      <c r="N604" s="265"/>
      <c r="O604" s="265"/>
      <c r="P604" s="265"/>
      <c r="Q604" s="265"/>
      <c r="R604" s="265"/>
      <c r="S604" s="265"/>
      <c r="T604" s="265"/>
      <c r="U604" s="265"/>
      <c r="V604" s="265"/>
      <c r="W604" s="265"/>
      <c r="X604" s="265"/>
      <c r="Y604" s="265"/>
      <c r="Z604" s="265"/>
      <c r="AA604" s="265"/>
      <c r="AB604" s="265"/>
    </row>
    <row r="605" spans="1:28" ht="15.75" customHeight="1">
      <c r="A605" s="265"/>
      <c r="B605" s="265"/>
      <c r="C605" s="265"/>
      <c r="D605" s="265"/>
      <c r="E605" s="265"/>
      <c r="F605" s="265"/>
      <c r="G605" s="265"/>
      <c r="H605" s="265"/>
      <c r="I605" s="265"/>
      <c r="J605" s="265"/>
      <c r="K605" s="265"/>
      <c r="L605" s="265"/>
      <c r="M605" s="265"/>
      <c r="N605" s="265"/>
      <c r="O605" s="265"/>
      <c r="P605" s="265"/>
      <c r="Q605" s="265"/>
      <c r="R605" s="265"/>
      <c r="S605" s="265"/>
      <c r="T605" s="265"/>
      <c r="U605" s="265"/>
      <c r="V605" s="265"/>
      <c r="W605" s="265"/>
      <c r="X605" s="265"/>
      <c r="Y605" s="265"/>
      <c r="Z605" s="265"/>
      <c r="AA605" s="265"/>
      <c r="AB605" s="265"/>
    </row>
    <row r="606" spans="1:28" ht="15.75" customHeight="1">
      <c r="A606" s="265"/>
      <c r="B606" s="265"/>
      <c r="C606" s="265"/>
      <c r="D606" s="265"/>
      <c r="E606" s="265"/>
      <c r="F606" s="265"/>
      <c r="G606" s="265"/>
      <c r="H606" s="265"/>
      <c r="I606" s="265"/>
      <c r="J606" s="265"/>
      <c r="K606" s="265"/>
      <c r="L606" s="265"/>
      <c r="M606" s="265"/>
      <c r="N606" s="265"/>
      <c r="O606" s="265"/>
      <c r="P606" s="265"/>
      <c r="Q606" s="265"/>
      <c r="R606" s="265"/>
      <c r="S606" s="265"/>
      <c r="T606" s="265"/>
      <c r="U606" s="265"/>
      <c r="V606" s="265"/>
      <c r="W606" s="265"/>
      <c r="X606" s="265"/>
      <c r="Y606" s="265"/>
      <c r="Z606" s="265"/>
      <c r="AA606" s="265"/>
      <c r="AB606" s="265"/>
    </row>
    <row r="607" spans="1:28" ht="15.75" customHeight="1">
      <c r="A607" s="265"/>
      <c r="B607" s="265"/>
      <c r="C607" s="265"/>
      <c r="D607" s="265"/>
      <c r="E607" s="265"/>
      <c r="F607" s="265"/>
      <c r="G607" s="265"/>
      <c r="H607" s="265"/>
      <c r="I607" s="265"/>
      <c r="J607" s="265"/>
      <c r="K607" s="265"/>
      <c r="L607" s="265"/>
      <c r="M607" s="265"/>
      <c r="N607" s="265"/>
      <c r="O607" s="265"/>
      <c r="P607" s="265"/>
      <c r="Q607" s="265"/>
      <c r="R607" s="265"/>
      <c r="S607" s="265"/>
      <c r="T607" s="265"/>
      <c r="U607" s="265"/>
      <c r="V607" s="265"/>
      <c r="W607" s="265"/>
      <c r="X607" s="265"/>
      <c r="Y607" s="265"/>
      <c r="Z607" s="265"/>
      <c r="AA607" s="265"/>
      <c r="AB607" s="265"/>
    </row>
    <row r="608" spans="1:28" ht="15.75" customHeight="1">
      <c r="A608" s="265"/>
      <c r="B608" s="265"/>
      <c r="C608" s="265"/>
      <c r="D608" s="265"/>
      <c r="E608" s="265"/>
      <c r="F608" s="265"/>
      <c r="G608" s="265"/>
      <c r="H608" s="265"/>
      <c r="I608" s="265"/>
      <c r="J608" s="265"/>
      <c r="K608" s="265"/>
      <c r="L608" s="265"/>
      <c r="M608" s="265"/>
      <c r="N608" s="265"/>
      <c r="O608" s="265"/>
      <c r="P608" s="265"/>
      <c r="Q608" s="265"/>
      <c r="R608" s="265"/>
      <c r="S608" s="265"/>
      <c r="T608" s="265"/>
      <c r="U608" s="265"/>
      <c r="V608" s="265"/>
      <c r="W608" s="265"/>
      <c r="X608" s="265"/>
      <c r="Y608" s="265"/>
      <c r="Z608" s="265"/>
      <c r="AA608" s="265"/>
      <c r="AB608" s="265"/>
    </row>
    <row r="609" spans="1:28" ht="15.75" customHeight="1">
      <c r="A609" s="265"/>
      <c r="B609" s="265"/>
      <c r="C609" s="265"/>
      <c r="D609" s="265"/>
      <c r="E609" s="265"/>
      <c r="F609" s="265"/>
      <c r="G609" s="265"/>
      <c r="H609" s="265"/>
      <c r="I609" s="265"/>
      <c r="J609" s="265"/>
      <c r="K609" s="265"/>
      <c r="L609" s="265"/>
      <c r="M609" s="265"/>
      <c r="N609" s="265"/>
      <c r="O609" s="265"/>
      <c r="P609" s="265"/>
      <c r="Q609" s="265"/>
      <c r="R609" s="265"/>
      <c r="S609" s="265"/>
      <c r="T609" s="265"/>
      <c r="U609" s="265"/>
      <c r="V609" s="265"/>
      <c r="W609" s="265"/>
      <c r="X609" s="265"/>
      <c r="Y609" s="265"/>
      <c r="Z609" s="265"/>
      <c r="AA609" s="265"/>
      <c r="AB609" s="265"/>
    </row>
    <row r="610" spans="1:28" ht="15.75" customHeight="1">
      <c r="A610" s="265"/>
      <c r="B610" s="265"/>
      <c r="C610" s="265"/>
      <c r="D610" s="265"/>
      <c r="E610" s="265"/>
      <c r="F610" s="265"/>
      <c r="G610" s="265"/>
      <c r="H610" s="265"/>
      <c r="I610" s="265"/>
      <c r="J610" s="265"/>
      <c r="K610" s="265"/>
      <c r="L610" s="265"/>
      <c r="M610" s="265"/>
      <c r="N610" s="265"/>
      <c r="O610" s="265"/>
      <c r="P610" s="265"/>
      <c r="Q610" s="265"/>
      <c r="R610" s="265"/>
      <c r="S610" s="265"/>
      <c r="T610" s="265"/>
      <c r="U610" s="265"/>
      <c r="V610" s="265"/>
      <c r="W610" s="265"/>
      <c r="X610" s="265"/>
      <c r="Y610" s="265"/>
      <c r="Z610" s="265"/>
      <c r="AA610" s="265"/>
      <c r="AB610" s="265"/>
    </row>
    <row r="611" spans="1:28" ht="15.75" customHeight="1">
      <c r="A611" s="265"/>
      <c r="B611" s="265"/>
      <c r="C611" s="265"/>
      <c r="D611" s="265"/>
      <c r="E611" s="265"/>
      <c r="F611" s="265"/>
      <c r="G611" s="265"/>
      <c r="H611" s="265"/>
      <c r="I611" s="265"/>
      <c r="J611" s="265"/>
      <c r="K611" s="265"/>
      <c r="L611" s="265"/>
      <c r="M611" s="265"/>
      <c r="N611" s="265"/>
      <c r="O611" s="265"/>
      <c r="P611" s="265"/>
      <c r="Q611" s="265"/>
      <c r="R611" s="265"/>
      <c r="S611" s="265"/>
      <c r="T611" s="265"/>
      <c r="U611" s="265"/>
      <c r="V611" s="265"/>
      <c r="W611" s="265"/>
      <c r="X611" s="265"/>
      <c r="Y611" s="265"/>
      <c r="Z611" s="265"/>
      <c r="AA611" s="265"/>
      <c r="AB611" s="265"/>
    </row>
    <row r="612" spans="1:28" ht="15.75" customHeight="1">
      <c r="A612" s="265"/>
      <c r="B612" s="265"/>
      <c r="C612" s="265"/>
      <c r="D612" s="265"/>
      <c r="E612" s="265"/>
      <c r="F612" s="265"/>
      <c r="G612" s="265"/>
      <c r="H612" s="265"/>
      <c r="I612" s="265"/>
      <c r="J612" s="265"/>
      <c r="K612" s="265"/>
      <c r="L612" s="265"/>
      <c r="M612" s="265"/>
      <c r="N612" s="265"/>
      <c r="O612" s="265"/>
      <c r="P612" s="265"/>
      <c r="Q612" s="265"/>
      <c r="R612" s="265"/>
      <c r="S612" s="265"/>
      <c r="T612" s="265"/>
      <c r="U612" s="265"/>
      <c r="V612" s="265"/>
      <c r="W612" s="265"/>
      <c r="X612" s="265"/>
      <c r="Y612" s="265"/>
      <c r="Z612" s="265"/>
      <c r="AA612" s="265"/>
      <c r="AB612" s="265"/>
    </row>
    <row r="613" spans="1:28" ht="15.75" customHeight="1">
      <c r="A613" s="265"/>
      <c r="B613" s="265"/>
      <c r="C613" s="265"/>
      <c r="D613" s="265"/>
      <c r="E613" s="265"/>
      <c r="F613" s="265"/>
      <c r="G613" s="265"/>
      <c r="H613" s="265"/>
      <c r="I613" s="265"/>
      <c r="J613" s="265"/>
      <c r="K613" s="265"/>
      <c r="L613" s="265"/>
      <c r="M613" s="265"/>
      <c r="N613" s="265"/>
      <c r="O613" s="265"/>
      <c r="P613" s="265"/>
      <c r="Q613" s="265"/>
      <c r="R613" s="265"/>
      <c r="S613" s="265"/>
      <c r="T613" s="265"/>
      <c r="U613" s="265"/>
      <c r="V613" s="265"/>
      <c r="W613" s="265"/>
      <c r="X613" s="265"/>
      <c r="Y613" s="265"/>
      <c r="Z613" s="265"/>
      <c r="AA613" s="265"/>
      <c r="AB613" s="265"/>
    </row>
    <row r="614" spans="1:28" ht="15.75" customHeight="1">
      <c r="A614" s="265"/>
      <c r="B614" s="265"/>
      <c r="C614" s="265"/>
      <c r="D614" s="265"/>
      <c r="E614" s="265"/>
      <c r="F614" s="265"/>
      <c r="G614" s="265"/>
      <c r="H614" s="265"/>
      <c r="I614" s="265"/>
      <c r="J614" s="265"/>
      <c r="K614" s="265"/>
      <c r="L614" s="265"/>
      <c r="M614" s="265"/>
      <c r="N614" s="265"/>
      <c r="O614" s="265"/>
      <c r="P614" s="265"/>
      <c r="Q614" s="265"/>
      <c r="R614" s="265"/>
      <c r="S614" s="265"/>
      <c r="T614" s="265"/>
      <c r="U614" s="265"/>
      <c r="V614" s="265"/>
      <c r="W614" s="265"/>
      <c r="X614" s="265"/>
      <c r="Y614" s="265"/>
      <c r="Z614" s="265"/>
      <c r="AA614" s="265"/>
      <c r="AB614" s="265"/>
    </row>
    <row r="615" spans="1:28" ht="15.75" customHeight="1">
      <c r="A615" s="265"/>
      <c r="B615" s="265"/>
      <c r="C615" s="265"/>
      <c r="D615" s="265"/>
      <c r="E615" s="265"/>
      <c r="F615" s="265"/>
      <c r="G615" s="265"/>
      <c r="H615" s="265"/>
      <c r="I615" s="265"/>
      <c r="J615" s="265"/>
      <c r="K615" s="265"/>
      <c r="L615" s="265"/>
      <c r="M615" s="265"/>
      <c r="N615" s="265"/>
      <c r="O615" s="265"/>
      <c r="P615" s="265"/>
      <c r="Q615" s="265"/>
      <c r="R615" s="265"/>
      <c r="S615" s="265"/>
      <c r="T615" s="265"/>
      <c r="U615" s="265"/>
      <c r="V615" s="265"/>
      <c r="W615" s="265"/>
      <c r="X615" s="265"/>
      <c r="Y615" s="265"/>
      <c r="Z615" s="265"/>
      <c r="AA615" s="265"/>
      <c r="AB615" s="265"/>
    </row>
    <row r="616" spans="1:28" ht="15.75" customHeight="1">
      <c r="A616" s="265"/>
      <c r="B616" s="265"/>
      <c r="C616" s="265"/>
      <c r="D616" s="265"/>
      <c r="E616" s="265"/>
      <c r="F616" s="265"/>
      <c r="G616" s="265"/>
      <c r="H616" s="265"/>
      <c r="I616" s="265"/>
      <c r="J616" s="265"/>
      <c r="K616" s="265"/>
      <c r="L616" s="265"/>
      <c r="M616" s="265"/>
      <c r="N616" s="265"/>
      <c r="O616" s="265"/>
      <c r="P616" s="265"/>
      <c r="Q616" s="265"/>
      <c r="R616" s="265"/>
      <c r="S616" s="265"/>
      <c r="T616" s="265"/>
      <c r="U616" s="265"/>
      <c r="V616" s="265"/>
      <c r="W616" s="265"/>
      <c r="X616" s="265"/>
      <c r="Y616" s="265"/>
      <c r="Z616" s="265"/>
      <c r="AA616" s="265"/>
      <c r="AB616" s="265"/>
    </row>
    <row r="617" spans="1:28" ht="15.75" customHeight="1">
      <c r="A617" s="265"/>
      <c r="B617" s="265"/>
      <c r="C617" s="265"/>
      <c r="D617" s="265"/>
      <c r="E617" s="265"/>
      <c r="F617" s="265"/>
      <c r="G617" s="265"/>
      <c r="H617" s="265"/>
      <c r="I617" s="265"/>
      <c r="J617" s="265"/>
      <c r="K617" s="265"/>
      <c r="L617" s="265"/>
      <c r="M617" s="265"/>
      <c r="N617" s="265"/>
      <c r="O617" s="265"/>
      <c r="P617" s="265"/>
      <c r="Q617" s="265"/>
      <c r="R617" s="265"/>
      <c r="S617" s="265"/>
      <c r="T617" s="265"/>
      <c r="U617" s="265"/>
      <c r="V617" s="265"/>
      <c r="W617" s="265"/>
      <c r="X617" s="265"/>
      <c r="Y617" s="265"/>
      <c r="Z617" s="265"/>
      <c r="AA617" s="265"/>
      <c r="AB617" s="265"/>
    </row>
    <row r="618" spans="1:28" ht="15.75" customHeight="1">
      <c r="A618" s="265"/>
      <c r="B618" s="265"/>
      <c r="C618" s="265"/>
      <c r="D618" s="265"/>
      <c r="E618" s="265"/>
      <c r="F618" s="265"/>
      <c r="G618" s="265"/>
      <c r="H618" s="265"/>
      <c r="I618" s="265"/>
      <c r="J618" s="265"/>
      <c r="K618" s="265"/>
      <c r="L618" s="265"/>
      <c r="M618" s="265"/>
      <c r="N618" s="265"/>
      <c r="O618" s="265"/>
      <c r="P618" s="265"/>
      <c r="Q618" s="265"/>
      <c r="R618" s="265"/>
      <c r="S618" s="265"/>
      <c r="T618" s="265"/>
      <c r="U618" s="265"/>
      <c r="V618" s="265"/>
      <c r="W618" s="265"/>
      <c r="X618" s="265"/>
      <c r="Y618" s="265"/>
      <c r="Z618" s="265"/>
      <c r="AA618" s="265"/>
      <c r="AB618" s="265"/>
    </row>
    <row r="619" spans="1:28" ht="15.75" customHeight="1">
      <c r="A619" s="265"/>
      <c r="B619" s="265"/>
      <c r="C619" s="265"/>
      <c r="D619" s="265"/>
      <c r="E619" s="265"/>
      <c r="F619" s="265"/>
      <c r="G619" s="265"/>
      <c r="H619" s="265"/>
      <c r="I619" s="265"/>
      <c r="J619" s="265"/>
      <c r="K619" s="265"/>
      <c r="L619" s="265"/>
      <c r="M619" s="265"/>
      <c r="N619" s="265"/>
      <c r="O619" s="265"/>
      <c r="P619" s="265"/>
      <c r="Q619" s="265"/>
      <c r="R619" s="265"/>
      <c r="S619" s="265"/>
      <c r="T619" s="265"/>
      <c r="U619" s="265"/>
      <c r="V619" s="265"/>
      <c r="W619" s="265"/>
      <c r="X619" s="265"/>
      <c r="Y619" s="265"/>
      <c r="Z619" s="265"/>
      <c r="AA619" s="265"/>
      <c r="AB619" s="265"/>
    </row>
    <row r="620" spans="1:28" ht="15.75" customHeight="1">
      <c r="A620" s="265"/>
      <c r="B620" s="265"/>
      <c r="C620" s="265"/>
      <c r="D620" s="265"/>
      <c r="E620" s="265"/>
      <c r="F620" s="265"/>
      <c r="G620" s="265"/>
      <c r="H620" s="265"/>
      <c r="I620" s="265"/>
      <c r="J620" s="265"/>
      <c r="K620" s="265"/>
      <c r="L620" s="265"/>
      <c r="M620" s="265"/>
      <c r="N620" s="265"/>
      <c r="O620" s="265"/>
      <c r="P620" s="265"/>
      <c r="Q620" s="265"/>
      <c r="R620" s="265"/>
      <c r="S620" s="265"/>
      <c r="T620" s="265"/>
      <c r="U620" s="265"/>
      <c r="V620" s="265"/>
      <c r="W620" s="265"/>
      <c r="X620" s="265"/>
      <c r="Y620" s="265"/>
      <c r="Z620" s="265"/>
      <c r="AA620" s="265"/>
      <c r="AB620" s="265"/>
    </row>
    <row r="621" spans="1:28" ht="15.75" customHeight="1">
      <c r="A621" s="265"/>
      <c r="B621" s="265"/>
      <c r="C621" s="265"/>
      <c r="D621" s="265"/>
      <c r="E621" s="265"/>
      <c r="F621" s="265"/>
      <c r="G621" s="265"/>
      <c r="H621" s="265"/>
      <c r="I621" s="265"/>
      <c r="J621" s="265"/>
      <c r="K621" s="265"/>
      <c r="L621" s="265"/>
      <c r="M621" s="265"/>
      <c r="N621" s="265"/>
      <c r="O621" s="265"/>
      <c r="P621" s="265"/>
      <c r="Q621" s="265"/>
      <c r="R621" s="265"/>
      <c r="S621" s="265"/>
      <c r="T621" s="265"/>
      <c r="U621" s="265"/>
      <c r="V621" s="265"/>
      <c r="W621" s="265"/>
      <c r="X621" s="265"/>
      <c r="Y621" s="265"/>
      <c r="Z621" s="265"/>
      <c r="AA621" s="265"/>
      <c r="AB621" s="265"/>
    </row>
    <row r="622" spans="1:28" ht="15.75" customHeight="1">
      <c r="A622" s="265"/>
      <c r="B622" s="265"/>
      <c r="C622" s="265"/>
      <c r="D622" s="265"/>
      <c r="E622" s="265"/>
      <c r="F622" s="265"/>
      <c r="G622" s="265"/>
      <c r="H622" s="265"/>
      <c r="I622" s="265"/>
      <c r="J622" s="265"/>
      <c r="K622" s="265"/>
      <c r="L622" s="265"/>
      <c r="M622" s="265"/>
      <c r="N622" s="265"/>
      <c r="O622" s="265"/>
      <c r="P622" s="265"/>
      <c r="Q622" s="265"/>
      <c r="R622" s="265"/>
      <c r="S622" s="265"/>
      <c r="T622" s="265"/>
      <c r="U622" s="265"/>
      <c r="V622" s="265"/>
      <c r="W622" s="265"/>
      <c r="X622" s="265"/>
      <c r="Y622" s="265"/>
      <c r="Z622" s="265"/>
      <c r="AA622" s="265"/>
      <c r="AB622" s="265"/>
    </row>
    <row r="623" spans="1:28" ht="15.75" customHeight="1">
      <c r="A623" s="265"/>
      <c r="B623" s="265"/>
      <c r="C623" s="265"/>
      <c r="D623" s="265"/>
      <c r="E623" s="265"/>
      <c r="F623" s="265"/>
      <c r="G623" s="265"/>
      <c r="H623" s="265"/>
      <c r="I623" s="265"/>
      <c r="J623" s="265"/>
      <c r="K623" s="265"/>
      <c r="L623" s="265"/>
      <c r="M623" s="265"/>
      <c r="N623" s="265"/>
      <c r="O623" s="265"/>
      <c r="P623" s="265"/>
      <c r="Q623" s="265"/>
      <c r="R623" s="265"/>
      <c r="S623" s="265"/>
      <c r="T623" s="265"/>
      <c r="U623" s="265"/>
      <c r="V623" s="265"/>
      <c r="W623" s="265"/>
      <c r="X623" s="265"/>
      <c r="Y623" s="265"/>
      <c r="Z623" s="265"/>
      <c r="AA623" s="265"/>
      <c r="AB623" s="265"/>
    </row>
    <row r="624" spans="1:28" ht="15.75" customHeight="1">
      <c r="A624" s="265"/>
      <c r="B624" s="265"/>
      <c r="C624" s="265"/>
      <c r="D624" s="265"/>
      <c r="E624" s="265"/>
      <c r="F624" s="265"/>
      <c r="G624" s="265"/>
      <c r="H624" s="265"/>
      <c r="I624" s="265"/>
      <c r="J624" s="265"/>
      <c r="K624" s="265"/>
      <c r="L624" s="265"/>
      <c r="M624" s="265"/>
      <c r="N624" s="265"/>
      <c r="O624" s="265"/>
      <c r="P624" s="265"/>
      <c r="Q624" s="265"/>
      <c r="R624" s="265"/>
      <c r="S624" s="265"/>
      <c r="T624" s="265"/>
      <c r="U624" s="265"/>
      <c r="V624" s="265"/>
      <c r="W624" s="265"/>
      <c r="X624" s="265"/>
      <c r="Y624" s="265"/>
      <c r="Z624" s="265"/>
      <c r="AA624" s="265"/>
      <c r="AB624" s="265"/>
    </row>
    <row r="625" spans="1:28" ht="15.75" customHeight="1">
      <c r="A625" s="265"/>
      <c r="B625" s="265"/>
      <c r="C625" s="265"/>
      <c r="D625" s="265"/>
      <c r="E625" s="265"/>
      <c r="F625" s="265"/>
      <c r="G625" s="265"/>
      <c r="H625" s="265"/>
      <c r="I625" s="265"/>
      <c r="J625" s="265"/>
      <c r="K625" s="265"/>
      <c r="L625" s="265"/>
      <c r="M625" s="265"/>
      <c r="N625" s="265"/>
      <c r="O625" s="265"/>
      <c r="P625" s="265"/>
      <c r="Q625" s="265"/>
      <c r="R625" s="265"/>
      <c r="S625" s="265"/>
      <c r="T625" s="265"/>
      <c r="U625" s="265"/>
      <c r="V625" s="265"/>
      <c r="W625" s="265"/>
      <c r="X625" s="265"/>
      <c r="Y625" s="265"/>
      <c r="Z625" s="265"/>
      <c r="AA625" s="265"/>
      <c r="AB625" s="265"/>
    </row>
    <row r="626" spans="1:28" ht="15.75" customHeight="1">
      <c r="A626" s="265"/>
      <c r="B626" s="265"/>
      <c r="C626" s="265"/>
      <c r="D626" s="265"/>
      <c r="E626" s="265"/>
      <c r="F626" s="265"/>
      <c r="G626" s="265"/>
      <c r="H626" s="265"/>
      <c r="I626" s="265"/>
      <c r="J626" s="265"/>
      <c r="K626" s="265"/>
      <c r="L626" s="265"/>
      <c r="M626" s="265"/>
      <c r="N626" s="265"/>
      <c r="O626" s="265"/>
      <c r="P626" s="265"/>
      <c r="Q626" s="265"/>
      <c r="R626" s="265"/>
      <c r="S626" s="265"/>
      <c r="T626" s="265"/>
      <c r="U626" s="265"/>
      <c r="V626" s="265"/>
      <c r="W626" s="265"/>
      <c r="X626" s="265"/>
      <c r="Y626" s="265"/>
      <c r="Z626" s="265"/>
      <c r="AA626" s="265"/>
      <c r="AB626" s="265"/>
    </row>
    <row r="627" spans="1:28" ht="15.75" customHeight="1">
      <c r="A627" s="265"/>
      <c r="B627" s="265"/>
      <c r="C627" s="265"/>
      <c r="D627" s="265"/>
      <c r="E627" s="265"/>
      <c r="F627" s="265"/>
      <c r="G627" s="265"/>
      <c r="H627" s="265"/>
      <c r="I627" s="265"/>
      <c r="J627" s="265"/>
      <c r="K627" s="265"/>
      <c r="L627" s="265"/>
      <c r="M627" s="265"/>
      <c r="N627" s="265"/>
      <c r="O627" s="265"/>
      <c r="P627" s="265"/>
      <c r="Q627" s="265"/>
      <c r="R627" s="265"/>
      <c r="S627" s="265"/>
      <c r="T627" s="265"/>
      <c r="U627" s="265"/>
      <c r="V627" s="265"/>
      <c r="W627" s="265"/>
      <c r="X627" s="265"/>
      <c r="Y627" s="265"/>
      <c r="Z627" s="265"/>
      <c r="AA627" s="265"/>
      <c r="AB627" s="265"/>
    </row>
    <row r="628" spans="1:28" ht="15.75" customHeight="1">
      <c r="A628" s="265"/>
      <c r="B628" s="265"/>
      <c r="C628" s="265"/>
      <c r="D628" s="265"/>
      <c r="E628" s="265"/>
      <c r="F628" s="265"/>
      <c r="G628" s="265"/>
      <c r="H628" s="265"/>
      <c r="I628" s="265"/>
      <c r="J628" s="265"/>
      <c r="K628" s="265"/>
      <c r="L628" s="265"/>
      <c r="M628" s="265"/>
      <c r="N628" s="265"/>
      <c r="O628" s="265"/>
      <c r="P628" s="265"/>
      <c r="Q628" s="265"/>
      <c r="R628" s="265"/>
      <c r="S628" s="265"/>
      <c r="T628" s="265"/>
      <c r="U628" s="265"/>
      <c r="V628" s="265"/>
      <c r="W628" s="265"/>
      <c r="X628" s="265"/>
      <c r="Y628" s="265"/>
      <c r="Z628" s="265"/>
      <c r="AA628" s="265"/>
      <c r="AB628" s="265"/>
    </row>
    <row r="629" spans="1:28" ht="15.75" customHeight="1">
      <c r="A629" s="265"/>
      <c r="B629" s="265"/>
      <c r="C629" s="265"/>
      <c r="D629" s="265"/>
      <c r="E629" s="265"/>
      <c r="F629" s="265"/>
      <c r="G629" s="265"/>
      <c r="H629" s="265"/>
      <c r="I629" s="265"/>
      <c r="J629" s="265"/>
      <c r="K629" s="265"/>
      <c r="L629" s="265"/>
      <c r="M629" s="265"/>
      <c r="N629" s="265"/>
      <c r="O629" s="265"/>
      <c r="P629" s="265"/>
      <c r="Q629" s="265"/>
      <c r="R629" s="265"/>
      <c r="S629" s="265"/>
      <c r="T629" s="265"/>
      <c r="U629" s="265"/>
      <c r="V629" s="265"/>
      <c r="W629" s="265"/>
      <c r="X629" s="265"/>
      <c r="Y629" s="265"/>
      <c r="Z629" s="265"/>
      <c r="AA629" s="265"/>
      <c r="AB629" s="265"/>
    </row>
    <row r="630" spans="1:28" ht="15.75" customHeight="1">
      <c r="A630" s="265"/>
      <c r="B630" s="265"/>
      <c r="C630" s="265"/>
      <c r="D630" s="265"/>
      <c r="E630" s="265"/>
      <c r="F630" s="265"/>
      <c r="G630" s="265"/>
      <c r="H630" s="265"/>
      <c r="I630" s="265"/>
      <c r="J630" s="265"/>
      <c r="K630" s="265"/>
      <c r="L630" s="265"/>
      <c r="M630" s="265"/>
      <c r="N630" s="265"/>
      <c r="O630" s="265"/>
      <c r="P630" s="265"/>
      <c r="Q630" s="265"/>
      <c r="R630" s="265"/>
      <c r="S630" s="265"/>
      <c r="T630" s="265"/>
      <c r="U630" s="265"/>
      <c r="V630" s="265"/>
      <c r="W630" s="265"/>
      <c r="X630" s="265"/>
      <c r="Y630" s="265"/>
      <c r="Z630" s="265"/>
      <c r="AA630" s="265"/>
      <c r="AB630" s="265"/>
    </row>
    <row r="631" spans="1:28" ht="15.75" customHeight="1">
      <c r="A631" s="265"/>
      <c r="B631" s="265"/>
      <c r="C631" s="265"/>
      <c r="D631" s="265"/>
      <c r="E631" s="265"/>
      <c r="F631" s="265"/>
      <c r="G631" s="265"/>
      <c r="H631" s="265"/>
      <c r="I631" s="265"/>
      <c r="J631" s="265"/>
      <c r="K631" s="265"/>
      <c r="L631" s="265"/>
      <c r="M631" s="265"/>
      <c r="N631" s="265"/>
      <c r="O631" s="265"/>
      <c r="P631" s="265"/>
      <c r="Q631" s="265"/>
      <c r="R631" s="265"/>
      <c r="S631" s="265"/>
      <c r="T631" s="265"/>
      <c r="U631" s="265"/>
      <c r="V631" s="265"/>
      <c r="W631" s="265"/>
      <c r="X631" s="265"/>
      <c r="Y631" s="265"/>
      <c r="Z631" s="265"/>
      <c r="AA631" s="265"/>
      <c r="AB631" s="265"/>
    </row>
    <row r="632" spans="1:28" ht="15.75" customHeight="1">
      <c r="A632" s="265"/>
      <c r="B632" s="265"/>
      <c r="C632" s="265"/>
      <c r="D632" s="265"/>
      <c r="E632" s="265"/>
      <c r="F632" s="265"/>
      <c r="G632" s="265"/>
      <c r="H632" s="265"/>
      <c r="I632" s="265"/>
      <c r="J632" s="265"/>
      <c r="K632" s="265"/>
      <c r="L632" s="265"/>
      <c r="M632" s="265"/>
      <c r="N632" s="265"/>
      <c r="O632" s="265"/>
      <c r="P632" s="265"/>
      <c r="Q632" s="265"/>
      <c r="R632" s="265"/>
      <c r="S632" s="265"/>
      <c r="T632" s="265"/>
      <c r="U632" s="265"/>
      <c r="V632" s="265"/>
      <c r="W632" s="265"/>
      <c r="X632" s="265"/>
      <c r="Y632" s="265"/>
      <c r="Z632" s="265"/>
      <c r="AA632" s="265"/>
      <c r="AB632" s="265"/>
    </row>
    <row r="633" spans="1:28" ht="15.75" customHeight="1">
      <c r="A633" s="265"/>
      <c r="B633" s="265"/>
      <c r="C633" s="265"/>
      <c r="D633" s="265"/>
      <c r="E633" s="265"/>
      <c r="F633" s="265"/>
      <c r="G633" s="265"/>
      <c r="H633" s="265"/>
      <c r="I633" s="265"/>
      <c r="J633" s="265"/>
      <c r="K633" s="265"/>
      <c r="L633" s="265"/>
      <c r="M633" s="265"/>
      <c r="N633" s="265"/>
      <c r="O633" s="265"/>
      <c r="P633" s="265"/>
      <c r="Q633" s="265"/>
      <c r="R633" s="265"/>
      <c r="S633" s="265"/>
      <c r="T633" s="265"/>
      <c r="U633" s="265"/>
      <c r="V633" s="265"/>
      <c r="W633" s="265"/>
      <c r="X633" s="265"/>
      <c r="Y633" s="265"/>
      <c r="Z633" s="265"/>
      <c r="AA633" s="265"/>
      <c r="AB633" s="265"/>
    </row>
    <row r="634" spans="1:28" ht="15.75" customHeight="1">
      <c r="A634" s="265"/>
      <c r="B634" s="265"/>
      <c r="C634" s="265"/>
      <c r="D634" s="265"/>
      <c r="E634" s="265"/>
      <c r="F634" s="265"/>
      <c r="G634" s="265"/>
      <c r="H634" s="265"/>
      <c r="I634" s="265"/>
      <c r="J634" s="265"/>
      <c r="K634" s="265"/>
      <c r="L634" s="265"/>
      <c r="M634" s="265"/>
      <c r="N634" s="265"/>
      <c r="O634" s="265"/>
      <c r="P634" s="265"/>
      <c r="Q634" s="265"/>
      <c r="R634" s="265"/>
      <c r="S634" s="265"/>
      <c r="T634" s="265"/>
      <c r="U634" s="265"/>
      <c r="V634" s="265"/>
      <c r="W634" s="265"/>
      <c r="X634" s="265"/>
      <c r="Y634" s="265"/>
      <c r="Z634" s="265"/>
      <c r="AA634" s="265"/>
      <c r="AB634" s="265"/>
    </row>
    <row r="635" spans="1:28" ht="15.75" customHeight="1">
      <c r="A635" s="265"/>
      <c r="B635" s="265"/>
      <c r="C635" s="265"/>
      <c r="D635" s="265"/>
      <c r="E635" s="265"/>
      <c r="F635" s="265"/>
      <c r="G635" s="265"/>
      <c r="H635" s="265"/>
      <c r="I635" s="265"/>
      <c r="J635" s="265"/>
      <c r="K635" s="265"/>
      <c r="L635" s="265"/>
      <c r="M635" s="265"/>
      <c r="N635" s="265"/>
      <c r="O635" s="265"/>
      <c r="P635" s="265"/>
      <c r="Q635" s="265"/>
      <c r="R635" s="265"/>
      <c r="S635" s="265"/>
      <c r="T635" s="265"/>
      <c r="U635" s="265"/>
      <c r="V635" s="265"/>
      <c r="W635" s="265"/>
      <c r="X635" s="265"/>
      <c r="Y635" s="265"/>
      <c r="Z635" s="265"/>
      <c r="AA635" s="265"/>
      <c r="AB635" s="265"/>
    </row>
    <row r="636" spans="1:28" ht="15.75" customHeight="1">
      <c r="A636" s="265"/>
      <c r="B636" s="265"/>
      <c r="C636" s="265"/>
      <c r="D636" s="265"/>
      <c r="E636" s="265"/>
      <c r="F636" s="265"/>
      <c r="G636" s="265"/>
      <c r="H636" s="265"/>
      <c r="I636" s="265"/>
      <c r="J636" s="265"/>
      <c r="K636" s="265"/>
      <c r="L636" s="265"/>
      <c r="M636" s="265"/>
      <c r="N636" s="265"/>
      <c r="O636" s="265"/>
      <c r="P636" s="265"/>
      <c r="Q636" s="265"/>
      <c r="R636" s="265"/>
      <c r="S636" s="265"/>
      <c r="T636" s="265"/>
      <c r="U636" s="265"/>
      <c r="V636" s="265"/>
      <c r="W636" s="265"/>
      <c r="X636" s="265"/>
      <c r="Y636" s="265"/>
      <c r="Z636" s="265"/>
      <c r="AA636" s="265"/>
      <c r="AB636" s="265"/>
    </row>
    <row r="637" spans="1:28" ht="15.75" customHeight="1">
      <c r="A637" s="265"/>
      <c r="B637" s="265"/>
      <c r="C637" s="265"/>
      <c r="D637" s="265"/>
      <c r="E637" s="265"/>
      <c r="F637" s="265"/>
      <c r="G637" s="265"/>
      <c r="H637" s="265"/>
      <c r="I637" s="265"/>
      <c r="J637" s="265"/>
      <c r="K637" s="265"/>
      <c r="L637" s="265"/>
      <c r="M637" s="265"/>
      <c r="N637" s="265"/>
      <c r="O637" s="265"/>
      <c r="P637" s="265"/>
      <c r="Q637" s="265"/>
      <c r="R637" s="265"/>
      <c r="S637" s="265"/>
      <c r="T637" s="265"/>
      <c r="U637" s="265"/>
      <c r="V637" s="265"/>
      <c r="W637" s="265"/>
      <c r="X637" s="265"/>
      <c r="Y637" s="265"/>
      <c r="Z637" s="265"/>
      <c r="AA637" s="265"/>
      <c r="AB637" s="265"/>
    </row>
    <row r="638" spans="1:28" ht="15.75" customHeight="1">
      <c r="A638" s="265"/>
      <c r="B638" s="265"/>
      <c r="C638" s="265"/>
      <c r="D638" s="265"/>
      <c r="E638" s="265"/>
      <c r="F638" s="265"/>
      <c r="G638" s="265"/>
      <c r="H638" s="265"/>
      <c r="I638" s="265"/>
      <c r="J638" s="265"/>
      <c r="K638" s="265"/>
      <c r="L638" s="265"/>
      <c r="M638" s="265"/>
      <c r="N638" s="265"/>
      <c r="O638" s="265"/>
      <c r="P638" s="265"/>
      <c r="Q638" s="265"/>
      <c r="R638" s="265"/>
      <c r="S638" s="265"/>
      <c r="T638" s="265"/>
      <c r="U638" s="265"/>
      <c r="V638" s="265"/>
      <c r="W638" s="265"/>
      <c r="X638" s="265"/>
      <c r="Y638" s="265"/>
      <c r="Z638" s="265"/>
      <c r="AA638" s="265"/>
      <c r="AB638" s="265"/>
    </row>
    <row r="639" spans="1:28" ht="15.75" customHeight="1">
      <c r="A639" s="265"/>
      <c r="B639" s="265"/>
      <c r="C639" s="265"/>
      <c r="D639" s="265"/>
      <c r="E639" s="265"/>
      <c r="F639" s="265"/>
      <c r="G639" s="265"/>
      <c r="H639" s="265"/>
      <c r="I639" s="265"/>
      <c r="J639" s="265"/>
      <c r="K639" s="265"/>
      <c r="L639" s="265"/>
      <c r="M639" s="265"/>
      <c r="N639" s="265"/>
      <c r="O639" s="265"/>
      <c r="P639" s="265"/>
      <c r="Q639" s="265"/>
      <c r="R639" s="265"/>
      <c r="S639" s="265"/>
      <c r="T639" s="265"/>
      <c r="U639" s="265"/>
      <c r="V639" s="265"/>
      <c r="W639" s="265"/>
      <c r="X639" s="265"/>
      <c r="Y639" s="265"/>
      <c r="Z639" s="265"/>
      <c r="AA639" s="265"/>
      <c r="AB639" s="265"/>
    </row>
    <row r="640" spans="1:28" ht="15.75" customHeight="1">
      <c r="A640" s="265"/>
      <c r="B640" s="265"/>
      <c r="C640" s="265"/>
      <c r="D640" s="265"/>
      <c r="E640" s="265"/>
      <c r="F640" s="265"/>
      <c r="G640" s="265"/>
      <c r="H640" s="265"/>
      <c r="I640" s="265"/>
      <c r="J640" s="265"/>
      <c r="K640" s="265"/>
      <c r="L640" s="265"/>
      <c r="M640" s="265"/>
      <c r="N640" s="265"/>
      <c r="O640" s="265"/>
      <c r="P640" s="265"/>
      <c r="Q640" s="265"/>
      <c r="R640" s="265"/>
      <c r="S640" s="265"/>
      <c r="T640" s="265"/>
      <c r="U640" s="265"/>
      <c r="V640" s="265"/>
      <c r="W640" s="265"/>
      <c r="X640" s="265"/>
      <c r="Y640" s="265"/>
      <c r="Z640" s="265"/>
      <c r="AA640" s="265"/>
      <c r="AB640" s="265"/>
    </row>
    <row r="641" spans="1:28" ht="15.75" customHeight="1">
      <c r="A641" s="265"/>
      <c r="B641" s="265"/>
      <c r="C641" s="265"/>
      <c r="D641" s="265"/>
      <c r="E641" s="265"/>
      <c r="F641" s="265"/>
      <c r="G641" s="265"/>
      <c r="H641" s="265"/>
      <c r="I641" s="265"/>
      <c r="J641" s="265"/>
      <c r="K641" s="265"/>
      <c r="L641" s="265"/>
      <c r="M641" s="265"/>
      <c r="N641" s="265"/>
      <c r="O641" s="265"/>
      <c r="P641" s="265"/>
      <c r="Q641" s="265"/>
      <c r="R641" s="265"/>
      <c r="S641" s="265"/>
      <c r="T641" s="265"/>
      <c r="U641" s="265"/>
      <c r="V641" s="265"/>
      <c r="W641" s="265"/>
      <c r="X641" s="265"/>
      <c r="Y641" s="265"/>
      <c r="Z641" s="265"/>
      <c r="AA641" s="265"/>
      <c r="AB641" s="265"/>
    </row>
    <row r="642" spans="1:28" ht="15.75" customHeight="1">
      <c r="A642" s="265"/>
      <c r="B642" s="265"/>
      <c r="C642" s="265"/>
      <c r="D642" s="265"/>
      <c r="E642" s="265"/>
      <c r="F642" s="265"/>
      <c r="G642" s="265"/>
      <c r="H642" s="265"/>
      <c r="I642" s="265"/>
      <c r="J642" s="265"/>
      <c r="K642" s="265"/>
      <c r="L642" s="265"/>
      <c r="M642" s="265"/>
      <c r="N642" s="265"/>
      <c r="O642" s="265"/>
      <c r="P642" s="265"/>
      <c r="Q642" s="265"/>
      <c r="R642" s="265"/>
      <c r="S642" s="265"/>
      <c r="T642" s="265"/>
      <c r="U642" s="265"/>
      <c r="V642" s="265"/>
      <c r="W642" s="265"/>
      <c r="X642" s="265"/>
      <c r="Y642" s="265"/>
      <c r="Z642" s="265"/>
      <c r="AA642" s="265"/>
      <c r="AB642" s="265"/>
    </row>
    <row r="643" spans="1:28" ht="15.75" customHeight="1">
      <c r="A643" s="265"/>
      <c r="B643" s="265"/>
      <c r="C643" s="265"/>
      <c r="D643" s="265"/>
      <c r="E643" s="265"/>
      <c r="F643" s="265"/>
      <c r="G643" s="265"/>
      <c r="H643" s="265"/>
      <c r="I643" s="265"/>
      <c r="J643" s="265"/>
      <c r="K643" s="265"/>
      <c r="L643" s="265"/>
      <c r="M643" s="265"/>
      <c r="N643" s="265"/>
      <c r="O643" s="265"/>
      <c r="P643" s="265"/>
      <c r="Q643" s="265"/>
      <c r="R643" s="265"/>
      <c r="S643" s="265"/>
      <c r="T643" s="265"/>
      <c r="U643" s="265"/>
      <c r="V643" s="265"/>
      <c r="W643" s="265"/>
      <c r="X643" s="265"/>
      <c r="Y643" s="265"/>
      <c r="Z643" s="265"/>
      <c r="AA643" s="265"/>
      <c r="AB643" s="265"/>
    </row>
    <row r="644" spans="1:28" ht="15.75" customHeight="1">
      <c r="A644" s="265"/>
      <c r="B644" s="265"/>
      <c r="C644" s="265"/>
      <c r="D644" s="265"/>
      <c r="E644" s="265"/>
      <c r="F644" s="265"/>
      <c r="G644" s="265"/>
      <c r="H644" s="265"/>
      <c r="I644" s="265"/>
      <c r="J644" s="265"/>
      <c r="K644" s="265"/>
      <c r="L644" s="265"/>
      <c r="M644" s="265"/>
      <c r="N644" s="265"/>
      <c r="O644" s="265"/>
      <c r="P644" s="265"/>
      <c r="Q644" s="265"/>
      <c r="R644" s="265"/>
      <c r="S644" s="265"/>
      <c r="T644" s="265"/>
      <c r="U644" s="265"/>
      <c r="V644" s="265"/>
      <c r="W644" s="265"/>
      <c r="X644" s="265"/>
      <c r="Y644" s="265"/>
      <c r="Z644" s="265"/>
      <c r="AA644" s="265"/>
      <c r="AB644" s="265"/>
    </row>
    <row r="645" spans="1:28" ht="15.75" customHeight="1">
      <c r="A645" s="265"/>
      <c r="B645" s="265"/>
      <c r="C645" s="265"/>
      <c r="D645" s="265"/>
      <c r="E645" s="265"/>
      <c r="F645" s="265"/>
      <c r="G645" s="265"/>
      <c r="H645" s="265"/>
      <c r="I645" s="265"/>
      <c r="J645" s="265"/>
      <c r="K645" s="265"/>
      <c r="L645" s="265"/>
      <c r="M645" s="265"/>
      <c r="N645" s="265"/>
      <c r="O645" s="265"/>
      <c r="P645" s="265"/>
      <c r="Q645" s="265"/>
      <c r="R645" s="265"/>
      <c r="S645" s="265"/>
      <c r="T645" s="265"/>
      <c r="U645" s="265"/>
      <c r="V645" s="265"/>
      <c r="W645" s="265"/>
      <c r="X645" s="265"/>
      <c r="Y645" s="265"/>
      <c r="Z645" s="265"/>
      <c r="AA645" s="265"/>
      <c r="AB645" s="265"/>
    </row>
    <row r="646" spans="1:28" ht="15.75" customHeight="1">
      <c r="A646" s="265"/>
      <c r="B646" s="265"/>
      <c r="C646" s="265"/>
      <c r="D646" s="265"/>
      <c r="E646" s="265"/>
      <c r="F646" s="265"/>
      <c r="G646" s="265"/>
      <c r="H646" s="265"/>
      <c r="I646" s="265"/>
      <c r="J646" s="265"/>
      <c r="K646" s="265"/>
      <c r="L646" s="265"/>
      <c r="M646" s="265"/>
      <c r="N646" s="265"/>
      <c r="O646" s="265"/>
      <c r="P646" s="265"/>
      <c r="Q646" s="265"/>
      <c r="R646" s="265"/>
      <c r="S646" s="265"/>
      <c r="T646" s="265"/>
      <c r="U646" s="265"/>
      <c r="V646" s="265"/>
      <c r="W646" s="265"/>
      <c r="X646" s="265"/>
      <c r="Y646" s="265"/>
      <c r="Z646" s="265"/>
      <c r="AA646" s="265"/>
      <c r="AB646" s="265"/>
    </row>
    <row r="647" spans="1:28" ht="15.75" customHeight="1">
      <c r="A647" s="265"/>
      <c r="B647" s="265"/>
      <c r="C647" s="265"/>
      <c r="D647" s="265"/>
      <c r="E647" s="265"/>
      <c r="F647" s="265"/>
      <c r="G647" s="265"/>
      <c r="H647" s="265"/>
      <c r="I647" s="265"/>
      <c r="J647" s="265"/>
      <c r="K647" s="265"/>
      <c r="L647" s="265"/>
      <c r="M647" s="265"/>
      <c r="N647" s="265"/>
      <c r="O647" s="265"/>
      <c r="P647" s="265"/>
      <c r="Q647" s="265"/>
      <c r="R647" s="265"/>
      <c r="S647" s="265"/>
      <c r="T647" s="265"/>
      <c r="U647" s="265"/>
      <c r="V647" s="265"/>
      <c r="W647" s="265"/>
      <c r="X647" s="265"/>
      <c r="Y647" s="265"/>
      <c r="Z647" s="265"/>
      <c r="AA647" s="265"/>
      <c r="AB647" s="265"/>
    </row>
    <row r="648" spans="1:28" ht="15.75" customHeight="1">
      <c r="A648" s="265"/>
      <c r="B648" s="265"/>
      <c r="C648" s="265"/>
      <c r="D648" s="265"/>
      <c r="E648" s="265"/>
      <c r="F648" s="265"/>
      <c r="G648" s="265"/>
      <c r="H648" s="265"/>
      <c r="I648" s="265"/>
      <c r="J648" s="265"/>
      <c r="K648" s="265"/>
      <c r="L648" s="265"/>
      <c r="M648" s="265"/>
      <c r="N648" s="265"/>
      <c r="O648" s="265"/>
      <c r="P648" s="265"/>
      <c r="Q648" s="265"/>
      <c r="R648" s="265"/>
      <c r="S648" s="265"/>
      <c r="T648" s="265"/>
      <c r="U648" s="265"/>
      <c r="V648" s="265"/>
      <c r="W648" s="265"/>
      <c r="X648" s="265"/>
      <c r="Y648" s="265"/>
      <c r="Z648" s="265"/>
      <c r="AA648" s="265"/>
      <c r="AB648" s="265"/>
    </row>
    <row r="649" spans="1:28" ht="15.75" customHeight="1">
      <c r="A649" s="265"/>
      <c r="B649" s="265"/>
      <c r="C649" s="265"/>
      <c r="D649" s="265"/>
      <c r="E649" s="265"/>
      <c r="F649" s="265"/>
      <c r="G649" s="265"/>
      <c r="H649" s="265"/>
      <c r="I649" s="265"/>
      <c r="J649" s="265"/>
      <c r="K649" s="265"/>
      <c r="L649" s="265"/>
      <c r="M649" s="265"/>
      <c r="N649" s="265"/>
      <c r="O649" s="265"/>
      <c r="P649" s="265"/>
      <c r="Q649" s="265"/>
      <c r="R649" s="265"/>
      <c r="S649" s="265"/>
      <c r="T649" s="265"/>
      <c r="U649" s="265"/>
      <c r="V649" s="265"/>
      <c r="W649" s="265"/>
      <c r="X649" s="265"/>
      <c r="Y649" s="265"/>
      <c r="Z649" s="265"/>
      <c r="AA649" s="265"/>
      <c r="AB649" s="265"/>
    </row>
    <row r="650" spans="1:28" ht="15.75" customHeight="1">
      <c r="A650" s="265"/>
      <c r="B650" s="265"/>
      <c r="C650" s="265"/>
      <c r="D650" s="265"/>
      <c r="E650" s="265"/>
      <c r="F650" s="265"/>
      <c r="G650" s="265"/>
      <c r="H650" s="265"/>
      <c r="I650" s="265"/>
      <c r="J650" s="265"/>
      <c r="K650" s="265"/>
      <c r="L650" s="265"/>
      <c r="M650" s="265"/>
      <c r="N650" s="265"/>
      <c r="O650" s="265"/>
      <c r="P650" s="265"/>
      <c r="Q650" s="265"/>
      <c r="R650" s="265"/>
      <c r="S650" s="265"/>
      <c r="T650" s="265"/>
      <c r="U650" s="265"/>
      <c r="V650" s="265"/>
      <c r="W650" s="265"/>
      <c r="X650" s="265"/>
      <c r="Y650" s="265"/>
      <c r="Z650" s="265"/>
      <c r="AA650" s="265"/>
      <c r="AB650" s="265"/>
    </row>
    <row r="651" spans="1:28" ht="15.75" customHeight="1">
      <c r="A651" s="265"/>
      <c r="B651" s="265"/>
      <c r="C651" s="265"/>
      <c r="D651" s="265"/>
      <c r="E651" s="265"/>
      <c r="F651" s="265"/>
      <c r="G651" s="265"/>
      <c r="H651" s="265"/>
      <c r="I651" s="265"/>
      <c r="J651" s="265"/>
      <c r="K651" s="265"/>
      <c r="L651" s="265"/>
      <c r="M651" s="265"/>
      <c r="N651" s="265"/>
      <c r="O651" s="265"/>
      <c r="P651" s="265"/>
      <c r="Q651" s="265"/>
      <c r="R651" s="265"/>
      <c r="S651" s="265"/>
      <c r="T651" s="265"/>
      <c r="U651" s="265"/>
      <c r="V651" s="265"/>
      <c r="W651" s="265"/>
      <c r="X651" s="265"/>
      <c r="Y651" s="265"/>
      <c r="Z651" s="265"/>
      <c r="AA651" s="265"/>
      <c r="AB651" s="265"/>
    </row>
    <row r="652" spans="1:28" ht="15.75" customHeight="1">
      <c r="A652" s="265"/>
      <c r="B652" s="265"/>
      <c r="C652" s="265"/>
      <c r="D652" s="265"/>
      <c r="E652" s="265"/>
      <c r="F652" s="265"/>
      <c r="G652" s="265"/>
      <c r="H652" s="265"/>
      <c r="I652" s="265"/>
      <c r="J652" s="265"/>
      <c r="K652" s="265"/>
      <c r="L652" s="265"/>
      <c r="M652" s="265"/>
      <c r="N652" s="265"/>
      <c r="O652" s="265"/>
      <c r="P652" s="265"/>
      <c r="Q652" s="265"/>
      <c r="R652" s="265"/>
      <c r="S652" s="265"/>
      <c r="T652" s="265"/>
      <c r="U652" s="265"/>
      <c r="V652" s="265"/>
      <c r="W652" s="265"/>
      <c r="X652" s="265"/>
      <c r="Y652" s="265"/>
      <c r="Z652" s="265"/>
      <c r="AA652" s="265"/>
      <c r="AB652" s="265"/>
    </row>
    <row r="653" spans="1:28" ht="15.75" customHeight="1">
      <c r="A653" s="265"/>
      <c r="B653" s="265"/>
      <c r="C653" s="265"/>
      <c r="D653" s="265"/>
      <c r="E653" s="265"/>
      <c r="F653" s="265"/>
      <c r="G653" s="265"/>
      <c r="H653" s="265"/>
      <c r="I653" s="265"/>
      <c r="J653" s="265"/>
      <c r="K653" s="265"/>
      <c r="L653" s="265"/>
      <c r="M653" s="265"/>
      <c r="N653" s="265"/>
      <c r="O653" s="265"/>
      <c r="P653" s="265"/>
      <c r="Q653" s="265"/>
      <c r="R653" s="265"/>
      <c r="S653" s="265"/>
      <c r="T653" s="265"/>
      <c r="U653" s="265"/>
      <c r="V653" s="265"/>
      <c r="W653" s="265"/>
      <c r="X653" s="265"/>
      <c r="Y653" s="265"/>
      <c r="Z653" s="265"/>
      <c r="AA653" s="265"/>
      <c r="AB653" s="265"/>
    </row>
    <row r="654" spans="1:28" ht="15.75" customHeight="1">
      <c r="A654" s="265"/>
      <c r="B654" s="265"/>
      <c r="C654" s="265"/>
      <c r="D654" s="265"/>
      <c r="E654" s="265"/>
      <c r="F654" s="265"/>
      <c r="G654" s="265"/>
      <c r="H654" s="265"/>
      <c r="I654" s="265"/>
      <c r="J654" s="265"/>
      <c r="K654" s="265"/>
      <c r="L654" s="265"/>
      <c r="M654" s="265"/>
      <c r="N654" s="265"/>
      <c r="O654" s="265"/>
      <c r="P654" s="265"/>
      <c r="Q654" s="265"/>
      <c r="R654" s="265"/>
      <c r="S654" s="265"/>
      <c r="T654" s="265"/>
      <c r="U654" s="265"/>
      <c r="V654" s="265"/>
      <c r="W654" s="265"/>
      <c r="X654" s="265"/>
      <c r="Y654" s="265"/>
      <c r="Z654" s="265"/>
      <c r="AA654" s="265"/>
      <c r="AB654" s="265"/>
    </row>
    <row r="655" spans="1:28" ht="15.75" customHeight="1">
      <c r="A655" s="265"/>
      <c r="B655" s="265"/>
      <c r="C655" s="265"/>
      <c r="D655" s="265"/>
      <c r="E655" s="265"/>
      <c r="F655" s="265"/>
      <c r="G655" s="265"/>
      <c r="H655" s="265"/>
      <c r="I655" s="265"/>
      <c r="J655" s="265"/>
      <c r="K655" s="265"/>
      <c r="L655" s="265"/>
      <c r="M655" s="265"/>
      <c r="N655" s="265"/>
      <c r="O655" s="265"/>
      <c r="P655" s="265"/>
      <c r="Q655" s="265"/>
      <c r="R655" s="265"/>
      <c r="S655" s="265"/>
      <c r="T655" s="265"/>
      <c r="U655" s="265"/>
      <c r="V655" s="265"/>
      <c r="W655" s="265"/>
      <c r="X655" s="265"/>
      <c r="Y655" s="265"/>
      <c r="Z655" s="265"/>
      <c r="AA655" s="265"/>
      <c r="AB655" s="265"/>
    </row>
    <row r="656" spans="1:28" ht="15.75" customHeight="1">
      <c r="A656" s="265"/>
      <c r="B656" s="265"/>
      <c r="C656" s="265"/>
      <c r="D656" s="265"/>
      <c r="E656" s="265"/>
      <c r="F656" s="265"/>
      <c r="G656" s="265"/>
      <c r="H656" s="265"/>
      <c r="I656" s="265"/>
      <c r="J656" s="265"/>
      <c r="K656" s="265"/>
      <c r="L656" s="265"/>
      <c r="M656" s="265"/>
      <c r="N656" s="265"/>
      <c r="O656" s="265"/>
      <c r="P656" s="265"/>
      <c r="Q656" s="265"/>
      <c r="R656" s="265"/>
      <c r="S656" s="265"/>
      <c r="T656" s="265"/>
      <c r="U656" s="265"/>
      <c r="V656" s="265"/>
      <c r="W656" s="265"/>
      <c r="X656" s="265"/>
      <c r="Y656" s="265"/>
      <c r="Z656" s="265"/>
      <c r="AA656" s="265"/>
      <c r="AB656" s="265"/>
    </row>
    <row r="657" spans="1:28" ht="15.75" customHeight="1">
      <c r="A657" s="265"/>
      <c r="B657" s="265"/>
      <c r="C657" s="265"/>
      <c r="D657" s="265"/>
      <c r="E657" s="265"/>
      <c r="F657" s="265"/>
      <c r="G657" s="265"/>
      <c r="H657" s="265"/>
      <c r="I657" s="265"/>
      <c r="J657" s="265"/>
      <c r="K657" s="265"/>
      <c r="L657" s="265"/>
      <c r="M657" s="265"/>
      <c r="N657" s="265"/>
      <c r="O657" s="265"/>
      <c r="P657" s="265"/>
      <c r="Q657" s="265"/>
      <c r="R657" s="265"/>
      <c r="S657" s="265"/>
      <c r="T657" s="265"/>
      <c r="U657" s="265"/>
      <c r="V657" s="265"/>
      <c r="W657" s="265"/>
      <c r="X657" s="265"/>
      <c r="Y657" s="265"/>
      <c r="Z657" s="265"/>
      <c r="AA657" s="265"/>
      <c r="AB657" s="265"/>
    </row>
    <row r="658" spans="1:28" ht="15.75" customHeight="1">
      <c r="A658" s="265"/>
      <c r="B658" s="265"/>
      <c r="C658" s="265"/>
      <c r="D658" s="265"/>
      <c r="E658" s="265"/>
      <c r="F658" s="265"/>
      <c r="G658" s="265"/>
      <c r="H658" s="265"/>
      <c r="I658" s="265"/>
      <c r="J658" s="265"/>
      <c r="K658" s="265"/>
      <c r="L658" s="265"/>
      <c r="M658" s="265"/>
      <c r="N658" s="265"/>
      <c r="O658" s="265"/>
      <c r="P658" s="265"/>
      <c r="Q658" s="265"/>
      <c r="R658" s="265"/>
      <c r="S658" s="265"/>
      <c r="T658" s="265"/>
      <c r="U658" s="265"/>
      <c r="V658" s="265"/>
      <c r="W658" s="265"/>
      <c r="X658" s="265"/>
      <c r="Y658" s="265"/>
      <c r="Z658" s="265"/>
      <c r="AA658" s="265"/>
      <c r="AB658" s="265"/>
    </row>
    <row r="659" spans="1:28" ht="15.75" customHeight="1">
      <c r="A659" s="265"/>
      <c r="B659" s="265"/>
      <c r="C659" s="265"/>
      <c r="D659" s="265"/>
      <c r="E659" s="265"/>
      <c r="F659" s="265"/>
      <c r="G659" s="265"/>
      <c r="H659" s="265"/>
      <c r="I659" s="265"/>
      <c r="J659" s="265"/>
      <c r="K659" s="265"/>
      <c r="L659" s="265"/>
      <c r="M659" s="265"/>
      <c r="N659" s="265"/>
      <c r="O659" s="265"/>
      <c r="P659" s="265"/>
      <c r="Q659" s="265"/>
      <c r="R659" s="265"/>
      <c r="S659" s="265"/>
      <c r="T659" s="265"/>
      <c r="U659" s="265"/>
      <c r="V659" s="265"/>
      <c r="W659" s="265"/>
      <c r="X659" s="265"/>
      <c r="Y659" s="265"/>
      <c r="Z659" s="265"/>
      <c r="AA659" s="265"/>
      <c r="AB659" s="265"/>
    </row>
    <row r="660" spans="1:28" ht="15.75" customHeight="1">
      <c r="A660" s="265"/>
      <c r="B660" s="265"/>
      <c r="C660" s="265"/>
      <c r="D660" s="265"/>
      <c r="E660" s="265"/>
      <c r="F660" s="265"/>
      <c r="G660" s="265"/>
      <c r="H660" s="265"/>
      <c r="I660" s="265"/>
      <c r="J660" s="265"/>
      <c r="K660" s="265"/>
      <c r="L660" s="265"/>
      <c r="M660" s="265"/>
      <c r="N660" s="265"/>
      <c r="O660" s="265"/>
      <c r="P660" s="265"/>
      <c r="Q660" s="265"/>
      <c r="R660" s="265"/>
      <c r="S660" s="265"/>
      <c r="T660" s="265"/>
      <c r="U660" s="265"/>
      <c r="V660" s="265"/>
      <c r="W660" s="265"/>
      <c r="X660" s="265"/>
      <c r="Y660" s="265"/>
      <c r="Z660" s="265"/>
      <c r="AA660" s="265"/>
      <c r="AB660" s="265"/>
    </row>
    <row r="661" spans="1:28" ht="15.75" customHeight="1">
      <c r="A661" s="265"/>
      <c r="B661" s="265"/>
      <c r="C661" s="265"/>
      <c r="D661" s="265"/>
      <c r="E661" s="265"/>
      <c r="F661" s="265"/>
      <c r="G661" s="265"/>
      <c r="H661" s="265"/>
      <c r="I661" s="265"/>
      <c r="J661" s="265"/>
      <c r="K661" s="265"/>
      <c r="L661" s="265"/>
      <c r="M661" s="265"/>
      <c r="N661" s="265"/>
      <c r="O661" s="265"/>
      <c r="P661" s="265"/>
      <c r="Q661" s="265"/>
      <c r="R661" s="265"/>
      <c r="S661" s="265"/>
      <c r="T661" s="265"/>
      <c r="U661" s="265"/>
      <c r="V661" s="265"/>
      <c r="W661" s="265"/>
      <c r="X661" s="265"/>
      <c r="Y661" s="265"/>
      <c r="Z661" s="265"/>
      <c r="AA661" s="265"/>
      <c r="AB661" s="265"/>
    </row>
    <row r="662" spans="1:28" ht="15.75" customHeight="1">
      <c r="A662" s="265"/>
      <c r="B662" s="265"/>
      <c r="C662" s="265"/>
      <c r="D662" s="265"/>
      <c r="E662" s="265"/>
      <c r="F662" s="265"/>
      <c r="G662" s="265"/>
      <c r="H662" s="265"/>
      <c r="I662" s="265"/>
      <c r="J662" s="265"/>
      <c r="K662" s="265"/>
      <c r="L662" s="265"/>
      <c r="M662" s="265"/>
      <c r="N662" s="265"/>
      <c r="O662" s="265"/>
      <c r="P662" s="265"/>
      <c r="Q662" s="265"/>
      <c r="R662" s="265"/>
      <c r="S662" s="265"/>
      <c r="T662" s="265"/>
      <c r="U662" s="265"/>
      <c r="V662" s="265"/>
      <c r="W662" s="265"/>
      <c r="X662" s="265"/>
      <c r="Y662" s="265"/>
      <c r="Z662" s="265"/>
      <c r="AA662" s="265"/>
      <c r="AB662" s="265"/>
    </row>
    <row r="663" spans="1:28" ht="15.75" customHeight="1">
      <c r="A663" s="265"/>
      <c r="B663" s="265"/>
      <c r="C663" s="265"/>
      <c r="D663" s="265"/>
      <c r="E663" s="265"/>
      <c r="F663" s="265"/>
      <c r="G663" s="265"/>
      <c r="H663" s="265"/>
      <c r="I663" s="265"/>
      <c r="J663" s="265"/>
      <c r="K663" s="265"/>
      <c r="L663" s="265"/>
      <c r="M663" s="265"/>
      <c r="N663" s="265"/>
      <c r="O663" s="265"/>
      <c r="P663" s="265"/>
      <c r="Q663" s="265"/>
      <c r="R663" s="265"/>
      <c r="S663" s="265"/>
      <c r="T663" s="265"/>
      <c r="U663" s="265"/>
      <c r="V663" s="265"/>
      <c r="W663" s="265"/>
      <c r="X663" s="265"/>
      <c r="Y663" s="265"/>
      <c r="Z663" s="265"/>
      <c r="AA663" s="265"/>
      <c r="AB663" s="265"/>
    </row>
    <row r="664" spans="1:28" ht="15.75" customHeight="1">
      <c r="A664" s="265"/>
      <c r="B664" s="265"/>
      <c r="C664" s="265"/>
      <c r="D664" s="265"/>
      <c r="E664" s="265"/>
      <c r="F664" s="265"/>
      <c r="G664" s="265"/>
      <c r="H664" s="265"/>
      <c r="I664" s="265"/>
      <c r="J664" s="265"/>
      <c r="K664" s="265"/>
      <c r="L664" s="265"/>
      <c r="M664" s="265"/>
      <c r="N664" s="265"/>
      <c r="O664" s="265"/>
      <c r="P664" s="265"/>
      <c r="Q664" s="265"/>
      <c r="R664" s="265"/>
      <c r="S664" s="265"/>
      <c r="T664" s="265"/>
      <c r="U664" s="265"/>
      <c r="V664" s="265"/>
      <c r="W664" s="265"/>
      <c r="X664" s="265"/>
      <c r="Y664" s="265"/>
      <c r="Z664" s="265"/>
      <c r="AA664" s="265"/>
      <c r="AB664" s="265"/>
    </row>
    <row r="665" spans="1:28" ht="15.75" customHeight="1">
      <c r="A665" s="265"/>
      <c r="B665" s="265"/>
      <c r="C665" s="265"/>
      <c r="D665" s="265"/>
      <c r="E665" s="265"/>
      <c r="F665" s="265"/>
      <c r="G665" s="265"/>
      <c r="H665" s="265"/>
      <c r="I665" s="265"/>
      <c r="J665" s="265"/>
      <c r="K665" s="265"/>
      <c r="L665" s="265"/>
      <c r="M665" s="265"/>
      <c r="N665" s="265"/>
      <c r="O665" s="265"/>
      <c r="P665" s="265"/>
      <c r="Q665" s="265"/>
      <c r="R665" s="265"/>
      <c r="S665" s="265"/>
      <c r="T665" s="265"/>
      <c r="U665" s="265"/>
      <c r="V665" s="265"/>
      <c r="W665" s="265"/>
      <c r="X665" s="265"/>
      <c r="Y665" s="265"/>
      <c r="Z665" s="265"/>
      <c r="AA665" s="265"/>
      <c r="AB665" s="265"/>
    </row>
    <row r="666" spans="1:28" ht="15.75" customHeight="1">
      <c r="A666" s="265"/>
      <c r="B666" s="265"/>
      <c r="C666" s="265"/>
      <c r="D666" s="265"/>
      <c r="E666" s="265"/>
      <c r="F666" s="265"/>
      <c r="G666" s="265"/>
      <c r="H666" s="265"/>
      <c r="I666" s="265"/>
      <c r="J666" s="265"/>
      <c r="K666" s="265"/>
      <c r="L666" s="265"/>
      <c r="M666" s="265"/>
      <c r="N666" s="265"/>
      <c r="O666" s="265"/>
      <c r="P666" s="265"/>
      <c r="Q666" s="265"/>
      <c r="R666" s="265"/>
      <c r="S666" s="265"/>
      <c r="T666" s="265"/>
      <c r="U666" s="265"/>
      <c r="V666" s="265"/>
      <c r="W666" s="265"/>
      <c r="X666" s="265"/>
      <c r="Y666" s="265"/>
      <c r="Z666" s="265"/>
      <c r="AA666" s="265"/>
      <c r="AB666" s="265"/>
    </row>
    <row r="667" spans="1:28" ht="15.75" customHeight="1">
      <c r="A667" s="265"/>
      <c r="B667" s="265"/>
      <c r="C667" s="265"/>
      <c r="D667" s="265"/>
      <c r="E667" s="265"/>
      <c r="F667" s="265"/>
      <c r="G667" s="265"/>
      <c r="H667" s="265"/>
      <c r="I667" s="265"/>
      <c r="J667" s="265"/>
      <c r="K667" s="265"/>
      <c r="L667" s="265"/>
      <c r="M667" s="265"/>
      <c r="N667" s="265"/>
      <c r="O667" s="265"/>
      <c r="P667" s="265"/>
      <c r="Q667" s="265"/>
      <c r="R667" s="265"/>
      <c r="S667" s="265"/>
      <c r="T667" s="265"/>
      <c r="U667" s="265"/>
      <c r="V667" s="265"/>
      <c r="W667" s="265"/>
      <c r="X667" s="265"/>
      <c r="Y667" s="265"/>
      <c r="Z667" s="265"/>
      <c r="AA667" s="265"/>
      <c r="AB667" s="265"/>
    </row>
    <row r="668" spans="1:28" ht="15.75" customHeight="1">
      <c r="A668" s="265"/>
      <c r="B668" s="265"/>
      <c r="C668" s="265"/>
      <c r="D668" s="265"/>
      <c r="E668" s="265"/>
      <c r="F668" s="265"/>
      <c r="G668" s="265"/>
      <c r="H668" s="265"/>
      <c r="I668" s="265"/>
      <c r="J668" s="265"/>
      <c r="K668" s="265"/>
      <c r="L668" s="265"/>
      <c r="M668" s="265"/>
      <c r="N668" s="265"/>
      <c r="O668" s="265"/>
      <c r="P668" s="265"/>
      <c r="Q668" s="265"/>
      <c r="R668" s="265"/>
      <c r="S668" s="265"/>
      <c r="T668" s="265"/>
      <c r="U668" s="265"/>
      <c r="V668" s="265"/>
      <c r="W668" s="265"/>
      <c r="X668" s="265"/>
      <c r="Y668" s="265"/>
      <c r="Z668" s="265"/>
      <c r="AA668" s="265"/>
      <c r="AB668" s="265"/>
    </row>
    <row r="669" spans="1:28" ht="15.75" customHeight="1">
      <c r="A669" s="265"/>
      <c r="B669" s="265"/>
      <c r="C669" s="265"/>
      <c r="D669" s="265"/>
      <c r="E669" s="265"/>
      <c r="F669" s="265"/>
      <c r="G669" s="265"/>
      <c r="H669" s="265"/>
      <c r="I669" s="265"/>
      <c r="J669" s="265"/>
      <c r="K669" s="265"/>
      <c r="L669" s="265"/>
      <c r="M669" s="265"/>
      <c r="N669" s="265"/>
      <c r="O669" s="265"/>
      <c r="P669" s="265"/>
      <c r="Q669" s="265"/>
      <c r="R669" s="265"/>
      <c r="S669" s="265"/>
      <c r="T669" s="265"/>
      <c r="U669" s="265"/>
      <c r="V669" s="265"/>
      <c r="W669" s="265"/>
      <c r="X669" s="265"/>
      <c r="Y669" s="265"/>
      <c r="Z669" s="265"/>
      <c r="AA669" s="265"/>
      <c r="AB669" s="265"/>
    </row>
    <row r="670" spans="1:28" ht="15.75" customHeight="1">
      <c r="A670" s="265"/>
      <c r="B670" s="265"/>
      <c r="C670" s="265"/>
      <c r="D670" s="265"/>
      <c r="E670" s="265"/>
      <c r="F670" s="265"/>
      <c r="G670" s="265"/>
      <c r="H670" s="265"/>
      <c r="I670" s="265"/>
      <c r="J670" s="265"/>
      <c r="K670" s="265"/>
      <c r="L670" s="265"/>
      <c r="M670" s="265"/>
      <c r="N670" s="265"/>
      <c r="O670" s="265"/>
      <c r="P670" s="265"/>
      <c r="Q670" s="265"/>
      <c r="R670" s="265"/>
      <c r="S670" s="265"/>
      <c r="T670" s="265"/>
      <c r="U670" s="265"/>
      <c r="V670" s="265"/>
      <c r="W670" s="265"/>
      <c r="X670" s="265"/>
      <c r="Y670" s="265"/>
      <c r="Z670" s="265"/>
      <c r="AA670" s="265"/>
      <c r="AB670" s="265"/>
    </row>
    <row r="671" spans="1:28" ht="15.75" customHeight="1">
      <c r="A671" s="265"/>
      <c r="B671" s="265"/>
      <c r="C671" s="265"/>
      <c r="D671" s="265"/>
      <c r="E671" s="265"/>
      <c r="F671" s="265"/>
      <c r="G671" s="265"/>
      <c r="H671" s="265"/>
      <c r="I671" s="265"/>
      <c r="J671" s="265"/>
      <c r="K671" s="265"/>
      <c r="L671" s="265"/>
      <c r="M671" s="265"/>
      <c r="N671" s="265"/>
      <c r="O671" s="265"/>
      <c r="P671" s="265"/>
      <c r="Q671" s="265"/>
      <c r="R671" s="265"/>
      <c r="S671" s="265"/>
      <c r="T671" s="265"/>
      <c r="U671" s="265"/>
      <c r="V671" s="265"/>
      <c r="W671" s="265"/>
      <c r="X671" s="265"/>
      <c r="Y671" s="265"/>
      <c r="Z671" s="265"/>
      <c r="AA671" s="265"/>
      <c r="AB671" s="265"/>
    </row>
    <row r="672" spans="1:28" ht="15.75" customHeight="1">
      <c r="A672" s="265"/>
      <c r="B672" s="265"/>
      <c r="C672" s="265"/>
      <c r="D672" s="265"/>
      <c r="E672" s="265"/>
      <c r="F672" s="265"/>
      <c r="G672" s="265"/>
      <c r="H672" s="265"/>
      <c r="I672" s="265"/>
      <c r="J672" s="265"/>
      <c r="K672" s="265"/>
      <c r="L672" s="265"/>
      <c r="M672" s="265"/>
      <c r="N672" s="265"/>
      <c r="O672" s="265"/>
      <c r="P672" s="265"/>
      <c r="Q672" s="265"/>
      <c r="R672" s="265"/>
      <c r="S672" s="265"/>
      <c r="T672" s="265"/>
      <c r="U672" s="265"/>
      <c r="V672" s="265"/>
      <c r="W672" s="265"/>
      <c r="X672" s="265"/>
      <c r="Y672" s="265"/>
      <c r="Z672" s="265"/>
      <c r="AA672" s="265"/>
      <c r="AB672" s="265"/>
    </row>
    <row r="673" spans="1:28" ht="15.75" customHeight="1">
      <c r="A673" s="265"/>
      <c r="B673" s="265"/>
      <c r="C673" s="265"/>
      <c r="D673" s="265"/>
      <c r="E673" s="265"/>
      <c r="F673" s="265"/>
      <c r="G673" s="265"/>
      <c r="H673" s="265"/>
      <c r="I673" s="265"/>
      <c r="J673" s="265"/>
      <c r="K673" s="265"/>
      <c r="L673" s="265"/>
      <c r="M673" s="265"/>
      <c r="N673" s="265"/>
      <c r="O673" s="265"/>
      <c r="P673" s="265"/>
      <c r="Q673" s="265"/>
      <c r="R673" s="265"/>
      <c r="S673" s="265"/>
      <c r="T673" s="265"/>
      <c r="U673" s="265"/>
      <c r="V673" s="265"/>
      <c r="W673" s="265"/>
      <c r="X673" s="265"/>
      <c r="Y673" s="265"/>
      <c r="Z673" s="265"/>
      <c r="AA673" s="265"/>
      <c r="AB673" s="265"/>
    </row>
    <row r="674" spans="1:28" ht="15.75" customHeight="1">
      <c r="A674" s="265"/>
      <c r="B674" s="265"/>
      <c r="C674" s="265"/>
      <c r="D674" s="265"/>
      <c r="E674" s="265"/>
      <c r="F674" s="265"/>
      <c r="G674" s="265"/>
      <c r="H674" s="265"/>
      <c r="I674" s="265"/>
      <c r="J674" s="265"/>
      <c r="K674" s="265"/>
      <c r="L674" s="265"/>
      <c r="M674" s="265"/>
      <c r="N674" s="265"/>
      <c r="O674" s="265"/>
      <c r="P674" s="265"/>
      <c r="Q674" s="265"/>
      <c r="R674" s="265"/>
      <c r="S674" s="265"/>
      <c r="T674" s="265"/>
      <c r="U674" s="265"/>
      <c r="V674" s="265"/>
      <c r="W674" s="265"/>
      <c r="X674" s="265"/>
      <c r="Y674" s="265"/>
      <c r="Z674" s="265"/>
      <c r="AA674" s="265"/>
      <c r="AB674" s="265"/>
    </row>
    <row r="675" spans="1:28" ht="15.75" customHeight="1">
      <c r="A675" s="265"/>
      <c r="B675" s="265"/>
      <c r="C675" s="265"/>
      <c r="D675" s="265"/>
      <c r="E675" s="265"/>
      <c r="F675" s="265"/>
      <c r="G675" s="265"/>
      <c r="H675" s="265"/>
      <c r="I675" s="265"/>
      <c r="J675" s="265"/>
      <c r="K675" s="265"/>
      <c r="L675" s="265"/>
      <c r="M675" s="265"/>
      <c r="N675" s="265"/>
      <c r="O675" s="265"/>
      <c r="P675" s="265"/>
      <c r="Q675" s="265"/>
      <c r="R675" s="265"/>
      <c r="S675" s="265"/>
      <c r="T675" s="265"/>
      <c r="U675" s="265"/>
      <c r="V675" s="265"/>
      <c r="W675" s="265"/>
      <c r="X675" s="265"/>
      <c r="Y675" s="265"/>
      <c r="Z675" s="265"/>
      <c r="AA675" s="265"/>
      <c r="AB675" s="265"/>
    </row>
    <row r="676" spans="1:28" ht="15.75" customHeight="1">
      <c r="A676" s="265"/>
      <c r="B676" s="265"/>
      <c r="C676" s="265"/>
      <c r="D676" s="265"/>
      <c r="E676" s="265"/>
      <c r="F676" s="265"/>
      <c r="G676" s="265"/>
      <c r="H676" s="265"/>
      <c r="I676" s="265"/>
      <c r="J676" s="265"/>
      <c r="K676" s="265"/>
      <c r="L676" s="265"/>
      <c r="M676" s="265"/>
      <c r="N676" s="265"/>
      <c r="O676" s="265"/>
      <c r="P676" s="265"/>
      <c r="Q676" s="265"/>
      <c r="R676" s="265"/>
      <c r="S676" s="265"/>
      <c r="T676" s="265"/>
      <c r="U676" s="265"/>
      <c r="V676" s="265"/>
      <c r="W676" s="265"/>
      <c r="X676" s="265"/>
      <c r="Y676" s="265"/>
      <c r="Z676" s="265"/>
      <c r="AA676" s="265"/>
      <c r="AB676" s="265"/>
    </row>
    <row r="677" spans="1:28" ht="15.75" customHeight="1">
      <c r="A677" s="265"/>
      <c r="B677" s="265"/>
      <c r="C677" s="265"/>
      <c r="D677" s="265"/>
      <c r="E677" s="265"/>
      <c r="F677" s="265"/>
      <c r="G677" s="265"/>
      <c r="H677" s="265"/>
      <c r="I677" s="265"/>
      <c r="J677" s="265"/>
      <c r="K677" s="265"/>
      <c r="L677" s="265"/>
      <c r="M677" s="265"/>
      <c r="N677" s="265"/>
      <c r="O677" s="265"/>
      <c r="P677" s="265"/>
      <c r="Q677" s="265"/>
      <c r="R677" s="265"/>
      <c r="S677" s="265"/>
      <c r="T677" s="265"/>
      <c r="U677" s="265"/>
      <c r="V677" s="265"/>
      <c r="W677" s="265"/>
      <c r="X677" s="265"/>
      <c r="Y677" s="265"/>
      <c r="Z677" s="265"/>
      <c r="AA677" s="265"/>
      <c r="AB677" s="265"/>
    </row>
    <row r="678" spans="1:28" ht="15.75" customHeight="1">
      <c r="A678" s="265"/>
      <c r="B678" s="265"/>
      <c r="C678" s="265"/>
      <c r="D678" s="265"/>
      <c r="E678" s="265"/>
      <c r="F678" s="265"/>
      <c r="G678" s="265"/>
      <c r="H678" s="265"/>
      <c r="I678" s="265"/>
      <c r="J678" s="265"/>
      <c r="K678" s="265"/>
      <c r="L678" s="265"/>
      <c r="M678" s="265"/>
      <c r="N678" s="265"/>
      <c r="O678" s="265"/>
      <c r="P678" s="265"/>
      <c r="Q678" s="265"/>
      <c r="R678" s="265"/>
      <c r="S678" s="265"/>
      <c r="T678" s="265"/>
      <c r="U678" s="265"/>
      <c r="V678" s="265"/>
      <c r="W678" s="265"/>
      <c r="X678" s="265"/>
      <c r="Y678" s="265"/>
      <c r="Z678" s="265"/>
      <c r="AA678" s="265"/>
      <c r="AB678" s="265"/>
    </row>
    <row r="679" spans="1:28" ht="15.75" customHeight="1">
      <c r="A679" s="265"/>
      <c r="B679" s="265"/>
      <c r="C679" s="265"/>
      <c r="D679" s="265"/>
      <c r="E679" s="265"/>
      <c r="F679" s="265"/>
      <c r="G679" s="265"/>
      <c r="H679" s="265"/>
      <c r="I679" s="265"/>
      <c r="J679" s="265"/>
      <c r="K679" s="265"/>
      <c r="L679" s="265"/>
      <c r="M679" s="265"/>
      <c r="N679" s="265"/>
      <c r="O679" s="265"/>
      <c r="P679" s="265"/>
      <c r="Q679" s="265"/>
      <c r="R679" s="265"/>
      <c r="S679" s="265"/>
      <c r="T679" s="265"/>
      <c r="U679" s="265"/>
      <c r="V679" s="265"/>
      <c r="W679" s="265"/>
      <c r="X679" s="265"/>
      <c r="Y679" s="265"/>
      <c r="Z679" s="265"/>
      <c r="AA679" s="265"/>
      <c r="AB679" s="265"/>
    </row>
    <row r="680" spans="1:28" ht="15.75" customHeight="1">
      <c r="A680" s="265"/>
      <c r="B680" s="265"/>
      <c r="C680" s="265"/>
      <c r="D680" s="265"/>
      <c r="E680" s="265"/>
      <c r="F680" s="265"/>
      <c r="G680" s="265"/>
      <c r="H680" s="265"/>
      <c r="I680" s="265"/>
      <c r="J680" s="265"/>
      <c r="K680" s="265"/>
      <c r="L680" s="265"/>
      <c r="M680" s="265"/>
      <c r="N680" s="265"/>
      <c r="O680" s="265"/>
      <c r="P680" s="265"/>
      <c r="Q680" s="265"/>
      <c r="R680" s="265"/>
      <c r="S680" s="265"/>
      <c r="T680" s="265"/>
      <c r="U680" s="265"/>
      <c r="V680" s="265"/>
      <c r="W680" s="265"/>
      <c r="X680" s="265"/>
      <c r="Y680" s="265"/>
      <c r="Z680" s="265"/>
      <c r="AA680" s="265"/>
      <c r="AB680" s="265"/>
    </row>
    <row r="681" spans="1:28" ht="15.75" customHeight="1">
      <c r="A681" s="265"/>
      <c r="B681" s="265"/>
      <c r="C681" s="265"/>
      <c r="D681" s="265"/>
      <c r="E681" s="265"/>
      <c r="F681" s="265"/>
      <c r="G681" s="265"/>
      <c r="H681" s="265"/>
      <c r="I681" s="265"/>
      <c r="J681" s="265"/>
      <c r="K681" s="265"/>
      <c r="L681" s="265"/>
      <c r="M681" s="265"/>
      <c r="N681" s="265"/>
      <c r="O681" s="265"/>
      <c r="P681" s="265"/>
      <c r="Q681" s="265"/>
      <c r="R681" s="265"/>
      <c r="S681" s="265"/>
      <c r="T681" s="265"/>
      <c r="U681" s="265"/>
      <c r="V681" s="265"/>
      <c r="W681" s="265"/>
      <c r="X681" s="265"/>
      <c r="Y681" s="265"/>
      <c r="Z681" s="265"/>
      <c r="AA681" s="265"/>
      <c r="AB681" s="265"/>
    </row>
    <row r="682" spans="1:28" ht="15.75" customHeight="1">
      <c r="A682" s="265"/>
      <c r="B682" s="265"/>
      <c r="C682" s="265"/>
      <c r="D682" s="265"/>
      <c r="E682" s="265"/>
      <c r="F682" s="265"/>
      <c r="G682" s="265"/>
      <c r="H682" s="265"/>
      <c r="I682" s="265"/>
      <c r="J682" s="265"/>
      <c r="K682" s="265"/>
      <c r="L682" s="265"/>
      <c r="M682" s="265"/>
      <c r="N682" s="265"/>
      <c r="O682" s="265"/>
      <c r="P682" s="265"/>
      <c r="Q682" s="265"/>
      <c r="R682" s="265"/>
      <c r="S682" s="265"/>
      <c r="T682" s="265"/>
      <c r="U682" s="265"/>
      <c r="V682" s="265"/>
      <c r="W682" s="265"/>
      <c r="X682" s="265"/>
      <c r="Y682" s="265"/>
      <c r="Z682" s="265"/>
      <c r="AA682" s="265"/>
      <c r="AB682" s="265"/>
    </row>
    <row r="683" spans="1:28" ht="15.75" customHeight="1">
      <c r="A683" s="265"/>
      <c r="B683" s="265"/>
      <c r="C683" s="265"/>
      <c r="D683" s="265"/>
      <c r="E683" s="265"/>
      <c r="F683" s="265"/>
      <c r="G683" s="265"/>
      <c r="H683" s="265"/>
      <c r="I683" s="265"/>
      <c r="J683" s="265"/>
      <c r="K683" s="265"/>
      <c r="L683" s="265"/>
      <c r="M683" s="265"/>
      <c r="N683" s="265"/>
      <c r="O683" s="265"/>
      <c r="P683" s="265"/>
      <c r="Q683" s="265"/>
      <c r="R683" s="265"/>
      <c r="S683" s="265"/>
      <c r="T683" s="265"/>
      <c r="U683" s="265"/>
      <c r="V683" s="265"/>
      <c r="W683" s="265"/>
      <c r="X683" s="265"/>
      <c r="Y683" s="265"/>
      <c r="Z683" s="265"/>
      <c r="AA683" s="265"/>
      <c r="AB683" s="265"/>
    </row>
    <row r="684" spans="1:28" ht="15.75" customHeight="1">
      <c r="A684" s="265"/>
      <c r="B684" s="265"/>
      <c r="C684" s="265"/>
      <c r="D684" s="265"/>
      <c r="E684" s="265"/>
      <c r="F684" s="265"/>
      <c r="G684" s="265"/>
      <c r="H684" s="265"/>
      <c r="I684" s="265"/>
      <c r="J684" s="265"/>
      <c r="K684" s="265"/>
      <c r="L684" s="265"/>
      <c r="M684" s="265"/>
      <c r="N684" s="265"/>
      <c r="O684" s="265"/>
      <c r="P684" s="265"/>
      <c r="Q684" s="265"/>
      <c r="R684" s="265"/>
      <c r="S684" s="265"/>
      <c r="T684" s="265"/>
      <c r="U684" s="265"/>
      <c r="V684" s="265"/>
      <c r="W684" s="265"/>
      <c r="X684" s="265"/>
      <c r="Y684" s="265"/>
      <c r="Z684" s="265"/>
      <c r="AA684" s="265"/>
      <c r="AB684" s="265"/>
    </row>
    <row r="685" spans="1:28" ht="15.75" customHeight="1">
      <c r="A685" s="265"/>
      <c r="B685" s="265"/>
      <c r="C685" s="265"/>
      <c r="D685" s="265"/>
      <c r="E685" s="265"/>
      <c r="F685" s="265"/>
      <c r="G685" s="265"/>
      <c r="H685" s="265"/>
      <c r="I685" s="265"/>
      <c r="J685" s="265"/>
      <c r="K685" s="265"/>
      <c r="L685" s="265"/>
      <c r="M685" s="265"/>
      <c r="N685" s="265"/>
      <c r="O685" s="265"/>
      <c r="P685" s="265"/>
      <c r="Q685" s="265"/>
      <c r="R685" s="265"/>
      <c r="S685" s="265"/>
      <c r="T685" s="265"/>
      <c r="U685" s="265"/>
      <c r="V685" s="265"/>
      <c r="W685" s="265"/>
      <c r="X685" s="265"/>
      <c r="Y685" s="265"/>
      <c r="Z685" s="265"/>
      <c r="AA685" s="265"/>
      <c r="AB685" s="265"/>
    </row>
    <row r="686" spans="1:28" ht="15.75" customHeight="1">
      <c r="A686" s="265"/>
      <c r="B686" s="265"/>
      <c r="C686" s="265"/>
      <c r="D686" s="265"/>
      <c r="E686" s="265"/>
      <c r="F686" s="265"/>
      <c r="G686" s="265"/>
      <c r="H686" s="265"/>
      <c r="I686" s="265"/>
      <c r="J686" s="265"/>
      <c r="K686" s="265"/>
      <c r="L686" s="265"/>
      <c r="M686" s="265"/>
      <c r="N686" s="265"/>
      <c r="O686" s="265"/>
      <c r="P686" s="265"/>
      <c r="Q686" s="265"/>
      <c r="R686" s="265"/>
      <c r="S686" s="265"/>
      <c r="T686" s="265"/>
      <c r="U686" s="265"/>
      <c r="V686" s="265"/>
      <c r="W686" s="265"/>
      <c r="X686" s="265"/>
      <c r="Y686" s="265"/>
      <c r="Z686" s="265"/>
      <c r="AA686" s="265"/>
      <c r="AB686" s="265"/>
    </row>
    <row r="687" spans="1:28" ht="15.75" customHeight="1">
      <c r="A687" s="265"/>
      <c r="B687" s="265"/>
      <c r="C687" s="265"/>
      <c r="D687" s="265"/>
      <c r="E687" s="265"/>
      <c r="F687" s="265"/>
      <c r="G687" s="265"/>
      <c r="H687" s="265"/>
      <c r="I687" s="265"/>
      <c r="J687" s="265"/>
      <c r="K687" s="265"/>
      <c r="L687" s="265"/>
      <c r="M687" s="265"/>
      <c r="N687" s="265"/>
      <c r="O687" s="265"/>
      <c r="P687" s="265"/>
      <c r="Q687" s="265"/>
      <c r="R687" s="265"/>
      <c r="S687" s="265"/>
      <c r="T687" s="265"/>
      <c r="U687" s="265"/>
      <c r="V687" s="265"/>
      <c r="W687" s="265"/>
      <c r="X687" s="265"/>
      <c r="Y687" s="265"/>
      <c r="Z687" s="265"/>
      <c r="AA687" s="265"/>
      <c r="AB687" s="265"/>
    </row>
    <row r="688" spans="1:28" ht="15.75" customHeight="1">
      <c r="A688" s="265"/>
      <c r="B688" s="265"/>
      <c r="C688" s="265"/>
      <c r="D688" s="265"/>
      <c r="E688" s="265"/>
      <c r="F688" s="265"/>
      <c r="G688" s="265"/>
      <c r="H688" s="265"/>
      <c r="I688" s="265"/>
      <c r="J688" s="265"/>
      <c r="K688" s="265"/>
      <c r="L688" s="265"/>
      <c r="M688" s="265"/>
      <c r="N688" s="265"/>
      <c r="O688" s="265"/>
      <c r="P688" s="265"/>
      <c r="Q688" s="265"/>
      <c r="R688" s="265"/>
      <c r="S688" s="265"/>
      <c r="T688" s="265"/>
      <c r="U688" s="265"/>
      <c r="V688" s="265"/>
      <c r="W688" s="265"/>
      <c r="X688" s="265"/>
      <c r="Y688" s="265"/>
      <c r="Z688" s="265"/>
      <c r="AA688" s="265"/>
      <c r="AB688" s="265"/>
    </row>
    <row r="689" spans="1:28" ht="15.75" customHeight="1">
      <c r="A689" s="265"/>
      <c r="B689" s="265"/>
      <c r="C689" s="265"/>
      <c r="D689" s="265"/>
      <c r="E689" s="265"/>
      <c r="F689" s="265"/>
      <c r="G689" s="265"/>
      <c r="H689" s="265"/>
      <c r="I689" s="265"/>
      <c r="J689" s="265"/>
      <c r="K689" s="265"/>
      <c r="L689" s="265"/>
      <c r="M689" s="265"/>
      <c r="N689" s="265"/>
      <c r="O689" s="265"/>
      <c r="P689" s="265"/>
      <c r="Q689" s="265"/>
      <c r="R689" s="265"/>
      <c r="S689" s="265"/>
      <c r="T689" s="265"/>
      <c r="U689" s="265"/>
      <c r="V689" s="265"/>
      <c r="W689" s="265"/>
      <c r="X689" s="265"/>
      <c r="Y689" s="265"/>
      <c r="Z689" s="265"/>
      <c r="AA689" s="265"/>
      <c r="AB689" s="265"/>
    </row>
    <row r="690" spans="1:28" ht="15.75" customHeight="1">
      <c r="A690" s="265"/>
      <c r="B690" s="265"/>
      <c r="C690" s="265"/>
      <c r="D690" s="265"/>
      <c r="E690" s="265"/>
      <c r="F690" s="265"/>
      <c r="G690" s="265"/>
      <c r="H690" s="265"/>
      <c r="I690" s="265"/>
      <c r="J690" s="265"/>
      <c r="K690" s="265"/>
      <c r="L690" s="265"/>
      <c r="M690" s="265"/>
      <c r="N690" s="265"/>
      <c r="O690" s="265"/>
      <c r="P690" s="265"/>
      <c r="Q690" s="265"/>
      <c r="R690" s="265"/>
      <c r="S690" s="265"/>
      <c r="T690" s="265"/>
      <c r="U690" s="265"/>
      <c r="V690" s="265"/>
      <c r="W690" s="265"/>
      <c r="X690" s="265"/>
      <c r="Y690" s="265"/>
      <c r="Z690" s="265"/>
      <c r="AA690" s="265"/>
      <c r="AB690" s="265"/>
    </row>
    <row r="691" spans="1:28" ht="15.75" customHeight="1">
      <c r="A691" s="265"/>
      <c r="B691" s="265"/>
      <c r="C691" s="265"/>
      <c r="D691" s="265"/>
      <c r="E691" s="265"/>
      <c r="F691" s="265"/>
      <c r="G691" s="265"/>
      <c r="H691" s="265"/>
      <c r="I691" s="265"/>
      <c r="J691" s="265"/>
      <c r="K691" s="265"/>
      <c r="L691" s="265"/>
      <c r="M691" s="265"/>
      <c r="N691" s="265"/>
      <c r="O691" s="265"/>
      <c r="P691" s="265"/>
      <c r="Q691" s="265"/>
      <c r="R691" s="265"/>
      <c r="S691" s="265"/>
      <c r="T691" s="265"/>
      <c r="U691" s="265"/>
      <c r="V691" s="265"/>
      <c r="W691" s="265"/>
      <c r="X691" s="265"/>
      <c r="Y691" s="265"/>
      <c r="Z691" s="265"/>
      <c r="AA691" s="265"/>
      <c r="AB691" s="265"/>
    </row>
    <row r="692" spans="1:28" ht="15.75" customHeight="1">
      <c r="A692" s="265"/>
      <c r="B692" s="265"/>
      <c r="C692" s="265"/>
      <c r="D692" s="265"/>
      <c r="E692" s="265"/>
      <c r="F692" s="265"/>
      <c r="G692" s="265"/>
      <c r="H692" s="265"/>
      <c r="I692" s="265"/>
      <c r="J692" s="265"/>
      <c r="K692" s="265"/>
      <c r="L692" s="265"/>
      <c r="M692" s="265"/>
      <c r="N692" s="265"/>
      <c r="O692" s="265"/>
      <c r="P692" s="265"/>
      <c r="Q692" s="265"/>
      <c r="R692" s="265"/>
      <c r="S692" s="265"/>
      <c r="T692" s="265"/>
      <c r="U692" s="265"/>
      <c r="V692" s="265"/>
      <c r="W692" s="265"/>
      <c r="X692" s="265"/>
      <c r="Y692" s="265"/>
      <c r="Z692" s="265"/>
      <c r="AA692" s="265"/>
      <c r="AB692" s="265"/>
    </row>
    <row r="693" spans="1:28" ht="15.75" customHeight="1">
      <c r="A693" s="265"/>
      <c r="B693" s="265"/>
      <c r="C693" s="265"/>
      <c r="D693" s="265"/>
      <c r="E693" s="265"/>
      <c r="F693" s="265"/>
      <c r="G693" s="265"/>
      <c r="H693" s="265"/>
      <c r="I693" s="265"/>
      <c r="J693" s="265"/>
      <c r="K693" s="265"/>
      <c r="L693" s="265"/>
      <c r="M693" s="265"/>
      <c r="N693" s="265"/>
      <c r="O693" s="265"/>
      <c r="P693" s="265"/>
      <c r="Q693" s="265"/>
      <c r="R693" s="265"/>
      <c r="S693" s="265"/>
      <c r="T693" s="265"/>
      <c r="U693" s="265"/>
      <c r="V693" s="265"/>
      <c r="W693" s="265"/>
      <c r="X693" s="265"/>
      <c r="Y693" s="265"/>
      <c r="Z693" s="265"/>
      <c r="AA693" s="265"/>
      <c r="AB693" s="265"/>
    </row>
    <row r="694" spans="1:28" ht="15.75" customHeight="1">
      <c r="A694" s="265"/>
      <c r="B694" s="265"/>
      <c r="C694" s="265"/>
      <c r="D694" s="265"/>
      <c r="E694" s="265"/>
      <c r="F694" s="265"/>
      <c r="G694" s="265"/>
      <c r="H694" s="265"/>
      <c r="I694" s="265"/>
      <c r="J694" s="265"/>
      <c r="K694" s="265"/>
      <c r="L694" s="265"/>
      <c r="M694" s="265"/>
      <c r="N694" s="265"/>
      <c r="O694" s="265"/>
      <c r="P694" s="265"/>
      <c r="Q694" s="265"/>
      <c r="R694" s="265"/>
      <c r="S694" s="265"/>
      <c r="T694" s="265"/>
      <c r="U694" s="265"/>
      <c r="V694" s="265"/>
      <c r="W694" s="265"/>
      <c r="X694" s="265"/>
      <c r="Y694" s="265"/>
      <c r="Z694" s="265"/>
      <c r="AA694" s="265"/>
      <c r="AB694" s="265"/>
    </row>
    <row r="695" spans="1:28" ht="15.75" customHeight="1">
      <c r="A695" s="265"/>
      <c r="B695" s="265"/>
      <c r="C695" s="265"/>
      <c r="D695" s="265"/>
      <c r="E695" s="265"/>
      <c r="F695" s="265"/>
      <c r="G695" s="265"/>
      <c r="H695" s="265"/>
      <c r="I695" s="265"/>
      <c r="J695" s="265"/>
      <c r="K695" s="265"/>
      <c r="L695" s="265"/>
      <c r="M695" s="265"/>
      <c r="N695" s="265"/>
      <c r="O695" s="265"/>
      <c r="P695" s="265"/>
      <c r="Q695" s="265"/>
      <c r="R695" s="265"/>
      <c r="S695" s="265"/>
      <c r="T695" s="265"/>
      <c r="U695" s="265"/>
      <c r="V695" s="265"/>
      <c r="W695" s="265"/>
      <c r="X695" s="265"/>
      <c r="Y695" s="265"/>
      <c r="Z695" s="265"/>
      <c r="AA695" s="265"/>
      <c r="AB695" s="265"/>
    </row>
    <row r="696" spans="1:28" ht="15.75" customHeight="1">
      <c r="A696" s="265"/>
      <c r="B696" s="265"/>
      <c r="C696" s="265"/>
      <c r="D696" s="265"/>
      <c r="E696" s="265"/>
      <c r="F696" s="265"/>
      <c r="G696" s="265"/>
      <c r="H696" s="265"/>
      <c r="I696" s="265"/>
      <c r="J696" s="265"/>
      <c r="K696" s="265"/>
      <c r="L696" s="265"/>
      <c r="M696" s="265"/>
      <c r="N696" s="265"/>
      <c r="O696" s="265"/>
      <c r="P696" s="265"/>
      <c r="Q696" s="265"/>
      <c r="R696" s="265"/>
      <c r="S696" s="265"/>
      <c r="T696" s="265"/>
      <c r="U696" s="265"/>
      <c r="V696" s="265"/>
      <c r="W696" s="265"/>
      <c r="X696" s="265"/>
      <c r="Y696" s="265"/>
      <c r="Z696" s="265"/>
      <c r="AA696" s="265"/>
      <c r="AB696" s="265"/>
    </row>
    <row r="697" spans="1:28" ht="15.75" customHeight="1">
      <c r="A697" s="265"/>
      <c r="B697" s="265"/>
      <c r="C697" s="265"/>
      <c r="D697" s="265"/>
      <c r="E697" s="265"/>
      <c r="F697" s="265"/>
      <c r="G697" s="265"/>
      <c r="H697" s="265"/>
      <c r="I697" s="265"/>
      <c r="J697" s="265"/>
      <c r="K697" s="265"/>
      <c r="L697" s="265"/>
      <c r="M697" s="265"/>
      <c r="N697" s="265"/>
      <c r="O697" s="265"/>
      <c r="P697" s="265"/>
      <c r="Q697" s="265"/>
      <c r="R697" s="265"/>
      <c r="S697" s="265"/>
      <c r="T697" s="265"/>
      <c r="U697" s="265"/>
      <c r="V697" s="265"/>
      <c r="W697" s="265"/>
      <c r="X697" s="265"/>
      <c r="Y697" s="265"/>
      <c r="Z697" s="265"/>
      <c r="AA697" s="265"/>
      <c r="AB697" s="265"/>
    </row>
    <row r="698" spans="1:28" ht="15.75" customHeight="1">
      <c r="A698" s="265"/>
      <c r="B698" s="265"/>
      <c r="C698" s="265"/>
      <c r="D698" s="265"/>
      <c r="E698" s="265"/>
      <c r="F698" s="265"/>
      <c r="G698" s="265"/>
      <c r="H698" s="265"/>
      <c r="I698" s="265"/>
      <c r="J698" s="265"/>
      <c r="K698" s="265"/>
      <c r="L698" s="265"/>
      <c r="M698" s="265"/>
      <c r="N698" s="265"/>
      <c r="O698" s="265"/>
      <c r="P698" s="265"/>
      <c r="Q698" s="265"/>
      <c r="R698" s="265"/>
      <c r="S698" s="265"/>
      <c r="T698" s="265"/>
      <c r="U698" s="265"/>
      <c r="V698" s="265"/>
      <c r="W698" s="265"/>
      <c r="X698" s="265"/>
      <c r="Y698" s="265"/>
      <c r="Z698" s="265"/>
      <c r="AA698" s="265"/>
      <c r="AB698" s="265"/>
    </row>
    <row r="699" spans="1:28" ht="15.75" customHeight="1">
      <c r="A699" s="265"/>
      <c r="B699" s="265"/>
      <c r="C699" s="265"/>
      <c r="D699" s="265"/>
      <c r="E699" s="265"/>
      <c r="F699" s="265"/>
      <c r="G699" s="265"/>
      <c r="H699" s="265"/>
      <c r="I699" s="265"/>
      <c r="J699" s="265"/>
      <c r="K699" s="265"/>
      <c r="L699" s="265"/>
      <c r="M699" s="265"/>
      <c r="N699" s="265"/>
      <c r="O699" s="265"/>
      <c r="P699" s="265"/>
      <c r="Q699" s="265"/>
      <c r="R699" s="265"/>
      <c r="S699" s="265"/>
      <c r="T699" s="265"/>
      <c r="U699" s="265"/>
      <c r="V699" s="265"/>
      <c r="W699" s="265"/>
      <c r="X699" s="265"/>
      <c r="Y699" s="265"/>
      <c r="Z699" s="265"/>
      <c r="AA699" s="265"/>
      <c r="AB699" s="265"/>
    </row>
    <row r="700" spans="1:28" ht="15.75" customHeight="1">
      <c r="A700" s="265"/>
      <c r="B700" s="265"/>
      <c r="C700" s="265"/>
      <c r="D700" s="265"/>
      <c r="E700" s="265"/>
      <c r="F700" s="265"/>
      <c r="G700" s="265"/>
      <c r="H700" s="265"/>
      <c r="I700" s="265"/>
      <c r="J700" s="265"/>
      <c r="K700" s="265"/>
      <c r="L700" s="265"/>
      <c r="M700" s="265"/>
      <c r="N700" s="265"/>
      <c r="O700" s="265"/>
      <c r="P700" s="265"/>
      <c r="Q700" s="265"/>
      <c r="R700" s="265"/>
      <c r="S700" s="265"/>
      <c r="T700" s="265"/>
      <c r="U700" s="265"/>
      <c r="V700" s="265"/>
      <c r="W700" s="265"/>
      <c r="X700" s="265"/>
      <c r="Y700" s="265"/>
      <c r="Z700" s="265"/>
      <c r="AA700" s="265"/>
      <c r="AB700" s="265"/>
    </row>
    <row r="701" spans="1:28" ht="15.75" customHeight="1">
      <c r="A701" s="265"/>
      <c r="B701" s="265"/>
      <c r="C701" s="265"/>
      <c r="D701" s="265"/>
      <c r="E701" s="265"/>
      <c r="F701" s="265"/>
      <c r="G701" s="265"/>
      <c r="H701" s="265"/>
      <c r="I701" s="265"/>
      <c r="J701" s="265"/>
      <c r="K701" s="265"/>
      <c r="L701" s="265"/>
      <c r="M701" s="265"/>
      <c r="N701" s="265"/>
      <c r="O701" s="265"/>
      <c r="P701" s="265"/>
      <c r="Q701" s="265"/>
      <c r="R701" s="265"/>
      <c r="S701" s="265"/>
      <c r="T701" s="265"/>
      <c r="U701" s="265"/>
      <c r="V701" s="265"/>
      <c r="W701" s="265"/>
      <c r="X701" s="265"/>
      <c r="Y701" s="265"/>
      <c r="Z701" s="265"/>
      <c r="AA701" s="265"/>
      <c r="AB701" s="265"/>
    </row>
    <row r="702" spans="1:28" ht="15.75" customHeight="1">
      <c r="A702" s="265"/>
      <c r="B702" s="265"/>
      <c r="C702" s="265"/>
      <c r="D702" s="265"/>
      <c r="E702" s="265"/>
      <c r="F702" s="265"/>
      <c r="G702" s="265"/>
      <c r="H702" s="265"/>
      <c r="I702" s="265"/>
      <c r="J702" s="265"/>
      <c r="K702" s="265"/>
      <c r="L702" s="265"/>
      <c r="M702" s="265"/>
      <c r="N702" s="265"/>
      <c r="O702" s="265"/>
      <c r="P702" s="265"/>
      <c r="Q702" s="265"/>
      <c r="R702" s="265"/>
      <c r="S702" s="265"/>
      <c r="T702" s="265"/>
      <c r="U702" s="265"/>
      <c r="V702" s="265"/>
      <c r="W702" s="265"/>
      <c r="X702" s="265"/>
      <c r="Y702" s="265"/>
      <c r="Z702" s="265"/>
      <c r="AA702" s="265"/>
      <c r="AB702" s="265"/>
    </row>
    <row r="703" spans="1:28" ht="15.75" customHeight="1">
      <c r="A703" s="265"/>
      <c r="B703" s="265"/>
      <c r="C703" s="265"/>
      <c r="D703" s="265"/>
      <c r="E703" s="265"/>
      <c r="F703" s="265"/>
      <c r="G703" s="265"/>
      <c r="H703" s="265"/>
      <c r="I703" s="265"/>
      <c r="J703" s="265"/>
      <c r="K703" s="265"/>
      <c r="L703" s="265"/>
      <c r="M703" s="265"/>
      <c r="N703" s="265"/>
      <c r="O703" s="265"/>
      <c r="P703" s="265"/>
      <c r="Q703" s="265"/>
      <c r="R703" s="265"/>
      <c r="S703" s="265"/>
      <c r="T703" s="265"/>
      <c r="U703" s="265"/>
      <c r="V703" s="265"/>
      <c r="W703" s="265"/>
      <c r="X703" s="265"/>
      <c r="Y703" s="265"/>
      <c r="Z703" s="265"/>
      <c r="AA703" s="265"/>
      <c r="AB703" s="265"/>
    </row>
    <row r="704" spans="1:28" ht="15.75" customHeight="1">
      <c r="A704" s="265"/>
      <c r="B704" s="265"/>
      <c r="C704" s="265"/>
      <c r="D704" s="265"/>
      <c r="E704" s="265"/>
      <c r="F704" s="265"/>
      <c r="G704" s="265"/>
      <c r="H704" s="265"/>
      <c r="I704" s="265"/>
      <c r="J704" s="265"/>
      <c r="K704" s="265"/>
      <c r="L704" s="265"/>
      <c r="M704" s="265"/>
      <c r="N704" s="265"/>
      <c r="O704" s="265"/>
      <c r="P704" s="265"/>
      <c r="Q704" s="265"/>
      <c r="R704" s="265"/>
      <c r="S704" s="265"/>
      <c r="T704" s="265"/>
      <c r="U704" s="265"/>
      <c r="V704" s="265"/>
      <c r="W704" s="265"/>
      <c r="X704" s="265"/>
      <c r="Y704" s="265"/>
      <c r="Z704" s="265"/>
      <c r="AA704" s="265"/>
      <c r="AB704" s="265"/>
    </row>
    <row r="705" spans="1:28" ht="15.75" customHeight="1">
      <c r="A705" s="265"/>
      <c r="B705" s="265"/>
      <c r="C705" s="265"/>
      <c r="D705" s="265"/>
      <c r="E705" s="265"/>
      <c r="F705" s="265"/>
      <c r="G705" s="265"/>
      <c r="H705" s="265"/>
      <c r="I705" s="265"/>
      <c r="J705" s="265"/>
      <c r="K705" s="265"/>
      <c r="L705" s="265"/>
      <c r="M705" s="265"/>
      <c r="N705" s="265"/>
      <c r="O705" s="265"/>
      <c r="P705" s="265"/>
      <c r="Q705" s="265"/>
      <c r="R705" s="265"/>
      <c r="S705" s="265"/>
      <c r="T705" s="265"/>
      <c r="U705" s="265"/>
      <c r="V705" s="265"/>
      <c r="W705" s="265"/>
      <c r="X705" s="265"/>
      <c r="Y705" s="265"/>
      <c r="Z705" s="265"/>
      <c r="AA705" s="265"/>
      <c r="AB705" s="265"/>
    </row>
    <row r="706" spans="1:28" ht="15.75" customHeight="1">
      <c r="A706" s="265"/>
      <c r="B706" s="265"/>
      <c r="C706" s="265"/>
      <c r="D706" s="265"/>
      <c r="E706" s="265"/>
      <c r="F706" s="265"/>
      <c r="G706" s="265"/>
      <c r="H706" s="265"/>
      <c r="I706" s="265"/>
      <c r="J706" s="265"/>
      <c r="K706" s="265"/>
      <c r="L706" s="265"/>
      <c r="M706" s="265"/>
      <c r="N706" s="265"/>
      <c r="O706" s="265"/>
      <c r="P706" s="265"/>
      <c r="Q706" s="265"/>
      <c r="R706" s="265"/>
      <c r="S706" s="265"/>
      <c r="T706" s="265"/>
      <c r="U706" s="265"/>
      <c r="V706" s="265"/>
      <c r="W706" s="265"/>
      <c r="X706" s="265"/>
      <c r="Y706" s="265"/>
      <c r="Z706" s="265"/>
      <c r="AA706" s="265"/>
      <c r="AB706" s="265"/>
    </row>
    <row r="707" spans="1:28" ht="15.75" customHeight="1">
      <c r="A707" s="265"/>
      <c r="B707" s="265"/>
      <c r="C707" s="265"/>
      <c r="D707" s="265"/>
      <c r="E707" s="265"/>
      <c r="F707" s="265"/>
      <c r="G707" s="265"/>
      <c r="H707" s="265"/>
      <c r="I707" s="265"/>
      <c r="J707" s="265"/>
      <c r="K707" s="265"/>
      <c r="L707" s="265"/>
      <c r="M707" s="265"/>
      <c r="N707" s="265"/>
      <c r="O707" s="265"/>
      <c r="P707" s="265"/>
      <c r="Q707" s="265"/>
      <c r="R707" s="265"/>
      <c r="S707" s="265"/>
      <c r="T707" s="265"/>
      <c r="U707" s="265"/>
      <c r="V707" s="265"/>
      <c r="W707" s="265"/>
      <c r="X707" s="265"/>
      <c r="Y707" s="265"/>
      <c r="Z707" s="265"/>
      <c r="AA707" s="265"/>
      <c r="AB707" s="265"/>
    </row>
    <row r="708" spans="1:28" ht="15.75" customHeight="1">
      <c r="A708" s="265"/>
      <c r="B708" s="265"/>
      <c r="C708" s="265"/>
      <c r="D708" s="265"/>
      <c r="E708" s="265"/>
      <c r="F708" s="265"/>
      <c r="G708" s="265"/>
      <c r="H708" s="265"/>
      <c r="I708" s="265"/>
      <c r="J708" s="265"/>
      <c r="K708" s="265"/>
      <c r="L708" s="265"/>
      <c r="M708" s="265"/>
      <c r="N708" s="265"/>
      <c r="O708" s="265"/>
      <c r="P708" s="265"/>
      <c r="Q708" s="265"/>
      <c r="R708" s="265"/>
      <c r="S708" s="265"/>
      <c r="T708" s="265"/>
      <c r="U708" s="265"/>
      <c r="V708" s="265"/>
      <c r="W708" s="265"/>
      <c r="X708" s="265"/>
      <c r="Y708" s="265"/>
      <c r="Z708" s="265"/>
      <c r="AA708" s="265"/>
      <c r="AB708" s="265"/>
    </row>
    <row r="709" spans="1:28" ht="15.75" customHeight="1">
      <c r="A709" s="265"/>
      <c r="B709" s="265"/>
      <c r="C709" s="265"/>
      <c r="D709" s="265"/>
      <c r="E709" s="265"/>
      <c r="F709" s="265"/>
      <c r="G709" s="265"/>
      <c r="H709" s="265"/>
      <c r="I709" s="265"/>
      <c r="J709" s="265"/>
      <c r="K709" s="265"/>
      <c r="L709" s="265"/>
      <c r="M709" s="265"/>
      <c r="N709" s="265"/>
      <c r="O709" s="265"/>
      <c r="P709" s="265"/>
      <c r="Q709" s="265"/>
      <c r="R709" s="265"/>
      <c r="S709" s="265"/>
      <c r="T709" s="265"/>
      <c r="U709" s="265"/>
      <c r="V709" s="265"/>
      <c r="W709" s="265"/>
      <c r="X709" s="265"/>
      <c r="Y709" s="265"/>
      <c r="Z709" s="265"/>
      <c r="AA709" s="265"/>
      <c r="AB709" s="265"/>
    </row>
    <row r="710" spans="1:28" ht="15.75" customHeight="1">
      <c r="A710" s="265"/>
      <c r="B710" s="265"/>
      <c r="C710" s="265"/>
      <c r="D710" s="265"/>
      <c r="E710" s="265"/>
      <c r="F710" s="265"/>
      <c r="G710" s="265"/>
      <c r="H710" s="265"/>
      <c r="I710" s="265"/>
      <c r="J710" s="265"/>
      <c r="K710" s="265"/>
      <c r="L710" s="265"/>
      <c r="M710" s="265"/>
      <c r="N710" s="265"/>
      <c r="O710" s="265"/>
      <c r="P710" s="265"/>
      <c r="Q710" s="265"/>
      <c r="R710" s="265"/>
      <c r="S710" s="265"/>
      <c r="T710" s="265"/>
      <c r="U710" s="265"/>
      <c r="V710" s="265"/>
      <c r="W710" s="265"/>
      <c r="X710" s="265"/>
      <c r="Y710" s="265"/>
      <c r="Z710" s="265"/>
      <c r="AA710" s="265"/>
      <c r="AB710" s="265"/>
    </row>
    <row r="711" spans="1:28" ht="15.75" customHeight="1">
      <c r="A711" s="265"/>
      <c r="B711" s="265"/>
      <c r="C711" s="265"/>
      <c r="D711" s="265"/>
      <c r="E711" s="265"/>
      <c r="F711" s="265"/>
      <c r="G711" s="265"/>
      <c r="H711" s="265"/>
      <c r="I711" s="265"/>
      <c r="J711" s="265"/>
      <c r="K711" s="265"/>
      <c r="L711" s="265"/>
      <c r="M711" s="265"/>
      <c r="N711" s="265"/>
      <c r="O711" s="265"/>
      <c r="P711" s="265"/>
      <c r="Q711" s="265"/>
      <c r="R711" s="265"/>
      <c r="S711" s="265"/>
      <c r="T711" s="265"/>
      <c r="U711" s="265"/>
      <c r="V711" s="265"/>
      <c r="W711" s="265"/>
      <c r="X711" s="265"/>
      <c r="Y711" s="265"/>
      <c r="Z711" s="265"/>
      <c r="AA711" s="265"/>
      <c r="AB711" s="265"/>
    </row>
    <row r="712" spans="1:28" ht="15.75" customHeight="1">
      <c r="A712" s="265"/>
      <c r="B712" s="265"/>
      <c r="C712" s="265"/>
      <c r="D712" s="265"/>
      <c r="E712" s="265"/>
      <c r="F712" s="265"/>
      <c r="G712" s="265"/>
      <c r="H712" s="265"/>
      <c r="I712" s="265"/>
      <c r="J712" s="265"/>
      <c r="K712" s="265"/>
      <c r="L712" s="265"/>
      <c r="M712" s="265"/>
      <c r="N712" s="265"/>
      <c r="O712" s="265"/>
      <c r="P712" s="265"/>
      <c r="Q712" s="265"/>
      <c r="R712" s="265"/>
      <c r="S712" s="265"/>
      <c r="T712" s="265"/>
      <c r="U712" s="265"/>
      <c r="V712" s="265"/>
      <c r="W712" s="265"/>
      <c r="X712" s="265"/>
      <c r="Y712" s="265"/>
      <c r="Z712" s="265"/>
      <c r="AA712" s="265"/>
      <c r="AB712" s="265"/>
    </row>
    <row r="713" spans="1:28" ht="15.75" customHeight="1">
      <c r="A713" s="265"/>
      <c r="B713" s="265"/>
      <c r="C713" s="265"/>
      <c r="D713" s="265"/>
      <c r="E713" s="265"/>
      <c r="F713" s="265"/>
      <c r="G713" s="265"/>
      <c r="H713" s="265"/>
      <c r="I713" s="265"/>
      <c r="J713" s="265"/>
      <c r="K713" s="265"/>
      <c r="L713" s="265"/>
      <c r="M713" s="265"/>
      <c r="N713" s="265"/>
      <c r="O713" s="265"/>
      <c r="P713" s="265"/>
      <c r="Q713" s="265"/>
      <c r="R713" s="265"/>
      <c r="S713" s="265"/>
      <c r="T713" s="265"/>
      <c r="U713" s="265"/>
      <c r="V713" s="265"/>
      <c r="W713" s="265"/>
      <c r="X713" s="265"/>
      <c r="Y713" s="265"/>
      <c r="Z713" s="265"/>
      <c r="AA713" s="265"/>
      <c r="AB713" s="265"/>
    </row>
    <row r="714" spans="1:28" ht="15.75" customHeight="1">
      <c r="A714" s="265"/>
      <c r="B714" s="265"/>
      <c r="C714" s="265"/>
      <c r="D714" s="265"/>
      <c r="E714" s="265"/>
      <c r="F714" s="265"/>
      <c r="G714" s="265"/>
      <c r="H714" s="265"/>
      <c r="I714" s="265"/>
      <c r="J714" s="265"/>
      <c r="K714" s="265"/>
      <c r="L714" s="265"/>
      <c r="M714" s="265"/>
      <c r="N714" s="265"/>
      <c r="O714" s="265"/>
      <c r="P714" s="265"/>
      <c r="Q714" s="265"/>
      <c r="R714" s="265"/>
      <c r="S714" s="265"/>
      <c r="T714" s="265"/>
      <c r="U714" s="265"/>
      <c r="V714" s="265"/>
      <c r="W714" s="265"/>
      <c r="X714" s="265"/>
      <c r="Y714" s="265"/>
      <c r="Z714" s="265"/>
      <c r="AA714" s="265"/>
      <c r="AB714" s="265"/>
    </row>
    <row r="715" spans="1:28" ht="15.75" customHeight="1">
      <c r="A715" s="265"/>
      <c r="B715" s="265"/>
      <c r="C715" s="265"/>
      <c r="D715" s="265"/>
      <c r="E715" s="265"/>
      <c r="F715" s="265"/>
      <c r="G715" s="265"/>
      <c r="H715" s="265"/>
      <c r="I715" s="265"/>
      <c r="J715" s="265"/>
      <c r="K715" s="265"/>
      <c r="L715" s="265"/>
      <c r="M715" s="265"/>
      <c r="N715" s="265"/>
      <c r="O715" s="265"/>
      <c r="P715" s="265"/>
      <c r="Q715" s="265"/>
      <c r="R715" s="265"/>
      <c r="S715" s="265"/>
      <c r="T715" s="265"/>
      <c r="U715" s="265"/>
      <c r="V715" s="265"/>
      <c r="W715" s="265"/>
      <c r="X715" s="265"/>
      <c r="Y715" s="265"/>
      <c r="Z715" s="265"/>
      <c r="AA715" s="265"/>
      <c r="AB715" s="265"/>
    </row>
    <row r="716" spans="1:28" ht="15.75" customHeight="1">
      <c r="A716" s="265"/>
      <c r="B716" s="265"/>
      <c r="C716" s="265"/>
      <c r="D716" s="265"/>
      <c r="E716" s="265"/>
      <c r="F716" s="265"/>
      <c r="G716" s="265"/>
      <c r="H716" s="265"/>
      <c r="I716" s="265"/>
      <c r="J716" s="265"/>
      <c r="K716" s="265"/>
      <c r="L716" s="265"/>
      <c r="M716" s="265"/>
      <c r="N716" s="265"/>
      <c r="O716" s="265"/>
      <c r="P716" s="265"/>
      <c r="Q716" s="265"/>
      <c r="R716" s="265"/>
      <c r="S716" s="265"/>
      <c r="T716" s="265"/>
      <c r="U716" s="265"/>
      <c r="V716" s="265"/>
      <c r="W716" s="265"/>
      <c r="X716" s="265"/>
      <c r="Y716" s="265"/>
      <c r="Z716" s="265"/>
      <c r="AA716" s="265"/>
      <c r="AB716" s="265"/>
    </row>
    <row r="717" spans="1:28" ht="15.75" customHeight="1">
      <c r="A717" s="265"/>
      <c r="B717" s="265"/>
      <c r="C717" s="265"/>
      <c r="D717" s="265"/>
      <c r="E717" s="265"/>
      <c r="F717" s="265"/>
      <c r="G717" s="265"/>
      <c r="H717" s="265"/>
      <c r="I717" s="265"/>
      <c r="J717" s="265"/>
      <c r="K717" s="265"/>
      <c r="L717" s="265"/>
      <c r="M717" s="265"/>
      <c r="N717" s="265"/>
      <c r="O717" s="265"/>
      <c r="P717" s="265"/>
      <c r="Q717" s="265"/>
      <c r="R717" s="265"/>
      <c r="S717" s="265"/>
      <c r="T717" s="265"/>
      <c r="U717" s="265"/>
      <c r="V717" s="265"/>
      <c r="W717" s="265"/>
      <c r="X717" s="265"/>
      <c r="Y717" s="265"/>
      <c r="Z717" s="265"/>
      <c r="AA717" s="265"/>
      <c r="AB717" s="265"/>
    </row>
    <row r="718" spans="1:28" ht="15.75" customHeight="1">
      <c r="A718" s="265"/>
      <c r="B718" s="265"/>
      <c r="C718" s="265"/>
      <c r="D718" s="265"/>
      <c r="E718" s="265"/>
      <c r="F718" s="265"/>
      <c r="G718" s="265"/>
      <c r="H718" s="265"/>
      <c r="I718" s="265"/>
      <c r="J718" s="265"/>
      <c r="K718" s="265"/>
      <c r="L718" s="265"/>
      <c r="M718" s="265"/>
      <c r="N718" s="265"/>
      <c r="O718" s="265"/>
      <c r="P718" s="265"/>
      <c r="Q718" s="265"/>
      <c r="R718" s="265"/>
      <c r="S718" s="265"/>
      <c r="T718" s="265"/>
      <c r="U718" s="265"/>
      <c r="V718" s="265"/>
      <c r="W718" s="265"/>
      <c r="X718" s="265"/>
      <c r="Y718" s="265"/>
      <c r="Z718" s="265"/>
      <c r="AA718" s="265"/>
      <c r="AB718" s="265"/>
    </row>
    <row r="719" spans="1:28" ht="15.75" customHeight="1">
      <c r="A719" s="265"/>
      <c r="B719" s="265"/>
      <c r="C719" s="265"/>
      <c r="D719" s="265"/>
      <c r="E719" s="265"/>
      <c r="F719" s="265"/>
      <c r="G719" s="265"/>
      <c r="H719" s="265"/>
      <c r="I719" s="265"/>
      <c r="J719" s="265"/>
      <c r="K719" s="265"/>
      <c r="L719" s="265"/>
      <c r="M719" s="265"/>
      <c r="N719" s="265"/>
      <c r="O719" s="265"/>
      <c r="P719" s="265"/>
      <c r="Q719" s="265"/>
      <c r="R719" s="265"/>
      <c r="S719" s="265"/>
      <c r="T719" s="265"/>
      <c r="U719" s="265"/>
      <c r="V719" s="265"/>
      <c r="W719" s="265"/>
      <c r="X719" s="265"/>
      <c r="Y719" s="265"/>
      <c r="Z719" s="265"/>
      <c r="AA719" s="265"/>
      <c r="AB719" s="265"/>
    </row>
    <row r="720" spans="1:28" ht="15.75" customHeight="1">
      <c r="A720" s="265"/>
      <c r="B720" s="265"/>
      <c r="C720" s="265"/>
      <c r="D720" s="265"/>
      <c r="E720" s="265"/>
      <c r="F720" s="265"/>
      <c r="G720" s="265"/>
      <c r="H720" s="265"/>
      <c r="I720" s="265"/>
      <c r="J720" s="265"/>
      <c r="K720" s="265"/>
      <c r="L720" s="265"/>
      <c r="M720" s="265"/>
      <c r="N720" s="265"/>
      <c r="O720" s="265"/>
      <c r="P720" s="265"/>
      <c r="Q720" s="265"/>
      <c r="R720" s="265"/>
      <c r="S720" s="265"/>
      <c r="T720" s="265"/>
      <c r="U720" s="265"/>
      <c r="V720" s="265"/>
      <c r="W720" s="265"/>
      <c r="X720" s="265"/>
      <c r="Y720" s="265"/>
      <c r="Z720" s="265"/>
      <c r="AA720" s="265"/>
      <c r="AB720" s="265"/>
    </row>
    <row r="721" spans="1:28" ht="15.75" customHeight="1">
      <c r="A721" s="265"/>
      <c r="B721" s="265"/>
      <c r="C721" s="265"/>
      <c r="D721" s="265"/>
      <c r="E721" s="265"/>
      <c r="F721" s="265"/>
      <c r="G721" s="265"/>
      <c r="H721" s="265"/>
      <c r="I721" s="265"/>
      <c r="J721" s="265"/>
      <c r="K721" s="265"/>
      <c r="L721" s="265"/>
      <c r="M721" s="265"/>
      <c r="N721" s="265"/>
      <c r="O721" s="265"/>
      <c r="P721" s="265"/>
      <c r="Q721" s="265"/>
      <c r="R721" s="265"/>
      <c r="S721" s="265"/>
      <c r="T721" s="265"/>
      <c r="U721" s="265"/>
      <c r="V721" s="265"/>
      <c r="W721" s="265"/>
      <c r="X721" s="265"/>
      <c r="Y721" s="265"/>
      <c r="Z721" s="265"/>
      <c r="AA721" s="265"/>
      <c r="AB721" s="265"/>
    </row>
    <row r="722" spans="1:28" ht="15.75" customHeight="1">
      <c r="A722" s="265"/>
      <c r="B722" s="265"/>
      <c r="C722" s="265"/>
      <c r="D722" s="265"/>
      <c r="E722" s="265"/>
      <c r="F722" s="265"/>
      <c r="G722" s="265"/>
      <c r="H722" s="265"/>
      <c r="I722" s="265"/>
      <c r="J722" s="265"/>
      <c r="K722" s="265"/>
      <c r="L722" s="265"/>
      <c r="M722" s="265"/>
      <c r="N722" s="265"/>
      <c r="O722" s="265"/>
      <c r="P722" s="265"/>
      <c r="Q722" s="265"/>
      <c r="R722" s="265"/>
      <c r="S722" s="265"/>
      <c r="T722" s="265"/>
      <c r="U722" s="265"/>
      <c r="V722" s="265"/>
      <c r="W722" s="265"/>
      <c r="X722" s="265"/>
      <c r="Y722" s="265"/>
      <c r="Z722" s="265"/>
      <c r="AA722" s="265"/>
      <c r="AB722" s="265"/>
    </row>
    <row r="723" spans="1:28" ht="15.75" customHeight="1">
      <c r="A723" s="265"/>
      <c r="B723" s="265"/>
      <c r="C723" s="265"/>
      <c r="D723" s="265"/>
      <c r="E723" s="265"/>
      <c r="F723" s="265"/>
      <c r="G723" s="265"/>
      <c r="H723" s="265"/>
      <c r="I723" s="265"/>
      <c r="J723" s="265"/>
      <c r="K723" s="265"/>
      <c r="L723" s="265"/>
      <c r="M723" s="265"/>
      <c r="N723" s="265"/>
      <c r="O723" s="265"/>
      <c r="P723" s="265"/>
      <c r="Q723" s="265"/>
      <c r="R723" s="265"/>
      <c r="S723" s="265"/>
      <c r="T723" s="265"/>
      <c r="U723" s="265"/>
      <c r="V723" s="265"/>
      <c r="W723" s="265"/>
      <c r="X723" s="265"/>
      <c r="Y723" s="265"/>
      <c r="Z723" s="265"/>
      <c r="AA723" s="265"/>
      <c r="AB723" s="265"/>
    </row>
    <row r="724" spans="1:28" ht="15.75" customHeight="1">
      <c r="A724" s="265"/>
      <c r="B724" s="265"/>
      <c r="C724" s="265"/>
      <c r="D724" s="265"/>
      <c r="E724" s="265"/>
      <c r="F724" s="265"/>
      <c r="G724" s="265"/>
      <c r="H724" s="265"/>
      <c r="I724" s="265"/>
      <c r="J724" s="265"/>
      <c r="K724" s="265"/>
      <c r="L724" s="265"/>
      <c r="M724" s="265"/>
      <c r="N724" s="265"/>
      <c r="O724" s="265"/>
      <c r="P724" s="265"/>
      <c r="Q724" s="265"/>
      <c r="R724" s="265"/>
      <c r="S724" s="265"/>
      <c r="T724" s="265"/>
      <c r="U724" s="265"/>
      <c r="V724" s="265"/>
      <c r="W724" s="265"/>
      <c r="X724" s="265"/>
      <c r="Y724" s="265"/>
      <c r="Z724" s="265"/>
      <c r="AA724" s="265"/>
      <c r="AB724" s="265"/>
    </row>
    <row r="725" spans="1:28" ht="15.75" customHeight="1">
      <c r="A725" s="265"/>
      <c r="B725" s="265"/>
      <c r="C725" s="265"/>
      <c r="D725" s="265"/>
      <c r="E725" s="265"/>
      <c r="F725" s="265"/>
      <c r="G725" s="265"/>
      <c r="H725" s="265"/>
      <c r="I725" s="265"/>
      <c r="J725" s="265"/>
      <c r="K725" s="265"/>
      <c r="L725" s="265"/>
      <c r="M725" s="265"/>
      <c r="N725" s="265"/>
      <c r="O725" s="265"/>
      <c r="P725" s="265"/>
      <c r="Q725" s="265"/>
      <c r="R725" s="265"/>
      <c r="S725" s="265"/>
      <c r="T725" s="265"/>
      <c r="U725" s="265"/>
      <c r="V725" s="265"/>
      <c r="W725" s="265"/>
      <c r="X725" s="265"/>
      <c r="Y725" s="265"/>
      <c r="Z725" s="265"/>
      <c r="AA725" s="265"/>
      <c r="AB725" s="265"/>
    </row>
    <row r="726" spans="1:28" ht="15.75" customHeight="1">
      <c r="A726" s="265"/>
      <c r="B726" s="265"/>
      <c r="C726" s="265"/>
      <c r="D726" s="265"/>
      <c r="E726" s="265"/>
      <c r="F726" s="265"/>
      <c r="G726" s="265"/>
      <c r="H726" s="265"/>
      <c r="I726" s="265"/>
      <c r="J726" s="265"/>
      <c r="K726" s="265"/>
      <c r="L726" s="265"/>
      <c r="M726" s="265"/>
      <c r="N726" s="265"/>
      <c r="O726" s="265"/>
      <c r="P726" s="265"/>
      <c r="Q726" s="265"/>
      <c r="R726" s="265"/>
      <c r="S726" s="265"/>
      <c r="T726" s="265"/>
      <c r="U726" s="265"/>
      <c r="V726" s="265"/>
      <c r="W726" s="265"/>
      <c r="X726" s="265"/>
      <c r="Y726" s="265"/>
      <c r="Z726" s="265"/>
      <c r="AA726" s="265"/>
      <c r="AB726" s="265"/>
    </row>
    <row r="727" spans="1:28" ht="15.75" customHeight="1">
      <c r="A727" s="265"/>
      <c r="B727" s="265"/>
      <c r="C727" s="265"/>
      <c r="D727" s="265"/>
      <c r="E727" s="265"/>
      <c r="F727" s="265"/>
      <c r="G727" s="265"/>
      <c r="H727" s="265"/>
      <c r="I727" s="265"/>
      <c r="J727" s="265"/>
      <c r="K727" s="265"/>
      <c r="L727" s="265"/>
      <c r="M727" s="265"/>
      <c r="N727" s="265"/>
      <c r="O727" s="265"/>
      <c r="P727" s="265"/>
      <c r="Q727" s="265"/>
      <c r="R727" s="265"/>
      <c r="S727" s="265"/>
      <c r="T727" s="265"/>
      <c r="U727" s="265"/>
      <c r="V727" s="265"/>
      <c r="W727" s="265"/>
      <c r="X727" s="265"/>
      <c r="Y727" s="265"/>
      <c r="Z727" s="265"/>
      <c r="AA727" s="265"/>
      <c r="AB727" s="265"/>
    </row>
    <row r="728" spans="1:28" ht="15.75" customHeight="1">
      <c r="A728" s="265"/>
      <c r="B728" s="265"/>
      <c r="C728" s="265"/>
      <c r="D728" s="265"/>
      <c r="E728" s="265"/>
      <c r="F728" s="265"/>
      <c r="G728" s="265"/>
      <c r="H728" s="265"/>
      <c r="I728" s="265"/>
      <c r="J728" s="265"/>
      <c r="K728" s="265"/>
      <c r="L728" s="265"/>
      <c r="M728" s="265"/>
      <c r="N728" s="265"/>
      <c r="O728" s="265"/>
      <c r="P728" s="265"/>
      <c r="Q728" s="265"/>
      <c r="R728" s="265"/>
      <c r="S728" s="265"/>
      <c r="T728" s="265"/>
      <c r="U728" s="265"/>
      <c r="V728" s="265"/>
      <c r="W728" s="265"/>
      <c r="X728" s="265"/>
      <c r="Y728" s="265"/>
      <c r="Z728" s="265"/>
      <c r="AA728" s="265"/>
      <c r="AB728" s="265"/>
    </row>
    <row r="729" spans="1:28" ht="15.75" customHeight="1">
      <c r="A729" s="265"/>
      <c r="B729" s="265"/>
      <c r="C729" s="265"/>
      <c r="D729" s="265"/>
      <c r="E729" s="265"/>
      <c r="F729" s="265"/>
      <c r="G729" s="265"/>
      <c r="H729" s="265"/>
      <c r="I729" s="265"/>
      <c r="J729" s="265"/>
      <c r="K729" s="265"/>
      <c r="L729" s="265"/>
      <c r="M729" s="265"/>
      <c r="N729" s="265"/>
      <c r="O729" s="265"/>
      <c r="P729" s="265"/>
      <c r="Q729" s="265"/>
      <c r="R729" s="265"/>
      <c r="S729" s="265"/>
      <c r="T729" s="265"/>
      <c r="U729" s="265"/>
      <c r="V729" s="265"/>
      <c r="W729" s="265"/>
      <c r="X729" s="265"/>
      <c r="Y729" s="265"/>
      <c r="Z729" s="265"/>
      <c r="AA729" s="265"/>
      <c r="AB729" s="265"/>
    </row>
    <row r="730" spans="1:28" ht="15.75" customHeight="1">
      <c r="A730" s="265"/>
      <c r="B730" s="265"/>
      <c r="C730" s="265"/>
      <c r="D730" s="265"/>
      <c r="E730" s="265"/>
      <c r="F730" s="265"/>
      <c r="G730" s="265"/>
      <c r="H730" s="265"/>
      <c r="I730" s="265"/>
      <c r="J730" s="265"/>
      <c r="K730" s="265"/>
      <c r="L730" s="265"/>
      <c r="M730" s="265"/>
      <c r="N730" s="265"/>
      <c r="O730" s="265"/>
      <c r="P730" s="265"/>
      <c r="Q730" s="265"/>
      <c r="R730" s="265"/>
      <c r="S730" s="265"/>
      <c r="T730" s="265"/>
      <c r="U730" s="265"/>
      <c r="V730" s="265"/>
      <c r="W730" s="265"/>
      <c r="X730" s="265"/>
      <c r="Y730" s="265"/>
      <c r="Z730" s="265"/>
      <c r="AA730" s="265"/>
      <c r="AB730" s="265"/>
    </row>
    <row r="731" spans="1:28" ht="15.75" customHeight="1">
      <c r="A731" s="265"/>
      <c r="B731" s="265"/>
      <c r="C731" s="265"/>
      <c r="D731" s="265"/>
      <c r="E731" s="265"/>
      <c r="F731" s="265"/>
      <c r="G731" s="265"/>
      <c r="H731" s="265"/>
      <c r="I731" s="265"/>
      <c r="J731" s="265"/>
      <c r="K731" s="265"/>
      <c r="L731" s="265"/>
      <c r="M731" s="265"/>
      <c r="N731" s="265"/>
      <c r="O731" s="265"/>
      <c r="P731" s="265"/>
      <c r="Q731" s="265"/>
      <c r="R731" s="265"/>
      <c r="S731" s="265"/>
      <c r="T731" s="265"/>
      <c r="U731" s="265"/>
      <c r="V731" s="265"/>
      <c r="W731" s="265"/>
      <c r="X731" s="265"/>
      <c r="Y731" s="265"/>
      <c r="Z731" s="265"/>
      <c r="AA731" s="265"/>
      <c r="AB731" s="265"/>
    </row>
    <row r="732" spans="1:28" ht="15.75" customHeight="1">
      <c r="A732" s="265"/>
      <c r="B732" s="265"/>
      <c r="C732" s="265"/>
      <c r="D732" s="265"/>
      <c r="E732" s="265"/>
      <c r="F732" s="265"/>
      <c r="G732" s="265"/>
      <c r="H732" s="265"/>
      <c r="I732" s="265"/>
      <c r="J732" s="265"/>
      <c r="K732" s="265"/>
      <c r="L732" s="265"/>
      <c r="M732" s="265"/>
      <c r="N732" s="265"/>
      <c r="O732" s="265"/>
      <c r="P732" s="265"/>
      <c r="Q732" s="265"/>
      <c r="R732" s="265"/>
      <c r="S732" s="265"/>
      <c r="T732" s="265"/>
      <c r="U732" s="265"/>
      <c r="V732" s="265"/>
      <c r="W732" s="265"/>
      <c r="X732" s="265"/>
      <c r="Y732" s="265"/>
      <c r="Z732" s="265"/>
      <c r="AA732" s="265"/>
      <c r="AB732" s="265"/>
    </row>
    <row r="733" spans="1:28" ht="15.75" customHeight="1">
      <c r="A733" s="265"/>
      <c r="B733" s="265"/>
      <c r="C733" s="265"/>
      <c r="D733" s="265"/>
      <c r="E733" s="265"/>
      <c r="F733" s="265"/>
      <c r="G733" s="265"/>
      <c r="H733" s="265"/>
      <c r="I733" s="265"/>
      <c r="J733" s="265"/>
      <c r="K733" s="265"/>
      <c r="L733" s="265"/>
      <c r="M733" s="265"/>
      <c r="N733" s="265"/>
      <c r="O733" s="265"/>
      <c r="P733" s="265"/>
      <c r="Q733" s="265"/>
      <c r="R733" s="265"/>
      <c r="S733" s="265"/>
      <c r="T733" s="265"/>
      <c r="U733" s="265"/>
      <c r="V733" s="265"/>
      <c r="W733" s="265"/>
      <c r="X733" s="265"/>
      <c r="Y733" s="265"/>
      <c r="Z733" s="265"/>
      <c r="AA733" s="265"/>
      <c r="AB733" s="265"/>
    </row>
    <row r="734" spans="1:28" ht="15.75" customHeight="1">
      <c r="A734" s="265"/>
      <c r="B734" s="265"/>
      <c r="C734" s="265"/>
      <c r="D734" s="265"/>
      <c r="E734" s="265"/>
      <c r="F734" s="265"/>
      <c r="G734" s="265"/>
      <c r="H734" s="265"/>
      <c r="I734" s="265"/>
      <c r="J734" s="265"/>
      <c r="K734" s="265"/>
      <c r="L734" s="265"/>
      <c r="M734" s="265"/>
      <c r="N734" s="265"/>
      <c r="O734" s="265"/>
      <c r="P734" s="265"/>
      <c r="Q734" s="265"/>
      <c r="R734" s="265"/>
      <c r="S734" s="265"/>
      <c r="T734" s="265"/>
      <c r="U734" s="265"/>
      <c r="V734" s="265"/>
      <c r="W734" s="265"/>
      <c r="X734" s="265"/>
      <c r="Y734" s="265"/>
      <c r="Z734" s="265"/>
      <c r="AA734" s="265"/>
      <c r="AB734" s="265"/>
    </row>
    <row r="735" spans="1:28" ht="15.75" customHeight="1">
      <c r="A735" s="265"/>
      <c r="B735" s="265"/>
      <c r="C735" s="265"/>
      <c r="D735" s="265"/>
      <c r="E735" s="265"/>
      <c r="F735" s="265"/>
      <c r="G735" s="265"/>
      <c r="H735" s="265"/>
      <c r="I735" s="265"/>
      <c r="J735" s="265"/>
      <c r="K735" s="265"/>
      <c r="L735" s="265"/>
      <c r="M735" s="265"/>
      <c r="N735" s="265"/>
      <c r="O735" s="265"/>
      <c r="P735" s="265"/>
      <c r="Q735" s="265"/>
      <c r="R735" s="265"/>
      <c r="S735" s="265"/>
      <c r="T735" s="265"/>
      <c r="U735" s="265"/>
      <c r="V735" s="265"/>
      <c r="W735" s="265"/>
      <c r="X735" s="265"/>
      <c r="Y735" s="265"/>
      <c r="Z735" s="265"/>
      <c r="AA735" s="265"/>
      <c r="AB735" s="265"/>
    </row>
    <row r="736" spans="1:28" ht="15.75" customHeight="1">
      <c r="A736" s="265"/>
      <c r="B736" s="265"/>
      <c r="C736" s="265"/>
      <c r="D736" s="265"/>
      <c r="E736" s="265"/>
      <c r="F736" s="265"/>
      <c r="G736" s="265"/>
      <c r="H736" s="265"/>
      <c r="I736" s="265"/>
      <c r="J736" s="265"/>
      <c r="K736" s="265"/>
      <c r="L736" s="265"/>
      <c r="M736" s="265"/>
      <c r="N736" s="265"/>
      <c r="O736" s="265"/>
      <c r="P736" s="265"/>
      <c r="Q736" s="265"/>
      <c r="R736" s="265"/>
      <c r="S736" s="265"/>
      <c r="T736" s="265"/>
      <c r="U736" s="265"/>
      <c r="V736" s="265"/>
      <c r="W736" s="265"/>
      <c r="X736" s="265"/>
      <c r="Y736" s="265"/>
      <c r="Z736" s="265"/>
      <c r="AA736" s="265"/>
      <c r="AB736" s="265"/>
    </row>
    <row r="737" spans="1:28" ht="15.75" customHeight="1">
      <c r="A737" s="265"/>
      <c r="B737" s="265"/>
      <c r="C737" s="265"/>
      <c r="D737" s="265"/>
      <c r="E737" s="265"/>
      <c r="F737" s="265"/>
      <c r="G737" s="265"/>
      <c r="H737" s="265"/>
      <c r="I737" s="265"/>
      <c r="J737" s="265"/>
      <c r="K737" s="265"/>
      <c r="L737" s="265"/>
      <c r="M737" s="265"/>
      <c r="N737" s="265"/>
      <c r="O737" s="265"/>
      <c r="P737" s="265"/>
      <c r="Q737" s="265"/>
      <c r="R737" s="265"/>
      <c r="S737" s="265"/>
      <c r="T737" s="265"/>
      <c r="U737" s="265"/>
      <c r="V737" s="265"/>
      <c r="W737" s="265"/>
      <c r="X737" s="265"/>
      <c r="Y737" s="265"/>
      <c r="Z737" s="265"/>
      <c r="AA737" s="265"/>
      <c r="AB737" s="265"/>
    </row>
    <row r="738" spans="1:28" ht="15.75" customHeight="1">
      <c r="A738" s="265"/>
      <c r="B738" s="265"/>
      <c r="C738" s="265"/>
      <c r="D738" s="265"/>
      <c r="E738" s="265"/>
      <c r="F738" s="265"/>
      <c r="G738" s="265"/>
      <c r="H738" s="265"/>
      <c r="I738" s="265"/>
      <c r="J738" s="265"/>
      <c r="K738" s="265"/>
      <c r="L738" s="265"/>
      <c r="M738" s="265"/>
      <c r="N738" s="265"/>
      <c r="O738" s="265"/>
      <c r="P738" s="265"/>
      <c r="Q738" s="265"/>
      <c r="R738" s="265"/>
      <c r="S738" s="265"/>
      <c r="T738" s="265"/>
      <c r="U738" s="265"/>
      <c r="V738" s="265"/>
      <c r="W738" s="265"/>
      <c r="X738" s="265"/>
      <c r="Y738" s="265"/>
      <c r="Z738" s="265"/>
      <c r="AA738" s="265"/>
      <c r="AB738" s="265"/>
    </row>
    <row r="739" spans="1:28" ht="15.75" customHeight="1">
      <c r="A739" s="265"/>
      <c r="B739" s="265"/>
      <c r="C739" s="265"/>
      <c r="D739" s="265"/>
      <c r="E739" s="265"/>
      <c r="F739" s="265"/>
      <c r="G739" s="265"/>
      <c r="H739" s="265"/>
      <c r="I739" s="265"/>
      <c r="J739" s="265"/>
      <c r="K739" s="265"/>
      <c r="L739" s="265"/>
      <c r="M739" s="265"/>
      <c r="N739" s="265"/>
      <c r="O739" s="265"/>
      <c r="P739" s="265"/>
      <c r="Q739" s="265"/>
      <c r="R739" s="265"/>
      <c r="S739" s="265"/>
      <c r="T739" s="265"/>
      <c r="U739" s="265"/>
      <c r="V739" s="265"/>
      <c r="W739" s="265"/>
      <c r="X739" s="265"/>
      <c r="Y739" s="265"/>
      <c r="Z739" s="265"/>
      <c r="AA739" s="265"/>
      <c r="AB739" s="265"/>
    </row>
    <row r="740" spans="1:28" ht="15.75" customHeight="1">
      <c r="A740" s="265"/>
      <c r="B740" s="265"/>
      <c r="C740" s="265"/>
      <c r="D740" s="265"/>
      <c r="E740" s="265"/>
      <c r="F740" s="265"/>
      <c r="G740" s="265"/>
      <c r="H740" s="265"/>
      <c r="I740" s="265"/>
      <c r="J740" s="265"/>
      <c r="K740" s="265"/>
      <c r="L740" s="265"/>
      <c r="M740" s="265"/>
      <c r="N740" s="265"/>
      <c r="O740" s="265"/>
      <c r="P740" s="265"/>
      <c r="Q740" s="265"/>
      <c r="R740" s="265"/>
      <c r="S740" s="265"/>
      <c r="T740" s="265"/>
      <c r="U740" s="265"/>
      <c r="V740" s="265"/>
      <c r="W740" s="265"/>
      <c r="X740" s="265"/>
      <c r="Y740" s="265"/>
      <c r="Z740" s="265"/>
      <c r="AA740" s="265"/>
      <c r="AB740" s="265"/>
    </row>
    <row r="741" spans="1:28" ht="15.75" customHeight="1">
      <c r="A741" s="265"/>
      <c r="B741" s="265"/>
      <c r="C741" s="265"/>
      <c r="D741" s="265"/>
      <c r="E741" s="265"/>
      <c r="F741" s="265"/>
      <c r="G741" s="265"/>
      <c r="H741" s="265"/>
      <c r="I741" s="265"/>
      <c r="J741" s="265"/>
      <c r="K741" s="265"/>
      <c r="L741" s="265"/>
      <c r="M741" s="265"/>
      <c r="N741" s="265"/>
      <c r="O741" s="265"/>
      <c r="P741" s="265"/>
      <c r="Q741" s="265"/>
      <c r="R741" s="265"/>
      <c r="S741" s="265"/>
      <c r="T741" s="265"/>
      <c r="U741" s="265"/>
      <c r="V741" s="265"/>
      <c r="W741" s="265"/>
      <c r="X741" s="265"/>
      <c r="Y741" s="265"/>
      <c r="Z741" s="265"/>
      <c r="AA741" s="265"/>
      <c r="AB741" s="265"/>
    </row>
    <row r="742" spans="1:28" ht="15.75" customHeight="1">
      <c r="A742" s="265"/>
      <c r="B742" s="265"/>
      <c r="C742" s="265"/>
      <c r="D742" s="265"/>
      <c r="E742" s="265"/>
      <c r="F742" s="265"/>
      <c r="G742" s="265"/>
      <c r="H742" s="265"/>
      <c r="I742" s="265"/>
      <c r="J742" s="265"/>
      <c r="K742" s="265"/>
      <c r="L742" s="265"/>
      <c r="M742" s="265"/>
      <c r="N742" s="265"/>
      <c r="O742" s="265"/>
      <c r="P742" s="265"/>
      <c r="Q742" s="265"/>
      <c r="R742" s="265"/>
      <c r="S742" s="265"/>
      <c r="T742" s="265"/>
      <c r="U742" s="265"/>
      <c r="V742" s="265"/>
      <c r="W742" s="265"/>
      <c r="X742" s="265"/>
      <c r="Y742" s="265"/>
      <c r="Z742" s="265"/>
      <c r="AA742" s="265"/>
      <c r="AB742" s="265"/>
    </row>
    <row r="743" spans="1:28" ht="15.75" customHeight="1">
      <c r="A743" s="265"/>
      <c r="B743" s="265"/>
      <c r="C743" s="265"/>
      <c r="D743" s="265"/>
      <c r="E743" s="265"/>
      <c r="F743" s="265"/>
      <c r="G743" s="265"/>
      <c r="H743" s="265"/>
      <c r="I743" s="265"/>
      <c r="J743" s="265"/>
      <c r="K743" s="265"/>
      <c r="L743" s="265"/>
      <c r="M743" s="265"/>
      <c r="N743" s="265"/>
      <c r="O743" s="265"/>
      <c r="P743" s="265"/>
      <c r="Q743" s="265"/>
      <c r="R743" s="265"/>
      <c r="S743" s="265"/>
      <c r="T743" s="265"/>
      <c r="U743" s="265"/>
      <c r="V743" s="265"/>
      <c r="W743" s="265"/>
      <c r="X743" s="265"/>
      <c r="Y743" s="265"/>
      <c r="Z743" s="265"/>
      <c r="AA743" s="265"/>
      <c r="AB743" s="265"/>
    </row>
    <row r="744" spans="1:28" ht="15.75" customHeight="1">
      <c r="A744" s="265"/>
      <c r="B744" s="265"/>
      <c r="C744" s="265"/>
      <c r="D744" s="265"/>
      <c r="E744" s="265"/>
      <c r="F744" s="265"/>
      <c r="G744" s="265"/>
      <c r="H744" s="265"/>
      <c r="I744" s="265"/>
      <c r="J744" s="265"/>
      <c r="K744" s="265"/>
      <c r="L744" s="265"/>
      <c r="M744" s="265"/>
      <c r="N744" s="265"/>
      <c r="O744" s="265"/>
      <c r="P744" s="265"/>
      <c r="Q744" s="265"/>
      <c r="R744" s="265"/>
      <c r="S744" s="265"/>
      <c r="T744" s="265"/>
      <c r="U744" s="265"/>
      <c r="V744" s="265"/>
      <c r="W744" s="265"/>
      <c r="X744" s="265"/>
      <c r="Y744" s="265"/>
      <c r="Z744" s="265"/>
      <c r="AA744" s="265"/>
      <c r="AB744" s="265"/>
    </row>
    <row r="745" spans="1:28" ht="15.75" customHeight="1">
      <c r="A745" s="265"/>
      <c r="B745" s="265"/>
      <c r="C745" s="265"/>
      <c r="D745" s="265"/>
      <c r="E745" s="265"/>
      <c r="F745" s="265"/>
      <c r="G745" s="265"/>
      <c r="H745" s="265"/>
      <c r="I745" s="265"/>
      <c r="J745" s="265"/>
      <c r="K745" s="265"/>
      <c r="L745" s="265"/>
      <c r="M745" s="265"/>
      <c r="N745" s="265"/>
      <c r="O745" s="265"/>
      <c r="P745" s="265"/>
      <c r="Q745" s="265"/>
      <c r="R745" s="265"/>
      <c r="S745" s="265"/>
      <c r="T745" s="265"/>
      <c r="U745" s="265"/>
      <c r="V745" s="265"/>
      <c r="W745" s="265"/>
      <c r="X745" s="265"/>
      <c r="Y745" s="265"/>
      <c r="Z745" s="265"/>
      <c r="AA745" s="265"/>
      <c r="AB745" s="265"/>
    </row>
    <row r="746" spans="1:28" ht="15.75" customHeight="1">
      <c r="A746" s="265"/>
      <c r="B746" s="265"/>
      <c r="C746" s="265"/>
      <c r="D746" s="265"/>
      <c r="E746" s="265"/>
      <c r="F746" s="265"/>
      <c r="G746" s="265"/>
      <c r="H746" s="265"/>
      <c r="I746" s="265"/>
      <c r="J746" s="265"/>
      <c r="K746" s="265"/>
      <c r="L746" s="265"/>
      <c r="M746" s="265"/>
      <c r="N746" s="265"/>
      <c r="O746" s="265"/>
      <c r="P746" s="265"/>
      <c r="Q746" s="265"/>
      <c r="R746" s="265"/>
      <c r="S746" s="265"/>
      <c r="T746" s="265"/>
      <c r="U746" s="265"/>
      <c r="V746" s="265"/>
      <c r="W746" s="265"/>
      <c r="X746" s="265"/>
      <c r="Y746" s="265"/>
      <c r="Z746" s="265"/>
      <c r="AA746" s="265"/>
      <c r="AB746" s="265"/>
    </row>
    <row r="747" spans="1:28" ht="15.75" customHeight="1">
      <c r="A747" s="265"/>
      <c r="B747" s="265"/>
      <c r="C747" s="265"/>
      <c r="D747" s="265"/>
      <c r="E747" s="265"/>
      <c r="F747" s="265"/>
      <c r="G747" s="265"/>
      <c r="H747" s="265"/>
      <c r="I747" s="265"/>
      <c r="J747" s="265"/>
      <c r="K747" s="265"/>
      <c r="L747" s="265"/>
      <c r="M747" s="265"/>
      <c r="N747" s="265"/>
      <c r="O747" s="265"/>
      <c r="P747" s="265"/>
      <c r="Q747" s="265"/>
      <c r="R747" s="265"/>
      <c r="S747" s="265"/>
      <c r="T747" s="265"/>
      <c r="U747" s="265"/>
      <c r="V747" s="265"/>
      <c r="W747" s="265"/>
      <c r="X747" s="265"/>
      <c r="Y747" s="265"/>
      <c r="Z747" s="265"/>
      <c r="AA747" s="265"/>
      <c r="AB747" s="265"/>
    </row>
    <row r="748" spans="1:28" ht="15.75" customHeight="1">
      <c r="A748" s="265"/>
      <c r="B748" s="265"/>
      <c r="C748" s="265"/>
      <c r="D748" s="265"/>
      <c r="E748" s="265"/>
      <c r="F748" s="265"/>
      <c r="G748" s="265"/>
      <c r="H748" s="265"/>
      <c r="I748" s="265"/>
      <c r="J748" s="265"/>
      <c r="K748" s="265"/>
      <c r="L748" s="265"/>
      <c r="M748" s="265"/>
      <c r="N748" s="265"/>
      <c r="O748" s="265"/>
      <c r="P748" s="265"/>
      <c r="Q748" s="265"/>
      <c r="R748" s="265"/>
      <c r="S748" s="265"/>
      <c r="T748" s="265"/>
      <c r="U748" s="265"/>
      <c r="V748" s="265"/>
      <c r="W748" s="265"/>
      <c r="X748" s="265"/>
      <c r="Y748" s="265"/>
      <c r="Z748" s="265"/>
      <c r="AA748" s="265"/>
      <c r="AB748" s="265"/>
    </row>
    <row r="749" spans="1:28" ht="15.75" customHeight="1">
      <c r="A749" s="265"/>
      <c r="B749" s="265"/>
      <c r="C749" s="265"/>
      <c r="D749" s="265"/>
      <c r="E749" s="265"/>
      <c r="F749" s="265"/>
      <c r="G749" s="265"/>
      <c r="H749" s="265"/>
      <c r="I749" s="265"/>
      <c r="J749" s="265"/>
      <c r="K749" s="265"/>
      <c r="L749" s="265"/>
      <c r="M749" s="265"/>
      <c r="N749" s="265"/>
      <c r="O749" s="265"/>
      <c r="P749" s="265"/>
      <c r="Q749" s="265"/>
      <c r="R749" s="265"/>
      <c r="S749" s="265"/>
      <c r="T749" s="265"/>
      <c r="U749" s="265"/>
      <c r="V749" s="265"/>
      <c r="W749" s="265"/>
      <c r="X749" s="265"/>
      <c r="Y749" s="265"/>
      <c r="Z749" s="265"/>
      <c r="AA749" s="265"/>
      <c r="AB749" s="265"/>
    </row>
    <row r="750" spans="1:28" ht="15.75" customHeight="1">
      <c r="A750" s="265"/>
      <c r="B750" s="265"/>
      <c r="C750" s="265"/>
      <c r="D750" s="265"/>
      <c r="E750" s="265"/>
      <c r="F750" s="265"/>
      <c r="G750" s="265"/>
      <c r="H750" s="265"/>
      <c r="I750" s="265"/>
      <c r="J750" s="265"/>
      <c r="K750" s="265"/>
      <c r="L750" s="265"/>
      <c r="M750" s="265"/>
      <c r="N750" s="265"/>
      <c r="O750" s="265"/>
      <c r="P750" s="265"/>
      <c r="Q750" s="265"/>
      <c r="R750" s="265"/>
      <c r="S750" s="265"/>
      <c r="T750" s="265"/>
      <c r="U750" s="265"/>
      <c r="V750" s="265"/>
      <c r="W750" s="265"/>
      <c r="X750" s="265"/>
      <c r="Y750" s="265"/>
      <c r="Z750" s="265"/>
      <c r="AA750" s="265"/>
      <c r="AB750" s="265"/>
    </row>
    <row r="751" spans="1:28" ht="15.75" customHeight="1">
      <c r="A751" s="265"/>
      <c r="B751" s="265"/>
      <c r="C751" s="265"/>
      <c r="D751" s="265"/>
      <c r="E751" s="265"/>
      <c r="F751" s="265"/>
      <c r="G751" s="265"/>
      <c r="H751" s="265"/>
      <c r="I751" s="265"/>
      <c r="J751" s="265"/>
      <c r="K751" s="265"/>
      <c r="L751" s="265"/>
      <c r="M751" s="265"/>
      <c r="N751" s="265"/>
      <c r="O751" s="265"/>
      <c r="P751" s="265"/>
      <c r="Q751" s="265"/>
      <c r="R751" s="265"/>
      <c r="S751" s="265"/>
      <c r="T751" s="265"/>
      <c r="U751" s="265"/>
      <c r="V751" s="265"/>
      <c r="W751" s="265"/>
      <c r="X751" s="265"/>
      <c r="Y751" s="265"/>
      <c r="Z751" s="265"/>
      <c r="AA751" s="265"/>
      <c r="AB751" s="265"/>
    </row>
    <row r="752" spans="1:28" ht="15.75" customHeight="1">
      <c r="A752" s="265"/>
      <c r="B752" s="265"/>
      <c r="C752" s="265"/>
      <c r="D752" s="265"/>
      <c r="E752" s="265"/>
      <c r="F752" s="265"/>
      <c r="G752" s="265"/>
      <c r="H752" s="265"/>
      <c r="I752" s="265"/>
      <c r="J752" s="265"/>
      <c r="K752" s="265"/>
      <c r="L752" s="265"/>
      <c r="M752" s="265"/>
      <c r="N752" s="265"/>
      <c r="O752" s="265"/>
      <c r="P752" s="265"/>
      <c r="Q752" s="265"/>
      <c r="R752" s="265"/>
      <c r="S752" s="265"/>
      <c r="T752" s="265"/>
      <c r="U752" s="265"/>
      <c r="V752" s="265"/>
      <c r="W752" s="265"/>
      <c r="X752" s="265"/>
      <c r="Y752" s="265"/>
      <c r="Z752" s="265"/>
      <c r="AA752" s="265"/>
      <c r="AB752" s="265"/>
    </row>
    <row r="753" spans="1:28" ht="15.75" customHeight="1">
      <c r="A753" s="265"/>
      <c r="B753" s="265"/>
      <c r="C753" s="265"/>
      <c r="D753" s="265"/>
      <c r="E753" s="265"/>
      <c r="F753" s="265"/>
      <c r="G753" s="265"/>
      <c r="H753" s="265"/>
      <c r="I753" s="265"/>
      <c r="J753" s="265"/>
      <c r="K753" s="265"/>
      <c r="L753" s="265"/>
      <c r="M753" s="265"/>
      <c r="N753" s="265"/>
      <c r="O753" s="265"/>
      <c r="P753" s="265"/>
      <c r="Q753" s="265"/>
      <c r="R753" s="265"/>
      <c r="S753" s="265"/>
      <c r="T753" s="265"/>
      <c r="U753" s="265"/>
      <c r="V753" s="265"/>
      <c r="W753" s="265"/>
      <c r="X753" s="265"/>
      <c r="Y753" s="265"/>
      <c r="Z753" s="265"/>
      <c r="AA753" s="265"/>
      <c r="AB753" s="265"/>
    </row>
    <row r="754" spans="1:28" ht="15.75" customHeight="1">
      <c r="A754" s="265"/>
      <c r="B754" s="265"/>
      <c r="C754" s="265"/>
      <c r="D754" s="265"/>
      <c r="E754" s="265"/>
      <c r="F754" s="265"/>
      <c r="G754" s="265"/>
      <c r="H754" s="265"/>
      <c r="I754" s="265"/>
      <c r="J754" s="265"/>
      <c r="K754" s="265"/>
      <c r="L754" s="265"/>
      <c r="M754" s="265"/>
      <c r="N754" s="265"/>
      <c r="O754" s="265"/>
      <c r="P754" s="265"/>
      <c r="Q754" s="265"/>
      <c r="R754" s="265"/>
      <c r="S754" s="265"/>
      <c r="T754" s="265"/>
      <c r="U754" s="265"/>
      <c r="V754" s="265"/>
      <c r="W754" s="265"/>
      <c r="X754" s="265"/>
      <c r="Y754" s="265"/>
      <c r="Z754" s="265"/>
      <c r="AA754" s="265"/>
      <c r="AB754" s="265"/>
    </row>
    <row r="755" spans="1:28" ht="15.75" customHeight="1">
      <c r="A755" s="265"/>
      <c r="B755" s="265"/>
      <c r="C755" s="265"/>
      <c r="D755" s="265"/>
      <c r="E755" s="265"/>
      <c r="F755" s="265"/>
      <c r="G755" s="265"/>
      <c r="H755" s="265"/>
      <c r="I755" s="265"/>
      <c r="J755" s="265"/>
      <c r="K755" s="265"/>
      <c r="L755" s="265"/>
      <c r="M755" s="265"/>
      <c r="N755" s="265"/>
      <c r="O755" s="265"/>
      <c r="P755" s="265"/>
      <c r="Q755" s="265"/>
      <c r="R755" s="265"/>
      <c r="S755" s="265"/>
      <c r="T755" s="265"/>
      <c r="U755" s="265"/>
      <c r="V755" s="265"/>
      <c r="W755" s="265"/>
      <c r="X755" s="265"/>
      <c r="Y755" s="265"/>
      <c r="Z755" s="265"/>
      <c r="AA755" s="265"/>
      <c r="AB755" s="265"/>
    </row>
    <row r="756" spans="1:28" ht="15.75" customHeight="1">
      <c r="A756" s="265"/>
      <c r="B756" s="265"/>
      <c r="C756" s="265"/>
      <c r="D756" s="265"/>
      <c r="E756" s="265"/>
      <c r="F756" s="265"/>
      <c r="G756" s="265"/>
      <c r="H756" s="265"/>
      <c r="I756" s="265"/>
      <c r="J756" s="265"/>
      <c r="K756" s="265"/>
      <c r="L756" s="265"/>
      <c r="M756" s="265"/>
      <c r="N756" s="265"/>
      <c r="O756" s="265"/>
      <c r="P756" s="265"/>
      <c r="Q756" s="265"/>
      <c r="R756" s="265"/>
      <c r="S756" s="265"/>
      <c r="T756" s="265"/>
      <c r="U756" s="265"/>
      <c r="V756" s="265"/>
      <c r="W756" s="265"/>
      <c r="X756" s="265"/>
      <c r="Y756" s="265"/>
      <c r="Z756" s="265"/>
      <c r="AA756" s="265"/>
      <c r="AB756" s="265"/>
    </row>
    <row r="757" spans="1:28" ht="15.75" customHeight="1">
      <c r="A757" s="265"/>
      <c r="B757" s="265"/>
      <c r="C757" s="265"/>
      <c r="D757" s="265"/>
      <c r="E757" s="265"/>
      <c r="F757" s="265"/>
      <c r="G757" s="265"/>
      <c r="H757" s="265"/>
      <c r="I757" s="265"/>
      <c r="J757" s="265"/>
      <c r="K757" s="265"/>
      <c r="L757" s="265"/>
      <c r="M757" s="265"/>
      <c r="N757" s="265"/>
      <c r="O757" s="265"/>
      <c r="P757" s="265"/>
      <c r="Q757" s="265"/>
      <c r="R757" s="265"/>
      <c r="S757" s="265"/>
      <c r="T757" s="265"/>
      <c r="U757" s="265"/>
      <c r="V757" s="265"/>
      <c r="W757" s="265"/>
      <c r="X757" s="265"/>
      <c r="Y757" s="265"/>
      <c r="Z757" s="265"/>
      <c r="AA757" s="265"/>
      <c r="AB757" s="265"/>
    </row>
    <row r="758" spans="1:28" ht="15.75" customHeight="1">
      <c r="A758" s="265"/>
      <c r="B758" s="265"/>
      <c r="C758" s="265"/>
      <c r="D758" s="265"/>
      <c r="E758" s="265"/>
      <c r="F758" s="265"/>
      <c r="G758" s="265"/>
      <c r="H758" s="265"/>
      <c r="I758" s="265"/>
      <c r="J758" s="265"/>
      <c r="K758" s="265"/>
      <c r="L758" s="265"/>
      <c r="M758" s="265"/>
      <c r="N758" s="265"/>
      <c r="O758" s="265"/>
      <c r="P758" s="265"/>
      <c r="Q758" s="265"/>
      <c r="R758" s="265"/>
      <c r="S758" s="265"/>
      <c r="T758" s="265"/>
      <c r="U758" s="265"/>
      <c r="V758" s="265"/>
      <c r="W758" s="265"/>
      <c r="X758" s="265"/>
      <c r="Y758" s="265"/>
      <c r="Z758" s="265"/>
      <c r="AA758" s="265"/>
      <c r="AB758" s="265"/>
    </row>
    <row r="759" spans="1:28" ht="15.75" customHeight="1">
      <c r="A759" s="265"/>
      <c r="B759" s="265"/>
      <c r="C759" s="265"/>
      <c r="D759" s="265"/>
      <c r="E759" s="265"/>
      <c r="F759" s="265"/>
      <c r="G759" s="265"/>
      <c r="H759" s="265"/>
      <c r="I759" s="265"/>
      <c r="J759" s="265"/>
      <c r="K759" s="265"/>
      <c r="L759" s="265"/>
      <c r="M759" s="265"/>
      <c r="N759" s="265"/>
      <c r="O759" s="265"/>
      <c r="P759" s="265"/>
      <c r="Q759" s="265"/>
      <c r="R759" s="265"/>
      <c r="S759" s="265"/>
      <c r="T759" s="265"/>
      <c r="U759" s="265"/>
      <c r="V759" s="265"/>
      <c r="W759" s="265"/>
      <c r="X759" s="265"/>
      <c r="Y759" s="265"/>
      <c r="Z759" s="265"/>
      <c r="AA759" s="265"/>
      <c r="AB759" s="265"/>
    </row>
    <row r="760" spans="1:28" ht="15.75" customHeight="1">
      <c r="A760" s="265"/>
      <c r="B760" s="265"/>
      <c r="C760" s="265"/>
      <c r="D760" s="265"/>
      <c r="E760" s="265"/>
      <c r="F760" s="265"/>
      <c r="G760" s="265"/>
      <c r="H760" s="265"/>
      <c r="I760" s="265"/>
      <c r="J760" s="265"/>
      <c r="K760" s="265"/>
      <c r="L760" s="265"/>
      <c r="M760" s="265"/>
      <c r="N760" s="265"/>
      <c r="O760" s="265"/>
      <c r="P760" s="265"/>
      <c r="Q760" s="265"/>
      <c r="R760" s="265"/>
      <c r="S760" s="265"/>
      <c r="T760" s="265"/>
      <c r="U760" s="265"/>
      <c r="V760" s="265"/>
      <c r="W760" s="265"/>
      <c r="X760" s="265"/>
      <c r="Y760" s="265"/>
      <c r="Z760" s="265"/>
      <c r="AA760" s="265"/>
      <c r="AB760" s="265"/>
    </row>
    <row r="761" spans="1:28" ht="15.75" customHeight="1">
      <c r="A761" s="265"/>
      <c r="B761" s="265"/>
      <c r="C761" s="265"/>
      <c r="D761" s="265"/>
      <c r="E761" s="265"/>
      <c r="F761" s="265"/>
      <c r="G761" s="265"/>
      <c r="H761" s="265"/>
      <c r="I761" s="265"/>
      <c r="J761" s="265"/>
      <c r="K761" s="265"/>
      <c r="L761" s="265"/>
      <c r="M761" s="265"/>
      <c r="N761" s="265"/>
      <c r="O761" s="265"/>
      <c r="P761" s="265"/>
      <c r="Q761" s="265"/>
      <c r="R761" s="265"/>
      <c r="S761" s="265"/>
      <c r="T761" s="265"/>
      <c r="U761" s="265"/>
      <c r="V761" s="265"/>
      <c r="W761" s="265"/>
      <c r="X761" s="265"/>
      <c r="Y761" s="265"/>
      <c r="Z761" s="265"/>
      <c r="AA761" s="265"/>
      <c r="AB761" s="265"/>
    </row>
    <row r="762" spans="1:28" ht="15.75" customHeight="1">
      <c r="A762" s="265"/>
      <c r="B762" s="265"/>
      <c r="C762" s="265"/>
      <c r="D762" s="265"/>
      <c r="E762" s="265"/>
      <c r="F762" s="265"/>
      <c r="G762" s="265"/>
      <c r="H762" s="265"/>
      <c r="I762" s="265"/>
      <c r="J762" s="265"/>
      <c r="K762" s="265"/>
      <c r="L762" s="265"/>
      <c r="M762" s="265"/>
      <c r="N762" s="265"/>
      <c r="O762" s="265"/>
      <c r="P762" s="265"/>
      <c r="Q762" s="265"/>
      <c r="R762" s="265"/>
      <c r="S762" s="265"/>
      <c r="T762" s="265"/>
      <c r="U762" s="265"/>
      <c r="V762" s="265"/>
      <c r="W762" s="265"/>
      <c r="X762" s="265"/>
      <c r="Y762" s="265"/>
      <c r="Z762" s="265"/>
      <c r="AA762" s="265"/>
      <c r="AB762" s="265"/>
    </row>
    <row r="763" spans="1:28" ht="15.75" customHeight="1">
      <c r="A763" s="265"/>
      <c r="B763" s="265"/>
      <c r="C763" s="265"/>
      <c r="D763" s="265"/>
      <c r="E763" s="265"/>
      <c r="F763" s="265"/>
      <c r="G763" s="265"/>
      <c r="H763" s="265"/>
      <c r="I763" s="265"/>
      <c r="J763" s="265"/>
      <c r="K763" s="265"/>
      <c r="L763" s="265"/>
      <c r="M763" s="265"/>
      <c r="N763" s="265"/>
      <c r="O763" s="265"/>
      <c r="P763" s="265"/>
      <c r="Q763" s="265"/>
      <c r="R763" s="265"/>
      <c r="S763" s="265"/>
      <c r="T763" s="265"/>
      <c r="U763" s="265"/>
      <c r="V763" s="265"/>
      <c r="W763" s="265"/>
      <c r="X763" s="265"/>
      <c r="Y763" s="265"/>
      <c r="Z763" s="265"/>
      <c r="AA763" s="265"/>
      <c r="AB763" s="265"/>
    </row>
    <row r="764" spans="1:28" ht="15.75" customHeight="1">
      <c r="A764" s="265"/>
      <c r="B764" s="265"/>
      <c r="C764" s="265"/>
      <c r="D764" s="265"/>
      <c r="E764" s="265"/>
      <c r="F764" s="265"/>
      <c r="G764" s="265"/>
      <c r="H764" s="265"/>
      <c r="I764" s="265"/>
      <c r="J764" s="265"/>
      <c r="K764" s="265"/>
      <c r="L764" s="265"/>
      <c r="M764" s="265"/>
      <c r="N764" s="265"/>
      <c r="O764" s="265"/>
      <c r="P764" s="265"/>
      <c r="Q764" s="265"/>
      <c r="R764" s="265"/>
      <c r="S764" s="265"/>
      <c r="T764" s="265"/>
      <c r="U764" s="265"/>
      <c r="V764" s="265"/>
      <c r="W764" s="265"/>
      <c r="X764" s="265"/>
      <c r="Y764" s="265"/>
      <c r="Z764" s="265"/>
      <c r="AA764" s="265"/>
      <c r="AB764" s="265"/>
    </row>
    <row r="765" spans="1:28" ht="15.75" customHeight="1">
      <c r="A765" s="265"/>
      <c r="B765" s="265"/>
      <c r="C765" s="265"/>
      <c r="D765" s="265"/>
      <c r="E765" s="265"/>
      <c r="F765" s="265"/>
      <c r="G765" s="265"/>
      <c r="H765" s="265"/>
      <c r="I765" s="265"/>
      <c r="J765" s="265"/>
      <c r="K765" s="265"/>
      <c r="L765" s="265"/>
      <c r="M765" s="265"/>
      <c r="N765" s="265"/>
      <c r="O765" s="265"/>
      <c r="P765" s="265"/>
      <c r="Q765" s="265"/>
      <c r="R765" s="265"/>
      <c r="S765" s="265"/>
      <c r="T765" s="265"/>
      <c r="U765" s="265"/>
      <c r="V765" s="265"/>
      <c r="W765" s="265"/>
      <c r="X765" s="265"/>
      <c r="Y765" s="265"/>
      <c r="Z765" s="265"/>
      <c r="AA765" s="265"/>
      <c r="AB765" s="265"/>
    </row>
    <row r="766" spans="1:28" ht="15.75" customHeight="1">
      <c r="A766" s="265"/>
      <c r="B766" s="265"/>
      <c r="C766" s="265"/>
      <c r="D766" s="265"/>
      <c r="E766" s="265"/>
      <c r="F766" s="265"/>
      <c r="G766" s="265"/>
      <c r="H766" s="265"/>
      <c r="I766" s="265"/>
      <c r="J766" s="265"/>
      <c r="K766" s="265"/>
      <c r="L766" s="265"/>
      <c r="M766" s="265"/>
      <c r="N766" s="265"/>
      <c r="O766" s="265"/>
      <c r="P766" s="265"/>
      <c r="Q766" s="265"/>
      <c r="R766" s="265"/>
      <c r="S766" s="265"/>
      <c r="T766" s="265"/>
      <c r="U766" s="265"/>
      <c r="V766" s="265"/>
      <c r="W766" s="265"/>
      <c r="X766" s="265"/>
      <c r="Y766" s="265"/>
      <c r="Z766" s="265"/>
      <c r="AA766" s="265"/>
      <c r="AB766" s="265"/>
    </row>
    <row r="767" spans="1:28" ht="15.75" customHeight="1">
      <c r="A767" s="265"/>
      <c r="B767" s="265"/>
      <c r="C767" s="265"/>
      <c r="D767" s="265"/>
      <c r="E767" s="265"/>
      <c r="F767" s="265"/>
      <c r="G767" s="265"/>
      <c r="H767" s="265"/>
      <c r="I767" s="265"/>
      <c r="J767" s="265"/>
      <c r="K767" s="265"/>
      <c r="L767" s="265"/>
      <c r="M767" s="265"/>
      <c r="N767" s="265"/>
      <c r="O767" s="265"/>
      <c r="P767" s="265"/>
      <c r="Q767" s="265"/>
      <c r="R767" s="265"/>
      <c r="S767" s="265"/>
      <c r="T767" s="265"/>
      <c r="U767" s="265"/>
      <c r="V767" s="265"/>
      <c r="W767" s="265"/>
      <c r="X767" s="265"/>
      <c r="Y767" s="265"/>
      <c r="Z767" s="265"/>
      <c r="AA767" s="265"/>
      <c r="AB767" s="265"/>
    </row>
    <row r="768" spans="1:28" ht="15.75" customHeight="1">
      <c r="A768" s="265"/>
      <c r="B768" s="265"/>
      <c r="C768" s="265"/>
      <c r="D768" s="265"/>
      <c r="E768" s="265"/>
      <c r="F768" s="265"/>
      <c r="G768" s="265"/>
      <c r="H768" s="265"/>
      <c r="I768" s="265"/>
      <c r="J768" s="265"/>
      <c r="K768" s="265"/>
      <c r="L768" s="265"/>
      <c r="M768" s="265"/>
      <c r="N768" s="265"/>
      <c r="O768" s="265"/>
      <c r="P768" s="265"/>
      <c r="Q768" s="265"/>
      <c r="R768" s="265"/>
      <c r="S768" s="265"/>
      <c r="T768" s="265"/>
      <c r="U768" s="265"/>
      <c r="V768" s="265"/>
      <c r="W768" s="265"/>
      <c r="X768" s="265"/>
      <c r="Y768" s="265"/>
      <c r="Z768" s="265"/>
      <c r="AA768" s="265"/>
      <c r="AB768" s="265"/>
    </row>
    <row r="769" spans="1:28" ht="15.75" customHeight="1">
      <c r="A769" s="265"/>
      <c r="B769" s="265"/>
      <c r="C769" s="265"/>
      <c r="D769" s="265"/>
      <c r="E769" s="265"/>
      <c r="F769" s="265"/>
      <c r="G769" s="265"/>
      <c r="H769" s="265"/>
      <c r="I769" s="265"/>
      <c r="J769" s="265"/>
      <c r="K769" s="265"/>
      <c r="L769" s="265"/>
      <c r="M769" s="265"/>
      <c r="N769" s="265"/>
      <c r="O769" s="265"/>
      <c r="P769" s="265"/>
      <c r="Q769" s="265"/>
      <c r="R769" s="265"/>
      <c r="S769" s="265"/>
      <c r="T769" s="265"/>
      <c r="U769" s="265"/>
      <c r="V769" s="265"/>
      <c r="W769" s="265"/>
      <c r="X769" s="265"/>
      <c r="Y769" s="265"/>
      <c r="Z769" s="265"/>
      <c r="AA769" s="265"/>
      <c r="AB769" s="265"/>
    </row>
    <row r="770" spans="1:28" ht="15.75" customHeight="1">
      <c r="A770" s="265"/>
      <c r="B770" s="265"/>
      <c r="C770" s="265"/>
      <c r="D770" s="265"/>
      <c r="E770" s="265"/>
      <c r="F770" s="265"/>
      <c r="G770" s="265"/>
      <c r="H770" s="265"/>
      <c r="I770" s="265"/>
      <c r="J770" s="265"/>
      <c r="K770" s="265"/>
      <c r="L770" s="265"/>
      <c r="M770" s="265"/>
      <c r="N770" s="265"/>
      <c r="O770" s="265"/>
      <c r="P770" s="265"/>
      <c r="Q770" s="265"/>
      <c r="R770" s="265"/>
      <c r="S770" s="265"/>
      <c r="T770" s="265"/>
      <c r="U770" s="265"/>
      <c r="V770" s="265"/>
      <c r="W770" s="265"/>
      <c r="X770" s="265"/>
      <c r="Y770" s="265"/>
      <c r="Z770" s="265"/>
      <c r="AA770" s="265"/>
      <c r="AB770" s="265"/>
    </row>
    <row r="771" spans="1:28" ht="15.75" customHeight="1">
      <c r="A771" s="265"/>
      <c r="B771" s="265"/>
      <c r="C771" s="265"/>
      <c r="D771" s="265"/>
      <c r="E771" s="265"/>
      <c r="F771" s="265"/>
      <c r="G771" s="265"/>
      <c r="H771" s="265"/>
      <c r="I771" s="265"/>
      <c r="J771" s="265"/>
      <c r="K771" s="265"/>
      <c r="L771" s="265"/>
      <c r="M771" s="265"/>
      <c r="N771" s="265"/>
      <c r="O771" s="265"/>
      <c r="P771" s="265"/>
      <c r="Q771" s="265"/>
      <c r="R771" s="265"/>
      <c r="S771" s="265"/>
      <c r="T771" s="265"/>
      <c r="U771" s="265"/>
      <c r="V771" s="265"/>
      <c r="W771" s="265"/>
      <c r="X771" s="265"/>
      <c r="Y771" s="265"/>
      <c r="Z771" s="265"/>
      <c r="AA771" s="265"/>
      <c r="AB771" s="265"/>
    </row>
    <row r="772" spans="1:28" ht="15.75" customHeight="1">
      <c r="A772" s="265"/>
      <c r="B772" s="265"/>
      <c r="C772" s="265"/>
      <c r="D772" s="265"/>
      <c r="E772" s="265"/>
      <c r="F772" s="265"/>
      <c r="G772" s="265"/>
      <c r="H772" s="265"/>
      <c r="I772" s="265"/>
      <c r="J772" s="265"/>
      <c r="K772" s="265"/>
      <c r="L772" s="265"/>
      <c r="M772" s="265"/>
      <c r="N772" s="265"/>
      <c r="O772" s="265"/>
      <c r="P772" s="265"/>
      <c r="Q772" s="265"/>
      <c r="R772" s="265"/>
      <c r="S772" s="265"/>
      <c r="T772" s="265"/>
      <c r="U772" s="265"/>
      <c r="V772" s="265"/>
      <c r="W772" s="265"/>
      <c r="X772" s="265"/>
      <c r="Y772" s="265"/>
      <c r="Z772" s="265"/>
      <c r="AA772" s="265"/>
      <c r="AB772" s="265"/>
    </row>
    <row r="773" spans="1:28" ht="15.75" customHeight="1">
      <c r="A773" s="265"/>
      <c r="B773" s="265"/>
      <c r="C773" s="265"/>
      <c r="D773" s="265"/>
      <c r="E773" s="265"/>
      <c r="F773" s="265"/>
      <c r="G773" s="265"/>
      <c r="H773" s="265"/>
      <c r="I773" s="265"/>
      <c r="J773" s="265"/>
      <c r="K773" s="265"/>
      <c r="L773" s="265"/>
      <c r="M773" s="265"/>
      <c r="N773" s="265"/>
      <c r="O773" s="265"/>
      <c r="P773" s="265"/>
      <c r="Q773" s="265"/>
      <c r="R773" s="265"/>
      <c r="S773" s="265"/>
      <c r="T773" s="265"/>
      <c r="U773" s="265"/>
      <c r="V773" s="265"/>
      <c r="W773" s="265"/>
      <c r="X773" s="265"/>
      <c r="Y773" s="265"/>
      <c r="Z773" s="265"/>
      <c r="AA773" s="265"/>
      <c r="AB773" s="265"/>
    </row>
    <row r="774" spans="1:28" ht="15.75" customHeight="1">
      <c r="A774" s="265"/>
      <c r="B774" s="265"/>
      <c r="C774" s="265"/>
      <c r="D774" s="265"/>
      <c r="E774" s="265"/>
      <c r="F774" s="265"/>
      <c r="G774" s="265"/>
      <c r="H774" s="265"/>
      <c r="I774" s="265"/>
      <c r="J774" s="265"/>
      <c r="K774" s="265"/>
      <c r="L774" s="265"/>
      <c r="M774" s="265"/>
      <c r="N774" s="265"/>
      <c r="O774" s="265"/>
      <c r="P774" s="265"/>
      <c r="Q774" s="265"/>
      <c r="R774" s="265"/>
      <c r="S774" s="265"/>
      <c r="T774" s="265"/>
      <c r="U774" s="265"/>
      <c r="V774" s="265"/>
      <c r="W774" s="265"/>
      <c r="X774" s="265"/>
      <c r="Y774" s="265"/>
      <c r="Z774" s="265"/>
      <c r="AA774" s="265"/>
      <c r="AB774" s="265"/>
    </row>
    <row r="775" spans="1:28" ht="15.75" customHeight="1">
      <c r="A775" s="265"/>
      <c r="B775" s="265"/>
      <c r="C775" s="265"/>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row>
    <row r="776" spans="1:28" ht="15.75" customHeight="1">
      <c r="A776" s="265"/>
      <c r="B776" s="265"/>
      <c r="C776" s="265"/>
      <c r="D776" s="265"/>
      <c r="E776" s="265"/>
      <c r="F776" s="265"/>
      <c r="G776" s="265"/>
      <c r="H776" s="265"/>
      <c r="I776" s="265"/>
      <c r="J776" s="265"/>
      <c r="K776" s="265"/>
      <c r="L776" s="265"/>
      <c r="M776" s="265"/>
      <c r="N776" s="265"/>
      <c r="O776" s="265"/>
      <c r="P776" s="265"/>
      <c r="Q776" s="265"/>
      <c r="R776" s="265"/>
      <c r="S776" s="265"/>
      <c r="T776" s="265"/>
      <c r="U776" s="265"/>
      <c r="V776" s="265"/>
      <c r="W776" s="265"/>
      <c r="X776" s="265"/>
      <c r="Y776" s="265"/>
      <c r="Z776" s="265"/>
      <c r="AA776" s="265"/>
      <c r="AB776" s="265"/>
    </row>
    <row r="777" spans="1:28" ht="15.75" customHeight="1">
      <c r="A777" s="265"/>
      <c r="B777" s="265"/>
      <c r="C777" s="265"/>
      <c r="D777" s="265"/>
      <c r="E777" s="265"/>
      <c r="F777" s="265"/>
      <c r="G777" s="265"/>
      <c r="H777" s="265"/>
      <c r="I777" s="265"/>
      <c r="J777" s="265"/>
      <c r="K777" s="265"/>
      <c r="L777" s="265"/>
      <c r="M777" s="265"/>
      <c r="N777" s="265"/>
      <c r="O777" s="265"/>
      <c r="P777" s="265"/>
      <c r="Q777" s="265"/>
      <c r="R777" s="265"/>
      <c r="S777" s="265"/>
      <c r="T777" s="265"/>
      <c r="U777" s="265"/>
      <c r="V777" s="265"/>
      <c r="W777" s="265"/>
      <c r="X777" s="265"/>
      <c r="Y777" s="265"/>
      <c r="Z777" s="265"/>
      <c r="AA777" s="265"/>
      <c r="AB777" s="265"/>
    </row>
    <row r="778" spans="1:28" ht="15.75" customHeight="1">
      <c r="A778" s="265"/>
      <c r="B778" s="265"/>
      <c r="C778" s="265"/>
      <c r="D778" s="265"/>
      <c r="E778" s="265"/>
      <c r="F778" s="265"/>
      <c r="G778" s="265"/>
      <c r="H778" s="265"/>
      <c r="I778" s="265"/>
      <c r="J778" s="265"/>
      <c r="K778" s="265"/>
      <c r="L778" s="265"/>
      <c r="M778" s="265"/>
      <c r="N778" s="265"/>
      <c r="O778" s="265"/>
      <c r="P778" s="265"/>
      <c r="Q778" s="265"/>
      <c r="R778" s="265"/>
      <c r="S778" s="265"/>
      <c r="T778" s="265"/>
      <c r="U778" s="265"/>
      <c r="V778" s="265"/>
      <c r="W778" s="265"/>
      <c r="X778" s="265"/>
      <c r="Y778" s="265"/>
      <c r="Z778" s="265"/>
      <c r="AA778" s="265"/>
      <c r="AB778" s="265"/>
    </row>
    <row r="779" spans="1:28" ht="15.75" customHeight="1">
      <c r="A779" s="265"/>
      <c r="B779" s="265"/>
      <c r="C779" s="265"/>
      <c r="D779" s="265"/>
      <c r="E779" s="265"/>
      <c r="F779" s="265"/>
      <c r="G779" s="265"/>
      <c r="H779" s="265"/>
      <c r="I779" s="265"/>
      <c r="J779" s="265"/>
      <c r="K779" s="265"/>
      <c r="L779" s="265"/>
      <c r="M779" s="265"/>
      <c r="N779" s="265"/>
      <c r="O779" s="265"/>
      <c r="P779" s="265"/>
      <c r="Q779" s="265"/>
      <c r="R779" s="265"/>
      <c r="S779" s="265"/>
      <c r="T779" s="265"/>
      <c r="U779" s="265"/>
      <c r="V779" s="265"/>
      <c r="W779" s="265"/>
      <c r="X779" s="265"/>
      <c r="Y779" s="265"/>
      <c r="Z779" s="265"/>
      <c r="AA779" s="265"/>
      <c r="AB779" s="265"/>
    </row>
    <row r="780" spans="1:28" ht="15.75" customHeight="1">
      <c r="A780" s="265"/>
      <c r="B780" s="265"/>
      <c r="C780" s="265"/>
      <c r="D780" s="265"/>
      <c r="E780" s="265"/>
      <c r="F780" s="265"/>
      <c r="G780" s="265"/>
      <c r="H780" s="265"/>
      <c r="I780" s="265"/>
      <c r="J780" s="265"/>
      <c r="K780" s="265"/>
      <c r="L780" s="265"/>
      <c r="M780" s="265"/>
      <c r="N780" s="265"/>
      <c r="O780" s="265"/>
      <c r="P780" s="265"/>
      <c r="Q780" s="265"/>
      <c r="R780" s="265"/>
      <c r="S780" s="265"/>
      <c r="T780" s="265"/>
      <c r="U780" s="265"/>
      <c r="V780" s="265"/>
      <c r="W780" s="265"/>
      <c r="X780" s="265"/>
      <c r="Y780" s="265"/>
      <c r="Z780" s="265"/>
      <c r="AA780" s="265"/>
      <c r="AB780" s="265"/>
    </row>
    <row r="781" spans="1:28" ht="15.75" customHeight="1">
      <c r="A781" s="265"/>
      <c r="B781" s="265"/>
      <c r="C781" s="265"/>
      <c r="D781" s="265"/>
      <c r="E781" s="265"/>
      <c r="F781" s="265"/>
      <c r="G781" s="265"/>
      <c r="H781" s="265"/>
      <c r="I781" s="265"/>
      <c r="J781" s="265"/>
      <c r="K781" s="265"/>
      <c r="L781" s="265"/>
      <c r="M781" s="265"/>
      <c r="N781" s="265"/>
      <c r="O781" s="265"/>
      <c r="P781" s="265"/>
      <c r="Q781" s="265"/>
      <c r="R781" s="265"/>
      <c r="S781" s="265"/>
      <c r="T781" s="265"/>
      <c r="U781" s="265"/>
      <c r="V781" s="265"/>
      <c r="W781" s="265"/>
      <c r="X781" s="265"/>
      <c r="Y781" s="265"/>
      <c r="Z781" s="265"/>
      <c r="AA781" s="265"/>
      <c r="AB781" s="265"/>
    </row>
    <row r="782" spans="1:28" ht="15.75" customHeight="1">
      <c r="A782" s="265"/>
      <c r="B782" s="265"/>
      <c r="C782" s="265"/>
      <c r="D782" s="265"/>
      <c r="E782" s="265"/>
      <c r="F782" s="265"/>
      <c r="G782" s="265"/>
      <c r="H782" s="265"/>
      <c r="I782" s="265"/>
      <c r="J782" s="265"/>
      <c r="K782" s="265"/>
      <c r="L782" s="265"/>
      <c r="M782" s="265"/>
      <c r="N782" s="265"/>
      <c r="O782" s="265"/>
      <c r="P782" s="265"/>
      <c r="Q782" s="265"/>
      <c r="R782" s="265"/>
      <c r="S782" s="265"/>
      <c r="T782" s="265"/>
      <c r="U782" s="265"/>
      <c r="V782" s="265"/>
      <c r="W782" s="265"/>
      <c r="X782" s="265"/>
      <c r="Y782" s="265"/>
      <c r="Z782" s="265"/>
      <c r="AA782" s="265"/>
      <c r="AB782" s="265"/>
    </row>
    <row r="783" spans="1:28" ht="15.75" customHeight="1">
      <c r="A783" s="265"/>
      <c r="B783" s="265"/>
      <c r="C783" s="265"/>
      <c r="D783" s="265"/>
      <c r="E783" s="265"/>
      <c r="F783" s="265"/>
      <c r="G783" s="265"/>
      <c r="H783" s="265"/>
      <c r="I783" s="265"/>
      <c r="J783" s="265"/>
      <c r="K783" s="265"/>
      <c r="L783" s="265"/>
      <c r="M783" s="265"/>
      <c r="N783" s="265"/>
      <c r="O783" s="265"/>
      <c r="P783" s="265"/>
      <c r="Q783" s="265"/>
      <c r="R783" s="265"/>
      <c r="S783" s="265"/>
      <c r="T783" s="265"/>
      <c r="U783" s="265"/>
      <c r="V783" s="265"/>
      <c r="W783" s="265"/>
      <c r="X783" s="265"/>
      <c r="Y783" s="265"/>
      <c r="Z783" s="265"/>
      <c r="AA783" s="265"/>
      <c r="AB783" s="265"/>
    </row>
    <row r="784" spans="1:28" ht="15.75" customHeight="1">
      <c r="A784" s="265"/>
      <c r="B784" s="265"/>
      <c r="C784" s="265"/>
      <c r="D784" s="265"/>
      <c r="E784" s="265"/>
      <c r="F784" s="265"/>
      <c r="G784" s="265"/>
      <c r="H784" s="265"/>
      <c r="I784" s="265"/>
      <c r="J784" s="265"/>
      <c r="K784" s="265"/>
      <c r="L784" s="265"/>
      <c r="M784" s="265"/>
      <c r="N784" s="265"/>
      <c r="O784" s="265"/>
      <c r="P784" s="265"/>
      <c r="Q784" s="265"/>
      <c r="R784" s="265"/>
      <c r="S784" s="265"/>
      <c r="T784" s="265"/>
      <c r="U784" s="265"/>
      <c r="V784" s="265"/>
      <c r="W784" s="265"/>
      <c r="X784" s="265"/>
      <c r="Y784" s="265"/>
      <c r="Z784" s="265"/>
      <c r="AA784" s="265"/>
      <c r="AB784" s="265"/>
    </row>
    <row r="785" spans="1:28" ht="15.75" customHeight="1">
      <c r="A785" s="265"/>
      <c r="B785" s="265"/>
      <c r="C785" s="265"/>
      <c r="D785" s="265"/>
      <c r="E785" s="265"/>
      <c r="F785" s="265"/>
      <c r="G785" s="265"/>
      <c r="H785" s="265"/>
      <c r="I785" s="265"/>
      <c r="J785" s="265"/>
      <c r="K785" s="265"/>
      <c r="L785" s="265"/>
      <c r="M785" s="265"/>
      <c r="N785" s="265"/>
      <c r="O785" s="265"/>
      <c r="P785" s="265"/>
      <c r="Q785" s="265"/>
      <c r="R785" s="265"/>
      <c r="S785" s="265"/>
      <c r="T785" s="265"/>
      <c r="U785" s="265"/>
      <c r="V785" s="265"/>
      <c r="W785" s="265"/>
      <c r="X785" s="265"/>
      <c r="Y785" s="265"/>
      <c r="Z785" s="265"/>
      <c r="AA785" s="265"/>
      <c r="AB785" s="265"/>
    </row>
    <row r="786" spans="1:28" ht="15.75" customHeight="1">
      <c r="A786" s="265"/>
      <c r="B786" s="265"/>
      <c r="C786" s="265"/>
      <c r="D786" s="265"/>
      <c r="E786" s="265"/>
      <c r="F786" s="265"/>
      <c r="G786" s="265"/>
      <c r="H786" s="265"/>
      <c r="I786" s="265"/>
      <c r="J786" s="265"/>
      <c r="K786" s="265"/>
      <c r="L786" s="265"/>
      <c r="M786" s="265"/>
      <c r="N786" s="265"/>
      <c r="O786" s="265"/>
      <c r="P786" s="265"/>
      <c r="Q786" s="265"/>
      <c r="R786" s="265"/>
      <c r="S786" s="265"/>
      <c r="T786" s="265"/>
      <c r="U786" s="265"/>
      <c r="V786" s="265"/>
      <c r="W786" s="265"/>
      <c r="X786" s="265"/>
      <c r="Y786" s="265"/>
      <c r="Z786" s="265"/>
      <c r="AA786" s="265"/>
      <c r="AB786" s="265"/>
    </row>
    <row r="787" spans="1:28" ht="15.75" customHeight="1">
      <c r="A787" s="265"/>
      <c r="B787" s="265"/>
      <c r="C787" s="265"/>
      <c r="D787" s="265"/>
      <c r="E787" s="265"/>
      <c r="F787" s="265"/>
      <c r="G787" s="265"/>
      <c r="H787" s="265"/>
      <c r="I787" s="265"/>
      <c r="J787" s="265"/>
      <c r="K787" s="265"/>
      <c r="L787" s="265"/>
      <c r="M787" s="265"/>
      <c r="N787" s="265"/>
      <c r="O787" s="265"/>
      <c r="P787" s="265"/>
      <c r="Q787" s="265"/>
      <c r="R787" s="265"/>
      <c r="S787" s="265"/>
      <c r="T787" s="265"/>
      <c r="U787" s="265"/>
      <c r="V787" s="265"/>
      <c r="W787" s="265"/>
      <c r="X787" s="265"/>
      <c r="Y787" s="265"/>
      <c r="Z787" s="265"/>
      <c r="AA787" s="265"/>
      <c r="AB787" s="265"/>
    </row>
    <row r="788" spans="1:28" ht="15.75" customHeight="1">
      <c r="A788" s="265"/>
      <c r="B788" s="265"/>
      <c r="C788" s="265"/>
      <c r="D788" s="265"/>
      <c r="E788" s="265"/>
      <c r="F788" s="265"/>
      <c r="G788" s="265"/>
      <c r="H788" s="265"/>
      <c r="I788" s="265"/>
      <c r="J788" s="265"/>
      <c r="K788" s="265"/>
      <c r="L788" s="265"/>
      <c r="M788" s="265"/>
      <c r="N788" s="265"/>
      <c r="O788" s="265"/>
      <c r="P788" s="265"/>
      <c r="Q788" s="265"/>
      <c r="R788" s="265"/>
      <c r="S788" s="265"/>
      <c r="T788" s="265"/>
      <c r="U788" s="265"/>
      <c r="V788" s="265"/>
      <c r="W788" s="265"/>
      <c r="X788" s="265"/>
      <c r="Y788" s="265"/>
      <c r="Z788" s="265"/>
      <c r="AA788" s="265"/>
      <c r="AB788" s="265"/>
    </row>
    <row r="789" spans="1:28" ht="15.75" customHeight="1">
      <c r="A789" s="265"/>
      <c r="B789" s="265"/>
      <c r="C789" s="265"/>
      <c r="D789" s="265"/>
      <c r="E789" s="265"/>
      <c r="F789" s="265"/>
      <c r="G789" s="265"/>
      <c r="H789" s="265"/>
      <c r="I789" s="265"/>
      <c r="J789" s="265"/>
      <c r="K789" s="265"/>
      <c r="L789" s="265"/>
      <c r="M789" s="265"/>
      <c r="N789" s="265"/>
      <c r="O789" s="265"/>
      <c r="P789" s="265"/>
      <c r="Q789" s="265"/>
      <c r="R789" s="265"/>
      <c r="S789" s="265"/>
      <c r="T789" s="265"/>
      <c r="U789" s="265"/>
      <c r="V789" s="265"/>
      <c r="W789" s="265"/>
      <c r="X789" s="265"/>
      <c r="Y789" s="265"/>
      <c r="Z789" s="265"/>
      <c r="AA789" s="265"/>
      <c r="AB789" s="265"/>
    </row>
    <row r="790" spans="1:28" ht="15.75" customHeight="1">
      <c r="A790" s="265"/>
      <c r="B790" s="265"/>
      <c r="C790" s="265"/>
      <c r="D790" s="265"/>
      <c r="E790" s="265"/>
      <c r="F790" s="265"/>
      <c r="G790" s="265"/>
      <c r="H790" s="265"/>
      <c r="I790" s="265"/>
      <c r="J790" s="265"/>
      <c r="K790" s="265"/>
      <c r="L790" s="265"/>
      <c r="M790" s="265"/>
      <c r="N790" s="265"/>
      <c r="O790" s="265"/>
      <c r="P790" s="265"/>
      <c r="Q790" s="265"/>
      <c r="R790" s="265"/>
      <c r="S790" s="265"/>
      <c r="T790" s="265"/>
      <c r="U790" s="265"/>
      <c r="V790" s="265"/>
      <c r="W790" s="265"/>
      <c r="X790" s="265"/>
      <c r="Y790" s="265"/>
      <c r="Z790" s="265"/>
      <c r="AA790" s="265"/>
      <c r="AB790" s="265"/>
    </row>
    <row r="791" spans="1:28" ht="15.75" customHeight="1">
      <c r="A791" s="265"/>
      <c r="B791" s="265"/>
      <c r="C791" s="265"/>
      <c r="D791" s="265"/>
      <c r="E791" s="265"/>
      <c r="F791" s="265"/>
      <c r="G791" s="265"/>
      <c r="H791" s="265"/>
      <c r="I791" s="265"/>
      <c r="J791" s="265"/>
      <c r="K791" s="265"/>
      <c r="L791" s="265"/>
      <c r="M791" s="265"/>
      <c r="N791" s="265"/>
      <c r="O791" s="265"/>
      <c r="P791" s="265"/>
      <c r="Q791" s="265"/>
      <c r="R791" s="265"/>
      <c r="S791" s="265"/>
      <c r="T791" s="265"/>
      <c r="U791" s="265"/>
      <c r="V791" s="265"/>
      <c r="W791" s="265"/>
      <c r="X791" s="265"/>
      <c r="Y791" s="265"/>
      <c r="Z791" s="265"/>
      <c r="AA791" s="265"/>
      <c r="AB791" s="265"/>
    </row>
    <row r="792" spans="1:28" ht="15.75" customHeight="1">
      <c r="A792" s="265"/>
      <c r="B792" s="265"/>
      <c r="C792" s="265"/>
      <c r="D792" s="265"/>
      <c r="E792" s="265"/>
      <c r="F792" s="265"/>
      <c r="G792" s="265"/>
      <c r="H792" s="265"/>
      <c r="I792" s="265"/>
      <c r="J792" s="265"/>
      <c r="K792" s="265"/>
      <c r="L792" s="265"/>
      <c r="M792" s="265"/>
      <c r="N792" s="265"/>
      <c r="O792" s="265"/>
      <c r="P792" s="265"/>
      <c r="Q792" s="265"/>
      <c r="R792" s="265"/>
      <c r="S792" s="265"/>
      <c r="T792" s="265"/>
      <c r="U792" s="265"/>
      <c r="V792" s="265"/>
      <c r="W792" s="265"/>
      <c r="X792" s="265"/>
      <c r="Y792" s="265"/>
      <c r="Z792" s="265"/>
      <c r="AA792" s="265"/>
      <c r="AB792" s="265"/>
    </row>
    <row r="793" spans="1:28" ht="15.75" customHeight="1">
      <c r="A793" s="265"/>
      <c r="B793" s="265"/>
      <c r="C793" s="265"/>
      <c r="D793" s="265"/>
      <c r="E793" s="265"/>
      <c r="F793" s="265"/>
      <c r="G793" s="265"/>
      <c r="H793" s="265"/>
      <c r="I793" s="265"/>
      <c r="J793" s="265"/>
      <c r="K793" s="265"/>
      <c r="L793" s="265"/>
      <c r="M793" s="265"/>
      <c r="N793" s="265"/>
      <c r="O793" s="265"/>
      <c r="P793" s="265"/>
      <c r="Q793" s="265"/>
      <c r="R793" s="265"/>
      <c r="S793" s="265"/>
      <c r="T793" s="265"/>
      <c r="U793" s="265"/>
      <c r="V793" s="265"/>
      <c r="W793" s="265"/>
      <c r="X793" s="265"/>
      <c r="Y793" s="265"/>
      <c r="Z793" s="265"/>
      <c r="AA793" s="265"/>
      <c r="AB793" s="265"/>
    </row>
    <row r="794" spans="1:28" ht="15.75" customHeight="1">
      <c r="A794" s="265"/>
      <c r="B794" s="265"/>
      <c r="C794" s="265"/>
      <c r="D794" s="265"/>
      <c r="E794" s="265"/>
      <c r="F794" s="265"/>
      <c r="G794" s="265"/>
      <c r="H794" s="265"/>
      <c r="I794" s="265"/>
      <c r="J794" s="265"/>
      <c r="K794" s="265"/>
      <c r="L794" s="265"/>
      <c r="M794" s="265"/>
      <c r="N794" s="265"/>
      <c r="O794" s="265"/>
      <c r="P794" s="265"/>
      <c r="Q794" s="265"/>
      <c r="R794" s="265"/>
      <c r="S794" s="265"/>
      <c r="T794" s="265"/>
      <c r="U794" s="265"/>
      <c r="V794" s="265"/>
      <c r="W794" s="265"/>
      <c r="X794" s="265"/>
      <c r="Y794" s="265"/>
      <c r="Z794" s="265"/>
      <c r="AA794" s="265"/>
      <c r="AB794" s="265"/>
    </row>
    <row r="795" spans="1:28" ht="15.75" customHeight="1">
      <c r="A795" s="265"/>
      <c r="B795" s="265"/>
      <c r="C795" s="265"/>
      <c r="D795" s="265"/>
      <c r="E795" s="265"/>
      <c r="F795" s="265"/>
      <c r="G795" s="265"/>
      <c r="H795" s="265"/>
      <c r="I795" s="265"/>
      <c r="J795" s="265"/>
      <c r="K795" s="265"/>
      <c r="L795" s="265"/>
      <c r="M795" s="265"/>
      <c r="N795" s="265"/>
      <c r="O795" s="265"/>
      <c r="P795" s="265"/>
      <c r="Q795" s="265"/>
      <c r="R795" s="265"/>
      <c r="S795" s="265"/>
      <c r="T795" s="265"/>
      <c r="U795" s="265"/>
      <c r="V795" s="265"/>
      <c r="W795" s="265"/>
      <c r="X795" s="265"/>
      <c r="Y795" s="265"/>
      <c r="Z795" s="265"/>
      <c r="AA795" s="265"/>
      <c r="AB795" s="265"/>
    </row>
    <row r="796" spans="1:28" ht="15.75" customHeight="1">
      <c r="A796" s="265"/>
      <c r="B796" s="265"/>
      <c r="C796" s="265"/>
      <c r="D796" s="265"/>
      <c r="E796" s="265"/>
      <c r="F796" s="265"/>
      <c r="G796" s="265"/>
      <c r="H796" s="265"/>
      <c r="I796" s="265"/>
      <c r="J796" s="265"/>
      <c r="K796" s="265"/>
      <c r="L796" s="265"/>
      <c r="M796" s="265"/>
      <c r="N796" s="265"/>
      <c r="O796" s="265"/>
      <c r="P796" s="265"/>
      <c r="Q796" s="265"/>
      <c r="R796" s="265"/>
      <c r="S796" s="265"/>
      <c r="T796" s="265"/>
      <c r="U796" s="265"/>
      <c r="V796" s="265"/>
      <c r="W796" s="265"/>
      <c r="X796" s="265"/>
      <c r="Y796" s="265"/>
      <c r="Z796" s="265"/>
      <c r="AA796" s="265"/>
      <c r="AB796" s="265"/>
    </row>
    <row r="797" spans="1:28" ht="15.75" customHeight="1">
      <c r="A797" s="265"/>
      <c r="B797" s="265"/>
      <c r="C797" s="265"/>
      <c r="D797" s="265"/>
      <c r="E797" s="265"/>
      <c r="F797" s="265"/>
      <c r="G797" s="265"/>
      <c r="H797" s="265"/>
      <c r="I797" s="265"/>
      <c r="J797" s="265"/>
      <c r="K797" s="265"/>
      <c r="L797" s="265"/>
      <c r="M797" s="265"/>
      <c r="N797" s="265"/>
      <c r="O797" s="265"/>
      <c r="P797" s="265"/>
      <c r="Q797" s="265"/>
      <c r="R797" s="265"/>
      <c r="S797" s="265"/>
      <c r="T797" s="265"/>
      <c r="U797" s="265"/>
      <c r="V797" s="265"/>
      <c r="W797" s="265"/>
      <c r="X797" s="265"/>
      <c r="Y797" s="265"/>
      <c r="Z797" s="265"/>
      <c r="AA797" s="265"/>
      <c r="AB797" s="265"/>
    </row>
    <row r="798" spans="1:28" ht="15.75" customHeight="1">
      <c r="A798" s="265"/>
      <c r="B798" s="265"/>
      <c r="C798" s="265"/>
      <c r="D798" s="265"/>
      <c r="E798" s="265"/>
      <c r="F798" s="265"/>
      <c r="G798" s="265"/>
      <c r="H798" s="265"/>
      <c r="I798" s="265"/>
      <c r="J798" s="265"/>
      <c r="K798" s="265"/>
      <c r="L798" s="265"/>
      <c r="M798" s="265"/>
      <c r="N798" s="265"/>
      <c r="O798" s="265"/>
      <c r="P798" s="265"/>
      <c r="Q798" s="265"/>
      <c r="R798" s="265"/>
      <c r="S798" s="265"/>
      <c r="T798" s="265"/>
      <c r="U798" s="265"/>
      <c r="V798" s="265"/>
      <c r="W798" s="265"/>
      <c r="X798" s="265"/>
      <c r="Y798" s="265"/>
      <c r="Z798" s="265"/>
      <c r="AA798" s="265"/>
      <c r="AB798" s="265"/>
    </row>
    <row r="799" spans="1:28" ht="15.75" customHeight="1">
      <c r="A799" s="265"/>
      <c r="B799" s="265"/>
      <c r="C799" s="265"/>
      <c r="D799" s="265"/>
      <c r="E799" s="265"/>
      <c r="F799" s="265"/>
      <c r="G799" s="265"/>
      <c r="H799" s="265"/>
      <c r="I799" s="265"/>
      <c r="J799" s="265"/>
      <c r="K799" s="265"/>
      <c r="L799" s="265"/>
      <c r="M799" s="265"/>
      <c r="N799" s="265"/>
      <c r="O799" s="265"/>
      <c r="P799" s="265"/>
      <c r="Q799" s="265"/>
      <c r="R799" s="265"/>
      <c r="S799" s="265"/>
      <c r="T799" s="265"/>
      <c r="U799" s="265"/>
      <c r="V799" s="265"/>
      <c r="W799" s="265"/>
      <c r="X799" s="265"/>
      <c r="Y799" s="265"/>
      <c r="Z799" s="265"/>
      <c r="AA799" s="265"/>
      <c r="AB799" s="265"/>
    </row>
    <row r="800" spans="1:28" ht="15.75" customHeight="1">
      <c r="A800" s="265"/>
      <c r="B800" s="265"/>
      <c r="C800" s="265"/>
      <c r="D800" s="265"/>
      <c r="E800" s="265"/>
      <c r="F800" s="265"/>
      <c r="G800" s="265"/>
      <c r="H800" s="265"/>
      <c r="I800" s="265"/>
      <c r="J800" s="265"/>
      <c r="K800" s="265"/>
      <c r="L800" s="265"/>
      <c r="M800" s="265"/>
      <c r="N800" s="265"/>
      <c r="O800" s="265"/>
      <c r="P800" s="265"/>
      <c r="Q800" s="265"/>
      <c r="R800" s="265"/>
      <c r="S800" s="265"/>
      <c r="T800" s="265"/>
      <c r="U800" s="265"/>
      <c r="V800" s="265"/>
      <c r="W800" s="265"/>
      <c r="X800" s="265"/>
      <c r="Y800" s="265"/>
      <c r="Z800" s="265"/>
      <c r="AA800" s="265"/>
      <c r="AB800" s="265"/>
    </row>
    <row r="801" spans="1:28" ht="15.75" customHeight="1">
      <c r="A801" s="265"/>
      <c r="B801" s="265"/>
      <c r="C801" s="265"/>
      <c r="D801" s="265"/>
      <c r="E801" s="265"/>
      <c r="F801" s="265"/>
      <c r="G801" s="265"/>
      <c r="H801" s="265"/>
      <c r="I801" s="265"/>
      <c r="J801" s="265"/>
      <c r="K801" s="265"/>
      <c r="L801" s="265"/>
      <c r="M801" s="265"/>
      <c r="N801" s="265"/>
      <c r="O801" s="265"/>
      <c r="P801" s="265"/>
      <c r="Q801" s="265"/>
      <c r="R801" s="265"/>
      <c r="S801" s="265"/>
      <c r="T801" s="265"/>
      <c r="U801" s="265"/>
      <c r="V801" s="265"/>
      <c r="W801" s="265"/>
      <c r="X801" s="265"/>
      <c r="Y801" s="265"/>
      <c r="Z801" s="265"/>
      <c r="AA801" s="265"/>
      <c r="AB801" s="265"/>
    </row>
    <row r="802" spans="1:28" ht="15.75" customHeight="1">
      <c r="A802" s="265"/>
      <c r="B802" s="265"/>
      <c r="C802" s="265"/>
      <c r="D802" s="265"/>
      <c r="E802" s="265"/>
      <c r="F802" s="265"/>
      <c r="G802" s="265"/>
      <c r="H802" s="265"/>
      <c r="I802" s="265"/>
      <c r="J802" s="265"/>
      <c r="K802" s="265"/>
      <c r="L802" s="265"/>
      <c r="M802" s="265"/>
      <c r="N802" s="265"/>
      <c r="O802" s="265"/>
      <c r="P802" s="265"/>
      <c r="Q802" s="265"/>
      <c r="R802" s="265"/>
      <c r="S802" s="265"/>
      <c r="T802" s="265"/>
      <c r="U802" s="265"/>
      <c r="V802" s="265"/>
      <c r="W802" s="265"/>
      <c r="X802" s="265"/>
      <c r="Y802" s="265"/>
      <c r="Z802" s="265"/>
      <c r="AA802" s="265"/>
      <c r="AB802" s="265"/>
    </row>
    <row r="803" spans="1:28" ht="15.75" customHeight="1">
      <c r="A803" s="265"/>
      <c r="B803" s="265"/>
      <c r="C803" s="265"/>
      <c r="D803" s="265"/>
      <c r="E803" s="265"/>
      <c r="F803" s="265"/>
      <c r="G803" s="265"/>
      <c r="H803" s="265"/>
      <c r="I803" s="265"/>
      <c r="J803" s="265"/>
      <c r="K803" s="265"/>
      <c r="L803" s="265"/>
      <c r="M803" s="265"/>
      <c r="N803" s="265"/>
      <c r="O803" s="265"/>
      <c r="P803" s="265"/>
      <c r="Q803" s="265"/>
      <c r="R803" s="265"/>
      <c r="S803" s="265"/>
      <c r="T803" s="265"/>
      <c r="U803" s="265"/>
      <c r="V803" s="265"/>
      <c r="W803" s="265"/>
      <c r="X803" s="265"/>
      <c r="Y803" s="265"/>
      <c r="Z803" s="265"/>
      <c r="AA803" s="265"/>
      <c r="AB803" s="265"/>
    </row>
    <row r="804" spans="1:28" ht="15.75" customHeight="1">
      <c r="A804" s="265"/>
      <c r="B804" s="265"/>
      <c r="C804" s="265"/>
      <c r="D804" s="265"/>
      <c r="E804" s="265"/>
      <c r="F804" s="265"/>
      <c r="G804" s="265"/>
      <c r="H804" s="265"/>
      <c r="I804" s="265"/>
      <c r="J804" s="265"/>
      <c r="K804" s="265"/>
      <c r="L804" s="265"/>
      <c r="M804" s="265"/>
      <c r="N804" s="265"/>
      <c r="O804" s="265"/>
      <c r="P804" s="265"/>
      <c r="Q804" s="265"/>
      <c r="R804" s="265"/>
      <c r="S804" s="265"/>
      <c r="T804" s="265"/>
      <c r="U804" s="265"/>
      <c r="V804" s="265"/>
      <c r="W804" s="265"/>
      <c r="X804" s="265"/>
      <c r="Y804" s="265"/>
      <c r="Z804" s="265"/>
      <c r="AA804" s="265"/>
      <c r="AB804" s="265"/>
    </row>
    <row r="805" spans="1:28" ht="15.75" customHeight="1">
      <c r="A805" s="265"/>
      <c r="B805" s="265"/>
      <c r="C805" s="265"/>
      <c r="D805" s="265"/>
      <c r="E805" s="265"/>
      <c r="F805" s="265"/>
      <c r="G805" s="265"/>
      <c r="H805" s="265"/>
      <c r="I805" s="265"/>
      <c r="J805" s="265"/>
      <c r="K805" s="265"/>
      <c r="L805" s="265"/>
      <c r="M805" s="265"/>
      <c r="N805" s="265"/>
      <c r="O805" s="265"/>
      <c r="P805" s="265"/>
      <c r="Q805" s="265"/>
      <c r="R805" s="265"/>
      <c r="S805" s="265"/>
      <c r="T805" s="265"/>
      <c r="U805" s="265"/>
      <c r="V805" s="265"/>
      <c r="W805" s="265"/>
      <c r="X805" s="265"/>
      <c r="Y805" s="265"/>
      <c r="Z805" s="265"/>
      <c r="AA805" s="265"/>
      <c r="AB805" s="265"/>
    </row>
    <row r="806" spans="1:28" ht="15.75" customHeight="1">
      <c r="A806" s="265"/>
      <c r="B806" s="265"/>
      <c r="C806" s="265"/>
      <c r="D806" s="265"/>
      <c r="E806" s="265"/>
      <c r="F806" s="265"/>
      <c r="G806" s="265"/>
      <c r="H806" s="265"/>
      <c r="I806" s="265"/>
      <c r="J806" s="265"/>
      <c r="K806" s="265"/>
      <c r="L806" s="265"/>
      <c r="M806" s="265"/>
      <c r="N806" s="265"/>
      <c r="O806" s="265"/>
      <c r="P806" s="265"/>
      <c r="Q806" s="265"/>
      <c r="R806" s="265"/>
      <c r="S806" s="265"/>
      <c r="T806" s="265"/>
      <c r="U806" s="265"/>
      <c r="V806" s="265"/>
      <c r="W806" s="265"/>
      <c r="X806" s="265"/>
      <c r="Y806" s="265"/>
      <c r="Z806" s="265"/>
      <c r="AA806" s="265"/>
      <c r="AB806" s="265"/>
    </row>
    <row r="807" spans="1:28" ht="15.75" customHeight="1">
      <c r="A807" s="265"/>
      <c r="B807" s="265"/>
      <c r="C807" s="265"/>
      <c r="D807" s="265"/>
      <c r="E807" s="265"/>
      <c r="F807" s="265"/>
      <c r="G807" s="265"/>
      <c r="H807" s="265"/>
      <c r="I807" s="265"/>
      <c r="J807" s="265"/>
      <c r="K807" s="265"/>
      <c r="L807" s="265"/>
      <c r="M807" s="265"/>
      <c r="N807" s="265"/>
      <c r="O807" s="265"/>
      <c r="P807" s="265"/>
      <c r="Q807" s="265"/>
      <c r="R807" s="265"/>
      <c r="S807" s="265"/>
      <c r="T807" s="265"/>
      <c r="U807" s="265"/>
      <c r="V807" s="265"/>
      <c r="W807" s="265"/>
      <c r="X807" s="265"/>
      <c r="Y807" s="265"/>
      <c r="Z807" s="265"/>
      <c r="AA807" s="265"/>
      <c r="AB807" s="265"/>
    </row>
    <row r="808" spans="1:28" ht="15.75" customHeight="1">
      <c r="A808" s="265"/>
      <c r="B808" s="265"/>
      <c r="C808" s="265"/>
      <c r="D808" s="265"/>
      <c r="E808" s="265"/>
      <c r="F808" s="265"/>
      <c r="G808" s="265"/>
      <c r="H808" s="265"/>
      <c r="I808" s="265"/>
      <c r="J808" s="265"/>
      <c r="K808" s="265"/>
      <c r="L808" s="265"/>
      <c r="M808" s="265"/>
      <c r="N808" s="265"/>
      <c r="O808" s="265"/>
      <c r="P808" s="265"/>
      <c r="Q808" s="265"/>
      <c r="R808" s="265"/>
      <c r="S808" s="265"/>
      <c r="T808" s="265"/>
      <c r="U808" s="265"/>
      <c r="V808" s="265"/>
      <c r="W808" s="265"/>
      <c r="X808" s="265"/>
      <c r="Y808" s="265"/>
      <c r="Z808" s="265"/>
      <c r="AA808" s="265"/>
      <c r="AB808" s="265"/>
    </row>
    <row r="809" spans="1:28" ht="15.75" customHeight="1">
      <c r="A809" s="265"/>
      <c r="B809" s="265"/>
      <c r="C809" s="265"/>
      <c r="D809" s="265"/>
      <c r="E809" s="265"/>
      <c r="F809" s="265"/>
      <c r="G809" s="265"/>
      <c r="H809" s="265"/>
      <c r="I809" s="265"/>
      <c r="J809" s="265"/>
      <c r="K809" s="265"/>
      <c r="L809" s="265"/>
      <c r="M809" s="265"/>
      <c r="N809" s="265"/>
      <c r="O809" s="265"/>
      <c r="P809" s="265"/>
      <c r="Q809" s="265"/>
      <c r="R809" s="265"/>
      <c r="S809" s="265"/>
      <c r="T809" s="265"/>
      <c r="U809" s="265"/>
      <c r="V809" s="265"/>
      <c r="W809" s="265"/>
      <c r="X809" s="265"/>
      <c r="Y809" s="265"/>
      <c r="Z809" s="265"/>
      <c r="AA809" s="265"/>
      <c r="AB809" s="265"/>
    </row>
    <row r="810" spans="1:28" ht="15.75" customHeight="1">
      <c r="A810" s="265"/>
      <c r="B810" s="265"/>
      <c r="C810" s="265"/>
      <c r="D810" s="265"/>
      <c r="E810" s="265"/>
      <c r="F810" s="265"/>
      <c r="G810" s="265"/>
      <c r="H810" s="265"/>
      <c r="I810" s="265"/>
      <c r="J810" s="265"/>
      <c r="K810" s="265"/>
      <c r="L810" s="265"/>
      <c r="M810" s="265"/>
      <c r="N810" s="265"/>
      <c r="O810" s="265"/>
      <c r="P810" s="265"/>
      <c r="Q810" s="265"/>
      <c r="R810" s="265"/>
      <c r="S810" s="265"/>
      <c r="T810" s="265"/>
      <c r="U810" s="265"/>
      <c r="V810" s="265"/>
      <c r="W810" s="265"/>
      <c r="X810" s="265"/>
      <c r="Y810" s="265"/>
      <c r="Z810" s="265"/>
      <c r="AA810" s="265"/>
      <c r="AB810" s="265"/>
    </row>
    <row r="811" spans="1:28" ht="15.75" customHeight="1">
      <c r="A811" s="265"/>
      <c r="B811" s="265"/>
      <c r="C811" s="265"/>
      <c r="D811" s="265"/>
      <c r="E811" s="265"/>
      <c r="F811" s="265"/>
      <c r="G811" s="265"/>
      <c r="H811" s="265"/>
      <c r="I811" s="265"/>
      <c r="J811" s="265"/>
      <c r="K811" s="265"/>
      <c r="L811" s="265"/>
      <c r="M811" s="265"/>
      <c r="N811" s="265"/>
      <c r="O811" s="265"/>
      <c r="P811" s="265"/>
      <c r="Q811" s="265"/>
      <c r="R811" s="265"/>
      <c r="S811" s="265"/>
      <c r="T811" s="265"/>
      <c r="U811" s="265"/>
      <c r="V811" s="265"/>
      <c r="W811" s="265"/>
      <c r="X811" s="265"/>
      <c r="Y811" s="265"/>
      <c r="Z811" s="265"/>
      <c r="AA811" s="265"/>
      <c r="AB811" s="265"/>
    </row>
    <row r="812" spans="1:28" ht="15.75" customHeight="1">
      <c r="A812" s="265"/>
      <c r="B812" s="265"/>
      <c r="C812" s="265"/>
      <c r="D812" s="265"/>
      <c r="E812" s="265"/>
      <c r="F812" s="265"/>
      <c r="G812" s="265"/>
      <c r="H812" s="265"/>
      <c r="I812" s="265"/>
      <c r="J812" s="265"/>
      <c r="K812" s="265"/>
      <c r="L812" s="265"/>
      <c r="M812" s="265"/>
      <c r="N812" s="265"/>
      <c r="O812" s="265"/>
      <c r="P812" s="265"/>
      <c r="Q812" s="265"/>
      <c r="R812" s="265"/>
      <c r="S812" s="265"/>
      <c r="T812" s="265"/>
      <c r="U812" s="265"/>
      <c r="V812" s="265"/>
      <c r="W812" s="265"/>
      <c r="X812" s="265"/>
      <c r="Y812" s="265"/>
      <c r="Z812" s="265"/>
      <c r="AA812" s="265"/>
      <c r="AB812" s="265"/>
    </row>
    <row r="813" spans="1:28" ht="15.75" customHeight="1">
      <c r="A813" s="265"/>
      <c r="B813" s="265"/>
      <c r="C813" s="265"/>
      <c r="D813" s="265"/>
      <c r="E813" s="265"/>
      <c r="F813" s="265"/>
      <c r="G813" s="265"/>
      <c r="H813" s="265"/>
      <c r="I813" s="265"/>
      <c r="J813" s="265"/>
      <c r="K813" s="265"/>
      <c r="L813" s="265"/>
      <c r="M813" s="265"/>
      <c r="N813" s="265"/>
      <c r="O813" s="265"/>
      <c r="P813" s="265"/>
      <c r="Q813" s="265"/>
      <c r="R813" s="265"/>
      <c r="S813" s="265"/>
      <c r="T813" s="265"/>
      <c r="U813" s="265"/>
      <c r="V813" s="265"/>
      <c r="W813" s="265"/>
      <c r="X813" s="265"/>
      <c r="Y813" s="265"/>
      <c r="Z813" s="265"/>
      <c r="AA813" s="265"/>
      <c r="AB813" s="265"/>
    </row>
    <row r="814" spans="1:28" ht="15.75" customHeight="1">
      <c r="A814" s="265"/>
      <c r="B814" s="265"/>
      <c r="C814" s="265"/>
      <c r="D814" s="265"/>
      <c r="E814" s="265"/>
      <c r="F814" s="265"/>
      <c r="G814" s="265"/>
      <c r="H814" s="265"/>
      <c r="I814" s="265"/>
      <c r="J814" s="265"/>
      <c r="K814" s="265"/>
      <c r="L814" s="265"/>
      <c r="M814" s="265"/>
      <c r="N814" s="265"/>
      <c r="O814" s="265"/>
      <c r="P814" s="265"/>
      <c r="Q814" s="265"/>
      <c r="R814" s="265"/>
      <c r="S814" s="265"/>
      <c r="T814" s="265"/>
      <c r="U814" s="265"/>
      <c r="V814" s="265"/>
      <c r="W814" s="265"/>
      <c r="X814" s="265"/>
      <c r="Y814" s="265"/>
      <c r="Z814" s="265"/>
      <c r="AA814" s="265"/>
      <c r="AB814" s="265"/>
    </row>
    <row r="815" spans="1:28" ht="15.75" customHeight="1">
      <c r="A815" s="265"/>
      <c r="B815" s="265"/>
      <c r="C815" s="265"/>
      <c r="D815" s="265"/>
      <c r="E815" s="265"/>
      <c r="F815" s="265"/>
      <c r="G815" s="265"/>
      <c r="H815" s="265"/>
      <c r="I815" s="265"/>
      <c r="J815" s="265"/>
      <c r="K815" s="265"/>
      <c r="L815" s="265"/>
      <c r="M815" s="265"/>
      <c r="N815" s="265"/>
      <c r="O815" s="265"/>
      <c r="P815" s="265"/>
      <c r="Q815" s="265"/>
      <c r="R815" s="265"/>
      <c r="S815" s="265"/>
      <c r="T815" s="265"/>
      <c r="U815" s="265"/>
      <c r="V815" s="265"/>
      <c r="W815" s="265"/>
      <c r="X815" s="265"/>
      <c r="Y815" s="265"/>
      <c r="Z815" s="265"/>
      <c r="AA815" s="265"/>
      <c r="AB815" s="265"/>
    </row>
    <row r="816" spans="1:28" ht="15.75" customHeight="1">
      <c r="A816" s="265"/>
      <c r="B816" s="265"/>
      <c r="C816" s="265"/>
      <c r="D816" s="265"/>
      <c r="E816" s="265"/>
      <c r="F816" s="265"/>
      <c r="G816" s="265"/>
      <c r="H816" s="265"/>
      <c r="I816" s="265"/>
      <c r="J816" s="265"/>
      <c r="K816" s="265"/>
      <c r="L816" s="265"/>
      <c r="M816" s="265"/>
      <c r="N816" s="265"/>
      <c r="O816" s="265"/>
      <c r="P816" s="265"/>
      <c r="Q816" s="265"/>
      <c r="R816" s="265"/>
      <c r="S816" s="265"/>
      <c r="T816" s="265"/>
      <c r="U816" s="265"/>
      <c r="V816" s="265"/>
      <c r="W816" s="265"/>
      <c r="X816" s="265"/>
      <c r="Y816" s="265"/>
      <c r="Z816" s="265"/>
      <c r="AA816" s="265"/>
      <c r="AB816" s="265"/>
    </row>
    <row r="817" spans="1:28" ht="15.75" customHeight="1">
      <c r="A817" s="265"/>
      <c r="B817" s="265"/>
      <c r="C817" s="265"/>
      <c r="D817" s="265"/>
      <c r="E817" s="265"/>
      <c r="F817" s="265"/>
      <c r="G817" s="265"/>
      <c r="H817" s="265"/>
      <c r="I817" s="265"/>
      <c r="J817" s="265"/>
      <c r="K817" s="265"/>
      <c r="L817" s="265"/>
      <c r="M817" s="265"/>
      <c r="N817" s="265"/>
      <c r="O817" s="265"/>
      <c r="P817" s="265"/>
      <c r="Q817" s="265"/>
      <c r="R817" s="265"/>
      <c r="S817" s="265"/>
      <c r="T817" s="265"/>
      <c r="U817" s="265"/>
      <c r="V817" s="265"/>
      <c r="W817" s="265"/>
      <c r="X817" s="265"/>
      <c r="Y817" s="265"/>
      <c r="Z817" s="265"/>
      <c r="AA817" s="265"/>
      <c r="AB817" s="265"/>
    </row>
    <row r="818" spans="1:28" ht="15.75" customHeight="1">
      <c r="A818" s="265"/>
      <c r="B818" s="265"/>
      <c r="C818" s="265"/>
      <c r="D818" s="265"/>
      <c r="E818" s="265"/>
      <c r="F818" s="265"/>
      <c r="G818" s="265"/>
      <c r="H818" s="265"/>
      <c r="I818" s="265"/>
      <c r="J818" s="265"/>
      <c r="K818" s="265"/>
      <c r="L818" s="265"/>
      <c r="M818" s="265"/>
      <c r="N818" s="265"/>
      <c r="O818" s="265"/>
      <c r="P818" s="265"/>
      <c r="Q818" s="265"/>
      <c r="R818" s="265"/>
      <c r="S818" s="265"/>
      <c r="T818" s="265"/>
      <c r="U818" s="265"/>
      <c r="V818" s="265"/>
      <c r="W818" s="265"/>
      <c r="X818" s="265"/>
      <c r="Y818" s="265"/>
      <c r="Z818" s="265"/>
      <c r="AA818" s="265"/>
      <c r="AB818" s="265"/>
    </row>
    <row r="819" spans="1:28" ht="15.75" customHeight="1">
      <c r="A819" s="265"/>
      <c r="B819" s="265"/>
      <c r="C819" s="265"/>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row>
    <row r="820" spans="1:28" ht="15.75" customHeight="1">
      <c r="A820" s="265"/>
      <c r="B820" s="265"/>
      <c r="C820" s="265"/>
      <c r="D820" s="265"/>
      <c r="E820" s="265"/>
      <c r="F820" s="265"/>
      <c r="G820" s="265"/>
      <c r="H820" s="265"/>
      <c r="I820" s="265"/>
      <c r="J820" s="265"/>
      <c r="K820" s="265"/>
      <c r="L820" s="265"/>
      <c r="M820" s="265"/>
      <c r="N820" s="265"/>
      <c r="O820" s="265"/>
      <c r="P820" s="265"/>
      <c r="Q820" s="265"/>
      <c r="R820" s="265"/>
      <c r="S820" s="265"/>
      <c r="T820" s="265"/>
      <c r="U820" s="265"/>
      <c r="V820" s="265"/>
      <c r="W820" s="265"/>
      <c r="X820" s="265"/>
      <c r="Y820" s="265"/>
      <c r="Z820" s="265"/>
      <c r="AA820" s="265"/>
      <c r="AB820" s="265"/>
    </row>
    <row r="821" spans="1:28" ht="15.75" customHeight="1">
      <c r="A821" s="265"/>
      <c r="B821" s="265"/>
      <c r="C821" s="265"/>
      <c r="D821" s="265"/>
      <c r="E821" s="265"/>
      <c r="F821" s="265"/>
      <c r="G821" s="265"/>
      <c r="H821" s="265"/>
      <c r="I821" s="265"/>
      <c r="J821" s="265"/>
      <c r="K821" s="265"/>
      <c r="L821" s="265"/>
      <c r="M821" s="265"/>
      <c r="N821" s="265"/>
      <c r="O821" s="265"/>
      <c r="P821" s="265"/>
      <c r="Q821" s="265"/>
      <c r="R821" s="265"/>
      <c r="S821" s="265"/>
      <c r="T821" s="265"/>
      <c r="U821" s="265"/>
      <c r="V821" s="265"/>
      <c r="W821" s="265"/>
      <c r="X821" s="265"/>
      <c r="Y821" s="265"/>
      <c r="Z821" s="265"/>
      <c r="AA821" s="265"/>
      <c r="AB821" s="265"/>
    </row>
    <row r="822" spans="1:28" ht="15.75" customHeight="1">
      <c r="A822" s="265"/>
      <c r="B822" s="265"/>
      <c r="C822" s="265"/>
      <c r="D822" s="265"/>
      <c r="E822" s="265"/>
      <c r="F822" s="265"/>
      <c r="G822" s="265"/>
      <c r="H822" s="265"/>
      <c r="I822" s="265"/>
      <c r="J822" s="265"/>
      <c r="K822" s="265"/>
      <c r="L822" s="265"/>
      <c r="M822" s="265"/>
      <c r="N822" s="265"/>
      <c r="O822" s="265"/>
      <c r="P822" s="265"/>
      <c r="Q822" s="265"/>
      <c r="R822" s="265"/>
      <c r="S822" s="265"/>
      <c r="T822" s="265"/>
      <c r="U822" s="265"/>
      <c r="V822" s="265"/>
      <c r="W822" s="265"/>
      <c r="X822" s="265"/>
      <c r="Y822" s="265"/>
      <c r="Z822" s="265"/>
      <c r="AA822" s="265"/>
      <c r="AB822" s="265"/>
    </row>
    <row r="823" spans="1:28" ht="15.75" customHeight="1">
      <c r="A823" s="265"/>
      <c r="B823" s="265"/>
      <c r="C823" s="265"/>
      <c r="D823" s="265"/>
      <c r="E823" s="265"/>
      <c r="F823" s="265"/>
      <c r="G823" s="265"/>
      <c r="H823" s="265"/>
      <c r="I823" s="265"/>
      <c r="J823" s="265"/>
      <c r="K823" s="265"/>
      <c r="L823" s="265"/>
      <c r="M823" s="265"/>
      <c r="N823" s="265"/>
      <c r="O823" s="265"/>
      <c r="P823" s="265"/>
      <c r="Q823" s="265"/>
      <c r="R823" s="265"/>
      <c r="S823" s="265"/>
      <c r="T823" s="265"/>
      <c r="U823" s="265"/>
      <c r="V823" s="265"/>
      <c r="W823" s="265"/>
      <c r="X823" s="265"/>
      <c r="Y823" s="265"/>
      <c r="Z823" s="265"/>
      <c r="AA823" s="265"/>
      <c r="AB823" s="265"/>
    </row>
    <row r="824" spans="1:28" ht="15.75" customHeight="1">
      <c r="A824" s="265"/>
      <c r="B824" s="265"/>
      <c r="C824" s="265"/>
      <c r="D824" s="265"/>
      <c r="E824" s="265"/>
      <c r="F824" s="265"/>
      <c r="G824" s="265"/>
      <c r="H824" s="265"/>
      <c r="I824" s="265"/>
      <c r="J824" s="265"/>
      <c r="K824" s="265"/>
      <c r="L824" s="265"/>
      <c r="M824" s="265"/>
      <c r="N824" s="265"/>
      <c r="O824" s="265"/>
      <c r="P824" s="265"/>
      <c r="Q824" s="265"/>
      <c r="R824" s="265"/>
      <c r="S824" s="265"/>
      <c r="T824" s="265"/>
      <c r="U824" s="265"/>
      <c r="V824" s="265"/>
      <c r="W824" s="265"/>
      <c r="X824" s="265"/>
      <c r="Y824" s="265"/>
      <c r="Z824" s="265"/>
      <c r="AA824" s="265"/>
      <c r="AB824" s="265"/>
    </row>
    <row r="825" spans="1:28" ht="15.75" customHeight="1">
      <c r="A825" s="265"/>
      <c r="B825" s="265"/>
      <c r="C825" s="265"/>
      <c r="D825" s="265"/>
      <c r="E825" s="265"/>
      <c r="F825" s="265"/>
      <c r="G825" s="265"/>
      <c r="H825" s="265"/>
      <c r="I825" s="265"/>
      <c r="J825" s="265"/>
      <c r="K825" s="265"/>
      <c r="L825" s="265"/>
      <c r="M825" s="265"/>
      <c r="N825" s="265"/>
      <c r="O825" s="265"/>
      <c r="P825" s="265"/>
      <c r="Q825" s="265"/>
      <c r="R825" s="265"/>
      <c r="S825" s="265"/>
      <c r="T825" s="265"/>
      <c r="U825" s="265"/>
      <c r="V825" s="265"/>
      <c r="W825" s="265"/>
      <c r="X825" s="265"/>
      <c r="Y825" s="265"/>
      <c r="Z825" s="265"/>
      <c r="AA825" s="265"/>
      <c r="AB825" s="265"/>
    </row>
    <row r="826" spans="1:28" ht="15.75" customHeight="1">
      <c r="A826" s="265"/>
      <c r="B826" s="265"/>
      <c r="C826" s="265"/>
      <c r="D826" s="265"/>
      <c r="E826" s="265"/>
      <c r="F826" s="265"/>
      <c r="G826" s="265"/>
      <c r="H826" s="265"/>
      <c r="I826" s="265"/>
      <c r="J826" s="265"/>
      <c r="K826" s="265"/>
      <c r="L826" s="265"/>
      <c r="M826" s="265"/>
      <c r="N826" s="265"/>
      <c r="O826" s="265"/>
      <c r="P826" s="265"/>
      <c r="Q826" s="265"/>
      <c r="R826" s="265"/>
      <c r="S826" s="265"/>
      <c r="T826" s="265"/>
      <c r="U826" s="265"/>
      <c r="V826" s="265"/>
      <c r="W826" s="265"/>
      <c r="X826" s="265"/>
      <c r="Y826" s="265"/>
      <c r="Z826" s="265"/>
      <c r="AA826" s="265"/>
      <c r="AB826" s="265"/>
    </row>
    <row r="827" spans="1:28" ht="15.75" customHeight="1">
      <c r="A827" s="265"/>
      <c r="B827" s="265"/>
      <c r="C827" s="265"/>
      <c r="D827" s="265"/>
      <c r="E827" s="265"/>
      <c r="F827" s="265"/>
      <c r="G827" s="265"/>
      <c r="H827" s="265"/>
      <c r="I827" s="265"/>
      <c r="J827" s="265"/>
      <c r="K827" s="265"/>
      <c r="L827" s="265"/>
      <c r="M827" s="265"/>
      <c r="N827" s="265"/>
      <c r="O827" s="265"/>
      <c r="P827" s="265"/>
      <c r="Q827" s="265"/>
      <c r="R827" s="265"/>
      <c r="S827" s="265"/>
      <c r="T827" s="265"/>
      <c r="U827" s="265"/>
      <c r="V827" s="265"/>
      <c r="W827" s="265"/>
      <c r="X827" s="265"/>
      <c r="Y827" s="265"/>
      <c r="Z827" s="265"/>
      <c r="AA827" s="265"/>
      <c r="AB827" s="265"/>
    </row>
    <row r="828" spans="1:28" ht="15.75" customHeight="1">
      <c r="A828" s="265"/>
      <c r="B828" s="265"/>
      <c r="C828" s="265"/>
      <c r="D828" s="265"/>
      <c r="E828" s="265"/>
      <c r="F828" s="265"/>
      <c r="G828" s="265"/>
      <c r="H828" s="265"/>
      <c r="I828" s="265"/>
      <c r="J828" s="265"/>
      <c r="K828" s="265"/>
      <c r="L828" s="265"/>
      <c r="M828" s="265"/>
      <c r="N828" s="265"/>
      <c r="O828" s="265"/>
      <c r="P828" s="265"/>
      <c r="Q828" s="265"/>
      <c r="R828" s="265"/>
      <c r="S828" s="265"/>
      <c r="T828" s="265"/>
      <c r="U828" s="265"/>
      <c r="V828" s="265"/>
      <c r="W828" s="265"/>
      <c r="X828" s="265"/>
      <c r="Y828" s="265"/>
      <c r="Z828" s="265"/>
      <c r="AA828" s="265"/>
      <c r="AB828" s="265"/>
    </row>
    <row r="829" spans="1:28" ht="15.75" customHeight="1">
      <c r="A829" s="265"/>
      <c r="B829" s="265"/>
      <c r="C829" s="265"/>
      <c r="D829" s="265"/>
      <c r="E829" s="265"/>
      <c r="F829" s="265"/>
      <c r="G829" s="265"/>
      <c r="H829" s="265"/>
      <c r="I829" s="265"/>
      <c r="J829" s="265"/>
      <c r="K829" s="265"/>
      <c r="L829" s="265"/>
      <c r="M829" s="265"/>
      <c r="N829" s="265"/>
      <c r="O829" s="265"/>
      <c r="P829" s="265"/>
      <c r="Q829" s="265"/>
      <c r="R829" s="265"/>
      <c r="S829" s="265"/>
      <c r="T829" s="265"/>
      <c r="U829" s="265"/>
      <c r="V829" s="265"/>
      <c r="W829" s="265"/>
      <c r="X829" s="265"/>
      <c r="Y829" s="265"/>
      <c r="Z829" s="265"/>
      <c r="AA829" s="265"/>
      <c r="AB829" s="265"/>
    </row>
    <row r="830" spans="1:28" ht="15.75" customHeight="1">
      <c r="A830" s="265"/>
      <c r="B830" s="265"/>
      <c r="C830" s="265"/>
      <c r="D830" s="265"/>
      <c r="E830" s="265"/>
      <c r="F830" s="265"/>
      <c r="G830" s="265"/>
      <c r="H830" s="265"/>
      <c r="I830" s="265"/>
      <c r="J830" s="265"/>
      <c r="K830" s="265"/>
      <c r="L830" s="265"/>
      <c r="M830" s="265"/>
      <c r="N830" s="265"/>
      <c r="O830" s="265"/>
      <c r="P830" s="265"/>
      <c r="Q830" s="265"/>
      <c r="R830" s="265"/>
      <c r="S830" s="265"/>
      <c r="T830" s="265"/>
      <c r="U830" s="265"/>
      <c r="V830" s="265"/>
      <c r="W830" s="265"/>
      <c r="X830" s="265"/>
      <c r="Y830" s="265"/>
      <c r="Z830" s="265"/>
      <c r="AA830" s="265"/>
      <c r="AB830" s="265"/>
    </row>
    <row r="831" spans="1:28" ht="15.75" customHeight="1">
      <c r="A831" s="265"/>
      <c r="B831" s="265"/>
      <c r="C831" s="265"/>
      <c r="D831" s="265"/>
      <c r="E831" s="265"/>
      <c r="F831" s="265"/>
      <c r="G831" s="265"/>
      <c r="H831" s="265"/>
      <c r="I831" s="265"/>
      <c r="J831" s="265"/>
      <c r="K831" s="265"/>
      <c r="L831" s="265"/>
      <c r="M831" s="265"/>
      <c r="N831" s="265"/>
      <c r="O831" s="265"/>
      <c r="P831" s="265"/>
      <c r="Q831" s="265"/>
      <c r="R831" s="265"/>
      <c r="S831" s="265"/>
      <c r="T831" s="265"/>
      <c r="U831" s="265"/>
      <c r="V831" s="265"/>
      <c r="W831" s="265"/>
      <c r="X831" s="265"/>
      <c r="Y831" s="265"/>
      <c r="Z831" s="265"/>
      <c r="AA831" s="265"/>
      <c r="AB831" s="265"/>
    </row>
    <row r="832" spans="1:28" ht="15.75" customHeight="1">
      <c r="A832" s="265"/>
      <c r="B832" s="265"/>
      <c r="C832" s="265"/>
      <c r="D832" s="265"/>
      <c r="E832" s="265"/>
      <c r="F832" s="265"/>
      <c r="G832" s="265"/>
      <c r="H832" s="265"/>
      <c r="I832" s="265"/>
      <c r="J832" s="265"/>
      <c r="K832" s="265"/>
      <c r="L832" s="265"/>
      <c r="M832" s="265"/>
      <c r="N832" s="265"/>
      <c r="O832" s="265"/>
      <c r="P832" s="265"/>
      <c r="Q832" s="265"/>
      <c r="R832" s="265"/>
      <c r="S832" s="265"/>
      <c r="T832" s="265"/>
      <c r="U832" s="265"/>
      <c r="V832" s="265"/>
      <c r="W832" s="265"/>
      <c r="X832" s="265"/>
      <c r="Y832" s="265"/>
      <c r="Z832" s="265"/>
      <c r="AA832" s="265"/>
      <c r="AB832" s="265"/>
    </row>
    <row r="833" spans="1:28" ht="15.75" customHeight="1">
      <c r="A833" s="265"/>
      <c r="B833" s="265"/>
      <c r="C833" s="265"/>
      <c r="D833" s="265"/>
      <c r="E833" s="265"/>
      <c r="F833" s="265"/>
      <c r="G833" s="265"/>
      <c r="H833" s="265"/>
      <c r="I833" s="265"/>
      <c r="J833" s="265"/>
      <c r="K833" s="265"/>
      <c r="L833" s="265"/>
      <c r="M833" s="265"/>
      <c r="N833" s="265"/>
      <c r="O833" s="265"/>
      <c r="P833" s="265"/>
      <c r="Q833" s="265"/>
      <c r="R833" s="265"/>
      <c r="S833" s="265"/>
      <c r="T833" s="265"/>
      <c r="U833" s="265"/>
      <c r="V833" s="265"/>
      <c r="W833" s="265"/>
      <c r="X833" s="265"/>
      <c r="Y833" s="265"/>
      <c r="Z833" s="265"/>
      <c r="AA833" s="265"/>
      <c r="AB833" s="265"/>
    </row>
    <row r="834" spans="1:28" ht="15.75" customHeight="1">
      <c r="A834" s="265"/>
      <c r="B834" s="265"/>
      <c r="C834" s="265"/>
      <c r="D834" s="265"/>
      <c r="E834" s="265"/>
      <c r="F834" s="265"/>
      <c r="G834" s="265"/>
      <c r="H834" s="265"/>
      <c r="I834" s="265"/>
      <c r="J834" s="265"/>
      <c r="K834" s="265"/>
      <c r="L834" s="265"/>
      <c r="M834" s="265"/>
      <c r="N834" s="265"/>
      <c r="O834" s="265"/>
      <c r="P834" s="265"/>
      <c r="Q834" s="265"/>
      <c r="R834" s="265"/>
      <c r="S834" s="265"/>
      <c r="T834" s="265"/>
      <c r="U834" s="265"/>
      <c r="V834" s="265"/>
      <c r="W834" s="265"/>
      <c r="X834" s="265"/>
      <c r="Y834" s="265"/>
      <c r="Z834" s="265"/>
      <c r="AA834" s="265"/>
      <c r="AB834" s="265"/>
    </row>
    <row r="835" spans="1:28" ht="15.75" customHeight="1">
      <c r="A835" s="265"/>
      <c r="B835" s="265"/>
      <c r="C835" s="265"/>
      <c r="D835" s="265"/>
      <c r="E835" s="265"/>
      <c r="F835" s="265"/>
      <c r="G835" s="265"/>
      <c r="H835" s="265"/>
      <c r="I835" s="265"/>
      <c r="J835" s="265"/>
      <c r="K835" s="265"/>
      <c r="L835" s="265"/>
      <c r="M835" s="265"/>
      <c r="N835" s="265"/>
      <c r="O835" s="265"/>
      <c r="P835" s="265"/>
      <c r="Q835" s="265"/>
      <c r="R835" s="265"/>
      <c r="S835" s="265"/>
      <c r="T835" s="265"/>
      <c r="U835" s="265"/>
      <c r="V835" s="265"/>
      <c r="W835" s="265"/>
      <c r="X835" s="265"/>
      <c r="Y835" s="265"/>
      <c r="Z835" s="265"/>
      <c r="AA835" s="265"/>
      <c r="AB835" s="265"/>
    </row>
    <row r="836" spans="1:28" ht="15.75" customHeight="1">
      <c r="A836" s="265"/>
      <c r="B836" s="265"/>
      <c r="C836" s="265"/>
      <c r="D836" s="265"/>
      <c r="E836" s="265"/>
      <c r="F836" s="265"/>
      <c r="G836" s="265"/>
      <c r="H836" s="265"/>
      <c r="I836" s="265"/>
      <c r="J836" s="265"/>
      <c r="K836" s="265"/>
      <c r="L836" s="265"/>
      <c r="M836" s="265"/>
      <c r="N836" s="265"/>
      <c r="O836" s="265"/>
      <c r="P836" s="265"/>
      <c r="Q836" s="265"/>
      <c r="R836" s="265"/>
      <c r="S836" s="265"/>
      <c r="T836" s="265"/>
      <c r="U836" s="265"/>
      <c r="V836" s="265"/>
      <c r="W836" s="265"/>
      <c r="X836" s="265"/>
      <c r="Y836" s="265"/>
      <c r="Z836" s="265"/>
      <c r="AA836" s="265"/>
      <c r="AB836" s="265"/>
    </row>
    <row r="837" spans="1:28" ht="15.75" customHeight="1">
      <c r="A837" s="265"/>
      <c r="B837" s="265"/>
      <c r="C837" s="265"/>
      <c r="D837" s="265"/>
      <c r="E837" s="265"/>
      <c r="F837" s="265"/>
      <c r="G837" s="265"/>
      <c r="H837" s="265"/>
      <c r="I837" s="265"/>
      <c r="J837" s="265"/>
      <c r="K837" s="265"/>
      <c r="L837" s="265"/>
      <c r="M837" s="265"/>
      <c r="N837" s="265"/>
      <c r="O837" s="265"/>
      <c r="P837" s="265"/>
      <c r="Q837" s="265"/>
      <c r="R837" s="265"/>
      <c r="S837" s="265"/>
      <c r="T837" s="265"/>
      <c r="U837" s="265"/>
      <c r="V837" s="265"/>
      <c r="W837" s="265"/>
      <c r="X837" s="265"/>
      <c r="Y837" s="265"/>
      <c r="Z837" s="265"/>
      <c r="AA837" s="265"/>
      <c r="AB837" s="265"/>
    </row>
    <row r="838" spans="1:28" ht="15.75" customHeight="1">
      <c r="A838" s="265"/>
      <c r="B838" s="265"/>
      <c r="C838" s="265"/>
      <c r="D838" s="265"/>
      <c r="E838" s="265"/>
      <c r="F838" s="265"/>
      <c r="G838" s="265"/>
      <c r="H838" s="265"/>
      <c r="I838" s="265"/>
      <c r="J838" s="265"/>
      <c r="K838" s="265"/>
      <c r="L838" s="265"/>
      <c r="M838" s="265"/>
      <c r="N838" s="265"/>
      <c r="O838" s="265"/>
      <c r="P838" s="265"/>
      <c r="Q838" s="265"/>
      <c r="R838" s="265"/>
      <c r="S838" s="265"/>
      <c r="T838" s="265"/>
      <c r="U838" s="265"/>
      <c r="V838" s="265"/>
      <c r="W838" s="265"/>
      <c r="X838" s="265"/>
      <c r="Y838" s="265"/>
      <c r="Z838" s="265"/>
      <c r="AA838" s="265"/>
      <c r="AB838" s="265"/>
    </row>
    <row r="839" spans="1:28" ht="15.75" customHeight="1">
      <c r="A839" s="265"/>
      <c r="B839" s="265"/>
      <c r="C839" s="265"/>
      <c r="D839" s="265"/>
      <c r="E839" s="265"/>
      <c r="F839" s="265"/>
      <c r="G839" s="265"/>
      <c r="H839" s="265"/>
      <c r="I839" s="265"/>
      <c r="J839" s="265"/>
      <c r="K839" s="265"/>
      <c r="L839" s="265"/>
      <c r="M839" s="265"/>
      <c r="N839" s="265"/>
      <c r="O839" s="265"/>
      <c r="P839" s="265"/>
      <c r="Q839" s="265"/>
      <c r="R839" s="265"/>
      <c r="S839" s="265"/>
      <c r="T839" s="265"/>
      <c r="U839" s="265"/>
      <c r="V839" s="265"/>
      <c r="W839" s="265"/>
      <c r="X839" s="265"/>
      <c r="Y839" s="265"/>
      <c r="Z839" s="265"/>
      <c r="AA839" s="265"/>
      <c r="AB839" s="265"/>
    </row>
    <row r="840" spans="1:28" ht="15.75" customHeight="1">
      <c r="A840" s="265"/>
      <c r="B840" s="265"/>
      <c r="C840" s="265"/>
      <c r="D840" s="265"/>
      <c r="E840" s="265"/>
      <c r="F840" s="265"/>
      <c r="G840" s="265"/>
      <c r="H840" s="265"/>
      <c r="I840" s="265"/>
      <c r="J840" s="265"/>
      <c r="K840" s="265"/>
      <c r="L840" s="265"/>
      <c r="M840" s="265"/>
      <c r="N840" s="265"/>
      <c r="O840" s="265"/>
      <c r="P840" s="265"/>
      <c r="Q840" s="265"/>
      <c r="R840" s="265"/>
      <c r="S840" s="265"/>
      <c r="T840" s="265"/>
      <c r="U840" s="265"/>
      <c r="V840" s="265"/>
      <c r="W840" s="265"/>
      <c r="X840" s="265"/>
      <c r="Y840" s="265"/>
      <c r="Z840" s="265"/>
      <c r="AA840" s="265"/>
      <c r="AB840" s="265"/>
    </row>
    <row r="841" spans="1:28" ht="15.75" customHeight="1">
      <c r="A841" s="265"/>
      <c r="B841" s="265"/>
      <c r="C841" s="265"/>
      <c r="D841" s="265"/>
      <c r="E841" s="265"/>
      <c r="F841" s="265"/>
      <c r="G841" s="265"/>
      <c r="H841" s="265"/>
      <c r="I841" s="265"/>
      <c r="J841" s="265"/>
      <c r="K841" s="265"/>
      <c r="L841" s="265"/>
      <c r="M841" s="265"/>
      <c r="N841" s="265"/>
      <c r="O841" s="265"/>
      <c r="P841" s="265"/>
      <c r="Q841" s="265"/>
      <c r="R841" s="265"/>
      <c r="S841" s="265"/>
      <c r="T841" s="265"/>
      <c r="U841" s="265"/>
      <c r="V841" s="265"/>
      <c r="W841" s="265"/>
      <c r="X841" s="265"/>
      <c r="Y841" s="265"/>
      <c r="Z841" s="265"/>
      <c r="AA841" s="265"/>
      <c r="AB841" s="265"/>
    </row>
    <row r="842" spans="1:28" ht="15.75" customHeight="1">
      <c r="A842" s="265"/>
      <c r="B842" s="265"/>
      <c r="C842" s="265"/>
      <c r="D842" s="265"/>
      <c r="E842" s="265"/>
      <c r="F842" s="265"/>
      <c r="G842" s="265"/>
      <c r="H842" s="265"/>
      <c r="I842" s="265"/>
      <c r="J842" s="265"/>
      <c r="K842" s="265"/>
      <c r="L842" s="265"/>
      <c r="M842" s="265"/>
      <c r="N842" s="265"/>
      <c r="O842" s="265"/>
      <c r="P842" s="265"/>
      <c r="Q842" s="265"/>
      <c r="R842" s="265"/>
      <c r="S842" s="265"/>
      <c r="T842" s="265"/>
      <c r="U842" s="265"/>
      <c r="V842" s="265"/>
      <c r="W842" s="265"/>
      <c r="X842" s="265"/>
      <c r="Y842" s="265"/>
      <c r="Z842" s="265"/>
      <c r="AA842" s="265"/>
      <c r="AB842" s="265"/>
    </row>
    <row r="843" spans="1:28" ht="15.75" customHeight="1">
      <c r="A843" s="265"/>
      <c r="B843" s="265"/>
      <c r="C843" s="265"/>
      <c r="D843" s="265"/>
      <c r="E843" s="265"/>
      <c r="F843" s="265"/>
      <c r="G843" s="265"/>
      <c r="H843" s="265"/>
      <c r="I843" s="265"/>
      <c r="J843" s="265"/>
      <c r="K843" s="265"/>
      <c r="L843" s="265"/>
      <c r="M843" s="265"/>
      <c r="N843" s="265"/>
      <c r="O843" s="265"/>
      <c r="P843" s="265"/>
      <c r="Q843" s="265"/>
      <c r="R843" s="265"/>
      <c r="S843" s="265"/>
      <c r="T843" s="265"/>
      <c r="U843" s="265"/>
      <c r="V843" s="265"/>
      <c r="W843" s="265"/>
      <c r="X843" s="265"/>
      <c r="Y843" s="265"/>
      <c r="Z843" s="265"/>
      <c r="AA843" s="265"/>
      <c r="AB843" s="265"/>
    </row>
    <row r="844" spans="1:28" ht="15.75" customHeight="1">
      <c r="A844" s="265"/>
      <c r="B844" s="265"/>
      <c r="C844" s="265"/>
      <c r="D844" s="265"/>
      <c r="E844" s="265"/>
      <c r="F844" s="265"/>
      <c r="G844" s="265"/>
      <c r="H844" s="265"/>
      <c r="I844" s="265"/>
      <c r="J844" s="265"/>
      <c r="K844" s="265"/>
      <c r="L844" s="265"/>
      <c r="M844" s="265"/>
      <c r="N844" s="265"/>
      <c r="O844" s="265"/>
      <c r="P844" s="265"/>
      <c r="Q844" s="265"/>
      <c r="R844" s="265"/>
      <c r="S844" s="265"/>
      <c r="T844" s="265"/>
      <c r="U844" s="265"/>
      <c r="V844" s="265"/>
      <c r="W844" s="265"/>
      <c r="X844" s="265"/>
      <c r="Y844" s="265"/>
      <c r="Z844" s="265"/>
      <c r="AA844" s="265"/>
      <c r="AB844" s="265"/>
    </row>
    <row r="845" spans="1:28" ht="15.75" customHeight="1">
      <c r="A845" s="265"/>
      <c r="B845" s="265"/>
      <c r="C845" s="265"/>
      <c r="D845" s="265"/>
      <c r="E845" s="265"/>
      <c r="F845" s="265"/>
      <c r="G845" s="265"/>
      <c r="H845" s="265"/>
      <c r="I845" s="265"/>
      <c r="J845" s="265"/>
      <c r="K845" s="265"/>
      <c r="L845" s="265"/>
      <c r="M845" s="265"/>
      <c r="N845" s="265"/>
      <c r="O845" s="265"/>
      <c r="P845" s="265"/>
      <c r="Q845" s="265"/>
      <c r="R845" s="265"/>
      <c r="S845" s="265"/>
      <c r="T845" s="265"/>
      <c r="U845" s="265"/>
      <c r="V845" s="265"/>
      <c r="W845" s="265"/>
      <c r="X845" s="265"/>
      <c r="Y845" s="265"/>
      <c r="Z845" s="265"/>
      <c r="AA845" s="265"/>
      <c r="AB845" s="265"/>
    </row>
    <row r="846" spans="1:28" ht="15.75" customHeight="1">
      <c r="A846" s="265"/>
      <c r="B846" s="265"/>
      <c r="C846" s="265"/>
      <c r="D846" s="265"/>
      <c r="E846" s="265"/>
      <c r="F846" s="265"/>
      <c r="G846" s="265"/>
      <c r="H846" s="265"/>
      <c r="I846" s="265"/>
      <c r="J846" s="265"/>
      <c r="K846" s="265"/>
      <c r="L846" s="265"/>
      <c r="M846" s="265"/>
      <c r="N846" s="265"/>
      <c r="O846" s="265"/>
      <c r="P846" s="265"/>
      <c r="Q846" s="265"/>
      <c r="R846" s="265"/>
      <c r="S846" s="265"/>
      <c r="T846" s="265"/>
      <c r="U846" s="265"/>
      <c r="V846" s="265"/>
      <c r="W846" s="265"/>
      <c r="X846" s="265"/>
      <c r="Y846" s="265"/>
      <c r="Z846" s="265"/>
      <c r="AA846" s="265"/>
      <c r="AB846" s="265"/>
    </row>
    <row r="847" spans="1:28" ht="15.75" customHeight="1">
      <c r="A847" s="265"/>
      <c r="B847" s="265"/>
      <c r="C847" s="265"/>
      <c r="D847" s="265"/>
      <c r="E847" s="265"/>
      <c r="F847" s="265"/>
      <c r="G847" s="265"/>
      <c r="H847" s="265"/>
      <c r="I847" s="265"/>
      <c r="J847" s="265"/>
      <c r="K847" s="265"/>
      <c r="L847" s="265"/>
      <c r="M847" s="265"/>
      <c r="N847" s="265"/>
      <c r="O847" s="265"/>
      <c r="P847" s="265"/>
      <c r="Q847" s="265"/>
      <c r="R847" s="265"/>
      <c r="S847" s="265"/>
      <c r="T847" s="265"/>
      <c r="U847" s="265"/>
      <c r="V847" s="265"/>
      <c r="W847" s="265"/>
      <c r="X847" s="265"/>
      <c r="Y847" s="265"/>
      <c r="Z847" s="265"/>
      <c r="AA847" s="265"/>
      <c r="AB847" s="265"/>
    </row>
    <row r="848" spans="1:28" ht="15.75" customHeight="1">
      <c r="A848" s="265"/>
      <c r="B848" s="265"/>
      <c r="C848" s="265"/>
      <c r="D848" s="265"/>
      <c r="E848" s="265"/>
      <c r="F848" s="265"/>
      <c r="G848" s="265"/>
      <c r="H848" s="265"/>
      <c r="I848" s="265"/>
      <c r="J848" s="265"/>
      <c r="K848" s="265"/>
      <c r="L848" s="265"/>
      <c r="M848" s="265"/>
      <c r="N848" s="265"/>
      <c r="O848" s="265"/>
      <c r="P848" s="265"/>
      <c r="Q848" s="265"/>
      <c r="R848" s="265"/>
      <c r="S848" s="265"/>
      <c r="T848" s="265"/>
      <c r="U848" s="265"/>
      <c r="V848" s="265"/>
      <c r="W848" s="265"/>
      <c r="X848" s="265"/>
      <c r="Y848" s="265"/>
      <c r="Z848" s="265"/>
      <c r="AA848" s="265"/>
      <c r="AB848" s="265"/>
    </row>
    <row r="849" spans="1:28" ht="15.75" customHeight="1">
      <c r="A849" s="265"/>
      <c r="B849" s="265"/>
      <c r="C849" s="265"/>
      <c r="D849" s="265"/>
      <c r="E849" s="265"/>
      <c r="F849" s="265"/>
      <c r="G849" s="265"/>
      <c r="H849" s="265"/>
      <c r="I849" s="265"/>
      <c r="J849" s="265"/>
      <c r="K849" s="265"/>
      <c r="L849" s="265"/>
      <c r="M849" s="265"/>
      <c r="N849" s="265"/>
      <c r="O849" s="265"/>
      <c r="P849" s="265"/>
      <c r="Q849" s="265"/>
      <c r="R849" s="265"/>
      <c r="S849" s="265"/>
      <c r="T849" s="265"/>
      <c r="U849" s="265"/>
      <c r="V849" s="265"/>
      <c r="W849" s="265"/>
      <c r="X849" s="265"/>
      <c r="Y849" s="265"/>
      <c r="Z849" s="265"/>
      <c r="AA849" s="265"/>
      <c r="AB849" s="265"/>
    </row>
    <row r="850" spans="1:28" ht="15.75" customHeight="1">
      <c r="A850" s="265"/>
      <c r="B850" s="265"/>
      <c r="C850" s="265"/>
      <c r="D850" s="265"/>
      <c r="E850" s="265"/>
      <c r="F850" s="265"/>
      <c r="G850" s="265"/>
      <c r="H850" s="265"/>
      <c r="I850" s="265"/>
      <c r="J850" s="265"/>
      <c r="K850" s="265"/>
      <c r="L850" s="265"/>
      <c r="M850" s="265"/>
      <c r="N850" s="265"/>
      <c r="O850" s="265"/>
      <c r="P850" s="265"/>
      <c r="Q850" s="265"/>
      <c r="R850" s="265"/>
      <c r="S850" s="265"/>
      <c r="T850" s="265"/>
      <c r="U850" s="265"/>
      <c r="V850" s="265"/>
      <c r="W850" s="265"/>
      <c r="X850" s="265"/>
      <c r="Y850" s="265"/>
      <c r="Z850" s="265"/>
      <c r="AA850" s="265"/>
      <c r="AB850" s="265"/>
    </row>
    <row r="851" spans="1:28" ht="15.75" customHeight="1">
      <c r="A851" s="265"/>
      <c r="B851" s="265"/>
      <c r="C851" s="265"/>
      <c r="D851" s="265"/>
      <c r="E851" s="265"/>
      <c r="F851" s="265"/>
      <c r="G851" s="265"/>
      <c r="H851" s="265"/>
      <c r="I851" s="265"/>
      <c r="J851" s="265"/>
      <c r="K851" s="265"/>
      <c r="L851" s="265"/>
      <c r="M851" s="265"/>
      <c r="N851" s="265"/>
      <c r="O851" s="265"/>
      <c r="P851" s="265"/>
      <c r="Q851" s="265"/>
      <c r="R851" s="265"/>
      <c r="S851" s="265"/>
      <c r="T851" s="265"/>
      <c r="U851" s="265"/>
      <c r="V851" s="265"/>
      <c r="W851" s="265"/>
      <c r="X851" s="265"/>
      <c r="Y851" s="265"/>
      <c r="Z851" s="265"/>
      <c r="AA851" s="265"/>
      <c r="AB851" s="265"/>
    </row>
    <row r="852" spans="1:28" ht="15.75" customHeight="1">
      <c r="A852" s="265"/>
      <c r="B852" s="265"/>
      <c r="C852" s="265"/>
      <c r="D852" s="265"/>
      <c r="E852" s="265"/>
      <c r="F852" s="265"/>
      <c r="G852" s="265"/>
      <c r="H852" s="265"/>
      <c r="I852" s="265"/>
      <c r="J852" s="265"/>
      <c r="K852" s="265"/>
      <c r="L852" s="265"/>
      <c r="M852" s="265"/>
      <c r="N852" s="265"/>
      <c r="O852" s="265"/>
      <c r="P852" s="265"/>
      <c r="Q852" s="265"/>
      <c r="R852" s="265"/>
      <c r="S852" s="265"/>
      <c r="T852" s="265"/>
      <c r="U852" s="265"/>
      <c r="V852" s="265"/>
      <c r="W852" s="265"/>
      <c r="X852" s="265"/>
      <c r="Y852" s="265"/>
      <c r="Z852" s="265"/>
      <c r="AA852" s="265"/>
      <c r="AB852" s="265"/>
    </row>
    <row r="853" spans="1:28" ht="15.75" customHeight="1">
      <c r="A853" s="265"/>
      <c r="B853" s="265"/>
      <c r="C853" s="265"/>
      <c r="D853" s="265"/>
      <c r="E853" s="265"/>
      <c r="F853" s="265"/>
      <c r="G853" s="265"/>
      <c r="H853" s="265"/>
      <c r="I853" s="265"/>
      <c r="J853" s="265"/>
      <c r="K853" s="265"/>
      <c r="L853" s="265"/>
      <c r="M853" s="265"/>
      <c r="N853" s="265"/>
      <c r="O853" s="265"/>
      <c r="P853" s="265"/>
      <c r="Q853" s="265"/>
      <c r="R853" s="265"/>
      <c r="S853" s="265"/>
      <c r="T853" s="265"/>
      <c r="U853" s="265"/>
      <c r="V853" s="265"/>
      <c r="W853" s="265"/>
      <c r="X853" s="265"/>
      <c r="Y853" s="265"/>
      <c r="Z853" s="265"/>
      <c r="AA853" s="265"/>
      <c r="AB853" s="265"/>
    </row>
    <row r="854" spans="1:28" ht="15.75" customHeight="1">
      <c r="A854" s="265"/>
      <c r="B854" s="265"/>
      <c r="C854" s="265"/>
      <c r="D854" s="265"/>
      <c r="E854" s="265"/>
      <c r="F854" s="265"/>
      <c r="G854" s="265"/>
      <c r="H854" s="265"/>
      <c r="I854" s="265"/>
      <c r="J854" s="265"/>
      <c r="K854" s="265"/>
      <c r="L854" s="265"/>
      <c r="M854" s="265"/>
      <c r="N854" s="265"/>
      <c r="O854" s="265"/>
      <c r="P854" s="265"/>
      <c r="Q854" s="265"/>
      <c r="R854" s="265"/>
      <c r="S854" s="265"/>
      <c r="T854" s="265"/>
      <c r="U854" s="265"/>
      <c r="V854" s="265"/>
      <c r="W854" s="265"/>
      <c r="X854" s="265"/>
      <c r="Y854" s="265"/>
      <c r="Z854" s="265"/>
      <c r="AA854" s="265"/>
      <c r="AB854" s="265"/>
    </row>
    <row r="855" spans="1:28" ht="15.75" customHeight="1">
      <c r="A855" s="265"/>
      <c r="B855" s="265"/>
      <c r="C855" s="265"/>
      <c r="D855" s="265"/>
      <c r="E855" s="265"/>
      <c r="F855" s="265"/>
      <c r="G855" s="265"/>
      <c r="H855" s="265"/>
      <c r="I855" s="265"/>
      <c r="J855" s="265"/>
      <c r="K855" s="265"/>
      <c r="L855" s="265"/>
      <c r="M855" s="265"/>
      <c r="N855" s="265"/>
      <c r="O855" s="265"/>
      <c r="P855" s="265"/>
      <c r="Q855" s="265"/>
      <c r="R855" s="265"/>
      <c r="S855" s="265"/>
      <c r="T855" s="265"/>
      <c r="U855" s="265"/>
      <c r="V855" s="265"/>
      <c r="W855" s="265"/>
      <c r="X855" s="265"/>
      <c r="Y855" s="265"/>
      <c r="Z855" s="265"/>
      <c r="AA855" s="265"/>
      <c r="AB855" s="265"/>
    </row>
    <row r="856" spans="1:28" ht="15.75" customHeight="1">
      <c r="A856" s="265"/>
      <c r="B856" s="265"/>
      <c r="C856" s="265"/>
      <c r="D856" s="265"/>
      <c r="E856" s="265"/>
      <c r="F856" s="265"/>
      <c r="G856" s="265"/>
      <c r="H856" s="265"/>
      <c r="I856" s="265"/>
      <c r="J856" s="265"/>
      <c r="K856" s="265"/>
      <c r="L856" s="265"/>
      <c r="M856" s="265"/>
      <c r="N856" s="265"/>
      <c r="O856" s="265"/>
      <c r="P856" s="265"/>
      <c r="Q856" s="265"/>
      <c r="R856" s="265"/>
      <c r="S856" s="265"/>
      <c r="T856" s="265"/>
      <c r="U856" s="265"/>
      <c r="V856" s="265"/>
      <c r="W856" s="265"/>
      <c r="X856" s="265"/>
      <c r="Y856" s="265"/>
      <c r="Z856" s="265"/>
      <c r="AA856" s="265"/>
      <c r="AB856" s="265"/>
    </row>
    <row r="857" spans="1:28" ht="15.75" customHeight="1">
      <c r="A857" s="265"/>
      <c r="B857" s="265"/>
      <c r="C857" s="265"/>
      <c r="D857" s="265"/>
      <c r="E857" s="265"/>
      <c r="F857" s="265"/>
      <c r="G857" s="265"/>
      <c r="H857" s="265"/>
      <c r="I857" s="265"/>
      <c r="J857" s="265"/>
      <c r="K857" s="265"/>
      <c r="L857" s="265"/>
      <c r="M857" s="265"/>
      <c r="N857" s="265"/>
      <c r="O857" s="265"/>
      <c r="P857" s="265"/>
      <c r="Q857" s="265"/>
      <c r="R857" s="265"/>
      <c r="S857" s="265"/>
      <c r="T857" s="265"/>
      <c r="U857" s="265"/>
      <c r="V857" s="265"/>
      <c r="W857" s="265"/>
      <c r="X857" s="265"/>
      <c r="Y857" s="265"/>
      <c r="Z857" s="265"/>
      <c r="AA857" s="265"/>
      <c r="AB857" s="265"/>
    </row>
    <row r="858" spans="1:28" ht="15.75" customHeight="1">
      <c r="A858" s="265"/>
      <c r="B858" s="265"/>
      <c r="C858" s="265"/>
      <c r="D858" s="265"/>
      <c r="E858" s="265"/>
      <c r="F858" s="265"/>
      <c r="G858" s="265"/>
      <c r="H858" s="265"/>
      <c r="I858" s="265"/>
      <c r="J858" s="265"/>
      <c r="K858" s="265"/>
      <c r="L858" s="265"/>
      <c r="M858" s="265"/>
      <c r="N858" s="265"/>
      <c r="O858" s="265"/>
      <c r="P858" s="265"/>
      <c r="Q858" s="265"/>
      <c r="R858" s="265"/>
      <c r="S858" s="265"/>
      <c r="T858" s="265"/>
      <c r="U858" s="265"/>
      <c r="V858" s="265"/>
      <c r="W858" s="265"/>
      <c r="X858" s="265"/>
      <c r="Y858" s="265"/>
      <c r="Z858" s="265"/>
      <c r="AA858" s="265"/>
      <c r="AB858" s="265"/>
    </row>
    <row r="859" spans="1:28" ht="15.75" customHeight="1">
      <c r="A859" s="265"/>
      <c r="B859" s="265"/>
      <c r="C859" s="265"/>
      <c r="D859" s="265"/>
      <c r="E859" s="265"/>
      <c r="F859" s="265"/>
      <c r="G859" s="265"/>
      <c r="H859" s="265"/>
      <c r="I859" s="265"/>
      <c r="J859" s="265"/>
      <c r="K859" s="265"/>
      <c r="L859" s="265"/>
      <c r="M859" s="265"/>
      <c r="N859" s="265"/>
      <c r="O859" s="265"/>
      <c r="P859" s="265"/>
      <c r="Q859" s="265"/>
      <c r="R859" s="265"/>
      <c r="S859" s="265"/>
      <c r="T859" s="265"/>
      <c r="U859" s="265"/>
      <c r="V859" s="265"/>
      <c r="W859" s="265"/>
      <c r="X859" s="265"/>
      <c r="Y859" s="265"/>
      <c r="Z859" s="265"/>
      <c r="AA859" s="265"/>
      <c r="AB859" s="265"/>
    </row>
    <row r="860" spans="1:28" ht="15.75" customHeight="1">
      <c r="A860" s="265"/>
      <c r="B860" s="265"/>
      <c r="C860" s="265"/>
      <c r="D860" s="265"/>
      <c r="E860" s="265"/>
      <c r="F860" s="265"/>
      <c r="G860" s="265"/>
      <c r="H860" s="265"/>
      <c r="I860" s="265"/>
      <c r="J860" s="265"/>
      <c r="K860" s="265"/>
      <c r="L860" s="265"/>
      <c r="M860" s="265"/>
      <c r="N860" s="265"/>
      <c r="O860" s="265"/>
      <c r="P860" s="265"/>
      <c r="Q860" s="265"/>
      <c r="R860" s="265"/>
      <c r="S860" s="265"/>
      <c r="T860" s="265"/>
      <c r="U860" s="265"/>
      <c r="V860" s="265"/>
      <c r="W860" s="265"/>
      <c r="X860" s="265"/>
      <c r="Y860" s="265"/>
      <c r="Z860" s="265"/>
      <c r="AA860" s="265"/>
      <c r="AB860" s="265"/>
    </row>
    <row r="861" spans="1:28" ht="15.75" customHeight="1">
      <c r="A861" s="265"/>
      <c r="B861" s="265"/>
      <c r="C861" s="265"/>
      <c r="D861" s="265"/>
      <c r="E861" s="265"/>
      <c r="F861" s="265"/>
      <c r="G861" s="265"/>
      <c r="H861" s="265"/>
      <c r="I861" s="265"/>
      <c r="J861" s="265"/>
      <c r="K861" s="265"/>
      <c r="L861" s="265"/>
      <c r="M861" s="265"/>
      <c r="N861" s="265"/>
      <c r="O861" s="265"/>
      <c r="P861" s="265"/>
      <c r="Q861" s="265"/>
      <c r="R861" s="265"/>
      <c r="S861" s="265"/>
      <c r="T861" s="265"/>
      <c r="U861" s="265"/>
      <c r="V861" s="265"/>
      <c r="W861" s="265"/>
      <c r="X861" s="265"/>
      <c r="Y861" s="265"/>
      <c r="Z861" s="265"/>
      <c r="AA861" s="265"/>
      <c r="AB861" s="265"/>
    </row>
    <row r="862" spans="1:28" ht="15.75" customHeight="1">
      <c r="A862" s="265"/>
      <c r="B862" s="265"/>
      <c r="C862" s="265"/>
      <c r="D862" s="265"/>
      <c r="E862" s="265"/>
      <c r="F862" s="265"/>
      <c r="G862" s="265"/>
      <c r="H862" s="265"/>
      <c r="I862" s="265"/>
      <c r="J862" s="265"/>
      <c r="K862" s="265"/>
      <c r="L862" s="265"/>
      <c r="M862" s="265"/>
      <c r="N862" s="265"/>
      <c r="O862" s="265"/>
      <c r="P862" s="265"/>
      <c r="Q862" s="265"/>
      <c r="R862" s="265"/>
      <c r="S862" s="265"/>
      <c r="T862" s="265"/>
      <c r="U862" s="265"/>
      <c r="V862" s="265"/>
      <c r="W862" s="265"/>
      <c r="X862" s="265"/>
      <c r="Y862" s="265"/>
      <c r="Z862" s="265"/>
      <c r="AA862" s="265"/>
      <c r="AB862" s="265"/>
    </row>
    <row r="863" spans="1:28" ht="15.75" customHeight="1">
      <c r="A863" s="265"/>
      <c r="B863" s="265"/>
      <c r="C863" s="265"/>
      <c r="D863" s="265"/>
      <c r="E863" s="265"/>
      <c r="F863" s="265"/>
      <c r="G863" s="265"/>
      <c r="H863" s="265"/>
      <c r="I863" s="265"/>
      <c r="J863" s="265"/>
      <c r="K863" s="265"/>
      <c r="L863" s="265"/>
      <c r="M863" s="265"/>
      <c r="N863" s="265"/>
      <c r="O863" s="265"/>
      <c r="P863" s="265"/>
      <c r="Q863" s="265"/>
      <c r="R863" s="265"/>
      <c r="S863" s="265"/>
      <c r="T863" s="265"/>
      <c r="U863" s="265"/>
      <c r="V863" s="265"/>
      <c r="W863" s="265"/>
      <c r="X863" s="265"/>
      <c r="Y863" s="265"/>
      <c r="Z863" s="265"/>
      <c r="AA863" s="265"/>
      <c r="AB863" s="265"/>
    </row>
    <row r="864" spans="1:28" ht="15.75" customHeight="1">
      <c r="A864" s="265"/>
      <c r="B864" s="265"/>
      <c r="C864" s="265"/>
      <c r="D864" s="265"/>
      <c r="E864" s="265"/>
      <c r="F864" s="265"/>
      <c r="G864" s="265"/>
      <c r="H864" s="265"/>
      <c r="I864" s="265"/>
      <c r="J864" s="265"/>
      <c r="K864" s="265"/>
      <c r="L864" s="265"/>
      <c r="M864" s="265"/>
      <c r="N864" s="265"/>
      <c r="O864" s="265"/>
      <c r="P864" s="265"/>
      <c r="Q864" s="265"/>
      <c r="R864" s="265"/>
      <c r="S864" s="265"/>
      <c r="T864" s="265"/>
      <c r="U864" s="265"/>
      <c r="V864" s="265"/>
      <c r="W864" s="265"/>
      <c r="X864" s="265"/>
      <c r="Y864" s="265"/>
      <c r="Z864" s="265"/>
      <c r="AA864" s="265"/>
      <c r="AB864" s="265"/>
    </row>
    <row r="865" spans="1:28" ht="15.75" customHeight="1">
      <c r="A865" s="265"/>
      <c r="B865" s="265"/>
      <c r="C865" s="265"/>
      <c r="D865" s="265"/>
      <c r="E865" s="265"/>
      <c r="F865" s="265"/>
      <c r="G865" s="265"/>
      <c r="H865" s="265"/>
      <c r="I865" s="265"/>
      <c r="J865" s="265"/>
      <c r="K865" s="265"/>
      <c r="L865" s="265"/>
      <c r="M865" s="265"/>
      <c r="N865" s="265"/>
      <c r="O865" s="265"/>
      <c r="P865" s="265"/>
      <c r="Q865" s="265"/>
      <c r="R865" s="265"/>
      <c r="S865" s="265"/>
      <c r="T865" s="265"/>
      <c r="U865" s="265"/>
      <c r="V865" s="265"/>
      <c r="W865" s="265"/>
      <c r="X865" s="265"/>
      <c r="Y865" s="265"/>
      <c r="Z865" s="265"/>
      <c r="AA865" s="265"/>
      <c r="AB865" s="265"/>
    </row>
    <row r="866" spans="1:28" ht="15.75" customHeight="1">
      <c r="A866" s="265"/>
      <c r="B866" s="265"/>
      <c r="C866" s="265"/>
      <c r="D866" s="265"/>
      <c r="E866" s="265"/>
      <c r="F866" s="265"/>
      <c r="G866" s="265"/>
      <c r="H866" s="265"/>
      <c r="I866" s="265"/>
      <c r="J866" s="265"/>
      <c r="K866" s="265"/>
      <c r="L866" s="265"/>
      <c r="M866" s="265"/>
      <c r="N866" s="265"/>
      <c r="O866" s="265"/>
      <c r="P866" s="265"/>
      <c r="Q866" s="265"/>
      <c r="R866" s="265"/>
      <c r="S866" s="265"/>
      <c r="T866" s="265"/>
      <c r="U866" s="265"/>
      <c r="V866" s="265"/>
      <c r="W866" s="265"/>
      <c r="X866" s="265"/>
      <c r="Y866" s="265"/>
      <c r="Z866" s="265"/>
      <c r="AA866" s="265"/>
      <c r="AB866" s="265"/>
    </row>
    <row r="867" spans="1:28" ht="15.75" customHeight="1">
      <c r="A867" s="265"/>
      <c r="B867" s="265"/>
      <c r="C867" s="265"/>
      <c r="D867" s="265"/>
      <c r="E867" s="265"/>
      <c r="F867" s="265"/>
      <c r="G867" s="265"/>
      <c r="H867" s="265"/>
      <c r="I867" s="265"/>
      <c r="J867" s="265"/>
      <c r="K867" s="265"/>
      <c r="L867" s="265"/>
      <c r="M867" s="265"/>
      <c r="N867" s="265"/>
      <c r="O867" s="265"/>
      <c r="P867" s="265"/>
      <c r="Q867" s="265"/>
      <c r="R867" s="265"/>
      <c r="S867" s="265"/>
      <c r="T867" s="265"/>
      <c r="U867" s="265"/>
      <c r="V867" s="265"/>
      <c r="W867" s="265"/>
      <c r="X867" s="265"/>
      <c r="Y867" s="265"/>
      <c r="Z867" s="265"/>
      <c r="AA867" s="265"/>
      <c r="AB867" s="265"/>
    </row>
    <row r="868" spans="1:28" ht="15.75" customHeight="1">
      <c r="A868" s="265"/>
      <c r="B868" s="265"/>
      <c r="C868" s="265"/>
      <c r="D868" s="265"/>
      <c r="E868" s="265"/>
      <c r="F868" s="265"/>
      <c r="G868" s="265"/>
      <c r="H868" s="265"/>
      <c r="I868" s="265"/>
      <c r="J868" s="265"/>
      <c r="K868" s="265"/>
      <c r="L868" s="265"/>
      <c r="M868" s="265"/>
      <c r="N868" s="265"/>
      <c r="O868" s="265"/>
      <c r="P868" s="265"/>
      <c r="Q868" s="265"/>
      <c r="R868" s="265"/>
      <c r="S868" s="265"/>
      <c r="T868" s="265"/>
      <c r="U868" s="265"/>
      <c r="V868" s="265"/>
      <c r="W868" s="265"/>
      <c r="X868" s="265"/>
      <c r="Y868" s="265"/>
      <c r="Z868" s="265"/>
      <c r="AA868" s="265"/>
      <c r="AB868" s="265"/>
    </row>
    <row r="869" spans="1:28" ht="15.75" customHeight="1">
      <c r="A869" s="265"/>
      <c r="B869" s="265"/>
      <c r="C869" s="265"/>
      <c r="D869" s="265"/>
      <c r="E869" s="265"/>
      <c r="F869" s="265"/>
      <c r="G869" s="265"/>
      <c r="H869" s="265"/>
      <c r="I869" s="265"/>
      <c r="J869" s="265"/>
      <c r="K869" s="265"/>
      <c r="L869" s="265"/>
      <c r="M869" s="265"/>
      <c r="N869" s="265"/>
      <c r="O869" s="265"/>
      <c r="P869" s="265"/>
      <c r="Q869" s="265"/>
      <c r="R869" s="265"/>
      <c r="S869" s="265"/>
      <c r="T869" s="265"/>
      <c r="U869" s="265"/>
      <c r="V869" s="265"/>
      <c r="W869" s="265"/>
      <c r="X869" s="265"/>
      <c r="Y869" s="265"/>
      <c r="Z869" s="265"/>
      <c r="AA869" s="265"/>
      <c r="AB869" s="265"/>
    </row>
    <row r="870" spans="1:28" ht="15.75" customHeight="1">
      <c r="A870" s="265"/>
      <c r="B870" s="265"/>
      <c r="C870" s="265"/>
      <c r="D870" s="265"/>
      <c r="E870" s="265"/>
      <c r="F870" s="265"/>
      <c r="G870" s="265"/>
      <c r="H870" s="265"/>
      <c r="I870" s="265"/>
      <c r="J870" s="265"/>
      <c r="K870" s="265"/>
      <c r="L870" s="265"/>
      <c r="M870" s="265"/>
      <c r="N870" s="265"/>
      <c r="O870" s="265"/>
      <c r="P870" s="265"/>
      <c r="Q870" s="265"/>
      <c r="R870" s="265"/>
      <c r="S870" s="265"/>
      <c r="T870" s="265"/>
      <c r="U870" s="265"/>
      <c r="V870" s="265"/>
      <c r="W870" s="265"/>
      <c r="X870" s="265"/>
      <c r="Y870" s="265"/>
      <c r="Z870" s="265"/>
      <c r="AA870" s="265"/>
      <c r="AB870" s="265"/>
    </row>
    <row r="871" spans="1:28" ht="15.75" customHeight="1">
      <c r="A871" s="265"/>
      <c r="B871" s="265"/>
      <c r="C871" s="265"/>
      <c r="D871" s="265"/>
      <c r="E871" s="265"/>
      <c r="F871" s="265"/>
      <c r="G871" s="265"/>
      <c r="H871" s="265"/>
      <c r="I871" s="265"/>
      <c r="J871" s="265"/>
      <c r="K871" s="265"/>
      <c r="L871" s="265"/>
      <c r="M871" s="265"/>
      <c r="N871" s="265"/>
      <c r="O871" s="265"/>
      <c r="P871" s="265"/>
      <c r="Q871" s="265"/>
      <c r="R871" s="265"/>
      <c r="S871" s="265"/>
      <c r="T871" s="265"/>
      <c r="U871" s="265"/>
      <c r="V871" s="265"/>
      <c r="W871" s="265"/>
      <c r="X871" s="265"/>
      <c r="Y871" s="265"/>
      <c r="Z871" s="265"/>
      <c r="AA871" s="265"/>
      <c r="AB871" s="265"/>
    </row>
    <row r="872" spans="1:28" ht="15.75" customHeight="1">
      <c r="A872" s="265"/>
      <c r="B872" s="265"/>
      <c r="C872" s="265"/>
      <c r="D872" s="265"/>
      <c r="E872" s="265"/>
      <c r="F872" s="265"/>
      <c r="G872" s="265"/>
      <c r="H872" s="265"/>
      <c r="I872" s="265"/>
      <c r="J872" s="265"/>
      <c r="K872" s="265"/>
      <c r="L872" s="265"/>
      <c r="M872" s="265"/>
      <c r="N872" s="265"/>
      <c r="O872" s="265"/>
      <c r="P872" s="265"/>
      <c r="Q872" s="265"/>
      <c r="R872" s="265"/>
      <c r="S872" s="265"/>
      <c r="T872" s="265"/>
      <c r="U872" s="265"/>
      <c r="V872" s="265"/>
      <c r="W872" s="265"/>
      <c r="X872" s="265"/>
      <c r="Y872" s="265"/>
      <c r="Z872" s="265"/>
      <c r="AA872" s="265"/>
      <c r="AB872" s="265"/>
    </row>
    <row r="873" spans="1:28" ht="15.75" customHeight="1">
      <c r="A873" s="265"/>
      <c r="B873" s="265"/>
      <c r="C873" s="265"/>
      <c r="D873" s="265"/>
      <c r="E873" s="265"/>
      <c r="F873" s="265"/>
      <c r="G873" s="265"/>
      <c r="H873" s="265"/>
      <c r="I873" s="265"/>
      <c r="J873" s="265"/>
      <c r="K873" s="265"/>
      <c r="L873" s="265"/>
      <c r="M873" s="265"/>
      <c r="N873" s="265"/>
      <c r="O873" s="265"/>
      <c r="P873" s="265"/>
      <c r="Q873" s="265"/>
      <c r="R873" s="265"/>
      <c r="S873" s="265"/>
      <c r="T873" s="265"/>
      <c r="U873" s="265"/>
      <c r="V873" s="265"/>
      <c r="W873" s="265"/>
      <c r="X873" s="265"/>
      <c r="Y873" s="265"/>
      <c r="Z873" s="265"/>
      <c r="AA873" s="265"/>
      <c r="AB873" s="265"/>
    </row>
    <row r="874" spans="1:28" ht="15.75" customHeight="1">
      <c r="A874" s="265"/>
      <c r="B874" s="265"/>
      <c r="C874" s="265"/>
      <c r="D874" s="265"/>
      <c r="E874" s="265"/>
      <c r="F874" s="265"/>
      <c r="G874" s="265"/>
      <c r="H874" s="265"/>
      <c r="I874" s="265"/>
      <c r="J874" s="265"/>
      <c r="K874" s="265"/>
      <c r="L874" s="265"/>
      <c r="M874" s="265"/>
      <c r="N874" s="265"/>
      <c r="O874" s="265"/>
      <c r="P874" s="265"/>
      <c r="Q874" s="265"/>
      <c r="R874" s="265"/>
      <c r="S874" s="265"/>
      <c r="T874" s="265"/>
      <c r="U874" s="265"/>
      <c r="V874" s="265"/>
      <c r="W874" s="265"/>
      <c r="X874" s="265"/>
      <c r="Y874" s="265"/>
      <c r="Z874" s="265"/>
      <c r="AA874" s="265"/>
      <c r="AB874" s="265"/>
    </row>
    <row r="875" spans="1:28" ht="15.75" customHeight="1">
      <c r="A875" s="265"/>
      <c r="B875" s="265"/>
      <c r="C875" s="265"/>
      <c r="D875" s="265"/>
      <c r="E875" s="265"/>
      <c r="F875" s="265"/>
      <c r="G875" s="265"/>
      <c r="H875" s="265"/>
      <c r="I875" s="265"/>
      <c r="J875" s="265"/>
      <c r="K875" s="265"/>
      <c r="L875" s="265"/>
      <c r="M875" s="265"/>
      <c r="N875" s="265"/>
      <c r="O875" s="265"/>
      <c r="P875" s="265"/>
      <c r="Q875" s="265"/>
      <c r="R875" s="265"/>
      <c r="S875" s="265"/>
      <c r="T875" s="265"/>
      <c r="U875" s="265"/>
      <c r="V875" s="265"/>
      <c r="W875" s="265"/>
      <c r="X875" s="265"/>
      <c r="Y875" s="265"/>
      <c r="Z875" s="265"/>
      <c r="AA875" s="265"/>
      <c r="AB875" s="265"/>
    </row>
    <row r="876" spans="1:28" ht="15.75" customHeight="1">
      <c r="A876" s="265"/>
      <c r="B876" s="265"/>
      <c r="C876" s="265"/>
      <c r="D876" s="265"/>
      <c r="E876" s="265"/>
      <c r="F876" s="265"/>
      <c r="G876" s="265"/>
      <c r="H876" s="265"/>
      <c r="I876" s="265"/>
      <c r="J876" s="265"/>
      <c r="K876" s="265"/>
      <c r="L876" s="265"/>
      <c r="M876" s="265"/>
      <c r="N876" s="265"/>
      <c r="O876" s="265"/>
      <c r="P876" s="265"/>
      <c r="Q876" s="265"/>
      <c r="R876" s="265"/>
      <c r="S876" s="265"/>
      <c r="T876" s="265"/>
      <c r="U876" s="265"/>
      <c r="V876" s="265"/>
      <c r="W876" s="265"/>
      <c r="X876" s="265"/>
      <c r="Y876" s="265"/>
      <c r="Z876" s="265"/>
      <c r="AA876" s="265"/>
      <c r="AB876" s="265"/>
    </row>
    <row r="877" spans="1:28" ht="15.75" customHeight="1">
      <c r="A877" s="265"/>
      <c r="B877" s="265"/>
      <c r="C877" s="265"/>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row>
    <row r="878" spans="1:28" ht="15.75" customHeight="1">
      <c r="A878" s="265"/>
      <c r="B878" s="265"/>
      <c r="C878" s="265"/>
      <c r="D878" s="265"/>
      <c r="E878" s="265"/>
      <c r="F878" s="265"/>
      <c r="G878" s="265"/>
      <c r="H878" s="265"/>
      <c r="I878" s="265"/>
      <c r="J878" s="265"/>
      <c r="K878" s="265"/>
      <c r="L878" s="265"/>
      <c r="M878" s="265"/>
      <c r="N878" s="265"/>
      <c r="O878" s="265"/>
      <c r="P878" s="265"/>
      <c r="Q878" s="265"/>
      <c r="R878" s="265"/>
      <c r="S878" s="265"/>
      <c r="T878" s="265"/>
      <c r="U878" s="265"/>
      <c r="V878" s="265"/>
      <c r="W878" s="265"/>
      <c r="X878" s="265"/>
      <c r="Y878" s="265"/>
      <c r="Z878" s="265"/>
      <c r="AA878" s="265"/>
      <c r="AB878" s="265"/>
    </row>
    <row r="879" spans="1:28" ht="15.75" customHeight="1">
      <c r="A879" s="265"/>
      <c r="B879" s="265"/>
      <c r="C879" s="265"/>
      <c r="D879" s="265"/>
      <c r="E879" s="265"/>
      <c r="F879" s="265"/>
      <c r="G879" s="265"/>
      <c r="H879" s="265"/>
      <c r="I879" s="265"/>
      <c r="J879" s="265"/>
      <c r="K879" s="265"/>
      <c r="L879" s="265"/>
      <c r="M879" s="265"/>
      <c r="N879" s="265"/>
      <c r="O879" s="265"/>
      <c r="P879" s="265"/>
      <c r="Q879" s="265"/>
      <c r="R879" s="265"/>
      <c r="S879" s="265"/>
      <c r="T879" s="265"/>
      <c r="U879" s="265"/>
      <c r="V879" s="265"/>
      <c r="W879" s="265"/>
      <c r="X879" s="265"/>
      <c r="Y879" s="265"/>
      <c r="Z879" s="265"/>
      <c r="AA879" s="265"/>
      <c r="AB879" s="265"/>
    </row>
    <row r="880" spans="1:28" ht="15.75" customHeight="1">
      <c r="A880" s="265"/>
      <c r="B880" s="265"/>
      <c r="C880" s="265"/>
      <c r="D880" s="265"/>
      <c r="E880" s="265"/>
      <c r="F880" s="265"/>
      <c r="G880" s="265"/>
      <c r="H880" s="265"/>
      <c r="I880" s="265"/>
      <c r="J880" s="265"/>
      <c r="K880" s="265"/>
      <c r="L880" s="265"/>
      <c r="M880" s="265"/>
      <c r="N880" s="265"/>
      <c r="O880" s="265"/>
      <c r="P880" s="265"/>
      <c r="Q880" s="265"/>
      <c r="R880" s="265"/>
      <c r="S880" s="265"/>
      <c r="T880" s="265"/>
      <c r="U880" s="265"/>
      <c r="V880" s="265"/>
      <c r="W880" s="265"/>
      <c r="X880" s="265"/>
      <c r="Y880" s="265"/>
      <c r="Z880" s="265"/>
      <c r="AA880" s="265"/>
      <c r="AB880" s="265"/>
    </row>
    <row r="881" spans="1:28" ht="15.75" customHeight="1">
      <c r="A881" s="265"/>
      <c r="B881" s="265"/>
      <c r="C881" s="265"/>
      <c r="D881" s="265"/>
      <c r="E881" s="265"/>
      <c r="F881" s="265"/>
      <c r="G881" s="265"/>
      <c r="H881" s="265"/>
      <c r="I881" s="265"/>
      <c r="J881" s="265"/>
      <c r="K881" s="265"/>
      <c r="L881" s="265"/>
      <c r="M881" s="265"/>
      <c r="N881" s="265"/>
      <c r="O881" s="265"/>
      <c r="P881" s="265"/>
      <c r="Q881" s="265"/>
      <c r="R881" s="265"/>
      <c r="S881" s="265"/>
      <c r="T881" s="265"/>
      <c r="U881" s="265"/>
      <c r="V881" s="265"/>
      <c r="W881" s="265"/>
      <c r="X881" s="265"/>
      <c r="Y881" s="265"/>
      <c r="Z881" s="265"/>
      <c r="AA881" s="265"/>
      <c r="AB881" s="265"/>
    </row>
    <row r="882" spans="1:28" ht="15.75" customHeight="1">
      <c r="A882" s="265"/>
      <c r="B882" s="265"/>
      <c r="C882" s="265"/>
      <c r="D882" s="265"/>
      <c r="E882" s="265"/>
      <c r="F882" s="265"/>
      <c r="G882" s="265"/>
      <c r="H882" s="265"/>
      <c r="I882" s="265"/>
      <c r="J882" s="265"/>
      <c r="K882" s="265"/>
      <c r="L882" s="265"/>
      <c r="M882" s="265"/>
      <c r="N882" s="265"/>
      <c r="O882" s="265"/>
      <c r="P882" s="265"/>
      <c r="Q882" s="265"/>
      <c r="R882" s="265"/>
      <c r="S882" s="265"/>
      <c r="T882" s="265"/>
      <c r="U882" s="265"/>
      <c r="V882" s="265"/>
      <c r="W882" s="265"/>
      <c r="X882" s="265"/>
      <c r="Y882" s="265"/>
      <c r="Z882" s="265"/>
      <c r="AA882" s="265"/>
      <c r="AB882" s="265"/>
    </row>
    <row r="883" spans="1:28" ht="15.75" customHeight="1">
      <c r="A883" s="265"/>
      <c r="B883" s="265"/>
      <c r="C883" s="265"/>
      <c r="D883" s="265"/>
      <c r="E883" s="265"/>
      <c r="F883" s="265"/>
      <c r="G883" s="265"/>
      <c r="H883" s="265"/>
      <c r="I883" s="265"/>
      <c r="J883" s="265"/>
      <c r="K883" s="265"/>
      <c r="L883" s="265"/>
      <c r="M883" s="265"/>
      <c r="N883" s="265"/>
      <c r="O883" s="265"/>
      <c r="P883" s="265"/>
      <c r="Q883" s="265"/>
      <c r="R883" s="265"/>
      <c r="S883" s="265"/>
      <c r="T883" s="265"/>
      <c r="U883" s="265"/>
      <c r="V883" s="265"/>
      <c r="W883" s="265"/>
      <c r="X883" s="265"/>
      <c r="Y883" s="265"/>
      <c r="Z883" s="265"/>
      <c r="AA883" s="265"/>
      <c r="AB883" s="265"/>
    </row>
    <row r="884" spans="1:28" ht="15.75" customHeight="1">
      <c r="A884" s="265"/>
      <c r="B884" s="265"/>
      <c r="C884" s="265"/>
      <c r="D884" s="265"/>
      <c r="E884" s="265"/>
      <c r="F884" s="265"/>
      <c r="G884" s="265"/>
      <c r="H884" s="265"/>
      <c r="I884" s="265"/>
      <c r="J884" s="265"/>
      <c r="K884" s="265"/>
      <c r="L884" s="265"/>
      <c r="M884" s="265"/>
      <c r="N884" s="265"/>
      <c r="O884" s="265"/>
      <c r="P884" s="265"/>
      <c r="Q884" s="265"/>
      <c r="R884" s="265"/>
      <c r="S884" s="265"/>
      <c r="T884" s="265"/>
      <c r="U884" s="265"/>
      <c r="V884" s="265"/>
      <c r="W884" s="265"/>
      <c r="X884" s="265"/>
      <c r="Y884" s="265"/>
      <c r="Z884" s="265"/>
      <c r="AA884" s="265"/>
      <c r="AB884" s="265"/>
    </row>
    <row r="885" spans="1:28" ht="15.75" customHeight="1">
      <c r="A885" s="265"/>
      <c r="B885" s="265"/>
      <c r="C885" s="265"/>
      <c r="D885" s="265"/>
      <c r="E885" s="265"/>
      <c r="F885" s="265"/>
      <c r="G885" s="265"/>
      <c r="H885" s="265"/>
      <c r="I885" s="265"/>
      <c r="J885" s="265"/>
      <c r="K885" s="265"/>
      <c r="L885" s="265"/>
      <c r="M885" s="265"/>
      <c r="N885" s="265"/>
      <c r="O885" s="265"/>
      <c r="P885" s="265"/>
      <c r="Q885" s="265"/>
      <c r="R885" s="265"/>
      <c r="S885" s="265"/>
      <c r="T885" s="265"/>
      <c r="U885" s="265"/>
      <c r="V885" s="265"/>
      <c r="W885" s="265"/>
      <c r="X885" s="265"/>
      <c r="Y885" s="265"/>
      <c r="Z885" s="265"/>
      <c r="AA885" s="265"/>
      <c r="AB885" s="265"/>
    </row>
    <row r="886" spans="1:28" ht="15.75" customHeight="1">
      <c r="A886" s="265"/>
      <c r="B886" s="265"/>
      <c r="C886" s="265"/>
      <c r="D886" s="265"/>
      <c r="E886" s="265"/>
      <c r="F886" s="265"/>
      <c r="G886" s="265"/>
      <c r="H886" s="265"/>
      <c r="I886" s="265"/>
      <c r="J886" s="265"/>
      <c r="K886" s="265"/>
      <c r="L886" s="265"/>
      <c r="M886" s="265"/>
      <c r="N886" s="265"/>
      <c r="O886" s="265"/>
      <c r="P886" s="265"/>
      <c r="Q886" s="265"/>
      <c r="R886" s="265"/>
      <c r="S886" s="265"/>
      <c r="T886" s="265"/>
      <c r="U886" s="265"/>
      <c r="V886" s="265"/>
      <c r="W886" s="265"/>
      <c r="X886" s="265"/>
      <c r="Y886" s="265"/>
      <c r="Z886" s="265"/>
      <c r="AA886" s="265"/>
      <c r="AB886" s="265"/>
    </row>
    <row r="887" spans="1:28" ht="15.75" customHeight="1">
      <c r="A887" s="265"/>
      <c r="B887" s="265"/>
      <c r="C887" s="265"/>
      <c r="D887" s="265"/>
      <c r="E887" s="265"/>
      <c r="F887" s="265"/>
      <c r="G887" s="265"/>
      <c r="H887" s="265"/>
      <c r="I887" s="265"/>
      <c r="J887" s="265"/>
      <c r="K887" s="265"/>
      <c r="L887" s="265"/>
      <c r="M887" s="265"/>
      <c r="N887" s="265"/>
      <c r="O887" s="265"/>
      <c r="P887" s="265"/>
      <c r="Q887" s="265"/>
      <c r="R887" s="265"/>
      <c r="S887" s="265"/>
      <c r="T887" s="265"/>
      <c r="U887" s="265"/>
      <c r="V887" s="265"/>
      <c r="W887" s="265"/>
      <c r="X887" s="265"/>
      <c r="Y887" s="265"/>
      <c r="Z887" s="265"/>
      <c r="AA887" s="265"/>
      <c r="AB887" s="265"/>
    </row>
    <row r="888" spans="1:28" ht="15.75" customHeight="1">
      <c r="A888" s="265"/>
      <c r="B888" s="265"/>
      <c r="C888" s="265"/>
      <c r="D888" s="265"/>
      <c r="E888" s="265"/>
      <c r="F888" s="265"/>
      <c r="G888" s="265"/>
      <c r="H888" s="265"/>
      <c r="I888" s="265"/>
      <c r="J888" s="265"/>
      <c r="K888" s="265"/>
      <c r="L888" s="265"/>
      <c r="M888" s="265"/>
      <c r="N888" s="265"/>
      <c r="O888" s="265"/>
      <c r="P888" s="265"/>
      <c r="Q888" s="265"/>
      <c r="R888" s="265"/>
      <c r="S888" s="265"/>
      <c r="T888" s="265"/>
      <c r="U888" s="265"/>
      <c r="V888" s="265"/>
      <c r="W888" s="265"/>
      <c r="X888" s="265"/>
      <c r="Y888" s="265"/>
      <c r="Z888" s="265"/>
      <c r="AA888" s="265"/>
      <c r="AB888" s="265"/>
    </row>
    <row r="889" spans="1:28" ht="15.75" customHeight="1">
      <c r="A889" s="265"/>
      <c r="B889" s="265"/>
      <c r="C889" s="265"/>
      <c r="D889" s="265"/>
      <c r="E889" s="265"/>
      <c r="F889" s="265"/>
      <c r="G889" s="265"/>
      <c r="H889" s="265"/>
      <c r="I889" s="265"/>
      <c r="J889" s="265"/>
      <c r="K889" s="265"/>
      <c r="L889" s="265"/>
      <c r="M889" s="265"/>
      <c r="N889" s="265"/>
      <c r="O889" s="265"/>
      <c r="P889" s="265"/>
      <c r="Q889" s="265"/>
      <c r="R889" s="265"/>
      <c r="S889" s="265"/>
      <c r="T889" s="265"/>
      <c r="U889" s="265"/>
      <c r="V889" s="265"/>
      <c r="W889" s="265"/>
      <c r="X889" s="265"/>
      <c r="Y889" s="265"/>
      <c r="Z889" s="265"/>
      <c r="AA889" s="265"/>
      <c r="AB889" s="265"/>
    </row>
    <row r="890" spans="1:28" ht="15.75" customHeight="1">
      <c r="A890" s="265"/>
      <c r="B890" s="265"/>
      <c r="C890" s="265"/>
      <c r="D890" s="265"/>
      <c r="E890" s="265"/>
      <c r="F890" s="265"/>
      <c r="G890" s="265"/>
      <c r="H890" s="265"/>
      <c r="I890" s="265"/>
      <c r="J890" s="265"/>
      <c r="K890" s="265"/>
      <c r="L890" s="265"/>
      <c r="M890" s="265"/>
      <c r="N890" s="265"/>
      <c r="O890" s="265"/>
      <c r="P890" s="265"/>
      <c r="Q890" s="265"/>
      <c r="R890" s="265"/>
      <c r="S890" s="265"/>
      <c r="T890" s="265"/>
      <c r="U890" s="265"/>
      <c r="V890" s="265"/>
      <c r="W890" s="265"/>
      <c r="X890" s="265"/>
      <c r="Y890" s="265"/>
      <c r="Z890" s="265"/>
      <c r="AA890" s="265"/>
      <c r="AB890" s="265"/>
    </row>
    <row r="891" spans="1:28" ht="15.75" customHeight="1">
      <c r="A891" s="265"/>
      <c r="B891" s="265"/>
      <c r="C891" s="265"/>
      <c r="D891" s="265"/>
      <c r="E891" s="265"/>
      <c r="F891" s="265"/>
      <c r="G891" s="265"/>
      <c r="H891" s="265"/>
      <c r="I891" s="265"/>
      <c r="J891" s="265"/>
      <c r="K891" s="265"/>
      <c r="L891" s="265"/>
      <c r="M891" s="265"/>
      <c r="N891" s="265"/>
      <c r="O891" s="265"/>
      <c r="P891" s="265"/>
      <c r="Q891" s="265"/>
      <c r="R891" s="265"/>
      <c r="S891" s="265"/>
      <c r="T891" s="265"/>
      <c r="U891" s="265"/>
      <c r="V891" s="265"/>
      <c r="W891" s="265"/>
      <c r="X891" s="265"/>
      <c r="Y891" s="265"/>
      <c r="Z891" s="265"/>
      <c r="AA891" s="265"/>
      <c r="AB891" s="265"/>
    </row>
    <row r="892" spans="1:28" ht="15.75" customHeight="1">
      <c r="A892" s="265"/>
      <c r="B892" s="265"/>
      <c r="C892" s="265"/>
      <c r="D892" s="265"/>
      <c r="E892" s="265"/>
      <c r="F892" s="265"/>
      <c r="G892" s="265"/>
      <c r="H892" s="265"/>
      <c r="I892" s="265"/>
      <c r="J892" s="265"/>
      <c r="K892" s="265"/>
      <c r="L892" s="265"/>
      <c r="M892" s="265"/>
      <c r="N892" s="265"/>
      <c r="O892" s="265"/>
      <c r="P892" s="265"/>
      <c r="Q892" s="265"/>
      <c r="R892" s="265"/>
      <c r="S892" s="265"/>
      <c r="T892" s="265"/>
      <c r="U892" s="265"/>
      <c r="V892" s="265"/>
      <c r="W892" s="265"/>
      <c r="X892" s="265"/>
      <c r="Y892" s="265"/>
      <c r="Z892" s="265"/>
      <c r="AA892" s="265"/>
      <c r="AB892" s="265"/>
    </row>
    <row r="893" spans="1:28" ht="15.75" customHeight="1">
      <c r="A893" s="265"/>
      <c r="B893" s="265"/>
      <c r="C893" s="265"/>
      <c r="D893" s="265"/>
      <c r="E893" s="265"/>
      <c r="F893" s="265"/>
      <c r="G893" s="265"/>
      <c r="H893" s="265"/>
      <c r="I893" s="265"/>
      <c r="J893" s="265"/>
      <c r="K893" s="265"/>
      <c r="L893" s="265"/>
      <c r="M893" s="265"/>
      <c r="N893" s="265"/>
      <c r="O893" s="265"/>
      <c r="P893" s="265"/>
      <c r="Q893" s="265"/>
      <c r="R893" s="265"/>
      <c r="S893" s="265"/>
      <c r="T893" s="265"/>
      <c r="U893" s="265"/>
      <c r="V893" s="265"/>
      <c r="W893" s="265"/>
      <c r="X893" s="265"/>
      <c r="Y893" s="265"/>
      <c r="Z893" s="265"/>
      <c r="AA893" s="265"/>
      <c r="AB893" s="265"/>
    </row>
    <row r="894" spans="1:28" ht="15.75" customHeight="1">
      <c r="A894" s="265"/>
      <c r="B894" s="265"/>
      <c r="C894" s="265"/>
      <c r="D894" s="265"/>
      <c r="E894" s="265"/>
      <c r="F894" s="265"/>
      <c r="G894" s="265"/>
      <c r="H894" s="265"/>
      <c r="I894" s="265"/>
      <c r="J894" s="265"/>
      <c r="K894" s="265"/>
      <c r="L894" s="265"/>
      <c r="M894" s="265"/>
      <c r="N894" s="265"/>
      <c r="O894" s="265"/>
      <c r="P894" s="265"/>
      <c r="Q894" s="265"/>
      <c r="R894" s="265"/>
      <c r="S894" s="265"/>
      <c r="T894" s="265"/>
      <c r="U894" s="265"/>
      <c r="V894" s="265"/>
      <c r="W894" s="265"/>
      <c r="X894" s="265"/>
      <c r="Y894" s="265"/>
      <c r="Z894" s="265"/>
      <c r="AA894" s="265"/>
      <c r="AB894" s="265"/>
    </row>
    <row r="895" spans="1:28" ht="15.75" customHeight="1">
      <c r="A895" s="265"/>
      <c r="B895" s="265"/>
      <c r="C895" s="265"/>
      <c r="D895" s="265"/>
      <c r="E895" s="265"/>
      <c r="F895" s="265"/>
      <c r="G895" s="265"/>
      <c r="H895" s="265"/>
      <c r="I895" s="265"/>
      <c r="J895" s="265"/>
      <c r="K895" s="265"/>
      <c r="L895" s="265"/>
      <c r="M895" s="265"/>
      <c r="N895" s="265"/>
      <c r="O895" s="265"/>
      <c r="P895" s="265"/>
      <c r="Q895" s="265"/>
      <c r="R895" s="265"/>
      <c r="S895" s="265"/>
      <c r="T895" s="265"/>
      <c r="U895" s="265"/>
      <c r="V895" s="265"/>
      <c r="W895" s="265"/>
      <c r="X895" s="265"/>
      <c r="Y895" s="265"/>
      <c r="Z895" s="265"/>
      <c r="AA895" s="265"/>
      <c r="AB895" s="265"/>
    </row>
    <row r="896" spans="1:28" ht="15.75" customHeight="1">
      <c r="A896" s="265"/>
      <c r="B896" s="265"/>
      <c r="C896" s="265"/>
      <c r="D896" s="265"/>
      <c r="E896" s="265"/>
      <c r="F896" s="265"/>
      <c r="G896" s="265"/>
      <c r="H896" s="265"/>
      <c r="I896" s="265"/>
      <c r="J896" s="265"/>
      <c r="K896" s="265"/>
      <c r="L896" s="265"/>
      <c r="M896" s="265"/>
      <c r="N896" s="265"/>
      <c r="O896" s="265"/>
      <c r="P896" s="265"/>
      <c r="Q896" s="265"/>
      <c r="R896" s="265"/>
      <c r="S896" s="265"/>
      <c r="T896" s="265"/>
      <c r="U896" s="265"/>
      <c r="V896" s="265"/>
      <c r="W896" s="265"/>
      <c r="X896" s="265"/>
      <c r="Y896" s="265"/>
      <c r="Z896" s="265"/>
      <c r="AA896" s="265"/>
      <c r="AB896" s="265"/>
    </row>
    <row r="897" spans="1:28" ht="15.75" customHeight="1">
      <c r="A897" s="265"/>
      <c r="B897" s="265"/>
      <c r="C897" s="265"/>
      <c r="D897" s="265"/>
      <c r="E897" s="265"/>
      <c r="F897" s="265"/>
      <c r="G897" s="265"/>
      <c r="H897" s="265"/>
      <c r="I897" s="265"/>
      <c r="J897" s="265"/>
      <c r="K897" s="265"/>
      <c r="L897" s="265"/>
      <c r="M897" s="265"/>
      <c r="N897" s="265"/>
      <c r="O897" s="265"/>
      <c r="P897" s="265"/>
      <c r="Q897" s="265"/>
      <c r="R897" s="265"/>
      <c r="S897" s="265"/>
      <c r="T897" s="265"/>
      <c r="U897" s="265"/>
      <c r="V897" s="265"/>
      <c r="W897" s="265"/>
      <c r="X897" s="265"/>
      <c r="Y897" s="265"/>
      <c r="Z897" s="265"/>
      <c r="AA897" s="265"/>
      <c r="AB897" s="265"/>
    </row>
    <row r="898" spans="1:28" ht="15.75" customHeight="1">
      <c r="A898" s="265"/>
      <c r="B898" s="265"/>
      <c r="C898" s="265"/>
      <c r="D898" s="265"/>
      <c r="E898" s="265"/>
      <c r="F898" s="265"/>
      <c r="G898" s="265"/>
      <c r="H898" s="265"/>
      <c r="I898" s="265"/>
      <c r="J898" s="265"/>
      <c r="K898" s="265"/>
      <c r="L898" s="265"/>
      <c r="M898" s="265"/>
      <c r="N898" s="265"/>
      <c r="O898" s="265"/>
      <c r="P898" s="265"/>
      <c r="Q898" s="265"/>
      <c r="R898" s="265"/>
      <c r="S898" s="265"/>
      <c r="T898" s="265"/>
      <c r="U898" s="265"/>
      <c r="V898" s="265"/>
      <c r="W898" s="265"/>
      <c r="X898" s="265"/>
      <c r="Y898" s="265"/>
      <c r="Z898" s="265"/>
      <c r="AA898" s="265"/>
      <c r="AB898" s="265"/>
    </row>
    <row r="899" spans="1:28" ht="15.75" customHeight="1">
      <c r="A899" s="265"/>
      <c r="B899" s="265"/>
      <c r="C899" s="265"/>
      <c r="D899" s="265"/>
      <c r="E899" s="265"/>
      <c r="F899" s="265"/>
      <c r="G899" s="265"/>
      <c r="H899" s="265"/>
      <c r="I899" s="265"/>
      <c r="J899" s="265"/>
      <c r="K899" s="265"/>
      <c r="L899" s="265"/>
      <c r="M899" s="265"/>
      <c r="N899" s="265"/>
      <c r="O899" s="265"/>
      <c r="P899" s="265"/>
      <c r="Q899" s="265"/>
      <c r="R899" s="265"/>
      <c r="S899" s="265"/>
      <c r="T899" s="265"/>
      <c r="U899" s="265"/>
      <c r="V899" s="265"/>
      <c r="W899" s="265"/>
      <c r="X899" s="265"/>
      <c r="Y899" s="265"/>
      <c r="Z899" s="265"/>
      <c r="AA899" s="265"/>
      <c r="AB899" s="265"/>
    </row>
    <row r="900" spans="1:28" ht="15.75" customHeight="1">
      <c r="A900" s="265"/>
      <c r="B900" s="265"/>
      <c r="C900" s="265"/>
      <c r="D900" s="265"/>
      <c r="E900" s="265"/>
      <c r="F900" s="265"/>
      <c r="G900" s="265"/>
      <c r="H900" s="265"/>
      <c r="I900" s="265"/>
      <c r="J900" s="265"/>
      <c r="K900" s="265"/>
      <c r="L900" s="265"/>
      <c r="M900" s="265"/>
      <c r="N900" s="265"/>
      <c r="O900" s="265"/>
      <c r="P900" s="265"/>
      <c r="Q900" s="265"/>
      <c r="R900" s="265"/>
      <c r="S900" s="265"/>
      <c r="T900" s="265"/>
      <c r="U900" s="265"/>
      <c r="V900" s="265"/>
      <c r="W900" s="265"/>
      <c r="X900" s="265"/>
      <c r="Y900" s="265"/>
      <c r="Z900" s="265"/>
      <c r="AA900" s="265"/>
      <c r="AB900" s="265"/>
    </row>
    <row r="901" spans="1:28" ht="15.75" customHeight="1">
      <c r="A901" s="265"/>
      <c r="B901" s="265"/>
      <c r="C901" s="265"/>
      <c r="D901" s="265"/>
      <c r="E901" s="265"/>
      <c r="F901" s="265"/>
      <c r="G901" s="265"/>
      <c r="H901" s="265"/>
      <c r="I901" s="265"/>
      <c r="J901" s="265"/>
      <c r="K901" s="265"/>
      <c r="L901" s="265"/>
      <c r="M901" s="265"/>
      <c r="N901" s="265"/>
      <c r="O901" s="265"/>
      <c r="P901" s="265"/>
      <c r="Q901" s="265"/>
      <c r="R901" s="265"/>
      <c r="S901" s="265"/>
      <c r="T901" s="265"/>
      <c r="U901" s="265"/>
      <c r="V901" s="265"/>
      <c r="W901" s="265"/>
      <c r="X901" s="265"/>
      <c r="Y901" s="265"/>
      <c r="Z901" s="265"/>
      <c r="AA901" s="265"/>
      <c r="AB901" s="265"/>
    </row>
    <row r="902" spans="1:28" ht="15.75" customHeight="1">
      <c r="A902" s="265"/>
      <c r="B902" s="265"/>
      <c r="C902" s="265"/>
      <c r="D902" s="265"/>
      <c r="E902" s="265"/>
      <c r="F902" s="265"/>
      <c r="G902" s="265"/>
      <c r="H902" s="265"/>
      <c r="I902" s="265"/>
      <c r="J902" s="265"/>
      <c r="K902" s="265"/>
      <c r="L902" s="265"/>
      <c r="M902" s="265"/>
      <c r="N902" s="265"/>
      <c r="O902" s="265"/>
      <c r="P902" s="265"/>
      <c r="Q902" s="265"/>
      <c r="R902" s="265"/>
      <c r="S902" s="265"/>
      <c r="T902" s="265"/>
      <c r="U902" s="265"/>
      <c r="V902" s="265"/>
      <c r="W902" s="265"/>
      <c r="X902" s="265"/>
      <c r="Y902" s="265"/>
      <c r="Z902" s="265"/>
      <c r="AA902" s="265"/>
      <c r="AB902" s="265"/>
    </row>
    <row r="903" spans="1:28" ht="15.75" customHeight="1">
      <c r="A903" s="265"/>
      <c r="B903" s="265"/>
      <c r="C903" s="265"/>
      <c r="D903" s="265"/>
      <c r="E903" s="265"/>
      <c r="F903" s="265"/>
      <c r="G903" s="265"/>
      <c r="H903" s="265"/>
      <c r="I903" s="265"/>
      <c r="J903" s="265"/>
      <c r="K903" s="265"/>
      <c r="L903" s="265"/>
      <c r="M903" s="265"/>
      <c r="N903" s="265"/>
      <c r="O903" s="265"/>
      <c r="P903" s="265"/>
      <c r="Q903" s="265"/>
      <c r="R903" s="265"/>
      <c r="S903" s="265"/>
      <c r="T903" s="265"/>
      <c r="U903" s="265"/>
      <c r="V903" s="265"/>
      <c r="W903" s="265"/>
      <c r="X903" s="265"/>
      <c r="Y903" s="265"/>
      <c r="Z903" s="265"/>
      <c r="AA903" s="265"/>
      <c r="AB903" s="265"/>
    </row>
    <row r="904" spans="1:28" ht="15.75" customHeight="1">
      <c r="A904" s="265"/>
      <c r="B904" s="265"/>
      <c r="C904" s="265"/>
      <c r="D904" s="265"/>
      <c r="E904" s="265"/>
      <c r="F904" s="265"/>
      <c r="G904" s="265"/>
      <c r="H904" s="265"/>
      <c r="I904" s="265"/>
      <c r="J904" s="265"/>
      <c r="K904" s="265"/>
      <c r="L904" s="265"/>
      <c r="M904" s="265"/>
      <c r="N904" s="265"/>
      <c r="O904" s="265"/>
      <c r="P904" s="265"/>
      <c r="Q904" s="265"/>
      <c r="R904" s="265"/>
      <c r="S904" s="265"/>
      <c r="T904" s="265"/>
      <c r="U904" s="265"/>
      <c r="V904" s="265"/>
      <c r="W904" s="265"/>
      <c r="X904" s="265"/>
      <c r="Y904" s="265"/>
      <c r="Z904" s="265"/>
      <c r="AA904" s="265"/>
      <c r="AB904" s="265"/>
    </row>
    <row r="905" spans="1:28" ht="15.75" customHeight="1">
      <c r="A905" s="265"/>
      <c r="B905" s="265"/>
      <c r="C905" s="265"/>
      <c r="D905" s="265"/>
      <c r="E905" s="265"/>
      <c r="F905" s="265"/>
      <c r="G905" s="265"/>
      <c r="H905" s="265"/>
      <c r="I905" s="265"/>
      <c r="J905" s="265"/>
      <c r="K905" s="265"/>
      <c r="L905" s="265"/>
      <c r="M905" s="265"/>
      <c r="N905" s="265"/>
      <c r="O905" s="265"/>
      <c r="P905" s="265"/>
      <c r="Q905" s="265"/>
      <c r="R905" s="265"/>
      <c r="S905" s="265"/>
      <c r="T905" s="265"/>
      <c r="U905" s="265"/>
      <c r="V905" s="265"/>
      <c r="W905" s="265"/>
      <c r="X905" s="265"/>
      <c r="Y905" s="265"/>
      <c r="Z905" s="265"/>
      <c r="AA905" s="265"/>
      <c r="AB905" s="265"/>
    </row>
    <row r="906" spans="1:28" ht="15.75" customHeight="1">
      <c r="A906" s="265"/>
      <c r="B906" s="265"/>
      <c r="C906" s="265"/>
      <c r="D906" s="265"/>
      <c r="E906" s="265"/>
      <c r="F906" s="265"/>
      <c r="G906" s="265"/>
      <c r="H906" s="265"/>
      <c r="I906" s="265"/>
      <c r="J906" s="265"/>
      <c r="K906" s="265"/>
      <c r="L906" s="265"/>
      <c r="M906" s="265"/>
      <c r="N906" s="265"/>
      <c r="O906" s="265"/>
      <c r="P906" s="265"/>
      <c r="Q906" s="265"/>
      <c r="R906" s="265"/>
      <c r="S906" s="265"/>
      <c r="T906" s="265"/>
      <c r="U906" s="265"/>
      <c r="V906" s="265"/>
      <c r="W906" s="265"/>
      <c r="X906" s="265"/>
      <c r="Y906" s="265"/>
      <c r="Z906" s="265"/>
      <c r="AA906" s="265"/>
      <c r="AB906" s="265"/>
    </row>
    <row r="907" spans="1:28" ht="15.75" customHeight="1">
      <c r="A907" s="265"/>
      <c r="B907" s="265"/>
      <c r="C907" s="265"/>
      <c r="D907" s="265"/>
      <c r="E907" s="265"/>
      <c r="F907" s="265"/>
      <c r="G907" s="265"/>
      <c r="H907" s="265"/>
      <c r="I907" s="265"/>
      <c r="J907" s="265"/>
      <c r="K907" s="265"/>
      <c r="L907" s="265"/>
      <c r="M907" s="265"/>
      <c r="N907" s="265"/>
      <c r="O907" s="265"/>
      <c r="P907" s="265"/>
      <c r="Q907" s="265"/>
      <c r="R907" s="265"/>
      <c r="S907" s="265"/>
      <c r="T907" s="265"/>
      <c r="U907" s="265"/>
      <c r="V907" s="265"/>
      <c r="W907" s="265"/>
      <c r="X907" s="265"/>
      <c r="Y907" s="265"/>
      <c r="Z907" s="265"/>
      <c r="AA907" s="265"/>
      <c r="AB907" s="265"/>
    </row>
    <row r="908" spans="1:28" ht="15.75" customHeight="1">
      <c r="A908" s="265"/>
      <c r="B908" s="265"/>
      <c r="C908" s="265"/>
      <c r="D908" s="265"/>
      <c r="E908" s="265"/>
      <c r="F908" s="265"/>
      <c r="G908" s="265"/>
      <c r="H908" s="265"/>
      <c r="I908" s="265"/>
      <c r="J908" s="265"/>
      <c r="K908" s="265"/>
      <c r="L908" s="265"/>
      <c r="M908" s="265"/>
      <c r="N908" s="265"/>
      <c r="O908" s="265"/>
      <c r="P908" s="265"/>
      <c r="Q908" s="265"/>
      <c r="R908" s="265"/>
      <c r="S908" s="265"/>
      <c r="T908" s="265"/>
      <c r="U908" s="265"/>
      <c r="V908" s="265"/>
      <c r="W908" s="265"/>
      <c r="X908" s="265"/>
      <c r="Y908" s="265"/>
      <c r="Z908" s="265"/>
      <c r="AA908" s="265"/>
      <c r="AB908" s="265"/>
    </row>
    <row r="909" spans="1:28" ht="15.75" customHeight="1">
      <c r="A909" s="265"/>
      <c r="B909" s="265"/>
      <c r="C909" s="265"/>
      <c r="D909" s="265"/>
      <c r="E909" s="265"/>
      <c r="F909" s="265"/>
      <c r="G909" s="265"/>
      <c r="H909" s="265"/>
      <c r="I909" s="265"/>
      <c r="J909" s="265"/>
      <c r="K909" s="265"/>
      <c r="L909" s="265"/>
      <c r="M909" s="265"/>
      <c r="N909" s="265"/>
      <c r="O909" s="265"/>
      <c r="P909" s="265"/>
      <c r="Q909" s="265"/>
      <c r="R909" s="265"/>
      <c r="S909" s="265"/>
      <c r="T909" s="265"/>
      <c r="U909" s="265"/>
      <c r="V909" s="265"/>
      <c r="W909" s="265"/>
      <c r="X909" s="265"/>
      <c r="Y909" s="265"/>
      <c r="Z909" s="265"/>
      <c r="AA909" s="265"/>
      <c r="AB909" s="265"/>
    </row>
    <row r="910" spans="1:28" ht="15.75" customHeight="1">
      <c r="A910" s="265"/>
      <c r="B910" s="265"/>
      <c r="C910" s="265"/>
      <c r="D910" s="265"/>
      <c r="E910" s="265"/>
      <c r="F910" s="265"/>
      <c r="G910" s="265"/>
      <c r="H910" s="265"/>
      <c r="I910" s="265"/>
      <c r="J910" s="265"/>
      <c r="K910" s="265"/>
      <c r="L910" s="265"/>
      <c r="M910" s="265"/>
      <c r="N910" s="265"/>
      <c r="O910" s="265"/>
      <c r="P910" s="265"/>
      <c r="Q910" s="265"/>
      <c r="R910" s="265"/>
      <c r="S910" s="265"/>
      <c r="T910" s="265"/>
      <c r="U910" s="265"/>
      <c r="V910" s="265"/>
      <c r="W910" s="265"/>
      <c r="X910" s="265"/>
      <c r="Y910" s="265"/>
      <c r="Z910" s="265"/>
      <c r="AA910" s="265"/>
      <c r="AB910" s="265"/>
    </row>
    <row r="911" spans="1:28" ht="15.75" customHeight="1">
      <c r="A911" s="265"/>
      <c r="B911" s="265"/>
      <c r="C911" s="265"/>
      <c r="D911" s="265"/>
      <c r="E911" s="265"/>
      <c r="F911" s="265"/>
      <c r="G911" s="265"/>
      <c r="H911" s="265"/>
      <c r="I911" s="265"/>
      <c r="J911" s="265"/>
      <c r="K911" s="265"/>
      <c r="L911" s="265"/>
      <c r="M911" s="265"/>
      <c r="N911" s="265"/>
      <c r="O911" s="265"/>
      <c r="P911" s="265"/>
      <c r="Q911" s="265"/>
      <c r="R911" s="265"/>
      <c r="S911" s="265"/>
      <c r="T911" s="265"/>
      <c r="U911" s="265"/>
      <c r="V911" s="265"/>
      <c r="W911" s="265"/>
      <c r="X911" s="265"/>
      <c r="Y911" s="265"/>
      <c r="Z911" s="265"/>
      <c r="AA911" s="265"/>
      <c r="AB911" s="265"/>
    </row>
    <row r="912" spans="1:28" ht="15.75" customHeight="1">
      <c r="A912" s="265"/>
      <c r="B912" s="265"/>
      <c r="C912" s="265"/>
      <c r="D912" s="265"/>
      <c r="E912" s="265"/>
      <c r="F912" s="265"/>
      <c r="G912" s="265"/>
      <c r="H912" s="265"/>
      <c r="I912" s="265"/>
      <c r="J912" s="265"/>
      <c r="K912" s="265"/>
      <c r="L912" s="265"/>
      <c r="M912" s="265"/>
      <c r="N912" s="265"/>
      <c r="O912" s="265"/>
      <c r="P912" s="265"/>
      <c r="Q912" s="265"/>
      <c r="R912" s="265"/>
      <c r="S912" s="265"/>
      <c r="T912" s="265"/>
      <c r="U912" s="265"/>
      <c r="V912" s="265"/>
      <c r="W912" s="265"/>
      <c r="X912" s="265"/>
      <c r="Y912" s="265"/>
      <c r="Z912" s="265"/>
      <c r="AA912" s="265"/>
      <c r="AB912" s="265"/>
    </row>
    <row r="913" spans="1:28" ht="15.75" customHeight="1">
      <c r="A913" s="265"/>
      <c r="B913" s="265"/>
      <c r="C913" s="265"/>
      <c r="D913" s="265"/>
      <c r="E913" s="265"/>
      <c r="F913" s="265"/>
      <c r="G913" s="265"/>
      <c r="H913" s="265"/>
      <c r="I913" s="265"/>
      <c r="J913" s="265"/>
      <c r="K913" s="265"/>
      <c r="L913" s="265"/>
      <c r="M913" s="265"/>
      <c r="N913" s="265"/>
      <c r="O913" s="265"/>
      <c r="P913" s="265"/>
      <c r="Q913" s="265"/>
      <c r="R913" s="265"/>
      <c r="S913" s="265"/>
      <c r="T913" s="265"/>
      <c r="U913" s="265"/>
      <c r="V913" s="265"/>
      <c r="W913" s="265"/>
      <c r="X913" s="265"/>
      <c r="Y913" s="265"/>
      <c r="Z913" s="265"/>
      <c r="AA913" s="265"/>
      <c r="AB913" s="265"/>
    </row>
    <row r="914" spans="1:28" ht="15.75" customHeight="1">
      <c r="A914" s="265"/>
      <c r="B914" s="265"/>
      <c r="C914" s="265"/>
      <c r="D914" s="265"/>
      <c r="E914" s="265"/>
      <c r="F914" s="265"/>
      <c r="G914" s="265"/>
      <c r="H914" s="265"/>
      <c r="I914" s="265"/>
      <c r="J914" s="265"/>
      <c r="K914" s="265"/>
      <c r="L914" s="265"/>
      <c r="M914" s="265"/>
      <c r="N914" s="265"/>
      <c r="O914" s="265"/>
      <c r="P914" s="265"/>
      <c r="Q914" s="265"/>
      <c r="R914" s="265"/>
      <c r="S914" s="265"/>
      <c r="T914" s="265"/>
      <c r="U914" s="265"/>
      <c r="V914" s="265"/>
      <c r="W914" s="265"/>
      <c r="X914" s="265"/>
      <c r="Y914" s="265"/>
      <c r="Z914" s="265"/>
      <c r="AA914" s="265"/>
      <c r="AB914" s="265"/>
    </row>
    <row r="915" spans="1:28" ht="15.75" customHeight="1">
      <c r="A915" s="265"/>
      <c r="B915" s="265"/>
      <c r="C915" s="265"/>
      <c r="D915" s="265"/>
      <c r="E915" s="265"/>
      <c r="F915" s="265"/>
      <c r="G915" s="265"/>
      <c r="H915" s="265"/>
      <c r="I915" s="265"/>
      <c r="J915" s="265"/>
      <c r="K915" s="265"/>
      <c r="L915" s="265"/>
      <c r="M915" s="265"/>
      <c r="N915" s="265"/>
      <c r="O915" s="265"/>
      <c r="P915" s="265"/>
      <c r="Q915" s="265"/>
      <c r="R915" s="265"/>
      <c r="S915" s="265"/>
      <c r="T915" s="265"/>
      <c r="U915" s="265"/>
      <c r="V915" s="265"/>
      <c r="W915" s="265"/>
      <c r="X915" s="265"/>
      <c r="Y915" s="265"/>
      <c r="Z915" s="265"/>
      <c r="AA915" s="265"/>
      <c r="AB915" s="265"/>
    </row>
    <row r="916" spans="1:28" ht="15.75" customHeight="1">
      <c r="A916" s="265"/>
      <c r="B916" s="265"/>
      <c r="C916" s="265"/>
      <c r="D916" s="265"/>
      <c r="E916" s="265"/>
      <c r="F916" s="265"/>
      <c r="G916" s="265"/>
      <c r="H916" s="265"/>
      <c r="I916" s="265"/>
      <c r="J916" s="265"/>
      <c r="K916" s="265"/>
      <c r="L916" s="265"/>
      <c r="M916" s="265"/>
      <c r="N916" s="265"/>
      <c r="O916" s="265"/>
      <c r="P916" s="265"/>
      <c r="Q916" s="265"/>
      <c r="R916" s="265"/>
      <c r="S916" s="265"/>
      <c r="T916" s="265"/>
      <c r="U916" s="265"/>
      <c r="V916" s="265"/>
      <c r="W916" s="265"/>
      <c r="X916" s="265"/>
      <c r="Y916" s="265"/>
      <c r="Z916" s="265"/>
      <c r="AA916" s="265"/>
      <c r="AB916" s="265"/>
    </row>
    <row r="917" spans="1:28" ht="15.75" customHeight="1">
      <c r="A917" s="265"/>
      <c r="B917" s="265"/>
      <c r="C917" s="265"/>
      <c r="D917" s="265"/>
      <c r="E917" s="265"/>
      <c r="F917" s="265"/>
      <c r="G917" s="265"/>
      <c r="H917" s="265"/>
      <c r="I917" s="265"/>
      <c r="J917" s="265"/>
      <c r="K917" s="265"/>
      <c r="L917" s="265"/>
      <c r="M917" s="265"/>
      <c r="N917" s="265"/>
      <c r="O917" s="265"/>
      <c r="P917" s="265"/>
      <c r="Q917" s="265"/>
      <c r="R917" s="265"/>
      <c r="S917" s="265"/>
      <c r="T917" s="265"/>
      <c r="U917" s="265"/>
      <c r="V917" s="265"/>
      <c r="W917" s="265"/>
      <c r="X917" s="265"/>
      <c r="Y917" s="265"/>
      <c r="Z917" s="265"/>
      <c r="AA917" s="265"/>
      <c r="AB917" s="265"/>
    </row>
    <row r="918" spans="1:28" ht="15.75" customHeight="1">
      <c r="A918" s="265"/>
      <c r="B918" s="265"/>
      <c r="C918" s="265"/>
      <c r="D918" s="265"/>
      <c r="E918" s="265"/>
      <c r="F918" s="265"/>
      <c r="G918" s="265"/>
      <c r="H918" s="265"/>
      <c r="I918" s="265"/>
      <c r="J918" s="265"/>
      <c r="K918" s="265"/>
      <c r="L918" s="265"/>
      <c r="M918" s="265"/>
      <c r="N918" s="265"/>
      <c r="O918" s="265"/>
      <c r="P918" s="265"/>
      <c r="Q918" s="265"/>
      <c r="R918" s="265"/>
      <c r="S918" s="265"/>
      <c r="T918" s="265"/>
      <c r="U918" s="265"/>
      <c r="V918" s="265"/>
      <c r="W918" s="265"/>
      <c r="X918" s="265"/>
      <c r="Y918" s="265"/>
      <c r="Z918" s="265"/>
      <c r="AA918" s="265"/>
      <c r="AB918" s="265"/>
    </row>
    <row r="919" spans="1:28" ht="15.75" customHeight="1">
      <c r="A919" s="265"/>
      <c r="B919" s="265"/>
      <c r="C919" s="265"/>
      <c r="D919" s="265"/>
      <c r="E919" s="265"/>
      <c r="F919" s="265"/>
      <c r="G919" s="265"/>
      <c r="H919" s="265"/>
      <c r="I919" s="265"/>
      <c r="J919" s="265"/>
      <c r="K919" s="265"/>
      <c r="L919" s="265"/>
      <c r="M919" s="265"/>
      <c r="N919" s="265"/>
      <c r="O919" s="265"/>
      <c r="P919" s="265"/>
      <c r="Q919" s="265"/>
      <c r="R919" s="265"/>
      <c r="S919" s="265"/>
      <c r="T919" s="265"/>
      <c r="U919" s="265"/>
      <c r="V919" s="265"/>
      <c r="W919" s="265"/>
      <c r="X919" s="265"/>
      <c r="Y919" s="265"/>
      <c r="Z919" s="265"/>
      <c r="AA919" s="265"/>
      <c r="AB919" s="265"/>
    </row>
    <row r="920" spans="1:28" ht="15.75" customHeight="1">
      <c r="A920" s="265"/>
      <c r="B920" s="265"/>
      <c r="C920" s="265"/>
      <c r="D920" s="265"/>
      <c r="E920" s="265"/>
      <c r="F920" s="265"/>
      <c r="G920" s="265"/>
      <c r="H920" s="265"/>
      <c r="I920" s="265"/>
      <c r="J920" s="265"/>
      <c r="K920" s="265"/>
      <c r="L920" s="265"/>
      <c r="M920" s="265"/>
      <c r="N920" s="265"/>
      <c r="O920" s="265"/>
      <c r="P920" s="265"/>
      <c r="Q920" s="265"/>
      <c r="R920" s="265"/>
      <c r="S920" s="265"/>
      <c r="T920" s="265"/>
      <c r="U920" s="265"/>
      <c r="V920" s="265"/>
      <c r="W920" s="265"/>
      <c r="X920" s="265"/>
      <c r="Y920" s="265"/>
      <c r="Z920" s="265"/>
      <c r="AA920" s="265"/>
      <c r="AB920" s="265"/>
    </row>
    <row r="921" spans="1:28" ht="15.75" customHeight="1">
      <c r="A921" s="265"/>
      <c r="B921" s="265"/>
      <c r="C921" s="265"/>
      <c r="D921" s="265"/>
      <c r="E921" s="265"/>
      <c r="F921" s="265"/>
      <c r="G921" s="265"/>
      <c r="H921" s="265"/>
      <c r="I921" s="265"/>
      <c r="J921" s="265"/>
      <c r="K921" s="265"/>
      <c r="L921" s="265"/>
      <c r="M921" s="265"/>
      <c r="N921" s="265"/>
      <c r="O921" s="265"/>
      <c r="P921" s="265"/>
      <c r="Q921" s="265"/>
      <c r="R921" s="265"/>
      <c r="S921" s="265"/>
      <c r="T921" s="265"/>
      <c r="U921" s="265"/>
      <c r="V921" s="265"/>
      <c r="W921" s="265"/>
      <c r="X921" s="265"/>
      <c r="Y921" s="265"/>
      <c r="Z921" s="265"/>
      <c r="AA921" s="265"/>
      <c r="AB921" s="265"/>
    </row>
    <row r="922" spans="1:28" ht="15.75" customHeight="1">
      <c r="A922" s="265"/>
      <c r="B922" s="265"/>
      <c r="C922" s="265"/>
      <c r="D922" s="265"/>
      <c r="E922" s="265"/>
      <c r="F922" s="265"/>
      <c r="G922" s="265"/>
      <c r="H922" s="265"/>
      <c r="I922" s="265"/>
      <c r="J922" s="265"/>
      <c r="K922" s="265"/>
      <c r="L922" s="265"/>
      <c r="M922" s="265"/>
      <c r="N922" s="265"/>
      <c r="O922" s="265"/>
      <c r="P922" s="265"/>
      <c r="Q922" s="265"/>
      <c r="R922" s="265"/>
      <c r="S922" s="265"/>
      <c r="T922" s="265"/>
      <c r="U922" s="265"/>
      <c r="V922" s="265"/>
      <c r="W922" s="265"/>
      <c r="X922" s="265"/>
      <c r="Y922" s="265"/>
      <c r="Z922" s="265"/>
      <c r="AA922" s="265"/>
      <c r="AB922" s="265"/>
    </row>
    <row r="923" spans="1:28" ht="15.75" customHeight="1">
      <c r="A923" s="265"/>
      <c r="B923" s="265"/>
      <c r="C923" s="265"/>
      <c r="D923" s="265"/>
      <c r="E923" s="265"/>
      <c r="F923" s="265"/>
      <c r="G923" s="265"/>
      <c r="H923" s="265"/>
      <c r="I923" s="265"/>
      <c r="J923" s="265"/>
      <c r="K923" s="265"/>
      <c r="L923" s="265"/>
      <c r="M923" s="265"/>
      <c r="N923" s="265"/>
      <c r="O923" s="265"/>
      <c r="P923" s="265"/>
      <c r="Q923" s="265"/>
      <c r="R923" s="265"/>
      <c r="S923" s="265"/>
      <c r="T923" s="265"/>
      <c r="U923" s="265"/>
      <c r="V923" s="265"/>
      <c r="W923" s="265"/>
      <c r="X923" s="265"/>
      <c r="Y923" s="265"/>
      <c r="Z923" s="265"/>
      <c r="AA923" s="265"/>
      <c r="AB923" s="265"/>
    </row>
    <row r="924" spans="1:28" ht="15.75" customHeight="1">
      <c r="A924" s="265"/>
      <c r="B924" s="265"/>
      <c r="C924" s="265"/>
      <c r="D924" s="265"/>
      <c r="E924" s="265"/>
      <c r="F924" s="265"/>
      <c r="G924" s="265"/>
      <c r="H924" s="265"/>
      <c r="I924" s="265"/>
      <c r="J924" s="265"/>
      <c r="K924" s="265"/>
      <c r="L924" s="265"/>
      <c r="M924" s="265"/>
      <c r="N924" s="265"/>
      <c r="O924" s="265"/>
      <c r="P924" s="265"/>
      <c r="Q924" s="265"/>
      <c r="R924" s="265"/>
      <c r="S924" s="265"/>
      <c r="T924" s="265"/>
      <c r="U924" s="265"/>
      <c r="V924" s="265"/>
      <c r="W924" s="265"/>
      <c r="X924" s="265"/>
      <c r="Y924" s="265"/>
      <c r="Z924" s="265"/>
      <c r="AA924" s="265"/>
      <c r="AB924" s="265"/>
    </row>
    <row r="925" spans="1:28" ht="15.75" customHeight="1">
      <c r="A925" s="265"/>
      <c r="B925" s="265"/>
      <c r="C925" s="265"/>
      <c r="D925" s="265"/>
      <c r="E925" s="265"/>
      <c r="F925" s="265"/>
      <c r="G925" s="265"/>
      <c r="H925" s="265"/>
      <c r="I925" s="265"/>
      <c r="J925" s="265"/>
      <c r="K925" s="265"/>
      <c r="L925" s="265"/>
      <c r="M925" s="265"/>
      <c r="N925" s="265"/>
      <c r="O925" s="265"/>
      <c r="P925" s="265"/>
      <c r="Q925" s="265"/>
      <c r="R925" s="265"/>
      <c r="S925" s="265"/>
      <c r="T925" s="265"/>
      <c r="U925" s="265"/>
      <c r="V925" s="265"/>
      <c r="W925" s="265"/>
      <c r="X925" s="265"/>
      <c r="Y925" s="265"/>
      <c r="Z925" s="265"/>
      <c r="AA925" s="265"/>
      <c r="AB925" s="265"/>
    </row>
    <row r="926" spans="1:28" ht="15.75" customHeight="1">
      <c r="A926" s="265"/>
      <c r="B926" s="265"/>
      <c r="C926" s="265"/>
      <c r="D926" s="265"/>
      <c r="E926" s="265"/>
      <c r="F926" s="265"/>
      <c r="G926" s="265"/>
      <c r="H926" s="265"/>
      <c r="I926" s="265"/>
      <c r="J926" s="265"/>
      <c r="K926" s="265"/>
      <c r="L926" s="265"/>
      <c r="M926" s="265"/>
      <c r="N926" s="265"/>
      <c r="O926" s="265"/>
      <c r="P926" s="265"/>
      <c r="Q926" s="265"/>
      <c r="R926" s="265"/>
      <c r="S926" s="265"/>
      <c r="T926" s="265"/>
      <c r="U926" s="265"/>
      <c r="V926" s="265"/>
      <c r="W926" s="265"/>
      <c r="X926" s="265"/>
      <c r="Y926" s="265"/>
      <c r="Z926" s="265"/>
      <c r="AA926" s="265"/>
      <c r="AB926" s="265"/>
    </row>
    <row r="927" spans="1:28" ht="15.75" customHeight="1">
      <c r="A927" s="265"/>
      <c r="B927" s="265"/>
      <c r="C927" s="265"/>
      <c r="D927" s="265"/>
      <c r="E927" s="265"/>
      <c r="F927" s="265"/>
      <c r="G927" s="265"/>
      <c r="H927" s="265"/>
      <c r="I927" s="265"/>
      <c r="J927" s="265"/>
      <c r="K927" s="265"/>
      <c r="L927" s="265"/>
      <c r="M927" s="265"/>
      <c r="N927" s="265"/>
      <c r="O927" s="265"/>
      <c r="P927" s="265"/>
      <c r="Q927" s="265"/>
      <c r="R927" s="265"/>
      <c r="S927" s="265"/>
      <c r="T927" s="265"/>
      <c r="U927" s="265"/>
      <c r="V927" s="265"/>
      <c r="W927" s="265"/>
      <c r="X927" s="265"/>
      <c r="Y927" s="265"/>
      <c r="Z927" s="265"/>
      <c r="AA927" s="265"/>
      <c r="AB927" s="265"/>
    </row>
    <row r="928" spans="1:28" ht="15.75" customHeight="1">
      <c r="A928" s="265"/>
      <c r="B928" s="265"/>
      <c r="C928" s="265"/>
      <c r="D928" s="265"/>
      <c r="E928" s="265"/>
      <c r="F928" s="265"/>
      <c r="G928" s="265"/>
      <c r="H928" s="265"/>
      <c r="I928" s="265"/>
      <c r="J928" s="265"/>
      <c r="K928" s="265"/>
      <c r="L928" s="265"/>
      <c r="M928" s="265"/>
      <c r="N928" s="265"/>
      <c r="O928" s="265"/>
      <c r="P928" s="265"/>
      <c r="Q928" s="265"/>
      <c r="R928" s="265"/>
      <c r="S928" s="265"/>
      <c r="T928" s="265"/>
      <c r="U928" s="265"/>
      <c r="V928" s="265"/>
      <c r="W928" s="265"/>
      <c r="X928" s="265"/>
      <c r="Y928" s="265"/>
      <c r="Z928" s="265"/>
      <c r="AA928" s="265"/>
      <c r="AB928" s="265"/>
    </row>
    <row r="929" spans="1:28" ht="15.75" customHeight="1">
      <c r="A929" s="265"/>
      <c r="B929" s="265"/>
      <c r="C929" s="265"/>
      <c r="D929" s="265"/>
      <c r="E929" s="265"/>
      <c r="F929" s="265"/>
      <c r="G929" s="265"/>
      <c r="H929" s="265"/>
      <c r="I929" s="265"/>
      <c r="J929" s="265"/>
      <c r="K929" s="265"/>
      <c r="L929" s="265"/>
      <c r="M929" s="265"/>
      <c r="N929" s="265"/>
      <c r="O929" s="265"/>
      <c r="P929" s="265"/>
      <c r="Q929" s="265"/>
      <c r="R929" s="265"/>
      <c r="S929" s="265"/>
      <c r="T929" s="265"/>
      <c r="U929" s="265"/>
      <c r="V929" s="265"/>
      <c r="W929" s="265"/>
      <c r="X929" s="265"/>
      <c r="Y929" s="265"/>
      <c r="Z929" s="265"/>
      <c r="AA929" s="265"/>
      <c r="AB929" s="265"/>
    </row>
    <row r="930" spans="1:28" ht="15.75" customHeight="1">
      <c r="A930" s="265"/>
      <c r="B930" s="265"/>
      <c r="C930" s="265"/>
      <c r="D930" s="265"/>
      <c r="E930" s="265"/>
      <c r="F930" s="265"/>
      <c r="G930" s="265"/>
      <c r="H930" s="265"/>
      <c r="I930" s="265"/>
      <c r="J930" s="265"/>
      <c r="K930" s="265"/>
      <c r="L930" s="265"/>
      <c r="M930" s="265"/>
      <c r="N930" s="265"/>
      <c r="O930" s="265"/>
      <c r="P930" s="265"/>
      <c r="Q930" s="265"/>
      <c r="R930" s="265"/>
      <c r="S930" s="265"/>
      <c r="T930" s="265"/>
      <c r="U930" s="265"/>
      <c r="V930" s="265"/>
      <c r="W930" s="265"/>
      <c r="X930" s="265"/>
      <c r="Y930" s="265"/>
      <c r="Z930" s="265"/>
      <c r="AA930" s="265"/>
      <c r="AB930" s="265"/>
    </row>
    <row r="931" spans="1:28" ht="15.75" customHeight="1">
      <c r="A931" s="265"/>
      <c r="B931" s="265"/>
      <c r="C931" s="265"/>
      <c r="D931" s="265"/>
      <c r="E931" s="265"/>
      <c r="F931" s="265"/>
      <c r="G931" s="265"/>
      <c r="H931" s="265"/>
      <c r="I931" s="265"/>
      <c r="J931" s="265"/>
      <c r="K931" s="265"/>
      <c r="L931" s="265"/>
      <c r="M931" s="265"/>
      <c r="N931" s="265"/>
      <c r="O931" s="265"/>
      <c r="P931" s="265"/>
      <c r="Q931" s="265"/>
      <c r="R931" s="265"/>
      <c r="S931" s="265"/>
      <c r="T931" s="265"/>
      <c r="U931" s="265"/>
      <c r="V931" s="265"/>
      <c r="W931" s="265"/>
      <c r="X931" s="265"/>
      <c r="Y931" s="265"/>
      <c r="Z931" s="265"/>
      <c r="AA931" s="265"/>
      <c r="AB931" s="265"/>
    </row>
    <row r="932" spans="1:28" ht="15.75" customHeight="1">
      <c r="A932" s="265"/>
      <c r="B932" s="265"/>
      <c r="C932" s="265"/>
      <c r="D932" s="265"/>
      <c r="E932" s="265"/>
      <c r="F932" s="265"/>
      <c r="G932" s="265"/>
      <c r="H932" s="265"/>
      <c r="I932" s="265"/>
      <c r="J932" s="265"/>
      <c r="K932" s="265"/>
      <c r="L932" s="265"/>
      <c r="M932" s="265"/>
      <c r="N932" s="265"/>
      <c r="O932" s="265"/>
      <c r="P932" s="265"/>
      <c r="Q932" s="265"/>
      <c r="R932" s="265"/>
      <c r="S932" s="265"/>
      <c r="T932" s="265"/>
      <c r="U932" s="265"/>
      <c r="V932" s="265"/>
      <c r="W932" s="265"/>
      <c r="X932" s="265"/>
      <c r="Y932" s="265"/>
      <c r="Z932" s="265"/>
      <c r="AA932" s="265"/>
      <c r="AB932" s="265"/>
    </row>
    <row r="933" spans="1:28" ht="15.75" customHeight="1">
      <c r="A933" s="265"/>
      <c r="B933" s="265"/>
      <c r="C933" s="265"/>
      <c r="D933" s="265"/>
      <c r="E933" s="265"/>
      <c r="F933" s="265"/>
      <c r="G933" s="265"/>
      <c r="H933" s="265"/>
      <c r="I933" s="265"/>
      <c r="J933" s="265"/>
      <c r="K933" s="265"/>
      <c r="L933" s="265"/>
      <c r="M933" s="265"/>
      <c r="N933" s="265"/>
      <c r="O933" s="265"/>
      <c r="P933" s="265"/>
      <c r="Q933" s="265"/>
      <c r="R933" s="265"/>
      <c r="S933" s="265"/>
      <c r="T933" s="265"/>
      <c r="U933" s="265"/>
      <c r="V933" s="265"/>
      <c r="W933" s="265"/>
      <c r="X933" s="265"/>
      <c r="Y933" s="265"/>
      <c r="Z933" s="265"/>
      <c r="AA933" s="265"/>
      <c r="AB933" s="265"/>
    </row>
    <row r="934" spans="1:28" ht="15.75" customHeight="1">
      <c r="A934" s="265"/>
      <c r="B934" s="265"/>
      <c r="C934" s="265"/>
      <c r="D934" s="265"/>
      <c r="E934" s="265"/>
      <c r="F934" s="265"/>
      <c r="G934" s="265"/>
      <c r="H934" s="265"/>
      <c r="I934" s="265"/>
      <c r="J934" s="265"/>
      <c r="K934" s="265"/>
      <c r="L934" s="265"/>
      <c r="M934" s="265"/>
      <c r="N934" s="265"/>
      <c r="O934" s="265"/>
      <c r="P934" s="265"/>
      <c r="Q934" s="265"/>
      <c r="R934" s="265"/>
      <c r="S934" s="265"/>
      <c r="T934" s="265"/>
      <c r="U934" s="265"/>
      <c r="V934" s="265"/>
      <c r="W934" s="265"/>
      <c r="X934" s="265"/>
      <c r="Y934" s="265"/>
      <c r="Z934" s="265"/>
      <c r="AA934" s="265"/>
      <c r="AB934" s="265"/>
    </row>
    <row r="935" spans="1:28" ht="15.75" customHeight="1">
      <c r="A935" s="265"/>
      <c r="B935" s="265"/>
      <c r="C935" s="265"/>
      <c r="D935" s="265"/>
      <c r="E935" s="265"/>
      <c r="F935" s="265"/>
      <c r="G935" s="265"/>
      <c r="H935" s="265"/>
      <c r="I935" s="265"/>
      <c r="J935" s="265"/>
      <c r="K935" s="265"/>
      <c r="L935" s="265"/>
      <c r="M935" s="265"/>
      <c r="N935" s="265"/>
      <c r="O935" s="265"/>
      <c r="P935" s="265"/>
      <c r="Q935" s="265"/>
      <c r="R935" s="265"/>
      <c r="S935" s="265"/>
      <c r="T935" s="265"/>
      <c r="U935" s="265"/>
      <c r="V935" s="265"/>
      <c r="W935" s="265"/>
      <c r="X935" s="265"/>
      <c r="Y935" s="265"/>
      <c r="Z935" s="265"/>
      <c r="AA935" s="265"/>
      <c r="AB935" s="265"/>
    </row>
    <row r="936" spans="1:28" ht="15.75" customHeight="1">
      <c r="A936" s="265"/>
      <c r="B936" s="265"/>
      <c r="C936" s="265"/>
      <c r="D936" s="265"/>
      <c r="E936" s="265"/>
      <c r="F936" s="265"/>
      <c r="G936" s="265"/>
      <c r="H936" s="265"/>
      <c r="I936" s="265"/>
      <c r="J936" s="265"/>
      <c r="K936" s="265"/>
      <c r="L936" s="265"/>
      <c r="M936" s="265"/>
      <c r="N936" s="265"/>
      <c r="O936" s="265"/>
      <c r="P936" s="265"/>
      <c r="Q936" s="265"/>
      <c r="R936" s="265"/>
      <c r="S936" s="265"/>
      <c r="T936" s="265"/>
      <c r="U936" s="265"/>
      <c r="V936" s="265"/>
      <c r="W936" s="265"/>
      <c r="X936" s="265"/>
      <c r="Y936" s="265"/>
      <c r="Z936" s="265"/>
      <c r="AA936" s="265"/>
      <c r="AB936" s="265"/>
    </row>
    <row r="937" spans="1:28" ht="15.75" customHeight="1">
      <c r="A937" s="265"/>
      <c r="B937" s="265"/>
      <c r="C937" s="265"/>
      <c r="D937" s="265"/>
      <c r="E937" s="265"/>
      <c r="F937" s="265"/>
      <c r="G937" s="265"/>
      <c r="H937" s="265"/>
      <c r="I937" s="265"/>
      <c r="J937" s="265"/>
      <c r="K937" s="265"/>
      <c r="L937" s="265"/>
      <c r="M937" s="265"/>
      <c r="N937" s="265"/>
      <c r="O937" s="265"/>
      <c r="P937" s="265"/>
      <c r="Q937" s="265"/>
      <c r="R937" s="265"/>
      <c r="S937" s="265"/>
      <c r="T937" s="265"/>
      <c r="U937" s="265"/>
      <c r="V937" s="265"/>
      <c r="W937" s="265"/>
      <c r="X937" s="265"/>
      <c r="Y937" s="265"/>
      <c r="Z937" s="265"/>
      <c r="AA937" s="265"/>
      <c r="AB937" s="265"/>
    </row>
    <row r="938" spans="1:28" ht="15.75" customHeight="1">
      <c r="A938" s="265"/>
      <c r="B938" s="265"/>
      <c r="C938" s="265"/>
      <c r="D938" s="265"/>
      <c r="E938" s="265"/>
      <c r="F938" s="265"/>
      <c r="G938" s="265"/>
      <c r="H938" s="265"/>
      <c r="I938" s="265"/>
      <c r="J938" s="265"/>
      <c r="K938" s="265"/>
      <c r="L938" s="265"/>
      <c r="M938" s="265"/>
      <c r="N938" s="265"/>
      <c r="O938" s="265"/>
      <c r="P938" s="265"/>
      <c r="Q938" s="265"/>
      <c r="R938" s="265"/>
      <c r="S938" s="265"/>
      <c r="T938" s="265"/>
      <c r="U938" s="265"/>
      <c r="V938" s="265"/>
      <c r="W938" s="265"/>
      <c r="X938" s="265"/>
      <c r="Y938" s="265"/>
      <c r="Z938" s="265"/>
      <c r="AA938" s="265"/>
      <c r="AB938" s="265"/>
    </row>
    <row r="939" spans="1:28" ht="15.75" customHeight="1">
      <c r="A939" s="265"/>
      <c r="B939" s="265"/>
      <c r="C939" s="265"/>
      <c r="D939" s="265"/>
      <c r="E939" s="265"/>
      <c r="F939" s="265"/>
      <c r="G939" s="265"/>
      <c r="H939" s="265"/>
      <c r="I939" s="265"/>
      <c r="J939" s="265"/>
      <c r="K939" s="265"/>
      <c r="L939" s="265"/>
      <c r="M939" s="265"/>
      <c r="N939" s="265"/>
      <c r="O939" s="265"/>
      <c r="P939" s="265"/>
      <c r="Q939" s="265"/>
      <c r="R939" s="265"/>
      <c r="S939" s="265"/>
      <c r="T939" s="265"/>
      <c r="U939" s="265"/>
      <c r="V939" s="265"/>
      <c r="W939" s="265"/>
      <c r="X939" s="265"/>
      <c r="Y939" s="265"/>
      <c r="Z939" s="265"/>
      <c r="AA939" s="265"/>
      <c r="AB939" s="265"/>
    </row>
    <row r="940" spans="1:28" ht="15.75" customHeight="1">
      <c r="A940" s="265"/>
      <c r="B940" s="265"/>
      <c r="C940" s="265"/>
      <c r="D940" s="265"/>
      <c r="E940" s="265"/>
      <c r="F940" s="265"/>
      <c r="G940" s="265"/>
      <c r="H940" s="265"/>
      <c r="I940" s="265"/>
      <c r="J940" s="265"/>
      <c r="K940" s="265"/>
      <c r="L940" s="265"/>
      <c r="M940" s="265"/>
      <c r="N940" s="265"/>
      <c r="O940" s="265"/>
      <c r="P940" s="265"/>
      <c r="Q940" s="265"/>
      <c r="R940" s="265"/>
      <c r="S940" s="265"/>
      <c r="T940" s="265"/>
      <c r="U940" s="265"/>
      <c r="V940" s="265"/>
      <c r="W940" s="265"/>
      <c r="X940" s="265"/>
      <c r="Y940" s="265"/>
      <c r="Z940" s="265"/>
      <c r="AA940" s="265"/>
      <c r="AB940" s="265"/>
    </row>
    <row r="941" spans="1:28" ht="15.75" customHeight="1">
      <c r="A941" s="265"/>
      <c r="B941" s="265"/>
      <c r="C941" s="265"/>
      <c r="D941" s="265"/>
      <c r="E941" s="265"/>
      <c r="F941" s="265"/>
      <c r="G941" s="265"/>
      <c r="H941" s="265"/>
      <c r="I941" s="265"/>
      <c r="J941" s="265"/>
      <c r="K941" s="265"/>
      <c r="L941" s="265"/>
      <c r="M941" s="265"/>
      <c r="N941" s="265"/>
      <c r="O941" s="265"/>
      <c r="P941" s="265"/>
      <c r="Q941" s="265"/>
      <c r="R941" s="265"/>
      <c r="S941" s="265"/>
      <c r="T941" s="265"/>
      <c r="U941" s="265"/>
      <c r="V941" s="265"/>
      <c r="W941" s="265"/>
      <c r="X941" s="265"/>
      <c r="Y941" s="265"/>
      <c r="Z941" s="265"/>
      <c r="AA941" s="265"/>
      <c r="AB941" s="265"/>
    </row>
    <row r="942" spans="1:28" ht="15.75" customHeight="1">
      <c r="A942" s="265"/>
      <c r="B942" s="265"/>
      <c r="C942" s="265"/>
      <c r="D942" s="265"/>
      <c r="E942" s="265"/>
      <c r="F942" s="265"/>
      <c r="G942" s="265"/>
      <c r="H942" s="265"/>
      <c r="I942" s="265"/>
      <c r="J942" s="265"/>
      <c r="K942" s="265"/>
      <c r="L942" s="265"/>
      <c r="M942" s="265"/>
      <c r="N942" s="265"/>
      <c r="O942" s="265"/>
      <c r="P942" s="265"/>
      <c r="Q942" s="265"/>
      <c r="R942" s="265"/>
      <c r="S942" s="265"/>
      <c r="T942" s="265"/>
      <c r="U942" s="265"/>
      <c r="V942" s="265"/>
      <c r="W942" s="265"/>
      <c r="X942" s="265"/>
      <c r="Y942" s="265"/>
      <c r="Z942" s="265"/>
      <c r="AA942" s="265"/>
      <c r="AB942" s="265"/>
    </row>
    <row r="943" spans="1:28" ht="15.75" customHeight="1">
      <c r="A943" s="265"/>
      <c r="B943" s="265"/>
      <c r="C943" s="265"/>
      <c r="D943" s="265"/>
      <c r="E943" s="265"/>
      <c r="F943" s="265"/>
      <c r="G943" s="265"/>
      <c r="H943" s="265"/>
      <c r="I943" s="265"/>
      <c r="J943" s="265"/>
      <c r="K943" s="265"/>
      <c r="L943" s="265"/>
      <c r="M943" s="265"/>
      <c r="N943" s="265"/>
      <c r="O943" s="265"/>
      <c r="P943" s="265"/>
      <c r="Q943" s="265"/>
      <c r="R943" s="265"/>
      <c r="S943" s="265"/>
      <c r="T943" s="265"/>
      <c r="U943" s="265"/>
      <c r="V943" s="265"/>
      <c r="W943" s="265"/>
      <c r="X943" s="265"/>
      <c r="Y943" s="265"/>
      <c r="Z943" s="265"/>
      <c r="AA943" s="265"/>
      <c r="AB943" s="265"/>
    </row>
    <row r="944" spans="1:28" ht="15.75" customHeight="1">
      <c r="A944" s="265"/>
      <c r="B944" s="265"/>
      <c r="C944" s="265"/>
      <c r="D944" s="265"/>
      <c r="E944" s="265"/>
      <c r="F944" s="265"/>
      <c r="G944" s="265"/>
      <c r="H944" s="265"/>
      <c r="I944" s="265"/>
      <c r="J944" s="265"/>
      <c r="K944" s="265"/>
      <c r="L944" s="265"/>
      <c r="M944" s="265"/>
      <c r="N944" s="265"/>
      <c r="O944" s="265"/>
      <c r="P944" s="265"/>
      <c r="Q944" s="265"/>
      <c r="R944" s="265"/>
      <c r="S944" s="265"/>
      <c r="T944" s="265"/>
      <c r="U944" s="265"/>
      <c r="V944" s="265"/>
      <c r="W944" s="265"/>
      <c r="X944" s="265"/>
      <c r="Y944" s="265"/>
      <c r="Z944" s="265"/>
      <c r="AA944" s="265"/>
      <c r="AB944" s="265"/>
    </row>
    <row r="945" spans="1:28" ht="15.75" customHeight="1">
      <c r="A945" s="265"/>
      <c r="B945" s="265"/>
      <c r="C945" s="265"/>
      <c r="D945" s="265"/>
      <c r="E945" s="265"/>
      <c r="F945" s="265"/>
      <c r="G945" s="265"/>
      <c r="H945" s="265"/>
      <c r="I945" s="265"/>
      <c r="J945" s="265"/>
      <c r="K945" s="265"/>
      <c r="L945" s="265"/>
      <c r="M945" s="265"/>
      <c r="N945" s="265"/>
      <c r="O945" s="265"/>
      <c r="P945" s="265"/>
      <c r="Q945" s="265"/>
      <c r="R945" s="265"/>
      <c r="S945" s="265"/>
      <c r="T945" s="265"/>
      <c r="U945" s="265"/>
      <c r="V945" s="265"/>
      <c r="W945" s="265"/>
      <c r="X945" s="265"/>
      <c r="Y945" s="265"/>
      <c r="Z945" s="265"/>
      <c r="AA945" s="265"/>
      <c r="AB945" s="265"/>
    </row>
    <row r="946" spans="1:28" ht="15.75" customHeight="1">
      <c r="A946" s="265"/>
      <c r="B946" s="265"/>
      <c r="C946" s="265"/>
      <c r="D946" s="265"/>
      <c r="E946" s="265"/>
      <c r="F946" s="265"/>
      <c r="G946" s="265"/>
      <c r="H946" s="265"/>
      <c r="I946" s="265"/>
      <c r="J946" s="265"/>
      <c r="K946" s="265"/>
      <c r="L946" s="265"/>
      <c r="M946" s="265"/>
      <c r="N946" s="265"/>
      <c r="O946" s="265"/>
      <c r="P946" s="265"/>
      <c r="Q946" s="265"/>
      <c r="R946" s="265"/>
      <c r="S946" s="265"/>
      <c r="T946" s="265"/>
      <c r="U946" s="265"/>
      <c r="V946" s="265"/>
      <c r="W946" s="265"/>
      <c r="X946" s="265"/>
      <c r="Y946" s="265"/>
      <c r="Z946" s="265"/>
      <c r="AA946" s="265"/>
      <c r="AB946" s="265"/>
    </row>
    <row r="947" spans="1:28" ht="15.75" customHeight="1">
      <c r="A947" s="265"/>
      <c r="B947" s="265"/>
      <c r="C947" s="265"/>
      <c r="D947" s="265"/>
      <c r="E947" s="265"/>
      <c r="F947" s="265"/>
      <c r="G947" s="265"/>
      <c r="H947" s="265"/>
      <c r="I947" s="265"/>
      <c r="J947" s="265"/>
      <c r="K947" s="265"/>
      <c r="L947" s="265"/>
      <c r="M947" s="265"/>
      <c r="N947" s="265"/>
      <c r="O947" s="265"/>
      <c r="P947" s="265"/>
      <c r="Q947" s="265"/>
      <c r="R947" s="265"/>
      <c r="S947" s="265"/>
      <c r="T947" s="265"/>
      <c r="U947" s="265"/>
      <c r="V947" s="265"/>
      <c r="W947" s="265"/>
      <c r="X947" s="265"/>
      <c r="Y947" s="265"/>
      <c r="Z947" s="265"/>
      <c r="AA947" s="265"/>
      <c r="AB947" s="265"/>
    </row>
    <row r="948" spans="1:28" ht="15.75" customHeight="1">
      <c r="A948" s="265"/>
      <c r="B948" s="265"/>
      <c r="C948" s="265"/>
      <c r="D948" s="265"/>
      <c r="E948" s="265"/>
      <c r="F948" s="265"/>
      <c r="G948" s="265"/>
      <c r="H948" s="265"/>
      <c r="I948" s="265"/>
      <c r="J948" s="265"/>
      <c r="K948" s="265"/>
      <c r="L948" s="265"/>
      <c r="M948" s="265"/>
      <c r="N948" s="265"/>
      <c r="O948" s="265"/>
      <c r="P948" s="265"/>
      <c r="Q948" s="265"/>
      <c r="R948" s="265"/>
      <c r="S948" s="265"/>
      <c r="T948" s="265"/>
      <c r="U948" s="265"/>
      <c r="V948" s="265"/>
      <c r="W948" s="265"/>
      <c r="X948" s="265"/>
      <c r="Y948" s="265"/>
      <c r="Z948" s="265"/>
      <c r="AA948" s="265"/>
      <c r="AB948" s="265"/>
    </row>
    <row r="949" spans="1:28" ht="15.75" customHeight="1">
      <c r="A949" s="265"/>
      <c r="B949" s="265"/>
      <c r="C949" s="265"/>
      <c r="D949" s="265"/>
      <c r="E949" s="265"/>
      <c r="F949" s="265"/>
      <c r="G949" s="265"/>
      <c r="H949" s="265"/>
      <c r="I949" s="265"/>
      <c r="J949" s="265"/>
      <c r="K949" s="265"/>
      <c r="L949" s="265"/>
      <c r="M949" s="265"/>
      <c r="N949" s="265"/>
      <c r="O949" s="265"/>
      <c r="P949" s="265"/>
      <c r="Q949" s="265"/>
      <c r="R949" s="265"/>
      <c r="S949" s="265"/>
      <c r="T949" s="265"/>
      <c r="U949" s="265"/>
      <c r="V949" s="265"/>
      <c r="W949" s="265"/>
      <c r="X949" s="265"/>
      <c r="Y949" s="265"/>
      <c r="Z949" s="265"/>
      <c r="AA949" s="265"/>
      <c r="AB949" s="265"/>
    </row>
    <row r="950" spans="1:28" ht="15.75" customHeight="1">
      <c r="A950" s="265"/>
      <c r="B950" s="265"/>
      <c r="C950" s="265"/>
      <c r="D950" s="265"/>
      <c r="E950" s="265"/>
      <c r="F950" s="265"/>
      <c r="G950" s="265"/>
      <c r="H950" s="265"/>
      <c r="I950" s="265"/>
      <c r="J950" s="265"/>
      <c r="K950" s="265"/>
      <c r="L950" s="265"/>
      <c r="M950" s="265"/>
      <c r="N950" s="265"/>
      <c r="O950" s="265"/>
      <c r="P950" s="265"/>
      <c r="Q950" s="265"/>
      <c r="R950" s="265"/>
      <c r="S950" s="265"/>
      <c r="T950" s="265"/>
      <c r="U950" s="265"/>
      <c r="V950" s="265"/>
      <c r="W950" s="265"/>
      <c r="X950" s="265"/>
      <c r="Y950" s="265"/>
      <c r="Z950" s="265"/>
      <c r="AA950" s="265"/>
      <c r="AB950" s="265"/>
    </row>
    <row r="951" spans="1:28" ht="15.75" customHeight="1">
      <c r="A951" s="265"/>
      <c r="B951" s="265"/>
      <c r="C951" s="265"/>
      <c r="D951" s="265"/>
      <c r="E951" s="265"/>
      <c r="F951" s="265"/>
      <c r="G951" s="265"/>
      <c r="H951" s="265"/>
      <c r="I951" s="265"/>
      <c r="J951" s="265"/>
      <c r="K951" s="265"/>
      <c r="L951" s="265"/>
      <c r="M951" s="265"/>
      <c r="N951" s="265"/>
      <c r="O951" s="265"/>
      <c r="P951" s="265"/>
      <c r="Q951" s="265"/>
      <c r="R951" s="265"/>
      <c r="S951" s="265"/>
      <c r="T951" s="265"/>
      <c r="U951" s="265"/>
      <c r="V951" s="265"/>
      <c r="W951" s="265"/>
      <c r="X951" s="265"/>
      <c r="Y951" s="265"/>
      <c r="Z951" s="265"/>
      <c r="AA951" s="265"/>
      <c r="AB951" s="265"/>
    </row>
    <row r="952" spans="1:28" ht="15.75" customHeight="1">
      <c r="A952" s="265"/>
      <c r="B952" s="265"/>
      <c r="C952" s="265"/>
      <c r="D952" s="265"/>
      <c r="E952" s="265"/>
      <c r="F952" s="265"/>
      <c r="G952" s="265"/>
      <c r="H952" s="265"/>
      <c r="I952" s="265"/>
      <c r="J952" s="265"/>
      <c r="K952" s="265"/>
      <c r="L952" s="265"/>
      <c r="M952" s="265"/>
      <c r="N952" s="265"/>
      <c r="O952" s="265"/>
      <c r="P952" s="265"/>
      <c r="Q952" s="265"/>
      <c r="R952" s="265"/>
      <c r="S952" s="265"/>
      <c r="T952" s="265"/>
      <c r="U952" s="265"/>
      <c r="V952" s="265"/>
      <c r="W952" s="265"/>
      <c r="X952" s="265"/>
      <c r="Y952" s="265"/>
      <c r="Z952" s="265"/>
      <c r="AA952" s="265"/>
      <c r="AB952" s="265"/>
    </row>
    <row r="953" spans="1:28" ht="15.75" customHeight="1">
      <c r="A953" s="265"/>
      <c r="B953" s="265"/>
      <c r="C953" s="265"/>
      <c r="D953" s="265"/>
      <c r="E953" s="265"/>
      <c r="F953" s="265"/>
      <c r="G953" s="265"/>
      <c r="H953" s="265"/>
      <c r="I953" s="265"/>
      <c r="J953" s="265"/>
      <c r="K953" s="265"/>
      <c r="L953" s="265"/>
      <c r="M953" s="265"/>
      <c r="N953" s="265"/>
      <c r="O953" s="265"/>
      <c r="P953" s="265"/>
      <c r="Q953" s="265"/>
      <c r="R953" s="265"/>
      <c r="S953" s="265"/>
      <c r="T953" s="265"/>
      <c r="U953" s="265"/>
      <c r="V953" s="265"/>
      <c r="W953" s="265"/>
      <c r="X953" s="265"/>
      <c r="Y953" s="265"/>
      <c r="Z953" s="265"/>
      <c r="AA953" s="265"/>
      <c r="AB953" s="265"/>
    </row>
    <row r="954" spans="1:28" ht="15.75" customHeight="1">
      <c r="A954" s="265"/>
      <c r="B954" s="265"/>
      <c r="C954" s="265"/>
      <c r="D954" s="265"/>
      <c r="E954" s="265"/>
      <c r="F954" s="265"/>
      <c r="G954" s="265"/>
      <c r="H954" s="265"/>
      <c r="I954" s="265"/>
      <c r="J954" s="265"/>
      <c r="K954" s="265"/>
      <c r="L954" s="265"/>
      <c r="M954" s="265"/>
      <c r="N954" s="265"/>
      <c r="O954" s="265"/>
      <c r="P954" s="265"/>
      <c r="Q954" s="265"/>
      <c r="R954" s="265"/>
      <c r="S954" s="265"/>
      <c r="T954" s="265"/>
      <c r="U954" s="265"/>
      <c r="V954" s="265"/>
      <c r="W954" s="265"/>
      <c r="X954" s="265"/>
      <c r="Y954" s="265"/>
      <c r="Z954" s="265"/>
      <c r="AA954" s="265"/>
      <c r="AB954" s="265"/>
    </row>
    <row r="955" spans="1:28" ht="15.75" customHeight="1">
      <c r="A955" s="265"/>
      <c r="B955" s="265"/>
      <c r="C955" s="265"/>
      <c r="D955" s="265"/>
      <c r="E955" s="265"/>
      <c r="F955" s="265"/>
      <c r="G955" s="265"/>
      <c r="H955" s="265"/>
      <c r="I955" s="265"/>
      <c r="J955" s="265"/>
      <c r="K955" s="265"/>
      <c r="L955" s="265"/>
      <c r="M955" s="265"/>
      <c r="N955" s="265"/>
      <c r="O955" s="265"/>
      <c r="P955" s="265"/>
      <c r="Q955" s="265"/>
      <c r="R955" s="265"/>
      <c r="S955" s="265"/>
      <c r="T955" s="265"/>
      <c r="U955" s="265"/>
      <c r="V955" s="265"/>
      <c r="W955" s="265"/>
      <c r="X955" s="265"/>
      <c r="Y955" s="265"/>
      <c r="Z955" s="265"/>
      <c r="AA955" s="265"/>
      <c r="AB955" s="265"/>
    </row>
    <row r="956" spans="1:28" ht="15.75" customHeight="1">
      <c r="A956" s="265"/>
      <c r="B956" s="265"/>
      <c r="C956" s="265"/>
      <c r="D956" s="265"/>
      <c r="E956" s="265"/>
      <c r="F956" s="265"/>
      <c r="G956" s="265"/>
      <c r="H956" s="265"/>
      <c r="I956" s="265"/>
      <c r="J956" s="265"/>
      <c r="K956" s="265"/>
      <c r="L956" s="265"/>
      <c r="M956" s="265"/>
      <c r="N956" s="265"/>
      <c r="O956" s="265"/>
      <c r="P956" s="265"/>
      <c r="Q956" s="265"/>
      <c r="R956" s="265"/>
      <c r="S956" s="265"/>
      <c r="T956" s="265"/>
      <c r="U956" s="265"/>
      <c r="V956" s="265"/>
      <c r="W956" s="265"/>
      <c r="X956" s="265"/>
      <c r="Y956" s="265"/>
      <c r="Z956" s="265"/>
      <c r="AA956" s="265"/>
      <c r="AB956" s="265"/>
    </row>
    <row r="957" spans="1:28" ht="15.75" customHeight="1">
      <c r="A957" s="265"/>
      <c r="B957" s="265"/>
      <c r="C957" s="265"/>
      <c r="D957" s="265"/>
      <c r="E957" s="265"/>
      <c r="F957" s="265"/>
      <c r="G957" s="265"/>
      <c r="H957" s="265"/>
      <c r="I957" s="265"/>
      <c r="J957" s="265"/>
      <c r="K957" s="265"/>
      <c r="L957" s="265"/>
      <c r="M957" s="265"/>
      <c r="N957" s="265"/>
      <c r="O957" s="265"/>
      <c r="P957" s="265"/>
      <c r="Q957" s="265"/>
      <c r="R957" s="265"/>
      <c r="S957" s="265"/>
      <c r="T957" s="265"/>
      <c r="U957" s="265"/>
      <c r="V957" s="265"/>
      <c r="W957" s="265"/>
      <c r="X957" s="265"/>
      <c r="Y957" s="265"/>
      <c r="Z957" s="265"/>
      <c r="AA957" s="265"/>
      <c r="AB957" s="265"/>
    </row>
    <row r="958" spans="1:28" ht="15.75" customHeight="1">
      <c r="A958" s="265"/>
      <c r="B958" s="265"/>
      <c r="C958" s="265"/>
      <c r="D958" s="265"/>
      <c r="E958" s="265"/>
      <c r="F958" s="265"/>
      <c r="G958" s="265"/>
      <c r="H958" s="265"/>
      <c r="I958" s="265"/>
      <c r="J958" s="265"/>
      <c r="K958" s="265"/>
      <c r="L958" s="265"/>
      <c r="M958" s="265"/>
      <c r="N958" s="265"/>
      <c r="O958" s="265"/>
      <c r="P958" s="265"/>
      <c r="Q958" s="265"/>
      <c r="R958" s="265"/>
      <c r="S958" s="265"/>
      <c r="T958" s="265"/>
      <c r="U958" s="265"/>
      <c r="V958" s="265"/>
      <c r="W958" s="265"/>
      <c r="X958" s="265"/>
      <c r="Y958" s="265"/>
      <c r="Z958" s="265"/>
      <c r="AA958" s="265"/>
      <c r="AB958" s="265"/>
    </row>
    <row r="959" spans="1:28" ht="15.75" customHeight="1">
      <c r="A959" s="265"/>
      <c r="B959" s="265"/>
      <c r="C959" s="265"/>
      <c r="D959" s="265"/>
      <c r="E959" s="265"/>
      <c r="F959" s="265"/>
      <c r="G959" s="265"/>
      <c r="H959" s="265"/>
      <c r="I959" s="265"/>
      <c r="J959" s="265"/>
      <c r="K959" s="265"/>
      <c r="L959" s="265"/>
      <c r="M959" s="265"/>
      <c r="N959" s="265"/>
      <c r="O959" s="265"/>
      <c r="P959" s="265"/>
      <c r="Q959" s="265"/>
      <c r="R959" s="265"/>
      <c r="S959" s="265"/>
      <c r="T959" s="265"/>
      <c r="U959" s="265"/>
      <c r="V959" s="265"/>
      <c r="W959" s="265"/>
      <c r="X959" s="265"/>
      <c r="Y959" s="265"/>
      <c r="Z959" s="265"/>
      <c r="AA959" s="265"/>
      <c r="AB959" s="265"/>
    </row>
    <row r="960" spans="1:28" ht="15.75" customHeight="1">
      <c r="A960" s="265"/>
      <c r="B960" s="265"/>
      <c r="C960" s="265"/>
      <c r="D960" s="265"/>
      <c r="E960" s="265"/>
      <c r="F960" s="265"/>
      <c r="G960" s="265"/>
      <c r="H960" s="265"/>
      <c r="I960" s="265"/>
      <c r="J960" s="265"/>
      <c r="K960" s="265"/>
      <c r="L960" s="265"/>
      <c r="M960" s="265"/>
      <c r="N960" s="265"/>
      <c r="O960" s="265"/>
      <c r="P960" s="265"/>
      <c r="Q960" s="265"/>
      <c r="R960" s="265"/>
      <c r="S960" s="265"/>
      <c r="T960" s="265"/>
      <c r="U960" s="265"/>
      <c r="V960" s="265"/>
      <c r="W960" s="265"/>
      <c r="X960" s="265"/>
      <c r="Y960" s="265"/>
      <c r="Z960" s="265"/>
      <c r="AA960" s="265"/>
      <c r="AB960" s="265"/>
    </row>
    <row r="961" spans="1:28" ht="15.75" customHeight="1">
      <c r="A961" s="265"/>
      <c r="B961" s="265"/>
      <c r="C961" s="265"/>
      <c r="D961" s="265"/>
      <c r="E961" s="265"/>
      <c r="F961" s="265"/>
      <c r="G961" s="265"/>
      <c r="H961" s="265"/>
      <c r="I961" s="265"/>
      <c r="J961" s="265"/>
      <c r="K961" s="265"/>
      <c r="L961" s="265"/>
      <c r="M961" s="265"/>
      <c r="N961" s="265"/>
      <c r="O961" s="265"/>
      <c r="P961" s="265"/>
      <c r="Q961" s="265"/>
      <c r="R961" s="265"/>
      <c r="S961" s="265"/>
      <c r="T961" s="265"/>
      <c r="U961" s="265"/>
      <c r="V961" s="265"/>
      <c r="W961" s="265"/>
      <c r="X961" s="265"/>
      <c r="Y961" s="265"/>
      <c r="Z961" s="265"/>
      <c r="AA961" s="265"/>
      <c r="AB961" s="265"/>
    </row>
    <row r="962" spans="1:28" ht="15.75" customHeight="1">
      <c r="A962" s="265"/>
      <c r="B962" s="265"/>
      <c r="C962" s="265"/>
      <c r="D962" s="265"/>
      <c r="E962" s="265"/>
      <c r="F962" s="265"/>
      <c r="G962" s="265"/>
      <c r="H962" s="265"/>
      <c r="I962" s="265"/>
      <c r="J962" s="265"/>
      <c r="K962" s="265"/>
      <c r="L962" s="265"/>
      <c r="M962" s="265"/>
      <c r="N962" s="265"/>
      <c r="O962" s="265"/>
      <c r="P962" s="265"/>
      <c r="Q962" s="265"/>
      <c r="R962" s="265"/>
      <c r="S962" s="265"/>
      <c r="T962" s="265"/>
      <c r="U962" s="265"/>
      <c r="V962" s="265"/>
      <c r="W962" s="265"/>
      <c r="X962" s="265"/>
      <c r="Y962" s="265"/>
      <c r="Z962" s="265"/>
      <c r="AA962" s="265"/>
      <c r="AB962" s="265"/>
    </row>
    <row r="963" spans="1:28" ht="15.75" customHeight="1">
      <c r="A963" s="265"/>
      <c r="B963" s="265"/>
      <c r="C963" s="265"/>
      <c r="D963" s="265"/>
      <c r="E963" s="265"/>
      <c r="F963" s="265"/>
      <c r="G963" s="265"/>
      <c r="H963" s="265"/>
      <c r="I963" s="265"/>
      <c r="J963" s="265"/>
      <c r="K963" s="265"/>
      <c r="L963" s="265"/>
      <c r="M963" s="265"/>
      <c r="N963" s="265"/>
      <c r="O963" s="265"/>
      <c r="P963" s="265"/>
      <c r="Q963" s="265"/>
      <c r="R963" s="265"/>
      <c r="S963" s="265"/>
      <c r="T963" s="265"/>
      <c r="U963" s="265"/>
      <c r="V963" s="265"/>
      <c r="W963" s="265"/>
      <c r="X963" s="265"/>
      <c r="Y963" s="265"/>
      <c r="Z963" s="265"/>
      <c r="AA963" s="265"/>
      <c r="AB963" s="265"/>
    </row>
    <row r="964" spans="1:28" ht="15.75" customHeight="1">
      <c r="A964" s="265"/>
      <c r="B964" s="265"/>
      <c r="C964" s="265"/>
      <c r="D964" s="265"/>
      <c r="E964" s="265"/>
      <c r="F964" s="265"/>
      <c r="G964" s="265"/>
      <c r="H964" s="265"/>
      <c r="I964" s="265"/>
      <c r="J964" s="265"/>
      <c r="K964" s="265"/>
      <c r="L964" s="265"/>
      <c r="M964" s="265"/>
      <c r="N964" s="265"/>
      <c r="O964" s="265"/>
      <c r="P964" s="265"/>
      <c r="Q964" s="265"/>
      <c r="R964" s="265"/>
      <c r="S964" s="265"/>
      <c r="T964" s="265"/>
      <c r="U964" s="265"/>
      <c r="V964" s="265"/>
      <c r="W964" s="265"/>
      <c r="X964" s="265"/>
      <c r="Y964" s="265"/>
      <c r="Z964" s="265"/>
      <c r="AA964" s="265"/>
      <c r="AB964" s="265"/>
    </row>
    <row r="965" spans="1:28" ht="15.75" customHeight="1">
      <c r="A965" s="265"/>
      <c r="B965" s="265"/>
      <c r="C965" s="265"/>
      <c r="D965" s="265"/>
      <c r="E965" s="265"/>
      <c r="F965" s="265"/>
      <c r="G965" s="265"/>
      <c r="H965" s="265"/>
      <c r="I965" s="265"/>
      <c r="J965" s="265"/>
      <c r="K965" s="265"/>
      <c r="L965" s="265"/>
      <c r="M965" s="265"/>
      <c r="N965" s="265"/>
      <c r="O965" s="265"/>
      <c r="P965" s="265"/>
      <c r="Q965" s="265"/>
      <c r="R965" s="265"/>
      <c r="S965" s="265"/>
      <c r="T965" s="265"/>
      <c r="U965" s="265"/>
      <c r="V965" s="265"/>
      <c r="W965" s="265"/>
      <c r="X965" s="265"/>
      <c r="Y965" s="265"/>
      <c r="Z965" s="265"/>
      <c r="AA965" s="265"/>
      <c r="AB965" s="265"/>
    </row>
    <row r="966" spans="1:28" ht="15.75" customHeight="1">
      <c r="A966" s="265"/>
      <c r="B966" s="265"/>
      <c r="C966" s="265"/>
      <c r="D966" s="265"/>
      <c r="E966" s="265"/>
      <c r="F966" s="265"/>
      <c r="G966" s="265"/>
      <c r="H966" s="265"/>
      <c r="I966" s="265"/>
      <c r="J966" s="265"/>
      <c r="K966" s="265"/>
      <c r="L966" s="265"/>
      <c r="M966" s="265"/>
      <c r="N966" s="265"/>
      <c r="O966" s="265"/>
      <c r="P966" s="265"/>
      <c r="Q966" s="265"/>
      <c r="R966" s="265"/>
      <c r="S966" s="265"/>
      <c r="T966" s="265"/>
      <c r="U966" s="265"/>
      <c r="V966" s="265"/>
      <c r="W966" s="265"/>
      <c r="X966" s="265"/>
      <c r="Y966" s="265"/>
      <c r="Z966" s="265"/>
      <c r="AA966" s="265"/>
      <c r="AB966" s="265"/>
    </row>
    <row r="967" spans="1:28" ht="15.75" customHeight="1">
      <c r="A967" s="265"/>
      <c r="B967" s="265"/>
      <c r="C967" s="265"/>
      <c r="D967" s="265"/>
      <c r="E967" s="265"/>
      <c r="F967" s="265"/>
      <c r="G967" s="265"/>
      <c r="H967" s="265"/>
      <c r="I967" s="265"/>
      <c r="J967" s="265"/>
      <c r="K967" s="265"/>
      <c r="L967" s="265"/>
      <c r="M967" s="265"/>
      <c r="N967" s="265"/>
      <c r="O967" s="265"/>
      <c r="P967" s="265"/>
      <c r="Q967" s="265"/>
      <c r="R967" s="265"/>
      <c r="S967" s="265"/>
      <c r="T967" s="265"/>
      <c r="U967" s="265"/>
      <c r="V967" s="265"/>
      <c r="W967" s="265"/>
      <c r="X967" s="265"/>
      <c r="Y967" s="265"/>
      <c r="Z967" s="265"/>
      <c r="AA967" s="265"/>
      <c r="AB967" s="265"/>
    </row>
    <row r="968" spans="1:28" ht="15.75" customHeight="1">
      <c r="A968" s="265"/>
      <c r="B968" s="265"/>
      <c r="C968" s="265"/>
      <c r="D968" s="265"/>
      <c r="E968" s="265"/>
      <c r="F968" s="265"/>
      <c r="G968" s="265"/>
      <c r="H968" s="265"/>
      <c r="I968" s="265"/>
      <c r="J968" s="265"/>
      <c r="K968" s="265"/>
      <c r="L968" s="265"/>
      <c r="M968" s="265"/>
      <c r="N968" s="265"/>
      <c r="O968" s="265"/>
      <c r="P968" s="265"/>
      <c r="Q968" s="265"/>
      <c r="R968" s="265"/>
      <c r="S968" s="265"/>
      <c r="T968" s="265"/>
      <c r="U968" s="265"/>
      <c r="V968" s="265"/>
      <c r="W968" s="265"/>
      <c r="X968" s="265"/>
      <c r="Y968" s="265"/>
      <c r="Z968" s="265"/>
      <c r="AA968" s="265"/>
      <c r="AB968" s="265"/>
    </row>
    <row r="969" spans="1:28" ht="15.75" customHeight="1">
      <c r="A969" s="265"/>
      <c r="B969" s="265"/>
      <c r="C969" s="265"/>
      <c r="D969" s="265"/>
      <c r="E969" s="265"/>
      <c r="F969" s="265"/>
      <c r="G969" s="265"/>
      <c r="H969" s="265"/>
      <c r="I969" s="265"/>
      <c r="J969" s="265"/>
      <c r="K969" s="265"/>
      <c r="L969" s="265"/>
      <c r="M969" s="265"/>
      <c r="N969" s="265"/>
      <c r="O969" s="265"/>
      <c r="P969" s="265"/>
      <c r="Q969" s="265"/>
      <c r="R969" s="265"/>
      <c r="S969" s="265"/>
      <c r="T969" s="265"/>
      <c r="U969" s="265"/>
      <c r="V969" s="265"/>
      <c r="W969" s="265"/>
      <c r="X969" s="265"/>
      <c r="Y969" s="265"/>
      <c r="Z969" s="265"/>
      <c r="AA969" s="265"/>
      <c r="AB969" s="265"/>
    </row>
    <row r="970" spans="1:28" ht="15.75" customHeight="1">
      <c r="A970" s="265"/>
      <c r="B970" s="265"/>
      <c r="C970" s="265"/>
      <c r="D970" s="265"/>
      <c r="E970" s="265"/>
      <c r="F970" s="265"/>
      <c r="G970" s="265"/>
      <c r="H970" s="265"/>
      <c r="I970" s="265"/>
      <c r="J970" s="265"/>
      <c r="K970" s="265"/>
      <c r="L970" s="265"/>
      <c r="M970" s="265"/>
      <c r="N970" s="265"/>
      <c r="O970" s="265"/>
      <c r="P970" s="265"/>
      <c r="Q970" s="265"/>
      <c r="R970" s="265"/>
      <c r="S970" s="265"/>
      <c r="T970" s="265"/>
      <c r="U970" s="265"/>
      <c r="V970" s="265"/>
      <c r="W970" s="265"/>
      <c r="X970" s="265"/>
      <c r="Y970" s="265"/>
      <c r="Z970" s="265"/>
      <c r="AA970" s="265"/>
      <c r="AB970" s="265"/>
    </row>
    <row r="971" spans="1:28" ht="15.75" customHeight="1">
      <c r="A971" s="265"/>
      <c r="B971" s="265"/>
      <c r="C971" s="265"/>
      <c r="D971" s="265"/>
      <c r="E971" s="265"/>
      <c r="F971" s="265"/>
      <c r="G971" s="265"/>
      <c r="H971" s="265"/>
      <c r="I971" s="265"/>
      <c r="J971" s="265"/>
      <c r="K971" s="265"/>
      <c r="L971" s="265"/>
      <c r="M971" s="265"/>
      <c r="N971" s="265"/>
      <c r="O971" s="265"/>
      <c r="P971" s="265"/>
      <c r="Q971" s="265"/>
      <c r="R971" s="265"/>
      <c r="S971" s="265"/>
      <c r="T971" s="265"/>
      <c r="U971" s="265"/>
      <c r="V971" s="265"/>
      <c r="W971" s="265"/>
      <c r="X971" s="265"/>
      <c r="Y971" s="265"/>
      <c r="Z971" s="265"/>
      <c r="AA971" s="265"/>
      <c r="AB971" s="265"/>
    </row>
    <row r="972" spans="1:28" ht="15.75" customHeight="1">
      <c r="A972" s="265"/>
      <c r="B972" s="265"/>
      <c r="C972" s="265"/>
      <c r="D972" s="265"/>
      <c r="E972" s="265"/>
      <c r="F972" s="265"/>
      <c r="G972" s="265"/>
      <c r="H972" s="265"/>
      <c r="I972" s="265"/>
      <c r="J972" s="265"/>
      <c r="K972" s="265"/>
      <c r="L972" s="265"/>
      <c r="M972" s="265"/>
      <c r="N972" s="265"/>
      <c r="O972" s="265"/>
      <c r="P972" s="265"/>
      <c r="Q972" s="265"/>
      <c r="R972" s="265"/>
      <c r="S972" s="265"/>
      <c r="T972" s="265"/>
      <c r="U972" s="265"/>
      <c r="V972" s="265"/>
      <c r="W972" s="265"/>
      <c r="X972" s="265"/>
      <c r="Y972" s="265"/>
      <c r="Z972" s="265"/>
      <c r="AA972" s="265"/>
      <c r="AB972" s="265"/>
    </row>
    <row r="973" spans="1:28" ht="15.75" customHeight="1">
      <c r="A973" s="265"/>
      <c r="B973" s="265"/>
      <c r="C973" s="265"/>
      <c r="D973" s="265"/>
      <c r="E973" s="265"/>
      <c r="F973" s="265"/>
      <c r="G973" s="265"/>
      <c r="H973" s="265"/>
      <c r="I973" s="265"/>
      <c r="J973" s="265"/>
      <c r="K973" s="265"/>
      <c r="L973" s="265"/>
      <c r="M973" s="265"/>
      <c r="N973" s="265"/>
      <c r="O973" s="265"/>
      <c r="P973" s="265"/>
      <c r="Q973" s="265"/>
      <c r="R973" s="265"/>
      <c r="S973" s="265"/>
      <c r="T973" s="265"/>
      <c r="U973" s="265"/>
      <c r="V973" s="265"/>
      <c r="W973" s="265"/>
      <c r="X973" s="265"/>
      <c r="Y973" s="265"/>
      <c r="Z973" s="265"/>
      <c r="AA973" s="265"/>
      <c r="AB973" s="265"/>
    </row>
    <row r="974" spans="1:28" ht="15.75" customHeight="1">
      <c r="A974" s="265"/>
      <c r="B974" s="265"/>
      <c r="C974" s="265"/>
      <c r="D974" s="265"/>
      <c r="E974" s="265"/>
      <c r="F974" s="265"/>
      <c r="G974" s="265"/>
      <c r="H974" s="265"/>
      <c r="I974" s="265"/>
      <c r="J974" s="265"/>
      <c r="K974" s="265"/>
      <c r="L974" s="265"/>
      <c r="M974" s="265"/>
      <c r="N974" s="265"/>
      <c r="O974" s="265"/>
      <c r="P974" s="265"/>
      <c r="Q974" s="265"/>
      <c r="R974" s="265"/>
      <c r="S974" s="265"/>
      <c r="T974" s="265"/>
      <c r="U974" s="265"/>
      <c r="V974" s="265"/>
      <c r="W974" s="265"/>
      <c r="X974" s="265"/>
      <c r="Y974" s="265"/>
      <c r="Z974" s="265"/>
      <c r="AA974" s="265"/>
      <c r="AB974" s="265"/>
    </row>
    <row r="975" spans="1:28" ht="15.75" customHeight="1">
      <c r="A975" s="265"/>
      <c r="B975" s="265"/>
      <c r="C975" s="265"/>
      <c r="D975" s="265"/>
      <c r="E975" s="265"/>
      <c r="F975" s="265"/>
      <c r="G975" s="265"/>
      <c r="H975" s="265"/>
      <c r="I975" s="265"/>
      <c r="J975" s="265"/>
      <c r="K975" s="265"/>
      <c r="L975" s="265"/>
      <c r="M975" s="265"/>
      <c r="N975" s="265"/>
      <c r="O975" s="265"/>
      <c r="P975" s="265"/>
      <c r="Q975" s="265"/>
      <c r="R975" s="265"/>
      <c r="S975" s="265"/>
      <c r="T975" s="265"/>
      <c r="U975" s="265"/>
      <c r="V975" s="265"/>
      <c r="W975" s="265"/>
      <c r="X975" s="265"/>
      <c r="Y975" s="265"/>
      <c r="Z975" s="265"/>
      <c r="AA975" s="265"/>
      <c r="AB975" s="265"/>
    </row>
    <row r="976" spans="1:28" ht="15.75" customHeight="1">
      <c r="A976" s="265"/>
      <c r="B976" s="265"/>
      <c r="C976" s="265"/>
      <c r="D976" s="265"/>
      <c r="E976" s="265"/>
      <c r="F976" s="265"/>
      <c r="G976" s="265"/>
      <c r="H976" s="265"/>
      <c r="I976" s="265"/>
      <c r="J976" s="265"/>
      <c r="K976" s="265"/>
      <c r="L976" s="265"/>
      <c r="M976" s="265"/>
      <c r="N976" s="265"/>
      <c r="O976" s="265"/>
      <c r="P976" s="265"/>
      <c r="Q976" s="265"/>
      <c r="R976" s="265"/>
      <c r="S976" s="265"/>
      <c r="T976" s="265"/>
      <c r="U976" s="265"/>
      <c r="V976" s="265"/>
      <c r="W976" s="265"/>
      <c r="X976" s="265"/>
      <c r="Y976" s="265"/>
      <c r="Z976" s="265"/>
      <c r="AA976" s="265"/>
      <c r="AB976" s="265"/>
    </row>
    <row r="977" spans="1:28" ht="15.75" customHeight="1">
      <c r="A977" s="265"/>
      <c r="B977" s="265"/>
      <c r="C977" s="265"/>
      <c r="D977" s="265"/>
      <c r="E977" s="265"/>
      <c r="F977" s="265"/>
      <c r="G977" s="265"/>
      <c r="H977" s="265"/>
      <c r="I977" s="265"/>
      <c r="J977" s="265"/>
      <c r="K977" s="265"/>
      <c r="L977" s="265"/>
      <c r="M977" s="265"/>
      <c r="N977" s="265"/>
      <c r="O977" s="265"/>
      <c r="P977" s="265"/>
      <c r="Q977" s="265"/>
      <c r="R977" s="265"/>
      <c r="S977" s="265"/>
      <c r="T977" s="265"/>
      <c r="U977" s="265"/>
      <c r="V977" s="265"/>
      <c r="W977" s="265"/>
      <c r="X977" s="265"/>
      <c r="Y977" s="265"/>
      <c r="Z977" s="265"/>
      <c r="AA977" s="265"/>
      <c r="AB977" s="265"/>
    </row>
    <row r="978" spans="1:28" ht="15.75" customHeight="1">
      <c r="A978" s="265"/>
      <c r="B978" s="265"/>
      <c r="C978" s="265"/>
      <c r="D978" s="265"/>
      <c r="E978" s="265"/>
      <c r="F978" s="265"/>
      <c r="G978" s="265"/>
      <c r="H978" s="265"/>
      <c r="I978" s="265"/>
      <c r="J978" s="265"/>
      <c r="K978" s="265"/>
      <c r="L978" s="265"/>
      <c r="M978" s="265"/>
      <c r="N978" s="265"/>
      <c r="O978" s="265"/>
      <c r="P978" s="265"/>
      <c r="Q978" s="265"/>
      <c r="R978" s="265"/>
      <c r="S978" s="265"/>
      <c r="T978" s="265"/>
      <c r="U978" s="265"/>
      <c r="V978" s="265"/>
      <c r="W978" s="265"/>
      <c r="X978" s="265"/>
      <c r="Y978" s="265"/>
      <c r="Z978" s="265"/>
      <c r="AA978" s="265"/>
      <c r="AB978" s="265"/>
    </row>
    <row r="979" spans="1:28" ht="15.75" customHeight="1">
      <c r="A979" s="265"/>
      <c r="B979" s="265"/>
      <c r="C979" s="265"/>
      <c r="D979" s="265"/>
      <c r="E979" s="265"/>
      <c r="F979" s="265"/>
      <c r="G979" s="265"/>
      <c r="H979" s="265"/>
      <c r="I979" s="265"/>
      <c r="J979" s="265"/>
      <c r="K979" s="265"/>
      <c r="L979" s="265"/>
      <c r="M979" s="265"/>
      <c r="N979" s="265"/>
      <c r="O979" s="265"/>
      <c r="P979" s="265"/>
      <c r="Q979" s="265"/>
      <c r="R979" s="265"/>
      <c r="S979" s="265"/>
      <c r="T979" s="265"/>
      <c r="U979" s="265"/>
      <c r="V979" s="265"/>
      <c r="W979" s="265"/>
      <c r="X979" s="265"/>
      <c r="Y979" s="265"/>
      <c r="Z979" s="265"/>
      <c r="AA979" s="265"/>
      <c r="AB979" s="265"/>
    </row>
    <row r="980" spans="1:28" ht="15.75" customHeight="1">
      <c r="A980" s="265"/>
      <c r="B980" s="265"/>
      <c r="C980" s="265"/>
      <c r="D980" s="265"/>
      <c r="E980" s="265"/>
      <c r="F980" s="265"/>
      <c r="G980" s="265"/>
      <c r="H980" s="265"/>
      <c r="I980" s="265"/>
      <c r="J980" s="265"/>
      <c r="K980" s="265"/>
      <c r="L980" s="265"/>
      <c r="M980" s="265"/>
      <c r="N980" s="265"/>
      <c r="O980" s="265"/>
      <c r="P980" s="265"/>
      <c r="Q980" s="265"/>
      <c r="R980" s="265"/>
      <c r="S980" s="265"/>
      <c r="T980" s="265"/>
      <c r="U980" s="265"/>
      <c r="V980" s="265"/>
      <c r="W980" s="265"/>
      <c r="X980" s="265"/>
      <c r="Y980" s="265"/>
      <c r="Z980" s="265"/>
      <c r="AA980" s="265"/>
      <c r="AB980" s="265"/>
    </row>
    <row r="981" spans="1:28" ht="15.75" customHeight="1">
      <c r="A981" s="265"/>
      <c r="B981" s="265"/>
      <c r="C981" s="265"/>
      <c r="D981" s="265"/>
      <c r="E981" s="265"/>
      <c r="F981" s="265"/>
      <c r="G981" s="265"/>
      <c r="H981" s="265"/>
      <c r="I981" s="265"/>
      <c r="J981" s="265"/>
      <c r="K981" s="265"/>
      <c r="L981" s="265"/>
      <c r="M981" s="265"/>
      <c r="N981" s="265"/>
      <c r="O981" s="265"/>
      <c r="P981" s="265"/>
      <c r="Q981" s="265"/>
      <c r="R981" s="265"/>
      <c r="S981" s="265"/>
      <c r="T981" s="265"/>
      <c r="U981" s="265"/>
      <c r="V981" s="265"/>
      <c r="W981" s="265"/>
      <c r="X981" s="265"/>
      <c r="Y981" s="265"/>
      <c r="Z981" s="265"/>
      <c r="AA981" s="265"/>
      <c r="AB981" s="265"/>
    </row>
    <row r="982" spans="1:28" ht="15.75" customHeight="1">
      <c r="A982" s="265"/>
      <c r="B982" s="265"/>
      <c r="C982" s="265"/>
      <c r="D982" s="265"/>
      <c r="E982" s="265"/>
      <c r="F982" s="265"/>
      <c r="G982" s="265"/>
      <c r="H982" s="265"/>
      <c r="I982" s="265"/>
      <c r="J982" s="265"/>
      <c r="K982" s="265"/>
      <c r="L982" s="265"/>
      <c r="M982" s="265"/>
      <c r="N982" s="265"/>
      <c r="O982" s="265"/>
      <c r="P982" s="265"/>
      <c r="Q982" s="265"/>
      <c r="R982" s="265"/>
      <c r="S982" s="265"/>
      <c r="T982" s="265"/>
      <c r="U982" s="265"/>
      <c r="V982" s="265"/>
      <c r="W982" s="265"/>
      <c r="X982" s="265"/>
      <c r="Y982" s="265"/>
      <c r="Z982" s="265"/>
      <c r="AA982" s="265"/>
      <c r="AB982" s="265"/>
    </row>
    <row r="983" spans="1:28" ht="15.75" customHeight="1">
      <c r="A983" s="265"/>
      <c r="B983" s="265"/>
      <c r="C983" s="265"/>
      <c r="D983" s="265"/>
      <c r="E983" s="265"/>
      <c r="F983" s="265"/>
      <c r="G983" s="265"/>
      <c r="H983" s="265"/>
      <c r="I983" s="265"/>
      <c r="J983" s="265"/>
      <c r="K983" s="265"/>
      <c r="L983" s="265"/>
      <c r="M983" s="265"/>
      <c r="N983" s="265"/>
      <c r="O983" s="265"/>
      <c r="P983" s="265"/>
      <c r="Q983" s="265"/>
      <c r="R983" s="265"/>
      <c r="S983" s="265"/>
      <c r="T983" s="265"/>
      <c r="U983" s="265"/>
      <c r="V983" s="265"/>
      <c r="W983" s="265"/>
      <c r="X983" s="265"/>
      <c r="Y983" s="265"/>
      <c r="Z983" s="265"/>
      <c r="AA983" s="265"/>
      <c r="AB983" s="265"/>
    </row>
    <row r="984" spans="1:28" ht="15.75" customHeight="1">
      <c r="A984" s="265"/>
      <c r="B984" s="265"/>
      <c r="C984" s="265"/>
      <c r="D984" s="265"/>
      <c r="E984" s="265"/>
      <c r="F984" s="265"/>
      <c r="G984" s="265"/>
      <c r="H984" s="265"/>
      <c r="I984" s="265"/>
      <c r="J984" s="265"/>
      <c r="K984" s="265"/>
      <c r="L984" s="265"/>
      <c r="M984" s="265"/>
      <c r="N984" s="265"/>
      <c r="O984" s="265"/>
      <c r="P984" s="265"/>
      <c r="Q984" s="265"/>
      <c r="R984" s="265"/>
      <c r="S984" s="265"/>
      <c r="T984" s="265"/>
      <c r="U984" s="265"/>
      <c r="V984" s="265"/>
      <c r="W984" s="265"/>
      <c r="X984" s="265"/>
      <c r="Y984" s="265"/>
      <c r="Z984" s="265"/>
      <c r="AA984" s="265"/>
      <c r="AB984" s="265"/>
    </row>
    <row r="985" spans="1:28" ht="15.75" customHeight="1">
      <c r="A985" s="265"/>
      <c r="B985" s="265"/>
      <c r="C985" s="265"/>
      <c r="D985" s="265"/>
      <c r="E985" s="265"/>
      <c r="F985" s="265"/>
      <c r="G985" s="265"/>
      <c r="H985" s="265"/>
      <c r="I985" s="265"/>
      <c r="J985" s="265"/>
      <c r="K985" s="265"/>
      <c r="L985" s="265"/>
      <c r="M985" s="265"/>
      <c r="N985" s="265"/>
      <c r="O985" s="265"/>
      <c r="P985" s="265"/>
      <c r="Q985" s="265"/>
      <c r="R985" s="265"/>
      <c r="S985" s="265"/>
      <c r="T985" s="265"/>
      <c r="U985" s="265"/>
      <c r="V985" s="265"/>
      <c r="W985" s="265"/>
      <c r="X985" s="265"/>
      <c r="Y985" s="265"/>
      <c r="Z985" s="265"/>
      <c r="AA985" s="265"/>
      <c r="AB985" s="265"/>
    </row>
    <row r="986" spans="1:28" ht="15.75" customHeight="1">
      <c r="A986" s="265"/>
      <c r="B986" s="265"/>
      <c r="C986" s="265"/>
      <c r="D986" s="265"/>
      <c r="E986" s="265"/>
      <c r="F986" s="265"/>
      <c r="G986" s="265"/>
      <c r="H986" s="265"/>
      <c r="I986" s="265"/>
      <c r="J986" s="265"/>
      <c r="K986" s="265"/>
      <c r="L986" s="265"/>
      <c r="M986" s="265"/>
      <c r="N986" s="265"/>
      <c r="O986" s="265"/>
      <c r="P986" s="265"/>
      <c r="Q986" s="265"/>
      <c r="R986" s="265"/>
      <c r="S986" s="265"/>
      <c r="T986" s="265"/>
      <c r="U986" s="265"/>
      <c r="V986" s="265"/>
      <c r="W986" s="265"/>
      <c r="X986" s="265"/>
      <c r="Y986" s="265"/>
      <c r="Z986" s="265"/>
      <c r="AA986" s="265"/>
      <c r="AB986" s="265"/>
    </row>
    <row r="987" spans="1:28" ht="15.75" customHeight="1">
      <c r="A987" s="265"/>
      <c r="B987" s="265"/>
      <c r="C987" s="265"/>
      <c r="D987" s="265"/>
      <c r="E987" s="265"/>
      <c r="F987" s="265"/>
      <c r="G987" s="265"/>
      <c r="H987" s="265"/>
      <c r="I987" s="265"/>
      <c r="J987" s="265"/>
      <c r="K987" s="265"/>
      <c r="L987" s="265"/>
      <c r="M987" s="265"/>
      <c r="N987" s="265"/>
      <c r="O987" s="265"/>
      <c r="P987" s="265"/>
      <c r="Q987" s="265"/>
      <c r="R987" s="265"/>
      <c r="S987" s="265"/>
      <c r="T987" s="265"/>
      <c r="U987" s="265"/>
      <c r="V987" s="265"/>
      <c r="W987" s="265"/>
      <c r="X987" s="265"/>
      <c r="Y987" s="265"/>
      <c r="Z987" s="265"/>
      <c r="AA987" s="265"/>
      <c r="AB987" s="265"/>
    </row>
    <row r="988" spans="1:28" ht="15.75" customHeight="1">
      <c r="A988" s="265"/>
      <c r="B988" s="265"/>
      <c r="C988" s="265"/>
      <c r="D988" s="265"/>
      <c r="E988" s="265"/>
      <c r="F988" s="265"/>
      <c r="G988" s="265"/>
      <c r="H988" s="265"/>
      <c r="I988" s="265"/>
      <c r="J988" s="265"/>
      <c r="K988" s="265"/>
      <c r="L988" s="265"/>
      <c r="M988" s="265"/>
      <c r="N988" s="265"/>
      <c r="O988" s="265"/>
      <c r="P988" s="265"/>
      <c r="Q988" s="265"/>
      <c r="R988" s="265"/>
      <c r="S988" s="265"/>
      <c r="T988" s="265"/>
      <c r="U988" s="265"/>
      <c r="V988" s="265"/>
      <c r="W988" s="265"/>
      <c r="X988" s="265"/>
      <c r="Y988" s="265"/>
      <c r="Z988" s="265"/>
      <c r="AA988" s="265"/>
      <c r="AB988" s="265"/>
    </row>
    <row r="989" spans="1:28" ht="15.75" customHeight="1">
      <c r="A989" s="265"/>
      <c r="B989" s="265"/>
      <c r="C989" s="265"/>
      <c r="D989" s="265"/>
      <c r="E989" s="265"/>
      <c r="F989" s="265"/>
      <c r="G989" s="265"/>
      <c r="H989" s="265"/>
      <c r="I989" s="265"/>
      <c r="J989" s="265"/>
      <c r="K989" s="265"/>
      <c r="L989" s="265"/>
      <c r="M989" s="265"/>
      <c r="N989" s="265"/>
      <c r="O989" s="265"/>
      <c r="P989" s="265"/>
      <c r="Q989" s="265"/>
      <c r="R989" s="265"/>
      <c r="S989" s="265"/>
      <c r="T989" s="265"/>
      <c r="U989" s="265"/>
      <c r="V989" s="265"/>
      <c r="W989" s="265"/>
      <c r="X989" s="265"/>
      <c r="Y989" s="265"/>
      <c r="Z989" s="265"/>
      <c r="AA989" s="265"/>
      <c r="AB989" s="265"/>
    </row>
    <row r="990" spans="1:28" ht="15.75" customHeight="1">
      <c r="A990" s="265"/>
      <c r="B990" s="265"/>
      <c r="C990" s="265"/>
      <c r="D990" s="265"/>
      <c r="E990" s="265"/>
      <c r="F990" s="265"/>
      <c r="G990" s="265"/>
      <c r="H990" s="265"/>
      <c r="I990" s="265"/>
      <c r="J990" s="265"/>
      <c r="K990" s="265"/>
      <c r="L990" s="265"/>
      <c r="M990" s="265"/>
      <c r="N990" s="265"/>
      <c r="O990" s="265"/>
      <c r="P990" s="265"/>
      <c r="Q990" s="265"/>
      <c r="R990" s="265"/>
      <c r="S990" s="265"/>
      <c r="T990" s="265"/>
      <c r="U990" s="265"/>
      <c r="V990" s="265"/>
      <c r="W990" s="265"/>
      <c r="X990" s="265"/>
      <c r="Y990" s="265"/>
      <c r="Z990" s="265"/>
      <c r="AA990" s="265"/>
      <c r="AB990" s="265"/>
    </row>
    <row r="991" spans="1:28" ht="15.75" customHeight="1">
      <c r="A991" s="265"/>
      <c r="B991" s="265"/>
      <c r="C991" s="265"/>
      <c r="D991" s="265"/>
      <c r="E991" s="265"/>
      <c r="F991" s="265"/>
      <c r="G991" s="265"/>
      <c r="H991" s="265"/>
      <c r="I991" s="265"/>
      <c r="J991" s="265"/>
      <c r="K991" s="265"/>
      <c r="L991" s="265"/>
      <c r="M991" s="265"/>
      <c r="N991" s="265"/>
      <c r="O991" s="265"/>
      <c r="P991" s="265"/>
      <c r="Q991" s="265"/>
      <c r="R991" s="265"/>
      <c r="S991" s="265"/>
      <c r="T991" s="265"/>
      <c r="U991" s="265"/>
      <c r="V991" s="265"/>
      <c r="W991" s="265"/>
      <c r="X991" s="265"/>
      <c r="Y991" s="265"/>
      <c r="Z991" s="265"/>
      <c r="AA991" s="265"/>
      <c r="AB991" s="265"/>
    </row>
    <row r="992" spans="1:28" ht="15.75" customHeight="1">
      <c r="A992" s="265"/>
      <c r="B992" s="265"/>
      <c r="C992" s="265"/>
      <c r="D992" s="265"/>
      <c r="E992" s="265"/>
      <c r="F992" s="265"/>
      <c r="G992" s="265"/>
      <c r="H992" s="265"/>
      <c r="I992" s="265"/>
      <c r="J992" s="265"/>
      <c r="K992" s="265"/>
      <c r="L992" s="265"/>
      <c r="M992" s="265"/>
      <c r="N992" s="265"/>
      <c r="O992" s="265"/>
      <c r="P992" s="265"/>
      <c r="Q992" s="265"/>
      <c r="R992" s="265"/>
      <c r="S992" s="265"/>
      <c r="T992" s="265"/>
      <c r="U992" s="265"/>
      <c r="V992" s="265"/>
      <c r="W992" s="265"/>
      <c r="X992" s="265"/>
      <c r="Y992" s="265"/>
      <c r="Z992" s="265"/>
      <c r="AA992" s="265"/>
      <c r="AB992" s="265"/>
    </row>
    <row r="993" spans="1:28" ht="15.75" customHeight="1">
      <c r="A993" s="265"/>
      <c r="B993" s="265"/>
      <c r="C993" s="265"/>
      <c r="D993" s="265"/>
      <c r="E993" s="265"/>
      <c r="F993" s="265"/>
      <c r="G993" s="265"/>
      <c r="H993" s="265"/>
      <c r="I993" s="265"/>
      <c r="J993" s="265"/>
      <c r="K993" s="265"/>
      <c r="L993" s="265"/>
      <c r="M993" s="265"/>
      <c r="N993" s="265"/>
      <c r="O993" s="265"/>
      <c r="P993" s="265"/>
      <c r="Q993" s="265"/>
      <c r="R993" s="265"/>
      <c r="S993" s="265"/>
      <c r="T993" s="265"/>
      <c r="U993" s="265"/>
      <c r="V993" s="265"/>
      <c r="W993" s="265"/>
      <c r="X993" s="265"/>
      <c r="Y993" s="265"/>
      <c r="Z993" s="265"/>
      <c r="AA993" s="265"/>
      <c r="AB993" s="265"/>
    </row>
    <row r="994" spans="1:28" ht="15.75" customHeight="1">
      <c r="A994" s="265"/>
      <c r="B994" s="265"/>
      <c r="C994" s="265"/>
      <c r="D994" s="265"/>
      <c r="E994" s="265"/>
      <c r="F994" s="265"/>
      <c r="G994" s="265"/>
      <c r="H994" s="265"/>
      <c r="I994" s="265"/>
      <c r="J994" s="265"/>
      <c r="K994" s="265"/>
      <c r="L994" s="265"/>
      <c r="M994" s="265"/>
      <c r="N994" s="265"/>
      <c r="O994" s="265"/>
      <c r="P994" s="265"/>
      <c r="Q994" s="265"/>
      <c r="R994" s="265"/>
      <c r="S994" s="265"/>
      <c r="T994" s="265"/>
      <c r="U994" s="265"/>
      <c r="V994" s="265"/>
      <c r="W994" s="265"/>
      <c r="X994" s="265"/>
      <c r="Y994" s="265"/>
      <c r="Z994" s="265"/>
      <c r="AA994" s="265"/>
      <c r="AB994" s="265"/>
    </row>
    <row r="995" spans="1:28" ht="15.75" customHeight="1">
      <c r="A995" s="265"/>
      <c r="B995" s="265"/>
      <c r="C995" s="265"/>
      <c r="D995" s="265"/>
      <c r="E995" s="265"/>
      <c r="F995" s="265"/>
      <c r="G995" s="265"/>
      <c r="H995" s="265"/>
      <c r="I995" s="265"/>
      <c r="J995" s="265"/>
      <c r="K995" s="265"/>
      <c r="L995" s="265"/>
      <c r="M995" s="265"/>
      <c r="N995" s="265"/>
      <c r="O995" s="265"/>
      <c r="P995" s="265"/>
      <c r="Q995" s="265"/>
      <c r="R995" s="265"/>
      <c r="S995" s="265"/>
      <c r="T995" s="265"/>
      <c r="U995" s="265"/>
      <c r="V995" s="265"/>
      <c r="W995" s="265"/>
      <c r="X995" s="265"/>
      <c r="Y995" s="265"/>
      <c r="Z995" s="265"/>
      <c r="AA995" s="265"/>
      <c r="AB995" s="265"/>
    </row>
    <row r="996" spans="1:28" ht="15.75" customHeight="1">
      <c r="A996" s="265"/>
      <c r="B996" s="265"/>
      <c r="C996" s="265"/>
      <c r="D996" s="265"/>
      <c r="E996" s="265"/>
      <c r="F996" s="265"/>
      <c r="G996" s="265"/>
      <c r="H996" s="265"/>
      <c r="I996" s="265"/>
      <c r="J996" s="265"/>
      <c r="K996" s="265"/>
      <c r="L996" s="265"/>
      <c r="M996" s="265"/>
      <c r="N996" s="265"/>
      <c r="O996" s="265"/>
      <c r="P996" s="265"/>
      <c r="Q996" s="265"/>
      <c r="R996" s="265"/>
      <c r="S996" s="265"/>
      <c r="T996" s="265"/>
      <c r="U996" s="265"/>
      <c r="V996" s="265"/>
      <c r="W996" s="265"/>
      <c r="X996" s="265"/>
      <c r="Y996" s="265"/>
      <c r="Z996" s="265"/>
      <c r="AA996" s="265"/>
      <c r="AB996" s="265"/>
    </row>
    <row r="997" spans="1:28" ht="15.75" customHeight="1">
      <c r="A997" s="265"/>
      <c r="B997" s="265"/>
      <c r="C997" s="265"/>
      <c r="D997" s="265"/>
      <c r="E997" s="265"/>
      <c r="F997" s="265"/>
      <c r="G997" s="265"/>
      <c r="H997" s="265"/>
      <c r="I997" s="265"/>
      <c r="J997" s="265"/>
      <c r="K997" s="265"/>
      <c r="L997" s="265"/>
      <c r="M997" s="265"/>
      <c r="N997" s="265"/>
      <c r="O997" s="265"/>
      <c r="P997" s="265"/>
      <c r="Q997" s="265"/>
      <c r="R997" s="265"/>
      <c r="S997" s="265"/>
      <c r="T997" s="265"/>
      <c r="U997" s="265"/>
      <c r="V997" s="265"/>
      <c r="W997" s="265"/>
      <c r="X997" s="265"/>
      <c r="Y997" s="265"/>
      <c r="Z997" s="265"/>
      <c r="AA997" s="265"/>
      <c r="AB997" s="265"/>
    </row>
    <row r="998" spans="1:28" ht="15.75" customHeight="1">
      <c r="A998" s="265"/>
      <c r="B998" s="265"/>
      <c r="C998" s="265"/>
      <c r="D998" s="265"/>
      <c r="E998" s="265"/>
      <c r="F998" s="265"/>
      <c r="G998" s="265"/>
      <c r="H998" s="265"/>
      <c r="I998" s="265"/>
      <c r="J998" s="265"/>
      <c r="K998" s="265"/>
      <c r="L998" s="265"/>
      <c r="M998" s="265"/>
      <c r="N998" s="265"/>
      <c r="O998" s="265"/>
      <c r="P998" s="265"/>
      <c r="Q998" s="265"/>
      <c r="R998" s="265"/>
      <c r="S998" s="265"/>
      <c r="T998" s="265"/>
      <c r="U998" s="265"/>
      <c r="V998" s="265"/>
      <c r="W998" s="265"/>
      <c r="X998" s="265"/>
      <c r="Y998" s="265"/>
      <c r="Z998" s="265"/>
      <c r="AA998" s="265"/>
      <c r="AB998" s="265"/>
    </row>
    <row r="999" spans="1:28" ht="15.75" customHeight="1">
      <c r="A999" s="265"/>
      <c r="B999" s="265"/>
      <c r="C999" s="265"/>
      <c r="D999" s="265"/>
      <c r="E999" s="265"/>
      <c r="F999" s="265"/>
      <c r="G999" s="265"/>
      <c r="H999" s="265"/>
      <c r="I999" s="265"/>
      <c r="J999" s="265"/>
      <c r="K999" s="265"/>
      <c r="L999" s="265"/>
      <c r="M999" s="265"/>
      <c r="N999" s="265"/>
      <c r="O999" s="265"/>
      <c r="P999" s="265"/>
      <c r="Q999" s="265"/>
      <c r="R999" s="265"/>
      <c r="S999" s="265"/>
      <c r="T999" s="265"/>
      <c r="U999" s="265"/>
      <c r="V999" s="265"/>
      <c r="W999" s="265"/>
      <c r="X999" s="265"/>
      <c r="Y999" s="265"/>
      <c r="Z999" s="265"/>
      <c r="AA999" s="265"/>
      <c r="AB999" s="265"/>
    </row>
    <row r="1000" spans="1:28" ht="15.75" customHeight="1">
      <c r="A1000" s="265"/>
      <c r="B1000" s="265"/>
      <c r="C1000" s="265"/>
      <c r="D1000" s="265"/>
      <c r="E1000" s="265"/>
      <c r="F1000" s="265"/>
      <c r="G1000" s="265"/>
      <c r="H1000" s="265"/>
      <c r="I1000" s="265"/>
      <c r="J1000" s="265"/>
      <c r="K1000" s="265"/>
      <c r="L1000" s="265"/>
      <c r="M1000" s="265"/>
      <c r="N1000" s="265"/>
      <c r="O1000" s="265"/>
      <c r="P1000" s="265"/>
      <c r="Q1000" s="265"/>
      <c r="R1000" s="265"/>
      <c r="S1000" s="265"/>
      <c r="T1000" s="265"/>
      <c r="U1000" s="265"/>
      <c r="V1000" s="265"/>
      <c r="W1000" s="265"/>
      <c r="X1000" s="265"/>
      <c r="Y1000" s="265"/>
      <c r="Z1000" s="265"/>
      <c r="AA1000" s="265"/>
      <c r="AB1000" s="265"/>
    </row>
  </sheetData>
  <mergeCells count="5">
    <mergeCell ref="L15:R15"/>
    <mergeCell ref="L16:R16"/>
    <mergeCell ref="L17:R17"/>
    <mergeCell ref="L18:R18"/>
    <mergeCell ref="L21:R21"/>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4.42578125" defaultRowHeight="15" customHeight="1" outlineLevelRow="1"/>
  <cols>
    <col min="1" max="1" width="3.140625" customWidth="1"/>
    <col min="2" max="2" width="41.7109375" customWidth="1"/>
    <col min="3" max="3" width="17.28515625" customWidth="1"/>
    <col min="4" max="4" width="5" customWidth="1"/>
    <col min="5" max="5" width="15.42578125" customWidth="1"/>
    <col min="6" max="6" width="13.28515625" customWidth="1"/>
    <col min="7" max="7" width="44.7109375" customWidth="1"/>
    <col min="8" max="8" width="3.42578125" customWidth="1"/>
    <col min="9" max="9" width="15.42578125" customWidth="1"/>
    <col min="10" max="10" width="13.28515625" customWidth="1"/>
    <col min="11" max="11" width="44.42578125" customWidth="1"/>
    <col min="12" max="12" width="14.28515625" customWidth="1"/>
    <col min="13" max="13" width="9.7109375" customWidth="1"/>
    <col min="14" max="26" width="8.7109375" customWidth="1"/>
  </cols>
  <sheetData>
    <row r="1" spans="1:11" ht="12.75" customHeight="1">
      <c r="F1" s="1552"/>
    </row>
    <row r="2" spans="1:11" ht="12.75" customHeight="1">
      <c r="A2" s="1422"/>
      <c r="B2" s="1553" t="s">
        <v>5418</v>
      </c>
      <c r="C2" s="1384"/>
      <c r="D2" s="1422"/>
      <c r="E2" s="1422"/>
      <c r="F2" s="1552"/>
      <c r="G2" s="1422"/>
      <c r="H2" s="1422"/>
      <c r="I2" s="1422"/>
      <c r="J2" s="1422"/>
    </row>
    <row r="3" spans="1:11" ht="12.75" customHeight="1">
      <c r="A3" s="1422"/>
      <c r="B3" s="1554"/>
      <c r="C3" s="1422"/>
      <c r="D3" s="1422"/>
      <c r="E3" s="1422"/>
      <c r="F3" s="1422"/>
      <c r="G3" s="1422"/>
      <c r="H3" s="1422"/>
      <c r="I3" s="1422"/>
      <c r="J3" s="1422"/>
      <c r="K3" s="1422"/>
    </row>
    <row r="4" spans="1:11" ht="12.75" customHeight="1">
      <c r="A4" s="1422"/>
      <c r="B4" s="1555" t="s">
        <v>5419</v>
      </c>
      <c r="C4" s="1422"/>
      <c r="D4" s="1422"/>
      <c r="E4" s="1555" t="s">
        <v>5420</v>
      </c>
      <c r="G4" s="1422"/>
      <c r="H4" s="1422"/>
    </row>
    <row r="5" spans="1:11" ht="12.75" customHeight="1">
      <c r="A5" s="1422"/>
      <c r="B5" s="1556" t="s">
        <v>5421</v>
      </c>
      <c r="C5" s="1556"/>
      <c r="D5" s="1422"/>
      <c r="E5" s="1384" t="s">
        <v>5422</v>
      </c>
      <c r="F5" s="1384" t="s">
        <v>3375</v>
      </c>
      <c r="G5" s="1384"/>
      <c r="H5" s="1557"/>
      <c r="I5" s="1384" t="s">
        <v>3403</v>
      </c>
      <c r="J5" s="1384" t="s">
        <v>5423</v>
      </c>
      <c r="K5" s="1384"/>
    </row>
    <row r="6" spans="1:11" ht="12.75" customHeight="1">
      <c r="A6" s="1422"/>
      <c r="B6" s="1556" t="s">
        <v>5424</v>
      </c>
      <c r="C6" s="1556"/>
      <c r="D6" s="1422"/>
      <c r="E6" s="1384"/>
      <c r="F6" s="1384" t="s">
        <v>23</v>
      </c>
      <c r="G6" s="1384"/>
      <c r="H6" s="1557"/>
      <c r="I6" s="1384"/>
      <c r="J6" s="1384" t="s">
        <v>3375</v>
      </c>
      <c r="K6" s="1384"/>
    </row>
    <row r="7" spans="1:11" ht="12.75" customHeight="1">
      <c r="A7" s="1422"/>
      <c r="B7" s="1556" t="s">
        <v>5425</v>
      </c>
      <c r="C7" s="1556"/>
      <c r="D7" s="1422"/>
      <c r="E7" s="1384"/>
      <c r="F7" s="1384" t="s">
        <v>23</v>
      </c>
      <c r="G7" s="1384"/>
      <c r="H7" s="1557"/>
      <c r="I7" s="1384"/>
      <c r="J7" s="1384" t="s">
        <v>23</v>
      </c>
      <c r="K7" s="1384"/>
    </row>
    <row r="8" spans="1:11" ht="12.75" customHeight="1">
      <c r="A8" s="1422"/>
      <c r="B8" s="1556" t="s">
        <v>5426</v>
      </c>
      <c r="C8" s="1556"/>
      <c r="D8" s="1422"/>
      <c r="E8" s="1384"/>
      <c r="F8" s="289" t="s">
        <v>21</v>
      </c>
      <c r="G8" s="1384"/>
      <c r="H8" s="1557"/>
      <c r="I8" s="1384"/>
      <c r="J8" s="1384" t="s">
        <v>21</v>
      </c>
      <c r="K8" s="1384"/>
    </row>
    <row r="9" spans="1:11" ht="12.75" customHeight="1">
      <c r="A9" s="1422"/>
      <c r="B9" s="1556" t="s">
        <v>5427</v>
      </c>
      <c r="C9" s="1556"/>
      <c r="D9" s="1422"/>
      <c r="E9" s="1384"/>
      <c r="F9" s="289" t="s">
        <v>21</v>
      </c>
      <c r="G9" s="1384"/>
      <c r="H9" s="1557"/>
      <c r="I9" s="1384"/>
      <c r="J9" s="1384" t="s">
        <v>5423</v>
      </c>
      <c r="K9" s="1384"/>
    </row>
    <row r="10" spans="1:11" ht="12.75" customHeight="1">
      <c r="A10" s="1422"/>
      <c r="B10" s="1556" t="s">
        <v>5428</v>
      </c>
      <c r="C10" s="1556"/>
      <c r="D10" s="1422"/>
      <c r="E10" s="1384"/>
      <c r="F10" s="1384"/>
      <c r="G10" s="1384"/>
      <c r="H10" s="1557"/>
      <c r="I10" s="1384"/>
      <c r="J10" s="1384" t="s">
        <v>3375</v>
      </c>
      <c r="K10" s="1384"/>
    </row>
    <row r="11" spans="1:11" ht="12.75" customHeight="1">
      <c r="A11" s="1422"/>
      <c r="B11" s="1556" t="s">
        <v>5429</v>
      </c>
      <c r="C11" s="1556"/>
      <c r="D11" s="1422"/>
      <c r="E11" s="1384" t="s">
        <v>5430</v>
      </c>
      <c r="F11" s="1384" t="s">
        <v>3375</v>
      </c>
      <c r="G11" s="1384"/>
      <c r="H11" s="1557"/>
      <c r="I11" s="1384"/>
      <c r="J11" s="1384" t="s">
        <v>23</v>
      </c>
      <c r="K11" s="1384"/>
    </row>
    <row r="12" spans="1:11" ht="12.75" customHeight="1">
      <c r="A12" s="1422"/>
      <c r="B12" s="1556" t="s">
        <v>3403</v>
      </c>
      <c r="C12" s="1556"/>
      <c r="D12" s="1422"/>
      <c r="E12" s="1384"/>
      <c r="F12" s="1384" t="s">
        <v>23</v>
      </c>
      <c r="G12" s="1384"/>
      <c r="H12" s="1557"/>
      <c r="I12" s="1384"/>
      <c r="J12" s="1384" t="s">
        <v>21</v>
      </c>
      <c r="K12" s="1384"/>
    </row>
    <row r="13" spans="1:11" ht="12.75" customHeight="1">
      <c r="A13" s="1422"/>
      <c r="B13" s="1556" t="s">
        <v>3403</v>
      </c>
      <c r="C13" s="1556"/>
      <c r="D13" s="1422"/>
      <c r="E13" s="1384"/>
      <c r="F13" s="1384" t="s">
        <v>23</v>
      </c>
      <c r="G13" s="1384"/>
      <c r="H13" s="1557"/>
      <c r="I13" s="1384"/>
      <c r="J13" s="1384" t="s">
        <v>5423</v>
      </c>
      <c r="K13" s="1384"/>
    </row>
    <row r="14" spans="1:11" ht="12.75" customHeight="1">
      <c r="A14" s="1422"/>
      <c r="B14" s="1558"/>
      <c r="C14" s="1422"/>
      <c r="D14" s="1422"/>
      <c r="E14" s="1384"/>
      <c r="F14" s="289" t="s">
        <v>21</v>
      </c>
      <c r="G14" s="1384"/>
      <c r="H14" s="1557"/>
      <c r="I14" s="1384"/>
      <c r="J14" s="1384" t="s">
        <v>3375</v>
      </c>
      <c r="K14" s="1384"/>
    </row>
    <row r="15" spans="1:11" ht="12.75" customHeight="1">
      <c r="A15" s="1422"/>
      <c r="B15" s="1559" t="s">
        <v>3403</v>
      </c>
      <c r="C15" s="1422"/>
      <c r="D15" s="1422"/>
      <c r="E15" s="1384"/>
      <c r="F15" s="289" t="s">
        <v>21</v>
      </c>
      <c r="G15" s="1384"/>
      <c r="H15" s="1557"/>
      <c r="I15" s="1384"/>
      <c r="J15" s="1384" t="s">
        <v>23</v>
      </c>
      <c r="K15" s="1384"/>
    </row>
    <row r="16" spans="1:11" ht="12.75" hidden="1" customHeight="1" outlineLevel="1">
      <c r="A16" s="1422"/>
      <c r="B16" s="1555" t="s">
        <v>5419</v>
      </c>
      <c r="C16" s="1422"/>
      <c r="D16" s="1422"/>
      <c r="F16" s="1552"/>
      <c r="G16" s="1422"/>
      <c r="H16" s="1422"/>
      <c r="J16" s="1" t="s">
        <v>21</v>
      </c>
    </row>
    <row r="17" spans="1:13" ht="12.75" hidden="1" customHeight="1" outlineLevel="1">
      <c r="A17" s="1422"/>
      <c r="B17" s="1556" t="s">
        <v>5431</v>
      </c>
      <c r="C17" s="1384"/>
      <c r="D17" s="1422"/>
      <c r="F17" s="1552"/>
      <c r="G17" s="1422"/>
      <c r="H17" s="1422"/>
      <c r="J17" s="1422"/>
    </row>
    <row r="18" spans="1:13" ht="12.75" hidden="1" customHeight="1" outlineLevel="1">
      <c r="A18" s="1422"/>
      <c r="B18" s="1556" t="s">
        <v>5432</v>
      </c>
      <c r="C18" s="1384"/>
      <c r="D18" s="1422"/>
      <c r="F18" s="1552"/>
      <c r="G18" s="1422"/>
      <c r="H18" s="1422"/>
      <c r="J18" s="1422"/>
    </row>
    <row r="19" spans="1:13" ht="12.75" hidden="1" customHeight="1" outlineLevel="1">
      <c r="A19" s="1422"/>
      <c r="B19" s="1556" t="s">
        <v>5433</v>
      </c>
      <c r="C19" s="1384"/>
      <c r="D19" s="1422"/>
      <c r="F19" s="1552"/>
      <c r="G19" s="1422"/>
      <c r="H19" s="1422"/>
      <c r="J19" s="1422"/>
    </row>
    <row r="20" spans="1:13" ht="12.75" hidden="1" customHeight="1" outlineLevel="1">
      <c r="A20" s="1422"/>
      <c r="B20" s="1556" t="s">
        <v>5434</v>
      </c>
      <c r="C20" s="1384"/>
      <c r="D20" s="1422"/>
      <c r="F20" s="1552"/>
      <c r="G20" s="1422"/>
      <c r="H20" s="1422"/>
      <c r="I20" s="1422"/>
      <c r="J20" s="1422"/>
    </row>
    <row r="21" spans="1:13" ht="12.75" hidden="1" customHeight="1" outlineLevel="1">
      <c r="A21" s="1422"/>
      <c r="B21" s="1556" t="s">
        <v>5435</v>
      </c>
      <c r="C21" s="1384"/>
      <c r="D21" s="1422"/>
      <c r="F21" s="1552"/>
    </row>
    <row r="22" spans="1:13" ht="12.75" hidden="1" customHeight="1" outlineLevel="1">
      <c r="A22" s="1422"/>
      <c r="B22" s="1556" t="s">
        <v>3403</v>
      </c>
      <c r="C22" s="1384"/>
      <c r="D22" s="1422"/>
      <c r="F22" s="1552"/>
    </row>
    <row r="23" spans="1:13" ht="12.75" hidden="1" customHeight="1" outlineLevel="1">
      <c r="A23" s="1422"/>
      <c r="B23" s="1556" t="s">
        <v>3403</v>
      </c>
      <c r="C23" s="1384"/>
      <c r="D23" s="1422"/>
      <c r="F23" s="1552"/>
    </row>
    <row r="24" spans="1:13" ht="12.75" hidden="1" customHeight="1" outlineLevel="1">
      <c r="A24" s="1422"/>
      <c r="B24" s="1556" t="s">
        <v>3403</v>
      </c>
      <c r="C24" s="1384"/>
      <c r="D24" s="1422"/>
      <c r="F24" s="1552"/>
      <c r="K24" s="1554"/>
      <c r="L24" s="1554"/>
      <c r="M24" s="1554"/>
    </row>
    <row r="25" spans="1:13" ht="12.75" hidden="1" customHeight="1" outlineLevel="1">
      <c r="A25" s="1422"/>
      <c r="B25" s="1556" t="s">
        <v>3403</v>
      </c>
      <c r="C25" s="1384"/>
      <c r="D25" s="1422"/>
      <c r="E25" s="1558"/>
      <c r="F25" s="1422"/>
      <c r="G25" s="1422"/>
      <c r="H25" s="1422"/>
      <c r="I25" s="1558"/>
      <c r="J25" s="1422"/>
    </row>
    <row r="26" spans="1:13" ht="12.75" hidden="1" customHeight="1" outlineLevel="1">
      <c r="A26" s="1422"/>
      <c r="B26" s="1556" t="s">
        <v>3403</v>
      </c>
      <c r="C26" s="1384"/>
      <c r="D26" s="1422"/>
      <c r="E26" s="1558"/>
      <c r="F26" s="1422"/>
      <c r="G26" s="1422"/>
      <c r="H26" s="1422"/>
      <c r="I26" s="1558"/>
      <c r="J26" s="1422"/>
    </row>
    <row r="27" spans="1:13" ht="12.75" hidden="1" customHeight="1" outlineLevel="1">
      <c r="A27" s="1422"/>
      <c r="B27" s="1556" t="s">
        <v>3403</v>
      </c>
      <c r="C27" s="1384"/>
      <c r="D27" s="1422"/>
      <c r="E27" s="1558"/>
      <c r="F27" s="1422"/>
      <c r="G27" s="1422"/>
      <c r="H27" s="1422"/>
      <c r="I27" s="1558"/>
      <c r="J27" s="1422"/>
    </row>
    <row r="28" spans="1:13" ht="12.75" hidden="1" customHeight="1" outlineLevel="1">
      <c r="A28" s="1422"/>
      <c r="B28" s="1556" t="s">
        <v>3403</v>
      </c>
      <c r="C28" s="1384"/>
      <c r="D28" s="1422"/>
      <c r="E28" s="1558"/>
      <c r="F28" s="1422"/>
      <c r="G28" s="1422"/>
      <c r="H28" s="1422"/>
      <c r="I28" s="1558"/>
      <c r="J28" s="1422"/>
    </row>
    <row r="29" spans="1:13" ht="12.75" hidden="1" customHeight="1" outlineLevel="1">
      <c r="A29" s="1422"/>
      <c r="B29" s="1556" t="s">
        <v>3403</v>
      </c>
      <c r="C29" s="1384"/>
      <c r="D29" s="1422"/>
      <c r="E29" s="1558"/>
      <c r="F29" s="1422"/>
      <c r="G29" s="1422"/>
      <c r="H29" s="1422"/>
      <c r="I29" s="1558"/>
      <c r="J29" s="1422"/>
    </row>
    <row r="30" spans="1:13" ht="12.75" hidden="1" customHeight="1" outlineLevel="1">
      <c r="A30" s="1422"/>
      <c r="B30" s="1556" t="s">
        <v>3403</v>
      </c>
      <c r="C30" s="1384"/>
      <c r="D30" s="1422"/>
      <c r="E30" s="1558"/>
      <c r="F30" s="1422"/>
      <c r="G30" s="1422"/>
      <c r="H30" s="1422"/>
      <c r="I30" s="1558"/>
      <c r="J30" s="1422"/>
    </row>
    <row r="31" spans="1:13" ht="12.75" hidden="1" customHeight="1" outlineLevel="1">
      <c r="A31" s="1422"/>
      <c r="B31" s="1556" t="s">
        <v>3403</v>
      </c>
      <c r="C31" s="1384"/>
      <c r="D31" s="1422"/>
      <c r="E31" s="1558"/>
      <c r="F31" s="1422"/>
      <c r="G31" s="1422"/>
      <c r="H31" s="1422"/>
      <c r="I31" s="1558"/>
      <c r="J31" s="1422"/>
    </row>
    <row r="32" spans="1:13" ht="12.75" hidden="1" customHeight="1" outlineLevel="1">
      <c r="A32" s="1422"/>
      <c r="B32" s="1555" t="s">
        <v>5436</v>
      </c>
      <c r="C32" s="1422"/>
      <c r="D32" s="1422"/>
      <c r="E32" s="1558"/>
      <c r="F32" s="1422"/>
      <c r="G32" s="1422"/>
      <c r="H32" s="1422"/>
      <c r="I32" s="1558"/>
      <c r="J32" s="1422"/>
    </row>
    <row r="33" spans="1:10" ht="12.75" hidden="1" customHeight="1" outlineLevel="1">
      <c r="A33" s="1422"/>
      <c r="B33" s="1556" t="s">
        <v>5437</v>
      </c>
      <c r="C33" s="1384"/>
      <c r="D33" s="1422"/>
      <c r="E33" s="1558"/>
      <c r="F33" s="1422"/>
      <c r="G33" s="1422"/>
      <c r="H33" s="1422"/>
      <c r="I33" s="1558"/>
      <c r="J33" s="1422"/>
    </row>
    <row r="34" spans="1:10" ht="12.75" hidden="1" customHeight="1" outlineLevel="1">
      <c r="A34" s="1422"/>
      <c r="B34" s="1556" t="s">
        <v>5438</v>
      </c>
      <c r="C34" s="1384"/>
      <c r="D34" s="1422"/>
      <c r="E34" s="1558"/>
      <c r="F34" s="1422"/>
      <c r="G34" s="1422"/>
      <c r="H34" s="1422"/>
      <c r="I34" s="1558"/>
      <c r="J34" s="1422"/>
    </row>
    <row r="35" spans="1:10" ht="12.75" hidden="1" customHeight="1" outlineLevel="1">
      <c r="A35" s="1422"/>
      <c r="B35" s="1556" t="s">
        <v>5439</v>
      </c>
      <c r="C35" s="1384"/>
      <c r="D35" s="1422"/>
      <c r="E35" s="1558"/>
      <c r="F35" s="1422"/>
      <c r="G35" s="1422"/>
      <c r="H35" s="1422"/>
      <c r="I35" s="1558"/>
      <c r="J35" s="1422"/>
    </row>
    <row r="36" spans="1:10" ht="12.75" hidden="1" customHeight="1" outlineLevel="1">
      <c r="A36" s="1422"/>
      <c r="B36" s="1556" t="s">
        <v>5440</v>
      </c>
      <c r="C36" s="1384"/>
      <c r="D36" s="1422"/>
      <c r="E36" s="1558"/>
      <c r="F36" s="1422"/>
      <c r="G36" s="1422"/>
      <c r="H36" s="1422"/>
      <c r="I36" s="1558"/>
      <c r="J36" s="1422"/>
    </row>
    <row r="37" spans="1:10" ht="12.75" hidden="1" customHeight="1" outlineLevel="1">
      <c r="A37" s="1422"/>
      <c r="B37" s="1556" t="s">
        <v>5441</v>
      </c>
      <c r="C37" s="1384"/>
      <c r="D37" s="1422"/>
      <c r="E37" s="1558"/>
      <c r="F37" s="1422"/>
      <c r="G37" s="1422"/>
      <c r="H37" s="1422"/>
      <c r="I37" s="1558"/>
      <c r="J37" s="1422"/>
    </row>
    <row r="38" spans="1:10" ht="12.75" hidden="1" customHeight="1" outlineLevel="1">
      <c r="A38" s="1422"/>
      <c r="B38" s="1556" t="s">
        <v>5442</v>
      </c>
      <c r="C38" s="1384"/>
      <c r="D38" s="1422"/>
      <c r="E38" s="1558"/>
      <c r="F38" s="1422"/>
      <c r="G38" s="1422"/>
      <c r="H38" s="1422"/>
      <c r="I38" s="1558"/>
      <c r="J38" s="1422"/>
    </row>
    <row r="39" spans="1:10" ht="12.75" hidden="1" customHeight="1" outlineLevel="1">
      <c r="A39" s="1422"/>
      <c r="B39" s="1556" t="s">
        <v>5443</v>
      </c>
      <c r="C39" s="1384"/>
      <c r="D39" s="1422"/>
      <c r="E39" s="1558"/>
      <c r="F39" s="1422"/>
      <c r="G39" s="1422"/>
      <c r="H39" s="1422"/>
      <c r="I39" s="1558"/>
      <c r="J39" s="1422"/>
    </row>
    <row r="40" spans="1:10" ht="12.75" hidden="1" customHeight="1" outlineLevel="1">
      <c r="A40" s="1422"/>
      <c r="B40" s="1556" t="s">
        <v>5444</v>
      </c>
      <c r="C40" s="1384"/>
      <c r="D40" s="1422"/>
      <c r="E40" s="1558"/>
      <c r="F40" s="1422"/>
      <c r="G40" s="1422"/>
      <c r="H40" s="1422"/>
      <c r="I40" s="1558"/>
      <c r="J40" s="1422"/>
    </row>
    <row r="41" spans="1:10" ht="12.75" hidden="1" customHeight="1" outlineLevel="1">
      <c r="A41" s="1422"/>
      <c r="B41" s="1556" t="s">
        <v>5445</v>
      </c>
      <c r="C41" s="1384"/>
      <c r="D41" s="1422"/>
      <c r="E41" s="1558"/>
      <c r="F41" s="1422"/>
      <c r="G41" s="1422"/>
      <c r="H41" s="1422"/>
      <c r="I41" s="1558"/>
      <c r="J41" s="1422"/>
    </row>
    <row r="42" spans="1:10" ht="12.75" hidden="1" customHeight="1" outlineLevel="1">
      <c r="A42" s="1422"/>
      <c r="B42" s="1556" t="s">
        <v>5446</v>
      </c>
      <c r="C42" s="1384"/>
      <c r="D42" s="1422"/>
      <c r="E42" s="1558"/>
      <c r="F42" s="1422"/>
      <c r="G42" s="1422"/>
      <c r="H42" s="1422"/>
      <c r="I42" s="1558"/>
      <c r="J42" s="1422"/>
    </row>
    <row r="43" spans="1:10" ht="12.75" hidden="1" customHeight="1" outlineLevel="1">
      <c r="A43" s="1422"/>
      <c r="B43" s="1556" t="s">
        <v>5447</v>
      </c>
      <c r="C43" s="1384"/>
      <c r="D43" s="1422"/>
      <c r="E43" s="1558"/>
      <c r="F43" s="1422"/>
      <c r="G43" s="1422"/>
      <c r="H43" s="1422"/>
      <c r="I43" s="1558"/>
      <c r="J43" s="1422"/>
    </row>
    <row r="44" spans="1:10" ht="12.75" hidden="1" customHeight="1" outlineLevel="1">
      <c r="A44" s="1422"/>
      <c r="B44" s="1556" t="s">
        <v>5448</v>
      </c>
      <c r="C44" s="1384"/>
      <c r="D44" s="1422"/>
      <c r="E44" s="1558"/>
      <c r="F44" s="1422"/>
      <c r="G44" s="1422"/>
      <c r="H44" s="1422"/>
      <c r="I44" s="1558"/>
      <c r="J44" s="1422"/>
    </row>
    <row r="45" spans="1:10" ht="12.75" hidden="1" customHeight="1" outlineLevel="1">
      <c r="A45" s="1422"/>
      <c r="B45" s="1556" t="s">
        <v>3403</v>
      </c>
      <c r="C45" s="1384"/>
      <c r="D45" s="1422"/>
      <c r="E45" s="1558"/>
      <c r="F45" s="1422"/>
      <c r="G45" s="1422"/>
      <c r="H45" s="1422"/>
      <c r="I45" s="1558"/>
      <c r="J45" s="1422"/>
    </row>
    <row r="46" spans="1:10" ht="12.75" hidden="1" customHeight="1" outlineLevel="1">
      <c r="A46" s="1422"/>
      <c r="B46" s="1556" t="s">
        <v>3403</v>
      </c>
      <c r="C46" s="1384"/>
      <c r="D46" s="1422"/>
      <c r="E46" s="1558"/>
      <c r="F46" s="1422"/>
      <c r="G46" s="1422"/>
      <c r="H46" s="1422"/>
      <c r="I46" s="1558"/>
      <c r="J46" s="1422"/>
    </row>
    <row r="47" spans="1:10" ht="12.75" hidden="1" customHeight="1" outlineLevel="1">
      <c r="A47" s="1422"/>
      <c r="B47" s="1556" t="s">
        <v>3403</v>
      </c>
      <c r="C47" s="1384"/>
      <c r="D47" s="1422"/>
      <c r="E47" s="1558"/>
      <c r="F47" s="1422"/>
      <c r="G47" s="1422"/>
      <c r="H47" s="1422"/>
      <c r="I47" s="1558"/>
      <c r="J47" s="1422"/>
    </row>
    <row r="48" spans="1:10" ht="12.75" customHeight="1" collapsed="1">
      <c r="A48" s="1422"/>
      <c r="B48" s="1558"/>
      <c r="C48" s="1422"/>
      <c r="D48" s="1422"/>
      <c r="E48" s="1558"/>
      <c r="F48" s="1422"/>
      <c r="G48" s="1422"/>
      <c r="H48" s="1422"/>
      <c r="I48" s="1558"/>
      <c r="J48" s="1422"/>
    </row>
    <row r="49" spans="1:26" ht="12.75" customHeight="1">
      <c r="A49" s="1422"/>
      <c r="B49" s="1555" t="s">
        <v>5449</v>
      </c>
      <c r="C49" s="1422"/>
      <c r="D49" s="1422"/>
      <c r="E49" s="1560" t="s">
        <v>5450</v>
      </c>
      <c r="F49" s="1561"/>
      <c r="G49" s="1562"/>
      <c r="H49" s="1562"/>
      <c r="I49" s="1562"/>
      <c r="J49" s="1562"/>
      <c r="K49" s="1563"/>
    </row>
    <row r="50" spans="1:26" ht="12.75" customHeight="1">
      <c r="A50" s="1422"/>
      <c r="B50" s="1564" t="s">
        <v>5451</v>
      </c>
      <c r="C50" s="1556"/>
      <c r="D50" s="1422"/>
      <c r="E50" s="1565" t="s">
        <v>5452</v>
      </c>
      <c r="F50" s="1566"/>
      <c r="G50" s="1566"/>
      <c r="H50" s="1566"/>
      <c r="I50" s="1566"/>
      <c r="J50" s="1566"/>
      <c r="K50" s="1567"/>
    </row>
    <row r="51" spans="1:26" ht="12.75" customHeight="1">
      <c r="A51" s="1422"/>
      <c r="B51" s="1556" t="s">
        <v>5453</v>
      </c>
      <c r="C51" s="1384"/>
      <c r="D51" s="1422"/>
      <c r="E51" s="1565" t="s">
        <v>5454</v>
      </c>
      <c r="F51" s="1566"/>
      <c r="G51" s="1566"/>
      <c r="H51" s="1566"/>
      <c r="I51" s="1566"/>
      <c r="J51" s="1566"/>
      <c r="K51" s="1567"/>
    </row>
    <row r="52" spans="1:26" ht="12.75" customHeight="1">
      <c r="A52" s="1422"/>
      <c r="B52" s="1384" t="s">
        <v>5455</v>
      </c>
      <c r="C52" s="1384"/>
      <c r="D52" s="1422"/>
      <c r="E52" s="1565" t="s">
        <v>5456</v>
      </c>
      <c r="F52" s="1566"/>
      <c r="G52" s="1566"/>
      <c r="H52" s="1566"/>
      <c r="I52" s="1566"/>
      <c r="J52" s="1566"/>
      <c r="K52" s="1567"/>
    </row>
    <row r="53" spans="1:26" ht="12.75" customHeight="1">
      <c r="A53" s="1422"/>
      <c r="B53" s="1384" t="s">
        <v>5457</v>
      </c>
      <c r="C53" s="1384"/>
      <c r="D53" s="1422"/>
      <c r="E53" s="1568"/>
      <c r="F53" s="1552"/>
      <c r="G53" s="1422"/>
      <c r="H53" s="1422"/>
      <c r="I53" s="1422"/>
      <c r="J53" s="1422"/>
      <c r="K53" s="1567"/>
    </row>
    <row r="54" spans="1:26" ht="12.75" customHeight="1">
      <c r="A54" s="1422"/>
      <c r="B54" s="1384" t="s">
        <v>5458</v>
      </c>
      <c r="C54" s="1384"/>
      <c r="D54" s="1422"/>
      <c r="E54" s="1568"/>
      <c r="F54" s="1552"/>
      <c r="G54" s="1422"/>
      <c r="H54" s="1422"/>
      <c r="I54" s="1422"/>
      <c r="J54" s="1422"/>
      <c r="K54" s="1567"/>
    </row>
    <row r="55" spans="1:26" ht="12.75" customHeight="1">
      <c r="A55" s="1422"/>
      <c r="B55" s="1564" t="s">
        <v>5459</v>
      </c>
      <c r="C55" s="1384"/>
      <c r="D55" s="1422"/>
      <c r="E55" s="1568"/>
      <c r="F55" s="1552"/>
      <c r="G55" s="1422"/>
      <c r="H55" s="1422"/>
      <c r="I55" s="1422"/>
      <c r="J55" s="1422"/>
      <c r="K55" s="1567"/>
    </row>
    <row r="56" spans="1:26" ht="12.75" customHeight="1">
      <c r="A56" s="1422"/>
      <c r="B56" s="1384" t="s">
        <v>5460</v>
      </c>
      <c r="C56" s="1384"/>
      <c r="D56" s="1422"/>
      <c r="E56" s="1568"/>
      <c r="F56" s="1552"/>
      <c r="G56" s="1422"/>
      <c r="H56" s="1422"/>
      <c r="I56" s="1422"/>
      <c r="J56" s="1422"/>
      <c r="K56" s="1567"/>
    </row>
    <row r="57" spans="1:26" ht="12.75" customHeight="1">
      <c r="A57" s="1422"/>
      <c r="B57" s="1384" t="s">
        <v>5461</v>
      </c>
      <c r="C57" s="1384"/>
      <c r="D57" s="1422"/>
      <c r="E57" s="1568"/>
      <c r="F57" s="1552"/>
      <c r="G57" s="1422"/>
      <c r="H57" s="1422"/>
      <c r="I57" s="1422"/>
      <c r="J57" s="1422"/>
      <c r="K57" s="1567"/>
    </row>
    <row r="58" spans="1:26" ht="12.75" customHeight="1">
      <c r="A58" s="1554"/>
      <c r="B58" s="1384" t="s">
        <v>5462</v>
      </c>
      <c r="C58" s="1384"/>
      <c r="D58" s="1554"/>
      <c r="E58" s="1568"/>
      <c r="F58" s="1552"/>
      <c r="G58" s="1422"/>
      <c r="H58" s="1422"/>
      <c r="I58" s="1422"/>
      <c r="J58" s="1422"/>
      <c r="K58" s="1567"/>
    </row>
    <row r="59" spans="1:26" ht="12.75" customHeight="1">
      <c r="A59" s="1422"/>
      <c r="B59" s="1384" t="s">
        <v>5463</v>
      </c>
      <c r="C59" s="1384"/>
      <c r="D59" s="1552"/>
      <c r="E59" s="1568"/>
      <c r="F59" s="1552"/>
      <c r="G59" s="1422"/>
      <c r="H59" s="1422"/>
      <c r="I59" s="1422"/>
      <c r="J59" s="1422"/>
      <c r="K59" s="1567"/>
    </row>
    <row r="60" spans="1:26" ht="12.75" customHeight="1">
      <c r="A60" s="1422"/>
      <c r="B60" s="1384" t="s">
        <v>5464</v>
      </c>
      <c r="C60" s="1384"/>
      <c r="D60" s="1552"/>
      <c r="E60" s="1568"/>
      <c r="F60" s="1552"/>
      <c r="G60" s="1422"/>
      <c r="H60" s="1422"/>
      <c r="I60" s="1422"/>
      <c r="J60" s="1422"/>
      <c r="K60" s="1567"/>
    </row>
    <row r="61" spans="1:26" ht="12.75" customHeight="1">
      <c r="A61" s="1422"/>
      <c r="B61" s="1384" t="s">
        <v>5465</v>
      </c>
      <c r="C61" s="1384"/>
      <c r="D61" s="1552"/>
      <c r="E61" s="1569"/>
      <c r="F61" s="1554"/>
      <c r="G61" s="1554"/>
      <c r="H61" s="1554"/>
      <c r="I61" s="1554"/>
      <c r="J61" s="1554"/>
      <c r="K61" s="1570"/>
      <c r="L61" s="1554"/>
      <c r="M61" s="1554"/>
      <c r="N61" s="1554"/>
      <c r="O61" s="1554"/>
      <c r="P61" s="1554"/>
      <c r="Q61" s="1554"/>
      <c r="R61" s="1554"/>
      <c r="S61" s="1554"/>
      <c r="T61" s="1554"/>
      <c r="U61" s="1554"/>
      <c r="V61" s="1554"/>
      <c r="W61" s="1554"/>
      <c r="X61" s="1554"/>
      <c r="Y61" s="1554"/>
      <c r="Z61" s="1554"/>
    </row>
    <row r="62" spans="1:26" ht="12.75" customHeight="1">
      <c r="A62" s="1422"/>
      <c r="B62" s="1384" t="s">
        <v>5466</v>
      </c>
      <c r="C62" s="1384"/>
      <c r="D62" s="1422"/>
      <c r="E62" s="1565"/>
      <c r="F62" s="1566"/>
      <c r="G62" s="1566"/>
      <c r="H62" s="1566"/>
      <c r="I62" s="1566"/>
      <c r="J62" s="1566"/>
      <c r="K62" s="1567"/>
    </row>
    <row r="63" spans="1:26" ht="14.25" customHeight="1">
      <c r="A63" s="1422"/>
      <c r="B63" s="1384" t="s">
        <v>5467</v>
      </c>
      <c r="C63" s="1384"/>
      <c r="D63" s="1422"/>
      <c r="E63" s="1565"/>
      <c r="F63" s="1566"/>
      <c r="G63" s="1566"/>
      <c r="H63" s="1566"/>
      <c r="I63" s="1566"/>
      <c r="J63" s="1566"/>
      <c r="K63" s="1567"/>
    </row>
    <row r="64" spans="1:26" ht="14.25" customHeight="1">
      <c r="A64" s="1422"/>
      <c r="B64" s="1564" t="s">
        <v>3403</v>
      </c>
      <c r="C64" s="1384"/>
      <c r="D64" s="1422"/>
      <c r="E64" s="1565"/>
      <c r="F64" s="1566"/>
      <c r="G64" s="1566"/>
      <c r="H64" s="1566"/>
      <c r="I64" s="1566"/>
      <c r="J64" s="1566"/>
      <c r="K64" s="1567"/>
    </row>
    <row r="65" spans="1:26" ht="14.25" hidden="1" customHeight="1" outlineLevel="1">
      <c r="A65" s="1422"/>
      <c r="B65" s="1556" t="s">
        <v>5468</v>
      </c>
      <c r="C65" s="1384"/>
      <c r="D65" s="1552"/>
      <c r="E65" s="1565"/>
      <c r="F65" s="1566"/>
      <c r="G65" s="1566"/>
      <c r="H65" s="1566"/>
      <c r="I65" s="1566"/>
      <c r="J65" s="1566"/>
      <c r="K65" s="1567"/>
    </row>
    <row r="66" spans="1:26" ht="12.75" hidden="1" customHeight="1" outlineLevel="1">
      <c r="A66" s="1422"/>
      <c r="B66" s="1556" t="s">
        <v>5469</v>
      </c>
      <c r="C66" s="1384"/>
      <c r="D66" s="1552"/>
      <c r="E66" s="1565"/>
      <c r="F66" s="1566"/>
      <c r="G66" s="1566"/>
      <c r="H66" s="1566"/>
      <c r="I66" s="1566"/>
      <c r="J66" s="1566"/>
      <c r="K66" s="1567"/>
    </row>
    <row r="67" spans="1:26" ht="14.25" hidden="1" customHeight="1" outlineLevel="1">
      <c r="A67" s="1552"/>
      <c r="B67" s="1556" t="s">
        <v>5470</v>
      </c>
      <c r="C67" s="1384"/>
      <c r="D67" s="1552"/>
      <c r="E67" s="1565"/>
      <c r="F67" s="1566"/>
      <c r="G67" s="1566"/>
      <c r="H67" s="1566"/>
      <c r="I67" s="1566"/>
      <c r="J67" s="1566"/>
      <c r="K67" s="1567"/>
    </row>
    <row r="68" spans="1:26" ht="12.75" hidden="1" customHeight="1" outlineLevel="1">
      <c r="A68" s="1552"/>
      <c r="B68" s="1556" t="s">
        <v>5471</v>
      </c>
      <c r="C68" s="1384"/>
      <c r="D68" s="1422"/>
      <c r="E68" s="1565"/>
      <c r="F68" s="1566"/>
      <c r="G68" s="1566"/>
      <c r="H68" s="1566"/>
      <c r="I68" s="1566"/>
      <c r="J68" s="1566"/>
      <c r="K68" s="1567"/>
    </row>
    <row r="69" spans="1:26" ht="14.25" hidden="1" customHeight="1" outlineLevel="1">
      <c r="A69" s="1552"/>
      <c r="B69" s="1556" t="s">
        <v>5472</v>
      </c>
      <c r="C69" s="1384"/>
      <c r="D69" s="1422"/>
      <c r="E69" s="1565"/>
      <c r="F69" s="1566"/>
      <c r="G69" s="1566"/>
      <c r="H69" s="1566"/>
      <c r="I69" s="1566"/>
      <c r="J69" s="1566"/>
      <c r="K69" s="1567"/>
    </row>
    <row r="70" spans="1:26" ht="12.75" hidden="1" customHeight="1" outlineLevel="1">
      <c r="A70" s="1552"/>
      <c r="B70" s="1556" t="s">
        <v>5473</v>
      </c>
      <c r="C70" s="1384"/>
      <c r="D70" s="1422"/>
      <c r="E70" s="1565"/>
      <c r="F70" s="1566"/>
      <c r="G70" s="1566"/>
      <c r="H70" s="1566"/>
      <c r="I70" s="1566"/>
      <c r="J70" s="1566"/>
      <c r="K70" s="1567"/>
    </row>
    <row r="71" spans="1:26" ht="14.25" hidden="1" customHeight="1" outlineLevel="1">
      <c r="A71" s="1552"/>
      <c r="B71" s="1556" t="s">
        <v>5474</v>
      </c>
      <c r="C71" s="1384"/>
      <c r="D71" s="1422"/>
      <c r="E71" s="1565"/>
      <c r="F71" s="1566"/>
      <c r="G71" s="1566"/>
      <c r="H71" s="1566"/>
      <c r="I71" s="1566"/>
      <c r="J71" s="1566"/>
      <c r="K71" s="1567"/>
    </row>
    <row r="72" spans="1:26" ht="12.75" hidden="1" customHeight="1" outlineLevel="1">
      <c r="A72" s="1552"/>
      <c r="B72" s="1556" t="s">
        <v>3403</v>
      </c>
      <c r="C72" s="1384"/>
      <c r="D72" s="1422"/>
      <c r="E72" s="1565"/>
      <c r="F72" s="1566"/>
      <c r="G72" s="1566"/>
      <c r="H72" s="1566"/>
      <c r="I72" s="1566"/>
      <c r="J72" s="1566"/>
      <c r="K72" s="1567"/>
    </row>
    <row r="73" spans="1:26" ht="14.25" customHeight="1" collapsed="1">
      <c r="A73" s="1552"/>
      <c r="B73" s="1422"/>
      <c r="C73" s="1422"/>
      <c r="D73" s="1422"/>
      <c r="E73" s="1565"/>
      <c r="F73" s="1566"/>
      <c r="G73" s="1566"/>
      <c r="H73" s="1566"/>
      <c r="I73" s="1566"/>
      <c r="J73" s="1566"/>
      <c r="K73" s="1567"/>
    </row>
    <row r="74" spans="1:26" ht="14.25" customHeight="1">
      <c r="A74" s="1552"/>
      <c r="B74" s="1555" t="s">
        <v>5475</v>
      </c>
      <c r="C74" s="1422"/>
      <c r="D74" s="1422"/>
      <c r="E74" s="1565"/>
      <c r="F74" s="1566"/>
      <c r="G74" s="1566"/>
      <c r="H74" s="1566"/>
      <c r="I74" s="1566"/>
      <c r="J74" s="1566"/>
      <c r="K74" s="1567"/>
    </row>
    <row r="75" spans="1:26" ht="12.75" customHeight="1">
      <c r="A75" s="1552"/>
      <c r="B75" s="1571" t="s">
        <v>5476</v>
      </c>
      <c r="C75" s="1556"/>
      <c r="D75" s="1422"/>
      <c r="E75" s="1565"/>
      <c r="F75" s="1566"/>
      <c r="G75" s="1566"/>
      <c r="H75" s="1566"/>
      <c r="I75" s="1566"/>
      <c r="J75" s="1566"/>
      <c r="K75" s="1567"/>
      <c r="L75" s="1554"/>
      <c r="M75" s="1554"/>
      <c r="N75" s="1554"/>
      <c r="O75" s="1554"/>
      <c r="P75" s="1554"/>
      <c r="Q75" s="1554"/>
      <c r="R75" s="1554"/>
      <c r="S75" s="1554"/>
      <c r="T75" s="1554"/>
      <c r="U75" s="1554"/>
      <c r="V75" s="1554"/>
      <c r="W75" s="1554"/>
      <c r="X75" s="1554"/>
      <c r="Y75" s="1554"/>
      <c r="Z75" s="1554"/>
    </row>
    <row r="76" spans="1:26" ht="14.25" hidden="1" customHeight="1" outlineLevel="1">
      <c r="A76" s="1552"/>
      <c r="B76" s="1572" t="s">
        <v>5477</v>
      </c>
      <c r="C76" s="1384"/>
      <c r="D76" s="1422"/>
      <c r="E76" s="1565"/>
      <c r="F76" s="1566"/>
      <c r="G76" s="1566"/>
      <c r="H76" s="1566"/>
      <c r="I76" s="1566"/>
      <c r="J76" s="1566"/>
      <c r="K76" s="1570"/>
    </row>
    <row r="77" spans="1:26" ht="12.75" hidden="1" customHeight="1" outlineLevel="1">
      <c r="A77" s="1552"/>
      <c r="B77" s="1572" t="s">
        <v>5476</v>
      </c>
      <c r="C77" s="1384"/>
      <c r="D77" s="1422"/>
      <c r="E77" s="1565"/>
      <c r="F77" s="1566"/>
      <c r="G77" s="1566"/>
      <c r="H77" s="1566"/>
      <c r="I77" s="1566"/>
      <c r="J77" s="1566"/>
      <c r="K77" s="1567"/>
    </row>
    <row r="78" spans="1:26" ht="14.25" hidden="1" customHeight="1" outlineLevel="1">
      <c r="A78" s="1552"/>
      <c r="B78" s="1572" t="s">
        <v>5478</v>
      </c>
      <c r="C78" s="1384"/>
      <c r="D78" s="1422"/>
      <c r="E78" s="1565"/>
      <c r="F78" s="1566"/>
      <c r="G78" s="1566"/>
      <c r="H78" s="1566"/>
      <c r="I78" s="1566"/>
      <c r="J78" s="1566"/>
      <c r="K78" s="1567"/>
    </row>
    <row r="79" spans="1:26" ht="12.75" customHeight="1" collapsed="1">
      <c r="A79" s="1552"/>
      <c r="B79" s="1571" t="s">
        <v>5479</v>
      </c>
      <c r="C79" s="1556"/>
      <c r="D79" s="1422"/>
      <c r="E79" s="1565"/>
      <c r="F79" s="1566"/>
      <c r="G79" s="1566"/>
      <c r="H79" s="1566"/>
      <c r="I79" s="1566"/>
      <c r="J79" s="1566"/>
      <c r="K79" s="1567"/>
    </row>
    <row r="80" spans="1:26" ht="14.25" hidden="1" customHeight="1" outlineLevel="1">
      <c r="A80" s="1552"/>
      <c r="B80" s="1572" t="s">
        <v>5480</v>
      </c>
      <c r="C80" s="1384"/>
      <c r="D80" s="1422"/>
      <c r="E80" s="1565"/>
      <c r="F80" s="1566"/>
      <c r="G80" s="1566"/>
      <c r="H80" s="1566"/>
      <c r="I80" s="1566"/>
      <c r="J80" s="1566"/>
      <c r="K80" s="1567"/>
    </row>
    <row r="81" spans="1:26" ht="14.25" customHeight="1" collapsed="1">
      <c r="A81" s="1552"/>
      <c r="B81" s="1571" t="s">
        <v>5481</v>
      </c>
      <c r="C81" s="1556"/>
      <c r="D81" s="1422"/>
      <c r="E81" s="1565"/>
      <c r="F81" s="1566"/>
      <c r="G81" s="1566"/>
      <c r="H81" s="1566"/>
      <c r="I81" s="1566"/>
      <c r="J81" s="1566"/>
      <c r="K81" s="1567"/>
    </row>
    <row r="82" spans="1:26" ht="14.25" hidden="1" customHeight="1" outlineLevel="1">
      <c r="A82" s="1552"/>
      <c r="B82" s="1572" t="s">
        <v>5482</v>
      </c>
      <c r="C82" s="1384"/>
      <c r="D82" s="1422"/>
      <c r="E82" s="1565"/>
      <c r="F82" s="1566"/>
      <c r="G82" s="1566"/>
      <c r="H82" s="1566"/>
      <c r="I82" s="1566"/>
      <c r="J82" s="1566"/>
      <c r="K82" s="1567"/>
    </row>
    <row r="83" spans="1:26" ht="14.25" customHeight="1" collapsed="1">
      <c r="A83" s="1552"/>
      <c r="B83" s="1571" t="s">
        <v>5483</v>
      </c>
      <c r="C83" s="1556"/>
      <c r="D83" s="1422"/>
      <c r="E83" s="1565"/>
      <c r="F83" s="1566"/>
      <c r="G83" s="1566"/>
      <c r="H83" s="1566"/>
      <c r="I83" s="1566"/>
      <c r="J83" s="1566"/>
      <c r="K83" s="1567"/>
    </row>
    <row r="84" spans="1:26" ht="12.75" hidden="1" customHeight="1" outlineLevel="1">
      <c r="A84" s="1552"/>
      <c r="B84" s="1572" t="s">
        <v>5470</v>
      </c>
      <c r="C84" s="1384"/>
      <c r="D84" s="1422"/>
      <c r="E84" s="1565"/>
      <c r="F84" s="1566"/>
      <c r="G84" s="1566"/>
      <c r="H84" s="1566"/>
      <c r="I84" s="1566"/>
      <c r="J84" s="1566"/>
      <c r="K84" s="1567"/>
    </row>
    <row r="85" spans="1:26" ht="14.25" customHeight="1" collapsed="1">
      <c r="A85" s="1552"/>
      <c r="B85" s="1571" t="s">
        <v>5484</v>
      </c>
      <c r="C85" s="1556"/>
      <c r="D85" s="1422"/>
      <c r="E85" s="1565"/>
      <c r="F85" s="1566"/>
      <c r="G85" s="1566"/>
      <c r="H85" s="1566"/>
      <c r="I85" s="1566"/>
      <c r="J85" s="1566"/>
      <c r="K85" s="1567"/>
    </row>
    <row r="86" spans="1:26" ht="12.75" hidden="1" customHeight="1" outlineLevel="1">
      <c r="A86" s="1552"/>
      <c r="B86" s="1572" t="s">
        <v>5485</v>
      </c>
      <c r="C86" s="1384"/>
      <c r="D86" s="1422"/>
      <c r="E86" s="1565"/>
      <c r="F86" s="1566"/>
      <c r="G86" s="1566"/>
      <c r="H86" s="1566"/>
      <c r="I86" s="1566"/>
      <c r="J86" s="1566"/>
      <c r="K86" s="1567"/>
    </row>
    <row r="87" spans="1:26" ht="14.25" hidden="1" customHeight="1" outlineLevel="1">
      <c r="A87" s="1552"/>
      <c r="B87" s="1572" t="s">
        <v>5486</v>
      </c>
      <c r="C87" s="1384"/>
      <c r="D87" s="1422"/>
      <c r="E87" s="1565"/>
      <c r="F87" s="1566"/>
      <c r="G87" s="1566"/>
      <c r="H87" s="1566"/>
      <c r="I87" s="1566"/>
      <c r="J87" s="1566"/>
      <c r="K87" s="1567"/>
    </row>
    <row r="88" spans="1:26" ht="14.25" customHeight="1" collapsed="1">
      <c r="A88" s="1552"/>
      <c r="B88" s="1571" t="s">
        <v>5487</v>
      </c>
      <c r="C88" s="1556"/>
      <c r="D88" s="1422"/>
      <c r="E88" s="1565"/>
      <c r="F88" s="1566"/>
      <c r="G88" s="1566"/>
      <c r="H88" s="1566"/>
      <c r="I88" s="1566"/>
      <c r="J88" s="1566"/>
      <c r="K88" s="1567"/>
    </row>
    <row r="89" spans="1:26" ht="14.25" hidden="1" customHeight="1" outlineLevel="1">
      <c r="A89" s="1552"/>
      <c r="B89" s="1572" t="s">
        <v>5488</v>
      </c>
      <c r="C89" s="1384"/>
      <c r="D89" s="1422"/>
      <c r="E89" s="1565"/>
      <c r="F89" s="1566"/>
      <c r="G89" s="1566"/>
      <c r="H89" s="1566"/>
      <c r="I89" s="1566"/>
      <c r="J89" s="1566"/>
      <c r="K89" s="1567"/>
    </row>
    <row r="90" spans="1:26" ht="12.75" customHeight="1" collapsed="1">
      <c r="A90" s="1552"/>
      <c r="B90" s="1571" t="s">
        <v>5489</v>
      </c>
      <c r="C90" s="1556"/>
      <c r="D90" s="1422"/>
      <c r="E90" s="1565"/>
      <c r="F90" s="1566"/>
      <c r="G90" s="1566"/>
      <c r="H90" s="1566"/>
      <c r="I90" s="1566"/>
      <c r="J90" s="1566"/>
      <c r="K90" s="1567"/>
    </row>
    <row r="91" spans="1:26" ht="14.25" hidden="1" customHeight="1" outlineLevel="1">
      <c r="A91" s="1552"/>
      <c r="B91" s="1572" t="s">
        <v>5490</v>
      </c>
      <c r="C91" s="1384"/>
      <c r="D91" s="1422"/>
      <c r="E91" s="1565"/>
      <c r="F91" s="1566"/>
      <c r="G91" s="1566"/>
      <c r="H91" s="1566"/>
      <c r="I91" s="1566"/>
      <c r="J91" s="1566"/>
      <c r="K91" s="1570"/>
      <c r="L91" s="1554"/>
      <c r="M91" s="1554"/>
      <c r="N91" s="1554"/>
      <c r="O91" s="1554"/>
      <c r="P91" s="1554"/>
      <c r="Q91" s="1554"/>
      <c r="R91" s="1554"/>
      <c r="S91" s="1554"/>
      <c r="T91" s="1554"/>
      <c r="U91" s="1554"/>
      <c r="V91" s="1554"/>
      <c r="W91" s="1554"/>
      <c r="X91" s="1554"/>
      <c r="Y91" s="1554"/>
      <c r="Z91" s="1554"/>
    </row>
    <row r="92" spans="1:26" ht="14.25" customHeight="1" collapsed="1">
      <c r="A92" s="1552"/>
      <c r="B92" s="1571" t="s">
        <v>5491</v>
      </c>
      <c r="C92" s="1556"/>
      <c r="D92" s="1422"/>
      <c r="E92" s="1565"/>
      <c r="F92" s="1566"/>
      <c r="G92" s="1566"/>
      <c r="H92" s="1566"/>
      <c r="I92" s="1566"/>
      <c r="J92" s="1566"/>
      <c r="K92" s="1567"/>
    </row>
    <row r="93" spans="1:26" ht="12.75" hidden="1" customHeight="1" outlineLevel="1">
      <c r="A93" s="1552"/>
      <c r="B93" s="1572" t="s">
        <v>5492</v>
      </c>
      <c r="C93" s="1384"/>
      <c r="D93" s="1422"/>
      <c r="E93" s="1565"/>
      <c r="F93" s="1566"/>
      <c r="G93" s="1566"/>
      <c r="H93" s="1566"/>
      <c r="I93" s="1566"/>
      <c r="J93" s="1566"/>
      <c r="K93" s="1567"/>
    </row>
    <row r="94" spans="1:26" ht="12.75" hidden="1" customHeight="1" outlineLevel="1">
      <c r="A94" s="1552"/>
      <c r="B94" s="1572" t="s">
        <v>5470</v>
      </c>
      <c r="C94" s="1384"/>
      <c r="D94" s="1422"/>
      <c r="E94" s="1565"/>
      <c r="F94" s="1566"/>
      <c r="G94" s="1566"/>
      <c r="H94" s="1566"/>
      <c r="I94" s="1566"/>
      <c r="J94" s="1566"/>
      <c r="K94" s="1573"/>
      <c r="L94" s="1574"/>
      <c r="M94" s="1574"/>
      <c r="N94" s="1574"/>
      <c r="O94" s="1574"/>
      <c r="P94" s="1574"/>
      <c r="Q94" s="1574"/>
      <c r="R94" s="1574"/>
      <c r="S94" s="1574"/>
      <c r="T94" s="1574"/>
      <c r="U94" s="1574"/>
      <c r="V94" s="1574"/>
      <c r="W94" s="1574"/>
      <c r="X94" s="1574"/>
      <c r="Y94" s="1574"/>
      <c r="Z94" s="1574"/>
    </row>
    <row r="95" spans="1:26" ht="14.25" hidden="1" customHeight="1" outlineLevel="1">
      <c r="A95" s="1552"/>
      <c r="B95" s="1572" t="s">
        <v>5493</v>
      </c>
      <c r="C95" s="1384"/>
      <c r="D95" s="1422"/>
      <c r="E95" s="1565"/>
      <c r="F95" s="1566"/>
      <c r="G95" s="1566"/>
      <c r="H95" s="1566"/>
      <c r="I95" s="1566"/>
      <c r="J95" s="1566"/>
      <c r="K95" s="1567"/>
    </row>
    <row r="96" spans="1:26" ht="14.25" hidden="1" customHeight="1" outlineLevel="1">
      <c r="A96" s="1422"/>
      <c r="B96" s="1572" t="s">
        <v>5485</v>
      </c>
      <c r="C96" s="1384"/>
      <c r="D96" s="1422"/>
      <c r="E96" s="1565"/>
      <c r="F96" s="1566"/>
      <c r="G96" s="1566"/>
      <c r="H96" s="1566"/>
      <c r="I96" s="1566"/>
      <c r="J96" s="1566"/>
      <c r="K96" s="1567"/>
    </row>
    <row r="97" spans="1:11" ht="14.25" customHeight="1" collapsed="1">
      <c r="A97" s="1422"/>
      <c r="B97" s="1571" t="s">
        <v>5494</v>
      </c>
      <c r="C97" s="1556"/>
      <c r="D97" s="1422"/>
      <c r="E97" s="1565"/>
      <c r="F97" s="1566"/>
      <c r="G97" s="1566"/>
      <c r="H97" s="1566"/>
      <c r="I97" s="1566"/>
      <c r="J97" s="1566"/>
      <c r="K97" s="1567"/>
    </row>
    <row r="98" spans="1:11" ht="14.25" hidden="1" customHeight="1" outlineLevel="1">
      <c r="A98" s="1422"/>
      <c r="B98" s="1572" t="s">
        <v>5485</v>
      </c>
      <c r="C98" s="1384"/>
      <c r="D98" s="1422"/>
      <c r="E98" s="1565"/>
      <c r="F98" s="1566"/>
      <c r="G98" s="1566"/>
      <c r="H98" s="1566"/>
      <c r="I98" s="1566"/>
      <c r="J98" s="1566"/>
      <c r="K98" s="1567"/>
    </row>
    <row r="99" spans="1:11" ht="14.25" customHeight="1" collapsed="1">
      <c r="A99" s="1422"/>
      <c r="B99" s="1571" t="s">
        <v>5495</v>
      </c>
      <c r="C99" s="1556"/>
      <c r="D99" s="1422"/>
      <c r="E99" s="1565"/>
      <c r="F99" s="1566"/>
      <c r="G99" s="1566"/>
      <c r="H99" s="1566"/>
      <c r="I99" s="1566"/>
      <c r="J99" s="1566"/>
      <c r="K99" s="1567"/>
    </row>
    <row r="100" spans="1:11" ht="12.75" hidden="1" customHeight="1" outlineLevel="1">
      <c r="A100" s="1422"/>
      <c r="B100" s="1572" t="s">
        <v>5496</v>
      </c>
      <c r="C100" s="1384"/>
      <c r="D100" s="1422"/>
      <c r="E100" s="1565"/>
      <c r="F100" s="1566"/>
      <c r="G100" s="1566"/>
      <c r="H100" s="1566"/>
      <c r="I100" s="1566"/>
      <c r="J100" s="1566"/>
      <c r="K100" s="1567"/>
    </row>
    <row r="101" spans="1:11" ht="14.25" hidden="1" customHeight="1" outlineLevel="1">
      <c r="A101" s="1422"/>
      <c r="B101" s="1572" t="s">
        <v>5497</v>
      </c>
      <c r="C101" s="1384"/>
      <c r="D101" s="1422"/>
      <c r="E101" s="1565"/>
      <c r="F101" s="1566"/>
      <c r="G101" s="1566"/>
      <c r="H101" s="1566"/>
      <c r="I101" s="1566"/>
      <c r="J101" s="1566"/>
      <c r="K101" s="1567"/>
    </row>
    <row r="102" spans="1:11" ht="14.25" hidden="1" customHeight="1" outlineLevel="1">
      <c r="A102" s="1422"/>
      <c r="B102" s="1572" t="s">
        <v>5485</v>
      </c>
      <c r="C102" s="1384"/>
      <c r="D102" s="1422"/>
      <c r="E102" s="1565"/>
      <c r="F102" s="1566"/>
      <c r="G102" s="1566"/>
      <c r="H102" s="1566"/>
      <c r="I102" s="1566"/>
      <c r="J102" s="1566"/>
      <c r="K102" s="1567"/>
    </row>
    <row r="103" spans="1:11" ht="12.75" customHeight="1" collapsed="1">
      <c r="A103" s="1422"/>
      <c r="B103" s="1571" t="s">
        <v>5498</v>
      </c>
      <c r="C103" s="1556"/>
      <c r="D103" s="1422"/>
      <c r="E103" s="1565"/>
      <c r="F103" s="1566"/>
      <c r="G103" s="1566"/>
      <c r="H103" s="1566"/>
      <c r="I103" s="1566"/>
      <c r="J103" s="1566"/>
      <c r="K103" s="1567"/>
    </row>
    <row r="104" spans="1:11" ht="14.25" hidden="1" customHeight="1" outlineLevel="1">
      <c r="A104" s="1422"/>
      <c r="B104" s="1572" t="s">
        <v>5499</v>
      </c>
      <c r="C104" s="1384"/>
      <c r="D104" s="1422"/>
      <c r="E104" s="1565"/>
      <c r="F104" s="1566"/>
      <c r="G104" s="1566"/>
      <c r="H104" s="1566"/>
      <c r="I104" s="1566"/>
      <c r="J104" s="1566"/>
      <c r="K104" s="1567"/>
    </row>
    <row r="105" spans="1:11" ht="14.25" hidden="1" customHeight="1" outlineLevel="1">
      <c r="A105" s="1422"/>
      <c r="B105" s="1572" t="s">
        <v>5500</v>
      </c>
      <c r="C105" s="1384"/>
      <c r="D105" s="1422"/>
      <c r="E105" s="1565"/>
      <c r="F105" s="1566"/>
      <c r="G105" s="1566"/>
      <c r="H105" s="1566"/>
      <c r="I105" s="1566"/>
      <c r="J105" s="1566"/>
      <c r="K105" s="1567"/>
    </row>
    <row r="106" spans="1:11" ht="12.75" customHeight="1" collapsed="1">
      <c r="A106" s="1422"/>
      <c r="B106" s="1571" t="s">
        <v>5501</v>
      </c>
      <c r="C106" s="1556"/>
      <c r="D106" s="1422"/>
      <c r="E106" s="1565"/>
      <c r="F106" s="1566"/>
      <c r="G106" s="1566"/>
      <c r="H106" s="1566"/>
      <c r="I106" s="1566"/>
      <c r="J106" s="1566"/>
      <c r="K106" s="1567"/>
    </row>
    <row r="107" spans="1:11" ht="14.25" hidden="1" customHeight="1" outlineLevel="1">
      <c r="A107" s="1422"/>
      <c r="B107" s="1572" t="s">
        <v>5502</v>
      </c>
      <c r="C107" s="1384"/>
      <c r="D107" s="1422"/>
      <c r="E107" s="1565"/>
      <c r="F107" s="1566"/>
      <c r="G107" s="1566"/>
      <c r="H107" s="1566"/>
      <c r="I107" s="1566"/>
      <c r="J107" s="1566"/>
      <c r="K107" s="1567"/>
    </row>
    <row r="108" spans="1:11" ht="14.25" hidden="1" customHeight="1" outlineLevel="1">
      <c r="A108" s="1422"/>
      <c r="B108" s="1572" t="s">
        <v>5503</v>
      </c>
      <c r="C108" s="1384"/>
      <c r="D108" s="1422"/>
      <c r="E108" s="1565"/>
      <c r="F108" s="1566"/>
      <c r="G108" s="1566"/>
      <c r="H108" s="1566"/>
      <c r="I108" s="1566"/>
      <c r="J108" s="1566"/>
      <c r="K108" s="1567"/>
    </row>
    <row r="109" spans="1:11" ht="14.25" hidden="1" customHeight="1" outlineLevel="1">
      <c r="A109" s="1422"/>
      <c r="B109" s="1572" t="s">
        <v>5504</v>
      </c>
      <c r="C109" s="1384"/>
      <c r="D109" s="1422"/>
      <c r="E109" s="1565"/>
      <c r="F109" s="1566"/>
      <c r="G109" s="1566"/>
      <c r="H109" s="1566"/>
      <c r="I109" s="1566"/>
      <c r="J109" s="1566"/>
      <c r="K109" s="1567"/>
    </row>
    <row r="110" spans="1:11" ht="14.25" hidden="1" customHeight="1" outlineLevel="1">
      <c r="A110" s="1422"/>
      <c r="B110" s="1572" t="s">
        <v>5505</v>
      </c>
      <c r="C110" s="1384"/>
      <c r="D110" s="1422"/>
      <c r="E110" s="1565"/>
      <c r="F110" s="1566"/>
      <c r="G110" s="1566"/>
      <c r="H110" s="1566"/>
      <c r="I110" s="1566"/>
      <c r="J110" s="1566"/>
      <c r="K110" s="1567"/>
    </row>
    <row r="111" spans="1:11" ht="14.25" hidden="1" customHeight="1" outlineLevel="1">
      <c r="A111" s="1422"/>
      <c r="B111" s="1572" t="s">
        <v>5506</v>
      </c>
      <c r="C111" s="1384"/>
      <c r="D111" s="1422"/>
      <c r="E111" s="1565"/>
      <c r="F111" s="1566"/>
      <c r="G111" s="1566"/>
      <c r="H111" s="1566"/>
      <c r="I111" s="1566"/>
      <c r="J111" s="1566"/>
      <c r="K111" s="1567"/>
    </row>
    <row r="112" spans="1:11" ht="14.25" hidden="1" customHeight="1" outlineLevel="1">
      <c r="A112" s="1422"/>
      <c r="B112" s="1572" t="s">
        <v>5485</v>
      </c>
      <c r="C112" s="1384"/>
      <c r="D112" s="1422"/>
      <c r="E112" s="1565"/>
      <c r="F112" s="1566"/>
      <c r="G112" s="1566"/>
      <c r="H112" s="1566"/>
      <c r="I112" s="1566"/>
      <c r="J112" s="1566"/>
      <c r="K112" s="1567"/>
    </row>
    <row r="113" spans="1:11" ht="12.75" customHeight="1" collapsed="1">
      <c r="A113" s="1422"/>
      <c r="B113" s="1571" t="s">
        <v>5507</v>
      </c>
      <c r="C113" s="1556"/>
      <c r="D113" s="1422"/>
      <c r="E113" s="1565"/>
      <c r="F113" s="1566"/>
      <c r="G113" s="1566"/>
      <c r="H113" s="1566"/>
      <c r="I113" s="1566"/>
      <c r="J113" s="1566"/>
      <c r="K113" s="1567"/>
    </row>
    <row r="114" spans="1:11" ht="14.25" hidden="1" customHeight="1" outlineLevel="1">
      <c r="A114" s="1422"/>
      <c r="B114" s="1572" t="s">
        <v>5508</v>
      </c>
      <c r="C114" s="1384"/>
      <c r="D114" s="1422"/>
      <c r="E114" s="1565"/>
      <c r="F114" s="1566"/>
      <c r="G114" s="1566"/>
      <c r="H114" s="1566"/>
      <c r="I114" s="1566"/>
      <c r="J114" s="1566"/>
      <c r="K114" s="1567"/>
    </row>
    <row r="115" spans="1:11" ht="14.25" hidden="1" customHeight="1" outlineLevel="1">
      <c r="A115" s="1422"/>
      <c r="B115" s="1572" t="s">
        <v>5509</v>
      </c>
      <c r="C115" s="1384"/>
      <c r="D115" s="1422"/>
      <c r="E115" s="1565"/>
      <c r="F115" s="1566"/>
      <c r="G115" s="1566"/>
      <c r="H115" s="1566"/>
      <c r="I115" s="1566"/>
      <c r="J115" s="1566"/>
      <c r="K115" s="1567"/>
    </row>
    <row r="116" spans="1:11" ht="14.25" customHeight="1" collapsed="1">
      <c r="A116" s="1422"/>
      <c r="B116" s="1571" t="s">
        <v>5510</v>
      </c>
      <c r="C116" s="1556"/>
      <c r="D116" s="1422"/>
      <c r="E116" s="1565"/>
      <c r="F116" s="1566"/>
      <c r="G116" s="1566"/>
      <c r="H116" s="1566"/>
      <c r="I116" s="1566"/>
      <c r="J116" s="1566"/>
      <c r="K116" s="1567"/>
    </row>
    <row r="117" spans="1:11" ht="14.25" hidden="1" customHeight="1" outlineLevel="1">
      <c r="A117" s="1422"/>
      <c r="B117" s="1572" t="s">
        <v>5511</v>
      </c>
      <c r="C117" s="1384"/>
      <c r="D117" s="1422"/>
      <c r="E117" s="1565"/>
      <c r="F117" s="1566"/>
      <c r="G117" s="1566"/>
      <c r="H117" s="1566"/>
      <c r="I117" s="1566"/>
      <c r="J117" s="1566"/>
      <c r="K117" s="1567"/>
    </row>
    <row r="118" spans="1:11" ht="14.25" hidden="1" customHeight="1" outlineLevel="1">
      <c r="A118" s="1422"/>
      <c r="B118" s="1572" t="s">
        <v>5485</v>
      </c>
      <c r="C118" s="1384"/>
      <c r="D118" s="1422"/>
      <c r="E118" s="1565"/>
      <c r="F118" s="1566"/>
      <c r="G118" s="1566"/>
      <c r="H118" s="1566"/>
      <c r="I118" s="1566"/>
      <c r="J118" s="1566"/>
      <c r="K118" s="1567"/>
    </row>
    <row r="119" spans="1:11" ht="14.25" customHeight="1" collapsed="1">
      <c r="A119" s="1422"/>
      <c r="B119" s="1571" t="s">
        <v>5512</v>
      </c>
      <c r="C119" s="1556"/>
      <c r="D119" s="1422"/>
      <c r="E119" s="1565"/>
      <c r="F119" s="1566"/>
      <c r="G119" s="1566"/>
      <c r="H119" s="1566"/>
      <c r="I119" s="1566"/>
      <c r="J119" s="1566"/>
      <c r="K119" s="1567"/>
    </row>
    <row r="120" spans="1:11" ht="12.75" hidden="1" customHeight="1" outlineLevel="1">
      <c r="A120" s="1422"/>
      <c r="B120" s="1572" t="s">
        <v>5513</v>
      </c>
      <c r="C120" s="1384"/>
      <c r="D120" s="1422"/>
      <c r="E120" s="1565"/>
      <c r="F120" s="1566"/>
      <c r="G120" s="1566"/>
      <c r="H120" s="1566"/>
      <c r="I120" s="1566"/>
      <c r="J120" s="1566"/>
      <c r="K120" s="1567"/>
    </row>
    <row r="121" spans="1:11" ht="14.25" hidden="1" customHeight="1" outlineLevel="1">
      <c r="A121" s="1422"/>
      <c r="B121" s="1572" t="s">
        <v>5514</v>
      </c>
      <c r="C121" s="1384"/>
      <c r="D121" s="1422"/>
      <c r="E121" s="1565"/>
      <c r="F121" s="1566"/>
      <c r="G121" s="1566"/>
      <c r="H121" s="1566"/>
      <c r="I121" s="1566"/>
      <c r="J121" s="1566"/>
      <c r="K121" s="1567"/>
    </row>
    <row r="122" spans="1:11" ht="14.25" hidden="1" customHeight="1" outlineLevel="1">
      <c r="A122" s="1422"/>
      <c r="B122" s="1572" t="s">
        <v>5505</v>
      </c>
      <c r="C122" s="1384"/>
      <c r="D122" s="1422"/>
      <c r="E122" s="1565"/>
      <c r="F122" s="1566"/>
      <c r="G122" s="1566"/>
      <c r="H122" s="1566"/>
      <c r="I122" s="1566"/>
      <c r="J122" s="1566"/>
      <c r="K122" s="1567"/>
    </row>
    <row r="123" spans="1:11" ht="14.25" hidden="1" customHeight="1" outlineLevel="1">
      <c r="A123" s="1422"/>
      <c r="B123" s="1572" t="s">
        <v>5504</v>
      </c>
      <c r="C123" s="1384"/>
      <c r="D123" s="1422"/>
      <c r="E123" s="1565"/>
      <c r="F123" s="1566"/>
      <c r="G123" s="1566"/>
      <c r="H123" s="1566"/>
      <c r="I123" s="1566"/>
      <c r="J123" s="1566"/>
      <c r="K123" s="1567"/>
    </row>
    <row r="124" spans="1:11" ht="14.25" hidden="1" customHeight="1" outlineLevel="1">
      <c r="A124" s="1422"/>
      <c r="B124" s="1572" t="s">
        <v>5506</v>
      </c>
      <c r="C124" s="1384"/>
      <c r="D124" s="1422"/>
      <c r="E124" s="1565"/>
      <c r="F124" s="1566"/>
      <c r="G124" s="1566"/>
      <c r="H124" s="1566"/>
      <c r="I124" s="1566"/>
      <c r="J124" s="1566"/>
      <c r="K124" s="1567"/>
    </row>
    <row r="125" spans="1:11" ht="14.25" hidden="1" customHeight="1" outlineLevel="1">
      <c r="A125" s="1422"/>
      <c r="B125" s="1572" t="s">
        <v>5515</v>
      </c>
      <c r="C125" s="1384"/>
      <c r="D125" s="1422"/>
      <c r="E125" s="1565"/>
      <c r="F125" s="1566"/>
      <c r="G125" s="1566"/>
      <c r="H125" s="1566"/>
      <c r="I125" s="1566"/>
      <c r="J125" s="1566"/>
      <c r="K125" s="1567"/>
    </row>
    <row r="126" spans="1:11" ht="14.25" customHeight="1" collapsed="1">
      <c r="A126" s="1422"/>
      <c r="B126" s="1571" t="s">
        <v>5516</v>
      </c>
      <c r="C126" s="1556"/>
      <c r="D126" s="1422"/>
      <c r="E126" s="1565"/>
      <c r="F126" s="1566"/>
      <c r="G126" s="1566"/>
      <c r="H126" s="1566"/>
      <c r="I126" s="1566"/>
      <c r="J126" s="1566"/>
      <c r="K126" s="1567"/>
    </row>
    <row r="127" spans="1:11" ht="14.25" hidden="1" customHeight="1" outlineLevel="1">
      <c r="A127" s="1422"/>
      <c r="B127" s="1572" t="s">
        <v>5517</v>
      </c>
      <c r="C127" s="1384"/>
      <c r="D127" s="1422"/>
      <c r="E127" s="1565"/>
      <c r="F127" s="1566"/>
      <c r="G127" s="1566"/>
      <c r="H127" s="1566"/>
      <c r="I127" s="1566"/>
      <c r="J127" s="1566"/>
      <c r="K127" s="1567"/>
    </row>
    <row r="128" spans="1:11" ht="12.75" hidden="1" customHeight="1" outlineLevel="1">
      <c r="A128" s="1422"/>
      <c r="B128" s="1572" t="s">
        <v>5518</v>
      </c>
      <c r="C128" s="1384"/>
      <c r="D128" s="1422"/>
      <c r="E128" s="1565"/>
      <c r="F128" s="1566"/>
      <c r="G128" s="1566"/>
      <c r="H128" s="1566"/>
      <c r="I128" s="1566"/>
      <c r="J128" s="1566"/>
      <c r="K128" s="1567"/>
    </row>
    <row r="129" spans="1:26" ht="14.25" hidden="1" customHeight="1" outlineLevel="1">
      <c r="A129" s="1422"/>
      <c r="B129" s="1572" t="s">
        <v>5504</v>
      </c>
      <c r="C129" s="1384"/>
      <c r="D129" s="1422"/>
      <c r="E129" s="1565"/>
      <c r="F129" s="1566"/>
      <c r="G129" s="1566"/>
      <c r="H129" s="1566"/>
      <c r="I129" s="1566"/>
      <c r="J129" s="1566"/>
      <c r="K129" s="1567"/>
    </row>
    <row r="130" spans="1:26" ht="12.75" hidden="1" customHeight="1" outlineLevel="1">
      <c r="A130" s="1422"/>
      <c r="B130" s="1572" t="s">
        <v>5506</v>
      </c>
      <c r="C130" s="1384"/>
      <c r="D130" s="1422"/>
      <c r="E130" s="1565"/>
      <c r="F130" s="1566"/>
      <c r="G130" s="1566"/>
      <c r="H130" s="1566"/>
      <c r="I130" s="1566"/>
      <c r="J130" s="1566"/>
      <c r="K130" s="1567"/>
    </row>
    <row r="131" spans="1:26" ht="14.25" hidden="1" customHeight="1" outlineLevel="1">
      <c r="A131" s="1422"/>
      <c r="B131" s="1572" t="s">
        <v>5515</v>
      </c>
      <c r="C131" s="1384"/>
      <c r="D131" s="1422"/>
      <c r="E131" s="1565"/>
      <c r="F131" s="1566"/>
      <c r="G131" s="1566"/>
      <c r="H131" s="1566"/>
      <c r="I131" s="1566"/>
      <c r="J131" s="1566"/>
      <c r="K131" s="1567"/>
    </row>
    <row r="132" spans="1:26" ht="14.25" hidden="1" customHeight="1" outlineLevel="1">
      <c r="A132" s="1422"/>
      <c r="B132" s="1572" t="s">
        <v>5519</v>
      </c>
      <c r="C132" s="393"/>
      <c r="D132" s="1422"/>
      <c r="E132" s="1565"/>
      <c r="F132" s="1566"/>
      <c r="G132" s="1566"/>
      <c r="H132" s="1566"/>
      <c r="I132" s="1566"/>
      <c r="J132" s="1566"/>
      <c r="K132" s="1567"/>
    </row>
    <row r="133" spans="1:26" ht="14.25" customHeight="1" collapsed="1">
      <c r="A133" s="1422"/>
      <c r="B133" s="1571" t="s">
        <v>5520</v>
      </c>
      <c r="C133" s="1556"/>
      <c r="D133" s="1422"/>
      <c r="E133" s="1565"/>
      <c r="F133" s="1566"/>
      <c r="G133" s="1566"/>
      <c r="H133" s="1566"/>
      <c r="I133" s="1566"/>
      <c r="J133" s="1566"/>
      <c r="K133" s="1567"/>
    </row>
    <row r="134" spans="1:26" ht="12.75" hidden="1" customHeight="1" outlineLevel="1">
      <c r="A134" s="1422"/>
      <c r="B134" s="1572" t="s">
        <v>5521</v>
      </c>
      <c r="C134" s="1384"/>
      <c r="D134" s="1422"/>
      <c r="E134" s="1565"/>
      <c r="F134" s="1566"/>
      <c r="G134" s="1566"/>
      <c r="H134" s="1566"/>
      <c r="I134" s="1566"/>
      <c r="J134" s="1566"/>
      <c r="K134" s="1567"/>
    </row>
    <row r="135" spans="1:26" ht="14.25" hidden="1" customHeight="1" outlineLevel="1">
      <c r="A135" s="1422"/>
      <c r="B135" s="1572" t="s">
        <v>5522</v>
      </c>
      <c r="C135" s="1384"/>
      <c r="D135" s="1422"/>
      <c r="E135" s="1565"/>
      <c r="F135" s="1566"/>
      <c r="G135" s="1566"/>
      <c r="H135" s="1566"/>
      <c r="I135" s="1566"/>
      <c r="J135" s="1566"/>
      <c r="K135" s="1567"/>
    </row>
    <row r="136" spans="1:26" ht="12.75" hidden="1" customHeight="1" outlineLevel="1">
      <c r="A136" s="1422"/>
      <c r="B136" s="1572" t="s">
        <v>5523</v>
      </c>
      <c r="C136" s="1384"/>
      <c r="D136" s="1422"/>
      <c r="E136" s="1565"/>
      <c r="F136" s="1566"/>
      <c r="G136" s="1566"/>
      <c r="H136" s="1566"/>
      <c r="I136" s="1566"/>
      <c r="J136" s="1566"/>
      <c r="K136" s="1567"/>
    </row>
    <row r="137" spans="1:26" ht="12.75" hidden="1" customHeight="1" outlineLevel="1">
      <c r="A137" s="1422"/>
      <c r="B137" s="1572" t="s">
        <v>5505</v>
      </c>
      <c r="C137" s="1384"/>
      <c r="D137" s="1422"/>
      <c r="E137" s="1565"/>
      <c r="F137" s="1566"/>
      <c r="G137" s="1566"/>
      <c r="H137" s="1566"/>
      <c r="I137" s="1566"/>
      <c r="J137" s="1566"/>
      <c r="K137" s="1567"/>
    </row>
    <row r="138" spans="1:26" ht="12.75" hidden="1" customHeight="1" outlineLevel="1">
      <c r="A138" s="1480"/>
      <c r="B138" s="1572" t="s">
        <v>5504</v>
      </c>
      <c r="C138" s="1473"/>
      <c r="D138" s="1480"/>
      <c r="E138" s="1565"/>
      <c r="F138" s="1566"/>
      <c r="G138" s="1566"/>
      <c r="H138" s="1566"/>
      <c r="I138" s="1566"/>
      <c r="J138" s="1566"/>
      <c r="K138" s="1567"/>
    </row>
    <row r="139" spans="1:26" ht="12.75" hidden="1" customHeight="1" outlineLevel="1">
      <c r="A139" s="1422"/>
      <c r="B139" s="1572" t="s">
        <v>5506</v>
      </c>
      <c r="C139" s="1384"/>
      <c r="D139" s="1422"/>
      <c r="E139" s="1565"/>
      <c r="F139" s="1566"/>
      <c r="G139" s="1566"/>
      <c r="H139" s="1566"/>
      <c r="I139" s="1566"/>
      <c r="J139" s="1566"/>
      <c r="K139" s="1567"/>
    </row>
    <row r="140" spans="1:26" ht="12.75" hidden="1" customHeight="1" outlineLevel="1">
      <c r="A140" s="1422"/>
      <c r="B140" s="1572" t="s">
        <v>5515</v>
      </c>
      <c r="C140" s="1384"/>
      <c r="D140" s="1422"/>
      <c r="E140" s="1565"/>
      <c r="F140" s="1566"/>
      <c r="G140" s="1566"/>
      <c r="H140" s="1566"/>
      <c r="I140" s="1566"/>
      <c r="J140" s="1566"/>
      <c r="K140" s="1567"/>
    </row>
    <row r="141" spans="1:26" ht="14.25" customHeight="1" collapsed="1">
      <c r="A141" s="1422"/>
      <c r="B141" s="1571" t="s">
        <v>5524</v>
      </c>
      <c r="C141" s="1556"/>
      <c r="D141" s="1422"/>
      <c r="E141" s="1565"/>
      <c r="F141" s="1566"/>
      <c r="G141" s="1566"/>
      <c r="H141" s="1566"/>
      <c r="I141" s="1566"/>
      <c r="J141" s="1566"/>
      <c r="K141" s="1575"/>
      <c r="L141" s="1480"/>
      <c r="M141" s="1480"/>
      <c r="N141" s="1480"/>
      <c r="O141" s="1480"/>
      <c r="P141" s="1480"/>
      <c r="Q141" s="1480"/>
      <c r="R141" s="1480"/>
      <c r="S141" s="1480"/>
      <c r="T141" s="1480"/>
      <c r="U141" s="1480"/>
      <c r="V141" s="1480"/>
      <c r="W141" s="1480"/>
      <c r="X141" s="1480"/>
      <c r="Y141" s="1480"/>
      <c r="Z141" s="1480"/>
    </row>
    <row r="142" spans="1:26" ht="12.75" hidden="1" customHeight="1" outlineLevel="1">
      <c r="A142" s="1422"/>
      <c r="B142" s="1572" t="s">
        <v>5525</v>
      </c>
      <c r="C142" s="1384"/>
      <c r="D142" s="1422"/>
      <c r="E142" s="1565"/>
      <c r="F142" s="1566"/>
      <c r="G142" s="1566"/>
      <c r="H142" s="1566"/>
      <c r="I142" s="1566"/>
      <c r="J142" s="1566"/>
      <c r="K142" s="1567"/>
    </row>
    <row r="143" spans="1:26" ht="14.25" customHeight="1" collapsed="1">
      <c r="A143" s="1422"/>
      <c r="B143" s="1571" t="s">
        <v>5453</v>
      </c>
      <c r="C143" s="1556"/>
      <c r="D143" s="1422"/>
      <c r="E143" s="1565"/>
      <c r="F143" s="1566"/>
      <c r="G143" s="1566"/>
      <c r="H143" s="1566"/>
      <c r="I143" s="1566"/>
      <c r="J143" s="1566"/>
      <c r="K143" s="1567"/>
    </row>
    <row r="144" spans="1:26" ht="14.25" hidden="1" customHeight="1" outlineLevel="1">
      <c r="A144" s="1422"/>
      <c r="B144" s="1572" t="s">
        <v>5526</v>
      </c>
      <c r="C144" s="1384"/>
      <c r="D144" s="1422"/>
      <c r="E144" s="1565"/>
      <c r="F144" s="1566"/>
      <c r="G144" s="1566"/>
      <c r="H144" s="1566"/>
      <c r="I144" s="1566"/>
      <c r="J144" s="1566"/>
      <c r="K144" s="1567"/>
    </row>
    <row r="145" spans="1:11" ht="12.75" hidden="1" customHeight="1" outlineLevel="1">
      <c r="A145" s="1422"/>
      <c r="B145" s="1572" t="s">
        <v>5485</v>
      </c>
      <c r="C145" s="1384"/>
      <c r="D145" s="1422"/>
      <c r="E145" s="1565"/>
      <c r="F145" s="1566"/>
      <c r="G145" s="1566"/>
      <c r="H145" s="1566"/>
      <c r="I145" s="1566"/>
      <c r="J145" s="1566"/>
      <c r="K145" s="1567"/>
    </row>
    <row r="146" spans="1:11" ht="14.25" hidden="1" customHeight="1" outlineLevel="1">
      <c r="A146" s="1422"/>
      <c r="B146" s="1572" t="s">
        <v>5527</v>
      </c>
      <c r="C146" s="1384"/>
      <c r="D146" s="1422"/>
      <c r="E146" s="1565"/>
      <c r="F146" s="1566"/>
      <c r="G146" s="1566"/>
      <c r="H146" s="1566"/>
      <c r="I146" s="1566"/>
      <c r="J146" s="1566"/>
      <c r="K146" s="1567"/>
    </row>
    <row r="147" spans="1:11" ht="14.25" customHeight="1" collapsed="1">
      <c r="A147" s="1422"/>
      <c r="B147" s="1571" t="s">
        <v>5528</v>
      </c>
      <c r="C147" s="1556"/>
      <c r="D147" s="1422"/>
      <c r="E147" s="1565"/>
      <c r="F147" s="1566"/>
      <c r="G147" s="1566"/>
      <c r="H147" s="1566"/>
      <c r="I147" s="1566"/>
      <c r="J147" s="1566"/>
      <c r="K147" s="1567"/>
    </row>
    <row r="148" spans="1:11" ht="14.25" hidden="1" customHeight="1" outlineLevel="1">
      <c r="A148" s="1422"/>
      <c r="B148" s="1572" t="s">
        <v>5529</v>
      </c>
      <c r="C148" s="1384"/>
      <c r="D148" s="1422"/>
      <c r="E148" s="1565"/>
      <c r="F148" s="1566"/>
      <c r="G148" s="1566"/>
      <c r="H148" s="1566"/>
      <c r="I148" s="1566"/>
      <c r="J148" s="1566"/>
      <c r="K148" s="1567"/>
    </row>
    <row r="149" spans="1:11" ht="12.75" customHeight="1" collapsed="1">
      <c r="A149" s="1422"/>
      <c r="B149" s="1571" t="s">
        <v>5530</v>
      </c>
      <c r="C149" s="1556"/>
      <c r="D149" s="1422"/>
      <c r="E149" s="1576"/>
      <c r="F149" s="1577"/>
      <c r="G149" s="1577"/>
      <c r="H149" s="1577"/>
      <c r="I149" s="1577"/>
      <c r="J149" s="1577"/>
      <c r="K149" s="1578"/>
    </row>
    <row r="150" spans="1:11" ht="14.25" hidden="1" customHeight="1" outlineLevel="1">
      <c r="A150" s="1422"/>
      <c r="B150" s="289" t="s">
        <v>5531</v>
      </c>
      <c r="C150" s="1384"/>
      <c r="D150" s="1422"/>
      <c r="E150" s="1566"/>
      <c r="F150" s="1566"/>
      <c r="G150" s="1566"/>
      <c r="H150" s="1566"/>
      <c r="I150" s="1566"/>
      <c r="J150" s="1566"/>
    </row>
    <row r="151" spans="1:11" ht="14.25" customHeight="1" collapsed="1">
      <c r="A151" s="1422"/>
      <c r="B151" s="1552"/>
      <c r="C151" s="1422"/>
      <c r="D151" s="1422"/>
      <c r="E151" s="1566"/>
      <c r="F151" s="1566"/>
      <c r="G151" s="1566"/>
      <c r="H151" s="1566"/>
      <c r="I151" s="1566"/>
      <c r="J151" s="1566"/>
    </row>
    <row r="152" spans="1:11" ht="14.25" customHeight="1">
      <c r="A152" s="1422"/>
      <c r="B152" s="1579" t="s">
        <v>5532</v>
      </c>
      <c r="C152" s="1422"/>
      <c r="D152" s="1422"/>
      <c r="E152" s="1566"/>
      <c r="F152" s="1566"/>
      <c r="G152" s="1566"/>
      <c r="H152" s="1566"/>
      <c r="I152" s="1566"/>
      <c r="J152" s="1566"/>
    </row>
    <row r="153" spans="1:11" ht="14.25" customHeight="1">
      <c r="A153" s="1422"/>
      <c r="B153" s="1571" t="s">
        <v>5533</v>
      </c>
      <c r="C153" s="1556"/>
      <c r="D153" s="1422"/>
      <c r="E153" s="1566"/>
      <c r="F153" s="1566"/>
      <c r="G153" s="1566"/>
      <c r="H153" s="1566"/>
      <c r="I153" s="1566"/>
      <c r="J153" s="1566"/>
    </row>
    <row r="154" spans="1:11" ht="14.25" hidden="1" customHeight="1" outlineLevel="1">
      <c r="A154" s="1422"/>
      <c r="B154" s="1572" t="s">
        <v>5534</v>
      </c>
      <c r="C154" s="1384"/>
      <c r="D154" s="1422"/>
      <c r="E154" s="1566"/>
      <c r="F154" s="1566"/>
      <c r="G154" s="1566"/>
      <c r="H154" s="1566"/>
      <c r="I154" s="1566"/>
      <c r="J154" s="1566"/>
    </row>
    <row r="155" spans="1:11" ht="14.25" customHeight="1" collapsed="1">
      <c r="A155" s="1422"/>
      <c r="B155" s="1571" t="s">
        <v>5535</v>
      </c>
      <c r="C155" s="1556"/>
      <c r="D155" s="1422"/>
      <c r="E155" s="1566"/>
      <c r="F155" s="1566"/>
      <c r="G155" s="1566"/>
      <c r="H155" s="1566"/>
      <c r="I155" s="1566"/>
      <c r="J155" s="1566"/>
    </row>
    <row r="156" spans="1:11" ht="14.25" hidden="1" customHeight="1" outlineLevel="1">
      <c r="A156" s="1422"/>
      <c r="B156" s="1572" t="s">
        <v>5536</v>
      </c>
      <c r="C156" s="1384"/>
      <c r="D156" s="1422"/>
      <c r="E156" s="1566"/>
      <c r="F156" s="1566"/>
      <c r="G156" s="1566"/>
      <c r="H156" s="1566"/>
      <c r="I156" s="1566"/>
      <c r="J156" s="1566"/>
    </row>
    <row r="157" spans="1:11" ht="14.25" hidden="1" customHeight="1" outlineLevel="1">
      <c r="A157" s="1422"/>
      <c r="B157" s="1572" t="s">
        <v>5537</v>
      </c>
      <c r="C157" s="1384"/>
      <c r="D157" s="1422"/>
      <c r="E157" s="1566"/>
      <c r="F157" s="1566"/>
      <c r="G157" s="1566"/>
      <c r="H157" s="1566"/>
      <c r="I157" s="1566"/>
      <c r="J157" s="1566"/>
    </row>
    <row r="158" spans="1:11" ht="14.25" customHeight="1" collapsed="1">
      <c r="A158" s="1422"/>
      <c r="B158" s="1571" t="s">
        <v>5538</v>
      </c>
      <c r="C158" s="1556"/>
      <c r="D158" s="1422"/>
      <c r="E158" s="1566"/>
      <c r="F158" s="1566"/>
      <c r="G158" s="1566"/>
      <c r="H158" s="1566"/>
      <c r="I158" s="1566"/>
      <c r="J158" s="1566"/>
    </row>
    <row r="159" spans="1:11" ht="14.25" hidden="1" customHeight="1" outlineLevel="1">
      <c r="A159" s="1422"/>
      <c r="B159" s="1572" t="s">
        <v>5539</v>
      </c>
      <c r="C159" s="1384"/>
      <c r="D159" s="1422"/>
      <c r="E159" s="1566"/>
      <c r="F159" s="1566"/>
      <c r="G159" s="1566"/>
      <c r="H159" s="1566"/>
      <c r="I159" s="1566"/>
      <c r="J159" s="1566"/>
    </row>
    <row r="160" spans="1:11" ht="14.25" hidden="1" customHeight="1" outlineLevel="1">
      <c r="A160" s="1422"/>
      <c r="B160" s="1572" t="s">
        <v>5540</v>
      </c>
      <c r="C160" s="1384"/>
      <c r="D160" s="1422"/>
      <c r="E160" s="1566"/>
      <c r="F160" s="1566"/>
      <c r="G160" s="1566"/>
      <c r="H160" s="1566"/>
      <c r="I160" s="1566"/>
      <c r="J160" s="1566"/>
    </row>
    <row r="161" spans="1:26" ht="12.75" hidden="1" customHeight="1" outlineLevel="1">
      <c r="A161" s="1422"/>
      <c r="B161" s="1572" t="s">
        <v>5541</v>
      </c>
      <c r="C161" s="1564"/>
      <c r="D161" s="1422"/>
      <c r="E161" s="1566"/>
      <c r="F161" s="1566"/>
      <c r="G161" s="1566"/>
      <c r="H161" s="1566"/>
      <c r="I161" s="1566"/>
      <c r="J161" s="1566"/>
    </row>
    <row r="162" spans="1:26" ht="12.75" customHeight="1" collapsed="1">
      <c r="A162" s="1422"/>
      <c r="B162" s="1571" t="s">
        <v>5542</v>
      </c>
      <c r="C162" s="1556"/>
      <c r="D162" s="1422"/>
      <c r="E162" s="1566"/>
      <c r="F162" s="1566"/>
      <c r="G162" s="1566"/>
      <c r="H162" s="1566"/>
      <c r="I162" s="1566"/>
      <c r="J162" s="1566"/>
    </row>
    <row r="163" spans="1:26" ht="12.75" customHeight="1">
      <c r="A163" s="1480"/>
      <c r="B163" s="1572" t="s">
        <v>5543</v>
      </c>
      <c r="C163" s="1473"/>
      <c r="D163" s="1480"/>
      <c r="E163" s="1566"/>
      <c r="F163" s="1566"/>
      <c r="G163" s="1566"/>
      <c r="H163" s="1566"/>
      <c r="I163" s="1566"/>
      <c r="J163" s="1566"/>
    </row>
    <row r="164" spans="1:26" ht="12.75" hidden="1" customHeight="1" outlineLevel="1">
      <c r="A164" s="1480"/>
      <c r="B164" s="1572" t="s">
        <v>5544</v>
      </c>
      <c r="C164" s="1473"/>
      <c r="D164" s="1480"/>
      <c r="E164" s="1566"/>
      <c r="F164" s="1566"/>
      <c r="G164" s="1566"/>
      <c r="H164" s="1566"/>
      <c r="I164" s="1566"/>
      <c r="J164" s="1566"/>
    </row>
    <row r="165" spans="1:26" ht="12.75" hidden="1" customHeight="1" outlineLevel="1">
      <c r="A165" s="1480"/>
      <c r="B165" s="1572" t="s">
        <v>5545</v>
      </c>
      <c r="C165" s="1473"/>
      <c r="D165" s="1480"/>
      <c r="E165" s="1566"/>
      <c r="F165" s="1566"/>
      <c r="G165" s="1566"/>
      <c r="H165" s="1566"/>
      <c r="I165" s="1566"/>
      <c r="J165" s="1566"/>
    </row>
    <row r="166" spans="1:26" ht="14.25" hidden="1" customHeight="1" outlineLevel="1">
      <c r="A166" s="1480"/>
      <c r="B166" s="1572" t="s">
        <v>5546</v>
      </c>
      <c r="C166" s="1473"/>
      <c r="D166" s="1480"/>
      <c r="E166" s="1566"/>
      <c r="F166" s="1566"/>
      <c r="G166" s="1566"/>
      <c r="H166" s="1566"/>
      <c r="I166" s="1566"/>
      <c r="J166" s="1566"/>
      <c r="K166" s="1480"/>
      <c r="L166" s="1480"/>
      <c r="M166" s="1480"/>
      <c r="N166" s="1480"/>
      <c r="O166" s="1480"/>
      <c r="P166" s="1480"/>
      <c r="Q166" s="1480"/>
      <c r="R166" s="1480"/>
      <c r="S166" s="1480"/>
      <c r="T166" s="1480"/>
      <c r="U166" s="1480"/>
      <c r="V166" s="1480"/>
      <c r="W166" s="1480"/>
      <c r="X166" s="1480"/>
      <c r="Y166" s="1480"/>
      <c r="Z166" s="1480"/>
    </row>
    <row r="167" spans="1:26" ht="14.25" hidden="1" customHeight="1" outlineLevel="1">
      <c r="A167" s="1480"/>
      <c r="B167" s="1572" t="s">
        <v>5505</v>
      </c>
      <c r="C167" s="1473"/>
      <c r="D167" s="1480"/>
      <c r="E167" s="1566"/>
      <c r="F167" s="1566"/>
      <c r="G167" s="1566"/>
      <c r="H167" s="1566"/>
      <c r="I167" s="1566"/>
      <c r="J167" s="1566"/>
      <c r="K167" s="1480"/>
      <c r="L167" s="1480"/>
      <c r="M167" s="1480"/>
      <c r="N167" s="1480"/>
      <c r="O167" s="1480"/>
      <c r="P167" s="1480"/>
      <c r="Q167" s="1480"/>
      <c r="R167" s="1480"/>
      <c r="S167" s="1480"/>
      <c r="T167" s="1480"/>
      <c r="U167" s="1480"/>
      <c r="V167" s="1480"/>
      <c r="W167" s="1480"/>
      <c r="X167" s="1480"/>
      <c r="Y167" s="1480"/>
      <c r="Z167" s="1480"/>
    </row>
    <row r="168" spans="1:26" ht="14.25" hidden="1" customHeight="1" outlineLevel="1">
      <c r="A168" s="1480"/>
      <c r="B168" s="1572" t="s">
        <v>5547</v>
      </c>
      <c r="C168" s="1473"/>
      <c r="D168" s="1480"/>
      <c r="E168" s="1566"/>
      <c r="F168" s="1566"/>
      <c r="G168" s="1566"/>
      <c r="H168" s="1566"/>
      <c r="I168" s="1566"/>
      <c r="J168" s="1566"/>
      <c r="K168" s="1480"/>
      <c r="L168" s="1480"/>
      <c r="M168" s="1480"/>
      <c r="N168" s="1480"/>
      <c r="O168" s="1480"/>
      <c r="P168" s="1480"/>
      <c r="Q168" s="1480"/>
      <c r="R168" s="1480"/>
      <c r="S168" s="1480"/>
      <c r="T168" s="1480"/>
      <c r="U168" s="1480"/>
      <c r="V168" s="1480"/>
      <c r="W168" s="1480"/>
      <c r="X168" s="1480"/>
      <c r="Y168" s="1480"/>
      <c r="Z168" s="1480"/>
    </row>
    <row r="169" spans="1:26" ht="14.25" hidden="1" customHeight="1" outlineLevel="1">
      <c r="A169" s="1422"/>
      <c r="B169" s="1572" t="s">
        <v>5548</v>
      </c>
      <c r="C169" s="1384"/>
      <c r="D169" s="1422"/>
      <c r="E169" s="1566"/>
      <c r="F169" s="1566"/>
      <c r="G169" s="1566"/>
      <c r="H169" s="1566"/>
      <c r="I169" s="1566"/>
      <c r="J169" s="1566"/>
      <c r="K169" s="1480"/>
      <c r="L169" s="1480"/>
      <c r="M169" s="1480"/>
      <c r="N169" s="1480"/>
      <c r="O169" s="1480"/>
      <c r="P169" s="1480"/>
      <c r="Q169" s="1480"/>
      <c r="R169" s="1480"/>
      <c r="S169" s="1480"/>
      <c r="T169" s="1480"/>
      <c r="U169" s="1480"/>
      <c r="V169" s="1480"/>
      <c r="W169" s="1480"/>
      <c r="X169" s="1480"/>
      <c r="Y169" s="1480"/>
      <c r="Z169" s="1480"/>
    </row>
    <row r="170" spans="1:26" ht="14.25" hidden="1" customHeight="1" outlineLevel="1">
      <c r="A170" s="1422"/>
      <c r="B170" s="1572" t="s">
        <v>5549</v>
      </c>
      <c r="C170" s="1473"/>
      <c r="D170" s="1422"/>
      <c r="E170" s="1566"/>
      <c r="F170" s="1566"/>
      <c r="G170" s="1566"/>
      <c r="H170" s="1566"/>
      <c r="I170" s="1566"/>
      <c r="J170" s="1566"/>
      <c r="K170" s="1480"/>
      <c r="L170" s="1480"/>
      <c r="M170" s="1480"/>
      <c r="N170" s="1480"/>
      <c r="O170" s="1480"/>
      <c r="P170" s="1480"/>
      <c r="Q170" s="1480"/>
      <c r="R170" s="1480"/>
      <c r="S170" s="1480"/>
      <c r="T170" s="1480"/>
      <c r="U170" s="1480"/>
      <c r="V170" s="1480"/>
      <c r="W170" s="1480"/>
      <c r="X170" s="1480"/>
      <c r="Y170" s="1480"/>
      <c r="Z170" s="1480"/>
    </row>
    <row r="171" spans="1:26" ht="14.25" hidden="1" customHeight="1" outlineLevel="1">
      <c r="A171" s="1422"/>
      <c r="B171" s="1572" t="s">
        <v>5550</v>
      </c>
      <c r="C171" s="1384"/>
      <c r="D171" s="1422"/>
      <c r="E171" s="1566"/>
      <c r="F171" s="1566"/>
      <c r="G171" s="1566"/>
      <c r="H171" s="1566"/>
      <c r="I171" s="1566"/>
      <c r="J171" s="1566"/>
      <c r="K171" s="1480"/>
      <c r="L171" s="1480"/>
      <c r="M171" s="1480"/>
      <c r="N171" s="1480"/>
      <c r="O171" s="1480"/>
      <c r="P171" s="1480"/>
      <c r="Q171" s="1480"/>
      <c r="R171" s="1480"/>
      <c r="S171" s="1480"/>
      <c r="T171" s="1480"/>
      <c r="U171" s="1480"/>
      <c r="V171" s="1480"/>
      <c r="W171" s="1480"/>
      <c r="X171" s="1480"/>
      <c r="Y171" s="1480"/>
      <c r="Z171" s="1480"/>
    </row>
    <row r="172" spans="1:26" ht="12.75" hidden="1" customHeight="1" outlineLevel="1">
      <c r="A172" s="1422"/>
      <c r="B172" s="1572" t="s">
        <v>5551</v>
      </c>
      <c r="C172" s="1384"/>
      <c r="D172" s="1422"/>
      <c r="E172" s="1566"/>
      <c r="F172" s="1566"/>
      <c r="G172" s="1566"/>
      <c r="H172" s="1566"/>
      <c r="I172" s="1566"/>
      <c r="J172" s="1566"/>
    </row>
    <row r="173" spans="1:26" ht="14.25" hidden="1" customHeight="1" outlineLevel="1">
      <c r="A173" s="1422"/>
      <c r="B173" s="1572" t="s">
        <v>5552</v>
      </c>
      <c r="C173" s="1384"/>
      <c r="D173" s="1422"/>
      <c r="E173" s="1566"/>
      <c r="F173" s="1566"/>
      <c r="G173" s="1566"/>
      <c r="H173" s="1566"/>
      <c r="I173" s="1566"/>
      <c r="J173" s="1566"/>
    </row>
    <row r="174" spans="1:26" ht="14.25" customHeight="1" collapsed="1">
      <c r="A174" s="1422"/>
      <c r="B174" s="1571" t="s">
        <v>5553</v>
      </c>
      <c r="C174" s="1556"/>
      <c r="D174" s="1422"/>
      <c r="E174" s="1566"/>
      <c r="F174" s="1566"/>
      <c r="G174" s="1566"/>
      <c r="H174" s="1566"/>
      <c r="I174" s="1566"/>
      <c r="J174" s="1566"/>
    </row>
    <row r="175" spans="1:26" ht="14.25" hidden="1" customHeight="1" outlineLevel="1">
      <c r="A175" s="1422"/>
      <c r="B175" s="289" t="s">
        <v>5554</v>
      </c>
      <c r="C175" s="1384"/>
      <c r="D175" s="1422"/>
      <c r="E175" s="1566"/>
      <c r="F175" s="1566"/>
      <c r="G175" s="1566"/>
      <c r="H175" s="1566"/>
      <c r="I175" s="1566"/>
      <c r="J175" s="1566"/>
    </row>
    <row r="176" spans="1:26" ht="14.25" customHeight="1" collapsed="1">
      <c r="A176" s="1422"/>
      <c r="B176" s="1552"/>
      <c r="C176" s="1422"/>
      <c r="D176" s="1422"/>
      <c r="E176" s="1566"/>
      <c r="F176" s="1566"/>
      <c r="G176" s="1566"/>
      <c r="H176" s="1566"/>
      <c r="I176" s="1566"/>
      <c r="J176" s="1566"/>
    </row>
    <row r="177" spans="1:10" ht="14.25" customHeight="1">
      <c r="A177" s="1422"/>
      <c r="B177" s="1579" t="s">
        <v>5555</v>
      </c>
      <c r="C177" s="1422"/>
      <c r="D177" s="1422"/>
      <c r="E177" s="1566"/>
      <c r="F177" s="1566"/>
      <c r="G177" s="1566"/>
      <c r="H177" s="1566"/>
      <c r="I177" s="1566"/>
      <c r="J177" s="1566"/>
    </row>
    <row r="178" spans="1:10" ht="14.25" customHeight="1">
      <c r="A178" s="1422"/>
      <c r="B178" s="1571" t="s">
        <v>5556</v>
      </c>
      <c r="C178" s="1556"/>
      <c r="D178" s="1422"/>
      <c r="E178" s="1566"/>
      <c r="F178" s="1566"/>
      <c r="G178" s="1566"/>
      <c r="H178" s="1566"/>
      <c r="I178" s="1566"/>
      <c r="J178" s="1566"/>
    </row>
    <row r="179" spans="1:10" ht="12.75" hidden="1" customHeight="1" outlineLevel="1">
      <c r="A179" s="1422"/>
      <c r="B179" s="1572" t="s">
        <v>5557</v>
      </c>
      <c r="C179" s="1384"/>
      <c r="D179" s="1422"/>
      <c r="E179" s="1566"/>
      <c r="F179" s="1566"/>
      <c r="G179" s="1566"/>
      <c r="H179" s="1566"/>
      <c r="I179" s="1566"/>
      <c r="J179" s="1566"/>
    </row>
    <row r="180" spans="1:10" ht="14.25" hidden="1" customHeight="1" outlineLevel="1">
      <c r="A180" s="1422"/>
      <c r="B180" s="1572" t="s">
        <v>5558</v>
      </c>
      <c r="C180" s="1384"/>
      <c r="D180" s="1422"/>
      <c r="E180" s="1566"/>
      <c r="F180" s="1566"/>
      <c r="G180" s="1566"/>
      <c r="H180" s="1566"/>
      <c r="I180" s="1566"/>
      <c r="J180" s="1566"/>
    </row>
    <row r="181" spans="1:10" ht="14.25" hidden="1" customHeight="1" outlineLevel="1">
      <c r="A181" s="1422"/>
      <c r="B181" s="1572" t="s">
        <v>5559</v>
      </c>
      <c r="C181" s="1384"/>
      <c r="D181" s="1422"/>
      <c r="E181" s="1566"/>
      <c r="F181" s="1566"/>
      <c r="G181" s="1566"/>
      <c r="H181" s="1566"/>
      <c r="I181" s="1566"/>
      <c r="J181" s="1566"/>
    </row>
    <row r="182" spans="1:10" ht="14.25" hidden="1" customHeight="1" outlineLevel="1">
      <c r="A182" s="1422"/>
      <c r="B182" s="1572" t="s">
        <v>5560</v>
      </c>
      <c r="C182" s="1384"/>
      <c r="D182" s="1422"/>
      <c r="E182" s="1566"/>
      <c r="F182" s="1566"/>
      <c r="G182" s="1566"/>
      <c r="H182" s="1566"/>
      <c r="I182" s="1566"/>
      <c r="J182" s="1566"/>
    </row>
    <row r="183" spans="1:10" ht="14.25" hidden="1" customHeight="1" outlineLevel="1">
      <c r="A183" s="1422"/>
      <c r="B183" s="1572" t="s">
        <v>5561</v>
      </c>
      <c r="C183" s="1384"/>
      <c r="D183" s="1422"/>
      <c r="E183" s="1566"/>
      <c r="F183" s="1566"/>
      <c r="G183" s="1566"/>
      <c r="H183" s="1566"/>
      <c r="I183" s="1566"/>
      <c r="J183" s="1566"/>
    </row>
    <row r="184" spans="1:10" ht="12.75" hidden="1" customHeight="1" outlineLevel="1">
      <c r="A184" s="1422"/>
      <c r="B184" s="1572" t="s">
        <v>5562</v>
      </c>
      <c r="C184" s="1384"/>
      <c r="D184" s="1422"/>
      <c r="E184" s="1566"/>
      <c r="F184" s="1566"/>
      <c r="G184" s="1566"/>
      <c r="H184" s="1566"/>
      <c r="I184" s="1566"/>
      <c r="J184" s="1566"/>
    </row>
    <row r="185" spans="1:10" ht="14.25" hidden="1" customHeight="1" outlineLevel="1">
      <c r="A185" s="1422"/>
      <c r="B185" s="1572" t="s">
        <v>5563</v>
      </c>
      <c r="C185" s="1384"/>
      <c r="D185" s="1422"/>
      <c r="E185" s="1566"/>
      <c r="F185" s="1566"/>
      <c r="G185" s="1566"/>
      <c r="H185" s="1566"/>
      <c r="I185" s="1566"/>
      <c r="J185" s="1566"/>
    </row>
    <row r="186" spans="1:10" ht="14.25" customHeight="1" collapsed="1">
      <c r="A186" s="1422"/>
      <c r="B186" s="1571" t="s">
        <v>2318</v>
      </c>
      <c r="C186" s="1556"/>
      <c r="D186" s="1422"/>
      <c r="E186" s="1566"/>
      <c r="F186" s="1566"/>
      <c r="G186" s="1566"/>
      <c r="H186" s="1566"/>
      <c r="I186" s="1566"/>
      <c r="J186" s="1566"/>
    </row>
    <row r="187" spans="1:10" ht="14.25" hidden="1" customHeight="1" outlineLevel="1">
      <c r="A187" s="1422"/>
      <c r="B187" s="1572" t="s">
        <v>5564</v>
      </c>
      <c r="C187" s="1384"/>
      <c r="D187" s="1422"/>
      <c r="E187" s="1566"/>
      <c r="F187" s="1566"/>
      <c r="G187" s="1566"/>
      <c r="H187" s="1566"/>
      <c r="I187" s="1566"/>
      <c r="J187" s="1566"/>
    </row>
    <row r="188" spans="1:10" ht="14.25" hidden="1" customHeight="1" outlineLevel="1">
      <c r="A188" s="1422"/>
      <c r="B188" s="1572" t="s">
        <v>5565</v>
      </c>
      <c r="C188" s="1384"/>
      <c r="D188" s="1422"/>
      <c r="E188" s="1566"/>
      <c r="F188" s="1566"/>
      <c r="G188" s="1566"/>
      <c r="H188" s="1566"/>
      <c r="I188" s="1566"/>
      <c r="J188" s="1566"/>
    </row>
    <row r="189" spans="1:10" ht="14.25" hidden="1" customHeight="1" outlineLevel="1">
      <c r="A189" s="1422"/>
      <c r="B189" s="1572" t="s">
        <v>5566</v>
      </c>
      <c r="C189" s="1384"/>
      <c r="D189" s="1422"/>
      <c r="E189" s="1566"/>
      <c r="F189" s="1566"/>
      <c r="G189" s="1566"/>
      <c r="H189" s="1566"/>
      <c r="I189" s="1566"/>
      <c r="J189" s="1566"/>
    </row>
    <row r="190" spans="1:10" ht="14.25" hidden="1" customHeight="1" outlineLevel="1">
      <c r="A190" s="1422"/>
      <c r="B190" s="1572" t="s">
        <v>5567</v>
      </c>
      <c r="C190" s="1384"/>
      <c r="D190" s="1422"/>
      <c r="E190" s="1566"/>
      <c r="F190" s="1566"/>
      <c r="G190" s="1566"/>
      <c r="H190" s="1566"/>
      <c r="I190" s="1566"/>
      <c r="J190" s="1566"/>
    </row>
    <row r="191" spans="1:10" ht="14.25" hidden="1" customHeight="1" outlineLevel="1">
      <c r="A191" s="1422"/>
      <c r="B191" s="1572" t="s">
        <v>5568</v>
      </c>
      <c r="C191" s="1384"/>
      <c r="D191" s="1422"/>
      <c r="E191" s="1566"/>
      <c r="F191" s="1566"/>
      <c r="G191" s="1566"/>
      <c r="H191" s="1566"/>
      <c r="I191" s="1566"/>
      <c r="J191" s="1566"/>
    </row>
    <row r="192" spans="1:10" ht="14.25" hidden="1" customHeight="1" outlineLevel="1">
      <c r="A192" s="1422"/>
      <c r="B192" s="1572" t="s">
        <v>5569</v>
      </c>
      <c r="C192" s="1384"/>
      <c r="D192" s="1422"/>
      <c r="E192" s="1566"/>
      <c r="F192" s="1566"/>
      <c r="G192" s="1566"/>
      <c r="H192" s="1566"/>
      <c r="I192" s="1566"/>
      <c r="J192" s="1566"/>
    </row>
    <row r="193" spans="1:10" ht="14.25" hidden="1" customHeight="1" outlineLevel="1">
      <c r="A193" s="1422"/>
      <c r="B193" s="1572" t="s">
        <v>5570</v>
      </c>
      <c r="C193" s="1384"/>
      <c r="D193" s="1422"/>
      <c r="E193" s="1566"/>
      <c r="F193" s="1566"/>
      <c r="G193" s="1566"/>
      <c r="H193" s="1566"/>
      <c r="I193" s="1566"/>
      <c r="J193" s="1566"/>
    </row>
    <row r="194" spans="1:10" ht="14.25" hidden="1" customHeight="1" outlineLevel="1">
      <c r="A194" s="1422"/>
      <c r="B194" s="1572" t="s">
        <v>5571</v>
      </c>
      <c r="C194" s="1384"/>
      <c r="D194" s="1422"/>
      <c r="E194" s="1566"/>
      <c r="F194" s="1566"/>
      <c r="G194" s="1566"/>
      <c r="H194" s="1566"/>
      <c r="I194" s="1566"/>
      <c r="J194" s="1566"/>
    </row>
    <row r="195" spans="1:10" ht="14.25" hidden="1" customHeight="1" outlineLevel="1">
      <c r="A195" s="1422"/>
      <c r="B195" s="1572" t="s">
        <v>5572</v>
      </c>
      <c r="C195" s="1384"/>
      <c r="D195" s="1422"/>
      <c r="E195" s="1566"/>
      <c r="F195" s="1566"/>
      <c r="G195" s="1566"/>
      <c r="H195" s="1566"/>
      <c r="I195" s="1566"/>
      <c r="J195" s="1566"/>
    </row>
    <row r="196" spans="1:10" ht="12.75" hidden="1" customHeight="1" outlineLevel="1">
      <c r="A196" s="1422"/>
      <c r="B196" s="1572" t="s">
        <v>5573</v>
      </c>
      <c r="C196" s="1564"/>
      <c r="D196" s="1422"/>
      <c r="E196" s="1566"/>
      <c r="F196" s="1566"/>
      <c r="G196" s="1566"/>
      <c r="H196" s="1566"/>
      <c r="I196" s="1566"/>
      <c r="J196" s="1566"/>
    </row>
    <row r="197" spans="1:10" ht="14.25" customHeight="1" collapsed="1">
      <c r="A197" s="1422"/>
      <c r="B197" s="1571" t="s">
        <v>5574</v>
      </c>
      <c r="C197" s="1556"/>
      <c r="D197" s="1422"/>
      <c r="E197" s="1566"/>
      <c r="F197" s="1566"/>
      <c r="G197" s="1566"/>
      <c r="H197" s="1566"/>
      <c r="I197" s="1566"/>
      <c r="J197" s="1566"/>
    </row>
    <row r="198" spans="1:10" ht="14.25" hidden="1" customHeight="1" outlineLevel="1">
      <c r="A198" s="1422"/>
      <c r="B198" s="1572" t="s">
        <v>5575</v>
      </c>
      <c r="C198" s="1384"/>
      <c r="D198" s="1422"/>
      <c r="E198" s="1422"/>
      <c r="F198" s="1552"/>
      <c r="G198" s="1422"/>
      <c r="H198" s="1422"/>
      <c r="I198" s="1422"/>
      <c r="J198" s="1422"/>
    </row>
    <row r="199" spans="1:10" ht="14.25" hidden="1" customHeight="1" outlineLevel="1">
      <c r="A199" s="1422"/>
      <c r="B199" s="1572" t="s">
        <v>5576</v>
      </c>
      <c r="C199" s="1384"/>
      <c r="D199" s="1422"/>
      <c r="E199" s="1422"/>
      <c r="F199" s="1552"/>
      <c r="G199" s="1422"/>
      <c r="H199" s="1422"/>
      <c r="I199" s="1422"/>
      <c r="J199" s="1422"/>
    </row>
    <row r="200" spans="1:10" ht="12.75" hidden="1" customHeight="1" outlineLevel="1">
      <c r="A200" s="1422"/>
      <c r="B200" s="1572" t="s">
        <v>5577</v>
      </c>
      <c r="C200" s="1384"/>
      <c r="D200" s="1422"/>
      <c r="E200" s="1422"/>
      <c r="F200" s="1552"/>
      <c r="G200" s="1422"/>
      <c r="H200" s="1422"/>
      <c r="I200" s="1422"/>
      <c r="J200" s="1422"/>
    </row>
    <row r="201" spans="1:10" ht="12.75" customHeight="1" collapsed="1">
      <c r="B201" s="1571" t="s">
        <v>5578</v>
      </c>
      <c r="C201" s="1556"/>
      <c r="F201" s="1552"/>
    </row>
    <row r="202" spans="1:10" ht="12.75" hidden="1" customHeight="1" outlineLevel="1">
      <c r="B202" s="1572" t="s">
        <v>5565</v>
      </c>
      <c r="C202" s="1384"/>
      <c r="F202" s="1552"/>
    </row>
    <row r="203" spans="1:10" ht="12.75" hidden="1" customHeight="1" outlineLevel="1">
      <c r="B203" s="1572" t="s">
        <v>5566</v>
      </c>
      <c r="C203" s="1384"/>
      <c r="F203" s="1552"/>
    </row>
    <row r="204" spans="1:10" ht="12.75" hidden="1" customHeight="1" outlineLevel="1">
      <c r="B204" s="1572" t="s">
        <v>5579</v>
      </c>
      <c r="C204" s="1384"/>
      <c r="F204" s="1552"/>
    </row>
    <row r="205" spans="1:10" ht="12.75" hidden="1" customHeight="1" outlineLevel="1">
      <c r="B205" s="1572" t="s">
        <v>5580</v>
      </c>
      <c r="C205" s="1384"/>
      <c r="F205" s="1552"/>
    </row>
    <row r="206" spans="1:10" ht="12.75" hidden="1" customHeight="1" outlineLevel="1">
      <c r="A206" s="1422"/>
      <c r="B206" s="1572" t="s">
        <v>5581</v>
      </c>
      <c r="C206" s="1384"/>
      <c r="D206" s="1422"/>
      <c r="F206" s="1552"/>
    </row>
    <row r="207" spans="1:10" ht="12.75" hidden="1" customHeight="1" outlineLevel="1">
      <c r="A207" s="1422"/>
      <c r="B207" s="1572" t="s">
        <v>5582</v>
      </c>
      <c r="C207" s="1384"/>
      <c r="D207" s="1422"/>
      <c r="F207" s="1552"/>
    </row>
    <row r="208" spans="1:10" ht="12.75" hidden="1" customHeight="1" outlineLevel="1">
      <c r="A208" s="1422"/>
      <c r="B208" s="1572" t="s">
        <v>5567</v>
      </c>
      <c r="C208" s="1384"/>
      <c r="D208" s="1422"/>
      <c r="F208" s="1552"/>
    </row>
    <row r="209" spans="1:6" ht="12.75" customHeight="1" collapsed="1">
      <c r="A209" s="1422"/>
      <c r="B209" s="1571" t="s">
        <v>5583</v>
      </c>
      <c r="C209" s="1556"/>
      <c r="D209" s="1422"/>
      <c r="F209" s="1552"/>
    </row>
    <row r="210" spans="1:6" ht="12.75" customHeight="1">
      <c r="A210" s="1422"/>
      <c r="B210" s="1572" t="s">
        <v>5583</v>
      </c>
      <c r="C210" s="1473"/>
      <c r="D210" s="1422"/>
      <c r="F210" s="1552"/>
    </row>
    <row r="211" spans="1:6" ht="12.75" hidden="1" customHeight="1" outlineLevel="1">
      <c r="A211" s="1422"/>
      <c r="B211" s="1572" t="s">
        <v>5584</v>
      </c>
      <c r="C211" s="1384"/>
      <c r="D211" s="1422"/>
      <c r="F211" s="1552"/>
    </row>
    <row r="212" spans="1:6" ht="12.75" hidden="1" customHeight="1" outlineLevel="1">
      <c r="A212" s="1422"/>
      <c r="B212" s="1572" t="s">
        <v>5585</v>
      </c>
      <c r="C212" s="1384"/>
      <c r="D212" s="1422"/>
      <c r="F212" s="1552"/>
    </row>
    <row r="213" spans="1:6" ht="12.75" customHeight="1" collapsed="1">
      <c r="A213" s="1422"/>
      <c r="B213" s="1571" t="s">
        <v>5586</v>
      </c>
      <c r="C213" s="1556"/>
      <c r="D213" s="1422"/>
      <c r="F213" s="1552"/>
    </row>
    <row r="214" spans="1:6" ht="12.75" hidden="1" customHeight="1" outlineLevel="1">
      <c r="A214" s="1422"/>
      <c r="B214" s="289" t="s">
        <v>5587</v>
      </c>
      <c r="C214" s="1384"/>
      <c r="D214" s="1422"/>
      <c r="F214" s="1552"/>
    </row>
    <row r="215" spans="1:6" ht="12.75" hidden="1" customHeight="1" outlineLevel="1">
      <c r="A215" s="1422"/>
      <c r="B215" s="289" t="s">
        <v>5588</v>
      </c>
      <c r="C215" s="1384"/>
      <c r="D215" s="1422"/>
      <c r="F215" s="1552"/>
    </row>
    <row r="216" spans="1:6" ht="12.75" hidden="1" customHeight="1" outlineLevel="1">
      <c r="A216" s="1422"/>
      <c r="B216" s="289" t="s">
        <v>5577</v>
      </c>
      <c r="C216" s="1384"/>
      <c r="D216" s="1422"/>
      <c r="F216" s="1552"/>
    </row>
    <row r="217" spans="1:6" ht="12.75" hidden="1" customHeight="1" outlineLevel="1">
      <c r="A217" s="1422"/>
      <c r="B217" s="289" t="s">
        <v>5589</v>
      </c>
      <c r="C217" s="1384"/>
      <c r="D217" s="1422"/>
      <c r="F217" s="1552"/>
    </row>
    <row r="218" spans="1:6" ht="12.75" hidden="1" customHeight="1" outlineLevel="1">
      <c r="A218" s="1422"/>
      <c r="B218" s="289" t="s">
        <v>5590</v>
      </c>
      <c r="C218" s="1564"/>
      <c r="D218" s="1422"/>
      <c r="F218" s="1552"/>
    </row>
    <row r="219" spans="1:6" ht="12.75" hidden="1" customHeight="1" outlineLevel="1">
      <c r="A219" s="1422"/>
      <c r="B219" s="289" t="s">
        <v>3403</v>
      </c>
      <c r="C219" s="1564"/>
      <c r="D219" s="1422"/>
      <c r="F219" s="1552"/>
    </row>
    <row r="220" spans="1:6" ht="12.75" hidden="1" customHeight="1" outlineLevel="1">
      <c r="A220" s="1422"/>
      <c r="B220" s="289" t="s">
        <v>3403</v>
      </c>
      <c r="C220" s="1384"/>
      <c r="D220" s="1422"/>
      <c r="F220" s="1552"/>
    </row>
    <row r="221" spans="1:6" ht="12.75" customHeight="1" collapsed="1">
      <c r="A221" s="1422"/>
      <c r="C221" s="1422"/>
      <c r="D221" s="1422"/>
      <c r="F221" s="1552"/>
    </row>
    <row r="222" spans="1:6" ht="12.75" customHeight="1">
      <c r="A222" s="1422"/>
      <c r="B222" s="1554"/>
      <c r="C222" s="1422"/>
      <c r="D222" s="1422"/>
      <c r="F222" s="1552"/>
    </row>
    <row r="223" spans="1:6" ht="12.75" customHeight="1">
      <c r="A223" s="1422"/>
      <c r="B223" s="1422"/>
      <c r="C223" s="1422"/>
      <c r="D223" s="1422"/>
      <c r="F223" s="1552"/>
    </row>
    <row r="224" spans="1:6" ht="12.75" customHeight="1">
      <c r="A224" s="1422"/>
      <c r="B224" s="1422"/>
      <c r="C224" s="1422"/>
      <c r="D224" s="1422"/>
      <c r="F224" s="1552"/>
    </row>
    <row r="225" spans="1:6" ht="12.75" customHeight="1">
      <c r="A225" s="1422"/>
      <c r="B225" s="1422"/>
      <c r="C225" s="1422"/>
      <c r="D225" s="1422"/>
      <c r="F225" s="1552"/>
    </row>
    <row r="226" spans="1:6" ht="12.75" customHeight="1">
      <c r="A226" s="1422"/>
      <c r="B226" s="1422"/>
      <c r="C226" s="1422"/>
      <c r="D226" s="1422"/>
      <c r="F226" s="1552"/>
    </row>
    <row r="227" spans="1:6" ht="12.75" customHeight="1">
      <c r="A227" s="1422"/>
      <c r="B227" s="1422"/>
      <c r="C227" s="1422"/>
      <c r="D227" s="1422"/>
      <c r="F227" s="1552"/>
    </row>
    <row r="228" spans="1:6" ht="12.75" customHeight="1">
      <c r="A228" s="1422"/>
      <c r="B228" s="1422"/>
      <c r="C228" s="1422"/>
      <c r="D228" s="1422"/>
      <c r="F228" s="1552"/>
    </row>
    <row r="229" spans="1:6" ht="12.75" customHeight="1">
      <c r="A229" s="1422"/>
      <c r="B229" s="1422"/>
      <c r="C229" s="1422"/>
      <c r="D229" s="1422"/>
      <c r="F229" s="1552"/>
    </row>
    <row r="230" spans="1:6" ht="12.75" customHeight="1">
      <c r="A230" s="1422"/>
      <c r="B230" s="1422"/>
      <c r="C230" s="1422"/>
      <c r="D230" s="1422"/>
      <c r="F230" s="1552"/>
    </row>
    <row r="231" spans="1:6" ht="12.75" customHeight="1">
      <c r="A231" s="1422"/>
      <c r="B231" s="1422"/>
      <c r="C231" s="1422"/>
      <c r="D231" s="1422"/>
      <c r="F231" s="1552"/>
    </row>
    <row r="232" spans="1:6" ht="12.75" customHeight="1">
      <c r="A232" s="1422"/>
      <c r="B232" s="1422"/>
      <c r="C232" s="1422"/>
      <c r="D232" s="1422"/>
      <c r="F232" s="1552"/>
    </row>
    <row r="233" spans="1:6" ht="12.75" customHeight="1">
      <c r="A233" s="1422"/>
      <c r="B233" s="1422"/>
      <c r="C233" s="1422"/>
      <c r="D233" s="1422"/>
      <c r="F233" s="1552"/>
    </row>
    <row r="234" spans="1:6" ht="12.75" customHeight="1">
      <c r="A234" s="1422"/>
      <c r="B234" s="1422"/>
      <c r="C234" s="1422"/>
      <c r="D234" s="1422"/>
      <c r="F234" s="1552"/>
    </row>
    <row r="235" spans="1:6" ht="12.75" customHeight="1">
      <c r="A235" s="1422"/>
      <c r="B235" s="1422"/>
      <c r="C235" s="1422"/>
      <c r="D235" s="1422"/>
      <c r="F235" s="1552"/>
    </row>
    <row r="236" spans="1:6" ht="12.75" customHeight="1">
      <c r="A236" s="1422"/>
      <c r="B236" s="1422"/>
      <c r="C236" s="1422"/>
      <c r="D236" s="1422"/>
      <c r="F236" s="1552"/>
    </row>
    <row r="237" spans="1:6" ht="12.75" customHeight="1">
      <c r="A237" s="1422"/>
      <c r="B237" s="1422"/>
      <c r="C237" s="1422"/>
      <c r="D237" s="1422"/>
      <c r="F237" s="1552"/>
    </row>
    <row r="238" spans="1:6" ht="12.75" customHeight="1">
      <c r="A238" s="1422"/>
      <c r="B238" s="1554"/>
      <c r="C238" s="1422"/>
      <c r="D238" s="1422"/>
      <c r="F238" s="1552"/>
    </row>
    <row r="239" spans="1:6" ht="12.75" customHeight="1">
      <c r="A239" s="1422"/>
      <c r="B239" s="1422"/>
      <c r="C239" s="1422"/>
      <c r="D239" s="1422"/>
      <c r="F239" s="1552"/>
    </row>
    <row r="240" spans="1:6" ht="12.75" customHeight="1">
      <c r="A240" s="1422"/>
      <c r="B240" s="1422"/>
      <c r="C240" s="1422"/>
      <c r="D240" s="1422"/>
      <c r="F240" s="1552"/>
    </row>
    <row r="241" spans="1:6" ht="12.75" customHeight="1">
      <c r="A241" s="1422"/>
      <c r="B241" s="1422"/>
      <c r="C241" s="1422"/>
      <c r="D241" s="1422"/>
      <c r="F241" s="1552"/>
    </row>
    <row r="242" spans="1:6" ht="12.75" customHeight="1">
      <c r="A242" s="1422"/>
      <c r="B242" s="1422"/>
      <c r="C242" s="1422"/>
      <c r="D242" s="1422"/>
      <c r="F242" s="1552"/>
    </row>
    <row r="243" spans="1:6" ht="12.75" customHeight="1">
      <c r="A243" s="1422"/>
      <c r="B243" s="1422"/>
      <c r="C243" s="1422"/>
      <c r="D243" s="1422"/>
      <c r="F243" s="1552"/>
    </row>
    <row r="244" spans="1:6" ht="12.75" customHeight="1">
      <c r="A244" s="1422"/>
      <c r="B244" s="1422"/>
      <c r="C244" s="1422"/>
      <c r="D244" s="1422"/>
      <c r="F244" s="1552"/>
    </row>
    <row r="245" spans="1:6" ht="12.75" customHeight="1">
      <c r="B245" s="1422"/>
      <c r="F245" s="1552"/>
    </row>
    <row r="246" spans="1:6" ht="12.75" customHeight="1">
      <c r="B246" s="1422"/>
      <c r="F246" s="1552"/>
    </row>
    <row r="247" spans="1:6" ht="12.75" customHeight="1">
      <c r="B247" s="1422"/>
      <c r="F247" s="1552"/>
    </row>
    <row r="248" spans="1:6" ht="12.75" customHeight="1">
      <c r="B248" s="1422"/>
      <c r="F248" s="1552"/>
    </row>
    <row r="249" spans="1:6" ht="12.75" customHeight="1">
      <c r="B249" s="1422"/>
      <c r="F249" s="1552"/>
    </row>
    <row r="250" spans="1:6" ht="12.75" customHeight="1">
      <c r="B250" s="1422"/>
      <c r="F250" s="1552"/>
    </row>
    <row r="251" spans="1:6" ht="12.75" customHeight="1">
      <c r="B251" s="1422"/>
      <c r="F251" s="1552"/>
    </row>
    <row r="252" spans="1:6" ht="12.75" customHeight="1">
      <c r="B252" s="1422"/>
      <c r="F252" s="1552"/>
    </row>
    <row r="253" spans="1:6" ht="12.75" customHeight="1">
      <c r="B253" s="1422"/>
      <c r="F253" s="1552"/>
    </row>
    <row r="254" spans="1:6" ht="12.75" customHeight="1">
      <c r="B254" s="1422"/>
      <c r="F254" s="1552"/>
    </row>
    <row r="255" spans="1:6" ht="12.75" customHeight="1">
      <c r="B255" s="1422"/>
      <c r="F255" s="1552"/>
    </row>
    <row r="256" spans="1:6" ht="12.75" customHeight="1">
      <c r="B256" s="1422"/>
      <c r="F256" s="1552"/>
    </row>
    <row r="257" spans="2:6" ht="12.75" customHeight="1">
      <c r="B257" s="1422"/>
      <c r="F257" s="1552"/>
    </row>
    <row r="258" spans="2:6" ht="12.75" customHeight="1">
      <c r="B258" s="1422"/>
      <c r="F258" s="1552"/>
    </row>
    <row r="259" spans="2:6" ht="12.75" customHeight="1">
      <c r="B259" s="1422"/>
      <c r="F259" s="1552"/>
    </row>
    <row r="260" spans="2:6" ht="12.75" customHeight="1">
      <c r="B260" s="1422"/>
      <c r="F260" s="1552"/>
    </row>
    <row r="261" spans="2:6" ht="12.75" customHeight="1">
      <c r="F261" s="1552"/>
    </row>
    <row r="262" spans="2:6" ht="12.75" customHeight="1">
      <c r="F262" s="1552"/>
    </row>
    <row r="263" spans="2:6" ht="12.75" customHeight="1">
      <c r="F263" s="1552"/>
    </row>
    <row r="264" spans="2:6" ht="12.75" customHeight="1">
      <c r="F264" s="1552"/>
    </row>
    <row r="265" spans="2:6" ht="12.75" customHeight="1">
      <c r="F265" s="1552"/>
    </row>
    <row r="266" spans="2:6" ht="12.75" customHeight="1">
      <c r="F266" s="1552"/>
    </row>
    <row r="267" spans="2:6" ht="12.75" customHeight="1">
      <c r="F267" s="1552"/>
    </row>
    <row r="268" spans="2:6" ht="12.75" customHeight="1">
      <c r="F268" s="1552"/>
    </row>
    <row r="269" spans="2:6" ht="12.75" customHeight="1">
      <c r="F269" s="1552"/>
    </row>
    <row r="270" spans="2:6" ht="12.75" customHeight="1">
      <c r="F270" s="1552"/>
    </row>
    <row r="271" spans="2:6" ht="12.75" customHeight="1">
      <c r="F271" s="1552"/>
    </row>
    <row r="272" spans="2:6" ht="12.75" customHeight="1">
      <c r="F272" s="1552"/>
    </row>
    <row r="273" spans="6:6" ht="12.75" customHeight="1">
      <c r="F273" s="1552"/>
    </row>
    <row r="274" spans="6:6" ht="12.75" customHeight="1">
      <c r="F274" s="1552"/>
    </row>
    <row r="275" spans="6:6" ht="12.75" customHeight="1">
      <c r="F275" s="1552"/>
    </row>
    <row r="276" spans="6:6" ht="12.75" customHeight="1">
      <c r="F276" s="1552"/>
    </row>
    <row r="277" spans="6:6" ht="12.75" customHeight="1">
      <c r="F277" s="1552"/>
    </row>
    <row r="278" spans="6:6" ht="12.75" customHeight="1">
      <c r="F278" s="1552"/>
    </row>
    <row r="279" spans="6:6" ht="12.75" customHeight="1">
      <c r="F279" s="1552"/>
    </row>
    <row r="280" spans="6:6" ht="12.75" customHeight="1">
      <c r="F280" s="1552"/>
    </row>
    <row r="281" spans="6:6" ht="12.75" customHeight="1">
      <c r="F281" s="1552"/>
    </row>
    <row r="282" spans="6:6" ht="12.75" customHeight="1">
      <c r="F282" s="1552"/>
    </row>
    <row r="283" spans="6:6" ht="12.75" customHeight="1">
      <c r="F283" s="1552"/>
    </row>
    <row r="284" spans="6:6" ht="12.75" customHeight="1">
      <c r="F284" s="1552"/>
    </row>
    <row r="285" spans="6:6" ht="12.75" customHeight="1">
      <c r="F285" s="1552"/>
    </row>
    <row r="286" spans="6:6" ht="12.75" customHeight="1">
      <c r="F286" s="1552"/>
    </row>
    <row r="287" spans="6:6" ht="12.75" customHeight="1">
      <c r="F287" s="1552"/>
    </row>
    <row r="288" spans="6:6" ht="12.75" customHeight="1">
      <c r="F288" s="1552"/>
    </row>
    <row r="289" spans="6:6" ht="12.75" customHeight="1">
      <c r="F289" s="1552"/>
    </row>
    <row r="290" spans="6:6" ht="12.75" customHeight="1">
      <c r="F290" s="1552"/>
    </row>
    <row r="291" spans="6:6" ht="12.75" customHeight="1">
      <c r="F291" s="1552"/>
    </row>
    <row r="292" spans="6:6" ht="12.75" customHeight="1">
      <c r="F292" s="1552"/>
    </row>
    <row r="293" spans="6:6" ht="12.75" customHeight="1">
      <c r="F293" s="1552"/>
    </row>
    <row r="294" spans="6:6" ht="12.75" customHeight="1">
      <c r="F294" s="1552"/>
    </row>
    <row r="295" spans="6:6" ht="12.75" customHeight="1">
      <c r="F295" s="1552"/>
    </row>
    <row r="296" spans="6:6" ht="12.75" customHeight="1">
      <c r="F296" s="1552"/>
    </row>
    <row r="297" spans="6:6" ht="12.75" customHeight="1">
      <c r="F297" s="1552"/>
    </row>
    <row r="298" spans="6:6" ht="12.75" customHeight="1">
      <c r="F298" s="1552"/>
    </row>
    <row r="299" spans="6:6" ht="12.75" customHeight="1">
      <c r="F299" s="1552"/>
    </row>
    <row r="300" spans="6:6" ht="12.75" customHeight="1">
      <c r="F300" s="1552"/>
    </row>
    <row r="301" spans="6:6" ht="12.75" customHeight="1">
      <c r="F301" s="1552"/>
    </row>
    <row r="302" spans="6:6" ht="12.75" customHeight="1">
      <c r="F302" s="1552"/>
    </row>
    <row r="303" spans="6:6" ht="12.75" customHeight="1">
      <c r="F303" s="1552"/>
    </row>
    <row r="304" spans="6:6" ht="12.75" customHeight="1">
      <c r="F304" s="1552"/>
    </row>
    <row r="305" spans="6:6" ht="12.75" customHeight="1">
      <c r="F305" s="1552"/>
    </row>
    <row r="306" spans="6:6" ht="12.75" customHeight="1">
      <c r="F306" s="1552"/>
    </row>
    <row r="307" spans="6:6" ht="12.75" customHeight="1">
      <c r="F307" s="1552"/>
    </row>
    <row r="308" spans="6:6" ht="12.75" customHeight="1">
      <c r="F308" s="1552"/>
    </row>
    <row r="309" spans="6:6" ht="12.75" customHeight="1">
      <c r="F309" s="1552"/>
    </row>
    <row r="310" spans="6:6" ht="12.75" customHeight="1">
      <c r="F310" s="1552"/>
    </row>
    <row r="311" spans="6:6" ht="12.75" customHeight="1">
      <c r="F311" s="1552"/>
    </row>
    <row r="312" spans="6:6" ht="12.75" customHeight="1">
      <c r="F312" s="1552"/>
    </row>
    <row r="313" spans="6:6" ht="12.75" customHeight="1">
      <c r="F313" s="1552"/>
    </row>
    <row r="314" spans="6:6" ht="12.75" customHeight="1">
      <c r="F314" s="1552"/>
    </row>
    <row r="315" spans="6:6" ht="12.75" customHeight="1">
      <c r="F315" s="1552"/>
    </row>
    <row r="316" spans="6:6" ht="12.75" customHeight="1">
      <c r="F316" s="1552"/>
    </row>
    <row r="317" spans="6:6" ht="12.75" customHeight="1">
      <c r="F317" s="1552"/>
    </row>
    <row r="318" spans="6:6" ht="12.75" customHeight="1">
      <c r="F318" s="1552"/>
    </row>
    <row r="319" spans="6:6" ht="12.75" customHeight="1">
      <c r="F319" s="1552"/>
    </row>
    <row r="320" spans="6:6" ht="12.75" customHeight="1">
      <c r="F320" s="1552"/>
    </row>
    <row r="321" spans="6:6" ht="12.75" customHeight="1">
      <c r="F321" s="1552"/>
    </row>
    <row r="322" spans="6:6" ht="12.75" customHeight="1">
      <c r="F322" s="1552"/>
    </row>
    <row r="323" spans="6:6" ht="12.75" customHeight="1">
      <c r="F323" s="1552"/>
    </row>
    <row r="324" spans="6:6" ht="12.75" customHeight="1">
      <c r="F324" s="1552"/>
    </row>
    <row r="325" spans="6:6" ht="12.75" customHeight="1">
      <c r="F325" s="1552"/>
    </row>
    <row r="326" spans="6:6" ht="12.75" customHeight="1">
      <c r="F326" s="1552"/>
    </row>
    <row r="327" spans="6:6" ht="12.75" customHeight="1">
      <c r="F327" s="1552"/>
    </row>
    <row r="328" spans="6:6" ht="12.75" customHeight="1">
      <c r="F328" s="1552"/>
    </row>
    <row r="329" spans="6:6" ht="12.75" customHeight="1">
      <c r="F329" s="1552"/>
    </row>
    <row r="330" spans="6:6" ht="12.75" customHeight="1">
      <c r="F330" s="1552"/>
    </row>
    <row r="331" spans="6:6" ht="12.75" customHeight="1">
      <c r="F331" s="1552"/>
    </row>
    <row r="332" spans="6:6" ht="12.75" customHeight="1">
      <c r="F332" s="1552"/>
    </row>
    <row r="333" spans="6:6" ht="12.75" customHeight="1">
      <c r="F333" s="1552"/>
    </row>
    <row r="334" spans="6:6" ht="12.75" customHeight="1">
      <c r="F334" s="1552"/>
    </row>
    <row r="335" spans="6:6" ht="12.75" customHeight="1">
      <c r="F335" s="1552"/>
    </row>
    <row r="336" spans="6:6" ht="12.75" customHeight="1">
      <c r="F336" s="1552"/>
    </row>
    <row r="337" spans="6:6" ht="12.75" customHeight="1">
      <c r="F337" s="1552"/>
    </row>
    <row r="338" spans="6:6" ht="12.75" customHeight="1">
      <c r="F338" s="1552"/>
    </row>
    <row r="339" spans="6:6" ht="12.75" customHeight="1">
      <c r="F339" s="1552"/>
    </row>
    <row r="340" spans="6:6" ht="12.75" customHeight="1">
      <c r="F340" s="1552"/>
    </row>
    <row r="341" spans="6:6" ht="12.75" customHeight="1">
      <c r="F341" s="1552"/>
    </row>
    <row r="342" spans="6:6" ht="12.75" customHeight="1">
      <c r="F342" s="1552"/>
    </row>
    <row r="343" spans="6:6" ht="12.75" customHeight="1">
      <c r="F343" s="1552"/>
    </row>
    <row r="344" spans="6:6" ht="12.75" customHeight="1">
      <c r="F344" s="1552"/>
    </row>
    <row r="345" spans="6:6" ht="12.75" customHeight="1">
      <c r="F345" s="1552"/>
    </row>
    <row r="346" spans="6:6" ht="12.75" customHeight="1">
      <c r="F346" s="1552"/>
    </row>
    <row r="347" spans="6:6" ht="12.75" customHeight="1">
      <c r="F347" s="1552"/>
    </row>
    <row r="348" spans="6:6" ht="12.75" customHeight="1">
      <c r="F348" s="1552"/>
    </row>
    <row r="349" spans="6:6" ht="12.75" customHeight="1">
      <c r="F349" s="1552"/>
    </row>
    <row r="350" spans="6:6" ht="12.75" customHeight="1">
      <c r="F350" s="1552"/>
    </row>
    <row r="351" spans="6:6" ht="12.75" customHeight="1">
      <c r="F351" s="1552"/>
    </row>
    <row r="352" spans="6:6" ht="12.75" customHeight="1">
      <c r="F352" s="1552"/>
    </row>
    <row r="353" spans="6:6" ht="12.75" customHeight="1">
      <c r="F353" s="1552"/>
    </row>
    <row r="354" spans="6:6" ht="12.75" customHeight="1">
      <c r="F354" s="1552"/>
    </row>
    <row r="355" spans="6:6" ht="12.75" customHeight="1">
      <c r="F355" s="1552"/>
    </row>
    <row r="356" spans="6:6" ht="12.75" customHeight="1">
      <c r="F356" s="1552"/>
    </row>
    <row r="357" spans="6:6" ht="12.75" customHeight="1">
      <c r="F357" s="1552"/>
    </row>
    <row r="358" spans="6:6" ht="12.75" customHeight="1">
      <c r="F358" s="1552"/>
    </row>
    <row r="359" spans="6:6" ht="12.75" customHeight="1">
      <c r="F359" s="1552"/>
    </row>
    <row r="360" spans="6:6" ht="12.75" customHeight="1">
      <c r="F360" s="1552"/>
    </row>
    <row r="361" spans="6:6" ht="12.75" customHeight="1">
      <c r="F361" s="1552"/>
    </row>
    <row r="362" spans="6:6" ht="12.75" customHeight="1">
      <c r="F362" s="1552"/>
    </row>
    <row r="363" spans="6:6" ht="12.75" customHeight="1">
      <c r="F363" s="1552"/>
    </row>
    <row r="364" spans="6:6" ht="12.75" customHeight="1">
      <c r="F364" s="1552"/>
    </row>
    <row r="365" spans="6:6" ht="12.75" customHeight="1">
      <c r="F365" s="1552"/>
    </row>
    <row r="366" spans="6:6" ht="12.75" customHeight="1">
      <c r="F366" s="1552"/>
    </row>
    <row r="367" spans="6:6" ht="12.75" customHeight="1">
      <c r="F367" s="1552"/>
    </row>
    <row r="368" spans="6:6" ht="12.75" customHeight="1">
      <c r="F368" s="1552"/>
    </row>
    <row r="369" spans="6:6" ht="12.75" customHeight="1">
      <c r="F369" s="1552"/>
    </row>
    <row r="370" spans="6:6" ht="12.75" customHeight="1">
      <c r="F370" s="1552"/>
    </row>
    <row r="371" spans="6:6" ht="12.75" customHeight="1">
      <c r="F371" s="1552"/>
    </row>
    <row r="372" spans="6:6" ht="12.75" customHeight="1">
      <c r="F372" s="1552"/>
    </row>
    <row r="373" spans="6:6" ht="12.75" customHeight="1">
      <c r="F373" s="1552"/>
    </row>
    <row r="374" spans="6:6" ht="12.75" customHeight="1">
      <c r="F374" s="1552"/>
    </row>
    <row r="375" spans="6:6" ht="12.75" customHeight="1">
      <c r="F375" s="1552"/>
    </row>
    <row r="376" spans="6:6" ht="12.75" customHeight="1">
      <c r="F376" s="1552"/>
    </row>
    <row r="377" spans="6:6" ht="12.75" customHeight="1">
      <c r="F377" s="1552"/>
    </row>
    <row r="378" spans="6:6" ht="12.75" customHeight="1">
      <c r="F378" s="1552"/>
    </row>
    <row r="379" spans="6:6" ht="12.75" customHeight="1">
      <c r="F379" s="1552"/>
    </row>
    <row r="380" spans="6:6" ht="12.75" customHeight="1">
      <c r="F380" s="1552"/>
    </row>
    <row r="381" spans="6:6" ht="12.75" customHeight="1">
      <c r="F381" s="1552"/>
    </row>
    <row r="382" spans="6:6" ht="12.75" customHeight="1">
      <c r="F382" s="1552"/>
    </row>
    <row r="383" spans="6:6" ht="12.75" customHeight="1">
      <c r="F383" s="1552"/>
    </row>
    <row r="384" spans="6:6" ht="12.75" customHeight="1">
      <c r="F384" s="1552"/>
    </row>
    <row r="385" spans="6:6" ht="12.75" customHeight="1">
      <c r="F385" s="1552"/>
    </row>
    <row r="386" spans="6:6" ht="12.75" customHeight="1">
      <c r="F386" s="1552"/>
    </row>
    <row r="387" spans="6:6" ht="12.75" customHeight="1">
      <c r="F387" s="1552"/>
    </row>
    <row r="388" spans="6:6" ht="12.75" customHeight="1">
      <c r="F388" s="1552"/>
    </row>
    <row r="389" spans="6:6" ht="12.75" customHeight="1">
      <c r="F389" s="1552"/>
    </row>
    <row r="390" spans="6:6" ht="12.75" customHeight="1">
      <c r="F390" s="1552"/>
    </row>
    <row r="391" spans="6:6" ht="12.75" customHeight="1">
      <c r="F391" s="1552"/>
    </row>
    <row r="392" spans="6:6" ht="12.75" customHeight="1">
      <c r="F392" s="1552"/>
    </row>
    <row r="393" spans="6:6" ht="12.75" customHeight="1">
      <c r="F393" s="1552"/>
    </row>
    <row r="394" spans="6:6" ht="12.75" customHeight="1">
      <c r="F394" s="1552"/>
    </row>
    <row r="395" spans="6:6" ht="12.75" customHeight="1">
      <c r="F395" s="1552"/>
    </row>
    <row r="396" spans="6:6" ht="12.75" customHeight="1">
      <c r="F396" s="1552"/>
    </row>
    <row r="397" spans="6:6" ht="12.75" customHeight="1">
      <c r="F397" s="1552"/>
    </row>
    <row r="398" spans="6:6" ht="12.75" customHeight="1">
      <c r="F398" s="1552"/>
    </row>
    <row r="399" spans="6:6" ht="12.75" customHeight="1">
      <c r="F399" s="1552"/>
    </row>
    <row r="400" spans="6:6" ht="12.75" customHeight="1">
      <c r="F400" s="1552"/>
    </row>
    <row r="401" spans="6:6" ht="12.75" customHeight="1">
      <c r="F401" s="1552"/>
    </row>
    <row r="402" spans="6:6" ht="12.75" customHeight="1">
      <c r="F402" s="1552"/>
    </row>
    <row r="403" spans="6:6" ht="12.75" customHeight="1">
      <c r="F403" s="1552"/>
    </row>
    <row r="404" spans="6:6" ht="12.75" customHeight="1">
      <c r="F404" s="1552"/>
    </row>
    <row r="405" spans="6:6" ht="12.75" customHeight="1">
      <c r="F405" s="1552"/>
    </row>
    <row r="406" spans="6:6" ht="12.75" customHeight="1">
      <c r="F406" s="1552"/>
    </row>
    <row r="407" spans="6:6" ht="12.75" customHeight="1">
      <c r="F407" s="1552"/>
    </row>
    <row r="408" spans="6:6" ht="12.75" customHeight="1">
      <c r="F408" s="1552"/>
    </row>
    <row r="409" spans="6:6" ht="12.75" customHeight="1">
      <c r="F409" s="1552"/>
    </row>
    <row r="410" spans="6:6" ht="12.75" customHeight="1">
      <c r="F410" s="1552"/>
    </row>
    <row r="411" spans="6:6" ht="12.75" customHeight="1">
      <c r="F411" s="1552"/>
    </row>
    <row r="412" spans="6:6" ht="12.75" customHeight="1">
      <c r="F412" s="1552"/>
    </row>
    <row r="413" spans="6:6" ht="12.75" customHeight="1">
      <c r="F413" s="1552"/>
    </row>
    <row r="414" spans="6:6" ht="12.75" customHeight="1">
      <c r="F414" s="1552"/>
    </row>
    <row r="415" spans="6:6" ht="12.75" customHeight="1">
      <c r="F415" s="1552"/>
    </row>
    <row r="416" spans="6:6" ht="12.75" customHeight="1">
      <c r="F416" s="1552"/>
    </row>
    <row r="417" spans="6:6" ht="12.75" customHeight="1">
      <c r="F417" s="1552"/>
    </row>
    <row r="418" spans="6:6" ht="12.75" customHeight="1">
      <c r="F418" s="1552"/>
    </row>
    <row r="419" spans="6:6" ht="12.75" customHeight="1">
      <c r="F419" s="1552"/>
    </row>
    <row r="420" spans="6:6" ht="12.75" customHeight="1">
      <c r="F420" s="1552"/>
    </row>
    <row r="421" spans="6:6" ht="15.75" customHeight="1"/>
    <row r="422" spans="6:6" ht="15.75" customHeight="1"/>
    <row r="423" spans="6:6" ht="15.75" customHeight="1"/>
    <row r="424" spans="6:6" ht="15.75" customHeight="1"/>
    <row r="425" spans="6:6" ht="15.75" customHeight="1"/>
    <row r="426" spans="6:6" ht="15.75" customHeight="1"/>
    <row r="427" spans="6:6" ht="15.75" customHeight="1"/>
    <row r="428" spans="6:6" ht="15.75" customHeight="1"/>
    <row r="429" spans="6:6" ht="15.75" customHeight="1"/>
    <row r="430" spans="6:6" ht="15.75" customHeight="1"/>
    <row r="431" spans="6:6" ht="15.75" customHeight="1"/>
    <row r="432" spans="6:6"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7">
    <dataValidation type="list" allowBlank="1" showErrorMessage="1" sqref="C51 C224" xr:uid="{00000000-0002-0000-0900-000000000000}">
      <formula1>"1,2,3,4,5,6,7,8"</formula1>
    </dataValidation>
    <dataValidation type="list" allowBlank="1" showErrorMessage="1" sqref="F25:F48" xr:uid="{00000000-0002-0000-0900-000001000000}">
      <formula1>"1,2,3"</formula1>
    </dataValidation>
    <dataValidation type="list" allowBlank="1" showErrorMessage="1" sqref="J17:J19 J25:J48 C5:C50 C53:C54 C56 C58:C63 C73 C75 C79 C81 C83 C85 C88 C90 C92 C97 C99 C103 C106 C113 C116 C119 C126 C133 C141 C143 C147 C149 C153 C155 C158 C162 C174 C178 C186 C197 C201 C209 C213 C222 C226:C227 C229" xr:uid="{00000000-0002-0000-0900-000002000000}">
      <formula1>"x,-"</formula1>
    </dataValidation>
    <dataValidation type="list" allowBlank="1" showErrorMessage="1" sqref="C52 C225" xr:uid="{00000000-0002-0000-0900-000003000000}">
      <formula1>"1,2,3,4,5,6"</formula1>
    </dataValidation>
    <dataValidation type="list" allowBlank="1" showErrorMessage="1" sqref="C55 C228" xr:uid="{00000000-0002-0000-0900-000004000000}">
      <formula1>"50,70,100,120,150"</formula1>
    </dataValidation>
    <dataValidation type="list" allowBlank="1" showErrorMessage="1" sqref="C223" xr:uid="{00000000-0002-0000-0900-000005000000}">
      <formula1>"10,20,30,40,50"</formula1>
    </dataValidation>
    <dataValidation type="list" allowBlank="1" showErrorMessage="1" sqref="C163 C210" xr:uid="{00000000-0002-0000-0900-000006000000}">
      <formula1>"1,2,3,4,5,6,7,8,9"</formula1>
    </dataValidation>
  </dataValidations>
  <pageMargins left="0.75" right="0.75" top="1" bottom="1"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pane xSplit="8" ySplit="3" topLeftCell="I4" activePane="bottomRight" state="frozen"/>
      <selection pane="topRight" activeCell="I1" sqref="I1"/>
      <selection pane="bottomLeft" activeCell="A4" sqref="A4"/>
      <selection pane="bottomRight" activeCell="I4" sqref="I4"/>
    </sheetView>
  </sheetViews>
  <sheetFormatPr defaultColWidth="14.42578125" defaultRowHeight="15" customHeight="1"/>
  <cols>
    <col min="1" max="1" width="3.7109375" customWidth="1"/>
    <col min="2" max="2" width="6.140625" customWidth="1"/>
    <col min="3" max="3" width="19.42578125" customWidth="1"/>
    <col min="4" max="4" width="18.42578125" customWidth="1"/>
    <col min="5" max="5" width="13.7109375" customWidth="1"/>
    <col min="6" max="6" width="13.140625" customWidth="1"/>
    <col min="7" max="7" width="14" customWidth="1"/>
    <col min="8" max="8" width="15" customWidth="1"/>
    <col min="9" max="9" width="35.7109375" customWidth="1"/>
    <col min="10" max="10" width="41.42578125" customWidth="1"/>
    <col min="11" max="11" width="4.42578125" customWidth="1"/>
    <col min="12" max="12" width="25.7109375" customWidth="1"/>
    <col min="13" max="13" width="3.42578125" customWidth="1"/>
    <col min="14" max="14" width="12.28515625" customWidth="1"/>
    <col min="15" max="15" width="8.7109375" customWidth="1"/>
    <col min="16" max="16" width="12" customWidth="1"/>
    <col min="17" max="18" width="8.7109375" customWidth="1"/>
    <col min="19" max="19" width="36.140625" customWidth="1"/>
    <col min="20" max="26" width="8.7109375" customWidth="1"/>
  </cols>
  <sheetData>
    <row r="1" spans="1:26" ht="31.5">
      <c r="A1" s="1580"/>
      <c r="B1" s="1580"/>
      <c r="C1" s="1581" t="s">
        <v>3342</v>
      </c>
      <c r="D1" s="1580"/>
      <c r="E1" s="1580"/>
      <c r="F1" s="1580"/>
      <c r="G1" s="1580"/>
      <c r="H1" s="1580"/>
      <c r="I1" s="1582"/>
      <c r="J1" s="1582" t="s">
        <v>5591</v>
      </c>
      <c r="K1" s="1583"/>
      <c r="L1" s="1584" t="s">
        <v>5592</v>
      </c>
      <c r="M1" s="1585"/>
      <c r="N1" s="1584" t="s">
        <v>5593</v>
      </c>
      <c r="O1" s="1586"/>
      <c r="P1" s="1584"/>
      <c r="Q1" s="1587"/>
      <c r="R1" s="1580"/>
      <c r="S1" s="1580"/>
      <c r="T1" s="1580"/>
      <c r="U1" s="1580"/>
      <c r="V1" s="1580"/>
      <c r="W1" s="1580"/>
      <c r="X1" s="1580"/>
      <c r="Y1" s="1580"/>
      <c r="Z1" s="1580"/>
    </row>
    <row r="2" spans="1:26" ht="47.25">
      <c r="A2" s="1580"/>
      <c r="B2" s="1580"/>
      <c r="C2" s="1581"/>
      <c r="D2" s="1580"/>
      <c r="E2" s="1580"/>
      <c r="F2" s="1580"/>
      <c r="G2" s="1580"/>
      <c r="H2" s="1580"/>
      <c r="I2" s="1582"/>
      <c r="J2" s="1582"/>
      <c r="K2" s="1588"/>
      <c r="L2" s="1584" t="s">
        <v>5594</v>
      </c>
      <c r="M2" s="1584"/>
      <c r="N2" s="1584"/>
      <c r="O2" s="1586"/>
      <c r="P2" s="1796"/>
      <c r="Q2" s="1783"/>
      <c r="R2" s="1580"/>
      <c r="S2" s="1580"/>
      <c r="T2" s="1580"/>
      <c r="U2" s="1580"/>
      <c r="V2" s="1580"/>
      <c r="W2" s="1580"/>
      <c r="X2" s="1580"/>
      <c r="Y2" s="1580"/>
      <c r="Z2" s="1580"/>
    </row>
    <row r="3" spans="1:26" ht="33.75" customHeight="1">
      <c r="A3" s="1580"/>
      <c r="B3" s="1590" t="s">
        <v>15</v>
      </c>
      <c r="C3" s="1591" t="s">
        <v>3375</v>
      </c>
      <c r="D3" s="1591" t="s">
        <v>4844</v>
      </c>
      <c r="E3" s="1592" t="s">
        <v>5595</v>
      </c>
      <c r="F3" s="1592" t="s">
        <v>5596</v>
      </c>
      <c r="G3" s="1592" t="s">
        <v>5597</v>
      </c>
      <c r="H3" s="1593" t="s">
        <v>5598</v>
      </c>
      <c r="I3" s="1593" t="s">
        <v>5599</v>
      </c>
      <c r="J3" s="1594" t="s">
        <v>21</v>
      </c>
      <c r="K3" s="1580"/>
      <c r="L3" s="1580"/>
      <c r="M3" s="1580"/>
      <c r="N3" s="1580"/>
      <c r="O3" s="1580"/>
      <c r="P3" s="1580"/>
      <c r="Q3" s="1580"/>
      <c r="R3" s="1580"/>
      <c r="S3" s="1580"/>
      <c r="T3" s="1580"/>
      <c r="U3" s="1580"/>
      <c r="V3" s="1580"/>
      <c r="W3" s="1580"/>
      <c r="X3" s="1580"/>
      <c r="Y3" s="1580"/>
      <c r="Z3" s="1580"/>
    </row>
    <row r="4" spans="1:26" ht="15.75" customHeight="1">
      <c r="A4" s="1580"/>
      <c r="B4" s="1595">
        <v>1</v>
      </c>
      <c r="C4" s="1596" t="s">
        <v>1378</v>
      </c>
      <c r="D4" s="1596" t="s">
        <v>5600</v>
      </c>
      <c r="E4" s="1597">
        <v>42248</v>
      </c>
      <c r="F4" s="1598">
        <v>42278</v>
      </c>
      <c r="G4" s="1599">
        <v>42309</v>
      </c>
      <c r="H4" s="1600">
        <v>1</v>
      </c>
      <c r="I4" s="1595"/>
      <c r="J4" s="1601" t="s">
        <v>5601</v>
      </c>
      <c r="K4" s="1580"/>
      <c r="L4" s="1580"/>
      <c r="M4" s="1580"/>
      <c r="N4" s="1580"/>
      <c r="O4" s="1580"/>
      <c r="P4" s="1580"/>
      <c r="Q4" s="1580"/>
      <c r="R4" s="1580"/>
      <c r="S4" s="1602"/>
      <c r="T4" s="1580"/>
      <c r="U4" s="1580"/>
      <c r="V4" s="1580"/>
      <c r="W4" s="1580"/>
      <c r="X4" s="1580"/>
      <c r="Y4" s="1580"/>
      <c r="Z4" s="1580"/>
    </row>
    <row r="5" spans="1:26" ht="15.75" customHeight="1">
      <c r="A5" s="1580"/>
      <c r="B5" s="1603">
        <f t="shared" ref="B5:B19" si="0">B4+1</f>
        <v>2</v>
      </c>
      <c r="C5" s="1584" t="s">
        <v>188</v>
      </c>
      <c r="D5" s="1584" t="s">
        <v>5602</v>
      </c>
      <c r="E5" s="1604">
        <v>42248</v>
      </c>
      <c r="F5" s="1605">
        <v>42278</v>
      </c>
      <c r="G5" s="1606">
        <v>42309</v>
      </c>
      <c r="H5" s="1607">
        <v>1</v>
      </c>
      <c r="I5" s="1603"/>
      <c r="J5" s="1608" t="s">
        <v>5603</v>
      </c>
      <c r="K5" s="1580"/>
      <c r="L5" s="1580"/>
      <c r="M5" s="1580"/>
      <c r="N5" s="1580"/>
      <c r="O5" s="1580"/>
      <c r="P5" s="1580"/>
      <c r="Q5" s="1580"/>
      <c r="R5" s="1580"/>
      <c r="S5" s="1580"/>
      <c r="T5" s="1580"/>
      <c r="U5" s="1580"/>
      <c r="V5" s="1580"/>
      <c r="W5" s="1580"/>
      <c r="X5" s="1580"/>
      <c r="Y5" s="1580"/>
      <c r="Z5" s="1580"/>
    </row>
    <row r="6" spans="1:26" ht="15.75" customHeight="1">
      <c r="A6" s="1580"/>
      <c r="B6" s="1603">
        <f t="shared" si="0"/>
        <v>3</v>
      </c>
      <c r="C6" s="1584" t="s">
        <v>710</v>
      </c>
      <c r="D6" s="1584" t="s">
        <v>5604</v>
      </c>
      <c r="E6" s="1604">
        <v>42248</v>
      </c>
      <c r="F6" s="1605">
        <v>42278</v>
      </c>
      <c r="G6" s="1606">
        <v>42309</v>
      </c>
      <c r="H6" s="1607">
        <v>1</v>
      </c>
      <c r="I6" s="1603"/>
      <c r="J6" s="1608"/>
      <c r="K6" s="1580"/>
      <c r="L6" s="1580"/>
      <c r="M6" s="1580"/>
      <c r="N6" s="1580"/>
      <c r="O6" s="1580"/>
      <c r="P6" s="1580"/>
      <c r="Q6" s="1580"/>
      <c r="R6" s="1580"/>
      <c r="S6" s="1580"/>
      <c r="T6" s="1580"/>
      <c r="U6" s="1580"/>
      <c r="V6" s="1580"/>
      <c r="W6" s="1580"/>
      <c r="X6" s="1580"/>
      <c r="Y6" s="1580"/>
      <c r="Z6" s="1580"/>
    </row>
    <row r="7" spans="1:26" ht="15.75" customHeight="1">
      <c r="A7" s="1580"/>
      <c r="B7" s="1603">
        <f t="shared" si="0"/>
        <v>4</v>
      </c>
      <c r="C7" s="1584" t="s">
        <v>769</v>
      </c>
      <c r="D7" s="1584" t="s">
        <v>5605</v>
      </c>
      <c r="E7" s="1604">
        <v>42248</v>
      </c>
      <c r="F7" s="1605">
        <v>42278</v>
      </c>
      <c r="G7" s="1606">
        <v>42309</v>
      </c>
      <c r="H7" s="1607">
        <v>1</v>
      </c>
      <c r="I7" s="1603"/>
      <c r="J7" s="1608"/>
      <c r="K7" s="1580"/>
      <c r="L7" s="1580"/>
      <c r="M7" s="1580"/>
      <c r="N7" s="1580"/>
      <c r="O7" s="1580"/>
      <c r="P7" s="1580"/>
      <c r="Q7" s="1580"/>
      <c r="R7" s="1580"/>
      <c r="S7" s="1580"/>
      <c r="T7" s="1580"/>
      <c r="U7" s="1580"/>
      <c r="V7" s="1580"/>
      <c r="W7" s="1580"/>
      <c r="X7" s="1580"/>
      <c r="Y7" s="1580"/>
      <c r="Z7" s="1580"/>
    </row>
    <row r="8" spans="1:26" ht="15.75" customHeight="1">
      <c r="A8" s="1580"/>
      <c r="B8" s="1603">
        <f t="shared" si="0"/>
        <v>5</v>
      </c>
      <c r="C8" s="1584" t="s">
        <v>3859</v>
      </c>
      <c r="D8" s="1584" t="s">
        <v>5606</v>
      </c>
      <c r="E8" s="1604">
        <v>42248</v>
      </c>
      <c r="F8" s="1605">
        <v>42278</v>
      </c>
      <c r="G8" s="1606">
        <v>42309</v>
      </c>
      <c r="H8" s="1607">
        <v>1</v>
      </c>
      <c r="I8" s="1603"/>
      <c r="J8" s="1608"/>
      <c r="K8" s="1580"/>
      <c r="L8" s="1580"/>
      <c r="M8" s="1580"/>
      <c r="N8" s="1580"/>
      <c r="O8" s="1580"/>
      <c r="P8" s="1580"/>
      <c r="Q8" s="1580"/>
      <c r="R8" s="1580"/>
      <c r="S8" s="1580"/>
      <c r="T8" s="1580"/>
      <c r="U8" s="1580"/>
      <c r="V8" s="1580"/>
      <c r="W8" s="1580"/>
      <c r="X8" s="1580"/>
      <c r="Y8" s="1580"/>
      <c r="Z8" s="1580"/>
    </row>
    <row r="9" spans="1:26" ht="15.75" customHeight="1">
      <c r="A9" s="1580"/>
      <c r="B9" s="1603">
        <f t="shared" si="0"/>
        <v>6</v>
      </c>
      <c r="C9" s="1584" t="s">
        <v>188</v>
      </c>
      <c r="D9" s="1584" t="s">
        <v>5607</v>
      </c>
      <c r="E9" s="1604">
        <v>42248</v>
      </c>
      <c r="F9" s="1605">
        <v>42278</v>
      </c>
      <c r="G9" s="1606">
        <v>42309</v>
      </c>
      <c r="H9" s="1607">
        <v>1</v>
      </c>
      <c r="I9" s="1603"/>
      <c r="J9" s="1609" t="s">
        <v>5608</v>
      </c>
      <c r="K9" s="1580"/>
      <c r="L9" s="1580"/>
      <c r="M9" s="1580"/>
      <c r="N9" s="1580"/>
      <c r="O9" s="1580"/>
      <c r="P9" s="1580"/>
      <c r="Q9" s="1580"/>
      <c r="R9" s="1580"/>
      <c r="S9" s="1580"/>
      <c r="T9" s="1580"/>
      <c r="U9" s="1580"/>
      <c r="V9" s="1580"/>
      <c r="W9" s="1580"/>
      <c r="X9" s="1580"/>
      <c r="Y9" s="1580"/>
      <c r="Z9" s="1580"/>
    </row>
    <row r="10" spans="1:26" ht="15.75" customHeight="1">
      <c r="A10" s="1580"/>
      <c r="B10" s="1603">
        <f t="shared" si="0"/>
        <v>7</v>
      </c>
      <c r="C10" s="1584" t="s">
        <v>1378</v>
      </c>
      <c r="D10" s="1584" t="s">
        <v>5609</v>
      </c>
      <c r="E10" s="1604">
        <v>42248</v>
      </c>
      <c r="F10" s="1605">
        <v>42278</v>
      </c>
      <c r="G10" s="1606">
        <v>42309</v>
      </c>
      <c r="H10" s="1607">
        <v>1</v>
      </c>
      <c r="I10" s="1603"/>
      <c r="J10" s="1608"/>
      <c r="K10" s="1580"/>
      <c r="L10" s="1580"/>
      <c r="M10" s="1580"/>
      <c r="N10" s="1580"/>
      <c r="O10" s="1580"/>
      <c r="P10" s="1580"/>
      <c r="Q10" s="1580"/>
      <c r="R10" s="1580"/>
      <c r="S10" s="1580"/>
      <c r="T10" s="1580"/>
      <c r="U10" s="1580"/>
      <c r="V10" s="1580"/>
      <c r="W10" s="1580"/>
      <c r="X10" s="1580"/>
      <c r="Y10" s="1580"/>
      <c r="Z10" s="1580"/>
    </row>
    <row r="11" spans="1:26" ht="15.75" customHeight="1">
      <c r="A11" s="1580"/>
      <c r="B11" s="1603">
        <f t="shared" si="0"/>
        <v>8</v>
      </c>
      <c r="C11" s="1584" t="s">
        <v>5610</v>
      </c>
      <c r="D11" s="1584" t="s">
        <v>5611</v>
      </c>
      <c r="E11" s="1604">
        <v>42248</v>
      </c>
      <c r="F11" s="1605">
        <v>42278</v>
      </c>
      <c r="G11" s="1606">
        <v>42309</v>
      </c>
      <c r="H11" s="1607">
        <v>1</v>
      </c>
      <c r="I11" s="1603"/>
      <c r="J11" s="1608"/>
      <c r="K11" s="1580"/>
      <c r="L11" s="1580"/>
      <c r="M11" s="1580"/>
      <c r="N11" s="1580"/>
      <c r="O11" s="1580"/>
      <c r="P11" s="1580"/>
      <c r="Q11" s="1580"/>
      <c r="R11" s="1580"/>
      <c r="S11" s="1580"/>
      <c r="T11" s="1580"/>
      <c r="U11" s="1580"/>
      <c r="V11" s="1580"/>
      <c r="W11" s="1580"/>
      <c r="X11" s="1580"/>
      <c r="Y11" s="1580"/>
      <c r="Z11" s="1580"/>
    </row>
    <row r="12" spans="1:26" ht="15.75" customHeight="1">
      <c r="A12" s="1580"/>
      <c r="B12" s="1603">
        <f t="shared" si="0"/>
        <v>9</v>
      </c>
      <c r="C12" s="1584" t="s">
        <v>135</v>
      </c>
      <c r="D12" s="1584" t="s">
        <v>5612</v>
      </c>
      <c r="E12" s="1604">
        <v>42248</v>
      </c>
      <c r="F12" s="1605">
        <v>42278</v>
      </c>
      <c r="G12" s="1606">
        <v>42309</v>
      </c>
      <c r="H12" s="1607">
        <v>1</v>
      </c>
      <c r="I12" s="1603"/>
      <c r="J12" s="1609" t="s">
        <v>5613</v>
      </c>
      <c r="K12" s="1580"/>
      <c r="L12" s="1580"/>
      <c r="M12" s="1580"/>
      <c r="N12" s="1580"/>
      <c r="O12" s="1580"/>
      <c r="P12" s="1580"/>
      <c r="Q12" s="1580"/>
      <c r="R12" s="1580"/>
      <c r="S12" s="1580"/>
      <c r="T12" s="1580"/>
      <c r="U12" s="1580"/>
      <c r="V12" s="1580"/>
      <c r="W12" s="1580"/>
      <c r="X12" s="1580"/>
      <c r="Y12" s="1580"/>
      <c r="Z12" s="1580"/>
    </row>
    <row r="13" spans="1:26" ht="15.75" customHeight="1">
      <c r="A13" s="1580"/>
      <c r="B13" s="1603">
        <f t="shared" si="0"/>
        <v>10</v>
      </c>
      <c r="C13" s="1584" t="s">
        <v>2191</v>
      </c>
      <c r="D13" s="1584" t="s">
        <v>5614</v>
      </c>
      <c r="E13" s="1604">
        <v>42248</v>
      </c>
      <c r="F13" s="1605">
        <v>42278</v>
      </c>
      <c r="G13" s="1606">
        <v>42309</v>
      </c>
      <c r="H13" s="1607">
        <v>1</v>
      </c>
      <c r="I13" s="1603"/>
      <c r="J13" s="1609" t="s">
        <v>5615</v>
      </c>
      <c r="K13" s="1580"/>
      <c r="L13" s="1580"/>
      <c r="M13" s="1580"/>
      <c r="N13" s="1580"/>
      <c r="O13" s="1580"/>
      <c r="P13" s="1580"/>
      <c r="Q13" s="1580"/>
      <c r="R13" s="1580"/>
      <c r="S13" s="1580"/>
      <c r="T13" s="1580"/>
      <c r="U13" s="1580"/>
      <c r="V13" s="1580"/>
      <c r="W13" s="1580"/>
      <c r="X13" s="1580"/>
      <c r="Y13" s="1580"/>
      <c r="Z13" s="1580"/>
    </row>
    <row r="14" spans="1:26" ht="15.75" customHeight="1">
      <c r="A14" s="1580"/>
      <c r="B14" s="1603">
        <f t="shared" si="0"/>
        <v>11</v>
      </c>
      <c r="C14" s="1584" t="s">
        <v>5616</v>
      </c>
      <c r="D14" s="1584" t="s">
        <v>5617</v>
      </c>
      <c r="E14" s="1610">
        <v>42248</v>
      </c>
      <c r="F14" s="1611"/>
      <c r="G14" s="1612"/>
      <c r="H14" s="1613"/>
      <c r="I14" s="1603"/>
      <c r="J14" s="1609" t="s">
        <v>5618</v>
      </c>
      <c r="K14" s="1580"/>
      <c r="L14" s="1580"/>
      <c r="M14" s="1580"/>
      <c r="N14" s="1580"/>
      <c r="O14" s="1580"/>
      <c r="P14" s="1580"/>
      <c r="Q14" s="1580"/>
      <c r="R14" s="1580"/>
      <c r="S14" s="1580"/>
      <c r="T14" s="1580"/>
      <c r="U14" s="1580"/>
      <c r="V14" s="1580"/>
      <c r="W14" s="1580"/>
      <c r="X14" s="1580"/>
      <c r="Y14" s="1580"/>
      <c r="Z14" s="1580"/>
    </row>
    <row r="15" spans="1:26" ht="15.75" customHeight="1">
      <c r="A15" s="1580"/>
      <c r="B15" s="1603">
        <f t="shared" si="0"/>
        <v>12</v>
      </c>
      <c r="C15" s="1584" t="s">
        <v>407</v>
      </c>
      <c r="D15" s="1584" t="s">
        <v>5619</v>
      </c>
      <c r="E15" s="1614"/>
      <c r="F15" s="1611"/>
      <c r="G15" s="1615">
        <v>42309</v>
      </c>
      <c r="H15" s="1613"/>
      <c r="I15" s="1603"/>
      <c r="J15" s="1608"/>
      <c r="K15" s="1580"/>
      <c r="L15" s="1580"/>
      <c r="M15" s="1580"/>
      <c r="N15" s="1580"/>
      <c r="O15" s="1580"/>
      <c r="P15" s="1580"/>
      <c r="Q15" s="1580"/>
      <c r="R15" s="1580"/>
      <c r="S15" s="1580"/>
      <c r="T15" s="1580"/>
      <c r="U15" s="1580"/>
      <c r="V15" s="1580"/>
      <c r="W15" s="1580"/>
      <c r="X15" s="1580"/>
      <c r="Y15" s="1580"/>
      <c r="Z15" s="1580"/>
    </row>
    <row r="16" spans="1:26" ht="15.75" customHeight="1">
      <c r="A16" s="1580"/>
      <c r="B16" s="1603">
        <f t="shared" si="0"/>
        <v>13</v>
      </c>
      <c r="C16" s="1584" t="s">
        <v>5620</v>
      </c>
      <c r="D16" s="1584" t="s">
        <v>5621</v>
      </c>
      <c r="E16" s="1604">
        <v>42248</v>
      </c>
      <c r="F16" s="1605">
        <v>42278</v>
      </c>
      <c r="G16" s="1606">
        <v>42309</v>
      </c>
      <c r="H16" s="1607">
        <v>1</v>
      </c>
      <c r="I16" s="1603"/>
      <c r="J16" s="1608"/>
      <c r="K16" s="1580"/>
      <c r="L16" s="1580"/>
      <c r="M16" s="1580"/>
      <c r="N16" s="1580"/>
      <c r="O16" s="1580"/>
      <c r="P16" s="1580"/>
      <c r="Q16" s="1580"/>
      <c r="R16" s="1580"/>
      <c r="S16" s="1580"/>
      <c r="T16" s="1580"/>
      <c r="U16" s="1580"/>
      <c r="V16" s="1580"/>
      <c r="W16" s="1580"/>
      <c r="X16" s="1580"/>
      <c r="Y16" s="1580"/>
      <c r="Z16" s="1580"/>
    </row>
    <row r="17" spans="1:26" ht="15.75" customHeight="1">
      <c r="A17" s="1580"/>
      <c r="B17" s="1603">
        <f t="shared" si="0"/>
        <v>14</v>
      </c>
      <c r="C17" s="1584" t="s">
        <v>5622</v>
      </c>
      <c r="D17" s="1584" t="s">
        <v>5623</v>
      </c>
      <c r="E17" s="1610">
        <v>42248</v>
      </c>
      <c r="F17" s="1611"/>
      <c r="G17" s="1612"/>
      <c r="H17" s="1613"/>
      <c r="I17" s="1603"/>
      <c r="J17" s="1608"/>
      <c r="K17" s="1580"/>
      <c r="L17" s="1580"/>
      <c r="M17" s="1580"/>
      <c r="N17" s="1580"/>
      <c r="O17" s="1580"/>
      <c r="P17" s="1580"/>
      <c r="Q17" s="1580"/>
      <c r="R17" s="1580"/>
      <c r="S17" s="1580"/>
      <c r="T17" s="1580"/>
      <c r="U17" s="1580"/>
      <c r="V17" s="1580"/>
      <c r="W17" s="1580"/>
      <c r="X17" s="1580"/>
      <c r="Y17" s="1580"/>
      <c r="Z17" s="1580"/>
    </row>
    <row r="18" spans="1:26" ht="15.75" customHeight="1">
      <c r="A18" s="1580"/>
      <c r="B18" s="1603">
        <f t="shared" si="0"/>
        <v>15</v>
      </c>
      <c r="C18" s="1584" t="s">
        <v>290</v>
      </c>
      <c r="D18" s="1584" t="s">
        <v>5624</v>
      </c>
      <c r="E18" s="1604">
        <v>42248</v>
      </c>
      <c r="F18" s="1605">
        <v>42278</v>
      </c>
      <c r="G18" s="1606">
        <v>42309</v>
      </c>
      <c r="H18" s="1607">
        <v>1</v>
      </c>
      <c r="I18" s="1603"/>
      <c r="J18" s="1609" t="s">
        <v>5625</v>
      </c>
      <c r="K18" s="1580"/>
      <c r="L18" s="1580"/>
      <c r="M18" s="1580"/>
      <c r="N18" s="1580"/>
      <c r="O18" s="1580"/>
      <c r="P18" s="1580"/>
      <c r="Q18" s="1580"/>
      <c r="R18" s="1580"/>
      <c r="S18" s="1580"/>
      <c r="T18" s="1580"/>
      <c r="U18" s="1580"/>
      <c r="V18" s="1580"/>
      <c r="W18" s="1580"/>
      <c r="X18" s="1580"/>
      <c r="Y18" s="1580"/>
      <c r="Z18" s="1580"/>
    </row>
    <row r="19" spans="1:26" ht="15.75" customHeight="1">
      <c r="A19" s="1580"/>
      <c r="B19" s="1616">
        <f t="shared" si="0"/>
        <v>16</v>
      </c>
      <c r="C19" s="1617" t="s">
        <v>216</v>
      </c>
      <c r="D19" s="1617" t="s">
        <v>5626</v>
      </c>
      <c r="E19" s="1618">
        <v>42248</v>
      </c>
      <c r="F19" s="1619">
        <v>42278</v>
      </c>
      <c r="G19" s="1620">
        <v>42309</v>
      </c>
      <c r="H19" s="1621">
        <v>1</v>
      </c>
      <c r="I19" s="1616"/>
      <c r="J19" s="1622"/>
      <c r="K19" s="1580"/>
      <c r="L19" s="1580"/>
      <c r="M19" s="1580"/>
      <c r="N19" s="1580"/>
      <c r="O19" s="1580"/>
      <c r="P19" s="1580"/>
      <c r="Q19" s="1580"/>
      <c r="R19" s="1580"/>
      <c r="S19" s="1580"/>
      <c r="T19" s="1580"/>
      <c r="U19" s="1580"/>
      <c r="V19" s="1580"/>
      <c r="W19" s="1580"/>
      <c r="X19" s="1580"/>
      <c r="Y19" s="1580"/>
      <c r="Z19" s="1580"/>
    </row>
    <row r="20" spans="1:26" ht="15.75" customHeight="1">
      <c r="A20" s="1580"/>
      <c r="B20" s="1595">
        <v>1</v>
      </c>
      <c r="C20" s="1596" t="s">
        <v>769</v>
      </c>
      <c r="D20" s="1596" t="s">
        <v>5627</v>
      </c>
      <c r="E20" s="1623"/>
      <c r="F20" s="1624">
        <v>42491</v>
      </c>
      <c r="G20" s="1625"/>
      <c r="H20" s="1626"/>
      <c r="I20" s="1596"/>
      <c r="J20" s="1627"/>
      <c r="K20" s="1580"/>
      <c r="L20" s="1580"/>
      <c r="M20" s="1580"/>
      <c r="N20" s="1580"/>
      <c r="O20" s="1580"/>
      <c r="P20" s="1580"/>
      <c r="Q20" s="1580"/>
      <c r="R20" s="1580"/>
      <c r="S20" s="1580"/>
      <c r="T20" s="1580"/>
      <c r="U20" s="1580"/>
      <c r="V20" s="1580"/>
      <c r="W20" s="1580"/>
      <c r="X20" s="1580"/>
      <c r="Y20" s="1580"/>
      <c r="Z20" s="1580"/>
    </row>
    <row r="21" spans="1:26" ht="15.75" customHeight="1">
      <c r="A21" s="1580"/>
      <c r="B21" s="1603">
        <f t="shared" ref="B21:B45" si="1">B20+1</f>
        <v>2</v>
      </c>
      <c r="C21" s="1584" t="s">
        <v>188</v>
      </c>
      <c r="D21" s="1584" t="s">
        <v>5628</v>
      </c>
      <c r="E21" s="1610">
        <v>42461</v>
      </c>
      <c r="F21" s="1611"/>
      <c r="G21" s="1612"/>
      <c r="H21" s="1613"/>
      <c r="I21" s="1584"/>
      <c r="J21" s="1608"/>
      <c r="K21" s="1580"/>
      <c r="L21" s="1580"/>
      <c r="M21" s="1580"/>
      <c r="N21" s="1580"/>
      <c r="O21" s="1580"/>
      <c r="P21" s="1580"/>
      <c r="Q21" s="1580"/>
      <c r="R21" s="1580"/>
      <c r="S21" s="1580"/>
      <c r="T21" s="1580"/>
      <c r="U21" s="1580"/>
      <c r="V21" s="1580"/>
      <c r="W21" s="1580"/>
      <c r="X21" s="1580"/>
      <c r="Y21" s="1580"/>
      <c r="Z21" s="1580"/>
    </row>
    <row r="22" spans="1:26" ht="15.75" customHeight="1">
      <c r="A22" s="1580"/>
      <c r="B22" s="1603">
        <f t="shared" si="1"/>
        <v>3</v>
      </c>
      <c r="C22" s="1584" t="s">
        <v>1449</v>
      </c>
      <c r="D22" s="1584" t="s">
        <v>5629</v>
      </c>
      <c r="E22" s="1610">
        <v>42461</v>
      </c>
      <c r="F22" s="1611"/>
      <c r="G22" s="1612"/>
      <c r="H22" s="1613"/>
      <c r="I22" s="1584"/>
      <c r="J22" s="1608"/>
      <c r="K22" s="1580"/>
      <c r="L22" s="1580"/>
      <c r="M22" s="1580"/>
      <c r="N22" s="1580"/>
      <c r="O22" s="1580"/>
      <c r="P22" s="1580"/>
      <c r="Q22" s="1580"/>
      <c r="R22" s="1580"/>
      <c r="S22" s="1580"/>
      <c r="T22" s="1580"/>
      <c r="U22" s="1580"/>
      <c r="V22" s="1580"/>
      <c r="W22" s="1580"/>
      <c r="X22" s="1580"/>
      <c r="Y22" s="1580"/>
      <c r="Z22" s="1580"/>
    </row>
    <row r="23" spans="1:26" ht="15.75" customHeight="1">
      <c r="A23" s="1580"/>
      <c r="B23" s="1603">
        <f t="shared" si="1"/>
        <v>4</v>
      </c>
      <c r="C23" s="1584" t="s">
        <v>246</v>
      </c>
      <c r="D23" s="1584" t="s">
        <v>5630</v>
      </c>
      <c r="E23" s="1610">
        <v>42461</v>
      </c>
      <c r="F23" s="1611"/>
      <c r="G23" s="1612"/>
      <c r="H23" s="1613"/>
      <c r="I23" s="1584"/>
      <c r="J23" s="1608"/>
      <c r="K23" s="1580"/>
      <c r="L23" s="1580"/>
      <c r="M23" s="1580"/>
      <c r="N23" s="1580"/>
      <c r="O23" s="1580"/>
      <c r="P23" s="1580"/>
      <c r="Q23" s="1580"/>
      <c r="R23" s="1580"/>
      <c r="S23" s="1580"/>
      <c r="T23" s="1580"/>
      <c r="U23" s="1580"/>
      <c r="V23" s="1580"/>
      <c r="W23" s="1580"/>
      <c r="X23" s="1580"/>
      <c r="Y23" s="1580"/>
      <c r="Z23" s="1580"/>
    </row>
    <row r="24" spans="1:26" ht="15.75" customHeight="1">
      <c r="A24" s="1580"/>
      <c r="B24" s="1603">
        <f t="shared" si="1"/>
        <v>5</v>
      </c>
      <c r="C24" s="1584" t="s">
        <v>5631</v>
      </c>
      <c r="D24" s="1584" t="s">
        <v>5632</v>
      </c>
      <c r="E24" s="1614"/>
      <c r="F24" s="1628">
        <v>42491</v>
      </c>
      <c r="G24" s="1612"/>
      <c r="H24" s="1613"/>
      <c r="I24" s="1584"/>
      <c r="J24" s="1608"/>
      <c r="K24" s="1580"/>
      <c r="L24" s="1580"/>
      <c r="M24" s="1580"/>
      <c r="N24" s="1580"/>
      <c r="O24" s="1580"/>
      <c r="P24" s="1580"/>
      <c r="Q24" s="1580"/>
      <c r="R24" s="1580"/>
      <c r="S24" s="1580"/>
      <c r="T24" s="1580"/>
      <c r="U24" s="1580"/>
      <c r="V24" s="1580"/>
      <c r="W24" s="1580"/>
      <c r="X24" s="1580"/>
      <c r="Y24" s="1580"/>
      <c r="Z24" s="1580"/>
    </row>
    <row r="25" spans="1:26" ht="15.75" customHeight="1">
      <c r="A25" s="1580"/>
      <c r="B25" s="1603">
        <f t="shared" si="1"/>
        <v>6</v>
      </c>
      <c r="C25" s="1584" t="s">
        <v>5633</v>
      </c>
      <c r="D25" s="1584" t="s">
        <v>5634</v>
      </c>
      <c r="E25" s="1610">
        <v>42461</v>
      </c>
      <c r="F25" s="1611"/>
      <c r="G25" s="1612"/>
      <c r="H25" s="1613"/>
      <c r="I25" s="1584"/>
      <c r="J25" s="1608"/>
      <c r="K25" s="1580"/>
      <c r="L25" s="1580"/>
      <c r="M25" s="1580"/>
      <c r="N25" s="1580"/>
      <c r="O25" s="1580"/>
      <c r="P25" s="1580"/>
      <c r="Q25" s="1580"/>
      <c r="R25" s="1580"/>
      <c r="S25" s="1580"/>
      <c r="T25" s="1580"/>
      <c r="U25" s="1580"/>
      <c r="V25" s="1580"/>
      <c r="W25" s="1580"/>
      <c r="X25" s="1580"/>
      <c r="Y25" s="1580"/>
      <c r="Z25" s="1580"/>
    </row>
    <row r="26" spans="1:26" ht="15.75" customHeight="1">
      <c r="A26" s="1580"/>
      <c r="B26" s="1603">
        <f t="shared" si="1"/>
        <v>7</v>
      </c>
      <c r="C26" s="1584" t="s">
        <v>1134</v>
      </c>
      <c r="D26" s="1584" t="s">
        <v>5635</v>
      </c>
      <c r="E26" s="1614"/>
      <c r="F26" s="1628">
        <v>42491</v>
      </c>
      <c r="G26" s="1612"/>
      <c r="H26" s="1613"/>
      <c r="I26" s="1584"/>
      <c r="J26" s="1608"/>
      <c r="K26" s="1580"/>
      <c r="L26" s="1580"/>
      <c r="M26" s="1580"/>
      <c r="N26" s="1580"/>
      <c r="O26" s="1580"/>
      <c r="P26" s="1580"/>
      <c r="Q26" s="1580"/>
      <c r="R26" s="1580"/>
      <c r="S26" s="1580"/>
      <c r="T26" s="1580"/>
      <c r="U26" s="1580"/>
      <c r="V26" s="1580"/>
      <c r="W26" s="1580"/>
      <c r="X26" s="1580"/>
      <c r="Y26" s="1580"/>
      <c r="Z26" s="1580"/>
    </row>
    <row r="27" spans="1:26" ht="15.75" customHeight="1">
      <c r="A27" s="1580"/>
      <c r="B27" s="1603">
        <f t="shared" si="1"/>
        <v>8</v>
      </c>
      <c r="C27" s="1584" t="s">
        <v>246</v>
      </c>
      <c r="D27" s="1584" t="s">
        <v>5636</v>
      </c>
      <c r="E27" s="1604">
        <v>42461</v>
      </c>
      <c r="F27" s="1605">
        <v>42491</v>
      </c>
      <c r="G27" s="1606">
        <v>42522</v>
      </c>
      <c r="H27" s="1607">
        <v>1</v>
      </c>
      <c r="I27" s="1584"/>
      <c r="J27" s="1609" t="s">
        <v>5637</v>
      </c>
      <c r="K27" s="1580"/>
      <c r="L27" s="1580"/>
      <c r="M27" s="1580"/>
      <c r="N27" s="1580"/>
      <c r="O27" s="1580"/>
      <c r="P27" s="1580"/>
      <c r="Q27" s="1580"/>
      <c r="R27" s="1580"/>
      <c r="S27" s="1580"/>
      <c r="T27" s="1580"/>
      <c r="U27" s="1580"/>
      <c r="V27" s="1580"/>
      <c r="W27" s="1580"/>
      <c r="X27" s="1580"/>
      <c r="Y27" s="1580"/>
      <c r="Z27" s="1580"/>
    </row>
    <row r="28" spans="1:26" ht="15.75" customHeight="1">
      <c r="A28" s="1580"/>
      <c r="B28" s="1603">
        <f t="shared" si="1"/>
        <v>9</v>
      </c>
      <c r="C28" s="1584" t="s">
        <v>5638</v>
      </c>
      <c r="D28" s="1584" t="s">
        <v>5639</v>
      </c>
      <c r="E28" s="1614"/>
      <c r="F28" s="1628">
        <v>42491</v>
      </c>
      <c r="G28" s="1612"/>
      <c r="H28" s="1613"/>
      <c r="I28" s="1584"/>
      <c r="J28" s="1608"/>
      <c r="K28" s="1580"/>
      <c r="L28" s="1580"/>
      <c r="M28" s="1580"/>
      <c r="N28" s="1580"/>
      <c r="O28" s="1580"/>
      <c r="P28" s="1580"/>
      <c r="Q28" s="1580"/>
      <c r="R28" s="1580"/>
      <c r="S28" s="1580"/>
      <c r="T28" s="1580"/>
      <c r="U28" s="1580"/>
      <c r="V28" s="1580"/>
      <c r="W28" s="1580"/>
      <c r="X28" s="1580"/>
      <c r="Y28" s="1580"/>
      <c r="Z28" s="1580"/>
    </row>
    <row r="29" spans="1:26" ht="15.75" customHeight="1">
      <c r="A29" s="1580"/>
      <c r="B29" s="1603">
        <f t="shared" si="1"/>
        <v>10</v>
      </c>
      <c r="C29" s="1584" t="s">
        <v>5640</v>
      </c>
      <c r="D29" s="1584" t="s">
        <v>5641</v>
      </c>
      <c r="E29" s="1610">
        <v>42461</v>
      </c>
      <c r="F29" s="1611"/>
      <c r="G29" s="1612"/>
      <c r="H29" s="1613"/>
      <c r="I29" s="1584"/>
      <c r="J29" s="1608"/>
      <c r="K29" s="1580"/>
      <c r="L29" s="1580"/>
      <c r="M29" s="1580"/>
      <c r="N29" s="1580"/>
      <c r="O29" s="1580"/>
      <c r="P29" s="1580"/>
      <c r="Q29" s="1580"/>
      <c r="R29" s="1580"/>
      <c r="S29" s="1580"/>
      <c r="T29" s="1580"/>
      <c r="U29" s="1580"/>
      <c r="V29" s="1580"/>
      <c r="W29" s="1580"/>
      <c r="X29" s="1580"/>
      <c r="Y29" s="1580"/>
      <c r="Z29" s="1580"/>
    </row>
    <row r="30" spans="1:26" ht="15.75" customHeight="1">
      <c r="A30" s="1580"/>
      <c r="B30" s="1603">
        <f t="shared" si="1"/>
        <v>11</v>
      </c>
      <c r="C30" s="1584" t="s">
        <v>166</v>
      </c>
      <c r="D30" s="1584" t="s">
        <v>5642</v>
      </c>
      <c r="E30" s="1610">
        <v>42461</v>
      </c>
      <c r="F30" s="1611"/>
      <c r="G30" s="1612"/>
      <c r="H30" s="1613"/>
      <c r="I30" s="1584"/>
      <c r="J30" s="1608"/>
      <c r="K30" s="1580"/>
      <c r="L30" s="1580"/>
      <c r="M30" s="1580"/>
      <c r="N30" s="1580"/>
      <c r="O30" s="1580"/>
      <c r="P30" s="1580"/>
      <c r="Q30" s="1580"/>
      <c r="R30" s="1580"/>
      <c r="S30" s="1580"/>
      <c r="T30" s="1580"/>
      <c r="U30" s="1580"/>
      <c r="V30" s="1580"/>
      <c r="W30" s="1580"/>
      <c r="X30" s="1580"/>
      <c r="Y30" s="1580"/>
      <c r="Z30" s="1580"/>
    </row>
    <row r="31" spans="1:26" ht="15.75" customHeight="1">
      <c r="A31" s="1580"/>
      <c r="B31" s="1603">
        <f t="shared" si="1"/>
        <v>12</v>
      </c>
      <c r="C31" s="1584" t="s">
        <v>135</v>
      </c>
      <c r="D31" s="1584" t="s">
        <v>4607</v>
      </c>
      <c r="E31" s="1614"/>
      <c r="F31" s="1628">
        <v>42491</v>
      </c>
      <c r="G31" s="1612"/>
      <c r="H31" s="1613"/>
      <c r="I31" s="1584"/>
      <c r="J31" s="1608"/>
      <c r="K31" s="1580"/>
      <c r="L31" s="1580"/>
      <c r="M31" s="1580"/>
      <c r="N31" s="1580"/>
      <c r="O31" s="1580"/>
      <c r="P31" s="1580"/>
      <c r="Q31" s="1580"/>
      <c r="R31" s="1580"/>
      <c r="S31" s="1580"/>
      <c r="T31" s="1580"/>
      <c r="U31" s="1580"/>
      <c r="V31" s="1580"/>
      <c r="W31" s="1580"/>
      <c r="X31" s="1580"/>
      <c r="Y31" s="1580"/>
      <c r="Z31" s="1580"/>
    </row>
    <row r="32" spans="1:26" ht="15.75" customHeight="1">
      <c r="A32" s="1580"/>
      <c r="B32" s="1603">
        <f t="shared" si="1"/>
        <v>13</v>
      </c>
      <c r="C32" s="1584" t="s">
        <v>246</v>
      </c>
      <c r="D32" s="1584" t="s">
        <v>5643</v>
      </c>
      <c r="E32" s="1604">
        <v>42461</v>
      </c>
      <c r="F32" s="1605">
        <v>42491</v>
      </c>
      <c r="G32" s="1606">
        <v>42522</v>
      </c>
      <c r="H32" s="1607">
        <v>1</v>
      </c>
      <c r="I32" s="1584"/>
      <c r="J32" s="1609" t="s">
        <v>5644</v>
      </c>
      <c r="K32" s="1580"/>
      <c r="L32" s="1580"/>
      <c r="M32" s="1580"/>
      <c r="N32" s="1580"/>
      <c r="O32" s="1580"/>
      <c r="P32" s="1580"/>
      <c r="Q32" s="1580"/>
      <c r="R32" s="1580"/>
      <c r="S32" s="1580"/>
      <c r="T32" s="1580"/>
      <c r="U32" s="1580"/>
      <c r="V32" s="1580"/>
      <c r="W32" s="1580"/>
      <c r="X32" s="1580"/>
      <c r="Y32" s="1580"/>
      <c r="Z32" s="1580"/>
    </row>
    <row r="33" spans="1:26" ht="15.75" customHeight="1">
      <c r="A33" s="1580"/>
      <c r="B33" s="1603">
        <f t="shared" si="1"/>
        <v>14</v>
      </c>
      <c r="C33" s="1584" t="s">
        <v>1304</v>
      </c>
      <c r="D33" s="1584" t="s">
        <v>5643</v>
      </c>
      <c r="E33" s="1604">
        <v>42461</v>
      </c>
      <c r="F33" s="1605">
        <v>42491</v>
      </c>
      <c r="G33" s="1606">
        <v>42522</v>
      </c>
      <c r="H33" s="1607">
        <v>1</v>
      </c>
      <c r="I33" s="1584"/>
      <c r="J33" s="1609" t="s">
        <v>5645</v>
      </c>
      <c r="K33" s="1580"/>
      <c r="L33" s="1580"/>
      <c r="M33" s="1580"/>
      <c r="N33" s="1580"/>
      <c r="O33" s="1580"/>
      <c r="P33" s="1580"/>
      <c r="Q33" s="1580"/>
      <c r="R33" s="1580"/>
      <c r="S33" s="1580"/>
      <c r="T33" s="1580"/>
      <c r="U33" s="1580"/>
      <c r="V33" s="1580"/>
      <c r="W33" s="1580"/>
      <c r="X33" s="1580"/>
      <c r="Y33" s="1580"/>
      <c r="Z33" s="1580"/>
    </row>
    <row r="34" spans="1:26" ht="15.75" customHeight="1">
      <c r="A34" s="1580"/>
      <c r="B34" s="1603">
        <f t="shared" si="1"/>
        <v>15</v>
      </c>
      <c r="C34" s="1584" t="s">
        <v>451</v>
      </c>
      <c r="D34" s="1584" t="s">
        <v>5646</v>
      </c>
      <c r="E34" s="1604">
        <v>42461</v>
      </c>
      <c r="F34" s="1605">
        <v>42491</v>
      </c>
      <c r="G34" s="1606">
        <v>42522</v>
      </c>
      <c r="H34" s="1607">
        <v>1</v>
      </c>
      <c r="I34" s="1584"/>
      <c r="J34" s="1609" t="s">
        <v>5647</v>
      </c>
      <c r="K34" s="1580"/>
      <c r="L34" s="1580"/>
      <c r="M34" s="1580"/>
      <c r="N34" s="1580"/>
      <c r="O34" s="1580"/>
      <c r="P34" s="1580"/>
      <c r="Q34" s="1580"/>
      <c r="R34" s="1580"/>
      <c r="S34" s="1580"/>
      <c r="T34" s="1580"/>
      <c r="U34" s="1580"/>
      <c r="V34" s="1580"/>
      <c r="W34" s="1580"/>
      <c r="X34" s="1580"/>
      <c r="Y34" s="1580"/>
      <c r="Z34" s="1580"/>
    </row>
    <row r="35" spans="1:26" ht="15.75" customHeight="1">
      <c r="A35" s="1580"/>
      <c r="B35" s="1603">
        <f t="shared" si="1"/>
        <v>16</v>
      </c>
      <c r="C35" s="1584" t="s">
        <v>300</v>
      </c>
      <c r="D35" s="1584" t="s">
        <v>4140</v>
      </c>
      <c r="E35" s="1604">
        <v>42461</v>
      </c>
      <c r="F35" s="1605">
        <v>42491</v>
      </c>
      <c r="G35" s="1606">
        <v>42522</v>
      </c>
      <c r="H35" s="1607">
        <v>1</v>
      </c>
      <c r="I35" s="1584"/>
      <c r="J35" s="1609" t="s">
        <v>5648</v>
      </c>
      <c r="K35" s="1580"/>
      <c r="L35" s="1580"/>
      <c r="M35" s="1580"/>
      <c r="N35" s="1580"/>
      <c r="O35" s="1580"/>
      <c r="P35" s="1580"/>
      <c r="Q35" s="1580"/>
      <c r="R35" s="1580"/>
      <c r="S35" s="1580"/>
      <c r="T35" s="1580"/>
      <c r="U35" s="1580"/>
      <c r="V35" s="1580"/>
      <c r="W35" s="1580"/>
      <c r="X35" s="1580"/>
      <c r="Y35" s="1580"/>
      <c r="Z35" s="1580"/>
    </row>
    <row r="36" spans="1:26" ht="15.75" customHeight="1">
      <c r="A36" s="1580"/>
      <c r="B36" s="1603">
        <f t="shared" si="1"/>
        <v>17</v>
      </c>
      <c r="C36" s="1584" t="s">
        <v>5649</v>
      </c>
      <c r="D36" s="1584" t="s">
        <v>5650</v>
      </c>
      <c r="E36" s="1604">
        <v>42461</v>
      </c>
      <c r="F36" s="1605">
        <v>42491</v>
      </c>
      <c r="G36" s="1606">
        <v>42522</v>
      </c>
      <c r="H36" s="1607">
        <v>1</v>
      </c>
      <c r="I36" s="1584"/>
      <c r="J36" s="1609" t="s">
        <v>5651</v>
      </c>
      <c r="K36" s="1580"/>
      <c r="L36" s="1580"/>
      <c r="M36" s="1580"/>
      <c r="N36" s="1580"/>
      <c r="O36" s="1580"/>
      <c r="P36" s="1580"/>
      <c r="Q36" s="1580"/>
      <c r="R36" s="1580"/>
      <c r="S36" s="1580"/>
      <c r="T36" s="1580"/>
      <c r="U36" s="1580"/>
      <c r="V36" s="1580"/>
      <c r="W36" s="1580"/>
      <c r="X36" s="1580"/>
      <c r="Y36" s="1580"/>
      <c r="Z36" s="1580"/>
    </row>
    <row r="37" spans="1:26" ht="15.75" customHeight="1">
      <c r="A37" s="1580"/>
      <c r="B37" s="1603">
        <f t="shared" si="1"/>
        <v>18</v>
      </c>
      <c r="C37" s="1584" t="s">
        <v>1134</v>
      </c>
      <c r="D37" s="1584" t="s">
        <v>1186</v>
      </c>
      <c r="E37" s="1604">
        <v>42461</v>
      </c>
      <c r="F37" s="1605">
        <v>42491</v>
      </c>
      <c r="G37" s="1606">
        <v>42522</v>
      </c>
      <c r="H37" s="1607">
        <v>1</v>
      </c>
      <c r="I37" s="1584"/>
      <c r="J37" s="1608"/>
      <c r="K37" s="1580"/>
      <c r="L37" s="1580"/>
      <c r="M37" s="1580"/>
      <c r="N37" s="1580"/>
      <c r="O37" s="1580"/>
      <c r="P37" s="1580"/>
      <c r="Q37" s="1580"/>
      <c r="R37" s="1580"/>
      <c r="S37" s="1580"/>
      <c r="T37" s="1580"/>
      <c r="U37" s="1580"/>
      <c r="V37" s="1580"/>
      <c r="W37" s="1580"/>
      <c r="X37" s="1580"/>
      <c r="Y37" s="1580"/>
      <c r="Z37" s="1580"/>
    </row>
    <row r="38" spans="1:26" ht="15.75" customHeight="1">
      <c r="A38" s="1580"/>
      <c r="B38" s="1603">
        <f t="shared" si="1"/>
        <v>19</v>
      </c>
      <c r="C38" s="1584" t="s">
        <v>407</v>
      </c>
      <c r="D38" s="1584" t="s">
        <v>5652</v>
      </c>
      <c r="E38" s="1614"/>
      <c r="F38" s="1628">
        <v>42491</v>
      </c>
      <c r="G38" s="1612"/>
      <c r="H38" s="1613"/>
      <c r="I38" s="1584"/>
      <c r="J38" s="1608"/>
      <c r="K38" s="1580"/>
      <c r="L38" s="1580"/>
      <c r="M38" s="1580"/>
      <c r="N38" s="1580"/>
      <c r="O38" s="1580"/>
      <c r="P38" s="1580"/>
      <c r="Q38" s="1580"/>
      <c r="R38" s="1580"/>
      <c r="S38" s="1580"/>
      <c r="T38" s="1580"/>
      <c r="U38" s="1580"/>
      <c r="V38" s="1580"/>
      <c r="W38" s="1580"/>
      <c r="X38" s="1580"/>
      <c r="Y38" s="1580"/>
      <c r="Z38" s="1580"/>
    </row>
    <row r="39" spans="1:26" ht="15.75" customHeight="1">
      <c r="A39" s="1580"/>
      <c r="B39" s="1603">
        <f t="shared" si="1"/>
        <v>20</v>
      </c>
      <c r="C39" s="1584" t="s">
        <v>488</v>
      </c>
      <c r="D39" s="1584" t="s">
        <v>5653</v>
      </c>
      <c r="E39" s="1604">
        <v>42461</v>
      </c>
      <c r="F39" s="1605">
        <v>42491</v>
      </c>
      <c r="G39" s="1606">
        <v>42522</v>
      </c>
      <c r="H39" s="1607">
        <v>1</v>
      </c>
      <c r="I39" s="1584"/>
      <c r="J39" s="1609" t="s">
        <v>5654</v>
      </c>
      <c r="K39" s="1580"/>
      <c r="L39" s="1580"/>
      <c r="M39" s="1580"/>
      <c r="N39" s="1580"/>
      <c r="O39" s="1580"/>
      <c r="P39" s="1580"/>
      <c r="Q39" s="1580"/>
      <c r="R39" s="1580"/>
      <c r="S39" s="1580"/>
      <c r="T39" s="1580"/>
      <c r="U39" s="1580"/>
      <c r="V39" s="1580"/>
      <c r="W39" s="1580"/>
      <c r="X39" s="1580"/>
      <c r="Y39" s="1580"/>
      <c r="Z39" s="1580"/>
    </row>
    <row r="40" spans="1:26" ht="15.75" customHeight="1">
      <c r="A40" s="1580"/>
      <c r="B40" s="1603">
        <f t="shared" si="1"/>
        <v>21</v>
      </c>
      <c r="C40" s="1584" t="s">
        <v>5655</v>
      </c>
      <c r="D40" s="1584" t="s">
        <v>5656</v>
      </c>
      <c r="E40" s="1614"/>
      <c r="F40" s="1628">
        <v>42491</v>
      </c>
      <c r="G40" s="1612"/>
      <c r="H40" s="1613"/>
      <c r="I40" s="1584"/>
      <c r="J40" s="1608"/>
      <c r="K40" s="1580"/>
      <c r="L40" s="1580"/>
      <c r="M40" s="1580"/>
      <c r="N40" s="1580"/>
      <c r="O40" s="1580"/>
      <c r="P40" s="1580"/>
      <c r="Q40" s="1580"/>
      <c r="R40" s="1580"/>
      <c r="S40" s="1580"/>
      <c r="T40" s="1580"/>
      <c r="U40" s="1580"/>
      <c r="V40" s="1580"/>
      <c r="W40" s="1580"/>
      <c r="X40" s="1580"/>
      <c r="Y40" s="1580"/>
      <c r="Z40" s="1580"/>
    </row>
    <row r="41" spans="1:26" ht="15.75" customHeight="1">
      <c r="A41" s="1580"/>
      <c r="B41" s="1603">
        <f t="shared" si="1"/>
        <v>22</v>
      </c>
      <c r="C41" s="1584" t="s">
        <v>4146</v>
      </c>
      <c r="D41" s="1584" t="s">
        <v>5657</v>
      </c>
      <c r="E41" s="1614"/>
      <c r="F41" s="1628">
        <v>42491</v>
      </c>
      <c r="G41" s="1612"/>
      <c r="H41" s="1613"/>
      <c r="I41" s="1584"/>
      <c r="J41" s="1608"/>
      <c r="K41" s="1580"/>
      <c r="L41" s="1580"/>
      <c r="M41" s="1580"/>
      <c r="N41" s="1580"/>
      <c r="O41" s="1580"/>
      <c r="P41" s="1580"/>
      <c r="Q41" s="1580"/>
      <c r="R41" s="1580"/>
      <c r="S41" s="1580"/>
      <c r="T41" s="1580"/>
      <c r="U41" s="1580"/>
      <c r="V41" s="1580"/>
      <c r="W41" s="1580"/>
      <c r="X41" s="1580"/>
      <c r="Y41" s="1580"/>
      <c r="Z41" s="1580"/>
    </row>
    <row r="42" spans="1:26" ht="15.75" customHeight="1">
      <c r="A42" s="1580"/>
      <c r="B42" s="1603">
        <f t="shared" si="1"/>
        <v>23</v>
      </c>
      <c r="C42" s="1584" t="s">
        <v>141</v>
      </c>
      <c r="D42" s="1584" t="s">
        <v>3148</v>
      </c>
      <c r="E42" s="1629"/>
      <c r="F42" s="1628">
        <v>42491</v>
      </c>
      <c r="G42" s="1630"/>
      <c r="H42" s="1613"/>
      <c r="I42" s="1584"/>
      <c r="J42" s="1608"/>
      <c r="K42" s="1580"/>
      <c r="L42" s="1580"/>
      <c r="M42" s="1580"/>
      <c r="N42" s="1580"/>
      <c r="O42" s="1580"/>
      <c r="P42" s="1580"/>
      <c r="Q42" s="1580"/>
      <c r="R42" s="1580"/>
      <c r="S42" s="1580"/>
      <c r="T42" s="1580"/>
      <c r="U42" s="1580"/>
      <c r="V42" s="1580"/>
      <c r="W42" s="1580"/>
      <c r="X42" s="1580"/>
      <c r="Y42" s="1580"/>
      <c r="Z42" s="1580"/>
    </row>
    <row r="43" spans="1:26" ht="15.75" customHeight="1">
      <c r="A43" s="1580"/>
      <c r="B43" s="1603">
        <f t="shared" si="1"/>
        <v>24</v>
      </c>
      <c r="C43" s="1584" t="s">
        <v>5658</v>
      </c>
      <c r="D43" s="1584" t="s">
        <v>5659</v>
      </c>
      <c r="E43" s="1614"/>
      <c r="F43" s="1628">
        <v>42491</v>
      </c>
      <c r="G43" s="1612"/>
      <c r="H43" s="1613"/>
      <c r="I43" s="1584"/>
      <c r="J43" s="1608"/>
      <c r="K43" s="1580"/>
      <c r="L43" s="1580"/>
      <c r="M43" s="1580"/>
      <c r="N43" s="1580"/>
      <c r="O43" s="1580"/>
      <c r="P43" s="1580"/>
      <c r="Q43" s="1580"/>
      <c r="R43" s="1580"/>
      <c r="S43" s="1580"/>
      <c r="T43" s="1580"/>
      <c r="U43" s="1580"/>
      <c r="V43" s="1580"/>
      <c r="W43" s="1580"/>
      <c r="X43" s="1580"/>
      <c r="Y43" s="1580"/>
      <c r="Z43" s="1580"/>
    </row>
    <row r="44" spans="1:26" ht="15.75" customHeight="1">
      <c r="A44" s="1580"/>
      <c r="B44" s="1603">
        <f t="shared" si="1"/>
        <v>25</v>
      </c>
      <c r="C44" s="1584" t="s">
        <v>4304</v>
      </c>
      <c r="D44" s="1584" t="s">
        <v>5660</v>
      </c>
      <c r="E44" s="1614"/>
      <c r="F44" s="1611"/>
      <c r="G44" s="1615">
        <v>42522</v>
      </c>
      <c r="H44" s="1613"/>
      <c r="I44" s="1584"/>
      <c r="J44" s="1608" t="s">
        <v>5661</v>
      </c>
      <c r="K44" s="1580"/>
      <c r="L44" s="1580"/>
      <c r="M44" s="1580"/>
      <c r="N44" s="1580"/>
      <c r="O44" s="1580"/>
      <c r="P44" s="1580"/>
      <c r="Q44" s="1580"/>
      <c r="R44" s="1580"/>
      <c r="S44" s="1580"/>
      <c r="T44" s="1580"/>
      <c r="U44" s="1580"/>
      <c r="V44" s="1580"/>
      <c r="W44" s="1580"/>
      <c r="X44" s="1580"/>
      <c r="Y44" s="1580"/>
      <c r="Z44" s="1580"/>
    </row>
    <row r="45" spans="1:26" ht="15.75" customHeight="1">
      <c r="A45" s="1580"/>
      <c r="B45" s="1616">
        <f t="shared" si="1"/>
        <v>26</v>
      </c>
      <c r="C45" s="1617" t="s">
        <v>822</v>
      </c>
      <c r="D45" s="1617" t="s">
        <v>5662</v>
      </c>
      <c r="E45" s="1618">
        <v>42461</v>
      </c>
      <c r="F45" s="1619">
        <v>42491</v>
      </c>
      <c r="G45" s="1620">
        <v>42522</v>
      </c>
      <c r="H45" s="1621">
        <v>1</v>
      </c>
      <c r="I45" s="1617"/>
      <c r="J45" s="1631" t="s">
        <v>5663</v>
      </c>
      <c r="K45" s="1580"/>
      <c r="L45" s="1580"/>
      <c r="M45" s="1580"/>
      <c r="N45" s="1580"/>
      <c r="O45" s="1580"/>
      <c r="P45" s="1580"/>
      <c r="Q45" s="1580"/>
      <c r="R45" s="1580"/>
      <c r="S45" s="1580"/>
      <c r="T45" s="1580"/>
      <c r="U45" s="1580"/>
      <c r="V45" s="1580"/>
      <c r="W45" s="1580"/>
      <c r="X45" s="1580"/>
      <c r="Y45" s="1580"/>
      <c r="Z45" s="1580"/>
    </row>
    <row r="46" spans="1:26" ht="15.75" customHeight="1">
      <c r="A46" s="1580"/>
      <c r="B46" s="1595">
        <v>1</v>
      </c>
      <c r="C46" s="1596" t="s">
        <v>2199</v>
      </c>
      <c r="D46" s="1596" t="s">
        <v>5664</v>
      </c>
      <c r="E46" s="1598">
        <v>43009</v>
      </c>
      <c r="F46" s="1598">
        <v>43040</v>
      </c>
      <c r="G46" s="1598">
        <v>42675</v>
      </c>
      <c r="H46" s="1632">
        <v>1</v>
      </c>
      <c r="I46" s="1596"/>
      <c r="J46" s="1601" t="s">
        <v>5665</v>
      </c>
      <c r="K46" s="1580"/>
      <c r="L46" s="1580"/>
      <c r="M46" s="1580"/>
      <c r="N46" s="1580"/>
      <c r="O46" s="1580"/>
      <c r="P46" s="1580"/>
      <c r="Q46" s="1580"/>
      <c r="R46" s="1580"/>
      <c r="S46" s="1580"/>
      <c r="T46" s="1580"/>
      <c r="U46" s="1580"/>
      <c r="V46" s="1580"/>
      <c r="W46" s="1580"/>
      <c r="X46" s="1580"/>
      <c r="Y46" s="1580"/>
      <c r="Z46" s="1580"/>
    </row>
    <row r="47" spans="1:26" ht="15.75" customHeight="1">
      <c r="A47" s="1580"/>
      <c r="B47" s="1603">
        <f t="shared" ref="B47:B67" si="2">B46+1</f>
        <v>2</v>
      </c>
      <c r="C47" s="1584" t="s">
        <v>5666</v>
      </c>
      <c r="D47" s="1584" t="s">
        <v>5667</v>
      </c>
      <c r="E47" s="1605">
        <v>42644</v>
      </c>
      <c r="F47" s="1605">
        <v>42675</v>
      </c>
      <c r="G47" s="1605">
        <v>42675</v>
      </c>
      <c r="H47" s="1633">
        <v>1</v>
      </c>
      <c r="I47" s="1584"/>
      <c r="J47" s="1608" t="s">
        <v>5668</v>
      </c>
      <c r="K47" s="1580"/>
      <c r="L47" s="1580"/>
      <c r="M47" s="1580"/>
      <c r="N47" s="1580"/>
      <c r="O47" s="1580"/>
      <c r="P47" s="1580"/>
      <c r="Q47" s="1580"/>
      <c r="R47" s="1580"/>
      <c r="S47" s="1580"/>
      <c r="T47" s="1580"/>
      <c r="U47" s="1580"/>
      <c r="V47" s="1580"/>
      <c r="W47" s="1580"/>
      <c r="X47" s="1580"/>
      <c r="Y47" s="1580"/>
      <c r="Z47" s="1580"/>
    </row>
    <row r="48" spans="1:26" ht="15.75" customHeight="1">
      <c r="A48" s="1580"/>
      <c r="B48" s="1603">
        <f t="shared" si="2"/>
        <v>3</v>
      </c>
      <c r="C48" s="1584" t="s">
        <v>135</v>
      </c>
      <c r="D48" s="1584" t="s">
        <v>5669</v>
      </c>
      <c r="E48" s="1605">
        <v>42644</v>
      </c>
      <c r="F48" s="1605">
        <v>42675</v>
      </c>
      <c r="G48" s="1605">
        <v>42675</v>
      </c>
      <c r="H48" s="1633">
        <v>1</v>
      </c>
      <c r="I48" s="1584"/>
      <c r="J48" s="1609" t="s">
        <v>5670</v>
      </c>
      <c r="K48" s="1580"/>
      <c r="L48" s="1580"/>
      <c r="M48" s="1580"/>
      <c r="N48" s="1580"/>
      <c r="O48" s="1580"/>
      <c r="P48" s="1580"/>
      <c r="Q48" s="1580"/>
      <c r="R48" s="1580"/>
      <c r="S48" s="1580"/>
      <c r="T48" s="1580"/>
      <c r="U48" s="1580"/>
      <c r="V48" s="1580"/>
      <c r="W48" s="1580"/>
      <c r="X48" s="1580"/>
      <c r="Y48" s="1580"/>
      <c r="Z48" s="1580"/>
    </row>
    <row r="49" spans="1:26" ht="15.75" customHeight="1">
      <c r="A49" s="1580"/>
      <c r="B49" s="1603">
        <f t="shared" si="2"/>
        <v>4</v>
      </c>
      <c r="C49" s="1584" t="s">
        <v>160</v>
      </c>
      <c r="D49" s="1584" t="s">
        <v>5669</v>
      </c>
      <c r="E49" s="1605">
        <v>42644</v>
      </c>
      <c r="F49" s="1605">
        <v>42675</v>
      </c>
      <c r="G49" s="1605">
        <v>42675</v>
      </c>
      <c r="H49" s="1633">
        <v>1</v>
      </c>
      <c r="I49" s="1584"/>
      <c r="J49" s="1609" t="s">
        <v>5671</v>
      </c>
      <c r="K49" s="1580"/>
      <c r="L49" s="1580"/>
      <c r="M49" s="1580"/>
      <c r="N49" s="1580"/>
      <c r="O49" s="1580"/>
      <c r="P49" s="1580"/>
      <c r="Q49" s="1580"/>
      <c r="R49" s="1580"/>
      <c r="S49" s="1580"/>
      <c r="T49" s="1580"/>
      <c r="U49" s="1580"/>
      <c r="V49" s="1580"/>
      <c r="W49" s="1580"/>
      <c r="X49" s="1580"/>
      <c r="Y49" s="1580"/>
      <c r="Z49" s="1580"/>
    </row>
    <row r="50" spans="1:26" ht="15.75" customHeight="1">
      <c r="A50" s="1580"/>
      <c r="B50" s="1603">
        <f t="shared" si="2"/>
        <v>5</v>
      </c>
      <c r="C50" s="1584" t="s">
        <v>1945</v>
      </c>
      <c r="D50" s="1584" t="s">
        <v>5669</v>
      </c>
      <c r="E50" s="1605">
        <v>42644</v>
      </c>
      <c r="F50" s="1605">
        <v>42675</v>
      </c>
      <c r="G50" s="1605">
        <v>42675</v>
      </c>
      <c r="H50" s="1633">
        <v>1</v>
      </c>
      <c r="I50" s="1584"/>
      <c r="J50" s="1609" t="s">
        <v>5672</v>
      </c>
      <c r="K50" s="1580"/>
      <c r="L50" s="1580"/>
      <c r="M50" s="1580"/>
      <c r="N50" s="1580"/>
      <c r="O50" s="1580"/>
      <c r="P50" s="1580"/>
      <c r="Q50" s="1580"/>
      <c r="R50" s="1580"/>
      <c r="S50" s="1580"/>
      <c r="T50" s="1580"/>
      <c r="U50" s="1580"/>
      <c r="V50" s="1580"/>
      <c r="W50" s="1580"/>
      <c r="X50" s="1580"/>
      <c r="Y50" s="1580"/>
      <c r="Z50" s="1580"/>
    </row>
    <row r="51" spans="1:26" ht="15.75" customHeight="1">
      <c r="A51" s="1580"/>
      <c r="B51" s="1603">
        <f t="shared" si="2"/>
        <v>6</v>
      </c>
      <c r="C51" s="1584" t="s">
        <v>5673</v>
      </c>
      <c r="D51" s="1584" t="s">
        <v>5674</v>
      </c>
      <c r="E51" s="1605">
        <v>42856</v>
      </c>
      <c r="F51" s="1605">
        <v>42887</v>
      </c>
      <c r="G51" s="1605">
        <v>42675</v>
      </c>
      <c r="H51" s="1633">
        <v>1</v>
      </c>
      <c r="I51" s="1634" t="s">
        <v>5675</v>
      </c>
      <c r="J51" s="1609" t="s">
        <v>5676</v>
      </c>
      <c r="K51" s="1634"/>
      <c r="L51" s="1580"/>
      <c r="M51" s="1580"/>
      <c r="N51" s="1580"/>
      <c r="O51" s="1580"/>
      <c r="P51" s="1580"/>
      <c r="Q51" s="1580"/>
      <c r="R51" s="1580"/>
      <c r="S51" s="1580"/>
      <c r="T51" s="1580"/>
      <c r="U51" s="1580"/>
      <c r="V51" s="1580"/>
      <c r="W51" s="1580"/>
      <c r="X51" s="1580"/>
      <c r="Y51" s="1580"/>
      <c r="Z51" s="1580"/>
    </row>
    <row r="52" spans="1:26" ht="15.75" customHeight="1">
      <c r="A52" s="1580"/>
      <c r="B52" s="1603">
        <f t="shared" si="2"/>
        <v>7</v>
      </c>
      <c r="C52" s="1584" t="s">
        <v>1134</v>
      </c>
      <c r="D52" s="1584" t="s">
        <v>2523</v>
      </c>
      <c r="E52" s="1605">
        <v>42856</v>
      </c>
      <c r="F52" s="1605">
        <v>42644</v>
      </c>
      <c r="G52" s="1605">
        <v>42675</v>
      </c>
      <c r="H52" s="1633">
        <v>1</v>
      </c>
      <c r="I52" s="1584"/>
      <c r="J52" s="1608" t="s">
        <v>5677</v>
      </c>
      <c r="K52" s="1580"/>
      <c r="L52" s="1580"/>
      <c r="M52" s="1580"/>
      <c r="N52" s="1580"/>
      <c r="O52" s="1580"/>
      <c r="P52" s="1580"/>
      <c r="Q52" s="1580"/>
      <c r="R52" s="1580"/>
      <c r="S52" s="1580"/>
      <c r="T52" s="1580"/>
      <c r="U52" s="1580"/>
      <c r="V52" s="1580"/>
      <c r="W52" s="1580"/>
      <c r="X52" s="1580"/>
      <c r="Y52" s="1580"/>
      <c r="Z52" s="1580"/>
    </row>
    <row r="53" spans="1:26" ht="15.75" customHeight="1">
      <c r="A53" s="1580"/>
      <c r="B53" s="1603">
        <f t="shared" si="2"/>
        <v>8</v>
      </c>
      <c r="C53" s="1584" t="s">
        <v>1763</v>
      </c>
      <c r="D53" s="1584" t="s">
        <v>5678</v>
      </c>
      <c r="E53" s="1605">
        <v>42644</v>
      </c>
      <c r="F53" s="1605">
        <v>42675</v>
      </c>
      <c r="G53" s="1605">
        <v>42675</v>
      </c>
      <c r="H53" s="1633">
        <v>1</v>
      </c>
      <c r="I53" s="1584"/>
      <c r="J53" s="1608"/>
      <c r="K53" s="1580"/>
      <c r="L53" s="1580"/>
      <c r="M53" s="1580"/>
      <c r="N53" s="1580"/>
      <c r="O53" s="1580"/>
      <c r="P53" s="1580"/>
      <c r="Q53" s="1580"/>
      <c r="R53" s="1580"/>
      <c r="S53" s="1580"/>
      <c r="T53" s="1580"/>
      <c r="U53" s="1580"/>
      <c r="V53" s="1580"/>
      <c r="W53" s="1580"/>
      <c r="X53" s="1580"/>
      <c r="Y53" s="1580"/>
      <c r="Z53" s="1580"/>
    </row>
    <row r="54" spans="1:26" ht="15.75" customHeight="1">
      <c r="A54" s="1580"/>
      <c r="B54" s="1603">
        <f t="shared" si="2"/>
        <v>9</v>
      </c>
      <c r="C54" s="1584" t="s">
        <v>4312</v>
      </c>
      <c r="D54" s="1584" t="s">
        <v>5679</v>
      </c>
      <c r="E54" s="1605">
        <v>42644</v>
      </c>
      <c r="F54" s="1605">
        <v>42675</v>
      </c>
      <c r="G54" s="1605">
        <v>42675</v>
      </c>
      <c r="H54" s="1633">
        <v>1</v>
      </c>
      <c r="I54" s="1584"/>
      <c r="J54" s="1609" t="s">
        <v>5680</v>
      </c>
      <c r="K54" s="1580"/>
      <c r="L54" s="1580"/>
      <c r="M54" s="1580"/>
      <c r="N54" s="1580"/>
      <c r="O54" s="1580"/>
      <c r="P54" s="1580"/>
      <c r="Q54" s="1580"/>
      <c r="R54" s="1580"/>
      <c r="S54" s="1580"/>
      <c r="T54" s="1580"/>
      <c r="U54" s="1580"/>
      <c r="V54" s="1580"/>
      <c r="W54" s="1580"/>
      <c r="X54" s="1580"/>
      <c r="Y54" s="1580"/>
      <c r="Z54" s="1580"/>
    </row>
    <row r="55" spans="1:26" ht="15.75" customHeight="1">
      <c r="A55" s="1580"/>
      <c r="B55" s="1603">
        <f t="shared" si="2"/>
        <v>10</v>
      </c>
      <c r="C55" s="1584" t="s">
        <v>977</v>
      </c>
      <c r="D55" s="1584" t="s">
        <v>5681</v>
      </c>
      <c r="E55" s="1605">
        <v>42644</v>
      </c>
      <c r="F55" s="1605">
        <v>42675</v>
      </c>
      <c r="G55" s="1605">
        <v>42675</v>
      </c>
      <c r="H55" s="1633">
        <v>1</v>
      </c>
      <c r="I55" s="1584"/>
      <c r="J55" s="1609" t="s">
        <v>5682</v>
      </c>
      <c r="K55" s="1580"/>
      <c r="L55" s="1580"/>
      <c r="M55" s="1580"/>
      <c r="N55" s="1580"/>
      <c r="O55" s="1580"/>
      <c r="P55" s="1580"/>
      <c r="Q55" s="1580"/>
      <c r="R55" s="1580"/>
      <c r="S55" s="1580"/>
      <c r="T55" s="1580"/>
      <c r="U55" s="1580"/>
      <c r="V55" s="1580"/>
      <c r="W55" s="1580"/>
      <c r="X55" s="1580"/>
      <c r="Y55" s="1580"/>
      <c r="Z55" s="1580"/>
    </row>
    <row r="56" spans="1:26" ht="15.75" customHeight="1">
      <c r="A56" s="1580"/>
      <c r="B56" s="1603">
        <f t="shared" si="2"/>
        <v>11</v>
      </c>
      <c r="C56" s="1584" t="s">
        <v>2100</v>
      </c>
      <c r="D56" s="1584" t="s">
        <v>5681</v>
      </c>
      <c r="E56" s="1605">
        <v>42644</v>
      </c>
      <c r="F56" s="1605">
        <v>42675</v>
      </c>
      <c r="G56" s="1605">
        <v>42675</v>
      </c>
      <c r="H56" s="1633">
        <v>1</v>
      </c>
      <c r="I56" s="1584"/>
      <c r="J56" s="1609" t="s">
        <v>5683</v>
      </c>
      <c r="K56" s="1580"/>
      <c r="L56" s="1580"/>
      <c r="M56" s="1580"/>
      <c r="N56" s="1580"/>
      <c r="O56" s="1580"/>
      <c r="P56" s="1580"/>
      <c r="Q56" s="1580"/>
      <c r="R56" s="1580"/>
      <c r="S56" s="1580"/>
      <c r="T56" s="1580"/>
      <c r="U56" s="1580"/>
      <c r="V56" s="1580"/>
      <c r="W56" s="1580"/>
      <c r="X56" s="1580"/>
      <c r="Y56" s="1580"/>
      <c r="Z56" s="1580"/>
    </row>
    <row r="57" spans="1:26" ht="15.75" customHeight="1">
      <c r="A57" s="1580"/>
      <c r="B57" s="1603">
        <f t="shared" si="2"/>
        <v>12</v>
      </c>
      <c r="C57" s="1584" t="s">
        <v>2668</v>
      </c>
      <c r="D57" s="1584" t="s">
        <v>5684</v>
      </c>
      <c r="E57" s="1605">
        <v>42644</v>
      </c>
      <c r="F57" s="1605">
        <v>42675</v>
      </c>
      <c r="G57" s="1605">
        <v>42675</v>
      </c>
      <c r="H57" s="1633">
        <v>1</v>
      </c>
      <c r="I57" s="1584"/>
      <c r="J57" s="1608" t="s">
        <v>5685</v>
      </c>
      <c r="K57" s="1580"/>
      <c r="L57" s="1580"/>
      <c r="M57" s="1580"/>
      <c r="N57" s="1580"/>
      <c r="O57" s="1580"/>
      <c r="P57" s="1580"/>
      <c r="Q57" s="1580"/>
      <c r="R57" s="1580"/>
      <c r="S57" s="1580"/>
      <c r="T57" s="1580"/>
      <c r="U57" s="1580"/>
      <c r="V57" s="1580"/>
      <c r="W57" s="1580"/>
      <c r="X57" s="1580"/>
      <c r="Y57" s="1580"/>
      <c r="Z57" s="1580"/>
    </row>
    <row r="58" spans="1:26" ht="15.75" customHeight="1">
      <c r="A58" s="1580"/>
      <c r="B58" s="1603">
        <f t="shared" si="2"/>
        <v>13</v>
      </c>
      <c r="C58" s="1584" t="s">
        <v>246</v>
      </c>
      <c r="D58" s="1584" t="s">
        <v>5686</v>
      </c>
      <c r="E58" s="1605">
        <v>42644</v>
      </c>
      <c r="F58" s="1605">
        <v>42675</v>
      </c>
      <c r="G58" s="1605">
        <v>42675</v>
      </c>
      <c r="H58" s="1633">
        <v>1</v>
      </c>
      <c r="I58" s="1584"/>
      <c r="J58" s="1609" t="s">
        <v>5687</v>
      </c>
      <c r="K58" s="1580"/>
      <c r="L58" s="1580"/>
      <c r="M58" s="1580"/>
      <c r="N58" s="1580"/>
      <c r="O58" s="1580"/>
      <c r="P58" s="1580"/>
      <c r="Q58" s="1580"/>
      <c r="R58" s="1580"/>
      <c r="S58" s="1580"/>
      <c r="T58" s="1580"/>
      <c r="U58" s="1580"/>
      <c r="V58" s="1580"/>
      <c r="W58" s="1580"/>
      <c r="X58" s="1580"/>
      <c r="Y58" s="1580"/>
      <c r="Z58" s="1580"/>
    </row>
    <row r="59" spans="1:26" ht="15.75" customHeight="1">
      <c r="A59" s="1580"/>
      <c r="B59" s="1603">
        <f t="shared" si="2"/>
        <v>14</v>
      </c>
      <c r="C59" s="1584" t="s">
        <v>1128</v>
      </c>
      <c r="D59" s="1584" t="s">
        <v>5688</v>
      </c>
      <c r="E59" s="1605">
        <v>42644</v>
      </c>
      <c r="F59" s="1605">
        <v>42675</v>
      </c>
      <c r="G59" s="1605">
        <v>42675</v>
      </c>
      <c r="H59" s="1633">
        <v>1</v>
      </c>
      <c r="I59" s="1584"/>
      <c r="J59" s="1608"/>
      <c r="K59" s="1580"/>
      <c r="L59" s="1580"/>
      <c r="M59" s="1580"/>
      <c r="N59" s="1580"/>
      <c r="O59" s="1580"/>
      <c r="P59" s="1580"/>
      <c r="Q59" s="1580"/>
      <c r="R59" s="1580"/>
      <c r="S59" s="1580"/>
      <c r="T59" s="1580"/>
      <c r="U59" s="1580"/>
      <c r="V59" s="1580"/>
      <c r="W59" s="1580"/>
      <c r="X59" s="1580"/>
      <c r="Y59" s="1580"/>
      <c r="Z59" s="1580"/>
    </row>
    <row r="60" spans="1:26" ht="15.75" customHeight="1">
      <c r="A60" s="1580"/>
      <c r="B60" s="1603">
        <f t="shared" si="2"/>
        <v>15</v>
      </c>
      <c r="C60" s="1584" t="s">
        <v>595</v>
      </c>
      <c r="D60" s="1584" t="s">
        <v>5689</v>
      </c>
      <c r="E60" s="1605">
        <v>42644</v>
      </c>
      <c r="F60" s="1605">
        <v>42675</v>
      </c>
      <c r="G60" s="1605">
        <v>42675</v>
      </c>
      <c r="H60" s="1633">
        <v>1</v>
      </c>
      <c r="I60" s="1584"/>
      <c r="J60" s="1609" t="s">
        <v>5690</v>
      </c>
      <c r="K60" s="1580"/>
      <c r="L60" s="1580"/>
      <c r="M60" s="1580"/>
      <c r="N60" s="1580"/>
      <c r="O60" s="1580"/>
      <c r="P60" s="1580"/>
      <c r="Q60" s="1580"/>
      <c r="R60" s="1580"/>
      <c r="S60" s="1580"/>
      <c r="T60" s="1580"/>
      <c r="U60" s="1580"/>
      <c r="V60" s="1580"/>
      <c r="W60" s="1580"/>
      <c r="X60" s="1580"/>
      <c r="Y60" s="1580"/>
      <c r="Z60" s="1580"/>
    </row>
    <row r="61" spans="1:26" ht="15.75" customHeight="1">
      <c r="A61" s="1580"/>
      <c r="B61" s="1603">
        <f t="shared" si="2"/>
        <v>16</v>
      </c>
      <c r="C61" s="1584" t="s">
        <v>1091</v>
      </c>
      <c r="D61" s="1584" t="s">
        <v>5691</v>
      </c>
      <c r="E61" s="1605">
        <v>42644</v>
      </c>
      <c r="F61" s="1605">
        <v>42675</v>
      </c>
      <c r="G61" s="1605">
        <v>42675</v>
      </c>
      <c r="H61" s="1633">
        <v>1</v>
      </c>
      <c r="I61" s="1584"/>
      <c r="J61" s="1609" t="s">
        <v>5692</v>
      </c>
      <c r="K61" s="1580"/>
      <c r="L61" s="1580"/>
      <c r="M61" s="1580"/>
      <c r="N61" s="1580"/>
      <c r="O61" s="1580"/>
      <c r="P61" s="1580"/>
      <c r="Q61" s="1580"/>
      <c r="R61" s="1580"/>
      <c r="S61" s="1580"/>
      <c r="T61" s="1580"/>
      <c r="U61" s="1580"/>
      <c r="V61" s="1580"/>
      <c r="W61" s="1580"/>
      <c r="X61" s="1580"/>
      <c r="Y61" s="1580"/>
      <c r="Z61" s="1580"/>
    </row>
    <row r="62" spans="1:26" ht="15.75" customHeight="1">
      <c r="A62" s="1580"/>
      <c r="B62" s="1603">
        <f t="shared" si="2"/>
        <v>17</v>
      </c>
      <c r="C62" s="1584" t="s">
        <v>5693</v>
      </c>
      <c r="D62" s="1584" t="s">
        <v>5694</v>
      </c>
      <c r="E62" s="1605">
        <v>42856</v>
      </c>
      <c r="F62" s="1605">
        <v>42644</v>
      </c>
      <c r="G62" s="1605">
        <v>42675</v>
      </c>
      <c r="H62" s="1633">
        <v>1</v>
      </c>
      <c r="I62" s="1584"/>
      <c r="J62" s="1609" t="s">
        <v>5695</v>
      </c>
      <c r="K62" s="1580"/>
      <c r="L62" s="1580"/>
      <c r="M62" s="1580"/>
      <c r="N62" s="1580"/>
      <c r="O62" s="1580"/>
      <c r="P62" s="1580"/>
      <c r="Q62" s="1580"/>
      <c r="R62" s="1580"/>
      <c r="S62" s="1580"/>
      <c r="T62" s="1580"/>
      <c r="U62" s="1580"/>
      <c r="V62" s="1580"/>
      <c r="W62" s="1580"/>
      <c r="X62" s="1580"/>
      <c r="Y62" s="1580"/>
      <c r="Z62" s="1580"/>
    </row>
    <row r="63" spans="1:26" ht="15.75" customHeight="1">
      <c r="A63" s="1580"/>
      <c r="B63" s="1603">
        <f t="shared" si="2"/>
        <v>18</v>
      </c>
      <c r="C63" s="1584" t="s">
        <v>1304</v>
      </c>
      <c r="D63" s="1584" t="s">
        <v>5696</v>
      </c>
      <c r="E63" s="1605">
        <v>42644</v>
      </c>
      <c r="F63" s="1605">
        <v>42675</v>
      </c>
      <c r="G63" s="1605">
        <v>42675</v>
      </c>
      <c r="H63" s="1633">
        <v>1</v>
      </c>
      <c r="I63" s="1584"/>
      <c r="J63" s="1609" t="s">
        <v>5697</v>
      </c>
      <c r="K63" s="1580"/>
      <c r="L63" s="1580"/>
      <c r="M63" s="1580"/>
      <c r="N63" s="1580"/>
      <c r="O63" s="1580"/>
      <c r="P63" s="1580"/>
      <c r="Q63" s="1580"/>
      <c r="R63" s="1580"/>
      <c r="S63" s="1580"/>
      <c r="T63" s="1580"/>
      <c r="U63" s="1580"/>
      <c r="V63" s="1580"/>
      <c r="W63" s="1580"/>
      <c r="X63" s="1580"/>
      <c r="Y63" s="1580"/>
      <c r="Z63" s="1580"/>
    </row>
    <row r="64" spans="1:26" ht="15.75" customHeight="1">
      <c r="A64" s="1580"/>
      <c r="B64" s="1603">
        <f t="shared" si="2"/>
        <v>19</v>
      </c>
      <c r="C64" s="1584" t="s">
        <v>1048</v>
      </c>
      <c r="D64" s="1584" t="s">
        <v>5698</v>
      </c>
      <c r="E64" s="1605">
        <v>42644</v>
      </c>
      <c r="F64" s="1605">
        <v>42675</v>
      </c>
      <c r="G64" s="1605">
        <v>42675</v>
      </c>
      <c r="H64" s="1633">
        <v>1</v>
      </c>
      <c r="I64" s="1584"/>
      <c r="J64" s="1609" t="s">
        <v>5699</v>
      </c>
      <c r="K64" s="1580"/>
      <c r="L64" s="1580"/>
      <c r="M64" s="1580"/>
      <c r="N64" s="1580"/>
      <c r="O64" s="1580"/>
      <c r="P64" s="1580"/>
      <c r="Q64" s="1580"/>
      <c r="R64" s="1580"/>
      <c r="S64" s="1580"/>
      <c r="T64" s="1580"/>
      <c r="U64" s="1580"/>
      <c r="V64" s="1580"/>
      <c r="W64" s="1580"/>
      <c r="X64" s="1580"/>
      <c r="Y64" s="1580"/>
      <c r="Z64" s="1580"/>
    </row>
    <row r="65" spans="1:26" ht="15.75" customHeight="1">
      <c r="A65" s="1580"/>
      <c r="B65" s="1603">
        <f t="shared" si="2"/>
        <v>20</v>
      </c>
      <c r="C65" s="1584" t="s">
        <v>741</v>
      </c>
      <c r="D65" s="1584" t="s">
        <v>5700</v>
      </c>
      <c r="E65" s="1611"/>
      <c r="F65" s="1628">
        <v>42675</v>
      </c>
      <c r="G65" s="1611"/>
      <c r="H65" s="1608"/>
      <c r="I65" s="1584"/>
      <c r="J65" s="1608"/>
      <c r="K65" s="1580"/>
      <c r="L65" s="1580"/>
      <c r="M65" s="1580"/>
      <c r="N65" s="1580"/>
      <c r="O65" s="1580"/>
      <c r="P65" s="1580"/>
      <c r="Q65" s="1580"/>
      <c r="R65" s="1580"/>
      <c r="S65" s="1580"/>
      <c r="T65" s="1580"/>
      <c r="U65" s="1580"/>
      <c r="V65" s="1580"/>
      <c r="W65" s="1580"/>
      <c r="X65" s="1580"/>
      <c r="Y65" s="1580"/>
      <c r="Z65" s="1580"/>
    </row>
    <row r="66" spans="1:26" ht="15.75" customHeight="1">
      <c r="A66" s="1580"/>
      <c r="B66" s="1603">
        <f t="shared" si="2"/>
        <v>21</v>
      </c>
      <c r="C66" s="1584" t="s">
        <v>5701</v>
      </c>
      <c r="D66" s="1584" t="s">
        <v>5702</v>
      </c>
      <c r="E66" s="1605">
        <v>42644</v>
      </c>
      <c r="F66" s="1605">
        <v>42675</v>
      </c>
      <c r="G66" s="1605">
        <v>42675</v>
      </c>
      <c r="H66" s="1633">
        <v>1</v>
      </c>
      <c r="I66" s="1584"/>
      <c r="J66" s="1609" t="s">
        <v>5703</v>
      </c>
      <c r="K66" s="1580"/>
      <c r="L66" s="1580"/>
      <c r="M66" s="1580"/>
      <c r="N66" s="1580"/>
      <c r="O66" s="1580"/>
      <c r="P66" s="1580"/>
      <c r="Q66" s="1580"/>
      <c r="R66" s="1580"/>
      <c r="S66" s="1580"/>
      <c r="T66" s="1580"/>
      <c r="U66" s="1580"/>
      <c r="V66" s="1580"/>
      <c r="W66" s="1580"/>
      <c r="X66" s="1580"/>
      <c r="Y66" s="1580"/>
      <c r="Z66" s="1580"/>
    </row>
    <row r="67" spans="1:26" ht="15.75" customHeight="1">
      <c r="A67" s="1580"/>
      <c r="B67" s="1616">
        <f t="shared" si="2"/>
        <v>22</v>
      </c>
      <c r="C67" s="1617" t="s">
        <v>428</v>
      </c>
      <c r="D67" s="1617" t="s">
        <v>5704</v>
      </c>
      <c r="E67" s="1619">
        <v>42644</v>
      </c>
      <c r="F67" s="1619">
        <v>42675</v>
      </c>
      <c r="G67" s="1619">
        <v>42675</v>
      </c>
      <c r="H67" s="1635">
        <v>1</v>
      </c>
      <c r="I67" s="1617"/>
      <c r="J67" s="1631" t="s">
        <v>5705</v>
      </c>
      <c r="K67" s="1580"/>
      <c r="L67" s="1580"/>
      <c r="M67" s="1580"/>
      <c r="N67" s="1580"/>
      <c r="O67" s="1580"/>
      <c r="P67" s="1580"/>
      <c r="Q67" s="1580"/>
      <c r="R67" s="1580"/>
      <c r="S67" s="1580"/>
      <c r="T67" s="1580"/>
      <c r="U67" s="1580"/>
      <c r="V67" s="1580"/>
      <c r="W67" s="1580"/>
      <c r="X67" s="1580"/>
      <c r="Y67" s="1580"/>
      <c r="Z67" s="1580"/>
    </row>
    <row r="68" spans="1:26" ht="15.75" customHeight="1">
      <c r="A68" s="1580"/>
      <c r="B68" s="1595">
        <v>1</v>
      </c>
      <c r="C68" s="1596" t="s">
        <v>912</v>
      </c>
      <c r="D68" s="1596" t="s">
        <v>5706</v>
      </c>
      <c r="E68" s="1598">
        <v>42856</v>
      </c>
      <c r="F68" s="1598">
        <v>42887</v>
      </c>
      <c r="G68" s="1599">
        <v>42917</v>
      </c>
      <c r="H68" s="1636">
        <v>1</v>
      </c>
      <c r="I68" s="1596"/>
      <c r="J68" s="1601" t="s">
        <v>5707</v>
      </c>
      <c r="K68" s="1580"/>
      <c r="L68" s="1580"/>
      <c r="M68" s="1580"/>
      <c r="N68" s="1580"/>
      <c r="O68" s="1580"/>
      <c r="P68" s="1580"/>
      <c r="Q68" s="1580"/>
      <c r="R68" s="1580"/>
      <c r="S68" s="1602"/>
      <c r="T68" s="1580"/>
      <c r="U68" s="1580"/>
      <c r="V68" s="1580"/>
      <c r="W68" s="1580"/>
      <c r="X68" s="1580"/>
      <c r="Y68" s="1580"/>
      <c r="Z68" s="1580"/>
    </row>
    <row r="69" spans="1:26" ht="15.75" customHeight="1">
      <c r="A69" s="1580"/>
      <c r="B69" s="1603">
        <f t="shared" ref="B69:B97" si="3">B68+1</f>
        <v>2</v>
      </c>
      <c r="C69" s="1584" t="s">
        <v>119</v>
      </c>
      <c r="D69" s="1584" t="s">
        <v>5708</v>
      </c>
      <c r="E69" s="1605">
        <v>42856</v>
      </c>
      <c r="F69" s="1605">
        <v>42887</v>
      </c>
      <c r="G69" s="1606">
        <v>42917</v>
      </c>
      <c r="H69" s="1637">
        <v>1</v>
      </c>
      <c r="I69" s="1584"/>
      <c r="J69" s="1609" t="s">
        <v>5709</v>
      </c>
      <c r="K69" s="1580"/>
      <c r="L69" s="1580"/>
      <c r="M69" s="1580"/>
      <c r="N69" s="1580"/>
      <c r="O69" s="1580"/>
      <c r="P69" s="1580"/>
      <c r="Q69" s="1580"/>
      <c r="R69" s="1580"/>
      <c r="S69" s="1602"/>
      <c r="T69" s="1580"/>
      <c r="U69" s="1580"/>
      <c r="V69" s="1580"/>
      <c r="W69" s="1580"/>
      <c r="X69" s="1580"/>
      <c r="Y69" s="1580"/>
      <c r="Z69" s="1580"/>
    </row>
    <row r="70" spans="1:26" ht="15.75" customHeight="1">
      <c r="A70" s="1580"/>
      <c r="B70" s="1603">
        <f t="shared" si="3"/>
        <v>3</v>
      </c>
      <c r="C70" s="1584" t="s">
        <v>1378</v>
      </c>
      <c r="D70" s="1584" t="s">
        <v>5710</v>
      </c>
      <c r="E70" s="1605">
        <v>42856</v>
      </c>
      <c r="F70" s="1605">
        <v>42887</v>
      </c>
      <c r="G70" s="1606">
        <v>42917</v>
      </c>
      <c r="H70" s="1637">
        <v>1</v>
      </c>
      <c r="I70" s="1584"/>
      <c r="J70" s="1609" t="s">
        <v>5711</v>
      </c>
      <c r="K70" s="1580"/>
      <c r="L70" s="1580"/>
      <c r="M70" s="1580"/>
      <c r="N70" s="1580"/>
      <c r="O70" s="1580"/>
      <c r="P70" s="1580"/>
      <c r="Q70" s="1580"/>
      <c r="R70" s="1580"/>
      <c r="S70" s="1580"/>
      <c r="T70" s="1580"/>
      <c r="U70" s="1580"/>
      <c r="V70" s="1580"/>
      <c r="W70" s="1580"/>
      <c r="X70" s="1580"/>
      <c r="Y70" s="1580"/>
      <c r="Z70" s="1580"/>
    </row>
    <row r="71" spans="1:26" ht="15.75" customHeight="1">
      <c r="A71" s="1580"/>
      <c r="B71" s="1603">
        <f t="shared" si="3"/>
        <v>4</v>
      </c>
      <c r="C71" s="1584" t="s">
        <v>321</v>
      </c>
      <c r="D71" s="1584" t="s">
        <v>5712</v>
      </c>
      <c r="E71" s="1605">
        <v>42856</v>
      </c>
      <c r="F71" s="1605">
        <v>42887</v>
      </c>
      <c r="G71" s="1606">
        <v>42917</v>
      </c>
      <c r="H71" s="1637">
        <v>1</v>
      </c>
      <c r="I71" s="1584"/>
      <c r="J71" s="1609" t="s">
        <v>5713</v>
      </c>
      <c r="K71" s="1580"/>
      <c r="L71" s="1580"/>
      <c r="M71" s="1580"/>
      <c r="N71" s="1580"/>
      <c r="O71" s="1580"/>
      <c r="P71" s="1580"/>
      <c r="Q71" s="1580"/>
      <c r="R71" s="1580"/>
      <c r="S71" s="1580"/>
      <c r="T71" s="1580"/>
      <c r="U71" s="1580"/>
      <c r="V71" s="1580"/>
      <c r="W71" s="1580"/>
      <c r="X71" s="1580"/>
      <c r="Y71" s="1580"/>
      <c r="Z71" s="1580"/>
    </row>
    <row r="72" spans="1:26" ht="15.75" customHeight="1">
      <c r="A72" s="1580"/>
      <c r="B72" s="1603">
        <f t="shared" si="3"/>
        <v>5</v>
      </c>
      <c r="C72" s="1584" t="s">
        <v>135</v>
      </c>
      <c r="D72" s="1584" t="s">
        <v>1390</v>
      </c>
      <c r="E72" s="1605">
        <v>42856</v>
      </c>
      <c r="F72" s="1605">
        <v>42887</v>
      </c>
      <c r="G72" s="1606">
        <v>42917</v>
      </c>
      <c r="H72" s="1637">
        <v>1</v>
      </c>
      <c r="I72" s="1584"/>
      <c r="J72" s="1609" t="s">
        <v>5714</v>
      </c>
      <c r="K72" s="1580"/>
      <c r="L72" s="1580"/>
      <c r="M72" s="1580"/>
      <c r="N72" s="1580"/>
      <c r="O72" s="1580"/>
      <c r="P72" s="1580"/>
      <c r="Q72" s="1580"/>
      <c r="R72" s="1580"/>
      <c r="S72" s="1580"/>
      <c r="T72" s="1580"/>
      <c r="U72" s="1580"/>
      <c r="V72" s="1580"/>
      <c r="W72" s="1580"/>
      <c r="X72" s="1580"/>
      <c r="Y72" s="1580"/>
      <c r="Z72" s="1580"/>
    </row>
    <row r="73" spans="1:26" ht="15.75" customHeight="1">
      <c r="A73" s="1580"/>
      <c r="B73" s="1603">
        <f t="shared" si="3"/>
        <v>6</v>
      </c>
      <c r="C73" s="1584" t="s">
        <v>898</v>
      </c>
      <c r="D73" s="1584" t="s">
        <v>5715</v>
      </c>
      <c r="E73" s="1605">
        <v>42856</v>
      </c>
      <c r="F73" s="1605">
        <v>42887</v>
      </c>
      <c r="G73" s="1606">
        <v>42917</v>
      </c>
      <c r="H73" s="1637">
        <v>1</v>
      </c>
      <c r="I73" s="1584"/>
      <c r="J73" s="1609" t="s">
        <v>5716</v>
      </c>
      <c r="K73" s="1580"/>
      <c r="L73" s="1580"/>
      <c r="M73" s="1580"/>
      <c r="N73" s="1580"/>
      <c r="O73" s="1580"/>
      <c r="P73" s="1580"/>
      <c r="Q73" s="1580"/>
      <c r="R73" s="1580"/>
      <c r="S73" s="1580"/>
      <c r="T73" s="1580"/>
      <c r="U73" s="1580"/>
      <c r="V73" s="1580"/>
      <c r="W73" s="1580"/>
      <c r="X73" s="1580"/>
      <c r="Y73" s="1580"/>
      <c r="Z73" s="1580"/>
    </row>
    <row r="74" spans="1:26" ht="15.75" customHeight="1">
      <c r="A74" s="1580"/>
      <c r="B74" s="1603">
        <f t="shared" si="3"/>
        <v>7</v>
      </c>
      <c r="C74" s="1584" t="s">
        <v>208</v>
      </c>
      <c r="D74" s="1584" t="s">
        <v>5715</v>
      </c>
      <c r="E74" s="1605">
        <v>42856</v>
      </c>
      <c r="F74" s="1605">
        <v>42887</v>
      </c>
      <c r="G74" s="1606">
        <v>42917</v>
      </c>
      <c r="H74" s="1637">
        <v>1</v>
      </c>
      <c r="I74" s="1584"/>
      <c r="J74" s="1609" t="s">
        <v>5717</v>
      </c>
      <c r="K74" s="1580"/>
      <c r="L74" s="1580"/>
      <c r="M74" s="1580"/>
      <c r="N74" s="1580"/>
      <c r="O74" s="1580"/>
      <c r="P74" s="1580"/>
      <c r="Q74" s="1580"/>
      <c r="R74" s="1580"/>
      <c r="S74" s="1580"/>
      <c r="T74" s="1580"/>
      <c r="U74" s="1580"/>
      <c r="V74" s="1580"/>
      <c r="W74" s="1580"/>
      <c r="X74" s="1580"/>
      <c r="Y74" s="1580"/>
      <c r="Z74" s="1580"/>
    </row>
    <row r="75" spans="1:26" ht="15.75" customHeight="1">
      <c r="A75" s="1580"/>
      <c r="B75" s="1603">
        <f t="shared" si="3"/>
        <v>8</v>
      </c>
      <c r="C75" s="1584" t="s">
        <v>5718</v>
      </c>
      <c r="D75" s="1584" t="s">
        <v>5719</v>
      </c>
      <c r="E75" s="1638">
        <v>42856</v>
      </c>
      <c r="F75" s="1638"/>
      <c r="G75" s="1630"/>
      <c r="H75" s="1608"/>
      <c r="I75" s="1584"/>
      <c r="J75" s="1608"/>
      <c r="K75" s="1580"/>
      <c r="L75" s="1580"/>
      <c r="M75" s="1580"/>
      <c r="N75" s="1580"/>
      <c r="O75" s="1580"/>
      <c r="P75" s="1580"/>
      <c r="Q75" s="1580"/>
      <c r="R75" s="1580"/>
      <c r="S75" s="1580"/>
      <c r="T75" s="1580"/>
      <c r="U75" s="1580"/>
      <c r="V75" s="1580"/>
      <c r="W75" s="1580"/>
      <c r="X75" s="1580"/>
      <c r="Y75" s="1580"/>
      <c r="Z75" s="1580"/>
    </row>
    <row r="76" spans="1:26" ht="15.75" customHeight="1">
      <c r="A76" s="1580"/>
      <c r="B76" s="1603">
        <f t="shared" si="3"/>
        <v>9</v>
      </c>
      <c r="C76" s="1584" t="s">
        <v>595</v>
      </c>
      <c r="D76" s="1584" t="s">
        <v>2306</v>
      </c>
      <c r="E76" s="1605">
        <v>42856</v>
      </c>
      <c r="F76" s="1605">
        <v>42887</v>
      </c>
      <c r="G76" s="1606">
        <v>42917</v>
      </c>
      <c r="H76" s="1637">
        <v>1</v>
      </c>
      <c r="I76" s="1584"/>
      <c r="J76" s="1609" t="s">
        <v>5720</v>
      </c>
      <c r="K76" s="1580"/>
      <c r="L76" s="1580"/>
      <c r="M76" s="1580"/>
      <c r="N76" s="1580"/>
      <c r="O76" s="1580"/>
      <c r="P76" s="1580"/>
      <c r="Q76" s="1580"/>
      <c r="R76" s="1580"/>
      <c r="S76" s="1580"/>
      <c r="T76" s="1580"/>
      <c r="U76" s="1580"/>
      <c r="V76" s="1580"/>
      <c r="W76" s="1580"/>
      <c r="X76" s="1580"/>
      <c r="Y76" s="1580"/>
      <c r="Z76" s="1580"/>
    </row>
    <row r="77" spans="1:26" ht="15.75" customHeight="1">
      <c r="A77" s="1580"/>
      <c r="B77" s="1603">
        <f t="shared" si="3"/>
        <v>10</v>
      </c>
      <c r="C77" s="1584" t="s">
        <v>135</v>
      </c>
      <c r="D77" s="1584" t="s">
        <v>5721</v>
      </c>
      <c r="E77" s="1605">
        <v>42856</v>
      </c>
      <c r="F77" s="1605">
        <v>42887</v>
      </c>
      <c r="G77" s="1606">
        <v>42917</v>
      </c>
      <c r="H77" s="1633">
        <v>1</v>
      </c>
      <c r="I77" s="1584"/>
      <c r="J77" s="1609" t="s">
        <v>5722</v>
      </c>
      <c r="K77" s="1580"/>
      <c r="L77" s="1580"/>
      <c r="M77" s="1580"/>
      <c r="N77" s="1580"/>
      <c r="O77" s="1580"/>
      <c r="P77" s="1580"/>
      <c r="Q77" s="1580"/>
      <c r="R77" s="1580"/>
      <c r="S77" s="1580"/>
      <c r="T77" s="1580"/>
      <c r="U77" s="1580"/>
      <c r="V77" s="1580"/>
      <c r="W77" s="1580"/>
      <c r="X77" s="1580"/>
      <c r="Y77" s="1580"/>
      <c r="Z77" s="1580"/>
    </row>
    <row r="78" spans="1:26" ht="15.75" customHeight="1">
      <c r="A78" s="1580"/>
      <c r="B78" s="1603">
        <f t="shared" si="3"/>
        <v>11</v>
      </c>
      <c r="C78" s="1584" t="s">
        <v>238</v>
      </c>
      <c r="D78" s="1584" t="s">
        <v>5723</v>
      </c>
      <c r="E78" s="1605">
        <v>42856</v>
      </c>
      <c r="F78" s="1605">
        <v>42887</v>
      </c>
      <c r="G78" s="1606">
        <v>43070</v>
      </c>
      <c r="H78" s="1637">
        <v>1</v>
      </c>
      <c r="I78" s="1584"/>
      <c r="J78" s="1609" t="s">
        <v>5724</v>
      </c>
      <c r="K78" s="1580"/>
      <c r="L78" s="1580"/>
      <c r="M78" s="1580"/>
      <c r="N78" s="1580"/>
      <c r="O78" s="1580"/>
      <c r="P78" s="1580"/>
      <c r="Q78" s="1580"/>
      <c r="R78" s="1580"/>
      <c r="S78" s="1580"/>
      <c r="T78" s="1580"/>
      <c r="U78" s="1580"/>
      <c r="V78" s="1580"/>
      <c r="W78" s="1580"/>
      <c r="X78" s="1580"/>
      <c r="Y78" s="1580"/>
      <c r="Z78" s="1580"/>
    </row>
    <row r="79" spans="1:26" ht="15.75" customHeight="1">
      <c r="A79" s="1580"/>
      <c r="B79" s="1603">
        <f t="shared" si="3"/>
        <v>12</v>
      </c>
      <c r="C79" s="1584" t="s">
        <v>570</v>
      </c>
      <c r="D79" s="1584" t="s">
        <v>5725</v>
      </c>
      <c r="E79" s="1605">
        <v>42856</v>
      </c>
      <c r="F79" s="1605">
        <v>43040</v>
      </c>
      <c r="G79" s="1606">
        <v>42917</v>
      </c>
      <c r="H79" s="1637">
        <v>1</v>
      </c>
      <c r="I79" s="1584"/>
      <c r="J79" s="1608" t="s">
        <v>5726</v>
      </c>
      <c r="K79" s="1580"/>
      <c r="L79" s="1580"/>
      <c r="M79" s="1580"/>
      <c r="N79" s="1580"/>
      <c r="O79" s="1580"/>
      <c r="P79" s="1580"/>
      <c r="Q79" s="1580"/>
      <c r="R79" s="1580"/>
      <c r="S79" s="1580"/>
      <c r="T79" s="1580"/>
      <c r="U79" s="1580"/>
      <c r="V79" s="1580"/>
      <c r="W79" s="1580"/>
      <c r="X79" s="1580"/>
      <c r="Y79" s="1580"/>
      <c r="Z79" s="1580"/>
    </row>
    <row r="80" spans="1:26" ht="15.75" customHeight="1">
      <c r="A80" s="1580"/>
      <c r="B80" s="1603">
        <f t="shared" si="3"/>
        <v>13</v>
      </c>
      <c r="C80" s="1584" t="s">
        <v>2668</v>
      </c>
      <c r="D80" s="1584" t="s">
        <v>5684</v>
      </c>
      <c r="E80" s="1605">
        <v>42856</v>
      </c>
      <c r="F80" s="1605">
        <v>42887</v>
      </c>
      <c r="G80" s="1606">
        <v>42917</v>
      </c>
      <c r="H80" s="1633">
        <v>1</v>
      </c>
      <c r="I80" s="1584" t="s">
        <v>5727</v>
      </c>
      <c r="J80" s="1608" t="s">
        <v>5685</v>
      </c>
      <c r="K80" s="1580"/>
      <c r="L80" s="1580"/>
      <c r="M80" s="1580"/>
      <c r="N80" s="1580"/>
      <c r="O80" s="1580"/>
      <c r="P80" s="1580"/>
      <c r="Q80" s="1580"/>
      <c r="R80" s="1580"/>
      <c r="S80" s="1580"/>
      <c r="T80" s="1580"/>
      <c r="U80" s="1580"/>
      <c r="V80" s="1580"/>
      <c r="W80" s="1580"/>
      <c r="X80" s="1580"/>
      <c r="Y80" s="1580"/>
      <c r="Z80" s="1580"/>
    </row>
    <row r="81" spans="1:26" ht="15.75" customHeight="1">
      <c r="A81" s="1580"/>
      <c r="B81" s="1603">
        <f t="shared" si="3"/>
        <v>14</v>
      </c>
      <c r="C81" s="1584" t="s">
        <v>141</v>
      </c>
      <c r="D81" s="1584" t="s">
        <v>5728</v>
      </c>
      <c r="E81" s="1605">
        <v>42856</v>
      </c>
      <c r="F81" s="1605">
        <v>42887</v>
      </c>
      <c r="G81" s="1606">
        <v>42917</v>
      </c>
      <c r="H81" s="1633">
        <v>1</v>
      </c>
      <c r="I81" s="1584"/>
      <c r="J81" s="1609" t="s">
        <v>5729</v>
      </c>
      <c r="K81" s="1580"/>
      <c r="L81" s="1580"/>
      <c r="M81" s="1580"/>
      <c r="N81" s="1580"/>
      <c r="O81" s="1580"/>
      <c r="P81" s="1580"/>
      <c r="Q81" s="1580"/>
      <c r="R81" s="1580"/>
      <c r="S81" s="1580"/>
      <c r="T81" s="1580"/>
      <c r="U81" s="1580"/>
      <c r="V81" s="1580"/>
      <c r="W81" s="1580"/>
      <c r="X81" s="1580"/>
      <c r="Y81" s="1580"/>
      <c r="Z81" s="1580"/>
    </row>
    <row r="82" spans="1:26" ht="15.75" customHeight="1">
      <c r="A82" s="1580"/>
      <c r="B82" s="1603">
        <f t="shared" si="3"/>
        <v>15</v>
      </c>
      <c r="C82" s="1584" t="s">
        <v>1382</v>
      </c>
      <c r="D82" s="1584" t="s">
        <v>5730</v>
      </c>
      <c r="E82" s="1605">
        <v>42856</v>
      </c>
      <c r="F82" s="1605">
        <v>42887</v>
      </c>
      <c r="G82" s="1606">
        <v>42917</v>
      </c>
      <c r="H82" s="1637">
        <v>1</v>
      </c>
      <c r="I82" s="1584"/>
      <c r="J82" s="1608" t="s">
        <v>5731</v>
      </c>
      <c r="K82" s="1580"/>
      <c r="L82" s="1580"/>
      <c r="M82" s="1580"/>
      <c r="N82" s="1580"/>
      <c r="O82" s="1580"/>
      <c r="P82" s="1580"/>
      <c r="Q82" s="1580"/>
      <c r="R82" s="1580"/>
      <c r="S82" s="1580"/>
      <c r="T82" s="1580"/>
      <c r="U82" s="1580"/>
      <c r="V82" s="1580"/>
      <c r="W82" s="1580"/>
      <c r="X82" s="1580"/>
      <c r="Y82" s="1580"/>
      <c r="Z82" s="1580"/>
    </row>
    <row r="83" spans="1:26" ht="15.75" customHeight="1">
      <c r="A83" s="1580"/>
      <c r="B83" s="1603">
        <f t="shared" si="3"/>
        <v>16</v>
      </c>
      <c r="C83" s="1584" t="s">
        <v>730</v>
      </c>
      <c r="D83" s="1584" t="s">
        <v>5732</v>
      </c>
      <c r="E83" s="1605">
        <v>42856</v>
      </c>
      <c r="F83" s="1605">
        <v>42887</v>
      </c>
      <c r="G83" s="1606">
        <v>42917</v>
      </c>
      <c r="H83" s="1637">
        <v>1</v>
      </c>
      <c r="I83" s="1584"/>
      <c r="J83" s="1609" t="s">
        <v>5733</v>
      </c>
      <c r="K83" s="1580"/>
      <c r="L83" s="1580"/>
      <c r="M83" s="1580"/>
      <c r="N83" s="1580"/>
      <c r="O83" s="1580"/>
      <c r="P83" s="1580"/>
      <c r="Q83" s="1580"/>
      <c r="R83" s="1580"/>
      <c r="S83" s="1580"/>
      <c r="T83" s="1580"/>
      <c r="U83" s="1580"/>
      <c r="V83" s="1580"/>
      <c r="W83" s="1580"/>
      <c r="X83" s="1580"/>
      <c r="Y83" s="1580"/>
      <c r="Z83" s="1580"/>
    </row>
    <row r="84" spans="1:26" ht="15.75" customHeight="1">
      <c r="A84" s="1580"/>
      <c r="B84" s="1603">
        <f t="shared" si="3"/>
        <v>17</v>
      </c>
      <c r="C84" s="1584" t="s">
        <v>246</v>
      </c>
      <c r="D84" s="1584" t="s">
        <v>5734</v>
      </c>
      <c r="E84" s="1580"/>
      <c r="F84" s="1639">
        <v>43405</v>
      </c>
      <c r="G84" s="1640">
        <v>42917</v>
      </c>
      <c r="H84" s="1641"/>
      <c r="I84" s="1584"/>
      <c r="J84" s="1608" t="s">
        <v>5735</v>
      </c>
      <c r="K84" s="1580"/>
      <c r="L84" s="1580"/>
      <c r="M84" s="1580"/>
      <c r="N84" s="1580"/>
      <c r="O84" s="1580"/>
      <c r="P84" s="1580"/>
      <c r="Q84" s="1580"/>
      <c r="R84" s="1580"/>
      <c r="S84" s="1580"/>
      <c r="T84" s="1580"/>
      <c r="U84" s="1580"/>
      <c r="V84" s="1580"/>
      <c r="W84" s="1580"/>
      <c r="X84" s="1580"/>
      <c r="Y84" s="1580"/>
      <c r="Z84" s="1580"/>
    </row>
    <row r="85" spans="1:26" ht="15.75" customHeight="1">
      <c r="A85" s="1580"/>
      <c r="B85" s="1603">
        <f t="shared" si="3"/>
        <v>18</v>
      </c>
      <c r="C85" s="1584" t="s">
        <v>5736</v>
      </c>
      <c r="D85" s="1584" t="s">
        <v>2363</v>
      </c>
      <c r="E85" s="1605">
        <v>42856</v>
      </c>
      <c r="F85" s="1605">
        <v>43040</v>
      </c>
      <c r="G85" s="1606">
        <v>42917</v>
      </c>
      <c r="H85" s="1642">
        <v>1</v>
      </c>
      <c r="I85" s="1584"/>
      <c r="J85" s="1609" t="s">
        <v>5737</v>
      </c>
      <c r="K85" s="1580"/>
      <c r="L85" s="1580"/>
      <c r="M85" s="1580"/>
      <c r="N85" s="1580"/>
      <c r="O85" s="1580"/>
      <c r="P85" s="1580"/>
      <c r="Q85" s="1580"/>
      <c r="R85" s="1580"/>
      <c r="S85" s="1580"/>
      <c r="T85" s="1580"/>
      <c r="U85" s="1580"/>
      <c r="V85" s="1580"/>
      <c r="W85" s="1580"/>
      <c r="X85" s="1580"/>
      <c r="Y85" s="1580"/>
      <c r="Z85" s="1580"/>
    </row>
    <row r="86" spans="1:26" ht="15.75" customHeight="1">
      <c r="A86" s="1580"/>
      <c r="B86" s="1603">
        <f t="shared" si="3"/>
        <v>19</v>
      </c>
      <c r="C86" s="1584" t="s">
        <v>5738</v>
      </c>
      <c r="D86" s="1584" t="s">
        <v>5739</v>
      </c>
      <c r="E86" s="1605">
        <v>42856</v>
      </c>
      <c r="F86" s="1605">
        <v>42887</v>
      </c>
      <c r="G86" s="1606">
        <v>42917</v>
      </c>
      <c r="H86" s="1642">
        <v>1</v>
      </c>
      <c r="I86" s="1584"/>
      <c r="J86" s="1608" t="s">
        <v>5740</v>
      </c>
      <c r="K86" s="1580"/>
      <c r="L86" s="1580"/>
      <c r="M86" s="1580"/>
      <c r="N86" s="1580"/>
      <c r="O86" s="1580"/>
      <c r="P86" s="1580"/>
      <c r="Q86" s="1580"/>
      <c r="R86" s="1580"/>
      <c r="S86" s="1580"/>
      <c r="T86" s="1580"/>
      <c r="U86" s="1580"/>
      <c r="V86" s="1580"/>
      <c r="W86" s="1580"/>
      <c r="X86" s="1580"/>
      <c r="Y86" s="1580"/>
      <c r="Z86" s="1580"/>
    </row>
    <row r="87" spans="1:26" ht="15.75" customHeight="1">
      <c r="A87" s="1580"/>
      <c r="B87" s="1603">
        <f t="shared" si="3"/>
        <v>20</v>
      </c>
      <c r="C87" s="1584" t="s">
        <v>246</v>
      </c>
      <c r="D87" s="1584" t="s">
        <v>2413</v>
      </c>
      <c r="E87" s="1605">
        <v>42856</v>
      </c>
      <c r="F87" s="1605">
        <v>42887</v>
      </c>
      <c r="G87" s="1606">
        <v>42917</v>
      </c>
      <c r="H87" s="1642">
        <v>1</v>
      </c>
      <c r="I87" s="1584"/>
      <c r="J87" s="1608" t="s">
        <v>5741</v>
      </c>
      <c r="K87" s="1580"/>
      <c r="L87" s="1580"/>
      <c r="M87" s="1580"/>
      <c r="N87" s="1580"/>
      <c r="O87" s="1580"/>
      <c r="P87" s="1580"/>
      <c r="Q87" s="1580"/>
      <c r="R87" s="1580"/>
      <c r="S87" s="1580"/>
      <c r="T87" s="1580"/>
      <c r="U87" s="1580"/>
      <c r="V87" s="1580"/>
      <c r="W87" s="1580"/>
      <c r="X87" s="1580"/>
      <c r="Y87" s="1580"/>
      <c r="Z87" s="1580"/>
    </row>
    <row r="88" spans="1:26" ht="15.75" customHeight="1">
      <c r="A88" s="1580"/>
      <c r="B88" s="1603">
        <f t="shared" si="3"/>
        <v>21</v>
      </c>
      <c r="C88" s="1584" t="s">
        <v>1929</v>
      </c>
      <c r="D88" s="1584" t="s">
        <v>1930</v>
      </c>
      <c r="E88" s="1605">
        <v>42856</v>
      </c>
      <c r="F88" s="1605">
        <v>42887</v>
      </c>
      <c r="G88" s="1606">
        <v>42917</v>
      </c>
      <c r="H88" s="1642">
        <v>1</v>
      </c>
      <c r="I88" s="1584"/>
      <c r="J88" s="1609" t="s">
        <v>1931</v>
      </c>
      <c r="K88" s="1580"/>
      <c r="L88" s="1580"/>
      <c r="M88" s="1580"/>
      <c r="N88" s="1580"/>
      <c r="O88" s="1580"/>
      <c r="P88" s="1580"/>
      <c r="Q88" s="1580"/>
      <c r="R88" s="1580"/>
      <c r="S88" s="1580"/>
      <c r="T88" s="1580"/>
      <c r="U88" s="1580"/>
      <c r="V88" s="1580"/>
      <c r="W88" s="1580"/>
      <c r="X88" s="1580"/>
      <c r="Y88" s="1580"/>
      <c r="Z88" s="1580"/>
    </row>
    <row r="89" spans="1:26" ht="15.75" customHeight="1">
      <c r="A89" s="1580"/>
      <c r="B89" s="1603">
        <f t="shared" si="3"/>
        <v>22</v>
      </c>
      <c r="C89" s="1584" t="s">
        <v>4146</v>
      </c>
      <c r="D89" s="1584" t="s">
        <v>2365</v>
      </c>
      <c r="E89" s="1605">
        <v>42856</v>
      </c>
      <c r="F89" s="1605">
        <v>42887</v>
      </c>
      <c r="G89" s="1606">
        <v>42917</v>
      </c>
      <c r="H89" s="1642">
        <v>1</v>
      </c>
      <c r="I89" s="1584"/>
      <c r="J89" s="1608" t="s">
        <v>5742</v>
      </c>
      <c r="K89" s="1580"/>
      <c r="L89" s="1580"/>
      <c r="M89" s="1580"/>
      <c r="N89" s="1580"/>
      <c r="O89" s="1580"/>
      <c r="P89" s="1580"/>
      <c r="Q89" s="1580"/>
      <c r="R89" s="1580"/>
      <c r="S89" s="1580"/>
      <c r="T89" s="1580"/>
      <c r="U89" s="1580"/>
      <c r="V89" s="1580"/>
      <c r="W89" s="1580"/>
      <c r="X89" s="1580"/>
      <c r="Y89" s="1580"/>
      <c r="Z89" s="1580"/>
    </row>
    <row r="90" spans="1:26" ht="15.75" customHeight="1">
      <c r="A90" s="1580"/>
      <c r="B90" s="1603">
        <f t="shared" si="3"/>
        <v>23</v>
      </c>
      <c r="C90" s="1584" t="s">
        <v>5616</v>
      </c>
      <c r="D90" s="1584" t="s">
        <v>5617</v>
      </c>
      <c r="E90" s="1605">
        <v>42856</v>
      </c>
      <c r="F90" s="1605">
        <v>42887</v>
      </c>
      <c r="G90" s="1643">
        <v>43070</v>
      </c>
      <c r="H90" s="1642">
        <v>1</v>
      </c>
      <c r="I90" s="1584" t="s">
        <v>5727</v>
      </c>
      <c r="J90" s="1609" t="s">
        <v>5618</v>
      </c>
      <c r="K90" s="1580"/>
      <c r="L90" s="1580"/>
      <c r="M90" s="1580"/>
      <c r="N90" s="1580"/>
      <c r="O90" s="1580"/>
      <c r="P90" s="1580"/>
      <c r="Q90" s="1580"/>
      <c r="R90" s="1580"/>
      <c r="S90" s="1580"/>
      <c r="T90" s="1580"/>
      <c r="U90" s="1580"/>
      <c r="V90" s="1580"/>
      <c r="W90" s="1580"/>
      <c r="X90" s="1580"/>
      <c r="Y90" s="1580"/>
      <c r="Z90" s="1580"/>
    </row>
    <row r="91" spans="1:26" ht="15.75" customHeight="1">
      <c r="A91" s="1580"/>
      <c r="B91" s="1603">
        <f t="shared" si="3"/>
        <v>24</v>
      </c>
      <c r="C91" s="1584" t="s">
        <v>188</v>
      </c>
      <c r="D91" s="1584" t="s">
        <v>5085</v>
      </c>
      <c r="E91" s="1605">
        <v>42856</v>
      </c>
      <c r="F91" s="1605">
        <v>43040</v>
      </c>
      <c r="G91" s="1606">
        <v>42917</v>
      </c>
      <c r="H91" s="1642">
        <v>1</v>
      </c>
      <c r="I91" s="1584"/>
      <c r="J91" s="1608" t="s">
        <v>5086</v>
      </c>
      <c r="K91" s="1580"/>
      <c r="L91" s="1580"/>
      <c r="M91" s="1580"/>
      <c r="N91" s="1580"/>
      <c r="O91" s="1580"/>
      <c r="P91" s="1580"/>
      <c r="Q91" s="1580"/>
      <c r="R91" s="1580"/>
      <c r="S91" s="1580"/>
      <c r="T91" s="1580"/>
      <c r="U91" s="1580"/>
      <c r="V91" s="1580"/>
      <c r="W91" s="1580"/>
      <c r="X91" s="1580"/>
      <c r="Y91" s="1580"/>
      <c r="Z91" s="1580"/>
    </row>
    <row r="92" spans="1:26" ht="15.75" customHeight="1">
      <c r="A92" s="1580"/>
      <c r="B92" s="1603">
        <f t="shared" si="3"/>
        <v>25</v>
      </c>
      <c r="C92" s="1584" t="s">
        <v>748</v>
      </c>
      <c r="D92" s="1584" t="s">
        <v>5743</v>
      </c>
      <c r="E92" s="1628">
        <v>42856</v>
      </c>
      <c r="F92" s="1611"/>
      <c r="G92" s="1612"/>
      <c r="H92" s="1608"/>
      <c r="I92" s="1584"/>
      <c r="J92" s="1609" t="s">
        <v>5744</v>
      </c>
      <c r="K92" s="1580"/>
      <c r="L92" s="1580"/>
      <c r="M92" s="1580"/>
      <c r="N92" s="1580"/>
      <c r="O92" s="1580"/>
      <c r="P92" s="1580"/>
      <c r="Q92" s="1580"/>
      <c r="R92" s="1580"/>
      <c r="S92" s="1580"/>
      <c r="T92" s="1580"/>
      <c r="U92" s="1580"/>
      <c r="V92" s="1580"/>
      <c r="W92" s="1580"/>
      <c r="X92" s="1580"/>
      <c r="Y92" s="1580"/>
      <c r="Z92" s="1580"/>
    </row>
    <row r="93" spans="1:26" ht="15.75" customHeight="1">
      <c r="A93" s="1580"/>
      <c r="B93" s="1603">
        <f t="shared" si="3"/>
        <v>26</v>
      </c>
      <c r="C93" s="1584" t="s">
        <v>343</v>
      </c>
      <c r="D93" s="1584" t="s">
        <v>5745</v>
      </c>
      <c r="E93" s="1605">
        <v>42856</v>
      </c>
      <c r="F93" s="1605">
        <v>42887</v>
      </c>
      <c r="G93" s="1606">
        <v>42917</v>
      </c>
      <c r="H93" s="1633">
        <v>1</v>
      </c>
      <c r="I93" s="1584"/>
      <c r="J93" s="1609" t="s">
        <v>5746</v>
      </c>
      <c r="K93" s="1580"/>
      <c r="L93" s="1580"/>
      <c r="M93" s="1580"/>
      <c r="N93" s="1580"/>
      <c r="O93" s="1580"/>
      <c r="P93" s="1580"/>
      <c r="Q93" s="1580"/>
      <c r="R93" s="1580"/>
      <c r="S93" s="1580"/>
      <c r="T93" s="1580"/>
      <c r="U93" s="1580"/>
      <c r="V93" s="1580"/>
      <c r="W93" s="1580"/>
      <c r="X93" s="1580"/>
      <c r="Y93" s="1580"/>
      <c r="Z93" s="1580"/>
    </row>
    <row r="94" spans="1:26" ht="15.75" customHeight="1">
      <c r="A94" s="1580"/>
      <c r="B94" s="1603">
        <f t="shared" si="3"/>
        <v>27</v>
      </c>
      <c r="C94" s="1584" t="s">
        <v>238</v>
      </c>
      <c r="D94" s="1584" t="s">
        <v>5747</v>
      </c>
      <c r="E94" s="1605">
        <v>42856</v>
      </c>
      <c r="F94" s="1605">
        <v>42887</v>
      </c>
      <c r="G94" s="1606">
        <v>42917</v>
      </c>
      <c r="H94" s="1633">
        <v>1</v>
      </c>
      <c r="I94" s="1584"/>
      <c r="J94" s="1609" t="s">
        <v>5748</v>
      </c>
      <c r="K94" s="1580"/>
      <c r="L94" s="1580"/>
      <c r="M94" s="1580"/>
      <c r="N94" s="1580"/>
      <c r="O94" s="1580"/>
      <c r="P94" s="1580"/>
      <c r="Q94" s="1580"/>
      <c r="R94" s="1580"/>
      <c r="S94" s="1580"/>
      <c r="T94" s="1580"/>
      <c r="U94" s="1580"/>
      <c r="V94" s="1580"/>
      <c r="W94" s="1580"/>
      <c r="X94" s="1580"/>
      <c r="Y94" s="1580"/>
      <c r="Z94" s="1580"/>
    </row>
    <row r="95" spans="1:26" ht="15.75" customHeight="1">
      <c r="A95" s="1580"/>
      <c r="B95" s="1603">
        <f t="shared" si="3"/>
        <v>28</v>
      </c>
      <c r="C95" s="1584" t="s">
        <v>1998</v>
      </c>
      <c r="D95" s="1584" t="s">
        <v>5749</v>
      </c>
      <c r="E95" s="1605">
        <v>42856</v>
      </c>
      <c r="F95" s="1605">
        <v>42887</v>
      </c>
      <c r="G95" s="1606">
        <v>42917</v>
      </c>
      <c r="H95" s="1637">
        <v>1</v>
      </c>
      <c r="I95" s="1584"/>
      <c r="J95" s="1608"/>
      <c r="K95" s="1580"/>
      <c r="L95" s="1580"/>
      <c r="M95" s="1580"/>
      <c r="N95" s="1580"/>
      <c r="O95" s="1580"/>
      <c r="P95" s="1580"/>
      <c r="Q95" s="1580"/>
      <c r="R95" s="1580"/>
      <c r="S95" s="1580"/>
      <c r="T95" s="1580"/>
      <c r="U95" s="1580"/>
      <c r="V95" s="1580"/>
      <c r="W95" s="1580"/>
      <c r="X95" s="1580"/>
      <c r="Y95" s="1580"/>
      <c r="Z95" s="1580"/>
    </row>
    <row r="96" spans="1:26" ht="15.75" customHeight="1">
      <c r="A96" s="1580"/>
      <c r="B96" s="1603">
        <f t="shared" si="3"/>
        <v>29</v>
      </c>
      <c r="C96" s="1584" t="s">
        <v>5750</v>
      </c>
      <c r="D96" s="1584" t="s">
        <v>2485</v>
      </c>
      <c r="E96" s="1605">
        <v>42856</v>
      </c>
      <c r="F96" s="1605">
        <v>42887</v>
      </c>
      <c r="G96" s="1606">
        <v>42917</v>
      </c>
      <c r="H96" s="1637">
        <v>1</v>
      </c>
      <c r="I96" s="1584"/>
      <c r="J96" s="1609" t="s">
        <v>2486</v>
      </c>
      <c r="K96" s="1580"/>
      <c r="L96" s="1580"/>
      <c r="M96" s="1580"/>
      <c r="N96" s="1580"/>
      <c r="O96" s="1580"/>
      <c r="P96" s="1580"/>
      <c r="Q96" s="1580"/>
      <c r="R96" s="1580"/>
      <c r="S96" s="1580"/>
      <c r="T96" s="1580"/>
      <c r="U96" s="1580"/>
      <c r="V96" s="1580"/>
      <c r="W96" s="1580"/>
      <c r="X96" s="1580"/>
      <c r="Y96" s="1580"/>
      <c r="Z96" s="1580"/>
    </row>
    <row r="97" spans="1:26" ht="15.75" customHeight="1">
      <c r="A97" s="1580"/>
      <c r="B97" s="1616">
        <f t="shared" si="3"/>
        <v>30</v>
      </c>
      <c r="C97" s="1617" t="s">
        <v>679</v>
      </c>
      <c r="D97" s="1617" t="s">
        <v>5751</v>
      </c>
      <c r="E97" s="1619">
        <v>42856</v>
      </c>
      <c r="F97" s="1619">
        <v>42887</v>
      </c>
      <c r="G97" s="1620">
        <v>42917</v>
      </c>
      <c r="H97" s="1644">
        <v>1</v>
      </c>
      <c r="I97" s="1617"/>
      <c r="J97" s="1631" t="s">
        <v>5752</v>
      </c>
      <c r="K97" s="1580"/>
      <c r="L97" s="1580"/>
      <c r="M97" s="1580"/>
      <c r="N97" s="1580"/>
      <c r="O97" s="1580"/>
      <c r="P97" s="1580"/>
      <c r="Q97" s="1580"/>
      <c r="R97" s="1580"/>
      <c r="S97" s="1580"/>
      <c r="T97" s="1580"/>
      <c r="U97" s="1580"/>
      <c r="V97" s="1580"/>
      <c r="W97" s="1580"/>
      <c r="X97" s="1580"/>
      <c r="Y97" s="1580"/>
      <c r="Z97" s="1580"/>
    </row>
    <row r="98" spans="1:26" ht="15.75" customHeight="1">
      <c r="A98" s="1580"/>
      <c r="B98" s="1595">
        <v>1</v>
      </c>
      <c r="C98" s="1596" t="s">
        <v>135</v>
      </c>
      <c r="D98" s="1596" t="s">
        <v>5753</v>
      </c>
      <c r="E98" s="1598">
        <v>43009</v>
      </c>
      <c r="F98" s="1598">
        <v>43040</v>
      </c>
      <c r="G98" s="1599">
        <v>43070</v>
      </c>
      <c r="H98" s="1632">
        <v>1</v>
      </c>
      <c r="I98" s="1596"/>
      <c r="J98" s="1601" t="s">
        <v>5754</v>
      </c>
      <c r="K98" s="1580"/>
      <c r="L98" s="1580"/>
      <c r="M98" s="1580"/>
      <c r="N98" s="1580"/>
      <c r="O98" s="1580"/>
      <c r="P98" s="1580"/>
      <c r="Q98" s="1580"/>
      <c r="R98" s="1580"/>
      <c r="S98" s="1602"/>
      <c r="T98" s="1580"/>
      <c r="U98" s="1580"/>
      <c r="V98" s="1580"/>
      <c r="W98" s="1580"/>
      <c r="X98" s="1580"/>
      <c r="Y98" s="1580"/>
      <c r="Z98" s="1580"/>
    </row>
    <row r="99" spans="1:26" ht="15.75" customHeight="1">
      <c r="A99" s="1580"/>
      <c r="B99" s="1603">
        <f t="shared" ref="B99:B140" si="4">B98+1</f>
        <v>2</v>
      </c>
      <c r="C99" s="1584" t="s">
        <v>5755</v>
      </c>
      <c r="D99" s="1584" t="s">
        <v>5756</v>
      </c>
      <c r="E99" s="1605">
        <v>43009</v>
      </c>
      <c r="F99" s="1605">
        <v>43040</v>
      </c>
      <c r="G99" s="1643">
        <v>43070</v>
      </c>
      <c r="H99" s="1637">
        <v>1</v>
      </c>
      <c r="I99" s="1584"/>
      <c r="J99" s="1609" t="s">
        <v>5757</v>
      </c>
      <c r="K99" s="1580"/>
      <c r="L99" s="1580"/>
      <c r="M99" s="1580"/>
      <c r="N99" s="1580"/>
      <c r="O99" s="1580"/>
      <c r="P99" s="1580"/>
      <c r="Q99" s="1580"/>
      <c r="R99" s="1580"/>
      <c r="S99" s="1602"/>
      <c r="T99" s="1580"/>
      <c r="U99" s="1580"/>
      <c r="V99" s="1580"/>
      <c r="W99" s="1580"/>
      <c r="X99" s="1580"/>
      <c r="Y99" s="1580"/>
      <c r="Z99" s="1580"/>
    </row>
    <row r="100" spans="1:26" ht="15.75" customHeight="1">
      <c r="A100" s="1580"/>
      <c r="B100" s="1603">
        <f t="shared" si="4"/>
        <v>3</v>
      </c>
      <c r="C100" s="1584" t="s">
        <v>204</v>
      </c>
      <c r="D100" s="1584" t="s">
        <v>5758</v>
      </c>
      <c r="E100" s="1605">
        <v>43009</v>
      </c>
      <c r="F100" s="1605">
        <v>43040</v>
      </c>
      <c r="G100" s="1643">
        <v>43070</v>
      </c>
      <c r="H100" s="1637">
        <v>1</v>
      </c>
      <c r="I100" s="1584"/>
      <c r="J100" s="1609" t="s">
        <v>5759</v>
      </c>
      <c r="K100" s="1580"/>
      <c r="L100" s="1580"/>
      <c r="M100" s="1580"/>
      <c r="N100" s="1580"/>
      <c r="O100" s="1580"/>
      <c r="P100" s="1580"/>
      <c r="Q100" s="1580"/>
      <c r="R100" s="1580"/>
      <c r="S100" s="1580"/>
      <c r="T100" s="1580"/>
      <c r="U100" s="1580"/>
      <c r="V100" s="1580"/>
      <c r="W100" s="1580"/>
      <c r="X100" s="1580"/>
      <c r="Y100" s="1580"/>
      <c r="Z100" s="1580"/>
    </row>
    <row r="101" spans="1:26" ht="15.75" customHeight="1">
      <c r="A101" s="1580"/>
      <c r="B101" s="1603">
        <f t="shared" si="4"/>
        <v>4</v>
      </c>
      <c r="C101" s="1584" t="s">
        <v>127</v>
      </c>
      <c r="D101" s="1584" t="s">
        <v>5760</v>
      </c>
      <c r="E101" s="1638"/>
      <c r="F101" s="1638">
        <v>43040</v>
      </c>
      <c r="G101" s="1645">
        <v>43070</v>
      </c>
      <c r="H101" s="1641"/>
      <c r="I101" s="1584"/>
      <c r="J101" s="1608" t="s">
        <v>5761</v>
      </c>
      <c r="K101" s="1580"/>
      <c r="L101" s="1580"/>
      <c r="M101" s="1580"/>
      <c r="N101" s="1580"/>
      <c r="O101" s="1580"/>
      <c r="P101" s="1580"/>
      <c r="Q101" s="1580"/>
      <c r="R101" s="1580"/>
      <c r="S101" s="1580"/>
      <c r="T101" s="1580"/>
      <c r="U101" s="1580"/>
      <c r="V101" s="1580"/>
      <c r="W101" s="1580"/>
      <c r="X101" s="1580"/>
      <c r="Y101" s="1580"/>
      <c r="Z101" s="1580"/>
    </row>
    <row r="102" spans="1:26" ht="15.75" customHeight="1">
      <c r="A102" s="1580"/>
      <c r="B102" s="1603">
        <f t="shared" si="4"/>
        <v>5</v>
      </c>
      <c r="C102" s="1584" t="s">
        <v>2199</v>
      </c>
      <c r="D102" s="1584" t="s">
        <v>5664</v>
      </c>
      <c r="E102" s="1638"/>
      <c r="F102" s="1638"/>
      <c r="G102" s="1630">
        <v>43070</v>
      </c>
      <c r="H102" s="1646"/>
      <c r="I102" s="1584" t="s">
        <v>5727</v>
      </c>
      <c r="J102" s="1609" t="s">
        <v>5665</v>
      </c>
      <c r="K102" s="1580"/>
      <c r="L102" s="1580"/>
      <c r="M102" s="1580"/>
      <c r="N102" s="1580"/>
      <c r="O102" s="1580"/>
      <c r="P102" s="1580"/>
      <c r="Q102" s="1580"/>
      <c r="R102" s="1580"/>
      <c r="S102" s="1580"/>
      <c r="T102" s="1580"/>
      <c r="U102" s="1580"/>
      <c r="V102" s="1580"/>
      <c r="W102" s="1580"/>
      <c r="X102" s="1580"/>
      <c r="Y102" s="1580"/>
      <c r="Z102" s="1580"/>
    </row>
    <row r="103" spans="1:26" ht="15.75" customHeight="1">
      <c r="A103" s="1580"/>
      <c r="B103" s="1603">
        <f t="shared" si="4"/>
        <v>6</v>
      </c>
      <c r="C103" s="1584" t="s">
        <v>290</v>
      </c>
      <c r="D103" s="1584" t="s">
        <v>5762</v>
      </c>
      <c r="E103" s="1605">
        <v>43009</v>
      </c>
      <c r="F103" s="1605">
        <v>43040</v>
      </c>
      <c r="G103" s="1643">
        <v>43070</v>
      </c>
      <c r="H103" s="1637">
        <v>1</v>
      </c>
      <c r="I103" s="1584"/>
      <c r="J103" s="1609" t="s">
        <v>5763</v>
      </c>
      <c r="K103" s="1580"/>
      <c r="L103" s="1580"/>
      <c r="M103" s="1580"/>
      <c r="N103" s="1580"/>
      <c r="O103" s="1580"/>
      <c r="P103" s="1580"/>
      <c r="Q103" s="1580"/>
      <c r="R103" s="1580"/>
      <c r="S103" s="1580"/>
      <c r="T103" s="1580"/>
      <c r="U103" s="1580"/>
      <c r="V103" s="1580"/>
      <c r="W103" s="1580"/>
      <c r="X103" s="1580"/>
      <c r="Y103" s="1580"/>
      <c r="Z103" s="1580"/>
    </row>
    <row r="104" spans="1:26" ht="15.75" customHeight="1">
      <c r="A104" s="1580"/>
      <c r="B104" s="1603">
        <f t="shared" si="4"/>
        <v>7</v>
      </c>
      <c r="C104" s="1584" t="s">
        <v>2469</v>
      </c>
      <c r="D104" s="1584" t="s">
        <v>2470</v>
      </c>
      <c r="E104" s="1605">
        <v>43009</v>
      </c>
      <c r="F104" s="1605">
        <v>43040</v>
      </c>
      <c r="G104" s="1606">
        <v>43070</v>
      </c>
      <c r="H104" s="1637">
        <v>1</v>
      </c>
      <c r="I104" s="1584"/>
      <c r="J104" s="1609" t="s">
        <v>2471</v>
      </c>
      <c r="K104" s="1580"/>
      <c r="L104" s="1580"/>
      <c r="M104" s="1580"/>
      <c r="N104" s="1580"/>
      <c r="O104" s="1580"/>
      <c r="P104" s="1580"/>
      <c r="Q104" s="1580"/>
      <c r="R104" s="1580"/>
      <c r="S104" s="1580"/>
      <c r="T104" s="1580"/>
      <c r="U104" s="1580"/>
      <c r="V104" s="1580"/>
      <c r="W104" s="1580"/>
      <c r="X104" s="1580"/>
      <c r="Y104" s="1580"/>
      <c r="Z104" s="1580"/>
    </row>
    <row r="105" spans="1:26" ht="15.75" customHeight="1">
      <c r="A105" s="1580"/>
      <c r="B105" s="1603">
        <f t="shared" si="4"/>
        <v>8</v>
      </c>
      <c r="C105" s="1584" t="s">
        <v>135</v>
      </c>
      <c r="D105" s="1584" t="s">
        <v>5669</v>
      </c>
      <c r="E105" s="1638">
        <v>43009</v>
      </c>
      <c r="F105" s="1638">
        <v>43040</v>
      </c>
      <c r="G105" s="1630"/>
      <c r="H105" s="1630"/>
      <c r="I105" s="1584" t="s">
        <v>5727</v>
      </c>
      <c r="J105" s="1609" t="s">
        <v>5670</v>
      </c>
      <c r="K105" s="1580"/>
      <c r="L105" s="1580"/>
      <c r="M105" s="1580"/>
      <c r="N105" s="1580"/>
      <c r="O105" s="1580"/>
      <c r="P105" s="1580"/>
      <c r="Q105" s="1580"/>
      <c r="R105" s="1580"/>
      <c r="S105" s="1580"/>
      <c r="T105" s="1580"/>
      <c r="U105" s="1580"/>
      <c r="V105" s="1580"/>
      <c r="W105" s="1580"/>
      <c r="X105" s="1580"/>
      <c r="Y105" s="1580"/>
      <c r="Z105" s="1580"/>
    </row>
    <row r="106" spans="1:26" ht="15.75" customHeight="1">
      <c r="A106" s="1580"/>
      <c r="B106" s="1603">
        <f t="shared" si="4"/>
        <v>9</v>
      </c>
      <c r="C106" s="1584" t="s">
        <v>321</v>
      </c>
      <c r="D106" s="1584" t="s">
        <v>5712</v>
      </c>
      <c r="E106" s="1638">
        <v>43009</v>
      </c>
      <c r="F106" s="1638">
        <v>43040</v>
      </c>
      <c r="G106" s="1630"/>
      <c r="H106" s="1630"/>
      <c r="I106" s="1647" t="s">
        <v>5727</v>
      </c>
      <c r="J106" s="1609" t="s">
        <v>5713</v>
      </c>
      <c r="K106" s="1580"/>
      <c r="L106" s="1580"/>
      <c r="M106" s="1580"/>
      <c r="N106" s="1580"/>
      <c r="O106" s="1580"/>
      <c r="P106" s="1580"/>
      <c r="Q106" s="1580"/>
      <c r="R106" s="1580"/>
      <c r="S106" s="1580"/>
      <c r="T106" s="1580"/>
      <c r="U106" s="1580"/>
      <c r="V106" s="1580"/>
      <c r="W106" s="1580"/>
      <c r="X106" s="1580"/>
      <c r="Y106" s="1580"/>
      <c r="Z106" s="1580"/>
    </row>
    <row r="107" spans="1:26" ht="15.75" customHeight="1">
      <c r="A107" s="1580"/>
      <c r="B107" s="1603">
        <f t="shared" si="4"/>
        <v>10</v>
      </c>
      <c r="C107" s="1584" t="s">
        <v>822</v>
      </c>
      <c r="D107" s="1584" t="s">
        <v>5764</v>
      </c>
      <c r="E107" s="1605">
        <v>43009</v>
      </c>
      <c r="F107" s="1605">
        <v>43040</v>
      </c>
      <c r="G107" s="1643">
        <v>43070</v>
      </c>
      <c r="H107" s="1637">
        <v>1</v>
      </c>
      <c r="I107" s="1584"/>
      <c r="J107" s="1609" t="s">
        <v>5765</v>
      </c>
      <c r="K107" s="1580"/>
      <c r="L107" s="1580"/>
      <c r="M107" s="1580"/>
      <c r="N107" s="1580"/>
      <c r="O107" s="1580"/>
      <c r="P107" s="1580"/>
      <c r="Q107" s="1580"/>
      <c r="R107" s="1580"/>
      <c r="S107" s="1580"/>
      <c r="T107" s="1580"/>
      <c r="U107" s="1580"/>
      <c r="V107" s="1580"/>
      <c r="W107" s="1580"/>
      <c r="X107" s="1580"/>
      <c r="Y107" s="1580"/>
      <c r="Z107" s="1580"/>
    </row>
    <row r="108" spans="1:26" ht="15.75" customHeight="1">
      <c r="A108" s="1580"/>
      <c r="B108" s="1603">
        <f t="shared" si="4"/>
        <v>11</v>
      </c>
      <c r="C108" s="1584" t="s">
        <v>5766</v>
      </c>
      <c r="D108" s="1584" t="s">
        <v>5767</v>
      </c>
      <c r="E108" s="1605">
        <v>43009</v>
      </c>
      <c r="F108" s="1605">
        <v>43040</v>
      </c>
      <c r="G108" s="1643">
        <v>43070</v>
      </c>
      <c r="H108" s="1637">
        <v>1</v>
      </c>
      <c r="I108" s="1584"/>
      <c r="J108" s="1608" t="s">
        <v>5768</v>
      </c>
      <c r="K108" s="1580"/>
      <c r="L108" s="1580"/>
      <c r="M108" s="1580"/>
      <c r="N108" s="1580"/>
      <c r="O108" s="1580"/>
      <c r="P108" s="1580"/>
      <c r="Q108" s="1580"/>
      <c r="R108" s="1580"/>
      <c r="S108" s="1580"/>
      <c r="T108" s="1580"/>
      <c r="U108" s="1580"/>
      <c r="V108" s="1580"/>
      <c r="W108" s="1580"/>
      <c r="X108" s="1580"/>
      <c r="Y108" s="1580"/>
      <c r="Z108" s="1580"/>
    </row>
    <row r="109" spans="1:26" ht="15.75" customHeight="1">
      <c r="A109" s="1580"/>
      <c r="B109" s="1603">
        <f t="shared" si="4"/>
        <v>12</v>
      </c>
      <c r="C109" s="1584" t="s">
        <v>5769</v>
      </c>
      <c r="D109" s="1584" t="s">
        <v>5770</v>
      </c>
      <c r="E109" s="1605">
        <v>43009</v>
      </c>
      <c r="F109" s="1605">
        <v>43040</v>
      </c>
      <c r="G109" s="1643">
        <v>43070</v>
      </c>
      <c r="H109" s="1637">
        <v>1</v>
      </c>
      <c r="I109" s="1584"/>
      <c r="J109" s="1609" t="s">
        <v>5771</v>
      </c>
      <c r="K109" s="1580"/>
      <c r="L109" s="1580"/>
      <c r="M109" s="1580"/>
      <c r="N109" s="1580"/>
      <c r="O109" s="1580"/>
      <c r="P109" s="1580"/>
      <c r="Q109" s="1580"/>
      <c r="R109" s="1580"/>
      <c r="S109" s="1580"/>
      <c r="T109" s="1580"/>
      <c r="U109" s="1580"/>
      <c r="V109" s="1580"/>
      <c r="W109" s="1580"/>
      <c r="X109" s="1580"/>
      <c r="Y109" s="1580"/>
      <c r="Z109" s="1580"/>
    </row>
    <row r="110" spans="1:26" ht="15.75" customHeight="1">
      <c r="A110" s="1580"/>
      <c r="B110" s="1603">
        <f t="shared" si="4"/>
        <v>13</v>
      </c>
      <c r="C110" s="1584" t="s">
        <v>3280</v>
      </c>
      <c r="D110" s="1584" t="s">
        <v>5772</v>
      </c>
      <c r="E110" s="1605">
        <v>43009</v>
      </c>
      <c r="F110" s="1605">
        <v>43040</v>
      </c>
      <c r="G110" s="1643">
        <v>43282</v>
      </c>
      <c r="H110" s="1633">
        <v>1</v>
      </c>
      <c r="I110" s="1584"/>
      <c r="J110" s="1608" t="s">
        <v>5773</v>
      </c>
      <c r="K110" s="1580"/>
      <c r="L110" s="1580"/>
      <c r="M110" s="1580"/>
      <c r="N110" s="1580"/>
      <c r="O110" s="1580"/>
      <c r="P110" s="1580"/>
      <c r="Q110" s="1580"/>
      <c r="R110" s="1580"/>
      <c r="S110" s="1580"/>
      <c r="T110" s="1580"/>
      <c r="U110" s="1580"/>
      <c r="V110" s="1580"/>
      <c r="W110" s="1580"/>
      <c r="X110" s="1580"/>
      <c r="Y110" s="1580"/>
      <c r="Z110" s="1580"/>
    </row>
    <row r="111" spans="1:26" ht="15.75" customHeight="1">
      <c r="A111" s="1580"/>
      <c r="B111" s="1603">
        <f t="shared" si="4"/>
        <v>14</v>
      </c>
      <c r="C111" s="1584" t="s">
        <v>321</v>
      </c>
      <c r="D111" s="1584" t="s">
        <v>5774</v>
      </c>
      <c r="E111" s="1648">
        <v>43374</v>
      </c>
      <c r="F111" s="1605">
        <v>43040</v>
      </c>
      <c r="G111" s="1643">
        <v>43070</v>
      </c>
      <c r="H111" s="1649">
        <v>1</v>
      </c>
      <c r="I111" s="1584"/>
      <c r="J111" s="1609" t="s">
        <v>5775</v>
      </c>
      <c r="K111" s="1580"/>
      <c r="L111" s="1580"/>
      <c r="M111" s="1580"/>
      <c r="N111" s="1580"/>
      <c r="O111" s="1580"/>
      <c r="P111" s="1580"/>
      <c r="Q111" s="1580"/>
      <c r="R111" s="1580"/>
      <c r="S111" s="1580"/>
      <c r="T111" s="1580"/>
      <c r="U111" s="1580"/>
      <c r="V111" s="1580"/>
      <c r="W111" s="1580"/>
      <c r="X111" s="1580"/>
      <c r="Y111" s="1580"/>
      <c r="Z111" s="1580"/>
    </row>
    <row r="112" spans="1:26" ht="15.75" customHeight="1">
      <c r="A112" s="1580"/>
      <c r="B112" s="1603">
        <f t="shared" si="4"/>
        <v>15</v>
      </c>
      <c r="C112" s="1584" t="s">
        <v>5776</v>
      </c>
      <c r="D112" s="1584" t="s">
        <v>5777</v>
      </c>
      <c r="E112" s="1605">
        <v>43009</v>
      </c>
      <c r="F112" s="1605">
        <v>43040</v>
      </c>
      <c r="G112" s="1643">
        <v>43282</v>
      </c>
      <c r="H112" s="1637">
        <v>1</v>
      </c>
      <c r="I112" s="1584"/>
      <c r="J112" s="1609" t="s">
        <v>5778</v>
      </c>
      <c r="K112" s="1580"/>
      <c r="L112" s="1580"/>
      <c r="M112" s="1580"/>
      <c r="N112" s="1580"/>
      <c r="O112" s="1580"/>
      <c r="P112" s="1580"/>
      <c r="Q112" s="1580"/>
      <c r="R112" s="1580"/>
      <c r="S112" s="1580"/>
      <c r="T112" s="1580"/>
      <c r="U112" s="1580"/>
      <c r="V112" s="1580"/>
      <c r="W112" s="1580"/>
      <c r="X112" s="1580"/>
      <c r="Y112" s="1580"/>
      <c r="Z112" s="1580"/>
    </row>
    <row r="113" spans="1:26" ht="15.75" customHeight="1">
      <c r="A113" s="1580"/>
      <c r="B113" s="1603">
        <f t="shared" si="4"/>
        <v>16</v>
      </c>
      <c r="C113" s="1584" t="s">
        <v>5779</v>
      </c>
      <c r="D113" s="1584" t="s">
        <v>5780</v>
      </c>
      <c r="E113" s="1605">
        <v>43221</v>
      </c>
      <c r="F113" s="1650">
        <v>43040</v>
      </c>
      <c r="G113" s="1643">
        <v>43282</v>
      </c>
      <c r="H113" s="1637">
        <v>1</v>
      </c>
      <c r="I113" s="1584"/>
      <c r="J113" s="1609" t="s">
        <v>5781</v>
      </c>
      <c r="K113" s="1580"/>
      <c r="L113" s="1580"/>
      <c r="M113" s="1580"/>
      <c r="N113" s="1580"/>
      <c r="O113" s="1580"/>
      <c r="P113" s="1580"/>
      <c r="Q113" s="1580"/>
      <c r="R113" s="1580"/>
      <c r="S113" s="1580"/>
      <c r="T113" s="1580"/>
      <c r="U113" s="1580"/>
      <c r="V113" s="1580"/>
      <c r="W113" s="1580"/>
      <c r="X113" s="1580"/>
      <c r="Y113" s="1580"/>
      <c r="Z113" s="1580"/>
    </row>
    <row r="114" spans="1:26" ht="15.75" customHeight="1">
      <c r="A114" s="1580"/>
      <c r="B114" s="1603">
        <f t="shared" si="4"/>
        <v>17</v>
      </c>
      <c r="C114" s="1584" t="s">
        <v>595</v>
      </c>
      <c r="D114" s="1584" t="s">
        <v>2306</v>
      </c>
      <c r="E114" s="1638"/>
      <c r="F114" s="1638">
        <v>43040</v>
      </c>
      <c r="G114" s="1645">
        <v>43070</v>
      </c>
      <c r="H114" s="1646"/>
      <c r="I114" s="1584"/>
      <c r="J114" s="1609" t="s">
        <v>5720</v>
      </c>
      <c r="K114" s="1580"/>
      <c r="L114" s="1580"/>
      <c r="M114" s="1580"/>
      <c r="N114" s="1580"/>
      <c r="O114" s="1580"/>
      <c r="P114" s="1580"/>
      <c r="Q114" s="1580"/>
      <c r="R114" s="1580"/>
      <c r="S114" s="1580"/>
      <c r="T114" s="1580"/>
      <c r="U114" s="1580"/>
      <c r="V114" s="1580"/>
      <c r="W114" s="1580"/>
      <c r="X114" s="1580"/>
      <c r="Y114" s="1580"/>
      <c r="Z114" s="1580"/>
    </row>
    <row r="115" spans="1:26" ht="15.75" customHeight="1">
      <c r="A115" s="1580"/>
      <c r="B115" s="1603">
        <f t="shared" si="4"/>
        <v>18</v>
      </c>
      <c r="C115" s="1584" t="s">
        <v>3859</v>
      </c>
      <c r="D115" s="1584" t="s">
        <v>5782</v>
      </c>
      <c r="E115" s="1605">
        <v>43009</v>
      </c>
      <c r="F115" s="1605">
        <v>43040</v>
      </c>
      <c r="G115" s="1643">
        <v>43070</v>
      </c>
      <c r="H115" s="1637">
        <v>1</v>
      </c>
      <c r="I115" s="1584"/>
      <c r="J115" s="1609" t="s">
        <v>5783</v>
      </c>
      <c r="K115" s="1580"/>
      <c r="L115" s="1580"/>
      <c r="M115" s="1580"/>
      <c r="N115" s="1580"/>
      <c r="O115" s="1580"/>
      <c r="P115" s="1580"/>
      <c r="Q115" s="1580"/>
      <c r="R115" s="1580"/>
      <c r="S115" s="1580"/>
      <c r="T115" s="1580"/>
      <c r="U115" s="1580"/>
      <c r="V115" s="1580"/>
      <c r="W115" s="1580"/>
      <c r="X115" s="1580"/>
      <c r="Y115" s="1580"/>
      <c r="Z115" s="1580"/>
    </row>
    <row r="116" spans="1:26" ht="15.75" customHeight="1">
      <c r="A116" s="1580"/>
      <c r="B116" s="1603">
        <f t="shared" si="4"/>
        <v>19</v>
      </c>
      <c r="C116" s="1584" t="s">
        <v>2314</v>
      </c>
      <c r="D116" s="1584" t="s">
        <v>585</v>
      </c>
      <c r="E116" s="1605">
        <v>43009</v>
      </c>
      <c r="F116" s="1650">
        <v>43252</v>
      </c>
      <c r="G116" s="1643">
        <v>43647</v>
      </c>
      <c r="H116" s="1637">
        <v>1</v>
      </c>
      <c r="I116" s="1584"/>
      <c r="J116" s="1608" t="s">
        <v>5784</v>
      </c>
      <c r="K116" s="1580"/>
      <c r="L116" s="1580"/>
      <c r="M116" s="1580"/>
      <c r="N116" s="1580"/>
      <c r="O116" s="1580"/>
      <c r="P116" s="1580"/>
      <c r="Q116" s="1580"/>
      <c r="R116" s="1580"/>
      <c r="S116" s="1580"/>
      <c r="T116" s="1580"/>
      <c r="U116" s="1580"/>
      <c r="V116" s="1580"/>
      <c r="W116" s="1580"/>
      <c r="X116" s="1580"/>
      <c r="Y116" s="1580"/>
      <c r="Z116" s="1580"/>
    </row>
    <row r="117" spans="1:26" ht="15.75" customHeight="1">
      <c r="A117" s="1580"/>
      <c r="B117" s="1603">
        <f t="shared" si="4"/>
        <v>20</v>
      </c>
      <c r="C117" s="1584" t="s">
        <v>5701</v>
      </c>
      <c r="D117" s="1584" t="s">
        <v>5785</v>
      </c>
      <c r="E117" s="1605">
        <v>43009</v>
      </c>
      <c r="F117" s="1605">
        <v>43040</v>
      </c>
      <c r="G117" s="1606">
        <v>43070</v>
      </c>
      <c r="H117" s="1633">
        <v>1</v>
      </c>
      <c r="I117" s="1584"/>
      <c r="J117" s="1609" t="s">
        <v>5786</v>
      </c>
      <c r="K117" s="1580"/>
      <c r="L117" s="1580"/>
      <c r="M117" s="1580"/>
      <c r="N117" s="1580"/>
      <c r="O117" s="1580"/>
      <c r="P117" s="1580"/>
      <c r="Q117" s="1580"/>
      <c r="R117" s="1580"/>
      <c r="S117" s="1580"/>
      <c r="T117" s="1580"/>
      <c r="U117" s="1580"/>
      <c r="V117" s="1580"/>
      <c r="W117" s="1580"/>
      <c r="X117" s="1580"/>
      <c r="Y117" s="1580"/>
      <c r="Z117" s="1580"/>
    </row>
    <row r="118" spans="1:26" ht="15.75" customHeight="1">
      <c r="A118" s="1580"/>
      <c r="B118" s="1603">
        <f t="shared" si="4"/>
        <v>21</v>
      </c>
      <c r="C118" s="1584" t="s">
        <v>321</v>
      </c>
      <c r="D118" s="1584" t="s">
        <v>5787</v>
      </c>
      <c r="E118" s="1638"/>
      <c r="F118" s="1638">
        <v>43040</v>
      </c>
      <c r="G118" s="1630"/>
      <c r="H118" s="1641"/>
      <c r="I118" s="1584"/>
      <c r="J118" s="1609" t="s">
        <v>5788</v>
      </c>
      <c r="K118" s="1580"/>
      <c r="L118" s="1580"/>
      <c r="M118" s="1580"/>
      <c r="N118" s="1580"/>
      <c r="O118" s="1580"/>
      <c r="P118" s="1580"/>
      <c r="Q118" s="1580"/>
      <c r="R118" s="1580"/>
      <c r="S118" s="1580"/>
      <c r="T118" s="1580"/>
      <c r="U118" s="1580"/>
      <c r="V118" s="1580"/>
      <c r="W118" s="1580"/>
      <c r="X118" s="1580"/>
      <c r="Y118" s="1580"/>
      <c r="Z118" s="1580"/>
    </row>
    <row r="119" spans="1:26" ht="15.75" customHeight="1">
      <c r="A119" s="1580"/>
      <c r="B119" s="1603">
        <f t="shared" si="4"/>
        <v>22</v>
      </c>
      <c r="C119" s="1584" t="s">
        <v>471</v>
      </c>
      <c r="D119" s="1584" t="s">
        <v>5789</v>
      </c>
      <c r="E119" s="1605">
        <v>43009</v>
      </c>
      <c r="F119" s="1605">
        <v>43040</v>
      </c>
      <c r="G119" s="1643">
        <v>43070</v>
      </c>
      <c r="H119" s="1637">
        <v>1</v>
      </c>
      <c r="I119" s="1584"/>
      <c r="J119" s="1608" t="s">
        <v>5790</v>
      </c>
      <c r="K119" s="1580"/>
      <c r="L119" s="1580"/>
      <c r="M119" s="1580"/>
      <c r="N119" s="1580"/>
      <c r="O119" s="1580"/>
      <c r="P119" s="1580"/>
      <c r="Q119" s="1580"/>
      <c r="R119" s="1580"/>
      <c r="S119" s="1580"/>
      <c r="T119" s="1580"/>
      <c r="U119" s="1580"/>
      <c r="V119" s="1580"/>
      <c r="W119" s="1580"/>
      <c r="X119" s="1580"/>
      <c r="Y119" s="1580"/>
      <c r="Z119" s="1580"/>
    </row>
    <row r="120" spans="1:26" ht="15.75" customHeight="1">
      <c r="A120" s="1580"/>
      <c r="B120" s="1603">
        <f t="shared" si="4"/>
        <v>23</v>
      </c>
      <c r="C120" s="1584" t="s">
        <v>5791</v>
      </c>
      <c r="D120" s="1584" t="s">
        <v>5792</v>
      </c>
      <c r="E120" s="1605">
        <v>43009</v>
      </c>
      <c r="F120" s="1605">
        <v>43040</v>
      </c>
      <c r="G120" s="1643">
        <v>43070</v>
      </c>
      <c r="H120" s="1637">
        <v>1</v>
      </c>
      <c r="I120" s="1584"/>
      <c r="J120" s="1609" t="s">
        <v>5793</v>
      </c>
      <c r="K120" s="1580"/>
      <c r="L120" s="1580"/>
      <c r="M120" s="1580"/>
      <c r="N120" s="1580"/>
      <c r="O120" s="1580"/>
      <c r="P120" s="1580"/>
      <c r="Q120" s="1580"/>
      <c r="R120" s="1580"/>
      <c r="S120" s="1580"/>
      <c r="T120" s="1580"/>
      <c r="U120" s="1580"/>
      <c r="V120" s="1580"/>
      <c r="W120" s="1580"/>
      <c r="X120" s="1580"/>
      <c r="Y120" s="1580"/>
      <c r="Z120" s="1580"/>
    </row>
    <row r="121" spans="1:26" ht="15.75" customHeight="1">
      <c r="A121" s="1580"/>
      <c r="B121" s="1603">
        <f t="shared" si="4"/>
        <v>24</v>
      </c>
      <c r="C121" s="1584" t="s">
        <v>5794</v>
      </c>
      <c r="D121" s="1584" t="s">
        <v>5795</v>
      </c>
      <c r="E121" s="1605">
        <v>43009</v>
      </c>
      <c r="F121" s="1605">
        <v>43040</v>
      </c>
      <c r="G121" s="1643">
        <v>43070</v>
      </c>
      <c r="H121" s="1637">
        <v>1</v>
      </c>
      <c r="I121" s="1584"/>
      <c r="J121" s="1609" t="s">
        <v>5796</v>
      </c>
      <c r="K121" s="1580"/>
      <c r="L121" s="1580"/>
      <c r="M121" s="1580"/>
      <c r="N121" s="1580"/>
      <c r="O121" s="1580"/>
      <c r="P121" s="1580"/>
      <c r="Q121" s="1580"/>
      <c r="R121" s="1580"/>
      <c r="S121" s="1580"/>
      <c r="T121" s="1580"/>
      <c r="U121" s="1580"/>
      <c r="V121" s="1580"/>
      <c r="W121" s="1580"/>
      <c r="X121" s="1580"/>
      <c r="Y121" s="1580"/>
      <c r="Z121" s="1580"/>
    </row>
    <row r="122" spans="1:26" ht="15.75" customHeight="1">
      <c r="A122" s="1580"/>
      <c r="B122" s="1603">
        <f t="shared" si="4"/>
        <v>25</v>
      </c>
      <c r="C122" s="1584" t="s">
        <v>5797</v>
      </c>
      <c r="D122" s="1584" t="s">
        <v>5798</v>
      </c>
      <c r="E122" s="1605">
        <v>43009</v>
      </c>
      <c r="F122" s="1605">
        <v>43040</v>
      </c>
      <c r="G122" s="1643">
        <v>43070</v>
      </c>
      <c r="H122" s="1637">
        <v>1</v>
      </c>
      <c r="I122" s="1584"/>
      <c r="J122" s="1609" t="s">
        <v>5799</v>
      </c>
      <c r="K122" s="1580"/>
      <c r="L122" s="1580"/>
      <c r="M122" s="1580"/>
      <c r="N122" s="1580"/>
      <c r="O122" s="1580"/>
      <c r="P122" s="1580"/>
      <c r="Q122" s="1580"/>
      <c r="R122" s="1580"/>
      <c r="S122" s="1580"/>
      <c r="T122" s="1580"/>
      <c r="U122" s="1580"/>
      <c r="V122" s="1580"/>
      <c r="W122" s="1580"/>
      <c r="X122" s="1580"/>
      <c r="Y122" s="1580"/>
      <c r="Z122" s="1580"/>
    </row>
    <row r="123" spans="1:26" ht="15.75" customHeight="1">
      <c r="A123" s="1580"/>
      <c r="B123" s="1603">
        <f t="shared" si="4"/>
        <v>26</v>
      </c>
      <c r="C123" s="1584" t="s">
        <v>4961</v>
      </c>
      <c r="D123" s="1584" t="s">
        <v>5800</v>
      </c>
      <c r="E123" s="1605">
        <v>43009</v>
      </c>
      <c r="F123" s="1605">
        <v>43040</v>
      </c>
      <c r="G123" s="1643">
        <v>43070</v>
      </c>
      <c r="H123" s="1637">
        <v>1</v>
      </c>
      <c r="I123" s="1584"/>
      <c r="J123" s="1609" t="s">
        <v>5801</v>
      </c>
      <c r="K123" s="1580"/>
      <c r="L123" s="1580"/>
      <c r="M123" s="1580"/>
      <c r="N123" s="1580"/>
      <c r="O123" s="1580"/>
      <c r="P123" s="1580"/>
      <c r="Q123" s="1580"/>
      <c r="R123" s="1580"/>
      <c r="S123" s="1580"/>
      <c r="T123" s="1580"/>
      <c r="U123" s="1580"/>
      <c r="V123" s="1580"/>
      <c r="W123" s="1580"/>
      <c r="X123" s="1580"/>
      <c r="Y123" s="1580"/>
      <c r="Z123" s="1580"/>
    </row>
    <row r="124" spans="1:26" ht="15.75" customHeight="1">
      <c r="A124" s="1580"/>
      <c r="B124" s="1603">
        <f t="shared" si="4"/>
        <v>27</v>
      </c>
      <c r="C124" s="1584" t="s">
        <v>5802</v>
      </c>
      <c r="D124" s="1584" t="s">
        <v>5803</v>
      </c>
      <c r="E124" s="1605">
        <v>43009</v>
      </c>
      <c r="F124" s="1605">
        <v>43040</v>
      </c>
      <c r="G124" s="1643">
        <v>43070</v>
      </c>
      <c r="H124" s="1637">
        <v>1</v>
      </c>
      <c r="I124" s="1584"/>
      <c r="J124" s="1609" t="s">
        <v>2593</v>
      </c>
      <c r="K124" s="1580"/>
      <c r="L124" s="1580"/>
      <c r="M124" s="1580"/>
      <c r="N124" s="1580"/>
      <c r="O124" s="1580"/>
      <c r="P124" s="1580"/>
      <c r="Q124" s="1580"/>
      <c r="R124" s="1580"/>
      <c r="S124" s="1580"/>
      <c r="T124" s="1580"/>
      <c r="U124" s="1580"/>
      <c r="V124" s="1580"/>
      <c r="W124" s="1580"/>
      <c r="X124" s="1580"/>
      <c r="Y124" s="1580"/>
      <c r="Z124" s="1580"/>
    </row>
    <row r="125" spans="1:26" ht="15.75" customHeight="1">
      <c r="A125" s="1580"/>
      <c r="B125" s="1603">
        <f t="shared" si="4"/>
        <v>28</v>
      </c>
      <c r="C125" s="1584" t="s">
        <v>238</v>
      </c>
      <c r="D125" s="1584" t="s">
        <v>5804</v>
      </c>
      <c r="E125" s="1638">
        <v>43009</v>
      </c>
      <c r="F125" s="1638">
        <v>43040</v>
      </c>
      <c r="G125" s="1630"/>
      <c r="H125" s="1641"/>
      <c r="I125" s="1584"/>
      <c r="J125" s="1609" t="s">
        <v>5805</v>
      </c>
      <c r="K125" s="1580"/>
      <c r="L125" s="1580"/>
      <c r="M125" s="1580"/>
      <c r="N125" s="1580"/>
      <c r="O125" s="1580"/>
      <c r="P125" s="1580"/>
      <c r="Q125" s="1580"/>
      <c r="R125" s="1580"/>
      <c r="S125" s="1580"/>
      <c r="T125" s="1580"/>
      <c r="U125" s="1580"/>
      <c r="V125" s="1580"/>
      <c r="W125" s="1580"/>
      <c r="X125" s="1580"/>
      <c r="Y125" s="1580"/>
      <c r="Z125" s="1580"/>
    </row>
    <row r="126" spans="1:26" ht="15.75" customHeight="1">
      <c r="A126" s="1580"/>
      <c r="B126" s="1603">
        <f t="shared" si="4"/>
        <v>29</v>
      </c>
      <c r="C126" s="1584" t="s">
        <v>5738</v>
      </c>
      <c r="D126" s="1584" t="s">
        <v>5739</v>
      </c>
      <c r="E126" s="1638">
        <v>43009</v>
      </c>
      <c r="F126" s="1638">
        <v>43040</v>
      </c>
      <c r="G126" s="1630"/>
      <c r="H126" s="1630"/>
      <c r="I126" s="1584" t="s">
        <v>5806</v>
      </c>
      <c r="J126" s="1608" t="s">
        <v>5740</v>
      </c>
      <c r="K126" s="1580"/>
      <c r="L126" s="1580"/>
      <c r="M126" s="1580"/>
      <c r="N126" s="1580"/>
      <c r="O126" s="1580"/>
      <c r="P126" s="1580"/>
      <c r="Q126" s="1580"/>
      <c r="R126" s="1580"/>
      <c r="S126" s="1580"/>
      <c r="T126" s="1580"/>
      <c r="U126" s="1580"/>
      <c r="V126" s="1580"/>
      <c r="W126" s="1580"/>
      <c r="X126" s="1580"/>
      <c r="Y126" s="1580"/>
      <c r="Z126" s="1580"/>
    </row>
    <row r="127" spans="1:26" ht="15.75" customHeight="1">
      <c r="A127" s="1580"/>
      <c r="B127" s="1603">
        <f t="shared" si="4"/>
        <v>30</v>
      </c>
      <c r="C127" s="1584" t="s">
        <v>246</v>
      </c>
      <c r="D127" s="1584" t="s">
        <v>2413</v>
      </c>
      <c r="E127" s="1638"/>
      <c r="F127" s="1638">
        <v>43040</v>
      </c>
      <c r="G127" s="1645">
        <v>43070</v>
      </c>
      <c r="H127" s="1646"/>
      <c r="I127" s="1584" t="s">
        <v>5727</v>
      </c>
      <c r="J127" s="1608" t="s">
        <v>5741</v>
      </c>
      <c r="K127" s="1580"/>
      <c r="L127" s="1580"/>
      <c r="M127" s="1580"/>
      <c r="N127" s="1580"/>
      <c r="O127" s="1580"/>
      <c r="P127" s="1580"/>
      <c r="Q127" s="1580"/>
      <c r="R127" s="1580"/>
      <c r="S127" s="1580"/>
      <c r="T127" s="1580"/>
      <c r="U127" s="1580"/>
      <c r="V127" s="1580"/>
      <c r="W127" s="1580"/>
      <c r="X127" s="1580"/>
      <c r="Y127" s="1580"/>
      <c r="Z127" s="1580"/>
    </row>
    <row r="128" spans="1:26" ht="15.75" customHeight="1">
      <c r="A128" s="1580"/>
      <c r="B128" s="1603">
        <f t="shared" si="4"/>
        <v>31</v>
      </c>
      <c r="C128" s="1584" t="s">
        <v>321</v>
      </c>
      <c r="D128" s="1584" t="s">
        <v>5807</v>
      </c>
      <c r="E128" s="1605">
        <v>43009</v>
      </c>
      <c r="F128" s="1605">
        <v>43040</v>
      </c>
      <c r="G128" s="1643">
        <v>43070</v>
      </c>
      <c r="H128" s="1637">
        <v>1</v>
      </c>
      <c r="I128" s="1584"/>
      <c r="J128" s="1609" t="s">
        <v>5808</v>
      </c>
      <c r="K128" s="1580"/>
      <c r="L128" s="1580"/>
      <c r="M128" s="1580"/>
      <c r="N128" s="1580"/>
      <c r="O128" s="1580"/>
      <c r="P128" s="1580"/>
      <c r="Q128" s="1580"/>
      <c r="R128" s="1580"/>
      <c r="S128" s="1580"/>
      <c r="T128" s="1580"/>
      <c r="U128" s="1580"/>
      <c r="V128" s="1580"/>
      <c r="W128" s="1580"/>
      <c r="X128" s="1580"/>
      <c r="Y128" s="1580"/>
      <c r="Z128" s="1580"/>
    </row>
    <row r="129" spans="1:26" ht="15.75" customHeight="1">
      <c r="A129" s="1580"/>
      <c r="B129" s="1603">
        <f t="shared" si="4"/>
        <v>32</v>
      </c>
      <c r="C129" s="1584" t="s">
        <v>570</v>
      </c>
      <c r="D129" s="1584" t="s">
        <v>5809</v>
      </c>
      <c r="E129" s="1605">
        <v>43009</v>
      </c>
      <c r="F129" s="1605">
        <v>43040</v>
      </c>
      <c r="G129" s="1643">
        <v>43070</v>
      </c>
      <c r="H129" s="1637">
        <v>1</v>
      </c>
      <c r="I129" s="1584"/>
      <c r="J129" s="1609" t="s">
        <v>5810</v>
      </c>
      <c r="K129" s="1580"/>
      <c r="L129" s="1580"/>
      <c r="M129" s="1580"/>
      <c r="N129" s="1580"/>
      <c r="O129" s="1580"/>
      <c r="P129" s="1580"/>
      <c r="Q129" s="1580"/>
      <c r="R129" s="1580"/>
      <c r="S129" s="1580"/>
      <c r="T129" s="1580"/>
      <c r="U129" s="1580"/>
      <c r="V129" s="1580"/>
      <c r="W129" s="1580"/>
      <c r="X129" s="1580"/>
      <c r="Y129" s="1580"/>
      <c r="Z129" s="1580"/>
    </row>
    <row r="130" spans="1:26" ht="15.75" customHeight="1">
      <c r="A130" s="1580"/>
      <c r="B130" s="1603">
        <f t="shared" si="4"/>
        <v>33</v>
      </c>
      <c r="C130" s="1584" t="s">
        <v>4146</v>
      </c>
      <c r="D130" s="1584" t="s">
        <v>2365</v>
      </c>
      <c r="E130" s="1638">
        <v>43009</v>
      </c>
      <c r="F130" s="1638">
        <v>43040</v>
      </c>
      <c r="G130" s="1630"/>
      <c r="H130" s="1630"/>
      <c r="I130" s="1584" t="s">
        <v>5806</v>
      </c>
      <c r="J130" s="1608" t="s">
        <v>5742</v>
      </c>
      <c r="K130" s="1580"/>
      <c r="L130" s="1580"/>
      <c r="M130" s="1580"/>
      <c r="N130" s="1580"/>
      <c r="O130" s="1580"/>
      <c r="P130" s="1580"/>
      <c r="Q130" s="1580"/>
      <c r="R130" s="1580"/>
      <c r="S130" s="1580"/>
      <c r="T130" s="1580"/>
      <c r="U130" s="1580"/>
      <c r="V130" s="1580"/>
      <c r="W130" s="1580"/>
      <c r="X130" s="1580"/>
      <c r="Y130" s="1580"/>
      <c r="Z130" s="1580"/>
    </row>
    <row r="131" spans="1:26" ht="15.75" customHeight="1">
      <c r="A131" s="1580"/>
      <c r="B131" s="1603">
        <f t="shared" si="4"/>
        <v>34</v>
      </c>
      <c r="C131" s="1584" t="s">
        <v>785</v>
      </c>
      <c r="D131" s="1584" t="s">
        <v>2365</v>
      </c>
      <c r="E131" s="1605">
        <v>43009</v>
      </c>
      <c r="F131" s="1605">
        <v>43040</v>
      </c>
      <c r="G131" s="1643">
        <v>43282</v>
      </c>
      <c r="H131" s="1637">
        <v>1</v>
      </c>
      <c r="I131" s="1584"/>
      <c r="J131" s="1608" t="s">
        <v>2366</v>
      </c>
      <c r="K131" s="1580"/>
      <c r="L131" s="1580"/>
      <c r="M131" s="1580"/>
      <c r="N131" s="1580"/>
      <c r="O131" s="1580"/>
      <c r="P131" s="1580"/>
      <c r="Q131" s="1580"/>
      <c r="R131" s="1580"/>
      <c r="S131" s="1580"/>
      <c r="T131" s="1580"/>
      <c r="U131" s="1580"/>
      <c r="V131" s="1580"/>
      <c r="W131" s="1580"/>
      <c r="X131" s="1580"/>
      <c r="Y131" s="1580"/>
      <c r="Z131" s="1580"/>
    </row>
    <row r="132" spans="1:26" ht="15.75" customHeight="1">
      <c r="A132" s="1580"/>
      <c r="B132" s="1603">
        <f t="shared" si="4"/>
        <v>35</v>
      </c>
      <c r="C132" s="1584" t="s">
        <v>275</v>
      </c>
      <c r="D132" s="1584" t="s">
        <v>5811</v>
      </c>
      <c r="E132" s="1605">
        <v>43009</v>
      </c>
      <c r="F132" s="1605">
        <v>43040</v>
      </c>
      <c r="G132" s="1643">
        <v>43070</v>
      </c>
      <c r="H132" s="1637">
        <v>1</v>
      </c>
      <c r="I132" s="1584"/>
      <c r="J132" s="1609" t="s">
        <v>5812</v>
      </c>
      <c r="K132" s="1580"/>
      <c r="L132" s="1580"/>
      <c r="M132" s="1580"/>
      <c r="N132" s="1580"/>
      <c r="O132" s="1580"/>
      <c r="P132" s="1580"/>
      <c r="Q132" s="1580"/>
      <c r="R132" s="1580"/>
      <c r="S132" s="1580"/>
      <c r="T132" s="1580"/>
      <c r="U132" s="1580"/>
      <c r="V132" s="1580"/>
      <c r="W132" s="1580"/>
      <c r="X132" s="1580"/>
      <c r="Y132" s="1580"/>
      <c r="Z132" s="1580"/>
    </row>
    <row r="133" spans="1:26" ht="15.75" customHeight="1">
      <c r="A133" s="1580"/>
      <c r="B133" s="1603">
        <f t="shared" si="4"/>
        <v>36</v>
      </c>
      <c r="C133" s="1584" t="s">
        <v>1382</v>
      </c>
      <c r="D133" s="1584" t="s">
        <v>5813</v>
      </c>
      <c r="E133" s="1605">
        <v>43009</v>
      </c>
      <c r="F133" s="1605">
        <v>43040</v>
      </c>
      <c r="G133" s="1606">
        <v>43070</v>
      </c>
      <c r="H133" s="1637">
        <v>1</v>
      </c>
      <c r="I133" s="1584"/>
      <c r="J133" s="1609" t="s">
        <v>5814</v>
      </c>
      <c r="K133" s="1580"/>
      <c r="L133" s="1580"/>
      <c r="M133" s="1580"/>
      <c r="N133" s="1580"/>
      <c r="O133" s="1580"/>
      <c r="P133" s="1580"/>
      <c r="Q133" s="1580"/>
      <c r="R133" s="1580"/>
      <c r="S133" s="1580"/>
      <c r="T133" s="1580"/>
      <c r="U133" s="1580"/>
      <c r="V133" s="1580"/>
      <c r="W133" s="1580"/>
      <c r="X133" s="1580"/>
      <c r="Y133" s="1580"/>
      <c r="Z133" s="1580"/>
    </row>
    <row r="134" spans="1:26" ht="15.75" customHeight="1">
      <c r="A134" s="1580"/>
      <c r="B134" s="1603">
        <f t="shared" si="4"/>
        <v>37</v>
      </c>
      <c r="C134" s="1584" t="s">
        <v>188</v>
      </c>
      <c r="D134" s="1584" t="s">
        <v>5815</v>
      </c>
      <c r="E134" s="1628">
        <v>43009</v>
      </c>
      <c r="F134" s="1628">
        <v>43040</v>
      </c>
      <c r="G134" s="1612"/>
      <c r="H134" s="1608"/>
      <c r="I134" s="1584"/>
      <c r="J134" s="1609" t="s">
        <v>5816</v>
      </c>
      <c r="K134" s="1580"/>
      <c r="L134" s="1580"/>
      <c r="M134" s="1580"/>
      <c r="N134" s="1580"/>
      <c r="O134" s="1580"/>
      <c r="P134" s="1580"/>
      <c r="Q134" s="1580"/>
      <c r="R134" s="1580"/>
      <c r="S134" s="1580"/>
      <c r="T134" s="1580"/>
      <c r="U134" s="1580"/>
      <c r="V134" s="1580"/>
      <c r="W134" s="1580"/>
      <c r="X134" s="1580"/>
      <c r="Y134" s="1580"/>
      <c r="Z134" s="1580"/>
    </row>
    <row r="135" spans="1:26" ht="15.75" customHeight="1">
      <c r="A135" s="1580"/>
      <c r="B135" s="1603">
        <f t="shared" si="4"/>
        <v>38</v>
      </c>
      <c r="C135" s="1584" t="s">
        <v>471</v>
      </c>
      <c r="D135" s="1584" t="s">
        <v>5817</v>
      </c>
      <c r="E135" s="1605">
        <v>43009</v>
      </c>
      <c r="F135" s="1605">
        <v>43040</v>
      </c>
      <c r="G135" s="1643">
        <v>43070</v>
      </c>
      <c r="H135" s="1637">
        <v>1</v>
      </c>
      <c r="I135" s="1584"/>
      <c r="J135" s="1609" t="s">
        <v>5818</v>
      </c>
      <c r="K135" s="1580"/>
      <c r="L135" s="1580"/>
      <c r="M135" s="1580"/>
      <c r="N135" s="1580"/>
      <c r="O135" s="1580"/>
      <c r="P135" s="1580"/>
      <c r="Q135" s="1580"/>
      <c r="R135" s="1580"/>
      <c r="S135" s="1580"/>
      <c r="T135" s="1580"/>
      <c r="U135" s="1580"/>
      <c r="V135" s="1580"/>
      <c r="W135" s="1580"/>
      <c r="X135" s="1580"/>
      <c r="Y135" s="1580"/>
      <c r="Z135" s="1580"/>
    </row>
    <row r="136" spans="1:26" ht="15.75" customHeight="1">
      <c r="A136" s="1580"/>
      <c r="B136" s="1603">
        <f t="shared" si="4"/>
        <v>39</v>
      </c>
      <c r="C136" s="1584" t="s">
        <v>1248</v>
      </c>
      <c r="D136" s="1584" t="s">
        <v>5819</v>
      </c>
      <c r="E136" s="1605">
        <v>43009</v>
      </c>
      <c r="F136" s="1605">
        <v>43040</v>
      </c>
      <c r="G136" s="1643">
        <v>43070</v>
      </c>
      <c r="H136" s="1642">
        <v>1</v>
      </c>
      <c r="I136" s="1584"/>
      <c r="J136" s="1609" t="s">
        <v>5820</v>
      </c>
      <c r="K136" s="1580"/>
      <c r="L136" s="1580"/>
      <c r="M136" s="1580"/>
      <c r="N136" s="1580"/>
      <c r="O136" s="1580"/>
      <c r="P136" s="1580"/>
      <c r="Q136" s="1580"/>
      <c r="R136" s="1580"/>
      <c r="S136" s="1580"/>
      <c r="T136" s="1580"/>
      <c r="U136" s="1580"/>
      <c r="V136" s="1580"/>
      <c r="W136" s="1580"/>
      <c r="X136" s="1580"/>
      <c r="Y136" s="1580"/>
      <c r="Z136" s="1580"/>
    </row>
    <row r="137" spans="1:26" ht="15.75" customHeight="1">
      <c r="A137" s="1580"/>
      <c r="B137" s="1603">
        <f t="shared" si="4"/>
        <v>40</v>
      </c>
      <c r="C137" s="1584" t="s">
        <v>246</v>
      </c>
      <c r="D137" s="1584" t="s">
        <v>5821</v>
      </c>
      <c r="E137" s="1650">
        <v>43221</v>
      </c>
      <c r="F137" s="1605">
        <v>43040</v>
      </c>
      <c r="G137" s="1643">
        <v>43070</v>
      </c>
      <c r="H137" s="1633">
        <v>1</v>
      </c>
      <c r="I137" s="1584"/>
      <c r="J137" s="1609" t="s">
        <v>5822</v>
      </c>
      <c r="K137" s="1580"/>
      <c r="L137" s="1580"/>
      <c r="M137" s="1580"/>
      <c r="N137" s="1580"/>
      <c r="O137" s="1580"/>
      <c r="P137" s="1580"/>
      <c r="Q137" s="1580"/>
      <c r="R137" s="1580"/>
      <c r="S137" s="1580"/>
      <c r="T137" s="1580"/>
      <c r="U137" s="1580"/>
      <c r="V137" s="1580"/>
      <c r="W137" s="1580"/>
      <c r="X137" s="1580"/>
      <c r="Y137" s="1580"/>
      <c r="Z137" s="1580"/>
    </row>
    <row r="138" spans="1:26" ht="15.75" customHeight="1">
      <c r="A138" s="1580"/>
      <c r="B138" s="1603">
        <f t="shared" si="4"/>
        <v>41</v>
      </c>
      <c r="C138" s="1584" t="s">
        <v>5823</v>
      </c>
      <c r="D138" s="1584" t="s">
        <v>5824</v>
      </c>
      <c r="E138" s="1605">
        <v>43009</v>
      </c>
      <c r="F138" s="1605">
        <v>43040</v>
      </c>
      <c r="G138" s="1643">
        <v>43070</v>
      </c>
      <c r="H138" s="1642">
        <v>1</v>
      </c>
      <c r="I138" s="1584"/>
      <c r="J138" s="1609" t="s">
        <v>5825</v>
      </c>
      <c r="K138" s="1580"/>
      <c r="L138" s="1580"/>
      <c r="M138" s="1580"/>
      <c r="N138" s="1580"/>
      <c r="O138" s="1580"/>
      <c r="P138" s="1580"/>
      <c r="Q138" s="1580"/>
      <c r="R138" s="1580"/>
      <c r="S138" s="1580"/>
      <c r="T138" s="1580"/>
      <c r="U138" s="1580"/>
      <c r="V138" s="1580"/>
      <c r="W138" s="1580"/>
      <c r="X138" s="1580"/>
      <c r="Y138" s="1580"/>
      <c r="Z138" s="1580"/>
    </row>
    <row r="139" spans="1:26" ht="15.75" customHeight="1">
      <c r="A139" s="1580"/>
      <c r="B139" s="1603">
        <f t="shared" si="4"/>
        <v>42</v>
      </c>
      <c r="C139" s="1584" t="s">
        <v>290</v>
      </c>
      <c r="D139" s="1584" t="s">
        <v>5826</v>
      </c>
      <c r="E139" s="1605">
        <v>43009</v>
      </c>
      <c r="F139" s="1605">
        <v>43040</v>
      </c>
      <c r="G139" s="1643">
        <v>43070</v>
      </c>
      <c r="H139" s="1637">
        <v>1</v>
      </c>
      <c r="I139" s="1584"/>
      <c r="J139" s="1609" t="s">
        <v>5827</v>
      </c>
      <c r="K139" s="1580"/>
      <c r="L139" s="1580"/>
      <c r="M139" s="1580"/>
      <c r="N139" s="1580"/>
      <c r="O139" s="1580"/>
      <c r="P139" s="1580"/>
      <c r="Q139" s="1580"/>
      <c r="R139" s="1580"/>
      <c r="S139" s="1580"/>
      <c r="T139" s="1580"/>
      <c r="U139" s="1580"/>
      <c r="V139" s="1580"/>
      <c r="W139" s="1580"/>
      <c r="X139" s="1580"/>
      <c r="Y139" s="1580"/>
      <c r="Z139" s="1580"/>
    </row>
    <row r="140" spans="1:26" ht="15.75" customHeight="1">
      <c r="A140" s="1580"/>
      <c r="B140" s="1616">
        <f t="shared" si="4"/>
        <v>43</v>
      </c>
      <c r="C140" s="1617" t="s">
        <v>4543</v>
      </c>
      <c r="D140" s="1617" t="s">
        <v>4450</v>
      </c>
      <c r="E140" s="1619">
        <v>43009</v>
      </c>
      <c r="F140" s="1619">
        <v>43040</v>
      </c>
      <c r="G140" s="1651">
        <v>43070</v>
      </c>
      <c r="H140" s="1644">
        <v>1</v>
      </c>
      <c r="I140" s="1617"/>
      <c r="J140" s="1631" t="s">
        <v>5828</v>
      </c>
      <c r="K140" s="1580"/>
      <c r="L140" s="1580"/>
      <c r="M140" s="1580"/>
      <c r="N140" s="1580"/>
      <c r="O140" s="1580"/>
      <c r="P140" s="1580"/>
      <c r="Q140" s="1580"/>
      <c r="R140" s="1580"/>
      <c r="S140" s="1580"/>
      <c r="T140" s="1580"/>
      <c r="U140" s="1580"/>
      <c r="V140" s="1580"/>
      <c r="W140" s="1580"/>
      <c r="X140" s="1580"/>
      <c r="Y140" s="1580"/>
      <c r="Z140" s="1580"/>
    </row>
    <row r="141" spans="1:26" ht="15.75" customHeight="1">
      <c r="A141" s="1580"/>
      <c r="B141" s="1595">
        <v>1</v>
      </c>
      <c r="C141" s="1596" t="s">
        <v>2175</v>
      </c>
      <c r="D141" s="1596" t="s">
        <v>5829</v>
      </c>
      <c r="E141" s="1598">
        <v>43221</v>
      </c>
      <c r="F141" s="1598">
        <v>43252</v>
      </c>
      <c r="G141" s="1599">
        <v>43282</v>
      </c>
      <c r="H141" s="1636">
        <v>1</v>
      </c>
      <c r="I141" s="1596"/>
      <c r="J141" s="1627" t="s">
        <v>5830</v>
      </c>
      <c r="K141" s="1580"/>
      <c r="L141" s="1580"/>
      <c r="M141" s="1580"/>
      <c r="N141" s="1580"/>
      <c r="O141" s="1580"/>
      <c r="P141" s="1580"/>
      <c r="Q141" s="1580"/>
      <c r="R141" s="1580"/>
      <c r="S141" s="1580"/>
      <c r="T141" s="1580"/>
      <c r="U141" s="1580"/>
      <c r="V141" s="1580"/>
      <c r="W141" s="1580"/>
      <c r="X141" s="1580"/>
      <c r="Y141" s="1580"/>
      <c r="Z141" s="1580"/>
    </row>
    <row r="142" spans="1:26" ht="15.75" customHeight="1">
      <c r="A142" s="1580"/>
      <c r="B142" s="1603">
        <f t="shared" ref="B142:B188" si="5">B141+1</f>
        <v>2</v>
      </c>
      <c r="C142" s="1584" t="s">
        <v>5755</v>
      </c>
      <c r="D142" s="1584" t="s">
        <v>5756</v>
      </c>
      <c r="E142" s="1605">
        <v>43221</v>
      </c>
      <c r="F142" s="1605">
        <v>43252</v>
      </c>
      <c r="G142" s="1606">
        <v>43282</v>
      </c>
      <c r="H142" s="1637">
        <v>1</v>
      </c>
      <c r="I142" s="1584" t="s">
        <v>5727</v>
      </c>
      <c r="J142" s="1609" t="s">
        <v>5757</v>
      </c>
      <c r="K142" s="1580"/>
      <c r="L142" s="1580"/>
      <c r="M142" s="1580"/>
      <c r="N142" s="1580"/>
      <c r="O142" s="1580"/>
      <c r="P142" s="1580"/>
      <c r="Q142" s="1580"/>
      <c r="R142" s="1580"/>
      <c r="S142" s="1602"/>
      <c r="T142" s="1580"/>
      <c r="U142" s="1580"/>
      <c r="V142" s="1580"/>
      <c r="W142" s="1580"/>
      <c r="X142" s="1580"/>
      <c r="Y142" s="1580"/>
      <c r="Z142" s="1580"/>
    </row>
    <row r="143" spans="1:26" ht="15.75" customHeight="1">
      <c r="A143" s="1580"/>
      <c r="B143" s="1603">
        <f t="shared" si="5"/>
        <v>3</v>
      </c>
      <c r="C143" s="1584" t="s">
        <v>2705</v>
      </c>
      <c r="D143" s="1584" t="s">
        <v>5831</v>
      </c>
      <c r="E143" s="1605">
        <v>43221</v>
      </c>
      <c r="F143" s="1605">
        <v>43252</v>
      </c>
      <c r="G143" s="1606">
        <v>43282</v>
      </c>
      <c r="H143" s="1637">
        <v>1</v>
      </c>
      <c r="I143" s="1584"/>
      <c r="J143" s="1608" t="s">
        <v>5832</v>
      </c>
      <c r="K143" s="1580"/>
      <c r="L143" s="1580"/>
      <c r="M143" s="1580"/>
      <c r="N143" s="1580"/>
      <c r="O143" s="1580"/>
      <c r="P143" s="1580"/>
      <c r="Q143" s="1580"/>
      <c r="R143" s="1580"/>
      <c r="S143" s="1580"/>
      <c r="T143" s="1580"/>
      <c r="U143" s="1580"/>
      <c r="V143" s="1580"/>
      <c r="W143" s="1580"/>
      <c r="X143" s="1580"/>
      <c r="Y143" s="1580"/>
      <c r="Z143" s="1580"/>
    </row>
    <row r="144" spans="1:26" ht="15.75" customHeight="1">
      <c r="A144" s="1580"/>
      <c r="B144" s="1603">
        <f t="shared" si="5"/>
        <v>4</v>
      </c>
      <c r="C144" s="1584" t="s">
        <v>1313</v>
      </c>
      <c r="D144" s="1584" t="s">
        <v>5833</v>
      </c>
      <c r="E144" s="1638">
        <v>43221</v>
      </c>
      <c r="F144" s="1652"/>
      <c r="G144" s="1630">
        <v>43282</v>
      </c>
      <c r="H144" s="1608"/>
      <c r="I144" s="1584"/>
      <c r="J144" s="1609" t="s">
        <v>5834</v>
      </c>
      <c r="K144" s="1580"/>
      <c r="L144" s="1580"/>
      <c r="M144" s="1580"/>
      <c r="N144" s="1580"/>
      <c r="O144" s="1580"/>
      <c r="P144" s="1580"/>
      <c r="Q144" s="1580"/>
      <c r="R144" s="1580"/>
      <c r="S144" s="1580"/>
      <c r="T144" s="1580"/>
      <c r="U144" s="1580"/>
      <c r="V144" s="1580"/>
      <c r="W144" s="1580"/>
      <c r="X144" s="1580"/>
      <c r="Y144" s="1580"/>
      <c r="Z144" s="1580"/>
    </row>
    <row r="145" spans="1:26" ht="15.75" customHeight="1">
      <c r="A145" s="1580"/>
      <c r="B145" s="1603">
        <f t="shared" si="5"/>
        <v>5</v>
      </c>
      <c r="C145" s="1584" t="s">
        <v>5835</v>
      </c>
      <c r="D145" s="1584" t="s">
        <v>5836</v>
      </c>
      <c r="E145" s="1605">
        <v>43221</v>
      </c>
      <c r="F145" s="1605">
        <v>43252</v>
      </c>
      <c r="G145" s="1606">
        <v>43282</v>
      </c>
      <c r="H145" s="1637">
        <v>1</v>
      </c>
      <c r="I145" s="1584"/>
      <c r="J145" s="1608" t="s">
        <v>5837</v>
      </c>
      <c r="K145" s="1580"/>
      <c r="L145" s="1580"/>
      <c r="M145" s="1580"/>
      <c r="N145" s="1580"/>
      <c r="O145" s="1580"/>
      <c r="P145" s="1580"/>
      <c r="Q145" s="1580"/>
      <c r="R145" s="1580"/>
      <c r="S145" s="1580"/>
      <c r="T145" s="1580"/>
      <c r="U145" s="1580"/>
      <c r="V145" s="1580"/>
      <c r="W145" s="1580"/>
      <c r="X145" s="1580"/>
      <c r="Y145" s="1580"/>
      <c r="Z145" s="1580"/>
    </row>
    <row r="146" spans="1:26" ht="15.75" customHeight="1">
      <c r="A146" s="1580"/>
      <c r="B146" s="1603">
        <f t="shared" si="5"/>
        <v>6</v>
      </c>
      <c r="C146" s="1584" t="s">
        <v>769</v>
      </c>
      <c r="D146" s="1584" t="s">
        <v>5838</v>
      </c>
      <c r="E146" s="1638"/>
      <c r="F146" s="1638">
        <v>43252</v>
      </c>
      <c r="G146" s="1630">
        <v>43282</v>
      </c>
      <c r="H146" s="1608"/>
      <c r="I146" s="1584"/>
      <c r="J146" s="1609" t="s">
        <v>5839</v>
      </c>
      <c r="K146" s="1580"/>
      <c r="L146" s="1580"/>
      <c r="M146" s="1580"/>
      <c r="N146" s="1580"/>
      <c r="O146" s="1580"/>
      <c r="P146" s="1580"/>
      <c r="Q146" s="1580"/>
      <c r="R146" s="1580"/>
      <c r="S146" s="1580"/>
      <c r="T146" s="1580"/>
      <c r="U146" s="1580"/>
      <c r="V146" s="1580"/>
      <c r="W146" s="1580"/>
      <c r="X146" s="1580"/>
      <c r="Y146" s="1580"/>
      <c r="Z146" s="1580"/>
    </row>
    <row r="147" spans="1:26" ht="15.75" customHeight="1">
      <c r="A147" s="1580"/>
      <c r="B147" s="1603">
        <f t="shared" si="5"/>
        <v>7</v>
      </c>
      <c r="C147" s="1584" t="s">
        <v>246</v>
      </c>
      <c r="D147" s="1584" t="s">
        <v>5840</v>
      </c>
      <c r="E147" s="1605">
        <v>43221</v>
      </c>
      <c r="F147" s="1605">
        <v>43252</v>
      </c>
      <c r="G147" s="1606">
        <v>43282</v>
      </c>
      <c r="H147" s="1637">
        <v>1</v>
      </c>
      <c r="I147" s="1584"/>
      <c r="J147" s="1608" t="s">
        <v>5841</v>
      </c>
      <c r="K147" s="1580"/>
      <c r="L147" s="1580"/>
      <c r="M147" s="1580"/>
      <c r="N147" s="1580"/>
      <c r="O147" s="1580"/>
      <c r="P147" s="1580"/>
      <c r="Q147" s="1580"/>
      <c r="R147" s="1580"/>
      <c r="S147" s="1580"/>
      <c r="T147" s="1580"/>
      <c r="U147" s="1580"/>
      <c r="V147" s="1580"/>
      <c r="W147" s="1580"/>
      <c r="X147" s="1580"/>
      <c r="Y147" s="1580"/>
      <c r="Z147" s="1580"/>
    </row>
    <row r="148" spans="1:26" ht="15.75" customHeight="1">
      <c r="A148" s="1580"/>
      <c r="B148" s="1603">
        <f t="shared" si="5"/>
        <v>8</v>
      </c>
      <c r="C148" s="1584" t="s">
        <v>204</v>
      </c>
      <c r="D148" s="1584" t="s">
        <v>5842</v>
      </c>
      <c r="E148" s="1650">
        <v>43221</v>
      </c>
      <c r="F148" s="1650">
        <v>43252</v>
      </c>
      <c r="G148" s="1643">
        <v>43282</v>
      </c>
      <c r="H148" s="1637">
        <v>1</v>
      </c>
      <c r="I148" s="1584"/>
      <c r="J148" s="1609" t="s">
        <v>5843</v>
      </c>
      <c r="K148" s="1580"/>
      <c r="L148" s="1580"/>
      <c r="M148" s="1580"/>
      <c r="N148" s="1580"/>
      <c r="O148" s="1580"/>
      <c r="P148" s="1580"/>
      <c r="Q148" s="1580"/>
      <c r="R148" s="1580"/>
      <c r="S148" s="1580"/>
      <c r="T148" s="1580"/>
      <c r="U148" s="1580"/>
      <c r="V148" s="1580"/>
      <c r="W148" s="1580"/>
      <c r="X148" s="1580"/>
      <c r="Y148" s="1580"/>
      <c r="Z148" s="1580"/>
    </row>
    <row r="149" spans="1:26" ht="15.75" customHeight="1">
      <c r="A149" s="1580"/>
      <c r="B149" s="1603">
        <f t="shared" si="5"/>
        <v>9</v>
      </c>
      <c r="C149" s="1584" t="s">
        <v>5844</v>
      </c>
      <c r="D149" s="1584" t="s">
        <v>5845</v>
      </c>
      <c r="E149" s="1650">
        <v>43221</v>
      </c>
      <c r="F149" s="1650">
        <v>43252</v>
      </c>
      <c r="G149" s="1643">
        <v>43282</v>
      </c>
      <c r="H149" s="1637">
        <v>1</v>
      </c>
      <c r="I149" s="1584"/>
      <c r="J149" s="1609" t="s">
        <v>5846</v>
      </c>
      <c r="K149" s="1580"/>
      <c r="L149" s="1580"/>
      <c r="M149" s="1580"/>
      <c r="N149" s="1580"/>
      <c r="O149" s="1580"/>
      <c r="P149" s="1580"/>
      <c r="Q149" s="1580"/>
      <c r="R149" s="1580"/>
      <c r="S149" s="1580"/>
      <c r="T149" s="1580"/>
      <c r="U149" s="1580"/>
      <c r="V149" s="1580"/>
      <c r="W149" s="1580"/>
      <c r="X149" s="1580"/>
      <c r="Y149" s="1580"/>
      <c r="Z149" s="1580"/>
    </row>
    <row r="150" spans="1:26" ht="15.75" customHeight="1">
      <c r="A150" s="1580"/>
      <c r="B150" s="1603">
        <f t="shared" si="5"/>
        <v>10</v>
      </c>
      <c r="C150" s="1584" t="s">
        <v>5847</v>
      </c>
      <c r="D150" s="1584" t="s">
        <v>5848</v>
      </c>
      <c r="E150" s="1650">
        <v>43221</v>
      </c>
      <c r="F150" s="1650">
        <v>43252</v>
      </c>
      <c r="G150" s="1643">
        <v>43282</v>
      </c>
      <c r="H150" s="1637">
        <v>1</v>
      </c>
      <c r="I150" s="1584"/>
      <c r="J150" s="1609" t="s">
        <v>5849</v>
      </c>
      <c r="K150" s="1580"/>
      <c r="L150" s="1580"/>
      <c r="M150" s="1580"/>
      <c r="N150" s="1580"/>
      <c r="O150" s="1580"/>
      <c r="P150" s="1580"/>
      <c r="Q150" s="1580"/>
      <c r="R150" s="1580"/>
      <c r="S150" s="1580"/>
      <c r="T150" s="1580"/>
      <c r="U150" s="1580"/>
      <c r="V150" s="1580"/>
      <c r="W150" s="1580"/>
      <c r="X150" s="1580"/>
      <c r="Y150" s="1580"/>
      <c r="Z150" s="1580"/>
    </row>
    <row r="151" spans="1:26" ht="15.75" customHeight="1">
      <c r="A151" s="1580"/>
      <c r="B151" s="1603">
        <f t="shared" si="5"/>
        <v>11</v>
      </c>
      <c r="C151" s="1584" t="s">
        <v>5666</v>
      </c>
      <c r="D151" s="1584" t="s">
        <v>5667</v>
      </c>
      <c r="E151" s="1638">
        <v>43221</v>
      </c>
      <c r="F151" s="1652"/>
      <c r="G151" s="1653"/>
      <c r="H151" s="1641"/>
      <c r="I151" s="1647" t="s">
        <v>5727</v>
      </c>
      <c r="J151" s="1608" t="s">
        <v>5668</v>
      </c>
      <c r="K151" s="1580"/>
      <c r="L151" s="1580"/>
      <c r="M151" s="1580"/>
      <c r="N151" s="1580"/>
      <c r="O151" s="1580"/>
      <c r="P151" s="1580"/>
      <c r="Q151" s="1580"/>
      <c r="R151" s="1580"/>
      <c r="S151" s="1580"/>
      <c r="T151" s="1580"/>
      <c r="U151" s="1580"/>
      <c r="V151" s="1580"/>
      <c r="W151" s="1580"/>
      <c r="X151" s="1580"/>
      <c r="Y151" s="1580"/>
      <c r="Z151" s="1580"/>
    </row>
    <row r="152" spans="1:26" ht="15.75" customHeight="1">
      <c r="A152" s="1580"/>
      <c r="B152" s="1603">
        <f t="shared" si="5"/>
        <v>12</v>
      </c>
      <c r="C152" s="1584" t="s">
        <v>4888</v>
      </c>
      <c r="D152" s="1584" t="s">
        <v>5850</v>
      </c>
      <c r="E152" s="1650">
        <v>43221</v>
      </c>
      <c r="F152" s="1650">
        <v>43252</v>
      </c>
      <c r="G152" s="1643">
        <v>43282</v>
      </c>
      <c r="H152" s="1637">
        <v>1</v>
      </c>
      <c r="I152" s="1584"/>
      <c r="J152" s="1609" t="s">
        <v>5851</v>
      </c>
      <c r="K152" s="1580"/>
      <c r="L152" s="1580"/>
      <c r="M152" s="1580"/>
      <c r="N152" s="1580"/>
      <c r="O152" s="1580"/>
      <c r="P152" s="1580"/>
      <c r="Q152" s="1580"/>
      <c r="R152" s="1580"/>
      <c r="S152" s="1580"/>
      <c r="T152" s="1580"/>
      <c r="U152" s="1580"/>
      <c r="V152" s="1580"/>
      <c r="W152" s="1580"/>
      <c r="X152" s="1580"/>
      <c r="Y152" s="1580"/>
      <c r="Z152" s="1580"/>
    </row>
    <row r="153" spans="1:26" ht="15.75" customHeight="1">
      <c r="A153" s="1580"/>
      <c r="B153" s="1603">
        <f t="shared" si="5"/>
        <v>13</v>
      </c>
      <c r="C153" s="1584" t="s">
        <v>1248</v>
      </c>
      <c r="D153" s="1584" t="s">
        <v>5852</v>
      </c>
      <c r="E153" s="1638">
        <v>43221</v>
      </c>
      <c r="F153" s="1652"/>
      <c r="G153" s="1653"/>
      <c r="H153" s="1608"/>
      <c r="I153" s="1584"/>
      <c r="J153" s="1609" t="s">
        <v>5853</v>
      </c>
      <c r="K153" s="1580"/>
      <c r="L153" s="1580"/>
      <c r="M153" s="1580"/>
      <c r="N153" s="1580"/>
      <c r="O153" s="1580"/>
      <c r="P153" s="1580"/>
      <c r="Q153" s="1580"/>
      <c r="R153" s="1580"/>
      <c r="S153" s="1580"/>
      <c r="T153" s="1580"/>
      <c r="U153" s="1580"/>
      <c r="V153" s="1580"/>
      <c r="W153" s="1580"/>
      <c r="X153" s="1580"/>
      <c r="Y153" s="1580"/>
      <c r="Z153" s="1580"/>
    </row>
    <row r="154" spans="1:26" ht="15.75" customHeight="1">
      <c r="A154" s="1580"/>
      <c r="B154" s="1603">
        <f t="shared" si="5"/>
        <v>14</v>
      </c>
      <c r="C154" s="1584" t="s">
        <v>135</v>
      </c>
      <c r="D154" s="1584" t="s">
        <v>1390</v>
      </c>
      <c r="E154" s="1650">
        <v>43221</v>
      </c>
      <c r="F154" s="1650">
        <v>43252</v>
      </c>
      <c r="G154" s="1643">
        <v>43282</v>
      </c>
      <c r="H154" s="1637">
        <v>1</v>
      </c>
      <c r="I154" s="1584" t="s">
        <v>5727</v>
      </c>
      <c r="J154" s="1608"/>
      <c r="K154" s="1580"/>
      <c r="L154" s="1580"/>
      <c r="M154" s="1580"/>
      <c r="N154" s="1580"/>
      <c r="O154" s="1580"/>
      <c r="P154" s="1580"/>
      <c r="Q154" s="1580"/>
      <c r="R154" s="1580"/>
      <c r="S154" s="1580"/>
      <c r="T154" s="1580"/>
      <c r="U154" s="1580"/>
      <c r="V154" s="1580"/>
      <c r="W154" s="1580"/>
      <c r="X154" s="1580"/>
      <c r="Y154" s="1580"/>
      <c r="Z154" s="1580"/>
    </row>
    <row r="155" spans="1:26" ht="15.75" customHeight="1">
      <c r="A155" s="1580"/>
      <c r="B155" s="1603">
        <f t="shared" si="5"/>
        <v>15</v>
      </c>
      <c r="C155" s="1584" t="s">
        <v>861</v>
      </c>
      <c r="D155" s="1584" t="s">
        <v>5854</v>
      </c>
      <c r="E155" s="1605">
        <v>43221</v>
      </c>
      <c r="F155" s="1650">
        <v>43252</v>
      </c>
      <c r="G155" s="1643">
        <v>43282</v>
      </c>
      <c r="H155" s="1637">
        <v>1</v>
      </c>
      <c r="I155" s="1584"/>
      <c r="J155" s="1608" t="s">
        <v>5855</v>
      </c>
      <c r="K155" s="1580"/>
      <c r="L155" s="1580"/>
      <c r="M155" s="1580"/>
      <c r="N155" s="1580"/>
      <c r="O155" s="1580"/>
      <c r="P155" s="1580"/>
      <c r="Q155" s="1580"/>
      <c r="R155" s="1580"/>
      <c r="S155" s="1580"/>
      <c r="T155" s="1580"/>
      <c r="U155" s="1580"/>
      <c r="V155" s="1580"/>
      <c r="W155" s="1580"/>
      <c r="X155" s="1580"/>
      <c r="Y155" s="1580"/>
      <c r="Z155" s="1580"/>
    </row>
    <row r="156" spans="1:26" ht="15.75" customHeight="1">
      <c r="A156" s="1580"/>
      <c r="B156" s="1603">
        <f t="shared" si="5"/>
        <v>16</v>
      </c>
      <c r="C156" s="1584" t="s">
        <v>451</v>
      </c>
      <c r="D156" s="1584" t="s">
        <v>5856</v>
      </c>
      <c r="E156" s="1605">
        <v>43221</v>
      </c>
      <c r="F156" s="1650">
        <v>43252</v>
      </c>
      <c r="G156" s="1643">
        <v>43282</v>
      </c>
      <c r="H156" s="1637">
        <v>1</v>
      </c>
      <c r="I156" s="1584"/>
      <c r="J156" s="1609" t="s">
        <v>5857</v>
      </c>
      <c r="K156" s="1580"/>
      <c r="L156" s="1580"/>
      <c r="M156" s="1580"/>
      <c r="N156" s="1580"/>
      <c r="O156" s="1580"/>
      <c r="P156" s="1580"/>
      <c r="Q156" s="1580"/>
      <c r="R156" s="1580"/>
      <c r="S156" s="1580"/>
      <c r="T156" s="1580"/>
      <c r="U156" s="1580"/>
      <c r="V156" s="1580"/>
      <c r="W156" s="1580"/>
      <c r="X156" s="1580"/>
      <c r="Y156" s="1580"/>
      <c r="Z156" s="1580"/>
    </row>
    <row r="157" spans="1:26" ht="15.75" customHeight="1">
      <c r="A157" s="1580"/>
      <c r="B157" s="1603">
        <f t="shared" si="5"/>
        <v>17</v>
      </c>
      <c r="C157" s="1584" t="s">
        <v>5858</v>
      </c>
      <c r="D157" s="1584" t="s">
        <v>5859</v>
      </c>
      <c r="E157" s="1605">
        <v>43221</v>
      </c>
      <c r="F157" s="1650">
        <v>43252</v>
      </c>
      <c r="G157" s="1643">
        <v>43282</v>
      </c>
      <c r="H157" s="1637">
        <v>1</v>
      </c>
      <c r="I157" s="1584"/>
      <c r="J157" s="1608" t="s">
        <v>5860</v>
      </c>
      <c r="K157" s="1580"/>
      <c r="L157" s="1580"/>
      <c r="M157" s="1580"/>
      <c r="N157" s="1580"/>
      <c r="O157" s="1580"/>
      <c r="P157" s="1580"/>
      <c r="Q157" s="1580"/>
      <c r="R157" s="1580"/>
      <c r="S157" s="1580"/>
      <c r="T157" s="1580"/>
      <c r="U157" s="1580"/>
      <c r="V157" s="1580"/>
      <c r="W157" s="1580"/>
      <c r="X157" s="1580"/>
      <c r="Y157" s="1580"/>
      <c r="Z157" s="1580"/>
    </row>
    <row r="158" spans="1:26" ht="15.75" customHeight="1">
      <c r="A158" s="1580"/>
      <c r="B158" s="1603">
        <f t="shared" si="5"/>
        <v>18</v>
      </c>
      <c r="C158" s="1584" t="s">
        <v>861</v>
      </c>
      <c r="D158" s="1584" t="s">
        <v>851</v>
      </c>
      <c r="E158" s="1605">
        <v>43221</v>
      </c>
      <c r="F158" s="1650">
        <v>43252</v>
      </c>
      <c r="G158" s="1643">
        <v>43282</v>
      </c>
      <c r="H158" s="1637">
        <v>1</v>
      </c>
      <c r="I158" s="1584"/>
      <c r="J158" s="1609" t="s">
        <v>4644</v>
      </c>
      <c r="K158" s="1580"/>
      <c r="L158" s="1580"/>
      <c r="M158" s="1580"/>
      <c r="N158" s="1580"/>
      <c r="O158" s="1580"/>
      <c r="P158" s="1580"/>
      <c r="Q158" s="1580"/>
      <c r="R158" s="1580"/>
      <c r="S158" s="1580"/>
      <c r="T158" s="1580"/>
      <c r="U158" s="1580"/>
      <c r="V158" s="1580"/>
      <c r="W158" s="1580"/>
      <c r="X158" s="1580"/>
      <c r="Y158" s="1580"/>
      <c r="Z158" s="1580"/>
    </row>
    <row r="159" spans="1:26" ht="15.75" customHeight="1">
      <c r="A159" s="1580"/>
      <c r="B159" s="1603">
        <f t="shared" si="5"/>
        <v>19</v>
      </c>
      <c r="C159" s="1584" t="s">
        <v>1092</v>
      </c>
      <c r="D159" s="1584" t="s">
        <v>5861</v>
      </c>
      <c r="E159" s="1605">
        <v>43221</v>
      </c>
      <c r="F159" s="1650">
        <v>43252</v>
      </c>
      <c r="G159" s="1654">
        <v>43435</v>
      </c>
      <c r="H159" s="1637">
        <v>1</v>
      </c>
      <c r="I159" s="1584"/>
      <c r="J159" s="1608"/>
      <c r="K159" s="1580"/>
      <c r="L159" s="1580"/>
      <c r="M159" s="1580"/>
      <c r="N159" s="1580"/>
      <c r="O159" s="1580"/>
      <c r="P159" s="1580"/>
      <c r="Q159" s="1580"/>
      <c r="R159" s="1580"/>
      <c r="S159" s="1580"/>
      <c r="T159" s="1580"/>
      <c r="U159" s="1580"/>
      <c r="V159" s="1580"/>
      <c r="W159" s="1580"/>
      <c r="X159" s="1580"/>
      <c r="Y159" s="1580"/>
      <c r="Z159" s="1580"/>
    </row>
    <row r="160" spans="1:26" ht="15.75" customHeight="1">
      <c r="A160" s="1580"/>
      <c r="B160" s="1603">
        <f t="shared" si="5"/>
        <v>20</v>
      </c>
      <c r="C160" s="1584" t="s">
        <v>895</v>
      </c>
      <c r="D160" s="1584" t="s">
        <v>5862</v>
      </c>
      <c r="E160" s="1628">
        <v>43221</v>
      </c>
      <c r="F160" s="1655"/>
      <c r="G160" s="1656"/>
      <c r="H160" s="1608"/>
      <c r="I160" s="1584"/>
      <c r="J160" s="1609" t="s">
        <v>5863</v>
      </c>
      <c r="K160" s="1580"/>
      <c r="L160" s="1580"/>
      <c r="M160" s="1580"/>
      <c r="N160" s="1580"/>
      <c r="O160" s="1580"/>
      <c r="P160" s="1580"/>
      <c r="Q160" s="1580"/>
      <c r="R160" s="1580"/>
      <c r="S160" s="1580"/>
      <c r="T160" s="1580"/>
      <c r="U160" s="1580"/>
      <c r="V160" s="1580"/>
      <c r="W160" s="1580"/>
      <c r="X160" s="1580"/>
      <c r="Y160" s="1580"/>
      <c r="Z160" s="1580"/>
    </row>
    <row r="161" spans="1:26" ht="15.75" customHeight="1">
      <c r="A161" s="1580"/>
      <c r="B161" s="1603">
        <f t="shared" si="5"/>
        <v>21</v>
      </c>
      <c r="C161" s="1584" t="s">
        <v>2430</v>
      </c>
      <c r="D161" s="1584" t="s">
        <v>5864</v>
      </c>
      <c r="E161" s="1605">
        <v>43221</v>
      </c>
      <c r="F161" s="1650">
        <v>43252</v>
      </c>
      <c r="G161" s="1643">
        <v>43282</v>
      </c>
      <c r="H161" s="1637">
        <v>1</v>
      </c>
      <c r="I161" s="1584"/>
      <c r="J161" s="1609" t="s">
        <v>5865</v>
      </c>
      <c r="K161" s="1580"/>
      <c r="L161" s="1580"/>
      <c r="M161" s="1580"/>
      <c r="N161" s="1580"/>
      <c r="O161" s="1580"/>
      <c r="P161" s="1580"/>
      <c r="Q161" s="1580"/>
      <c r="R161" s="1580"/>
      <c r="S161" s="1580"/>
      <c r="T161" s="1580"/>
      <c r="U161" s="1580"/>
      <c r="V161" s="1580"/>
      <c r="W161" s="1580"/>
      <c r="X161" s="1580"/>
      <c r="Y161" s="1580"/>
      <c r="Z161" s="1580"/>
    </row>
    <row r="162" spans="1:26" ht="15.75" customHeight="1">
      <c r="A162" s="1580"/>
      <c r="B162" s="1603">
        <f t="shared" si="5"/>
        <v>22</v>
      </c>
      <c r="C162" s="1584" t="s">
        <v>246</v>
      </c>
      <c r="D162" s="1584" t="s">
        <v>5866</v>
      </c>
      <c r="E162" s="1650">
        <v>43221</v>
      </c>
      <c r="F162" s="1650">
        <v>43252</v>
      </c>
      <c r="G162" s="1643">
        <v>43282</v>
      </c>
      <c r="H162" s="1637">
        <v>1</v>
      </c>
      <c r="I162" s="1584"/>
      <c r="J162" s="1609" t="s">
        <v>5867</v>
      </c>
      <c r="K162" s="1580"/>
      <c r="L162" s="1580"/>
      <c r="M162" s="1580"/>
      <c r="N162" s="1580"/>
      <c r="O162" s="1580"/>
      <c r="P162" s="1580"/>
      <c r="Q162" s="1580"/>
      <c r="R162" s="1580"/>
      <c r="S162" s="1580"/>
      <c r="T162" s="1580"/>
      <c r="U162" s="1580"/>
      <c r="V162" s="1580"/>
      <c r="W162" s="1580"/>
      <c r="X162" s="1580"/>
      <c r="Y162" s="1580"/>
      <c r="Z162" s="1580"/>
    </row>
    <row r="163" spans="1:26" ht="15.75" customHeight="1">
      <c r="A163" s="1580"/>
      <c r="B163" s="1603">
        <f t="shared" si="5"/>
        <v>23</v>
      </c>
      <c r="C163" s="1584" t="s">
        <v>5868</v>
      </c>
      <c r="D163" s="1584" t="s">
        <v>5869</v>
      </c>
      <c r="E163" s="1650">
        <v>43221</v>
      </c>
      <c r="F163" s="1650">
        <v>43252</v>
      </c>
      <c r="G163" s="1643">
        <v>43282</v>
      </c>
      <c r="H163" s="1637">
        <v>1</v>
      </c>
      <c r="I163" s="1647" t="s">
        <v>5727</v>
      </c>
      <c r="J163" s="1608"/>
      <c r="K163" s="1580"/>
      <c r="L163" s="1580"/>
      <c r="M163" s="1580"/>
      <c r="N163" s="1580"/>
      <c r="O163" s="1580"/>
      <c r="P163" s="1580"/>
      <c r="Q163" s="1580"/>
      <c r="R163" s="1580"/>
      <c r="S163" s="1580"/>
      <c r="T163" s="1580"/>
      <c r="U163" s="1580"/>
      <c r="V163" s="1580"/>
      <c r="W163" s="1580"/>
      <c r="X163" s="1580"/>
      <c r="Y163" s="1580"/>
      <c r="Z163" s="1580"/>
    </row>
    <row r="164" spans="1:26" ht="15.75" customHeight="1">
      <c r="A164" s="1580"/>
      <c r="B164" s="1603">
        <f t="shared" si="5"/>
        <v>24</v>
      </c>
      <c r="C164" s="1584" t="s">
        <v>321</v>
      </c>
      <c r="D164" s="1584" t="s">
        <v>5787</v>
      </c>
      <c r="E164" s="1650">
        <v>43221</v>
      </c>
      <c r="F164" s="1650">
        <v>43252</v>
      </c>
      <c r="G164" s="1643">
        <v>43282</v>
      </c>
      <c r="H164" s="1637">
        <v>1</v>
      </c>
      <c r="I164" s="1584" t="s">
        <v>5727</v>
      </c>
      <c r="J164" s="1609" t="s">
        <v>5788</v>
      </c>
      <c r="K164" s="1580"/>
      <c r="L164" s="1580"/>
      <c r="M164" s="1580"/>
      <c r="N164" s="1580"/>
      <c r="O164" s="1580"/>
      <c r="P164" s="1580"/>
      <c r="Q164" s="1580"/>
      <c r="R164" s="1580"/>
      <c r="S164" s="1580"/>
      <c r="T164" s="1580"/>
      <c r="U164" s="1580"/>
      <c r="V164" s="1580"/>
      <c r="W164" s="1580"/>
      <c r="X164" s="1580"/>
      <c r="Y164" s="1580"/>
      <c r="Z164" s="1580"/>
    </row>
    <row r="165" spans="1:26" ht="15.75" customHeight="1">
      <c r="A165" s="1580"/>
      <c r="B165" s="1603">
        <f t="shared" si="5"/>
        <v>25</v>
      </c>
      <c r="C165" s="1584" t="s">
        <v>679</v>
      </c>
      <c r="D165" s="1584" t="s">
        <v>5870</v>
      </c>
      <c r="E165" s="1648">
        <v>43221</v>
      </c>
      <c r="F165" s="1648">
        <v>43252</v>
      </c>
      <c r="G165" s="1654">
        <v>43435</v>
      </c>
      <c r="H165" s="1649">
        <v>1</v>
      </c>
      <c r="I165" s="1584"/>
      <c r="J165" s="1608" t="s">
        <v>5871</v>
      </c>
      <c r="K165" s="1580"/>
      <c r="L165" s="1580"/>
      <c r="M165" s="1580"/>
      <c r="N165" s="1580"/>
      <c r="O165" s="1580"/>
      <c r="P165" s="1580"/>
      <c r="Q165" s="1580"/>
      <c r="R165" s="1580"/>
      <c r="S165" s="1580"/>
      <c r="T165" s="1580"/>
      <c r="U165" s="1580"/>
      <c r="V165" s="1580"/>
      <c r="W165" s="1580"/>
      <c r="X165" s="1580"/>
      <c r="Y165" s="1580"/>
      <c r="Z165" s="1580"/>
    </row>
    <row r="166" spans="1:26" ht="15.75" customHeight="1">
      <c r="A166" s="1580"/>
      <c r="B166" s="1603">
        <f t="shared" si="5"/>
        <v>26</v>
      </c>
      <c r="C166" s="1584" t="s">
        <v>398</v>
      </c>
      <c r="D166" s="1584" t="s">
        <v>5872</v>
      </c>
      <c r="E166" s="1650">
        <v>43221</v>
      </c>
      <c r="F166" s="1650">
        <v>43252</v>
      </c>
      <c r="G166" s="1643">
        <v>43282</v>
      </c>
      <c r="H166" s="1637">
        <v>1</v>
      </c>
      <c r="I166" s="1584"/>
      <c r="J166" s="1609" t="s">
        <v>5873</v>
      </c>
      <c r="K166" s="1580"/>
      <c r="L166" s="1580"/>
      <c r="M166" s="1580"/>
      <c r="N166" s="1580"/>
      <c r="O166" s="1580"/>
      <c r="P166" s="1580"/>
      <c r="Q166" s="1580"/>
      <c r="R166" s="1580"/>
      <c r="S166" s="1580"/>
      <c r="T166" s="1580"/>
      <c r="U166" s="1580"/>
      <c r="V166" s="1580"/>
      <c r="W166" s="1580"/>
      <c r="X166" s="1580"/>
      <c r="Y166" s="1580"/>
      <c r="Z166" s="1580"/>
    </row>
    <row r="167" spans="1:26" ht="15.75" customHeight="1">
      <c r="A167" s="1580"/>
      <c r="B167" s="1603">
        <f t="shared" si="5"/>
        <v>27</v>
      </c>
      <c r="C167" s="1584" t="s">
        <v>321</v>
      </c>
      <c r="D167" s="1584" t="s">
        <v>5874</v>
      </c>
      <c r="E167" s="1650">
        <v>43221</v>
      </c>
      <c r="F167" s="1650">
        <v>43252</v>
      </c>
      <c r="G167" s="1643">
        <v>43282</v>
      </c>
      <c r="H167" s="1637">
        <v>1</v>
      </c>
      <c r="I167" s="1584"/>
      <c r="J167" s="1609" t="s">
        <v>5875</v>
      </c>
      <c r="K167" s="1580"/>
      <c r="L167" s="1580"/>
      <c r="M167" s="1580"/>
      <c r="N167" s="1580"/>
      <c r="O167" s="1580"/>
      <c r="P167" s="1580"/>
      <c r="Q167" s="1580"/>
      <c r="R167" s="1580"/>
      <c r="S167" s="1580"/>
      <c r="T167" s="1580"/>
      <c r="U167" s="1580"/>
      <c r="V167" s="1580"/>
      <c r="W167" s="1580"/>
      <c r="X167" s="1580"/>
      <c r="Y167" s="1580"/>
      <c r="Z167" s="1580"/>
    </row>
    <row r="168" spans="1:26" ht="15.75" customHeight="1">
      <c r="A168" s="1580"/>
      <c r="B168" s="1603">
        <f t="shared" si="5"/>
        <v>28</v>
      </c>
      <c r="C168" s="1584" t="s">
        <v>5876</v>
      </c>
      <c r="D168" s="1584" t="s">
        <v>5877</v>
      </c>
      <c r="E168" s="1650">
        <v>43221</v>
      </c>
      <c r="F168" s="1650">
        <v>43252</v>
      </c>
      <c r="G168" s="1643">
        <v>43282</v>
      </c>
      <c r="H168" s="1637">
        <v>1</v>
      </c>
      <c r="I168" s="1584"/>
      <c r="J168" s="1609" t="s">
        <v>5878</v>
      </c>
      <c r="K168" s="1580"/>
      <c r="L168" s="1580"/>
      <c r="M168" s="1580"/>
      <c r="N168" s="1580"/>
      <c r="O168" s="1580"/>
      <c r="P168" s="1580"/>
      <c r="Q168" s="1580"/>
      <c r="R168" s="1580"/>
      <c r="S168" s="1580"/>
      <c r="T168" s="1580"/>
      <c r="U168" s="1580"/>
      <c r="V168" s="1580"/>
      <c r="W168" s="1580"/>
      <c r="X168" s="1580"/>
      <c r="Y168" s="1580"/>
      <c r="Z168" s="1580"/>
    </row>
    <row r="169" spans="1:26" ht="15.75" customHeight="1">
      <c r="A169" s="1580"/>
      <c r="B169" s="1603">
        <f t="shared" si="5"/>
        <v>29</v>
      </c>
      <c r="C169" s="1584" t="s">
        <v>5738</v>
      </c>
      <c r="D169" s="1584" t="s">
        <v>5739</v>
      </c>
      <c r="E169" s="1650">
        <v>43221</v>
      </c>
      <c r="F169" s="1650">
        <v>43252</v>
      </c>
      <c r="G169" s="1643">
        <v>43282</v>
      </c>
      <c r="H169" s="1637">
        <v>1</v>
      </c>
      <c r="I169" s="1584" t="s">
        <v>5806</v>
      </c>
      <c r="J169" s="1608" t="s">
        <v>5740</v>
      </c>
      <c r="K169" s="1580"/>
      <c r="L169" s="1580"/>
      <c r="M169" s="1580"/>
      <c r="N169" s="1580"/>
      <c r="O169" s="1580"/>
      <c r="P169" s="1580"/>
      <c r="Q169" s="1580"/>
      <c r="R169" s="1580"/>
      <c r="S169" s="1580"/>
      <c r="T169" s="1580"/>
      <c r="U169" s="1580"/>
      <c r="V169" s="1580"/>
      <c r="W169" s="1580"/>
      <c r="X169" s="1580"/>
      <c r="Y169" s="1580"/>
      <c r="Z169" s="1580"/>
    </row>
    <row r="170" spans="1:26" ht="15.75" customHeight="1">
      <c r="A170" s="1580"/>
      <c r="B170" s="1603">
        <f t="shared" si="5"/>
        <v>30</v>
      </c>
      <c r="C170" s="1584" t="s">
        <v>563</v>
      </c>
      <c r="D170" s="1584" t="s">
        <v>5879</v>
      </c>
      <c r="E170" s="1650">
        <v>43221</v>
      </c>
      <c r="F170" s="1650">
        <v>43252</v>
      </c>
      <c r="G170" s="1643">
        <v>43282</v>
      </c>
      <c r="H170" s="1637">
        <v>1</v>
      </c>
      <c r="I170" s="1584"/>
      <c r="J170" s="1608" t="s">
        <v>5880</v>
      </c>
      <c r="K170" s="1580"/>
      <c r="L170" s="1580"/>
      <c r="M170" s="1580"/>
      <c r="N170" s="1580"/>
      <c r="O170" s="1580"/>
      <c r="P170" s="1580"/>
      <c r="Q170" s="1580"/>
      <c r="R170" s="1580"/>
      <c r="S170" s="1580"/>
      <c r="T170" s="1580"/>
      <c r="U170" s="1580"/>
      <c r="V170" s="1580"/>
      <c r="W170" s="1580"/>
      <c r="X170" s="1580"/>
      <c r="Y170" s="1580"/>
      <c r="Z170" s="1580"/>
    </row>
    <row r="171" spans="1:26" ht="15.75" customHeight="1">
      <c r="A171" s="1580"/>
      <c r="B171" s="1603">
        <f t="shared" si="5"/>
        <v>31</v>
      </c>
      <c r="C171" s="1584" t="s">
        <v>1622</v>
      </c>
      <c r="D171" s="1584" t="s">
        <v>5881</v>
      </c>
      <c r="E171" s="1650">
        <v>43221</v>
      </c>
      <c r="F171" s="1650">
        <v>43252</v>
      </c>
      <c r="G171" s="1606">
        <v>43435</v>
      </c>
      <c r="H171" s="1637">
        <v>1</v>
      </c>
      <c r="I171" s="1584"/>
      <c r="J171" s="1608" t="s">
        <v>5882</v>
      </c>
      <c r="K171" s="1580"/>
      <c r="L171" s="1580"/>
      <c r="M171" s="1580"/>
      <c r="N171" s="1580"/>
      <c r="O171" s="1580"/>
      <c r="P171" s="1580"/>
      <c r="Q171" s="1580"/>
      <c r="R171" s="1580"/>
      <c r="S171" s="1580"/>
      <c r="T171" s="1580"/>
      <c r="U171" s="1580"/>
      <c r="V171" s="1580"/>
      <c r="W171" s="1580"/>
      <c r="X171" s="1580"/>
      <c r="Y171" s="1580"/>
      <c r="Z171" s="1580"/>
    </row>
    <row r="172" spans="1:26" ht="15.75" customHeight="1">
      <c r="A172" s="1580"/>
      <c r="B172" s="1603">
        <f t="shared" si="5"/>
        <v>32</v>
      </c>
      <c r="C172" s="1584" t="s">
        <v>5883</v>
      </c>
      <c r="D172" s="1584" t="s">
        <v>5884</v>
      </c>
      <c r="E172" s="1650">
        <v>43221</v>
      </c>
      <c r="F172" s="1650">
        <v>43252</v>
      </c>
      <c r="G172" s="1657">
        <v>43435</v>
      </c>
      <c r="H172" s="1649">
        <v>1</v>
      </c>
      <c r="I172" s="1584"/>
      <c r="J172" s="1609" t="s">
        <v>5885</v>
      </c>
      <c r="K172" s="1580"/>
      <c r="L172" s="1580"/>
      <c r="M172" s="1580"/>
      <c r="N172" s="1580"/>
      <c r="O172" s="1580"/>
      <c r="P172" s="1580"/>
      <c r="Q172" s="1580"/>
      <c r="R172" s="1580"/>
      <c r="S172" s="1580"/>
      <c r="T172" s="1580"/>
      <c r="U172" s="1580"/>
      <c r="V172" s="1580"/>
      <c r="W172" s="1580"/>
      <c r="X172" s="1580"/>
      <c r="Y172" s="1580"/>
      <c r="Z172" s="1580"/>
    </row>
    <row r="173" spans="1:26" ht="15.75" customHeight="1">
      <c r="A173" s="1580"/>
      <c r="B173" s="1603">
        <f t="shared" si="5"/>
        <v>33</v>
      </c>
      <c r="C173" s="1584" t="s">
        <v>2469</v>
      </c>
      <c r="D173" s="1584" t="s">
        <v>5886</v>
      </c>
      <c r="E173" s="1650">
        <v>43221</v>
      </c>
      <c r="F173" s="1650">
        <v>43252</v>
      </c>
      <c r="G173" s="1643">
        <v>43282</v>
      </c>
      <c r="H173" s="1637">
        <v>1</v>
      </c>
      <c r="I173" s="1584"/>
      <c r="J173" s="1608" t="s">
        <v>5887</v>
      </c>
      <c r="K173" s="1580"/>
      <c r="L173" s="1580"/>
      <c r="M173" s="1580"/>
      <c r="N173" s="1580"/>
      <c r="O173" s="1580"/>
      <c r="P173" s="1580"/>
      <c r="Q173" s="1580"/>
      <c r="R173" s="1580"/>
      <c r="S173" s="1580"/>
      <c r="T173" s="1580"/>
      <c r="U173" s="1580"/>
      <c r="V173" s="1580"/>
      <c r="W173" s="1580"/>
      <c r="X173" s="1580"/>
      <c r="Y173" s="1580"/>
      <c r="Z173" s="1580"/>
    </row>
    <row r="174" spans="1:26" ht="15.75" customHeight="1">
      <c r="A174" s="1580"/>
      <c r="B174" s="1603">
        <f t="shared" si="5"/>
        <v>34</v>
      </c>
      <c r="C174" s="1584" t="s">
        <v>857</v>
      </c>
      <c r="D174" s="1584" t="s">
        <v>5888</v>
      </c>
      <c r="E174" s="1648">
        <v>43221</v>
      </c>
      <c r="F174" s="1648">
        <v>43252</v>
      </c>
      <c r="G174" s="1654">
        <v>43435</v>
      </c>
      <c r="H174" s="1649">
        <v>1</v>
      </c>
      <c r="I174" s="1584"/>
      <c r="J174" s="1608" t="s">
        <v>5889</v>
      </c>
      <c r="K174" s="1580"/>
      <c r="L174" s="1580"/>
      <c r="M174" s="1580"/>
      <c r="N174" s="1580"/>
      <c r="O174" s="1580"/>
      <c r="P174" s="1580"/>
      <c r="Q174" s="1580"/>
      <c r="R174" s="1580"/>
      <c r="S174" s="1580"/>
      <c r="T174" s="1580"/>
      <c r="U174" s="1580"/>
      <c r="V174" s="1580"/>
      <c r="W174" s="1580"/>
      <c r="X174" s="1580"/>
      <c r="Y174" s="1580"/>
      <c r="Z174" s="1580"/>
    </row>
    <row r="175" spans="1:26" ht="15.75" customHeight="1">
      <c r="A175" s="1580"/>
      <c r="B175" s="1603">
        <f t="shared" si="5"/>
        <v>35</v>
      </c>
      <c r="C175" s="1584" t="s">
        <v>167</v>
      </c>
      <c r="D175" s="1584" t="s">
        <v>5890</v>
      </c>
      <c r="E175" s="1650">
        <v>43221</v>
      </c>
      <c r="F175" s="1658">
        <v>43405</v>
      </c>
      <c r="G175" s="1643">
        <v>43282</v>
      </c>
      <c r="H175" s="1649">
        <v>1</v>
      </c>
      <c r="I175" s="1584"/>
      <c r="J175" s="1608"/>
      <c r="K175" s="1580"/>
      <c r="L175" s="1580"/>
      <c r="M175" s="1580"/>
      <c r="N175" s="1580"/>
      <c r="O175" s="1580"/>
      <c r="P175" s="1580"/>
      <c r="Q175" s="1580"/>
      <c r="R175" s="1580"/>
      <c r="S175" s="1580"/>
      <c r="T175" s="1580"/>
      <c r="U175" s="1580"/>
      <c r="V175" s="1580"/>
      <c r="W175" s="1580"/>
      <c r="X175" s="1580"/>
      <c r="Y175" s="1580"/>
      <c r="Z175" s="1580"/>
    </row>
    <row r="176" spans="1:26" ht="15.75" customHeight="1">
      <c r="A176" s="1580"/>
      <c r="B176" s="1603">
        <f t="shared" si="5"/>
        <v>36</v>
      </c>
      <c r="C176" s="1584" t="s">
        <v>2464</v>
      </c>
      <c r="D176" s="1584" t="s">
        <v>2465</v>
      </c>
      <c r="E176" s="1650">
        <v>43221</v>
      </c>
      <c r="F176" s="1650">
        <v>43252</v>
      </c>
      <c r="G176" s="1643">
        <v>43282</v>
      </c>
      <c r="H176" s="1637">
        <v>1</v>
      </c>
      <c r="I176" s="1584"/>
      <c r="J176" s="1609" t="s">
        <v>2466</v>
      </c>
      <c r="K176" s="1580"/>
      <c r="L176" s="1580"/>
      <c r="M176" s="1580"/>
      <c r="N176" s="1580"/>
      <c r="O176" s="1580"/>
      <c r="P176" s="1580"/>
      <c r="Q176" s="1580"/>
      <c r="R176" s="1580"/>
      <c r="S176" s="1580"/>
      <c r="T176" s="1580"/>
      <c r="U176" s="1580"/>
      <c r="V176" s="1580"/>
      <c r="W176" s="1580"/>
      <c r="X176" s="1580"/>
      <c r="Y176" s="1580"/>
      <c r="Z176" s="1580"/>
    </row>
    <row r="177" spans="1:26" ht="15.75" customHeight="1">
      <c r="A177" s="1580"/>
      <c r="B177" s="1603">
        <f t="shared" si="5"/>
        <v>37</v>
      </c>
      <c r="C177" s="1584" t="s">
        <v>912</v>
      </c>
      <c r="D177" s="1584" t="s">
        <v>5891</v>
      </c>
      <c r="E177" s="1650">
        <v>43221</v>
      </c>
      <c r="F177" s="1650">
        <v>43252</v>
      </c>
      <c r="G177" s="1643">
        <v>43282</v>
      </c>
      <c r="H177" s="1637">
        <v>1</v>
      </c>
      <c r="I177" s="1584"/>
      <c r="J177" s="1608" t="s">
        <v>5892</v>
      </c>
      <c r="K177" s="1580"/>
      <c r="L177" s="1580"/>
      <c r="M177" s="1580"/>
      <c r="N177" s="1580"/>
      <c r="O177" s="1580"/>
      <c r="P177" s="1580"/>
      <c r="Q177" s="1580"/>
      <c r="R177" s="1580"/>
      <c r="S177" s="1580"/>
      <c r="T177" s="1580"/>
      <c r="U177" s="1580"/>
      <c r="V177" s="1580"/>
      <c r="W177" s="1580"/>
      <c r="X177" s="1580"/>
      <c r="Y177" s="1580"/>
      <c r="Z177" s="1580"/>
    </row>
    <row r="178" spans="1:26" ht="15.75" customHeight="1">
      <c r="A178" s="1580"/>
      <c r="B178" s="1603">
        <f t="shared" si="5"/>
        <v>38</v>
      </c>
      <c r="C178" s="1584" t="s">
        <v>769</v>
      </c>
      <c r="D178" s="1584" t="s">
        <v>2987</v>
      </c>
      <c r="E178" s="1650">
        <v>43221</v>
      </c>
      <c r="F178" s="1650">
        <v>43252</v>
      </c>
      <c r="G178" s="1643">
        <v>43282</v>
      </c>
      <c r="H178" s="1637">
        <v>1</v>
      </c>
      <c r="I178" s="1584"/>
      <c r="J178" s="1608" t="s">
        <v>4603</v>
      </c>
      <c r="K178" s="1580"/>
      <c r="L178" s="1580"/>
      <c r="M178" s="1580"/>
      <c r="N178" s="1580"/>
      <c r="O178" s="1580"/>
      <c r="P178" s="1580"/>
      <c r="Q178" s="1580"/>
      <c r="R178" s="1580"/>
      <c r="S178" s="1580"/>
      <c r="T178" s="1580"/>
      <c r="U178" s="1580"/>
      <c r="V178" s="1580"/>
      <c r="W178" s="1580"/>
      <c r="X178" s="1580"/>
      <c r="Y178" s="1580"/>
      <c r="Z178" s="1580"/>
    </row>
    <row r="179" spans="1:26" ht="15.75" customHeight="1">
      <c r="A179" s="1580"/>
      <c r="B179" s="1603">
        <f t="shared" si="5"/>
        <v>39</v>
      </c>
      <c r="C179" s="1584" t="s">
        <v>785</v>
      </c>
      <c r="D179" s="1584" t="s">
        <v>2365</v>
      </c>
      <c r="E179" s="1659">
        <v>43221</v>
      </c>
      <c r="F179" s="1659"/>
      <c r="G179" s="1630"/>
      <c r="H179" s="1641"/>
      <c r="I179" s="1584" t="s">
        <v>5727</v>
      </c>
      <c r="J179" s="1608" t="s">
        <v>2366</v>
      </c>
      <c r="K179" s="1580"/>
      <c r="L179" s="1580"/>
      <c r="M179" s="1580"/>
      <c r="N179" s="1580"/>
      <c r="O179" s="1580"/>
      <c r="P179" s="1580"/>
      <c r="Q179" s="1580"/>
      <c r="R179" s="1580"/>
      <c r="S179" s="1580"/>
      <c r="T179" s="1580"/>
      <c r="U179" s="1580"/>
      <c r="V179" s="1580"/>
      <c r="W179" s="1580"/>
      <c r="X179" s="1580"/>
      <c r="Y179" s="1580"/>
      <c r="Z179" s="1580"/>
    </row>
    <row r="180" spans="1:26" ht="15.75" customHeight="1">
      <c r="A180" s="1580"/>
      <c r="B180" s="1603">
        <f t="shared" si="5"/>
        <v>40</v>
      </c>
      <c r="C180" s="1584" t="s">
        <v>166</v>
      </c>
      <c r="D180" s="1584" t="s">
        <v>5893</v>
      </c>
      <c r="E180" s="1659">
        <v>43221</v>
      </c>
      <c r="F180" s="1580"/>
      <c r="G180" s="1660"/>
      <c r="H180" s="1608"/>
      <c r="I180" s="1584"/>
      <c r="J180" s="1609" t="s">
        <v>5894</v>
      </c>
      <c r="K180" s="1580"/>
      <c r="L180" s="1580"/>
      <c r="M180" s="1580"/>
      <c r="N180" s="1580"/>
      <c r="O180" s="1580"/>
      <c r="P180" s="1580"/>
      <c r="Q180" s="1580"/>
      <c r="R180" s="1580"/>
      <c r="S180" s="1580"/>
      <c r="T180" s="1580"/>
      <c r="U180" s="1580"/>
      <c r="V180" s="1580"/>
      <c r="W180" s="1580"/>
      <c r="X180" s="1580"/>
      <c r="Y180" s="1580"/>
      <c r="Z180" s="1580"/>
    </row>
    <row r="181" spans="1:26" ht="15.75" customHeight="1">
      <c r="A181" s="1580"/>
      <c r="B181" s="1603">
        <f t="shared" si="5"/>
        <v>41</v>
      </c>
      <c r="C181" s="1584" t="s">
        <v>246</v>
      </c>
      <c r="D181" s="1584" t="s">
        <v>5821</v>
      </c>
      <c r="E181" s="1638">
        <v>43739</v>
      </c>
      <c r="F181" s="1638">
        <v>43252</v>
      </c>
      <c r="G181" s="1660"/>
      <c r="H181" s="1608"/>
      <c r="I181" s="1584" t="s">
        <v>5727</v>
      </c>
      <c r="J181" s="1609" t="s">
        <v>5822</v>
      </c>
      <c r="K181" s="1580"/>
      <c r="L181" s="1580"/>
      <c r="M181" s="1580"/>
      <c r="N181" s="1580"/>
      <c r="O181" s="1580"/>
      <c r="P181" s="1580"/>
      <c r="Q181" s="1580"/>
      <c r="R181" s="1580"/>
      <c r="S181" s="1580"/>
      <c r="T181" s="1580"/>
      <c r="U181" s="1580"/>
      <c r="V181" s="1580"/>
      <c r="W181" s="1580"/>
      <c r="X181" s="1580"/>
      <c r="Y181" s="1580"/>
      <c r="Z181" s="1580"/>
    </row>
    <row r="182" spans="1:26" ht="15.75" customHeight="1">
      <c r="A182" s="1580"/>
      <c r="B182" s="1603">
        <f t="shared" si="5"/>
        <v>42</v>
      </c>
      <c r="C182" s="1584" t="s">
        <v>407</v>
      </c>
      <c r="D182" s="1584" t="s">
        <v>5895</v>
      </c>
      <c r="E182" s="1648">
        <v>43221</v>
      </c>
      <c r="F182" s="1648">
        <v>43252</v>
      </c>
      <c r="G182" s="1654">
        <v>43435</v>
      </c>
      <c r="H182" s="1649">
        <v>1</v>
      </c>
      <c r="I182" s="1584"/>
      <c r="J182" s="1609" t="s">
        <v>5896</v>
      </c>
      <c r="K182" s="1580"/>
      <c r="L182" s="1580"/>
      <c r="M182" s="1580"/>
      <c r="N182" s="1580"/>
      <c r="O182" s="1580"/>
      <c r="P182" s="1580"/>
      <c r="Q182" s="1580"/>
      <c r="R182" s="1580"/>
      <c r="S182" s="1580"/>
      <c r="T182" s="1580"/>
      <c r="U182" s="1580"/>
      <c r="V182" s="1580"/>
      <c r="W182" s="1580"/>
      <c r="X182" s="1580"/>
      <c r="Y182" s="1580"/>
      <c r="Z182" s="1580"/>
    </row>
    <row r="183" spans="1:26" ht="15.75" customHeight="1">
      <c r="A183" s="1580"/>
      <c r="B183" s="1603">
        <f t="shared" si="5"/>
        <v>43</v>
      </c>
      <c r="C183" s="1584" t="s">
        <v>451</v>
      </c>
      <c r="D183" s="1584" t="s">
        <v>1916</v>
      </c>
      <c r="E183" s="1647"/>
      <c r="F183" s="1659">
        <v>43252</v>
      </c>
      <c r="G183" s="1645">
        <v>43282</v>
      </c>
      <c r="H183" s="1661"/>
      <c r="I183" s="1584"/>
      <c r="J183" s="1608" t="s">
        <v>5897</v>
      </c>
      <c r="K183" s="1580"/>
      <c r="L183" s="1580"/>
      <c r="M183" s="1580"/>
      <c r="N183" s="1580"/>
      <c r="O183" s="1580"/>
      <c r="P183" s="1580"/>
      <c r="Q183" s="1580"/>
      <c r="R183" s="1580"/>
      <c r="S183" s="1580"/>
      <c r="T183" s="1580"/>
      <c r="U183" s="1580"/>
      <c r="V183" s="1580"/>
      <c r="W183" s="1580"/>
      <c r="X183" s="1580"/>
      <c r="Y183" s="1580"/>
      <c r="Z183" s="1580"/>
    </row>
    <row r="184" spans="1:26" ht="15.75" customHeight="1">
      <c r="A184" s="1580"/>
      <c r="B184" s="1603">
        <f t="shared" si="5"/>
        <v>44</v>
      </c>
      <c r="C184" s="1584" t="s">
        <v>5898</v>
      </c>
      <c r="D184" s="1584" t="s">
        <v>4249</v>
      </c>
      <c r="E184" s="1628">
        <v>43221</v>
      </c>
      <c r="F184" s="1655"/>
      <c r="G184" s="1656"/>
      <c r="H184" s="1603"/>
      <c r="I184" s="1584"/>
      <c r="J184" s="1608"/>
      <c r="K184" s="1580"/>
      <c r="L184" s="1580"/>
      <c r="M184" s="1580"/>
      <c r="N184" s="1580"/>
      <c r="O184" s="1580"/>
      <c r="P184" s="1580"/>
      <c r="Q184" s="1580"/>
      <c r="R184" s="1580"/>
      <c r="S184" s="1580"/>
      <c r="T184" s="1580"/>
      <c r="U184" s="1580"/>
      <c r="V184" s="1580"/>
      <c r="W184" s="1580"/>
      <c r="X184" s="1580"/>
      <c r="Y184" s="1580"/>
      <c r="Z184" s="1580"/>
    </row>
    <row r="185" spans="1:26" ht="15.75" customHeight="1">
      <c r="A185" s="1580"/>
      <c r="B185" s="1603">
        <f t="shared" si="5"/>
        <v>45</v>
      </c>
      <c r="C185" s="1584" t="s">
        <v>300</v>
      </c>
      <c r="D185" s="1584" t="s">
        <v>5899</v>
      </c>
      <c r="E185" s="1650">
        <v>43221</v>
      </c>
      <c r="F185" s="1650">
        <v>43252</v>
      </c>
      <c r="G185" s="1643">
        <v>43282</v>
      </c>
      <c r="H185" s="1642">
        <v>1</v>
      </c>
      <c r="I185" s="1584"/>
      <c r="J185" s="1609" t="s">
        <v>5900</v>
      </c>
      <c r="K185" s="1580"/>
      <c r="L185" s="1580"/>
      <c r="M185" s="1580"/>
      <c r="N185" s="1580"/>
      <c r="O185" s="1580"/>
      <c r="P185" s="1580"/>
      <c r="Q185" s="1580"/>
      <c r="R185" s="1580"/>
      <c r="S185" s="1580"/>
      <c r="T185" s="1580"/>
      <c r="U185" s="1580"/>
      <c r="V185" s="1580"/>
      <c r="W185" s="1580"/>
      <c r="X185" s="1580"/>
      <c r="Y185" s="1580"/>
      <c r="Z185" s="1580"/>
    </row>
    <row r="186" spans="1:26" ht="15.75" customHeight="1">
      <c r="A186" s="1580"/>
      <c r="B186" s="1603">
        <f t="shared" si="5"/>
        <v>46</v>
      </c>
      <c r="C186" s="1584" t="s">
        <v>290</v>
      </c>
      <c r="D186" s="1584" t="s">
        <v>5826</v>
      </c>
      <c r="E186" s="1659">
        <v>43221</v>
      </c>
      <c r="F186" s="1659">
        <v>43252</v>
      </c>
      <c r="G186" s="1630"/>
      <c r="H186" s="1638"/>
      <c r="I186" s="1584" t="s">
        <v>5806</v>
      </c>
      <c r="J186" s="1609" t="s">
        <v>5827</v>
      </c>
      <c r="K186" s="1580"/>
      <c r="L186" s="1580"/>
      <c r="M186" s="1580"/>
      <c r="N186" s="1580"/>
      <c r="O186" s="1580"/>
      <c r="P186" s="1580"/>
      <c r="Q186" s="1580"/>
      <c r="R186" s="1580"/>
      <c r="S186" s="1580"/>
      <c r="T186" s="1580"/>
      <c r="U186" s="1580"/>
      <c r="V186" s="1580"/>
      <c r="W186" s="1580"/>
      <c r="X186" s="1580"/>
      <c r="Y186" s="1580"/>
      <c r="Z186" s="1580"/>
    </row>
    <row r="187" spans="1:26" ht="15.75" customHeight="1">
      <c r="A187" s="1580"/>
      <c r="B187" s="1603">
        <f t="shared" si="5"/>
        <v>47</v>
      </c>
      <c r="C187" s="1584" t="s">
        <v>5901</v>
      </c>
      <c r="D187" s="1584" t="s">
        <v>5902</v>
      </c>
      <c r="E187" s="1650">
        <v>43221</v>
      </c>
      <c r="F187" s="1650">
        <v>43252</v>
      </c>
      <c r="G187" s="1662">
        <v>43800</v>
      </c>
      <c r="H187" s="1608">
        <v>1</v>
      </c>
      <c r="I187" s="1584" t="s">
        <v>5727</v>
      </c>
      <c r="J187" s="1608" t="s">
        <v>5903</v>
      </c>
      <c r="K187" s="1580"/>
      <c r="L187" s="1580"/>
      <c r="M187" s="1580"/>
      <c r="N187" s="1580"/>
      <c r="O187" s="1580"/>
      <c r="P187" s="1580"/>
      <c r="Q187" s="1580"/>
      <c r="R187" s="1580"/>
      <c r="S187" s="1580"/>
      <c r="T187" s="1580"/>
      <c r="U187" s="1580"/>
      <c r="V187" s="1580"/>
      <c r="W187" s="1580"/>
      <c r="X187" s="1580"/>
      <c r="Y187" s="1580"/>
      <c r="Z187" s="1580"/>
    </row>
    <row r="188" spans="1:26" ht="15.75" customHeight="1">
      <c r="A188" s="1580"/>
      <c r="B188" s="1616">
        <f t="shared" si="5"/>
        <v>48</v>
      </c>
      <c r="C188" s="1617" t="s">
        <v>822</v>
      </c>
      <c r="D188" s="1617" t="s">
        <v>5662</v>
      </c>
      <c r="E188" s="1663"/>
      <c r="F188" s="1664">
        <v>43252</v>
      </c>
      <c r="G188" s="1665"/>
      <c r="H188" s="1666"/>
      <c r="I188" s="1667" t="s">
        <v>5727</v>
      </c>
      <c r="J188" s="1631" t="s">
        <v>5663</v>
      </c>
      <c r="K188" s="1580"/>
      <c r="L188" s="1580"/>
      <c r="M188" s="1580"/>
      <c r="N188" s="1580"/>
      <c r="O188" s="1580"/>
      <c r="P188" s="1580"/>
      <c r="Q188" s="1580"/>
      <c r="R188" s="1580"/>
      <c r="S188" s="1580"/>
      <c r="T188" s="1580"/>
      <c r="U188" s="1580"/>
      <c r="V188" s="1580"/>
      <c r="W188" s="1580"/>
      <c r="X188" s="1580"/>
      <c r="Y188" s="1580"/>
      <c r="Z188" s="1580"/>
    </row>
    <row r="189" spans="1:26" ht="15.75" customHeight="1">
      <c r="A189" s="1580"/>
      <c r="B189" s="1668">
        <v>1</v>
      </c>
      <c r="C189" s="1596" t="s">
        <v>2175</v>
      </c>
      <c r="D189" s="1596" t="s">
        <v>5829</v>
      </c>
      <c r="E189" s="1669">
        <v>43374</v>
      </c>
      <c r="F189" s="1669">
        <v>43405</v>
      </c>
      <c r="G189" s="1662">
        <v>43435</v>
      </c>
      <c r="H189" s="1670">
        <v>1</v>
      </c>
      <c r="I189" s="1596" t="s">
        <v>5727</v>
      </c>
      <c r="J189" s="1627" t="s">
        <v>5830</v>
      </c>
      <c r="K189" s="1580"/>
      <c r="L189" s="1580"/>
      <c r="M189" s="1580"/>
      <c r="N189" s="1580"/>
      <c r="O189" s="1580"/>
      <c r="P189" s="1580"/>
      <c r="Q189" s="1580"/>
      <c r="R189" s="1580"/>
      <c r="S189" s="1602"/>
      <c r="T189" s="1580"/>
      <c r="U189" s="1580"/>
      <c r="V189" s="1580"/>
      <c r="W189" s="1580"/>
      <c r="X189" s="1580"/>
      <c r="Y189" s="1580"/>
      <c r="Z189" s="1580"/>
    </row>
    <row r="190" spans="1:26" ht="15.75" customHeight="1">
      <c r="A190" s="1580"/>
      <c r="B190" s="1671">
        <f t="shared" ref="B190:B261" si="6">B189+1</f>
        <v>2</v>
      </c>
      <c r="C190" s="1584" t="s">
        <v>246</v>
      </c>
      <c r="D190" s="1584" t="s">
        <v>5904</v>
      </c>
      <c r="E190" s="1648">
        <v>43374</v>
      </c>
      <c r="F190" s="1648">
        <v>43405</v>
      </c>
      <c r="G190" s="1654">
        <v>43435</v>
      </c>
      <c r="H190" s="1672">
        <v>1</v>
      </c>
      <c r="I190" s="1584"/>
      <c r="J190" s="1609" t="s">
        <v>5905</v>
      </c>
      <c r="K190" s="1580"/>
      <c r="L190" s="1580"/>
      <c r="M190" s="1580"/>
      <c r="N190" s="1580"/>
      <c r="O190" s="1580"/>
      <c r="P190" s="1580"/>
      <c r="Q190" s="1580"/>
      <c r="R190" s="1580"/>
      <c r="S190" s="1602"/>
      <c r="T190" s="1580"/>
      <c r="U190" s="1580"/>
      <c r="V190" s="1580"/>
      <c r="W190" s="1580"/>
      <c r="X190" s="1580"/>
      <c r="Y190" s="1580"/>
      <c r="Z190" s="1580"/>
    </row>
    <row r="191" spans="1:26" ht="15.75" customHeight="1">
      <c r="A191" s="1580"/>
      <c r="B191" s="1671">
        <f t="shared" si="6"/>
        <v>3</v>
      </c>
      <c r="C191" s="1584" t="s">
        <v>977</v>
      </c>
      <c r="D191" s="1584" t="s">
        <v>177</v>
      </c>
      <c r="E191" s="1648">
        <v>43374</v>
      </c>
      <c r="F191" s="1648">
        <v>43405</v>
      </c>
      <c r="G191" s="1654">
        <v>43435</v>
      </c>
      <c r="H191" s="1672">
        <v>1</v>
      </c>
      <c r="I191" s="1584"/>
      <c r="J191" s="1609" t="s">
        <v>5906</v>
      </c>
      <c r="K191" s="1580"/>
      <c r="L191" s="1580"/>
      <c r="M191" s="1580"/>
      <c r="N191" s="1580"/>
      <c r="O191" s="1580"/>
      <c r="P191" s="1580"/>
      <c r="Q191" s="1580"/>
      <c r="R191" s="1580"/>
      <c r="S191" s="1602"/>
      <c r="T191" s="1580"/>
      <c r="U191" s="1580"/>
      <c r="V191" s="1580"/>
      <c r="W191" s="1580"/>
      <c r="X191" s="1580"/>
      <c r="Y191" s="1580"/>
      <c r="Z191" s="1580"/>
    </row>
    <row r="192" spans="1:26" ht="15.75" customHeight="1">
      <c r="A192" s="1580"/>
      <c r="B192" s="1671">
        <f t="shared" si="6"/>
        <v>4</v>
      </c>
      <c r="C192" s="1584" t="s">
        <v>188</v>
      </c>
      <c r="D192" s="1584" t="s">
        <v>5907</v>
      </c>
      <c r="E192" s="1648">
        <v>43374</v>
      </c>
      <c r="F192" s="1648">
        <v>43405</v>
      </c>
      <c r="G192" s="1654">
        <v>43435</v>
      </c>
      <c r="H192" s="1672">
        <v>1</v>
      </c>
      <c r="I192" s="1584"/>
      <c r="J192" s="1609" t="s">
        <v>5908</v>
      </c>
      <c r="K192" s="1580"/>
      <c r="L192" s="1580"/>
      <c r="M192" s="1580"/>
      <c r="N192" s="1580"/>
      <c r="O192" s="1580"/>
      <c r="P192" s="1580"/>
      <c r="Q192" s="1580"/>
      <c r="R192" s="1580"/>
      <c r="S192" s="1580"/>
      <c r="T192" s="1580"/>
      <c r="U192" s="1580"/>
      <c r="V192" s="1580"/>
      <c r="W192" s="1580"/>
      <c r="X192" s="1580"/>
      <c r="Y192" s="1580"/>
      <c r="Z192" s="1580"/>
    </row>
    <row r="193" spans="1:26" ht="15.75" customHeight="1">
      <c r="A193" s="1580"/>
      <c r="B193" s="1671">
        <f t="shared" si="6"/>
        <v>5</v>
      </c>
      <c r="C193" s="1584" t="s">
        <v>451</v>
      </c>
      <c r="D193" s="1584" t="s">
        <v>5909</v>
      </c>
      <c r="E193" s="1648">
        <v>43374</v>
      </c>
      <c r="F193" s="1648">
        <v>43405</v>
      </c>
      <c r="G193" s="1654">
        <v>43435</v>
      </c>
      <c r="H193" s="1672">
        <v>1</v>
      </c>
      <c r="I193" s="1584"/>
      <c r="J193" s="1609" t="s">
        <v>5910</v>
      </c>
      <c r="K193" s="1580"/>
      <c r="L193" s="1580"/>
      <c r="M193" s="1580"/>
      <c r="N193" s="1580"/>
      <c r="O193" s="1580"/>
      <c r="P193" s="1580"/>
      <c r="Q193" s="1580"/>
      <c r="R193" s="1580"/>
      <c r="S193" s="1580"/>
      <c r="T193" s="1580"/>
      <c r="U193" s="1580"/>
      <c r="V193" s="1580"/>
      <c r="W193" s="1580"/>
      <c r="X193" s="1580"/>
      <c r="Y193" s="1580"/>
      <c r="Z193" s="1580"/>
    </row>
    <row r="194" spans="1:26" ht="15.75" customHeight="1">
      <c r="A194" s="1580"/>
      <c r="B194" s="1671">
        <f t="shared" si="6"/>
        <v>6</v>
      </c>
      <c r="C194" s="1584" t="s">
        <v>160</v>
      </c>
      <c r="D194" s="1584" t="s">
        <v>5911</v>
      </c>
      <c r="E194" s="1648">
        <v>43374</v>
      </c>
      <c r="F194" s="1648">
        <v>43405</v>
      </c>
      <c r="G194" s="1654">
        <v>43435</v>
      </c>
      <c r="H194" s="1672">
        <v>1</v>
      </c>
      <c r="I194" s="1584"/>
      <c r="J194" s="1609" t="s">
        <v>5912</v>
      </c>
      <c r="K194" s="1580"/>
      <c r="L194" s="1580"/>
      <c r="M194" s="1580"/>
      <c r="N194" s="1580"/>
      <c r="O194" s="1580"/>
      <c r="P194" s="1580"/>
      <c r="Q194" s="1580"/>
      <c r="R194" s="1580"/>
      <c r="S194" s="1580"/>
      <c r="T194" s="1580"/>
      <c r="U194" s="1580"/>
      <c r="V194" s="1580"/>
      <c r="W194" s="1580"/>
      <c r="X194" s="1580"/>
      <c r="Y194" s="1580"/>
      <c r="Z194" s="1580"/>
    </row>
    <row r="195" spans="1:26" ht="15.75" customHeight="1">
      <c r="A195" s="1580"/>
      <c r="B195" s="1671">
        <f t="shared" si="6"/>
        <v>7</v>
      </c>
      <c r="C195" s="1584" t="s">
        <v>2469</v>
      </c>
      <c r="D195" s="1584" t="s">
        <v>2470</v>
      </c>
      <c r="E195" s="1673">
        <v>43374</v>
      </c>
      <c r="F195" s="1673">
        <v>43405</v>
      </c>
      <c r="G195" s="1630"/>
      <c r="H195" s="1641"/>
      <c r="I195" s="1584" t="s">
        <v>5727</v>
      </c>
      <c r="J195" s="1608"/>
      <c r="K195" s="1580"/>
      <c r="L195" s="1580"/>
      <c r="M195" s="1580"/>
      <c r="N195" s="1580"/>
      <c r="O195" s="1580"/>
      <c r="P195" s="1580"/>
      <c r="Q195" s="1580"/>
      <c r="R195" s="1580"/>
      <c r="S195" s="1580"/>
      <c r="T195" s="1580"/>
      <c r="U195" s="1580"/>
      <c r="V195" s="1580"/>
      <c r="W195" s="1580"/>
      <c r="X195" s="1580"/>
      <c r="Y195" s="1580"/>
      <c r="Z195" s="1580"/>
    </row>
    <row r="196" spans="1:26" ht="15.75" customHeight="1">
      <c r="A196" s="1580"/>
      <c r="B196" s="1671">
        <f t="shared" si="6"/>
        <v>8</v>
      </c>
      <c r="C196" s="1584" t="s">
        <v>220</v>
      </c>
      <c r="D196" s="1584" t="s">
        <v>2549</v>
      </c>
      <c r="E196" s="1648">
        <v>43374</v>
      </c>
      <c r="F196" s="1658">
        <v>43405</v>
      </c>
      <c r="G196" s="1657">
        <v>43435</v>
      </c>
      <c r="H196" s="1672">
        <v>1</v>
      </c>
      <c r="I196" s="1584"/>
      <c r="J196" s="1609" t="s">
        <v>2550</v>
      </c>
      <c r="K196" s="1580"/>
      <c r="L196" s="1580"/>
      <c r="M196" s="1580"/>
      <c r="N196" s="1580"/>
      <c r="O196" s="1580"/>
      <c r="P196" s="1580"/>
      <c r="Q196" s="1580"/>
      <c r="R196" s="1580"/>
      <c r="S196" s="1580"/>
      <c r="T196" s="1580"/>
      <c r="U196" s="1580"/>
      <c r="V196" s="1580"/>
      <c r="W196" s="1580"/>
      <c r="X196" s="1580"/>
      <c r="Y196" s="1580"/>
      <c r="Z196" s="1580"/>
    </row>
    <row r="197" spans="1:26" ht="15.75" customHeight="1">
      <c r="A197" s="1580"/>
      <c r="B197" s="1671">
        <f t="shared" si="6"/>
        <v>9</v>
      </c>
      <c r="C197" s="1584" t="s">
        <v>414</v>
      </c>
      <c r="D197" s="1584" t="s">
        <v>2948</v>
      </c>
      <c r="E197" s="1639">
        <v>43586</v>
      </c>
      <c r="F197" s="1673">
        <v>43405</v>
      </c>
      <c r="G197" s="1660"/>
      <c r="H197" s="1660"/>
      <c r="I197" s="1584"/>
      <c r="J197" s="1608" t="s">
        <v>2949</v>
      </c>
      <c r="K197" s="1580"/>
      <c r="L197" s="1580"/>
      <c r="M197" s="1580"/>
      <c r="N197" s="1580"/>
      <c r="O197" s="1580"/>
      <c r="P197" s="1580"/>
      <c r="Q197" s="1580"/>
      <c r="R197" s="1580"/>
      <c r="S197" s="1580"/>
      <c r="T197" s="1580"/>
      <c r="U197" s="1580"/>
      <c r="V197" s="1580"/>
      <c r="W197" s="1580"/>
      <c r="X197" s="1580"/>
      <c r="Y197" s="1580"/>
      <c r="Z197" s="1580"/>
    </row>
    <row r="198" spans="1:26" ht="15.75" customHeight="1">
      <c r="A198" s="1580"/>
      <c r="B198" s="1671">
        <f t="shared" si="6"/>
        <v>10</v>
      </c>
      <c r="C198" s="1584" t="s">
        <v>912</v>
      </c>
      <c r="D198" s="1584" t="s">
        <v>2508</v>
      </c>
      <c r="E198" s="1648">
        <v>43374</v>
      </c>
      <c r="F198" s="1648">
        <v>43405</v>
      </c>
      <c r="G198" s="1654">
        <v>43435</v>
      </c>
      <c r="H198" s="1672">
        <v>1</v>
      </c>
      <c r="I198" s="1584"/>
      <c r="J198" s="1609" t="s">
        <v>2509</v>
      </c>
      <c r="K198" s="1580"/>
      <c r="L198" s="1580"/>
      <c r="M198" s="1580"/>
      <c r="N198" s="1580"/>
      <c r="O198" s="1580"/>
      <c r="P198" s="1580"/>
      <c r="Q198" s="1580"/>
      <c r="R198" s="1580"/>
      <c r="S198" s="1580"/>
      <c r="T198" s="1580"/>
      <c r="U198" s="1580"/>
      <c r="V198" s="1580"/>
      <c r="W198" s="1580"/>
      <c r="X198" s="1580"/>
      <c r="Y198" s="1580"/>
      <c r="Z198" s="1580"/>
    </row>
    <row r="199" spans="1:26" ht="15.75" customHeight="1">
      <c r="A199" s="1580"/>
      <c r="B199" s="1671">
        <f t="shared" si="6"/>
        <v>11</v>
      </c>
      <c r="C199" s="1584" t="s">
        <v>1048</v>
      </c>
      <c r="D199" s="1584" t="s">
        <v>5913</v>
      </c>
      <c r="E199" s="1648">
        <v>43374</v>
      </c>
      <c r="F199" s="1658">
        <v>43405</v>
      </c>
      <c r="G199" s="1657">
        <v>43435</v>
      </c>
      <c r="H199" s="1672">
        <v>1</v>
      </c>
      <c r="I199" s="1584"/>
      <c r="J199" s="1609" t="s">
        <v>5914</v>
      </c>
      <c r="K199" s="1580"/>
      <c r="L199" s="1580"/>
      <c r="M199" s="1580"/>
      <c r="N199" s="1580"/>
      <c r="O199" s="1580"/>
      <c r="P199" s="1580"/>
      <c r="Q199" s="1580"/>
      <c r="R199" s="1580"/>
      <c r="S199" s="1580"/>
      <c r="T199" s="1580"/>
      <c r="U199" s="1580"/>
      <c r="V199" s="1580"/>
      <c r="W199" s="1580"/>
      <c r="X199" s="1580"/>
      <c r="Y199" s="1580"/>
      <c r="Z199" s="1580"/>
    </row>
    <row r="200" spans="1:26" ht="15.75" customHeight="1">
      <c r="A200" s="1580"/>
      <c r="B200" s="1671">
        <f t="shared" si="6"/>
        <v>12</v>
      </c>
      <c r="C200" s="1584" t="s">
        <v>204</v>
      </c>
      <c r="D200" s="1584" t="s">
        <v>5915</v>
      </c>
      <c r="E200" s="1648">
        <v>43374</v>
      </c>
      <c r="F200" s="1648">
        <v>43405</v>
      </c>
      <c r="G200" s="1654">
        <v>43435</v>
      </c>
      <c r="H200" s="1672">
        <v>1</v>
      </c>
      <c r="I200" s="1584"/>
      <c r="J200" s="1609" t="s">
        <v>5916</v>
      </c>
      <c r="K200" s="1580"/>
      <c r="L200" s="1580"/>
      <c r="M200" s="1580"/>
      <c r="N200" s="1580"/>
      <c r="O200" s="1580"/>
      <c r="P200" s="1580"/>
      <c r="Q200" s="1580"/>
      <c r="R200" s="1580"/>
      <c r="S200" s="1580"/>
      <c r="T200" s="1580"/>
      <c r="U200" s="1580"/>
      <c r="V200" s="1580"/>
      <c r="W200" s="1580"/>
      <c r="X200" s="1580"/>
      <c r="Y200" s="1580"/>
      <c r="Z200" s="1580"/>
    </row>
    <row r="201" spans="1:26" ht="15.75" customHeight="1">
      <c r="A201" s="1580"/>
      <c r="B201" s="1671">
        <f t="shared" si="6"/>
        <v>13</v>
      </c>
      <c r="C201" s="1584" t="s">
        <v>188</v>
      </c>
      <c r="D201" s="1584" t="s">
        <v>2585</v>
      </c>
      <c r="E201" s="1580"/>
      <c r="F201" s="1639">
        <v>43405</v>
      </c>
      <c r="G201" s="1630">
        <v>43800</v>
      </c>
      <c r="H201" s="1660"/>
      <c r="I201" s="1584"/>
      <c r="J201" s="1609" t="s">
        <v>4582</v>
      </c>
      <c r="K201" s="1580"/>
      <c r="L201" s="1580"/>
      <c r="M201" s="1580"/>
      <c r="N201" s="1580"/>
      <c r="O201" s="1580"/>
      <c r="P201" s="1580"/>
      <c r="Q201" s="1580"/>
      <c r="R201" s="1580"/>
      <c r="S201" s="1580"/>
      <c r="T201" s="1580"/>
      <c r="U201" s="1580"/>
      <c r="V201" s="1580"/>
      <c r="W201" s="1580"/>
      <c r="X201" s="1580"/>
      <c r="Y201" s="1580"/>
      <c r="Z201" s="1580"/>
    </row>
    <row r="202" spans="1:26" ht="15.75" customHeight="1">
      <c r="A202" s="1580"/>
      <c r="B202" s="1671">
        <f t="shared" si="6"/>
        <v>14</v>
      </c>
      <c r="C202" s="1584" t="s">
        <v>2317</v>
      </c>
      <c r="D202" s="1584" t="s">
        <v>2318</v>
      </c>
      <c r="E202" s="1648">
        <v>43374</v>
      </c>
      <c r="F202" s="1648">
        <v>43405</v>
      </c>
      <c r="G202" s="1654">
        <v>43435</v>
      </c>
      <c r="H202" s="1672">
        <v>1</v>
      </c>
      <c r="I202" s="1584"/>
      <c r="J202" s="1609" t="s">
        <v>2319</v>
      </c>
      <c r="K202" s="1580"/>
      <c r="L202" s="1580"/>
      <c r="M202" s="1580"/>
      <c r="N202" s="1580"/>
      <c r="O202" s="1580"/>
      <c r="P202" s="1580"/>
      <c r="Q202" s="1580"/>
      <c r="R202" s="1580"/>
      <c r="S202" s="1580"/>
      <c r="T202" s="1580"/>
      <c r="U202" s="1580"/>
      <c r="V202" s="1580"/>
      <c r="W202" s="1580"/>
      <c r="X202" s="1580"/>
      <c r="Y202" s="1580"/>
      <c r="Z202" s="1580"/>
    </row>
    <row r="203" spans="1:26" ht="15.75" customHeight="1">
      <c r="A203" s="1580"/>
      <c r="B203" s="1671">
        <f t="shared" si="6"/>
        <v>15</v>
      </c>
      <c r="C203" s="1584" t="s">
        <v>950</v>
      </c>
      <c r="D203" s="1584" t="s">
        <v>5917</v>
      </c>
      <c r="E203" s="1648">
        <v>43374</v>
      </c>
      <c r="F203" s="1648">
        <v>43405</v>
      </c>
      <c r="G203" s="1654">
        <v>43435</v>
      </c>
      <c r="H203" s="1672">
        <v>1</v>
      </c>
      <c r="I203" s="1584"/>
      <c r="J203" s="1609" t="s">
        <v>5918</v>
      </c>
      <c r="K203" s="1580"/>
      <c r="L203" s="1580"/>
      <c r="M203" s="1580"/>
      <c r="N203" s="1580"/>
      <c r="O203" s="1580"/>
      <c r="P203" s="1580"/>
      <c r="Q203" s="1580"/>
      <c r="R203" s="1580"/>
      <c r="S203" s="1580"/>
      <c r="T203" s="1580"/>
      <c r="U203" s="1580"/>
      <c r="V203" s="1580"/>
      <c r="W203" s="1580"/>
      <c r="X203" s="1580"/>
      <c r="Y203" s="1580"/>
      <c r="Z203" s="1580"/>
    </row>
    <row r="204" spans="1:26" ht="15.75" customHeight="1">
      <c r="A204" s="1580"/>
      <c r="B204" s="1671">
        <f t="shared" si="6"/>
        <v>16</v>
      </c>
      <c r="C204" s="1584" t="s">
        <v>141</v>
      </c>
      <c r="D204" s="1584" t="s">
        <v>5919</v>
      </c>
      <c r="E204" s="1648">
        <v>43374</v>
      </c>
      <c r="F204" s="1648">
        <v>43405</v>
      </c>
      <c r="G204" s="1654">
        <v>43435</v>
      </c>
      <c r="H204" s="1672">
        <v>1</v>
      </c>
      <c r="I204" s="1584"/>
      <c r="J204" s="1609" t="s">
        <v>5920</v>
      </c>
      <c r="K204" s="1580"/>
      <c r="L204" s="1580"/>
      <c r="M204" s="1580"/>
      <c r="N204" s="1580"/>
      <c r="O204" s="1580"/>
      <c r="P204" s="1580"/>
      <c r="Q204" s="1580"/>
      <c r="R204" s="1580"/>
      <c r="S204" s="1580"/>
      <c r="T204" s="1580"/>
      <c r="U204" s="1580"/>
      <c r="V204" s="1580"/>
      <c r="W204" s="1580"/>
      <c r="X204" s="1580"/>
      <c r="Y204" s="1580"/>
      <c r="Z204" s="1580"/>
    </row>
    <row r="205" spans="1:26" ht="15.75" customHeight="1">
      <c r="A205" s="1580"/>
      <c r="B205" s="1671">
        <f t="shared" si="6"/>
        <v>17</v>
      </c>
      <c r="C205" s="1584" t="s">
        <v>246</v>
      </c>
      <c r="D205" s="1584" t="s">
        <v>5921</v>
      </c>
      <c r="E205" s="1648">
        <v>43374</v>
      </c>
      <c r="F205" s="1648">
        <v>43405</v>
      </c>
      <c r="G205" s="1654">
        <v>43435</v>
      </c>
      <c r="H205" s="1672">
        <v>1</v>
      </c>
      <c r="I205" s="1584"/>
      <c r="J205" s="1609" t="s">
        <v>5922</v>
      </c>
      <c r="K205" s="1580"/>
      <c r="L205" s="1580"/>
      <c r="M205" s="1580"/>
      <c r="N205" s="1580"/>
      <c r="O205" s="1580"/>
      <c r="P205" s="1580"/>
      <c r="Q205" s="1580"/>
      <c r="R205" s="1580"/>
      <c r="S205" s="1580"/>
      <c r="T205" s="1580"/>
      <c r="U205" s="1580"/>
      <c r="V205" s="1580"/>
      <c r="W205" s="1580"/>
      <c r="X205" s="1580"/>
      <c r="Y205" s="1580"/>
      <c r="Z205" s="1580"/>
    </row>
    <row r="206" spans="1:26" ht="15.75" customHeight="1">
      <c r="A206" s="1580"/>
      <c r="B206" s="1671">
        <f t="shared" si="6"/>
        <v>18</v>
      </c>
      <c r="C206" s="1584" t="s">
        <v>5923</v>
      </c>
      <c r="D206" s="1584" t="s">
        <v>5924</v>
      </c>
      <c r="E206" s="1648">
        <v>43374</v>
      </c>
      <c r="F206" s="1658">
        <v>43617</v>
      </c>
      <c r="G206" s="1657">
        <v>43647</v>
      </c>
      <c r="H206" s="1672">
        <v>1</v>
      </c>
      <c r="I206" s="1584"/>
      <c r="J206" s="1609" t="s">
        <v>5925</v>
      </c>
      <c r="K206" s="1580"/>
      <c r="L206" s="1580"/>
      <c r="M206" s="1580"/>
      <c r="N206" s="1580"/>
      <c r="O206" s="1580"/>
      <c r="P206" s="1580"/>
      <c r="Q206" s="1580"/>
      <c r="R206" s="1580"/>
      <c r="S206" s="1580"/>
      <c r="T206" s="1580"/>
      <c r="U206" s="1580"/>
      <c r="V206" s="1580"/>
      <c r="W206" s="1580"/>
      <c r="X206" s="1580"/>
      <c r="Y206" s="1580"/>
      <c r="Z206" s="1580"/>
    </row>
    <row r="207" spans="1:26" ht="15.75" customHeight="1">
      <c r="A207" s="1580"/>
      <c r="B207" s="1671">
        <f t="shared" si="6"/>
        <v>19</v>
      </c>
      <c r="C207" s="1584" t="s">
        <v>2522</v>
      </c>
      <c r="D207" s="1584" t="s">
        <v>2523</v>
      </c>
      <c r="E207" s="1648">
        <v>43374</v>
      </c>
      <c r="F207" s="1648">
        <v>43405</v>
      </c>
      <c r="G207" s="1654">
        <v>43435</v>
      </c>
      <c r="H207" s="1672">
        <v>1</v>
      </c>
      <c r="I207" s="1584"/>
      <c r="J207" s="1608" t="s">
        <v>2524</v>
      </c>
      <c r="K207" s="1580"/>
      <c r="L207" s="1580"/>
      <c r="M207" s="1580"/>
      <c r="N207" s="1580"/>
      <c r="O207" s="1580"/>
      <c r="P207" s="1580"/>
      <c r="Q207" s="1580"/>
      <c r="R207" s="1580"/>
      <c r="S207" s="1580"/>
      <c r="T207" s="1580"/>
      <c r="U207" s="1580"/>
      <c r="V207" s="1580"/>
      <c r="W207" s="1580"/>
      <c r="X207" s="1580"/>
      <c r="Y207" s="1580"/>
      <c r="Z207" s="1580"/>
    </row>
    <row r="208" spans="1:26" ht="15.75" customHeight="1">
      <c r="A208" s="1580"/>
      <c r="B208" s="1671">
        <f t="shared" si="6"/>
        <v>20</v>
      </c>
      <c r="C208" s="1584" t="s">
        <v>208</v>
      </c>
      <c r="D208" s="1584" t="s">
        <v>5926</v>
      </c>
      <c r="E208" s="1648">
        <v>43374</v>
      </c>
      <c r="F208" s="1648">
        <v>43405</v>
      </c>
      <c r="G208" s="1654">
        <v>43435</v>
      </c>
      <c r="H208" s="1672">
        <v>1</v>
      </c>
      <c r="I208" s="1584"/>
      <c r="J208" s="1609" t="s">
        <v>5927</v>
      </c>
      <c r="K208" s="1580"/>
      <c r="L208" s="1580"/>
      <c r="M208" s="1580"/>
      <c r="N208" s="1580"/>
      <c r="O208" s="1580"/>
      <c r="P208" s="1580"/>
      <c r="Q208" s="1580"/>
      <c r="R208" s="1580"/>
      <c r="S208" s="1580"/>
      <c r="T208" s="1580"/>
      <c r="U208" s="1580"/>
      <c r="V208" s="1580"/>
      <c r="W208" s="1580"/>
      <c r="X208" s="1580"/>
      <c r="Y208" s="1580"/>
      <c r="Z208" s="1580"/>
    </row>
    <row r="209" spans="1:26" ht="15.75" customHeight="1">
      <c r="A209" s="1580"/>
      <c r="B209" s="1671">
        <f t="shared" si="6"/>
        <v>21</v>
      </c>
      <c r="C209" s="1584" t="s">
        <v>160</v>
      </c>
      <c r="D209" s="1584" t="s">
        <v>5928</v>
      </c>
      <c r="E209" s="1673">
        <v>43374</v>
      </c>
      <c r="F209" s="1588"/>
      <c r="G209" s="1674"/>
      <c r="H209" s="1660"/>
      <c r="I209" s="1584"/>
      <c r="J209" s="1609" t="s">
        <v>5929</v>
      </c>
      <c r="K209" s="1580"/>
      <c r="L209" s="1580"/>
      <c r="M209" s="1580"/>
      <c r="N209" s="1580"/>
      <c r="O209" s="1580"/>
      <c r="P209" s="1580"/>
      <c r="Q209" s="1580"/>
      <c r="R209" s="1580"/>
      <c r="S209" s="1580"/>
      <c r="T209" s="1580"/>
      <c r="U209" s="1580"/>
      <c r="V209" s="1580"/>
      <c r="W209" s="1580"/>
      <c r="X209" s="1580"/>
      <c r="Y209" s="1580"/>
      <c r="Z209" s="1580"/>
    </row>
    <row r="210" spans="1:26" ht="15.75" customHeight="1">
      <c r="A210" s="1580"/>
      <c r="B210" s="1671">
        <f t="shared" si="6"/>
        <v>22</v>
      </c>
      <c r="C210" s="1584" t="s">
        <v>407</v>
      </c>
      <c r="D210" s="1584" t="s">
        <v>5930</v>
      </c>
      <c r="E210" s="1648">
        <v>43374</v>
      </c>
      <c r="F210" s="1648">
        <v>43405</v>
      </c>
      <c r="G210" s="1654">
        <v>43435</v>
      </c>
      <c r="H210" s="1672">
        <v>1</v>
      </c>
      <c r="I210" s="1584"/>
      <c r="J210" s="1609" t="s">
        <v>5931</v>
      </c>
      <c r="K210" s="1580"/>
      <c r="L210" s="1580"/>
      <c r="M210" s="1580"/>
      <c r="N210" s="1580"/>
      <c r="O210" s="1580"/>
      <c r="P210" s="1580"/>
      <c r="Q210" s="1580"/>
      <c r="R210" s="1580"/>
      <c r="S210" s="1580"/>
      <c r="T210" s="1580"/>
      <c r="U210" s="1580"/>
      <c r="V210" s="1580"/>
      <c r="W210" s="1580"/>
      <c r="X210" s="1580"/>
      <c r="Y210" s="1580"/>
      <c r="Z210" s="1580"/>
    </row>
    <row r="211" spans="1:26" ht="15.75" customHeight="1">
      <c r="A211" s="1580"/>
      <c r="B211" s="1671">
        <f t="shared" si="6"/>
        <v>23</v>
      </c>
      <c r="C211" s="1584" t="s">
        <v>730</v>
      </c>
      <c r="D211" s="1584" t="s">
        <v>5932</v>
      </c>
      <c r="E211" s="1648">
        <v>43374</v>
      </c>
      <c r="F211" s="1648">
        <v>43405</v>
      </c>
      <c r="G211" s="1654">
        <v>43435</v>
      </c>
      <c r="H211" s="1672">
        <v>1</v>
      </c>
      <c r="I211" s="1584"/>
      <c r="J211" s="1609" t="s">
        <v>5933</v>
      </c>
      <c r="K211" s="1580"/>
      <c r="L211" s="1580"/>
      <c r="M211" s="1580"/>
      <c r="N211" s="1580"/>
      <c r="O211" s="1580"/>
      <c r="P211" s="1580"/>
      <c r="Q211" s="1580"/>
      <c r="R211" s="1580"/>
      <c r="S211" s="1580"/>
      <c r="T211" s="1580"/>
      <c r="U211" s="1580"/>
      <c r="V211" s="1580"/>
      <c r="W211" s="1580"/>
      <c r="X211" s="1580"/>
      <c r="Y211" s="1580"/>
      <c r="Z211" s="1580"/>
    </row>
    <row r="212" spans="1:26" ht="15.75" customHeight="1">
      <c r="A212" s="1580"/>
      <c r="B212" s="1671">
        <f t="shared" si="6"/>
        <v>24</v>
      </c>
      <c r="C212" s="1584" t="s">
        <v>1730</v>
      </c>
      <c r="D212" s="1584" t="s">
        <v>5934</v>
      </c>
      <c r="E212" s="1648">
        <v>43374</v>
      </c>
      <c r="F212" s="1648">
        <v>43405</v>
      </c>
      <c r="G212" s="1654">
        <v>43435</v>
      </c>
      <c r="H212" s="1672">
        <v>1</v>
      </c>
      <c r="I212" s="1584"/>
      <c r="J212" s="1608" t="s">
        <v>5935</v>
      </c>
      <c r="K212" s="1580"/>
      <c r="L212" s="1580"/>
      <c r="M212" s="1580"/>
      <c r="N212" s="1580"/>
      <c r="O212" s="1580"/>
      <c r="P212" s="1580"/>
      <c r="Q212" s="1580"/>
      <c r="R212" s="1580"/>
      <c r="S212" s="1580"/>
      <c r="T212" s="1580"/>
      <c r="U212" s="1580"/>
      <c r="V212" s="1580"/>
      <c r="W212" s="1580"/>
      <c r="X212" s="1580"/>
      <c r="Y212" s="1580"/>
      <c r="Z212" s="1580"/>
    </row>
    <row r="213" spans="1:26" ht="15.75" customHeight="1">
      <c r="A213" s="1580"/>
      <c r="B213" s="1671">
        <f t="shared" si="6"/>
        <v>25</v>
      </c>
      <c r="C213" s="1584" t="s">
        <v>477</v>
      </c>
      <c r="D213" s="1584" t="s">
        <v>3837</v>
      </c>
      <c r="E213" s="1648">
        <v>43374</v>
      </c>
      <c r="F213" s="1648">
        <v>43405</v>
      </c>
      <c r="G213" s="1654">
        <v>43435</v>
      </c>
      <c r="H213" s="1672">
        <v>1</v>
      </c>
      <c r="I213" s="1584"/>
      <c r="J213" s="1609" t="s">
        <v>5936</v>
      </c>
      <c r="K213" s="1580"/>
      <c r="L213" s="1580"/>
      <c r="M213" s="1580"/>
      <c r="N213" s="1580"/>
      <c r="O213" s="1580"/>
      <c r="P213" s="1580"/>
      <c r="Q213" s="1580"/>
      <c r="R213" s="1580"/>
      <c r="S213" s="1580"/>
      <c r="T213" s="1580"/>
      <c r="U213" s="1580"/>
      <c r="V213" s="1580"/>
      <c r="W213" s="1580"/>
      <c r="X213" s="1580"/>
      <c r="Y213" s="1580"/>
      <c r="Z213" s="1580"/>
    </row>
    <row r="214" spans="1:26" ht="15.75" customHeight="1">
      <c r="A214" s="1580"/>
      <c r="B214" s="1671">
        <f t="shared" si="6"/>
        <v>26</v>
      </c>
      <c r="C214" s="1584" t="s">
        <v>5779</v>
      </c>
      <c r="D214" s="1584" t="s">
        <v>5937</v>
      </c>
      <c r="E214" s="1673">
        <v>43374</v>
      </c>
      <c r="F214" s="1673">
        <v>43405</v>
      </c>
      <c r="G214" s="1675"/>
      <c r="H214" s="1676"/>
      <c r="I214" s="1584"/>
      <c r="J214" s="1609" t="s">
        <v>5781</v>
      </c>
      <c r="K214" s="1580"/>
      <c r="L214" s="1580"/>
      <c r="M214" s="1580"/>
      <c r="N214" s="1580"/>
      <c r="O214" s="1580"/>
      <c r="P214" s="1580"/>
      <c r="Q214" s="1580"/>
      <c r="R214" s="1580"/>
      <c r="S214" s="1580"/>
      <c r="T214" s="1580"/>
      <c r="U214" s="1580"/>
      <c r="V214" s="1580"/>
      <c r="W214" s="1580"/>
      <c r="X214" s="1580"/>
      <c r="Y214" s="1580"/>
      <c r="Z214" s="1580"/>
    </row>
    <row r="215" spans="1:26" ht="15.75" customHeight="1">
      <c r="A215" s="1580"/>
      <c r="B215" s="1671">
        <f t="shared" si="6"/>
        <v>27</v>
      </c>
      <c r="C215" s="1589" t="s">
        <v>5938</v>
      </c>
      <c r="D215" s="1589" t="s">
        <v>5939</v>
      </c>
      <c r="E215" s="1655"/>
      <c r="F215" s="1655"/>
      <c r="G215" s="1655"/>
      <c r="H215" s="1677"/>
      <c r="I215" s="1584"/>
      <c r="J215" s="1608"/>
      <c r="K215" s="1580"/>
      <c r="L215" s="1580"/>
      <c r="M215" s="1580"/>
      <c r="N215" s="1580"/>
      <c r="O215" s="1580"/>
      <c r="P215" s="1580"/>
      <c r="Q215" s="1580"/>
      <c r="R215" s="1580"/>
      <c r="S215" s="1580"/>
      <c r="T215" s="1580"/>
      <c r="U215" s="1580"/>
      <c r="V215" s="1580"/>
      <c r="W215" s="1580"/>
      <c r="X215" s="1580"/>
      <c r="Y215" s="1580"/>
      <c r="Z215" s="1580"/>
    </row>
    <row r="216" spans="1:26" ht="15.75" customHeight="1">
      <c r="A216" s="1580"/>
      <c r="B216" s="1671">
        <f t="shared" si="6"/>
        <v>28</v>
      </c>
      <c r="C216" s="1589" t="s">
        <v>5940</v>
      </c>
      <c r="D216" s="1589" t="s">
        <v>5941</v>
      </c>
      <c r="E216" s="1655"/>
      <c r="F216" s="1655"/>
      <c r="G216" s="1655"/>
      <c r="H216" s="1677"/>
      <c r="I216" s="1584"/>
      <c r="J216" s="1608"/>
      <c r="K216" s="1580"/>
      <c r="L216" s="1580"/>
      <c r="M216" s="1580"/>
      <c r="N216" s="1580"/>
      <c r="O216" s="1580"/>
      <c r="P216" s="1580"/>
      <c r="Q216" s="1580"/>
      <c r="R216" s="1580"/>
      <c r="S216" s="1580"/>
      <c r="T216" s="1580"/>
      <c r="U216" s="1580"/>
      <c r="V216" s="1580"/>
      <c r="W216" s="1580"/>
      <c r="X216" s="1580"/>
      <c r="Y216" s="1580"/>
      <c r="Z216" s="1580"/>
    </row>
    <row r="217" spans="1:26" ht="15.75" customHeight="1">
      <c r="A217" s="1580"/>
      <c r="B217" s="1671">
        <f t="shared" si="6"/>
        <v>29</v>
      </c>
      <c r="C217" s="1584" t="s">
        <v>5942</v>
      </c>
      <c r="D217" s="1584" t="s">
        <v>5943</v>
      </c>
      <c r="E217" s="1648">
        <v>43374</v>
      </c>
      <c r="F217" s="1648">
        <v>43405</v>
      </c>
      <c r="G217" s="1654">
        <v>43435</v>
      </c>
      <c r="H217" s="1672">
        <v>1</v>
      </c>
      <c r="I217" s="1584"/>
      <c r="J217" s="1609" t="s">
        <v>5944</v>
      </c>
      <c r="K217" s="1580"/>
      <c r="L217" s="1580"/>
      <c r="M217" s="1580"/>
      <c r="N217" s="1580"/>
      <c r="O217" s="1580"/>
      <c r="P217" s="1580"/>
      <c r="Q217" s="1580"/>
      <c r="R217" s="1580"/>
      <c r="S217" s="1580"/>
      <c r="T217" s="1580"/>
      <c r="U217" s="1580"/>
      <c r="V217" s="1580"/>
      <c r="W217" s="1580"/>
      <c r="X217" s="1580"/>
      <c r="Y217" s="1580"/>
      <c r="Z217" s="1580"/>
    </row>
    <row r="218" spans="1:26" ht="15.75" customHeight="1">
      <c r="A218" s="1580"/>
      <c r="B218" s="1671">
        <f t="shared" si="6"/>
        <v>30</v>
      </c>
      <c r="C218" s="1584" t="s">
        <v>487</v>
      </c>
      <c r="D218" s="1584" t="s">
        <v>5945</v>
      </c>
      <c r="E218" s="1648">
        <v>43374</v>
      </c>
      <c r="F218" s="1658">
        <v>43405</v>
      </c>
      <c r="G218" s="1657">
        <v>43435</v>
      </c>
      <c r="H218" s="1672">
        <v>1</v>
      </c>
      <c r="I218" s="1584"/>
      <c r="J218" s="1609" t="s">
        <v>5946</v>
      </c>
      <c r="K218" s="1580"/>
      <c r="L218" s="1580"/>
      <c r="M218" s="1580"/>
      <c r="N218" s="1580"/>
      <c r="O218" s="1580"/>
      <c r="P218" s="1580"/>
      <c r="Q218" s="1580"/>
      <c r="R218" s="1580"/>
      <c r="S218" s="1580"/>
      <c r="T218" s="1580"/>
      <c r="U218" s="1580"/>
      <c r="V218" s="1580"/>
      <c r="W218" s="1580"/>
      <c r="X218" s="1580"/>
      <c r="Y218" s="1580"/>
      <c r="Z218" s="1580"/>
    </row>
    <row r="219" spans="1:26" ht="15.75" customHeight="1">
      <c r="A219" s="1580"/>
      <c r="B219" s="1671">
        <f t="shared" si="6"/>
        <v>31</v>
      </c>
      <c r="C219" s="1584" t="s">
        <v>3165</v>
      </c>
      <c r="D219" s="1584" t="s">
        <v>5947</v>
      </c>
      <c r="E219" s="1673">
        <v>43374</v>
      </c>
      <c r="F219" s="1639">
        <v>43405</v>
      </c>
      <c r="G219" s="1660"/>
      <c r="H219" s="1660"/>
      <c r="I219" s="1584"/>
      <c r="J219" s="1609" t="s">
        <v>5948</v>
      </c>
      <c r="K219" s="1580"/>
      <c r="L219" s="1580"/>
      <c r="M219" s="1580"/>
      <c r="N219" s="1580"/>
      <c r="O219" s="1580"/>
      <c r="P219" s="1580"/>
      <c r="Q219" s="1580"/>
      <c r="R219" s="1580"/>
      <c r="S219" s="1580"/>
      <c r="T219" s="1580"/>
      <c r="U219" s="1580"/>
      <c r="V219" s="1580"/>
      <c r="W219" s="1580"/>
      <c r="X219" s="1580"/>
      <c r="Y219" s="1580"/>
      <c r="Z219" s="1580"/>
    </row>
    <row r="220" spans="1:26" ht="15.75" customHeight="1">
      <c r="A220" s="1580"/>
      <c r="B220" s="1671">
        <f t="shared" si="6"/>
        <v>32</v>
      </c>
      <c r="C220" s="1584" t="s">
        <v>992</v>
      </c>
      <c r="D220" s="1584" t="s">
        <v>5949</v>
      </c>
      <c r="E220" s="1648">
        <v>43374</v>
      </c>
      <c r="F220" s="1648">
        <v>43405</v>
      </c>
      <c r="G220" s="1654">
        <v>43435</v>
      </c>
      <c r="H220" s="1672">
        <v>1</v>
      </c>
      <c r="I220" s="1584"/>
      <c r="J220" s="1609" t="s">
        <v>5950</v>
      </c>
      <c r="K220" s="1580"/>
      <c r="L220" s="1580"/>
      <c r="M220" s="1580"/>
      <c r="N220" s="1580"/>
      <c r="O220" s="1580"/>
      <c r="P220" s="1580"/>
      <c r="Q220" s="1580"/>
      <c r="R220" s="1580"/>
      <c r="S220" s="1580"/>
      <c r="T220" s="1580"/>
      <c r="U220" s="1580"/>
      <c r="V220" s="1580"/>
      <c r="W220" s="1580"/>
      <c r="X220" s="1580"/>
      <c r="Y220" s="1580"/>
      <c r="Z220" s="1580"/>
    </row>
    <row r="221" spans="1:26" ht="15.75" customHeight="1">
      <c r="A221" s="1580"/>
      <c r="B221" s="1671">
        <f t="shared" si="6"/>
        <v>33</v>
      </c>
      <c r="C221" s="1584" t="s">
        <v>135</v>
      </c>
      <c r="D221" s="1584" t="s">
        <v>5951</v>
      </c>
      <c r="E221" s="1673">
        <v>43374</v>
      </c>
      <c r="F221" s="1588"/>
      <c r="G221" s="1674"/>
      <c r="H221" s="1660"/>
      <c r="I221" s="1584"/>
      <c r="J221" s="1609" t="s">
        <v>4034</v>
      </c>
      <c r="K221" s="1580"/>
      <c r="L221" s="1580"/>
      <c r="M221" s="1580"/>
      <c r="N221" s="1580"/>
      <c r="O221" s="1580"/>
      <c r="P221" s="1580"/>
      <c r="Q221" s="1580"/>
      <c r="R221" s="1580"/>
      <c r="S221" s="1580"/>
      <c r="T221" s="1580"/>
      <c r="U221" s="1580"/>
      <c r="V221" s="1580"/>
      <c r="W221" s="1580"/>
      <c r="X221" s="1580"/>
      <c r="Y221" s="1580"/>
      <c r="Z221" s="1580"/>
    </row>
    <row r="222" spans="1:26" ht="15.75" customHeight="1">
      <c r="A222" s="1580"/>
      <c r="B222" s="1671">
        <f t="shared" si="6"/>
        <v>34</v>
      </c>
      <c r="C222" s="1584" t="s">
        <v>135</v>
      </c>
      <c r="D222" s="1584" t="s">
        <v>5952</v>
      </c>
      <c r="E222" s="1648">
        <v>43374</v>
      </c>
      <c r="F222" s="1648">
        <v>43405</v>
      </c>
      <c r="G222" s="1654">
        <v>43435</v>
      </c>
      <c r="H222" s="1672">
        <v>1</v>
      </c>
      <c r="I222" s="1584"/>
      <c r="J222" s="1609" t="s">
        <v>5953</v>
      </c>
      <c r="K222" s="1580"/>
      <c r="L222" s="1580"/>
      <c r="M222" s="1580"/>
      <c r="N222" s="1580"/>
      <c r="O222" s="1580"/>
      <c r="P222" s="1580"/>
      <c r="Q222" s="1580"/>
      <c r="R222" s="1580"/>
      <c r="S222" s="1580"/>
      <c r="T222" s="1580"/>
      <c r="U222" s="1580"/>
      <c r="V222" s="1580"/>
      <c r="W222" s="1580"/>
      <c r="X222" s="1580"/>
      <c r="Y222" s="1580"/>
      <c r="Z222" s="1580"/>
    </row>
    <row r="223" spans="1:26" ht="15.75" customHeight="1">
      <c r="A223" s="1580"/>
      <c r="B223" s="1671">
        <f t="shared" si="6"/>
        <v>35</v>
      </c>
      <c r="C223" s="1584" t="s">
        <v>5876</v>
      </c>
      <c r="D223" s="1584" t="s">
        <v>5952</v>
      </c>
      <c r="E223" s="1648">
        <v>43374</v>
      </c>
      <c r="F223" s="1648">
        <v>43405</v>
      </c>
      <c r="G223" s="1654">
        <v>43435</v>
      </c>
      <c r="H223" s="1672">
        <v>1</v>
      </c>
      <c r="I223" s="1584"/>
      <c r="J223" s="1609" t="s">
        <v>5954</v>
      </c>
      <c r="K223" s="1580"/>
      <c r="L223" s="1580"/>
      <c r="M223" s="1580"/>
      <c r="N223" s="1580"/>
      <c r="O223" s="1580"/>
      <c r="P223" s="1580"/>
      <c r="Q223" s="1580"/>
      <c r="R223" s="1580"/>
      <c r="S223" s="1580"/>
      <c r="T223" s="1580"/>
      <c r="U223" s="1580"/>
      <c r="V223" s="1580"/>
      <c r="W223" s="1580"/>
      <c r="X223" s="1580"/>
      <c r="Y223" s="1580"/>
      <c r="Z223" s="1580"/>
    </row>
    <row r="224" spans="1:26" ht="15.75" customHeight="1">
      <c r="A224" s="1580"/>
      <c r="B224" s="1671">
        <f t="shared" si="6"/>
        <v>36</v>
      </c>
      <c r="C224" s="1584" t="s">
        <v>166</v>
      </c>
      <c r="D224" s="1584" t="s">
        <v>3178</v>
      </c>
      <c r="E224" s="1658">
        <v>43586</v>
      </c>
      <c r="F224" s="1648">
        <v>43405</v>
      </c>
      <c r="G224" s="1657">
        <v>43647</v>
      </c>
      <c r="H224" s="1678">
        <v>1</v>
      </c>
      <c r="I224" s="1584"/>
      <c r="J224" s="1608" t="s">
        <v>3179</v>
      </c>
      <c r="K224" s="1580"/>
      <c r="L224" s="1580"/>
      <c r="M224" s="1580"/>
      <c r="N224" s="1580"/>
      <c r="O224" s="1580"/>
      <c r="P224" s="1580"/>
      <c r="Q224" s="1580"/>
      <c r="R224" s="1580"/>
      <c r="S224" s="1580"/>
      <c r="T224" s="1580"/>
      <c r="U224" s="1580"/>
      <c r="V224" s="1580"/>
      <c r="W224" s="1580"/>
      <c r="X224" s="1580"/>
      <c r="Y224" s="1580"/>
      <c r="Z224" s="1580"/>
    </row>
    <row r="225" spans="1:26" ht="15.75" customHeight="1">
      <c r="A225" s="1580"/>
      <c r="B225" s="1671">
        <f t="shared" si="6"/>
        <v>37</v>
      </c>
      <c r="C225" s="1584" t="s">
        <v>861</v>
      </c>
      <c r="D225" s="1584" t="s">
        <v>5955</v>
      </c>
      <c r="E225" s="1648">
        <v>43374</v>
      </c>
      <c r="F225" s="1648">
        <v>43405</v>
      </c>
      <c r="G225" s="1654">
        <v>43435</v>
      </c>
      <c r="H225" s="1672">
        <v>1</v>
      </c>
      <c r="I225" s="1584"/>
      <c r="J225" s="1609" t="s">
        <v>5956</v>
      </c>
      <c r="K225" s="1580"/>
      <c r="L225" s="1580"/>
      <c r="M225" s="1580"/>
      <c r="N225" s="1580"/>
      <c r="O225" s="1580"/>
      <c r="P225" s="1580"/>
      <c r="Q225" s="1580"/>
      <c r="R225" s="1580"/>
      <c r="S225" s="1580"/>
      <c r="T225" s="1580"/>
      <c r="U225" s="1580"/>
      <c r="V225" s="1580"/>
      <c r="W225" s="1580"/>
      <c r="X225" s="1580"/>
      <c r="Y225" s="1580"/>
      <c r="Z225" s="1580"/>
    </row>
    <row r="226" spans="1:26" ht="15.75" customHeight="1">
      <c r="A226" s="1580"/>
      <c r="B226" s="1671">
        <f t="shared" si="6"/>
        <v>38</v>
      </c>
      <c r="C226" s="1584" t="s">
        <v>730</v>
      </c>
      <c r="D226" s="1584" t="s">
        <v>2363</v>
      </c>
      <c r="E226" s="1648">
        <v>43374</v>
      </c>
      <c r="F226" s="1648">
        <v>43405</v>
      </c>
      <c r="G226" s="1654">
        <v>43435</v>
      </c>
      <c r="H226" s="1672">
        <v>1</v>
      </c>
      <c r="I226" s="1584"/>
      <c r="J226" s="1608" t="s">
        <v>4956</v>
      </c>
      <c r="K226" s="1580"/>
      <c r="L226" s="1580"/>
      <c r="M226" s="1580"/>
      <c r="N226" s="1580"/>
      <c r="O226" s="1580"/>
      <c r="P226" s="1580"/>
      <c r="Q226" s="1580"/>
      <c r="R226" s="1580"/>
      <c r="S226" s="1580"/>
      <c r="T226" s="1580"/>
      <c r="U226" s="1580"/>
      <c r="V226" s="1580"/>
      <c r="W226" s="1580"/>
      <c r="X226" s="1580"/>
      <c r="Y226" s="1580"/>
      <c r="Z226" s="1580"/>
    </row>
    <row r="227" spans="1:26" ht="15.75" customHeight="1">
      <c r="A227" s="1580"/>
      <c r="B227" s="1671">
        <f t="shared" si="6"/>
        <v>39</v>
      </c>
      <c r="C227" s="1584" t="s">
        <v>822</v>
      </c>
      <c r="D227" s="1584" t="s">
        <v>2363</v>
      </c>
      <c r="E227" s="1648">
        <v>43374</v>
      </c>
      <c r="F227" s="1648">
        <v>43405</v>
      </c>
      <c r="G227" s="1654">
        <v>43435</v>
      </c>
      <c r="H227" s="1672">
        <v>1</v>
      </c>
      <c r="I227" s="1584"/>
      <c r="J227" s="1609" t="s">
        <v>5957</v>
      </c>
      <c r="K227" s="1580"/>
      <c r="L227" s="1580"/>
      <c r="M227" s="1580"/>
      <c r="N227" s="1580"/>
      <c r="O227" s="1580"/>
      <c r="P227" s="1580"/>
      <c r="Q227" s="1580"/>
      <c r="R227" s="1580"/>
      <c r="S227" s="1580"/>
      <c r="T227" s="1580"/>
      <c r="U227" s="1580"/>
      <c r="V227" s="1580"/>
      <c r="W227" s="1580"/>
      <c r="X227" s="1580"/>
      <c r="Y227" s="1580"/>
      <c r="Z227" s="1580"/>
    </row>
    <row r="228" spans="1:26" ht="15.75" customHeight="1">
      <c r="A228" s="1580"/>
      <c r="B228" s="1671">
        <f t="shared" si="6"/>
        <v>40</v>
      </c>
      <c r="C228" s="1584" t="s">
        <v>287</v>
      </c>
      <c r="D228" s="1584" t="s">
        <v>5958</v>
      </c>
      <c r="E228" s="1673">
        <v>43374</v>
      </c>
      <c r="F228" s="1588"/>
      <c r="G228" s="1674"/>
      <c r="H228" s="1660"/>
      <c r="I228" s="1584"/>
      <c r="J228" s="1608" t="s">
        <v>4040</v>
      </c>
      <c r="K228" s="1580"/>
      <c r="L228" s="1580"/>
      <c r="M228" s="1580"/>
      <c r="N228" s="1580"/>
      <c r="O228" s="1580"/>
      <c r="P228" s="1580"/>
      <c r="Q228" s="1580"/>
      <c r="R228" s="1580"/>
      <c r="S228" s="1580"/>
      <c r="T228" s="1580"/>
      <c r="U228" s="1580"/>
      <c r="V228" s="1580"/>
      <c r="W228" s="1580"/>
      <c r="X228" s="1580"/>
      <c r="Y228" s="1580"/>
      <c r="Z228" s="1580"/>
    </row>
    <row r="229" spans="1:26" ht="15.75" customHeight="1">
      <c r="A229" s="1580"/>
      <c r="B229" s="1671">
        <f t="shared" si="6"/>
        <v>41</v>
      </c>
      <c r="C229" s="1584" t="s">
        <v>4888</v>
      </c>
      <c r="D229" s="1584" t="s">
        <v>4889</v>
      </c>
      <c r="E229" s="1605">
        <v>43586</v>
      </c>
      <c r="F229" s="1605">
        <v>43405</v>
      </c>
      <c r="G229" s="1606">
        <v>43435</v>
      </c>
      <c r="H229" s="1678">
        <v>1</v>
      </c>
      <c r="I229" s="1584"/>
      <c r="J229" s="1608" t="s">
        <v>4890</v>
      </c>
      <c r="K229" s="1580"/>
      <c r="L229" s="1580"/>
      <c r="M229" s="1580"/>
      <c r="N229" s="1580"/>
      <c r="O229" s="1580"/>
      <c r="P229" s="1580"/>
      <c r="Q229" s="1580"/>
      <c r="R229" s="1580"/>
      <c r="S229" s="1580"/>
      <c r="T229" s="1580"/>
      <c r="U229" s="1580"/>
      <c r="V229" s="1580"/>
      <c r="W229" s="1580"/>
      <c r="X229" s="1580"/>
      <c r="Y229" s="1580"/>
      <c r="Z229" s="1580"/>
    </row>
    <row r="230" spans="1:26" ht="15.75" customHeight="1">
      <c r="A230" s="1580"/>
      <c r="B230" s="1671">
        <f t="shared" si="6"/>
        <v>42</v>
      </c>
      <c r="C230" s="1584" t="s">
        <v>785</v>
      </c>
      <c r="D230" s="1584" t="s">
        <v>5959</v>
      </c>
      <c r="E230" s="1648">
        <v>43374</v>
      </c>
      <c r="F230" s="1658">
        <v>43405</v>
      </c>
      <c r="G230" s="1657">
        <v>43435</v>
      </c>
      <c r="H230" s="1672">
        <v>1</v>
      </c>
      <c r="I230" s="1584"/>
      <c r="J230" s="1608" t="s">
        <v>5960</v>
      </c>
      <c r="K230" s="1580"/>
      <c r="L230" s="1580"/>
      <c r="M230" s="1580"/>
      <c r="N230" s="1580"/>
      <c r="O230" s="1580"/>
      <c r="P230" s="1580"/>
      <c r="Q230" s="1580"/>
      <c r="R230" s="1580"/>
      <c r="S230" s="1580"/>
      <c r="T230" s="1580"/>
      <c r="U230" s="1580"/>
      <c r="V230" s="1580"/>
      <c r="W230" s="1580"/>
      <c r="X230" s="1580"/>
      <c r="Y230" s="1580"/>
      <c r="Z230" s="1580"/>
    </row>
    <row r="231" spans="1:26" ht="15.75" customHeight="1">
      <c r="A231" s="1580"/>
      <c r="B231" s="1671">
        <f t="shared" si="6"/>
        <v>43</v>
      </c>
      <c r="C231" s="1584" t="s">
        <v>563</v>
      </c>
      <c r="D231" s="1584" t="s">
        <v>5879</v>
      </c>
      <c r="E231" s="1673">
        <v>43374</v>
      </c>
      <c r="F231" s="1673">
        <v>43405</v>
      </c>
      <c r="G231" s="1630"/>
      <c r="H231" s="1630"/>
      <c r="I231" s="1584" t="s">
        <v>5806</v>
      </c>
      <c r="J231" s="1608" t="s">
        <v>5880</v>
      </c>
      <c r="K231" s="1580"/>
      <c r="L231" s="1580"/>
      <c r="M231" s="1580"/>
      <c r="N231" s="1580"/>
      <c r="O231" s="1580"/>
      <c r="P231" s="1580"/>
      <c r="Q231" s="1580"/>
      <c r="R231" s="1580"/>
      <c r="S231" s="1580"/>
      <c r="T231" s="1580"/>
      <c r="U231" s="1580"/>
      <c r="V231" s="1580"/>
      <c r="W231" s="1580"/>
      <c r="X231" s="1580"/>
      <c r="Y231" s="1580"/>
      <c r="Z231" s="1580"/>
    </row>
    <row r="232" spans="1:26" ht="15.75" customHeight="1">
      <c r="A232" s="1580"/>
      <c r="B232" s="1671">
        <f t="shared" si="6"/>
        <v>44</v>
      </c>
      <c r="C232" s="1584" t="s">
        <v>861</v>
      </c>
      <c r="D232" s="1584" t="s">
        <v>2560</v>
      </c>
      <c r="E232" s="1648">
        <v>43374</v>
      </c>
      <c r="F232" s="1648">
        <v>43405</v>
      </c>
      <c r="G232" s="1654">
        <v>43435</v>
      </c>
      <c r="H232" s="1672">
        <v>1</v>
      </c>
      <c r="I232" s="1584"/>
      <c r="J232" s="1609" t="s">
        <v>2561</v>
      </c>
      <c r="K232" s="1580"/>
      <c r="L232" s="1580"/>
      <c r="M232" s="1580"/>
      <c r="N232" s="1580"/>
      <c r="O232" s="1580"/>
      <c r="P232" s="1580"/>
      <c r="Q232" s="1580"/>
      <c r="R232" s="1580"/>
      <c r="S232" s="1580"/>
      <c r="T232" s="1580"/>
      <c r="U232" s="1580"/>
      <c r="V232" s="1580"/>
      <c r="W232" s="1580"/>
      <c r="X232" s="1580"/>
      <c r="Y232" s="1580"/>
      <c r="Z232" s="1580"/>
    </row>
    <row r="233" spans="1:26" ht="15.75" customHeight="1">
      <c r="A233" s="1580"/>
      <c r="B233" s="1671">
        <f t="shared" si="6"/>
        <v>45</v>
      </c>
      <c r="C233" s="1584" t="s">
        <v>5961</v>
      </c>
      <c r="D233" s="1584" t="s">
        <v>5962</v>
      </c>
      <c r="E233" s="1648">
        <v>43374</v>
      </c>
      <c r="F233" s="1658">
        <v>43405</v>
      </c>
      <c r="G233" s="1657">
        <v>43435</v>
      </c>
      <c r="H233" s="1672">
        <v>1</v>
      </c>
      <c r="I233" s="1584"/>
      <c r="J233" s="1609" t="s">
        <v>5963</v>
      </c>
      <c r="K233" s="1580"/>
      <c r="L233" s="1580"/>
      <c r="M233" s="1580"/>
      <c r="N233" s="1580"/>
      <c r="O233" s="1580"/>
      <c r="P233" s="1580"/>
      <c r="Q233" s="1580"/>
      <c r="R233" s="1580"/>
      <c r="S233" s="1580"/>
      <c r="T233" s="1580"/>
      <c r="U233" s="1580"/>
      <c r="V233" s="1580"/>
      <c r="W233" s="1580"/>
      <c r="X233" s="1580"/>
      <c r="Y233" s="1580"/>
      <c r="Z233" s="1580"/>
    </row>
    <row r="234" spans="1:26" ht="15.75" customHeight="1">
      <c r="A234" s="1580"/>
      <c r="B234" s="1671">
        <f t="shared" si="6"/>
        <v>46</v>
      </c>
      <c r="C234" s="1584" t="s">
        <v>912</v>
      </c>
      <c r="D234" s="1584" t="s">
        <v>5964</v>
      </c>
      <c r="E234" s="1648">
        <v>43374</v>
      </c>
      <c r="F234" s="1648">
        <v>43405</v>
      </c>
      <c r="G234" s="1654">
        <v>43435</v>
      </c>
      <c r="H234" s="1672">
        <v>1</v>
      </c>
      <c r="I234" s="1584"/>
      <c r="J234" s="1609" t="s">
        <v>5965</v>
      </c>
      <c r="K234" s="1580"/>
      <c r="L234" s="1580"/>
      <c r="M234" s="1580"/>
      <c r="N234" s="1580"/>
      <c r="O234" s="1580"/>
      <c r="P234" s="1580"/>
      <c r="Q234" s="1580"/>
      <c r="R234" s="1580"/>
      <c r="S234" s="1580"/>
      <c r="T234" s="1580"/>
      <c r="U234" s="1580"/>
      <c r="V234" s="1580"/>
      <c r="W234" s="1580"/>
      <c r="X234" s="1580"/>
      <c r="Y234" s="1580"/>
      <c r="Z234" s="1580"/>
    </row>
    <row r="235" spans="1:26" ht="15.75" customHeight="1">
      <c r="A235" s="1580"/>
      <c r="B235" s="1671">
        <f t="shared" si="6"/>
        <v>47</v>
      </c>
      <c r="C235" s="1584" t="s">
        <v>3844</v>
      </c>
      <c r="D235" s="1584" t="s">
        <v>5966</v>
      </c>
      <c r="E235" s="1648">
        <v>43374</v>
      </c>
      <c r="F235" s="1658">
        <v>43617</v>
      </c>
      <c r="G235" s="1654">
        <v>43435</v>
      </c>
      <c r="H235" s="1672">
        <v>1</v>
      </c>
      <c r="I235" s="1584"/>
      <c r="J235" s="1608" t="s">
        <v>5967</v>
      </c>
      <c r="K235" s="1580"/>
      <c r="L235" s="1580"/>
      <c r="M235" s="1580"/>
      <c r="N235" s="1580"/>
      <c r="O235" s="1580"/>
      <c r="P235" s="1580"/>
      <c r="Q235" s="1580"/>
      <c r="R235" s="1580"/>
      <c r="S235" s="1580"/>
      <c r="T235" s="1580"/>
      <c r="U235" s="1580"/>
      <c r="V235" s="1580"/>
      <c r="W235" s="1580"/>
      <c r="X235" s="1580"/>
      <c r="Y235" s="1580"/>
      <c r="Z235" s="1580"/>
    </row>
    <row r="236" spans="1:26" ht="15.75" customHeight="1">
      <c r="A236" s="1580"/>
      <c r="B236" s="1671">
        <f t="shared" si="6"/>
        <v>48</v>
      </c>
      <c r="C236" s="1584" t="s">
        <v>5883</v>
      </c>
      <c r="D236" s="1584" t="s">
        <v>5884</v>
      </c>
      <c r="E236" s="1673">
        <v>43374</v>
      </c>
      <c r="F236" s="1673"/>
      <c r="G236" s="1640"/>
      <c r="H236" s="1660"/>
      <c r="I236" s="1584" t="s">
        <v>5806</v>
      </c>
      <c r="J236" s="1609" t="s">
        <v>5885</v>
      </c>
      <c r="K236" s="1580"/>
      <c r="L236" s="1580"/>
      <c r="M236" s="1580"/>
      <c r="N236" s="1580"/>
      <c r="O236" s="1580"/>
      <c r="P236" s="1580"/>
      <c r="Q236" s="1580"/>
      <c r="R236" s="1580"/>
      <c r="S236" s="1580"/>
      <c r="T236" s="1580"/>
      <c r="U236" s="1580"/>
      <c r="V236" s="1580"/>
      <c r="W236" s="1580"/>
      <c r="X236" s="1580"/>
      <c r="Y236" s="1580"/>
      <c r="Z236" s="1580"/>
    </row>
    <row r="237" spans="1:26" ht="15.75" customHeight="1">
      <c r="A237" s="1580"/>
      <c r="B237" s="1671">
        <f t="shared" si="6"/>
        <v>49</v>
      </c>
      <c r="C237" s="1584" t="s">
        <v>822</v>
      </c>
      <c r="D237" s="1584" t="s">
        <v>5968</v>
      </c>
      <c r="E237" s="1648">
        <v>43374</v>
      </c>
      <c r="F237" s="1648">
        <v>43405</v>
      </c>
      <c r="G237" s="1654">
        <v>43435</v>
      </c>
      <c r="H237" s="1672">
        <v>1</v>
      </c>
      <c r="I237" s="1584"/>
      <c r="J237" s="1609" t="s">
        <v>5969</v>
      </c>
      <c r="K237" s="1580"/>
      <c r="L237" s="1580"/>
      <c r="M237" s="1580"/>
      <c r="N237" s="1580"/>
      <c r="O237" s="1580"/>
      <c r="P237" s="1580"/>
      <c r="Q237" s="1580"/>
      <c r="R237" s="1580"/>
      <c r="S237" s="1580"/>
      <c r="T237" s="1580"/>
      <c r="U237" s="1580"/>
      <c r="V237" s="1580"/>
      <c r="W237" s="1580"/>
      <c r="X237" s="1580"/>
      <c r="Y237" s="1580"/>
      <c r="Z237" s="1580"/>
    </row>
    <row r="238" spans="1:26" ht="15.75" customHeight="1">
      <c r="A238" s="1580"/>
      <c r="B238" s="1671">
        <f t="shared" si="6"/>
        <v>50</v>
      </c>
      <c r="C238" s="1584" t="s">
        <v>2469</v>
      </c>
      <c r="D238" s="1584" t="s">
        <v>5970</v>
      </c>
      <c r="E238" s="1648">
        <v>43374</v>
      </c>
      <c r="F238" s="1648">
        <v>43405</v>
      </c>
      <c r="G238" s="1654">
        <v>43435</v>
      </c>
      <c r="H238" s="1672">
        <v>1</v>
      </c>
      <c r="I238" s="1584" t="s">
        <v>5806</v>
      </c>
      <c r="J238" s="1608" t="s">
        <v>5887</v>
      </c>
      <c r="K238" s="1580"/>
      <c r="L238" s="1580"/>
      <c r="M238" s="1580"/>
      <c r="N238" s="1580"/>
      <c r="O238" s="1580"/>
      <c r="P238" s="1580"/>
      <c r="Q238" s="1580"/>
      <c r="R238" s="1580"/>
      <c r="S238" s="1580"/>
      <c r="T238" s="1580"/>
      <c r="U238" s="1580"/>
      <c r="V238" s="1580"/>
      <c r="W238" s="1580"/>
      <c r="X238" s="1580"/>
      <c r="Y238" s="1580"/>
      <c r="Z238" s="1580"/>
    </row>
    <row r="239" spans="1:26" ht="15.75" customHeight="1">
      <c r="A239" s="1580"/>
      <c r="B239" s="1671">
        <f t="shared" si="6"/>
        <v>51</v>
      </c>
      <c r="C239" s="1584" t="s">
        <v>595</v>
      </c>
      <c r="D239" s="1584" t="s">
        <v>5971</v>
      </c>
      <c r="E239" s="1648">
        <v>43374</v>
      </c>
      <c r="F239" s="1648">
        <v>43405</v>
      </c>
      <c r="G239" s="1654">
        <v>43435</v>
      </c>
      <c r="H239" s="1672">
        <v>1</v>
      </c>
      <c r="I239" s="1584"/>
      <c r="J239" s="1609" t="s">
        <v>5972</v>
      </c>
      <c r="K239" s="1580"/>
      <c r="L239" s="1580"/>
      <c r="M239" s="1580"/>
      <c r="N239" s="1580"/>
      <c r="O239" s="1580"/>
      <c r="P239" s="1580"/>
      <c r="Q239" s="1580"/>
      <c r="R239" s="1580"/>
      <c r="S239" s="1580"/>
      <c r="T239" s="1580"/>
      <c r="U239" s="1580"/>
      <c r="V239" s="1580"/>
      <c r="W239" s="1580"/>
      <c r="X239" s="1580"/>
      <c r="Y239" s="1580"/>
      <c r="Z239" s="1580"/>
    </row>
    <row r="240" spans="1:26" ht="15.75" customHeight="1">
      <c r="A240" s="1580"/>
      <c r="B240" s="1671">
        <f t="shared" si="6"/>
        <v>52</v>
      </c>
      <c r="C240" s="1584" t="s">
        <v>167</v>
      </c>
      <c r="D240" s="1584" t="s">
        <v>5890</v>
      </c>
      <c r="E240" s="1673">
        <v>43374</v>
      </c>
      <c r="F240" s="1639"/>
      <c r="G240" s="1640"/>
      <c r="H240" s="1640"/>
      <c r="I240" s="1584" t="s">
        <v>5806</v>
      </c>
      <c r="J240" s="1608"/>
      <c r="K240" s="1580"/>
      <c r="L240" s="1580"/>
      <c r="M240" s="1580"/>
      <c r="N240" s="1580"/>
      <c r="O240" s="1580"/>
      <c r="P240" s="1580"/>
      <c r="Q240" s="1580"/>
      <c r="R240" s="1580"/>
      <c r="S240" s="1580"/>
      <c r="T240" s="1580"/>
      <c r="U240" s="1580"/>
      <c r="V240" s="1580"/>
      <c r="W240" s="1580"/>
      <c r="X240" s="1580"/>
      <c r="Y240" s="1580"/>
      <c r="Z240" s="1580"/>
    </row>
    <row r="241" spans="1:26" ht="15.75" customHeight="1">
      <c r="A241" s="1580"/>
      <c r="B241" s="1671">
        <f t="shared" si="6"/>
        <v>53</v>
      </c>
      <c r="C241" s="1584" t="s">
        <v>912</v>
      </c>
      <c r="D241" s="1584" t="s">
        <v>5973</v>
      </c>
      <c r="E241" s="1648">
        <v>43374</v>
      </c>
      <c r="F241" s="1658">
        <v>43405</v>
      </c>
      <c r="G241" s="1657">
        <v>43435</v>
      </c>
      <c r="H241" s="1672">
        <v>1</v>
      </c>
      <c r="I241" s="1584"/>
      <c r="J241" s="1609" t="s">
        <v>5974</v>
      </c>
      <c r="K241" s="1580"/>
      <c r="L241" s="1580"/>
      <c r="M241" s="1580"/>
      <c r="N241" s="1580"/>
      <c r="O241" s="1580"/>
      <c r="P241" s="1580"/>
      <c r="Q241" s="1580"/>
      <c r="R241" s="1580"/>
      <c r="S241" s="1580"/>
      <c r="T241" s="1580"/>
      <c r="U241" s="1580"/>
      <c r="V241" s="1580"/>
      <c r="W241" s="1580"/>
      <c r="X241" s="1580"/>
      <c r="Y241" s="1580"/>
      <c r="Z241" s="1580"/>
    </row>
    <row r="242" spans="1:26" ht="15.75" customHeight="1">
      <c r="A242" s="1580"/>
      <c r="B242" s="1671">
        <f t="shared" si="6"/>
        <v>54</v>
      </c>
      <c r="C242" s="1584" t="s">
        <v>5975</v>
      </c>
      <c r="D242" s="1584" t="s">
        <v>5976</v>
      </c>
      <c r="E242" s="1648">
        <v>43374</v>
      </c>
      <c r="F242" s="1648">
        <v>43405</v>
      </c>
      <c r="G242" s="1654">
        <v>43435</v>
      </c>
      <c r="H242" s="1672">
        <v>1</v>
      </c>
      <c r="I242" s="1584"/>
      <c r="J242" s="1609" t="s">
        <v>5977</v>
      </c>
      <c r="K242" s="1580"/>
      <c r="L242" s="1580"/>
      <c r="M242" s="1580"/>
      <c r="N242" s="1580"/>
      <c r="O242" s="1580"/>
      <c r="P242" s="1580"/>
      <c r="Q242" s="1580"/>
      <c r="R242" s="1580"/>
      <c r="S242" s="1580"/>
      <c r="T242" s="1580"/>
      <c r="U242" s="1580"/>
      <c r="V242" s="1580"/>
      <c r="W242" s="1580"/>
      <c r="X242" s="1580"/>
      <c r="Y242" s="1580"/>
      <c r="Z242" s="1580"/>
    </row>
    <row r="243" spans="1:26" ht="15.75" customHeight="1">
      <c r="A243" s="1580"/>
      <c r="B243" s="1671">
        <f t="shared" si="6"/>
        <v>55</v>
      </c>
      <c r="C243" s="1584" t="s">
        <v>2464</v>
      </c>
      <c r="D243" s="1584" t="s">
        <v>2465</v>
      </c>
      <c r="E243" s="1648">
        <v>43374</v>
      </c>
      <c r="F243" s="1658">
        <v>43405</v>
      </c>
      <c r="G243" s="1657">
        <v>43435</v>
      </c>
      <c r="H243" s="1672">
        <v>1</v>
      </c>
      <c r="I243" s="1584" t="s">
        <v>5727</v>
      </c>
      <c r="J243" s="1609" t="s">
        <v>2466</v>
      </c>
      <c r="K243" s="1580"/>
      <c r="L243" s="1580"/>
      <c r="M243" s="1580"/>
      <c r="N243" s="1580"/>
      <c r="O243" s="1580"/>
      <c r="P243" s="1580"/>
      <c r="Q243" s="1580"/>
      <c r="R243" s="1580"/>
      <c r="S243" s="1580"/>
      <c r="T243" s="1580"/>
      <c r="U243" s="1580"/>
      <c r="V243" s="1580"/>
      <c r="W243" s="1580"/>
      <c r="X243" s="1580"/>
      <c r="Y243" s="1580"/>
      <c r="Z243" s="1580"/>
    </row>
    <row r="244" spans="1:26" ht="15.75" customHeight="1">
      <c r="A244" s="1580"/>
      <c r="B244" s="1671">
        <f t="shared" si="6"/>
        <v>56</v>
      </c>
      <c r="C244" s="1584" t="s">
        <v>912</v>
      </c>
      <c r="D244" s="1584" t="s">
        <v>5891</v>
      </c>
      <c r="E244" s="1673">
        <v>43374</v>
      </c>
      <c r="F244" s="1673">
        <v>43405</v>
      </c>
      <c r="G244" s="1630"/>
      <c r="H244" s="1630"/>
      <c r="I244" s="1584" t="s">
        <v>5806</v>
      </c>
      <c r="J244" s="1608" t="s">
        <v>5892</v>
      </c>
      <c r="K244" s="1580"/>
      <c r="L244" s="1580"/>
      <c r="M244" s="1580"/>
      <c r="N244" s="1580"/>
      <c r="O244" s="1580"/>
      <c r="P244" s="1580"/>
      <c r="Q244" s="1580"/>
      <c r="R244" s="1580"/>
      <c r="S244" s="1580"/>
      <c r="T244" s="1580"/>
      <c r="U244" s="1580"/>
      <c r="V244" s="1580"/>
      <c r="W244" s="1580"/>
      <c r="X244" s="1580"/>
      <c r="Y244" s="1580"/>
      <c r="Z244" s="1580"/>
    </row>
    <row r="245" spans="1:26" ht="15.75" customHeight="1">
      <c r="A245" s="1580"/>
      <c r="B245" s="1671">
        <f t="shared" si="6"/>
        <v>57</v>
      </c>
      <c r="C245" s="1584" t="s">
        <v>188</v>
      </c>
      <c r="D245" s="1584" t="s">
        <v>5978</v>
      </c>
      <c r="E245" s="1648">
        <v>43374</v>
      </c>
      <c r="F245" s="1648">
        <v>43405</v>
      </c>
      <c r="G245" s="1654">
        <v>43435</v>
      </c>
      <c r="H245" s="1672">
        <v>1</v>
      </c>
      <c r="I245" s="1584"/>
      <c r="J245" s="1608"/>
      <c r="K245" s="1580"/>
      <c r="L245" s="1580"/>
      <c r="M245" s="1580"/>
      <c r="N245" s="1580"/>
      <c r="O245" s="1580"/>
      <c r="P245" s="1580"/>
      <c r="Q245" s="1580"/>
      <c r="R245" s="1580"/>
      <c r="S245" s="1580"/>
      <c r="T245" s="1580"/>
      <c r="U245" s="1580"/>
      <c r="V245" s="1580"/>
      <c r="W245" s="1580"/>
      <c r="X245" s="1580"/>
      <c r="Y245" s="1580"/>
      <c r="Z245" s="1580"/>
    </row>
    <row r="246" spans="1:26" ht="15.75" customHeight="1">
      <c r="A246" s="1580"/>
      <c r="B246" s="1671">
        <f t="shared" si="6"/>
        <v>58</v>
      </c>
      <c r="C246" s="1584" t="s">
        <v>246</v>
      </c>
      <c r="D246" s="1584" t="s">
        <v>5979</v>
      </c>
      <c r="E246" s="1648">
        <v>43374</v>
      </c>
      <c r="F246" s="1648">
        <v>43405</v>
      </c>
      <c r="G246" s="1654">
        <v>43435</v>
      </c>
      <c r="H246" s="1672">
        <v>1</v>
      </c>
      <c r="I246" s="1584"/>
      <c r="J246" s="1609" t="s">
        <v>5980</v>
      </c>
      <c r="K246" s="1580"/>
      <c r="L246" s="1580"/>
      <c r="M246" s="1580"/>
      <c r="N246" s="1580"/>
      <c r="O246" s="1580"/>
      <c r="P246" s="1580"/>
      <c r="Q246" s="1580"/>
      <c r="R246" s="1580"/>
      <c r="S246" s="1580"/>
      <c r="T246" s="1580"/>
      <c r="U246" s="1580"/>
      <c r="V246" s="1580"/>
      <c r="W246" s="1580"/>
      <c r="X246" s="1580"/>
      <c r="Y246" s="1580"/>
      <c r="Z246" s="1580"/>
    </row>
    <row r="247" spans="1:26" ht="15.75" customHeight="1">
      <c r="A247" s="1580"/>
      <c r="B247" s="1671">
        <f t="shared" si="6"/>
        <v>59</v>
      </c>
      <c r="C247" s="1584" t="s">
        <v>563</v>
      </c>
      <c r="D247" s="1584" t="s">
        <v>2987</v>
      </c>
      <c r="E247" s="1673">
        <v>43374</v>
      </c>
      <c r="F247" s="1647"/>
      <c r="G247" s="1647"/>
      <c r="H247" s="1675"/>
      <c r="I247" s="1584"/>
      <c r="J247" s="1608"/>
      <c r="K247" s="1580"/>
      <c r="L247" s="1580"/>
      <c r="M247" s="1580"/>
      <c r="N247" s="1580"/>
      <c r="O247" s="1580"/>
      <c r="P247" s="1580"/>
      <c r="Q247" s="1580"/>
      <c r="R247" s="1580"/>
      <c r="S247" s="1580"/>
      <c r="T247" s="1580"/>
      <c r="U247" s="1580"/>
      <c r="V247" s="1580"/>
      <c r="W247" s="1580"/>
      <c r="X247" s="1580"/>
      <c r="Y247" s="1580"/>
      <c r="Z247" s="1580"/>
    </row>
    <row r="248" spans="1:26" ht="15.75" customHeight="1">
      <c r="A248" s="1580"/>
      <c r="B248" s="1671">
        <f t="shared" si="6"/>
        <v>60</v>
      </c>
      <c r="C248" s="1584" t="s">
        <v>769</v>
      </c>
      <c r="D248" s="1584" t="s">
        <v>2987</v>
      </c>
      <c r="E248" s="1648">
        <v>43374</v>
      </c>
      <c r="F248" s="1648">
        <v>43405</v>
      </c>
      <c r="G248" s="1654">
        <v>43435</v>
      </c>
      <c r="H248" s="1672">
        <v>1</v>
      </c>
      <c r="I248" s="1584" t="s">
        <v>5806</v>
      </c>
      <c r="J248" s="1608" t="s">
        <v>4603</v>
      </c>
      <c r="K248" s="1580"/>
      <c r="L248" s="1580"/>
      <c r="M248" s="1580"/>
      <c r="N248" s="1580"/>
      <c r="O248" s="1580"/>
      <c r="P248" s="1580"/>
      <c r="Q248" s="1580"/>
      <c r="R248" s="1580"/>
      <c r="S248" s="1580"/>
      <c r="T248" s="1580"/>
      <c r="U248" s="1580"/>
      <c r="V248" s="1580"/>
      <c r="W248" s="1580"/>
      <c r="X248" s="1580"/>
      <c r="Y248" s="1580"/>
      <c r="Z248" s="1580"/>
    </row>
    <row r="249" spans="1:26" ht="15.75" customHeight="1">
      <c r="A249" s="1580"/>
      <c r="B249" s="1671">
        <f t="shared" si="6"/>
        <v>61</v>
      </c>
      <c r="C249" s="1584" t="s">
        <v>4146</v>
      </c>
      <c r="D249" s="1584" t="s">
        <v>2365</v>
      </c>
      <c r="E249" s="1648">
        <v>43374</v>
      </c>
      <c r="F249" s="1648">
        <v>43405</v>
      </c>
      <c r="G249" s="1654">
        <v>43435</v>
      </c>
      <c r="H249" s="1672">
        <v>1</v>
      </c>
      <c r="I249" s="1584" t="s">
        <v>5806</v>
      </c>
      <c r="J249" s="1608" t="s">
        <v>5742</v>
      </c>
      <c r="K249" s="1580"/>
      <c r="L249" s="1580"/>
      <c r="M249" s="1580"/>
      <c r="N249" s="1580"/>
      <c r="O249" s="1580"/>
      <c r="P249" s="1580"/>
      <c r="Q249" s="1580"/>
      <c r="R249" s="1580"/>
      <c r="S249" s="1580"/>
      <c r="T249" s="1580"/>
      <c r="U249" s="1580"/>
      <c r="V249" s="1580"/>
      <c r="W249" s="1580"/>
      <c r="X249" s="1580"/>
      <c r="Y249" s="1580"/>
      <c r="Z249" s="1580"/>
    </row>
    <row r="250" spans="1:26" ht="15.75" customHeight="1">
      <c r="A250" s="1580"/>
      <c r="B250" s="1671">
        <f t="shared" si="6"/>
        <v>62</v>
      </c>
      <c r="C250" s="1584" t="s">
        <v>693</v>
      </c>
      <c r="D250" s="1584" t="s">
        <v>2478</v>
      </c>
      <c r="E250" s="1648">
        <v>43374</v>
      </c>
      <c r="F250" s="1658">
        <v>43617</v>
      </c>
      <c r="G250" s="1657">
        <v>43647</v>
      </c>
      <c r="H250" s="1672">
        <v>1</v>
      </c>
      <c r="I250" s="1584"/>
      <c r="J250" s="1609" t="s">
        <v>4626</v>
      </c>
      <c r="K250" s="1580"/>
      <c r="L250" s="1580"/>
      <c r="M250" s="1580"/>
      <c r="N250" s="1580"/>
      <c r="O250" s="1580"/>
      <c r="P250" s="1580"/>
      <c r="Q250" s="1580"/>
      <c r="R250" s="1580"/>
      <c r="S250" s="1580"/>
      <c r="T250" s="1580"/>
      <c r="U250" s="1580"/>
      <c r="V250" s="1580"/>
      <c r="W250" s="1580"/>
      <c r="X250" s="1580"/>
      <c r="Y250" s="1580"/>
      <c r="Z250" s="1580"/>
    </row>
    <row r="251" spans="1:26" ht="15.75" customHeight="1">
      <c r="A251" s="1580"/>
      <c r="B251" s="1671">
        <f t="shared" si="6"/>
        <v>63</v>
      </c>
      <c r="C251" s="1584" t="s">
        <v>216</v>
      </c>
      <c r="D251" s="1584" t="s">
        <v>5981</v>
      </c>
      <c r="E251" s="1648">
        <v>43374</v>
      </c>
      <c r="F251" s="1648">
        <v>43405</v>
      </c>
      <c r="G251" s="1654">
        <v>43435</v>
      </c>
      <c r="H251" s="1672">
        <v>1</v>
      </c>
      <c r="I251" s="1584"/>
      <c r="J251" s="1609" t="s">
        <v>5982</v>
      </c>
      <c r="K251" s="1580"/>
      <c r="L251" s="1580"/>
      <c r="M251" s="1580"/>
      <c r="N251" s="1580"/>
      <c r="O251" s="1580"/>
      <c r="P251" s="1580"/>
      <c r="Q251" s="1580"/>
      <c r="R251" s="1580"/>
      <c r="S251" s="1580"/>
      <c r="T251" s="1580"/>
      <c r="U251" s="1580"/>
      <c r="V251" s="1580"/>
      <c r="W251" s="1580"/>
      <c r="X251" s="1580"/>
      <c r="Y251" s="1580"/>
      <c r="Z251" s="1580"/>
    </row>
    <row r="252" spans="1:26" ht="15.75" customHeight="1">
      <c r="A252" s="1580"/>
      <c r="B252" s="1671">
        <f t="shared" si="6"/>
        <v>64</v>
      </c>
      <c r="C252" s="1584" t="s">
        <v>246</v>
      </c>
      <c r="D252" s="1584" t="s">
        <v>2448</v>
      </c>
      <c r="E252" s="1648">
        <v>43374</v>
      </c>
      <c r="F252" s="1648">
        <v>43405</v>
      </c>
      <c r="G252" s="1654">
        <v>43435</v>
      </c>
      <c r="H252" s="1672">
        <v>1</v>
      </c>
      <c r="I252" s="1584"/>
      <c r="J252" s="1609" t="s">
        <v>5983</v>
      </c>
      <c r="K252" s="1580"/>
      <c r="L252" s="1580"/>
      <c r="M252" s="1580"/>
      <c r="N252" s="1580"/>
      <c r="O252" s="1580"/>
      <c r="P252" s="1580"/>
      <c r="Q252" s="1580"/>
      <c r="R252" s="1580"/>
      <c r="S252" s="1580"/>
      <c r="T252" s="1580"/>
      <c r="U252" s="1580"/>
      <c r="V252" s="1580"/>
      <c r="W252" s="1580"/>
      <c r="X252" s="1580"/>
      <c r="Y252" s="1580"/>
      <c r="Z252" s="1580"/>
    </row>
    <row r="253" spans="1:26" ht="15.75" customHeight="1">
      <c r="A253" s="1580"/>
      <c r="B253" s="1671">
        <f t="shared" si="6"/>
        <v>65</v>
      </c>
      <c r="C253" s="1584" t="s">
        <v>166</v>
      </c>
      <c r="D253" s="1584" t="s">
        <v>5893</v>
      </c>
      <c r="E253" s="1648">
        <v>43374</v>
      </c>
      <c r="F253" s="1658">
        <v>43405</v>
      </c>
      <c r="G253" s="1657">
        <v>43435</v>
      </c>
      <c r="H253" s="1672">
        <v>1</v>
      </c>
      <c r="I253" s="1584" t="s">
        <v>5806</v>
      </c>
      <c r="J253" s="1609" t="s">
        <v>5894</v>
      </c>
      <c r="K253" s="1580"/>
      <c r="L253" s="1580"/>
      <c r="M253" s="1580"/>
      <c r="N253" s="1580"/>
      <c r="O253" s="1580"/>
      <c r="P253" s="1580"/>
      <c r="Q253" s="1580"/>
      <c r="R253" s="1580"/>
      <c r="S253" s="1580"/>
      <c r="T253" s="1580"/>
      <c r="U253" s="1580"/>
      <c r="V253" s="1580"/>
      <c r="W253" s="1580"/>
      <c r="X253" s="1580"/>
      <c r="Y253" s="1580"/>
      <c r="Z253" s="1580"/>
    </row>
    <row r="254" spans="1:26" ht="15.75" customHeight="1">
      <c r="A254" s="1580"/>
      <c r="B254" s="1671">
        <f t="shared" si="6"/>
        <v>66</v>
      </c>
      <c r="C254" s="1584" t="s">
        <v>287</v>
      </c>
      <c r="D254" s="1584" t="s">
        <v>5984</v>
      </c>
      <c r="E254" s="1648">
        <v>43374</v>
      </c>
      <c r="F254" s="1648">
        <v>43405</v>
      </c>
      <c r="G254" s="1654">
        <v>43435</v>
      </c>
      <c r="H254" s="1672">
        <v>1</v>
      </c>
      <c r="I254" s="1584"/>
      <c r="J254" s="1609" t="s">
        <v>5985</v>
      </c>
      <c r="K254" s="1580"/>
      <c r="L254" s="1580"/>
      <c r="M254" s="1580"/>
      <c r="N254" s="1580"/>
      <c r="O254" s="1580"/>
      <c r="P254" s="1580"/>
      <c r="Q254" s="1580"/>
      <c r="R254" s="1580"/>
      <c r="S254" s="1580"/>
      <c r="T254" s="1580"/>
      <c r="U254" s="1580"/>
      <c r="V254" s="1580"/>
      <c r="W254" s="1580"/>
      <c r="X254" s="1580"/>
      <c r="Y254" s="1580"/>
      <c r="Z254" s="1580"/>
    </row>
    <row r="255" spans="1:26" ht="15.75" customHeight="1">
      <c r="A255" s="1580"/>
      <c r="B255" s="1671">
        <f t="shared" si="6"/>
        <v>67</v>
      </c>
      <c r="C255" s="1584" t="s">
        <v>407</v>
      </c>
      <c r="D255" s="1584" t="s">
        <v>5986</v>
      </c>
      <c r="E255" s="1673">
        <v>43374</v>
      </c>
      <c r="F255" s="1673">
        <v>43405</v>
      </c>
      <c r="G255" s="1660"/>
      <c r="H255" s="1660"/>
      <c r="I255" s="1584"/>
      <c r="J255" s="1609" t="s">
        <v>5987</v>
      </c>
      <c r="K255" s="1580"/>
      <c r="L255" s="1580"/>
      <c r="M255" s="1580"/>
      <c r="N255" s="1580"/>
      <c r="O255" s="1580"/>
      <c r="P255" s="1580"/>
      <c r="Q255" s="1580"/>
      <c r="R255" s="1580"/>
      <c r="S255" s="1580"/>
      <c r="T255" s="1580"/>
      <c r="U255" s="1580"/>
      <c r="V255" s="1580"/>
      <c r="W255" s="1580"/>
      <c r="X255" s="1580"/>
      <c r="Y255" s="1580"/>
      <c r="Z255" s="1580"/>
    </row>
    <row r="256" spans="1:26" ht="15.75" customHeight="1">
      <c r="A256" s="1580"/>
      <c r="B256" s="1671">
        <f t="shared" si="6"/>
        <v>68</v>
      </c>
      <c r="C256" s="1584" t="s">
        <v>451</v>
      </c>
      <c r="D256" s="1584" t="s">
        <v>1916</v>
      </c>
      <c r="E256" s="1605">
        <v>43374</v>
      </c>
      <c r="F256" s="1658">
        <v>43405</v>
      </c>
      <c r="G256" s="1657">
        <v>43435</v>
      </c>
      <c r="H256" s="1672">
        <v>1</v>
      </c>
      <c r="I256" s="1584" t="s">
        <v>5806</v>
      </c>
      <c r="J256" s="1608" t="s">
        <v>5897</v>
      </c>
      <c r="K256" s="1580"/>
      <c r="L256" s="1580"/>
      <c r="M256" s="1580"/>
      <c r="N256" s="1580"/>
      <c r="O256" s="1580"/>
      <c r="P256" s="1580"/>
      <c r="Q256" s="1580"/>
      <c r="R256" s="1580"/>
      <c r="S256" s="1580"/>
      <c r="T256" s="1580"/>
      <c r="U256" s="1580"/>
      <c r="V256" s="1580"/>
      <c r="W256" s="1580"/>
      <c r="X256" s="1580"/>
      <c r="Y256" s="1580"/>
      <c r="Z256" s="1580"/>
    </row>
    <row r="257" spans="1:26" ht="15.75" customHeight="1">
      <c r="A257" s="1580"/>
      <c r="B257" s="1671">
        <f t="shared" si="6"/>
        <v>69</v>
      </c>
      <c r="C257" s="1584" t="s">
        <v>188</v>
      </c>
      <c r="D257" s="1584" t="s">
        <v>5988</v>
      </c>
      <c r="E257" s="1673">
        <v>43374</v>
      </c>
      <c r="F257" s="1588"/>
      <c r="G257" s="1674"/>
      <c r="H257" s="1660"/>
      <c r="I257" s="1584"/>
      <c r="J257" s="1609" t="s">
        <v>4039</v>
      </c>
      <c r="K257" s="1580"/>
      <c r="L257" s="1580"/>
      <c r="M257" s="1580"/>
      <c r="N257" s="1580"/>
      <c r="O257" s="1580"/>
      <c r="P257" s="1580"/>
      <c r="Q257" s="1580"/>
      <c r="R257" s="1580"/>
      <c r="S257" s="1580"/>
      <c r="T257" s="1580"/>
      <c r="U257" s="1580"/>
      <c r="V257" s="1580"/>
      <c r="W257" s="1580"/>
      <c r="X257" s="1580"/>
      <c r="Y257" s="1580"/>
      <c r="Z257" s="1580"/>
    </row>
    <row r="258" spans="1:26" ht="15.75" customHeight="1">
      <c r="A258" s="1580"/>
      <c r="B258" s="1671">
        <f t="shared" si="6"/>
        <v>70</v>
      </c>
      <c r="C258" s="1584" t="s">
        <v>451</v>
      </c>
      <c r="D258" s="1584" t="s">
        <v>5989</v>
      </c>
      <c r="E258" s="1648">
        <v>43374</v>
      </c>
      <c r="F258" s="1648">
        <v>43405</v>
      </c>
      <c r="G258" s="1654">
        <v>43435</v>
      </c>
      <c r="H258" s="1672">
        <v>1</v>
      </c>
      <c r="I258" s="1584"/>
      <c r="J258" s="1609" t="s">
        <v>5990</v>
      </c>
      <c r="K258" s="1580"/>
      <c r="L258" s="1580"/>
      <c r="M258" s="1580"/>
      <c r="N258" s="1580"/>
      <c r="O258" s="1580"/>
      <c r="P258" s="1580"/>
      <c r="Q258" s="1580"/>
      <c r="R258" s="1580"/>
      <c r="S258" s="1580"/>
      <c r="T258" s="1580"/>
      <c r="U258" s="1580"/>
      <c r="V258" s="1580"/>
      <c r="W258" s="1580"/>
      <c r="X258" s="1580"/>
      <c r="Y258" s="1580"/>
      <c r="Z258" s="1580"/>
    </row>
    <row r="259" spans="1:26" ht="15.75" customHeight="1">
      <c r="A259" s="1580"/>
      <c r="B259" s="1671">
        <f t="shared" si="6"/>
        <v>71</v>
      </c>
      <c r="C259" s="1584" t="s">
        <v>5991</v>
      </c>
      <c r="D259" s="1584" t="s">
        <v>5992</v>
      </c>
      <c r="E259" s="1648">
        <v>43374</v>
      </c>
      <c r="F259" s="1648">
        <v>43405</v>
      </c>
      <c r="G259" s="1654">
        <v>43435</v>
      </c>
      <c r="H259" s="1672">
        <v>1</v>
      </c>
      <c r="I259" s="1584"/>
      <c r="J259" s="1608" t="s">
        <v>5993</v>
      </c>
      <c r="K259" s="1580"/>
      <c r="L259" s="1580"/>
      <c r="M259" s="1580"/>
      <c r="N259" s="1580"/>
      <c r="O259" s="1580"/>
      <c r="P259" s="1580"/>
      <c r="Q259" s="1580"/>
      <c r="R259" s="1580"/>
      <c r="S259" s="1580"/>
      <c r="T259" s="1580"/>
      <c r="U259" s="1580"/>
      <c r="V259" s="1580"/>
      <c r="W259" s="1580"/>
      <c r="X259" s="1580"/>
      <c r="Y259" s="1580"/>
      <c r="Z259" s="1580"/>
    </row>
    <row r="260" spans="1:26" ht="15.75" customHeight="1">
      <c r="A260" s="1580"/>
      <c r="B260" s="1671">
        <f t="shared" si="6"/>
        <v>72</v>
      </c>
      <c r="C260" s="1584" t="s">
        <v>769</v>
      </c>
      <c r="D260" s="1584" t="s">
        <v>5994</v>
      </c>
      <c r="E260" s="1648">
        <v>43374</v>
      </c>
      <c r="F260" s="1648">
        <v>43405</v>
      </c>
      <c r="G260" s="1654">
        <v>43435</v>
      </c>
      <c r="H260" s="1672">
        <v>1</v>
      </c>
      <c r="I260" s="1584"/>
      <c r="J260" s="1609" t="s">
        <v>5995</v>
      </c>
      <c r="K260" s="1580"/>
      <c r="L260" s="1580"/>
      <c r="M260" s="1580"/>
      <c r="N260" s="1580"/>
      <c r="O260" s="1580"/>
      <c r="P260" s="1580"/>
      <c r="Q260" s="1580"/>
      <c r="R260" s="1580"/>
      <c r="S260" s="1580"/>
      <c r="T260" s="1580"/>
      <c r="U260" s="1580"/>
      <c r="V260" s="1580"/>
      <c r="W260" s="1580"/>
      <c r="X260" s="1580"/>
      <c r="Y260" s="1580"/>
      <c r="Z260" s="1580"/>
    </row>
    <row r="261" spans="1:26" ht="15.75" customHeight="1">
      <c r="A261" s="1580"/>
      <c r="B261" s="1671">
        <f t="shared" si="6"/>
        <v>73</v>
      </c>
      <c r="C261" s="1617" t="s">
        <v>5901</v>
      </c>
      <c r="D261" s="1617" t="s">
        <v>5996</v>
      </c>
      <c r="E261" s="1679">
        <v>43374</v>
      </c>
      <c r="F261" s="1680">
        <v>43405</v>
      </c>
      <c r="G261" s="1681"/>
      <c r="H261" s="1682"/>
      <c r="I261" s="1617"/>
      <c r="J261" s="1622" t="s">
        <v>5903</v>
      </c>
      <c r="K261" s="1580"/>
      <c r="L261" s="1580"/>
      <c r="M261" s="1580"/>
      <c r="N261" s="1580"/>
      <c r="O261" s="1580"/>
      <c r="P261" s="1580"/>
      <c r="Q261" s="1580"/>
      <c r="R261" s="1580"/>
      <c r="S261" s="1580"/>
      <c r="T261" s="1580"/>
      <c r="U261" s="1580"/>
      <c r="V261" s="1580"/>
      <c r="W261" s="1580"/>
      <c r="X261" s="1580"/>
      <c r="Y261" s="1580"/>
      <c r="Z261" s="1580"/>
    </row>
    <row r="262" spans="1:26" ht="15.75" customHeight="1">
      <c r="A262" s="1580"/>
      <c r="B262" s="1595">
        <v>1</v>
      </c>
      <c r="C262" s="1596" t="s">
        <v>204</v>
      </c>
      <c r="D262" s="1596" t="s">
        <v>5997</v>
      </c>
      <c r="E262" s="1598">
        <v>43586</v>
      </c>
      <c r="F262" s="1598">
        <v>43617</v>
      </c>
      <c r="G262" s="1599">
        <v>43647</v>
      </c>
      <c r="H262" s="1683">
        <v>1</v>
      </c>
      <c r="I262" s="1596"/>
      <c r="J262" s="1627" t="s">
        <v>5998</v>
      </c>
      <c r="K262" s="1580"/>
      <c r="L262" s="1580"/>
      <c r="M262" s="1580"/>
      <c r="N262" s="1580"/>
      <c r="O262" s="1580"/>
      <c r="P262" s="1580"/>
      <c r="Q262" s="1580"/>
      <c r="R262" s="1580"/>
      <c r="S262" s="1602"/>
      <c r="T262" s="1580"/>
      <c r="U262" s="1580"/>
      <c r="V262" s="1580"/>
      <c r="W262" s="1580"/>
      <c r="X262" s="1580"/>
      <c r="Y262" s="1580"/>
      <c r="Z262" s="1580"/>
    </row>
    <row r="263" spans="1:26" ht="15.75" customHeight="1">
      <c r="A263" s="1580"/>
      <c r="B263" s="1603">
        <f t="shared" ref="B263:B265" si="7">B262+1</f>
        <v>2</v>
      </c>
      <c r="C263" s="1584" t="s">
        <v>710</v>
      </c>
      <c r="D263" s="1584" t="s">
        <v>5999</v>
      </c>
      <c r="E263" s="1605">
        <v>43586</v>
      </c>
      <c r="F263" s="1605">
        <v>43617</v>
      </c>
      <c r="G263" s="1606">
        <v>43647</v>
      </c>
      <c r="H263" s="1678">
        <v>1</v>
      </c>
      <c r="I263" s="1584"/>
      <c r="J263" s="1609" t="s">
        <v>6000</v>
      </c>
      <c r="K263" s="1580"/>
      <c r="L263" s="1580"/>
      <c r="M263" s="1580"/>
      <c r="N263" s="1580"/>
      <c r="O263" s="1580"/>
      <c r="P263" s="1580"/>
      <c r="Q263" s="1580"/>
      <c r="R263" s="1580"/>
      <c r="S263" s="1602"/>
      <c r="T263" s="1580"/>
      <c r="U263" s="1580"/>
      <c r="V263" s="1580"/>
      <c r="W263" s="1580"/>
      <c r="X263" s="1580"/>
      <c r="Y263" s="1580"/>
      <c r="Z263" s="1580"/>
    </row>
    <row r="264" spans="1:26" ht="15.75" customHeight="1">
      <c r="A264" s="1580"/>
      <c r="B264" s="1603">
        <f t="shared" si="7"/>
        <v>3</v>
      </c>
      <c r="C264" s="1584" t="s">
        <v>1763</v>
      </c>
      <c r="D264" s="1584" t="s">
        <v>3031</v>
      </c>
      <c r="E264" s="1605">
        <v>43739</v>
      </c>
      <c r="F264" s="1605">
        <v>43617</v>
      </c>
      <c r="G264" s="1606">
        <v>43647</v>
      </c>
      <c r="H264" s="1678">
        <v>1</v>
      </c>
      <c r="I264" s="1584"/>
      <c r="J264" s="1608" t="s">
        <v>6001</v>
      </c>
      <c r="K264" s="1580"/>
      <c r="L264" s="1580"/>
      <c r="M264" s="1580"/>
      <c r="N264" s="1580"/>
      <c r="O264" s="1580"/>
      <c r="P264" s="1580"/>
      <c r="Q264" s="1580"/>
      <c r="R264" s="1580"/>
      <c r="S264" s="1580"/>
      <c r="T264" s="1580"/>
      <c r="U264" s="1580"/>
      <c r="V264" s="1580"/>
      <c r="W264" s="1580"/>
      <c r="X264" s="1580"/>
      <c r="Y264" s="1580"/>
      <c r="Z264" s="1580"/>
    </row>
    <row r="265" spans="1:26" ht="15.75" customHeight="1">
      <c r="A265" s="1580"/>
      <c r="B265" s="1603">
        <f t="shared" si="7"/>
        <v>4</v>
      </c>
      <c r="C265" s="1584" t="s">
        <v>188</v>
      </c>
      <c r="D265" s="1584" t="s">
        <v>6002</v>
      </c>
      <c r="E265" s="1605">
        <v>43586</v>
      </c>
      <c r="F265" s="1605">
        <v>43617</v>
      </c>
      <c r="G265" s="1606">
        <v>43647</v>
      </c>
      <c r="H265" s="1678">
        <v>1</v>
      </c>
      <c r="I265" s="1584"/>
      <c r="J265" s="1608" t="s">
        <v>6003</v>
      </c>
      <c r="K265" s="1580"/>
      <c r="L265" s="1580"/>
      <c r="M265" s="1580"/>
      <c r="N265" s="1580"/>
      <c r="O265" s="1580"/>
      <c r="P265" s="1580"/>
      <c r="Q265" s="1580"/>
      <c r="R265" s="1580"/>
      <c r="S265" s="1580"/>
      <c r="T265" s="1580"/>
      <c r="U265" s="1580"/>
      <c r="V265" s="1580"/>
      <c r="W265" s="1580"/>
      <c r="X265" s="1580"/>
      <c r="Y265" s="1580"/>
      <c r="Z265" s="1580"/>
    </row>
    <row r="266" spans="1:26" ht="15.75" customHeight="1">
      <c r="A266" s="1580"/>
      <c r="B266" s="1603">
        <f t="shared" ref="B266:B267" si="8">B264+1</f>
        <v>4</v>
      </c>
      <c r="C266" s="1584" t="s">
        <v>1134</v>
      </c>
      <c r="D266" s="1584" t="s">
        <v>6004</v>
      </c>
      <c r="E266" s="1638">
        <v>43586</v>
      </c>
      <c r="F266" s="1638">
        <v>43617</v>
      </c>
      <c r="G266" s="1630"/>
      <c r="H266" s="1684"/>
      <c r="I266" s="1685" t="s">
        <v>6005</v>
      </c>
      <c r="J266" s="1608" t="s">
        <v>6006</v>
      </c>
      <c r="K266" s="1580"/>
      <c r="L266" s="1580"/>
      <c r="M266" s="1580"/>
      <c r="N266" s="1580"/>
      <c r="O266" s="1580"/>
      <c r="P266" s="1580"/>
      <c r="Q266" s="1580"/>
      <c r="R266" s="1580"/>
      <c r="S266" s="1580"/>
      <c r="T266" s="1580"/>
      <c r="U266" s="1580"/>
      <c r="V266" s="1580"/>
      <c r="W266" s="1580"/>
      <c r="X266" s="1580"/>
      <c r="Y266" s="1580"/>
      <c r="Z266" s="1580"/>
    </row>
    <row r="267" spans="1:26" ht="15.75" customHeight="1">
      <c r="A267" s="1580"/>
      <c r="B267" s="1603">
        <f t="shared" si="8"/>
        <v>5</v>
      </c>
      <c r="C267" s="1584" t="s">
        <v>6007</v>
      </c>
      <c r="D267" s="1584" t="s">
        <v>6008</v>
      </c>
      <c r="E267" s="1605">
        <v>43586</v>
      </c>
      <c r="F267" s="1605">
        <v>43617</v>
      </c>
      <c r="G267" s="1606">
        <v>43647</v>
      </c>
      <c r="H267" s="1678">
        <v>1</v>
      </c>
      <c r="I267" s="1584"/>
      <c r="J267" s="1608" t="s">
        <v>6009</v>
      </c>
      <c r="K267" s="1580"/>
      <c r="L267" s="1580"/>
      <c r="M267" s="1580"/>
      <c r="N267" s="1580"/>
      <c r="O267" s="1580"/>
      <c r="P267" s="1580"/>
      <c r="Q267" s="1580"/>
      <c r="R267" s="1580"/>
      <c r="S267" s="1580"/>
      <c r="T267" s="1580"/>
      <c r="U267" s="1580"/>
      <c r="V267" s="1580"/>
      <c r="W267" s="1580"/>
      <c r="X267" s="1580"/>
      <c r="Y267" s="1580"/>
      <c r="Z267" s="1580"/>
    </row>
    <row r="268" spans="1:26" ht="15.75" customHeight="1">
      <c r="A268" s="1580"/>
      <c r="B268" s="1603">
        <f t="shared" ref="B268:B343" si="9">B267+1</f>
        <v>6</v>
      </c>
      <c r="C268" s="1584" t="s">
        <v>769</v>
      </c>
      <c r="D268" s="1584" t="s">
        <v>6010</v>
      </c>
      <c r="E268" s="1605">
        <v>43586</v>
      </c>
      <c r="F268" s="1605">
        <v>43617</v>
      </c>
      <c r="G268" s="1606">
        <v>43800</v>
      </c>
      <c r="H268" s="1672">
        <v>1</v>
      </c>
      <c r="I268" s="1584"/>
      <c r="J268" s="1608" t="s">
        <v>6011</v>
      </c>
      <c r="K268" s="1580"/>
      <c r="L268" s="1580"/>
      <c r="M268" s="1580"/>
      <c r="N268" s="1580"/>
      <c r="O268" s="1580"/>
      <c r="P268" s="1580"/>
      <c r="Q268" s="1580"/>
      <c r="R268" s="1580"/>
      <c r="S268" s="1580"/>
      <c r="T268" s="1580"/>
      <c r="U268" s="1580"/>
      <c r="V268" s="1580"/>
      <c r="W268" s="1580"/>
      <c r="X268" s="1580"/>
      <c r="Y268" s="1580"/>
      <c r="Z268" s="1580"/>
    </row>
    <row r="269" spans="1:26" ht="15.75" customHeight="1">
      <c r="A269" s="1580"/>
      <c r="B269" s="1603">
        <f t="shared" si="9"/>
        <v>7</v>
      </c>
      <c r="C269" s="1584" t="s">
        <v>246</v>
      </c>
      <c r="D269" s="1584" t="s">
        <v>6012</v>
      </c>
      <c r="E269" s="1605">
        <v>43586</v>
      </c>
      <c r="F269" s="1605">
        <v>43617</v>
      </c>
      <c r="G269" s="1606">
        <v>43647</v>
      </c>
      <c r="H269" s="1678">
        <v>1</v>
      </c>
      <c r="I269" s="1584"/>
      <c r="J269" s="1609" t="s">
        <v>6013</v>
      </c>
      <c r="K269" s="1580"/>
      <c r="L269" s="1580"/>
      <c r="M269" s="1580"/>
      <c r="N269" s="1580"/>
      <c r="O269" s="1580"/>
      <c r="P269" s="1580"/>
      <c r="Q269" s="1580"/>
      <c r="R269" s="1580"/>
      <c r="S269" s="1580"/>
      <c r="T269" s="1580"/>
      <c r="U269" s="1580"/>
      <c r="V269" s="1580"/>
      <c r="W269" s="1580"/>
      <c r="X269" s="1580"/>
      <c r="Y269" s="1580"/>
      <c r="Z269" s="1580"/>
    </row>
    <row r="270" spans="1:26" ht="15.75" customHeight="1">
      <c r="A270" s="1580"/>
      <c r="B270" s="1603">
        <f t="shared" si="9"/>
        <v>8</v>
      </c>
      <c r="C270" s="1584" t="s">
        <v>6014</v>
      </c>
      <c r="D270" s="1584" t="s">
        <v>6015</v>
      </c>
      <c r="E270" s="1605">
        <v>43739</v>
      </c>
      <c r="F270" s="1605">
        <v>43617</v>
      </c>
      <c r="G270" s="1606">
        <v>43647</v>
      </c>
      <c r="H270" s="1678">
        <v>1</v>
      </c>
      <c r="I270" s="1584"/>
      <c r="J270" s="1608" t="s">
        <v>6016</v>
      </c>
      <c r="K270" s="1580"/>
      <c r="L270" s="1580"/>
      <c r="M270" s="1580"/>
      <c r="N270" s="1580"/>
      <c r="O270" s="1580"/>
      <c r="P270" s="1580"/>
      <c r="Q270" s="1580"/>
      <c r="R270" s="1580"/>
      <c r="S270" s="1580"/>
      <c r="T270" s="1580"/>
      <c r="U270" s="1580"/>
      <c r="V270" s="1580"/>
      <c r="W270" s="1580"/>
      <c r="X270" s="1580"/>
      <c r="Y270" s="1580"/>
      <c r="Z270" s="1580"/>
    </row>
    <row r="271" spans="1:26" ht="15.75" customHeight="1">
      <c r="A271" s="1580"/>
      <c r="B271" s="1603">
        <f t="shared" si="9"/>
        <v>9</v>
      </c>
      <c r="C271" s="1584" t="s">
        <v>769</v>
      </c>
      <c r="D271" s="1584" t="s">
        <v>6017</v>
      </c>
      <c r="E271" s="1605">
        <v>43586</v>
      </c>
      <c r="F271" s="1605">
        <v>43617</v>
      </c>
      <c r="G271" s="1606">
        <v>43800</v>
      </c>
      <c r="H271" s="1672">
        <v>1</v>
      </c>
      <c r="I271" s="1584"/>
      <c r="J271" s="1608" t="s">
        <v>6018</v>
      </c>
      <c r="K271" s="1580"/>
      <c r="L271" s="1580"/>
      <c r="M271" s="1580"/>
      <c r="N271" s="1580"/>
      <c r="O271" s="1580"/>
      <c r="P271" s="1580"/>
      <c r="Q271" s="1580"/>
      <c r="R271" s="1580"/>
      <c r="S271" s="1580"/>
      <c r="T271" s="1580"/>
      <c r="U271" s="1580"/>
      <c r="V271" s="1580"/>
      <c r="W271" s="1580"/>
      <c r="X271" s="1580"/>
      <c r="Y271" s="1580"/>
      <c r="Z271" s="1580"/>
    </row>
    <row r="272" spans="1:26" ht="15.75" customHeight="1">
      <c r="A272" s="1580"/>
      <c r="B272" s="1603">
        <f t="shared" si="9"/>
        <v>10</v>
      </c>
      <c r="C272" s="1584" t="s">
        <v>631</v>
      </c>
      <c r="D272" s="1584" t="s">
        <v>3114</v>
      </c>
      <c r="E272" s="1638">
        <v>43586</v>
      </c>
      <c r="F272" s="1638"/>
      <c r="G272" s="1630">
        <v>43647</v>
      </c>
      <c r="H272" s="1660"/>
      <c r="I272" s="1584"/>
      <c r="J272" s="1608" t="s">
        <v>6019</v>
      </c>
      <c r="K272" s="1580"/>
      <c r="L272" s="1580"/>
      <c r="M272" s="1580"/>
      <c r="N272" s="1580"/>
      <c r="O272" s="1580"/>
      <c r="P272" s="1580"/>
      <c r="Q272" s="1580"/>
      <c r="R272" s="1580"/>
      <c r="S272" s="1580"/>
      <c r="T272" s="1580"/>
      <c r="U272" s="1580"/>
      <c r="V272" s="1580"/>
      <c r="W272" s="1580"/>
      <c r="X272" s="1580"/>
      <c r="Y272" s="1580"/>
      <c r="Z272" s="1580"/>
    </row>
    <row r="273" spans="1:26" ht="15.75" customHeight="1">
      <c r="A273" s="1580"/>
      <c r="B273" s="1603">
        <f t="shared" si="9"/>
        <v>11</v>
      </c>
      <c r="C273" s="1584" t="s">
        <v>188</v>
      </c>
      <c r="D273" s="1584" t="s">
        <v>6020</v>
      </c>
      <c r="E273" s="1605">
        <v>43586</v>
      </c>
      <c r="F273" s="1605">
        <v>43617</v>
      </c>
      <c r="G273" s="1606">
        <v>43647</v>
      </c>
      <c r="H273" s="1678">
        <v>1</v>
      </c>
      <c r="I273" s="1584"/>
      <c r="J273" s="1608" t="s">
        <v>6021</v>
      </c>
      <c r="K273" s="1580"/>
      <c r="L273" s="1580"/>
      <c r="M273" s="1580"/>
      <c r="N273" s="1580"/>
      <c r="O273" s="1580"/>
      <c r="P273" s="1580"/>
      <c r="Q273" s="1580"/>
      <c r="R273" s="1580"/>
      <c r="S273" s="1580"/>
      <c r="T273" s="1580"/>
      <c r="U273" s="1580"/>
      <c r="V273" s="1580"/>
      <c r="W273" s="1580"/>
      <c r="X273" s="1580"/>
      <c r="Y273" s="1580"/>
      <c r="Z273" s="1580"/>
    </row>
    <row r="274" spans="1:26" ht="15.75" customHeight="1">
      <c r="A274" s="1580"/>
      <c r="B274" s="1603">
        <f t="shared" si="9"/>
        <v>12</v>
      </c>
      <c r="C274" s="1584" t="s">
        <v>5847</v>
      </c>
      <c r="D274" s="1584" t="s">
        <v>6022</v>
      </c>
      <c r="E274" s="1605">
        <v>43739</v>
      </c>
      <c r="F274" s="1605">
        <v>43770</v>
      </c>
      <c r="G274" s="1606">
        <v>43647</v>
      </c>
      <c r="H274" s="1672">
        <v>1</v>
      </c>
      <c r="I274" s="1584"/>
      <c r="J274" s="1608" t="s">
        <v>6023</v>
      </c>
      <c r="K274" s="1580"/>
      <c r="L274" s="1580"/>
      <c r="M274" s="1580"/>
      <c r="N274" s="1580"/>
      <c r="O274" s="1580"/>
      <c r="P274" s="1580"/>
      <c r="Q274" s="1580"/>
      <c r="R274" s="1580"/>
      <c r="S274" s="1580"/>
      <c r="T274" s="1580"/>
      <c r="U274" s="1580"/>
      <c r="V274" s="1580"/>
      <c r="W274" s="1580"/>
      <c r="X274" s="1580"/>
      <c r="Y274" s="1580"/>
      <c r="Z274" s="1580"/>
    </row>
    <row r="275" spans="1:26" ht="15.75" customHeight="1">
      <c r="A275" s="1580"/>
      <c r="B275" s="1603">
        <f t="shared" si="9"/>
        <v>13</v>
      </c>
      <c r="C275" s="1584" t="s">
        <v>1048</v>
      </c>
      <c r="D275" s="1584" t="s">
        <v>6024</v>
      </c>
      <c r="E275" s="1605">
        <v>43586</v>
      </c>
      <c r="F275" s="1605">
        <v>43617</v>
      </c>
      <c r="G275" s="1606">
        <v>43647</v>
      </c>
      <c r="H275" s="1678">
        <v>1</v>
      </c>
      <c r="I275" s="1584"/>
      <c r="J275" s="1608" t="s">
        <v>6025</v>
      </c>
      <c r="K275" s="1580"/>
      <c r="L275" s="1580"/>
      <c r="M275" s="1580"/>
      <c r="N275" s="1580"/>
      <c r="O275" s="1580"/>
      <c r="P275" s="1580"/>
      <c r="Q275" s="1580"/>
      <c r="R275" s="1580"/>
      <c r="S275" s="1580"/>
      <c r="T275" s="1580"/>
      <c r="U275" s="1580"/>
      <c r="V275" s="1580"/>
      <c r="W275" s="1580"/>
      <c r="X275" s="1580"/>
      <c r="Y275" s="1580"/>
      <c r="Z275" s="1580"/>
    </row>
    <row r="276" spans="1:26" ht="15.75" customHeight="1">
      <c r="A276" s="1580"/>
      <c r="B276" s="1603">
        <f t="shared" si="9"/>
        <v>14</v>
      </c>
      <c r="C276" s="1584" t="s">
        <v>6026</v>
      </c>
      <c r="D276" s="1584" t="s">
        <v>6027</v>
      </c>
      <c r="E276" s="1605">
        <v>43586</v>
      </c>
      <c r="F276" s="1605">
        <v>43617</v>
      </c>
      <c r="G276" s="1606">
        <v>43647</v>
      </c>
      <c r="H276" s="1678">
        <v>1</v>
      </c>
      <c r="I276" s="1584"/>
      <c r="J276" s="1608" t="s">
        <v>6028</v>
      </c>
      <c r="K276" s="1580"/>
      <c r="L276" s="1580"/>
      <c r="M276" s="1580"/>
      <c r="N276" s="1580"/>
      <c r="O276" s="1580"/>
      <c r="P276" s="1580"/>
      <c r="Q276" s="1580"/>
      <c r="R276" s="1580"/>
      <c r="S276" s="1580"/>
      <c r="T276" s="1580"/>
      <c r="U276" s="1580"/>
      <c r="V276" s="1580"/>
      <c r="W276" s="1580"/>
      <c r="X276" s="1580"/>
      <c r="Y276" s="1580"/>
      <c r="Z276" s="1580"/>
    </row>
    <row r="277" spans="1:26" ht="15.75" customHeight="1">
      <c r="A277" s="1580"/>
      <c r="B277" s="1603">
        <f t="shared" si="9"/>
        <v>15</v>
      </c>
      <c r="C277" s="1584" t="s">
        <v>903</v>
      </c>
      <c r="D277" s="1584" t="s">
        <v>6029</v>
      </c>
      <c r="E277" s="1605">
        <v>43586</v>
      </c>
      <c r="F277" s="1605">
        <v>43617</v>
      </c>
      <c r="G277" s="1606">
        <v>43647</v>
      </c>
      <c r="H277" s="1678">
        <v>1</v>
      </c>
      <c r="I277" s="1584"/>
      <c r="J277" s="1608" t="s">
        <v>6030</v>
      </c>
      <c r="K277" s="1580"/>
      <c r="L277" s="1580"/>
      <c r="M277" s="1580"/>
      <c r="N277" s="1580"/>
      <c r="O277" s="1580"/>
      <c r="P277" s="1580"/>
      <c r="Q277" s="1580"/>
      <c r="R277" s="1580"/>
      <c r="S277" s="1580"/>
      <c r="T277" s="1580"/>
      <c r="U277" s="1580"/>
      <c r="V277" s="1580"/>
      <c r="W277" s="1580"/>
      <c r="X277" s="1580"/>
      <c r="Y277" s="1580"/>
      <c r="Z277" s="1580"/>
    </row>
    <row r="278" spans="1:26" ht="15.75" customHeight="1">
      <c r="A278" s="1580"/>
      <c r="B278" s="1603">
        <f t="shared" si="9"/>
        <v>16</v>
      </c>
      <c r="C278" s="1584" t="s">
        <v>2140</v>
      </c>
      <c r="D278" s="1584" t="s">
        <v>6029</v>
      </c>
      <c r="E278" s="1605">
        <v>43586</v>
      </c>
      <c r="F278" s="1605">
        <v>43617</v>
      </c>
      <c r="G278" s="1606">
        <v>43647</v>
      </c>
      <c r="H278" s="1678">
        <v>1</v>
      </c>
      <c r="I278" s="1584"/>
      <c r="J278" s="1608" t="s">
        <v>6031</v>
      </c>
      <c r="K278" s="1580"/>
      <c r="L278" s="1580"/>
      <c r="M278" s="1580"/>
      <c r="N278" s="1580"/>
      <c r="O278" s="1580"/>
      <c r="P278" s="1580"/>
      <c r="Q278" s="1580"/>
      <c r="R278" s="1580"/>
      <c r="S278" s="1580"/>
      <c r="T278" s="1580"/>
      <c r="U278" s="1580"/>
      <c r="V278" s="1580"/>
      <c r="W278" s="1580"/>
      <c r="X278" s="1580"/>
      <c r="Y278" s="1580"/>
      <c r="Z278" s="1580"/>
    </row>
    <row r="279" spans="1:26" ht="15.75" customHeight="1">
      <c r="A279" s="1580"/>
      <c r="B279" s="1603">
        <f t="shared" si="9"/>
        <v>17</v>
      </c>
      <c r="C279" s="1584" t="s">
        <v>6032</v>
      </c>
      <c r="D279" s="1584" t="s">
        <v>3867</v>
      </c>
      <c r="E279" s="1605">
        <v>43586</v>
      </c>
      <c r="F279" s="1605">
        <v>43617</v>
      </c>
      <c r="G279" s="1606">
        <v>43647</v>
      </c>
      <c r="H279" s="1678">
        <v>1</v>
      </c>
      <c r="I279" s="1584"/>
      <c r="J279" s="1608" t="s">
        <v>6033</v>
      </c>
      <c r="K279" s="1580"/>
      <c r="L279" s="1580"/>
      <c r="M279" s="1580"/>
      <c r="N279" s="1580"/>
      <c r="O279" s="1580"/>
      <c r="P279" s="1580"/>
      <c r="Q279" s="1580"/>
      <c r="R279" s="1580"/>
      <c r="S279" s="1580"/>
      <c r="T279" s="1580"/>
      <c r="U279" s="1580"/>
      <c r="V279" s="1580"/>
      <c r="W279" s="1580"/>
      <c r="X279" s="1580"/>
      <c r="Y279" s="1580"/>
      <c r="Z279" s="1580"/>
    </row>
    <row r="280" spans="1:26" ht="15.75" customHeight="1">
      <c r="A280" s="1580"/>
      <c r="B280" s="1603">
        <f t="shared" si="9"/>
        <v>18</v>
      </c>
      <c r="C280" s="1584" t="s">
        <v>2371</v>
      </c>
      <c r="D280" s="1584" t="s">
        <v>5926</v>
      </c>
      <c r="E280" s="1605">
        <v>43586</v>
      </c>
      <c r="F280" s="1605">
        <v>43770</v>
      </c>
      <c r="G280" s="1606">
        <v>43647</v>
      </c>
      <c r="H280" s="1672">
        <v>1</v>
      </c>
      <c r="I280" s="1584"/>
      <c r="J280" s="1608" t="s">
        <v>6034</v>
      </c>
      <c r="K280" s="1580"/>
      <c r="L280" s="1580"/>
      <c r="M280" s="1580"/>
      <c r="N280" s="1580"/>
      <c r="O280" s="1580"/>
      <c r="P280" s="1580"/>
      <c r="Q280" s="1580"/>
      <c r="R280" s="1580"/>
      <c r="S280" s="1580"/>
      <c r="T280" s="1580"/>
      <c r="U280" s="1580"/>
      <c r="V280" s="1580"/>
      <c r="W280" s="1580"/>
      <c r="X280" s="1580"/>
      <c r="Y280" s="1580"/>
      <c r="Z280" s="1580"/>
    </row>
    <row r="281" spans="1:26" ht="15.75" customHeight="1">
      <c r="A281" s="1580"/>
      <c r="B281" s="1603">
        <f t="shared" si="9"/>
        <v>19</v>
      </c>
      <c r="C281" s="1584" t="s">
        <v>246</v>
      </c>
      <c r="D281" s="1584" t="s">
        <v>6035</v>
      </c>
      <c r="E281" s="1605">
        <v>43586</v>
      </c>
      <c r="F281" s="1605">
        <v>43617</v>
      </c>
      <c r="G281" s="1606">
        <v>43647</v>
      </c>
      <c r="H281" s="1678">
        <v>1</v>
      </c>
      <c r="I281" s="1584"/>
      <c r="J281" s="1608" t="s">
        <v>6036</v>
      </c>
      <c r="K281" s="1580"/>
      <c r="L281" s="1580"/>
      <c r="M281" s="1580"/>
      <c r="N281" s="1580"/>
      <c r="O281" s="1580"/>
      <c r="P281" s="1580"/>
      <c r="Q281" s="1580"/>
      <c r="R281" s="1580"/>
      <c r="S281" s="1580"/>
      <c r="T281" s="1580"/>
      <c r="U281" s="1580"/>
      <c r="V281" s="1580"/>
      <c r="W281" s="1580"/>
      <c r="X281" s="1580"/>
      <c r="Y281" s="1580"/>
      <c r="Z281" s="1580"/>
    </row>
    <row r="282" spans="1:26" ht="15.75" customHeight="1">
      <c r="A282" s="1580"/>
      <c r="B282" s="1603">
        <f t="shared" si="9"/>
        <v>20</v>
      </c>
      <c r="C282" s="1584" t="s">
        <v>1241</v>
      </c>
      <c r="D282" s="1584" t="s">
        <v>770</v>
      </c>
      <c r="E282" s="1605">
        <v>43739</v>
      </c>
      <c r="F282" s="1605">
        <v>43770</v>
      </c>
      <c r="G282" s="1606">
        <v>43647</v>
      </c>
      <c r="H282" s="1672">
        <v>1</v>
      </c>
      <c r="I282" s="1584"/>
      <c r="J282" s="1608" t="s">
        <v>6037</v>
      </c>
      <c r="K282" s="1580"/>
      <c r="L282" s="1580"/>
      <c r="M282" s="1580"/>
      <c r="N282" s="1580"/>
      <c r="O282" s="1580"/>
      <c r="P282" s="1580"/>
      <c r="Q282" s="1580"/>
      <c r="R282" s="1580"/>
      <c r="S282" s="1580"/>
      <c r="T282" s="1580"/>
      <c r="U282" s="1580"/>
      <c r="V282" s="1580"/>
      <c r="W282" s="1580"/>
      <c r="X282" s="1580"/>
      <c r="Y282" s="1580"/>
      <c r="Z282" s="1580"/>
    </row>
    <row r="283" spans="1:26" ht="15.75" customHeight="1">
      <c r="A283" s="1580"/>
      <c r="B283" s="1603">
        <f t="shared" si="9"/>
        <v>21</v>
      </c>
      <c r="C283" s="1584" t="s">
        <v>6038</v>
      </c>
      <c r="D283" s="1584" t="s">
        <v>3214</v>
      </c>
      <c r="E283" s="1638">
        <v>43586</v>
      </c>
      <c r="F283" s="1638">
        <v>43770</v>
      </c>
      <c r="G283" s="1630"/>
      <c r="H283" s="1660"/>
      <c r="I283" s="1584"/>
      <c r="J283" s="1608" t="s">
        <v>3215</v>
      </c>
      <c r="K283" s="1580"/>
      <c r="L283" s="1580"/>
      <c r="M283" s="1580"/>
      <c r="N283" s="1580"/>
      <c r="O283" s="1580"/>
      <c r="P283" s="1580"/>
      <c r="Q283" s="1580"/>
      <c r="R283" s="1580"/>
      <c r="S283" s="1580"/>
      <c r="T283" s="1580"/>
      <c r="U283" s="1580"/>
      <c r="V283" s="1580"/>
      <c r="W283" s="1580"/>
      <c r="X283" s="1580"/>
      <c r="Y283" s="1580"/>
      <c r="Z283" s="1580"/>
    </row>
    <row r="284" spans="1:26" ht="15.75" customHeight="1">
      <c r="A284" s="1580"/>
      <c r="B284" s="1603">
        <f t="shared" si="9"/>
        <v>22</v>
      </c>
      <c r="C284" s="1584" t="s">
        <v>208</v>
      </c>
      <c r="D284" s="1584" t="s">
        <v>6039</v>
      </c>
      <c r="E284" s="1605">
        <v>43586</v>
      </c>
      <c r="F284" s="1605">
        <v>43617</v>
      </c>
      <c r="G284" s="1606">
        <v>43647</v>
      </c>
      <c r="H284" s="1678">
        <v>1</v>
      </c>
      <c r="I284" s="1584"/>
      <c r="J284" s="1608" t="s">
        <v>6040</v>
      </c>
      <c r="K284" s="1580"/>
      <c r="L284" s="1580"/>
      <c r="M284" s="1580"/>
      <c r="N284" s="1580"/>
      <c r="O284" s="1580"/>
      <c r="P284" s="1580"/>
      <c r="Q284" s="1580"/>
      <c r="R284" s="1580"/>
      <c r="S284" s="1580"/>
      <c r="T284" s="1580"/>
      <c r="U284" s="1580"/>
      <c r="V284" s="1580"/>
      <c r="W284" s="1580"/>
      <c r="X284" s="1580"/>
      <c r="Y284" s="1580"/>
      <c r="Z284" s="1580"/>
    </row>
    <row r="285" spans="1:26" ht="15.75" customHeight="1">
      <c r="A285" s="1580"/>
      <c r="B285" s="1603">
        <f t="shared" si="9"/>
        <v>23</v>
      </c>
      <c r="C285" s="1584" t="s">
        <v>477</v>
      </c>
      <c r="D285" s="1584" t="s">
        <v>6041</v>
      </c>
      <c r="E285" s="1605">
        <v>43586</v>
      </c>
      <c r="F285" s="1605">
        <v>43617</v>
      </c>
      <c r="G285" s="1606">
        <v>43647</v>
      </c>
      <c r="H285" s="1678">
        <v>1</v>
      </c>
      <c r="I285" s="1584"/>
      <c r="J285" s="1608" t="s">
        <v>6042</v>
      </c>
      <c r="K285" s="1580"/>
      <c r="L285" s="1580"/>
      <c r="M285" s="1580"/>
      <c r="N285" s="1580"/>
      <c r="O285" s="1580"/>
      <c r="P285" s="1580"/>
      <c r="Q285" s="1580"/>
      <c r="R285" s="1580"/>
      <c r="S285" s="1580"/>
      <c r="T285" s="1580"/>
      <c r="U285" s="1580"/>
      <c r="V285" s="1580"/>
      <c r="W285" s="1580"/>
      <c r="X285" s="1580"/>
      <c r="Y285" s="1580"/>
      <c r="Z285" s="1580"/>
    </row>
    <row r="286" spans="1:26" ht="15.75" customHeight="1">
      <c r="A286" s="1580"/>
      <c r="B286" s="1603">
        <f t="shared" si="9"/>
        <v>24</v>
      </c>
      <c r="C286" s="1584" t="s">
        <v>166</v>
      </c>
      <c r="D286" s="1584" t="s">
        <v>2879</v>
      </c>
      <c r="E286" s="1638">
        <v>43586</v>
      </c>
      <c r="F286" s="1638">
        <v>43617</v>
      </c>
      <c r="G286" s="1630"/>
      <c r="H286" s="1660"/>
      <c r="I286" s="1584"/>
      <c r="J286" s="1608"/>
      <c r="K286" s="1580"/>
      <c r="L286" s="1580"/>
      <c r="M286" s="1580"/>
      <c r="N286" s="1580"/>
      <c r="O286" s="1580"/>
      <c r="P286" s="1580"/>
      <c r="Q286" s="1580"/>
      <c r="R286" s="1580"/>
      <c r="S286" s="1580"/>
      <c r="T286" s="1580"/>
      <c r="U286" s="1580"/>
      <c r="V286" s="1580"/>
      <c r="W286" s="1580"/>
      <c r="X286" s="1580"/>
      <c r="Y286" s="1580"/>
      <c r="Z286" s="1580"/>
    </row>
    <row r="287" spans="1:26" ht="15.75" customHeight="1">
      <c r="A287" s="1580"/>
      <c r="B287" s="1603">
        <f t="shared" si="9"/>
        <v>25</v>
      </c>
      <c r="C287" s="1584" t="s">
        <v>570</v>
      </c>
      <c r="D287" s="1584" t="s">
        <v>6043</v>
      </c>
      <c r="E287" s="1605">
        <v>43586</v>
      </c>
      <c r="F287" s="1605">
        <v>43617</v>
      </c>
      <c r="G287" s="1606">
        <v>43647</v>
      </c>
      <c r="H287" s="1678">
        <v>1</v>
      </c>
      <c r="I287" s="1584"/>
      <c r="J287" s="1608" t="s">
        <v>6044</v>
      </c>
      <c r="K287" s="1580"/>
      <c r="L287" s="1580"/>
      <c r="M287" s="1580"/>
      <c r="N287" s="1580"/>
      <c r="O287" s="1580"/>
      <c r="P287" s="1580"/>
      <c r="Q287" s="1580"/>
      <c r="R287" s="1580"/>
      <c r="S287" s="1580"/>
      <c r="T287" s="1580"/>
      <c r="U287" s="1580"/>
      <c r="V287" s="1580"/>
      <c r="W287" s="1580"/>
      <c r="X287" s="1580"/>
      <c r="Y287" s="1580"/>
      <c r="Z287" s="1580"/>
    </row>
    <row r="288" spans="1:26" ht="15.75" customHeight="1">
      <c r="A288" s="1580"/>
      <c r="B288" s="1603">
        <f t="shared" si="9"/>
        <v>26</v>
      </c>
      <c r="C288" s="1584" t="s">
        <v>631</v>
      </c>
      <c r="D288" s="1584" t="s">
        <v>6045</v>
      </c>
      <c r="E288" s="1605">
        <v>43586</v>
      </c>
      <c r="F288" s="1605">
        <v>43617</v>
      </c>
      <c r="G288" s="1606">
        <v>43647</v>
      </c>
      <c r="H288" s="1678">
        <v>1</v>
      </c>
      <c r="I288" s="1584"/>
      <c r="J288" s="1608" t="s">
        <v>6046</v>
      </c>
      <c r="K288" s="1580"/>
      <c r="L288" s="1580"/>
      <c r="M288" s="1580"/>
      <c r="N288" s="1580"/>
      <c r="O288" s="1580"/>
      <c r="P288" s="1580"/>
      <c r="Q288" s="1580"/>
      <c r="R288" s="1580"/>
      <c r="S288" s="1580"/>
      <c r="T288" s="1580"/>
      <c r="U288" s="1580"/>
      <c r="V288" s="1580"/>
      <c r="W288" s="1580"/>
      <c r="X288" s="1580"/>
      <c r="Y288" s="1580"/>
      <c r="Z288" s="1580"/>
    </row>
    <row r="289" spans="1:26" ht="15.75" customHeight="1">
      <c r="A289" s="1580"/>
      <c r="B289" s="1603">
        <f t="shared" si="9"/>
        <v>27</v>
      </c>
      <c r="C289" s="1584" t="s">
        <v>6047</v>
      </c>
      <c r="D289" s="1584" t="s">
        <v>6048</v>
      </c>
      <c r="E289" s="1605">
        <v>43586</v>
      </c>
      <c r="F289" s="1605">
        <v>43617</v>
      </c>
      <c r="G289" s="1606">
        <v>43647</v>
      </c>
      <c r="H289" s="1678">
        <v>1</v>
      </c>
      <c r="I289" s="1584"/>
      <c r="J289" s="1608" t="s">
        <v>6049</v>
      </c>
      <c r="K289" s="1580"/>
      <c r="L289" s="1580"/>
      <c r="M289" s="1580"/>
      <c r="N289" s="1580"/>
      <c r="O289" s="1580"/>
      <c r="P289" s="1580"/>
      <c r="Q289" s="1580"/>
      <c r="R289" s="1580"/>
      <c r="S289" s="1580"/>
      <c r="T289" s="1580"/>
      <c r="U289" s="1580"/>
      <c r="V289" s="1580"/>
      <c r="W289" s="1580"/>
      <c r="X289" s="1580"/>
      <c r="Y289" s="1580"/>
      <c r="Z289" s="1580"/>
    </row>
    <row r="290" spans="1:26" ht="15.75" customHeight="1">
      <c r="A290" s="1580"/>
      <c r="B290" s="1603">
        <f t="shared" si="9"/>
        <v>28</v>
      </c>
      <c r="C290" s="1584" t="s">
        <v>631</v>
      </c>
      <c r="D290" s="1584" t="s">
        <v>6050</v>
      </c>
      <c r="E290" s="1605">
        <v>43586</v>
      </c>
      <c r="F290" s="1605">
        <v>43617</v>
      </c>
      <c r="G290" s="1606">
        <v>43647</v>
      </c>
      <c r="H290" s="1678">
        <v>1</v>
      </c>
      <c r="I290" s="1584"/>
      <c r="J290" s="1608" t="s">
        <v>6051</v>
      </c>
      <c r="K290" s="1580"/>
      <c r="L290" s="1580"/>
      <c r="M290" s="1580"/>
      <c r="N290" s="1580"/>
      <c r="O290" s="1580"/>
      <c r="P290" s="1580"/>
      <c r="Q290" s="1580"/>
      <c r="R290" s="1580"/>
      <c r="S290" s="1580"/>
      <c r="T290" s="1580"/>
      <c r="U290" s="1580"/>
      <c r="V290" s="1580"/>
      <c r="W290" s="1580"/>
      <c r="X290" s="1580"/>
      <c r="Y290" s="1580"/>
      <c r="Z290" s="1580"/>
    </row>
    <row r="291" spans="1:26" ht="15.75" customHeight="1">
      <c r="A291" s="1580"/>
      <c r="B291" s="1603">
        <f t="shared" si="9"/>
        <v>29</v>
      </c>
      <c r="C291" s="1584" t="s">
        <v>2314</v>
      </c>
      <c r="D291" s="1584" t="s">
        <v>585</v>
      </c>
      <c r="E291" s="1638"/>
      <c r="F291" s="1638">
        <v>43617</v>
      </c>
      <c r="G291" s="1630"/>
      <c r="H291" s="1613"/>
      <c r="I291" s="1580" t="s">
        <v>5806</v>
      </c>
      <c r="J291" s="1608" t="s">
        <v>5784</v>
      </c>
      <c r="K291" s="1580"/>
      <c r="L291" s="1580"/>
      <c r="M291" s="1580"/>
      <c r="N291" s="1580"/>
      <c r="O291" s="1580"/>
      <c r="P291" s="1580"/>
      <c r="Q291" s="1580"/>
      <c r="R291" s="1580"/>
      <c r="S291" s="1580"/>
      <c r="T291" s="1580"/>
      <c r="U291" s="1580"/>
      <c r="V291" s="1580"/>
      <c r="W291" s="1580"/>
      <c r="X291" s="1580"/>
      <c r="Y291" s="1580"/>
      <c r="Z291" s="1580"/>
    </row>
    <row r="292" spans="1:26" ht="15.75" customHeight="1">
      <c r="A292" s="1580"/>
      <c r="B292" s="1603">
        <f t="shared" si="9"/>
        <v>30</v>
      </c>
      <c r="C292" s="1584" t="s">
        <v>977</v>
      </c>
      <c r="D292" s="1584" t="s">
        <v>6052</v>
      </c>
      <c r="E292" s="1605">
        <v>43586</v>
      </c>
      <c r="F292" s="1605">
        <v>43617</v>
      </c>
      <c r="G292" s="1606">
        <v>43647</v>
      </c>
      <c r="H292" s="1678">
        <v>1</v>
      </c>
      <c r="I292" s="1584"/>
      <c r="J292" s="1608"/>
      <c r="K292" s="1580"/>
      <c r="L292" s="1580"/>
      <c r="M292" s="1580"/>
      <c r="N292" s="1580"/>
      <c r="O292" s="1580"/>
      <c r="P292" s="1580"/>
      <c r="Q292" s="1580"/>
      <c r="R292" s="1580"/>
      <c r="S292" s="1580"/>
      <c r="T292" s="1580"/>
      <c r="U292" s="1580"/>
      <c r="V292" s="1580"/>
      <c r="W292" s="1580"/>
      <c r="X292" s="1580"/>
      <c r="Y292" s="1580"/>
      <c r="Z292" s="1580"/>
    </row>
    <row r="293" spans="1:26" ht="15.75" customHeight="1">
      <c r="A293" s="1580"/>
      <c r="B293" s="1603">
        <f t="shared" si="9"/>
        <v>31</v>
      </c>
      <c r="C293" s="1584" t="s">
        <v>300</v>
      </c>
      <c r="D293" s="1584" t="s">
        <v>6053</v>
      </c>
      <c r="E293" s="1605">
        <v>43586</v>
      </c>
      <c r="F293" s="1605">
        <v>43617</v>
      </c>
      <c r="G293" s="1606">
        <v>43647</v>
      </c>
      <c r="H293" s="1678">
        <v>1</v>
      </c>
      <c r="I293" s="1584"/>
      <c r="J293" s="1609" t="s">
        <v>6054</v>
      </c>
      <c r="K293" s="1580"/>
      <c r="L293" s="1580"/>
      <c r="M293" s="1580"/>
      <c r="N293" s="1580"/>
      <c r="O293" s="1580"/>
      <c r="P293" s="1580"/>
      <c r="Q293" s="1580"/>
      <c r="R293" s="1580"/>
      <c r="S293" s="1580"/>
      <c r="T293" s="1580"/>
      <c r="U293" s="1580"/>
      <c r="V293" s="1580"/>
      <c r="W293" s="1580"/>
      <c r="X293" s="1580"/>
      <c r="Y293" s="1580"/>
      <c r="Z293" s="1580"/>
    </row>
    <row r="294" spans="1:26" ht="15.75" customHeight="1">
      <c r="A294" s="1580"/>
      <c r="B294" s="1603">
        <f t="shared" si="9"/>
        <v>32</v>
      </c>
      <c r="C294" s="1584" t="s">
        <v>407</v>
      </c>
      <c r="D294" s="1584" t="s">
        <v>6055</v>
      </c>
      <c r="E294" s="1605">
        <v>43586</v>
      </c>
      <c r="F294" s="1605">
        <v>43617</v>
      </c>
      <c r="G294" s="1606">
        <v>43647</v>
      </c>
      <c r="H294" s="1678">
        <v>1</v>
      </c>
      <c r="I294" s="1584"/>
      <c r="J294" s="1608" t="s">
        <v>6056</v>
      </c>
      <c r="K294" s="1580"/>
      <c r="L294" s="1580"/>
      <c r="M294" s="1580"/>
      <c r="N294" s="1580"/>
      <c r="O294" s="1580"/>
      <c r="P294" s="1580"/>
      <c r="Q294" s="1580"/>
      <c r="R294" s="1580"/>
      <c r="S294" s="1580"/>
      <c r="T294" s="1580"/>
      <c r="U294" s="1580"/>
      <c r="V294" s="1580"/>
      <c r="W294" s="1580"/>
      <c r="X294" s="1580"/>
      <c r="Y294" s="1580"/>
      <c r="Z294" s="1580"/>
    </row>
    <row r="295" spans="1:26" ht="15.75" customHeight="1">
      <c r="A295" s="1580"/>
      <c r="B295" s="1603">
        <f t="shared" si="9"/>
        <v>33</v>
      </c>
      <c r="C295" s="1584" t="s">
        <v>1241</v>
      </c>
      <c r="D295" s="1584" t="s">
        <v>6057</v>
      </c>
      <c r="E295" s="1605">
        <v>43586</v>
      </c>
      <c r="F295" s="1605">
        <v>43617</v>
      </c>
      <c r="G295" s="1606">
        <v>43647</v>
      </c>
      <c r="H295" s="1678">
        <v>1</v>
      </c>
      <c r="I295" s="1584"/>
      <c r="J295" s="1608" t="s">
        <v>6058</v>
      </c>
      <c r="K295" s="1580"/>
      <c r="L295" s="1580"/>
      <c r="M295" s="1580"/>
      <c r="N295" s="1580"/>
      <c r="O295" s="1580"/>
      <c r="P295" s="1580"/>
      <c r="Q295" s="1580"/>
      <c r="R295" s="1580"/>
      <c r="S295" s="1580"/>
      <c r="T295" s="1580"/>
      <c r="U295" s="1580"/>
      <c r="V295" s="1580"/>
      <c r="W295" s="1580"/>
      <c r="X295" s="1580"/>
      <c r="Y295" s="1580"/>
      <c r="Z295" s="1580"/>
    </row>
    <row r="296" spans="1:26" ht="15.75" customHeight="1">
      <c r="A296" s="1580"/>
      <c r="B296" s="1603">
        <f t="shared" si="9"/>
        <v>34</v>
      </c>
      <c r="C296" s="1584" t="s">
        <v>6059</v>
      </c>
      <c r="D296" s="1584" t="s">
        <v>6060</v>
      </c>
      <c r="E296" s="1628">
        <v>43586</v>
      </c>
      <c r="F296" s="1611"/>
      <c r="G296" s="1612"/>
      <c r="H296" s="1660"/>
      <c r="I296" s="1584"/>
      <c r="J296" s="1608"/>
      <c r="K296" s="1580"/>
      <c r="L296" s="1580"/>
      <c r="M296" s="1580"/>
      <c r="N296" s="1580"/>
      <c r="O296" s="1580"/>
      <c r="P296" s="1580"/>
      <c r="Q296" s="1580"/>
      <c r="R296" s="1580"/>
      <c r="S296" s="1580"/>
      <c r="T296" s="1580"/>
      <c r="U296" s="1580"/>
      <c r="V296" s="1580"/>
      <c r="W296" s="1580"/>
      <c r="X296" s="1580"/>
      <c r="Y296" s="1580"/>
      <c r="Z296" s="1580"/>
    </row>
    <row r="297" spans="1:26" ht="15.75" customHeight="1">
      <c r="A297" s="1580"/>
      <c r="B297" s="1603">
        <f t="shared" si="9"/>
        <v>35</v>
      </c>
      <c r="C297" s="1584" t="s">
        <v>6061</v>
      </c>
      <c r="D297" s="1584" t="s">
        <v>6062</v>
      </c>
      <c r="E297" s="1605">
        <v>43586</v>
      </c>
      <c r="F297" s="1605">
        <v>43617</v>
      </c>
      <c r="G297" s="1606">
        <v>43647</v>
      </c>
      <c r="H297" s="1678">
        <v>1</v>
      </c>
      <c r="I297" s="1584"/>
      <c r="J297" s="1608" t="s">
        <v>6063</v>
      </c>
      <c r="K297" s="1580"/>
      <c r="L297" s="1580"/>
      <c r="M297" s="1580"/>
      <c r="N297" s="1580"/>
      <c r="O297" s="1580"/>
      <c r="P297" s="1580"/>
      <c r="Q297" s="1580"/>
      <c r="R297" s="1580"/>
      <c r="S297" s="1580"/>
      <c r="T297" s="1580"/>
      <c r="U297" s="1580"/>
      <c r="V297" s="1580"/>
      <c r="W297" s="1580"/>
      <c r="X297" s="1580"/>
      <c r="Y297" s="1580"/>
      <c r="Z297" s="1580"/>
    </row>
    <row r="298" spans="1:26" ht="15.75" customHeight="1">
      <c r="A298" s="1580"/>
      <c r="B298" s="1603">
        <f t="shared" si="9"/>
        <v>36</v>
      </c>
      <c r="C298" s="1584" t="s">
        <v>791</v>
      </c>
      <c r="D298" s="1584" t="s">
        <v>6064</v>
      </c>
      <c r="E298" s="1605">
        <v>43586</v>
      </c>
      <c r="F298" s="1605">
        <v>43617</v>
      </c>
      <c r="G298" s="1606">
        <v>43647</v>
      </c>
      <c r="H298" s="1678">
        <v>1</v>
      </c>
      <c r="I298" s="1584"/>
      <c r="J298" s="1608" t="s">
        <v>6065</v>
      </c>
      <c r="K298" s="1580"/>
      <c r="L298" s="1580"/>
      <c r="M298" s="1580"/>
      <c r="N298" s="1580"/>
      <c r="O298" s="1580"/>
      <c r="P298" s="1580"/>
      <c r="Q298" s="1580"/>
      <c r="R298" s="1580"/>
      <c r="S298" s="1580"/>
      <c r="T298" s="1580"/>
      <c r="U298" s="1580"/>
      <c r="V298" s="1580"/>
      <c r="W298" s="1580"/>
      <c r="X298" s="1580"/>
      <c r="Y298" s="1580"/>
      <c r="Z298" s="1580"/>
    </row>
    <row r="299" spans="1:26" ht="15.75" customHeight="1">
      <c r="A299" s="1580"/>
      <c r="B299" s="1603">
        <f t="shared" si="9"/>
        <v>37</v>
      </c>
      <c r="C299" s="1584" t="s">
        <v>511</v>
      </c>
      <c r="D299" s="1584" t="s">
        <v>512</v>
      </c>
      <c r="E299" s="1605">
        <v>43739</v>
      </c>
      <c r="F299" s="1605">
        <v>43770</v>
      </c>
      <c r="G299" s="1606">
        <v>43647</v>
      </c>
      <c r="H299" s="1678">
        <v>1</v>
      </c>
      <c r="I299" s="1584"/>
      <c r="J299" s="1608" t="s">
        <v>513</v>
      </c>
      <c r="K299" s="1580"/>
      <c r="L299" s="1580"/>
      <c r="M299" s="1580"/>
      <c r="N299" s="1580"/>
      <c r="O299" s="1580"/>
      <c r="P299" s="1580"/>
      <c r="Q299" s="1580"/>
      <c r="R299" s="1580"/>
      <c r="S299" s="1580"/>
      <c r="T299" s="1580"/>
      <c r="U299" s="1580"/>
      <c r="V299" s="1580"/>
      <c r="W299" s="1580"/>
      <c r="X299" s="1580"/>
      <c r="Y299" s="1580"/>
      <c r="Z299" s="1580"/>
    </row>
    <row r="300" spans="1:26" ht="15.75" customHeight="1">
      <c r="A300" s="1580"/>
      <c r="B300" s="1603">
        <f t="shared" si="9"/>
        <v>38</v>
      </c>
      <c r="C300" s="1584" t="s">
        <v>6066</v>
      </c>
      <c r="D300" s="1584" t="s">
        <v>6067</v>
      </c>
      <c r="E300" s="1605">
        <v>43586</v>
      </c>
      <c r="F300" s="1605">
        <v>43617</v>
      </c>
      <c r="G300" s="1606">
        <v>43647</v>
      </c>
      <c r="H300" s="1678">
        <v>1</v>
      </c>
      <c r="I300" s="1584"/>
      <c r="J300" s="1608" t="s">
        <v>6068</v>
      </c>
      <c r="K300" s="1580"/>
      <c r="L300" s="1580"/>
      <c r="M300" s="1580"/>
      <c r="N300" s="1580"/>
      <c r="O300" s="1580"/>
      <c r="P300" s="1580"/>
      <c r="Q300" s="1580"/>
      <c r="R300" s="1580"/>
      <c r="S300" s="1580"/>
      <c r="T300" s="1580"/>
      <c r="U300" s="1580"/>
      <c r="V300" s="1580"/>
      <c r="W300" s="1580"/>
      <c r="X300" s="1580"/>
      <c r="Y300" s="1580"/>
      <c r="Z300" s="1580"/>
    </row>
    <row r="301" spans="1:26" ht="15.75" customHeight="1">
      <c r="A301" s="1580"/>
      <c r="B301" s="1603">
        <f t="shared" si="9"/>
        <v>39</v>
      </c>
      <c r="C301" s="1584" t="s">
        <v>167</v>
      </c>
      <c r="D301" s="1584" t="s">
        <v>6069</v>
      </c>
      <c r="E301" s="1605">
        <v>43586</v>
      </c>
      <c r="F301" s="1605">
        <v>43617</v>
      </c>
      <c r="G301" s="1606">
        <v>43647</v>
      </c>
      <c r="H301" s="1678">
        <v>1</v>
      </c>
      <c r="I301" s="1584"/>
      <c r="J301" s="1608" t="s">
        <v>6070</v>
      </c>
      <c r="K301" s="1580"/>
      <c r="L301" s="1580"/>
      <c r="M301" s="1580"/>
      <c r="N301" s="1580"/>
      <c r="O301" s="1580"/>
      <c r="P301" s="1580"/>
      <c r="Q301" s="1580"/>
      <c r="R301" s="1580"/>
      <c r="S301" s="1580"/>
      <c r="T301" s="1580"/>
      <c r="U301" s="1580"/>
      <c r="V301" s="1580"/>
      <c r="W301" s="1580"/>
      <c r="X301" s="1580"/>
      <c r="Y301" s="1580"/>
      <c r="Z301" s="1580"/>
    </row>
    <row r="302" spans="1:26" ht="15.75" customHeight="1">
      <c r="A302" s="1580"/>
      <c r="B302" s="1603">
        <f t="shared" si="9"/>
        <v>40</v>
      </c>
      <c r="C302" s="1584" t="s">
        <v>950</v>
      </c>
      <c r="D302" s="1584" t="s">
        <v>6071</v>
      </c>
      <c r="E302" s="1605">
        <v>43586</v>
      </c>
      <c r="F302" s="1605">
        <v>43617</v>
      </c>
      <c r="G302" s="1606">
        <v>43800</v>
      </c>
      <c r="H302" s="1678">
        <v>1</v>
      </c>
      <c r="I302" s="1584"/>
      <c r="J302" s="1608" t="s">
        <v>2411</v>
      </c>
      <c r="K302" s="1580"/>
      <c r="L302" s="1580"/>
      <c r="M302" s="1580"/>
      <c r="N302" s="1580"/>
      <c r="O302" s="1580"/>
      <c r="P302" s="1580"/>
      <c r="Q302" s="1580"/>
      <c r="R302" s="1580"/>
      <c r="S302" s="1580"/>
      <c r="T302" s="1580"/>
      <c r="U302" s="1580"/>
      <c r="V302" s="1580"/>
      <c r="W302" s="1580"/>
      <c r="X302" s="1580"/>
      <c r="Y302" s="1580"/>
      <c r="Z302" s="1580"/>
    </row>
    <row r="303" spans="1:26" ht="15.75" customHeight="1">
      <c r="A303" s="1580"/>
      <c r="B303" s="1603">
        <f t="shared" si="9"/>
        <v>41</v>
      </c>
      <c r="C303" s="1584" t="s">
        <v>2231</v>
      </c>
      <c r="D303" s="1584" t="s">
        <v>6072</v>
      </c>
      <c r="E303" s="1605">
        <v>43586</v>
      </c>
      <c r="F303" s="1605">
        <v>43617</v>
      </c>
      <c r="G303" s="1606">
        <v>43647</v>
      </c>
      <c r="H303" s="1678">
        <v>1</v>
      </c>
      <c r="I303" s="1584"/>
      <c r="J303" s="1608" t="s">
        <v>6073</v>
      </c>
      <c r="K303" s="1580"/>
      <c r="L303" s="1580"/>
      <c r="M303" s="1580"/>
      <c r="N303" s="1580"/>
      <c r="O303" s="1580"/>
      <c r="P303" s="1580"/>
      <c r="Q303" s="1580"/>
      <c r="R303" s="1580"/>
      <c r="S303" s="1580"/>
      <c r="T303" s="1580"/>
      <c r="U303" s="1580"/>
      <c r="V303" s="1580"/>
      <c r="W303" s="1580"/>
      <c r="X303" s="1580"/>
      <c r="Y303" s="1580"/>
      <c r="Z303" s="1580"/>
    </row>
    <row r="304" spans="1:26" ht="15.75" customHeight="1">
      <c r="A304" s="1580"/>
      <c r="B304" s="1603">
        <f t="shared" si="9"/>
        <v>42</v>
      </c>
      <c r="C304" s="1584" t="s">
        <v>1799</v>
      </c>
      <c r="D304" s="1584" t="s">
        <v>2284</v>
      </c>
      <c r="E304" s="1638">
        <v>43586</v>
      </c>
      <c r="F304" s="1638"/>
      <c r="G304" s="1630"/>
      <c r="H304" s="1660"/>
      <c r="I304" s="1584"/>
      <c r="J304" s="1608" t="s">
        <v>2285</v>
      </c>
      <c r="K304" s="1580"/>
      <c r="L304" s="1580"/>
      <c r="M304" s="1580"/>
      <c r="N304" s="1580"/>
      <c r="O304" s="1580"/>
      <c r="P304" s="1580"/>
      <c r="Q304" s="1580"/>
      <c r="R304" s="1580"/>
      <c r="S304" s="1580"/>
      <c r="T304" s="1580"/>
      <c r="U304" s="1580"/>
      <c r="V304" s="1580"/>
      <c r="W304" s="1580"/>
      <c r="X304" s="1580"/>
      <c r="Y304" s="1580"/>
      <c r="Z304" s="1580"/>
    </row>
    <row r="305" spans="1:26" ht="15.75" customHeight="1">
      <c r="A305" s="1580"/>
      <c r="B305" s="1603">
        <f t="shared" si="9"/>
        <v>43</v>
      </c>
      <c r="C305" s="1584" t="s">
        <v>5235</v>
      </c>
      <c r="D305" s="1584" t="s">
        <v>6074</v>
      </c>
      <c r="E305" s="1605">
        <v>43739</v>
      </c>
      <c r="F305" s="1605">
        <v>43770</v>
      </c>
      <c r="G305" s="1606">
        <v>43647</v>
      </c>
      <c r="H305" s="1672">
        <v>1</v>
      </c>
      <c r="I305" s="1584"/>
      <c r="J305" s="1608" t="s">
        <v>6075</v>
      </c>
      <c r="K305" s="1580"/>
      <c r="L305" s="1580"/>
      <c r="M305" s="1580"/>
      <c r="N305" s="1580"/>
      <c r="O305" s="1580"/>
      <c r="P305" s="1580"/>
      <c r="Q305" s="1580"/>
      <c r="R305" s="1580"/>
      <c r="S305" s="1580"/>
      <c r="T305" s="1580"/>
      <c r="U305" s="1580"/>
      <c r="V305" s="1580"/>
      <c r="W305" s="1580"/>
      <c r="X305" s="1580"/>
      <c r="Y305" s="1580"/>
      <c r="Z305" s="1580"/>
    </row>
    <row r="306" spans="1:26" ht="15.75" customHeight="1">
      <c r="A306" s="1580"/>
      <c r="B306" s="1603">
        <f t="shared" si="9"/>
        <v>44</v>
      </c>
      <c r="C306" s="1584" t="s">
        <v>1449</v>
      </c>
      <c r="D306" s="1584" t="s">
        <v>6076</v>
      </c>
      <c r="E306" s="1605">
        <v>43586</v>
      </c>
      <c r="F306" s="1605">
        <v>43617</v>
      </c>
      <c r="G306" s="1606">
        <v>43647</v>
      </c>
      <c r="H306" s="1678">
        <v>1</v>
      </c>
      <c r="I306" s="1584"/>
      <c r="J306" s="1608" t="s">
        <v>6077</v>
      </c>
      <c r="K306" s="1580"/>
      <c r="L306" s="1580"/>
      <c r="M306" s="1580"/>
      <c r="N306" s="1580"/>
      <c r="O306" s="1580"/>
      <c r="P306" s="1580"/>
      <c r="Q306" s="1580"/>
      <c r="R306" s="1580"/>
      <c r="S306" s="1580"/>
      <c r="T306" s="1580"/>
      <c r="U306" s="1580"/>
      <c r="V306" s="1580"/>
      <c r="W306" s="1580"/>
      <c r="X306" s="1580"/>
      <c r="Y306" s="1580"/>
      <c r="Z306" s="1580"/>
    </row>
    <row r="307" spans="1:26" ht="15.75" customHeight="1">
      <c r="A307" s="1580"/>
      <c r="B307" s="1603">
        <f t="shared" si="9"/>
        <v>45</v>
      </c>
      <c r="C307" s="1584" t="s">
        <v>6078</v>
      </c>
      <c r="D307" s="1584" t="s">
        <v>6079</v>
      </c>
      <c r="E307" s="1605">
        <v>43586</v>
      </c>
      <c r="F307" s="1605">
        <v>43617</v>
      </c>
      <c r="G307" s="1605">
        <v>43800</v>
      </c>
      <c r="H307" s="1678">
        <v>1</v>
      </c>
      <c r="I307" s="1584"/>
      <c r="J307" s="1608" t="s">
        <v>6080</v>
      </c>
      <c r="K307" s="1580"/>
      <c r="L307" s="1580"/>
      <c r="M307" s="1580"/>
      <c r="N307" s="1580"/>
      <c r="O307" s="1580"/>
      <c r="P307" s="1580"/>
      <c r="Q307" s="1580"/>
      <c r="R307" s="1580"/>
      <c r="S307" s="1580"/>
      <c r="T307" s="1580"/>
      <c r="U307" s="1580"/>
      <c r="V307" s="1580"/>
      <c r="W307" s="1580"/>
      <c r="X307" s="1580"/>
      <c r="Y307" s="1580"/>
      <c r="Z307" s="1580"/>
    </row>
    <row r="308" spans="1:26" ht="15.75" customHeight="1">
      <c r="A308" s="1580"/>
      <c r="B308" s="1603">
        <f t="shared" si="9"/>
        <v>46</v>
      </c>
      <c r="C308" s="1584" t="s">
        <v>503</v>
      </c>
      <c r="D308" s="1584" t="s">
        <v>6081</v>
      </c>
      <c r="E308" s="1605">
        <v>43586</v>
      </c>
      <c r="F308" s="1605">
        <v>43617</v>
      </c>
      <c r="G308" s="1606">
        <v>43647</v>
      </c>
      <c r="H308" s="1678">
        <v>1</v>
      </c>
      <c r="I308" s="1584"/>
      <c r="J308" s="1608" t="s">
        <v>6082</v>
      </c>
      <c r="K308" s="1580"/>
      <c r="L308" s="1580"/>
      <c r="M308" s="1580"/>
      <c r="N308" s="1580"/>
      <c r="O308" s="1580"/>
      <c r="P308" s="1580"/>
      <c r="Q308" s="1580"/>
      <c r="R308" s="1580"/>
      <c r="S308" s="1580"/>
      <c r="T308" s="1580"/>
      <c r="U308" s="1580"/>
      <c r="V308" s="1580"/>
      <c r="W308" s="1580"/>
      <c r="X308" s="1580"/>
      <c r="Y308" s="1580"/>
      <c r="Z308" s="1580"/>
    </row>
    <row r="309" spans="1:26" ht="15.75" customHeight="1">
      <c r="A309" s="1580"/>
      <c r="B309" s="1603">
        <f t="shared" si="9"/>
        <v>47</v>
      </c>
      <c r="C309" s="1584" t="s">
        <v>1134</v>
      </c>
      <c r="D309" s="1584" t="s">
        <v>6083</v>
      </c>
      <c r="E309" s="1605">
        <v>43586</v>
      </c>
      <c r="F309" s="1605">
        <v>43617</v>
      </c>
      <c r="G309" s="1606">
        <v>43647</v>
      </c>
      <c r="H309" s="1678">
        <v>1</v>
      </c>
      <c r="I309" s="1584"/>
      <c r="J309" s="1608" t="s">
        <v>6084</v>
      </c>
      <c r="K309" s="1580"/>
      <c r="L309" s="1580"/>
      <c r="M309" s="1580"/>
      <c r="N309" s="1580"/>
      <c r="O309" s="1580"/>
      <c r="P309" s="1580"/>
      <c r="Q309" s="1580"/>
      <c r="R309" s="1580"/>
      <c r="S309" s="1580"/>
      <c r="T309" s="1580"/>
      <c r="U309" s="1580"/>
      <c r="V309" s="1580"/>
      <c r="W309" s="1580"/>
      <c r="X309" s="1580"/>
      <c r="Y309" s="1580"/>
      <c r="Z309" s="1580"/>
    </row>
    <row r="310" spans="1:26" ht="15.75" customHeight="1">
      <c r="A310" s="1580"/>
      <c r="B310" s="1603">
        <f t="shared" si="9"/>
        <v>48</v>
      </c>
      <c r="C310" s="1584" t="s">
        <v>822</v>
      </c>
      <c r="D310" s="1584" t="s">
        <v>6085</v>
      </c>
      <c r="E310" s="1605">
        <v>43586</v>
      </c>
      <c r="F310" s="1605">
        <v>43617</v>
      </c>
      <c r="G310" s="1606">
        <v>43647</v>
      </c>
      <c r="H310" s="1678">
        <v>1</v>
      </c>
      <c r="I310" s="1584"/>
      <c r="J310" s="1608" t="s">
        <v>6086</v>
      </c>
      <c r="K310" s="1580"/>
      <c r="L310" s="1580"/>
      <c r="M310" s="1580"/>
      <c r="N310" s="1580"/>
      <c r="O310" s="1580"/>
      <c r="P310" s="1580"/>
      <c r="Q310" s="1580"/>
      <c r="R310" s="1580"/>
      <c r="S310" s="1580"/>
      <c r="T310" s="1580"/>
      <c r="U310" s="1580"/>
      <c r="V310" s="1580"/>
      <c r="W310" s="1580"/>
      <c r="X310" s="1580"/>
      <c r="Y310" s="1580"/>
      <c r="Z310" s="1580"/>
    </row>
    <row r="311" spans="1:26" ht="15.75" customHeight="1">
      <c r="A311" s="1580"/>
      <c r="B311" s="1603">
        <f t="shared" si="9"/>
        <v>49</v>
      </c>
      <c r="C311" s="1584" t="s">
        <v>3165</v>
      </c>
      <c r="D311" s="1584" t="s">
        <v>6087</v>
      </c>
      <c r="E311" s="1605">
        <v>43586</v>
      </c>
      <c r="F311" s="1605">
        <v>43770</v>
      </c>
      <c r="G311" s="1606">
        <v>43647</v>
      </c>
      <c r="H311" s="1672">
        <v>1</v>
      </c>
      <c r="I311" s="1584"/>
      <c r="J311" s="1608" t="s">
        <v>6088</v>
      </c>
      <c r="K311" s="1580"/>
      <c r="L311" s="1580"/>
      <c r="M311" s="1580"/>
      <c r="N311" s="1580"/>
      <c r="O311" s="1580"/>
      <c r="P311" s="1580"/>
      <c r="Q311" s="1580"/>
      <c r="R311" s="1580"/>
      <c r="S311" s="1580"/>
      <c r="T311" s="1580"/>
      <c r="U311" s="1580"/>
      <c r="V311" s="1580"/>
      <c r="W311" s="1580"/>
      <c r="X311" s="1580"/>
      <c r="Y311" s="1580"/>
      <c r="Z311" s="1580"/>
    </row>
    <row r="312" spans="1:26" ht="15.75" customHeight="1">
      <c r="A312" s="1580"/>
      <c r="B312" s="1603">
        <f t="shared" si="9"/>
        <v>50</v>
      </c>
      <c r="C312" s="1584" t="s">
        <v>6089</v>
      </c>
      <c r="D312" s="1584" t="s">
        <v>6090</v>
      </c>
      <c r="E312" s="1605">
        <v>43586</v>
      </c>
      <c r="F312" s="1605">
        <v>43617</v>
      </c>
      <c r="G312" s="1606">
        <v>43800</v>
      </c>
      <c r="H312" s="1672">
        <v>1</v>
      </c>
      <c r="I312" s="1584"/>
      <c r="J312" s="1608" t="s">
        <v>6091</v>
      </c>
      <c r="K312" s="1580"/>
      <c r="L312" s="1580"/>
      <c r="M312" s="1580"/>
      <c r="N312" s="1580"/>
      <c r="O312" s="1580"/>
      <c r="P312" s="1580"/>
      <c r="Q312" s="1580"/>
      <c r="R312" s="1580"/>
      <c r="S312" s="1580"/>
      <c r="T312" s="1580"/>
      <c r="U312" s="1580"/>
      <c r="V312" s="1580"/>
      <c r="W312" s="1580"/>
      <c r="X312" s="1580"/>
      <c r="Y312" s="1580"/>
      <c r="Z312" s="1580"/>
    </row>
    <row r="313" spans="1:26" ht="15.75" customHeight="1">
      <c r="A313" s="1580"/>
      <c r="B313" s="1603">
        <f t="shared" si="9"/>
        <v>51</v>
      </c>
      <c r="C313" s="1584" t="s">
        <v>188</v>
      </c>
      <c r="D313" s="1584" t="s">
        <v>6092</v>
      </c>
      <c r="E313" s="1605">
        <v>43586</v>
      </c>
      <c r="F313" s="1605">
        <v>43617</v>
      </c>
      <c r="G313" s="1606">
        <v>43647</v>
      </c>
      <c r="H313" s="1678">
        <v>1</v>
      </c>
      <c r="I313" s="1584"/>
      <c r="J313" s="1608" t="s">
        <v>6093</v>
      </c>
      <c r="K313" s="1580"/>
      <c r="L313" s="1580"/>
      <c r="M313" s="1580"/>
      <c r="N313" s="1580"/>
      <c r="O313" s="1580"/>
      <c r="P313" s="1580"/>
      <c r="Q313" s="1580"/>
      <c r="R313" s="1580"/>
      <c r="S313" s="1580"/>
      <c r="T313" s="1580"/>
      <c r="U313" s="1580"/>
      <c r="V313" s="1580"/>
      <c r="W313" s="1580"/>
      <c r="X313" s="1580"/>
      <c r="Y313" s="1580"/>
      <c r="Z313" s="1580"/>
    </row>
    <row r="314" spans="1:26" ht="15.75" customHeight="1">
      <c r="A314" s="1580"/>
      <c r="B314" s="1603">
        <f t="shared" si="9"/>
        <v>52</v>
      </c>
      <c r="C314" s="1584" t="s">
        <v>135</v>
      </c>
      <c r="D314" s="1584" t="s">
        <v>2903</v>
      </c>
      <c r="E314" s="1638">
        <v>43586</v>
      </c>
      <c r="F314" s="1638">
        <v>43617</v>
      </c>
      <c r="G314" s="1630"/>
      <c r="H314" s="1660"/>
      <c r="I314" s="1584"/>
      <c r="J314" s="1608" t="s">
        <v>2904</v>
      </c>
      <c r="K314" s="1580"/>
      <c r="L314" s="1580"/>
      <c r="M314" s="1580"/>
      <c r="N314" s="1580"/>
      <c r="O314" s="1580"/>
      <c r="P314" s="1580"/>
      <c r="Q314" s="1580"/>
      <c r="R314" s="1580"/>
      <c r="S314" s="1580"/>
      <c r="T314" s="1580"/>
      <c r="U314" s="1580"/>
      <c r="V314" s="1580"/>
      <c r="W314" s="1580"/>
      <c r="X314" s="1580"/>
      <c r="Y314" s="1580"/>
      <c r="Z314" s="1580"/>
    </row>
    <row r="315" spans="1:26" ht="15.75" customHeight="1">
      <c r="A315" s="1580"/>
      <c r="B315" s="1603">
        <f t="shared" si="9"/>
        <v>53</v>
      </c>
      <c r="C315" s="1584" t="s">
        <v>570</v>
      </c>
      <c r="D315" s="1584" t="s">
        <v>3093</v>
      </c>
      <c r="E315" s="1638">
        <v>43586</v>
      </c>
      <c r="F315" s="1638">
        <v>43617</v>
      </c>
      <c r="G315" s="1630"/>
      <c r="H315" s="1660"/>
      <c r="I315" s="1584"/>
      <c r="J315" s="1608" t="s">
        <v>3094</v>
      </c>
      <c r="K315" s="1580"/>
      <c r="L315" s="1580"/>
      <c r="M315" s="1580"/>
      <c r="N315" s="1580"/>
      <c r="O315" s="1580"/>
      <c r="P315" s="1580"/>
      <c r="Q315" s="1580"/>
      <c r="R315" s="1580"/>
      <c r="S315" s="1580"/>
      <c r="T315" s="1580"/>
      <c r="U315" s="1580"/>
      <c r="V315" s="1580"/>
      <c r="W315" s="1580"/>
      <c r="X315" s="1580"/>
      <c r="Y315" s="1580"/>
      <c r="Z315" s="1580"/>
    </row>
    <row r="316" spans="1:26" ht="15.75" customHeight="1">
      <c r="A316" s="1580"/>
      <c r="B316" s="1603">
        <f t="shared" si="9"/>
        <v>54</v>
      </c>
      <c r="C316" s="1584" t="s">
        <v>208</v>
      </c>
      <c r="D316" s="1584" t="s">
        <v>6094</v>
      </c>
      <c r="E316" s="1605">
        <v>43586</v>
      </c>
      <c r="F316" s="1605">
        <v>43617</v>
      </c>
      <c r="G316" s="1606">
        <v>43647</v>
      </c>
      <c r="H316" s="1678">
        <v>1</v>
      </c>
      <c r="I316" s="1584"/>
      <c r="J316" s="1609" t="s">
        <v>6095</v>
      </c>
      <c r="K316" s="1580"/>
      <c r="L316" s="1580"/>
      <c r="M316" s="1580"/>
      <c r="N316" s="1580"/>
      <c r="O316" s="1580"/>
      <c r="P316" s="1580"/>
      <c r="Q316" s="1580"/>
      <c r="R316" s="1580"/>
      <c r="S316" s="1580"/>
      <c r="T316" s="1580"/>
      <c r="U316" s="1580"/>
      <c r="V316" s="1580"/>
      <c r="W316" s="1580"/>
      <c r="X316" s="1580"/>
      <c r="Y316" s="1580"/>
      <c r="Z316" s="1580"/>
    </row>
    <row r="317" spans="1:26" ht="15.75" customHeight="1">
      <c r="A317" s="1580"/>
      <c r="B317" s="1603">
        <f t="shared" si="9"/>
        <v>55</v>
      </c>
      <c r="C317" s="1584" t="s">
        <v>471</v>
      </c>
      <c r="D317" s="1584" t="s">
        <v>6096</v>
      </c>
      <c r="E317" s="1605">
        <v>43586</v>
      </c>
      <c r="F317" s="1605">
        <v>43617</v>
      </c>
      <c r="G317" s="1606">
        <v>43647</v>
      </c>
      <c r="H317" s="1678">
        <v>1</v>
      </c>
      <c r="I317" s="1584"/>
      <c r="J317" s="1608" t="s">
        <v>6097</v>
      </c>
      <c r="K317" s="1580"/>
      <c r="L317" s="1580"/>
      <c r="M317" s="1580"/>
      <c r="N317" s="1580"/>
      <c r="O317" s="1580"/>
      <c r="P317" s="1580"/>
      <c r="Q317" s="1580"/>
      <c r="R317" s="1580"/>
      <c r="S317" s="1580"/>
      <c r="T317" s="1580"/>
      <c r="U317" s="1580"/>
      <c r="V317" s="1580"/>
      <c r="W317" s="1580"/>
      <c r="X317" s="1580"/>
      <c r="Y317" s="1580"/>
      <c r="Z317" s="1580"/>
    </row>
    <row r="318" spans="1:26" ht="15.75" customHeight="1">
      <c r="A318" s="1580"/>
      <c r="B318" s="1603">
        <f t="shared" si="9"/>
        <v>56</v>
      </c>
      <c r="C318" s="1584" t="s">
        <v>6098</v>
      </c>
      <c r="D318" s="1584" t="s">
        <v>2937</v>
      </c>
      <c r="E318" s="1605">
        <v>43586</v>
      </c>
      <c r="F318" s="1605">
        <v>43617</v>
      </c>
      <c r="G318" s="1606">
        <v>43647</v>
      </c>
      <c r="H318" s="1678">
        <v>1</v>
      </c>
      <c r="I318" s="1584"/>
      <c r="J318" s="1608" t="s">
        <v>6099</v>
      </c>
      <c r="K318" s="1580"/>
      <c r="L318" s="1580"/>
      <c r="M318" s="1580"/>
      <c r="N318" s="1580"/>
      <c r="O318" s="1580"/>
      <c r="P318" s="1580"/>
      <c r="Q318" s="1580"/>
      <c r="R318" s="1580"/>
      <c r="S318" s="1580"/>
      <c r="T318" s="1580"/>
      <c r="U318" s="1580"/>
      <c r="V318" s="1580"/>
      <c r="W318" s="1580"/>
      <c r="X318" s="1580"/>
      <c r="Y318" s="1580"/>
      <c r="Z318" s="1580"/>
    </row>
    <row r="319" spans="1:26" ht="15.75" customHeight="1">
      <c r="A319" s="1580"/>
      <c r="B319" s="1603">
        <f t="shared" si="9"/>
        <v>57</v>
      </c>
      <c r="C319" s="1584" t="s">
        <v>127</v>
      </c>
      <c r="D319" s="1584" t="s">
        <v>6100</v>
      </c>
      <c r="E319" s="1605">
        <v>43586</v>
      </c>
      <c r="F319" s="1605">
        <v>43617</v>
      </c>
      <c r="G319" s="1606">
        <v>43647</v>
      </c>
      <c r="H319" s="1678">
        <v>1</v>
      </c>
      <c r="I319" s="1584"/>
      <c r="J319" s="1609" t="s">
        <v>6101</v>
      </c>
      <c r="K319" s="1580"/>
      <c r="L319" s="1580"/>
      <c r="M319" s="1580"/>
      <c r="N319" s="1580"/>
      <c r="O319" s="1580"/>
      <c r="P319" s="1580"/>
      <c r="Q319" s="1580"/>
      <c r="R319" s="1580"/>
      <c r="S319" s="1580"/>
      <c r="T319" s="1580"/>
      <c r="U319" s="1580"/>
      <c r="V319" s="1580"/>
      <c r="W319" s="1580"/>
      <c r="X319" s="1580"/>
      <c r="Y319" s="1580"/>
      <c r="Z319" s="1580"/>
    </row>
    <row r="320" spans="1:26" ht="15.75" customHeight="1">
      <c r="A320" s="1580"/>
      <c r="B320" s="1603">
        <f t="shared" si="9"/>
        <v>58</v>
      </c>
      <c r="C320" s="1584" t="s">
        <v>570</v>
      </c>
      <c r="D320" s="1584" t="s">
        <v>6102</v>
      </c>
      <c r="E320" s="1638">
        <v>43586</v>
      </c>
      <c r="F320" s="1638"/>
      <c r="G320" s="1630">
        <v>43647</v>
      </c>
      <c r="H320" s="1660"/>
      <c r="I320" s="1584"/>
      <c r="J320" s="1608" t="s">
        <v>2294</v>
      </c>
      <c r="K320" s="1580"/>
      <c r="L320" s="1580"/>
      <c r="M320" s="1580"/>
      <c r="N320" s="1580"/>
      <c r="O320" s="1580"/>
      <c r="P320" s="1580"/>
      <c r="Q320" s="1580"/>
      <c r="R320" s="1580"/>
      <c r="S320" s="1580"/>
      <c r="T320" s="1580"/>
      <c r="U320" s="1580"/>
      <c r="V320" s="1580"/>
      <c r="W320" s="1580"/>
      <c r="X320" s="1580"/>
      <c r="Y320" s="1580"/>
      <c r="Z320" s="1580"/>
    </row>
    <row r="321" spans="1:26" ht="15.75" customHeight="1">
      <c r="A321" s="1580"/>
      <c r="B321" s="1603">
        <f t="shared" si="9"/>
        <v>59</v>
      </c>
      <c r="C321" s="1584" t="s">
        <v>414</v>
      </c>
      <c r="D321" s="1584" t="s">
        <v>1057</v>
      </c>
      <c r="E321" s="1605">
        <v>43586</v>
      </c>
      <c r="F321" s="1605">
        <v>43617</v>
      </c>
      <c r="G321" s="1606">
        <v>43647</v>
      </c>
      <c r="H321" s="1678">
        <v>1</v>
      </c>
      <c r="I321" s="1584"/>
      <c r="J321" s="1609" t="s">
        <v>6103</v>
      </c>
      <c r="K321" s="1580"/>
      <c r="L321" s="1580"/>
      <c r="M321" s="1580"/>
      <c r="N321" s="1580"/>
      <c r="O321" s="1580"/>
      <c r="P321" s="1580"/>
      <c r="Q321" s="1580"/>
      <c r="R321" s="1580"/>
      <c r="S321" s="1580"/>
      <c r="T321" s="1580"/>
      <c r="U321" s="1580"/>
      <c r="V321" s="1580"/>
      <c r="W321" s="1580"/>
      <c r="X321" s="1580"/>
      <c r="Y321" s="1580"/>
      <c r="Z321" s="1580"/>
    </row>
    <row r="322" spans="1:26" ht="15.75" customHeight="1">
      <c r="A322" s="1580"/>
      <c r="B322" s="1603">
        <f t="shared" si="9"/>
        <v>60</v>
      </c>
      <c r="C322" s="1584" t="s">
        <v>1340</v>
      </c>
      <c r="D322" s="1584" t="s">
        <v>1424</v>
      </c>
      <c r="E322" s="1605">
        <v>43586</v>
      </c>
      <c r="F322" s="1605">
        <v>43770</v>
      </c>
      <c r="G322" s="1606">
        <v>43647</v>
      </c>
      <c r="H322" s="1672">
        <v>1</v>
      </c>
      <c r="I322" s="1584"/>
      <c r="J322" s="1608" t="s">
        <v>4576</v>
      </c>
      <c r="K322" s="1580"/>
      <c r="L322" s="1580"/>
      <c r="M322" s="1580"/>
      <c r="N322" s="1580"/>
      <c r="O322" s="1580"/>
      <c r="P322" s="1580"/>
      <c r="Q322" s="1580"/>
      <c r="R322" s="1580"/>
      <c r="S322" s="1580"/>
      <c r="T322" s="1580"/>
      <c r="U322" s="1580"/>
      <c r="V322" s="1580"/>
      <c r="W322" s="1580"/>
      <c r="X322" s="1580"/>
      <c r="Y322" s="1580"/>
      <c r="Z322" s="1580"/>
    </row>
    <row r="323" spans="1:26" ht="15.75" customHeight="1">
      <c r="A323" s="1580"/>
      <c r="B323" s="1603">
        <f t="shared" si="9"/>
        <v>61</v>
      </c>
      <c r="C323" s="1584" t="s">
        <v>939</v>
      </c>
      <c r="D323" s="1584" t="s">
        <v>2152</v>
      </c>
      <c r="E323" s="1605">
        <v>43586</v>
      </c>
      <c r="F323" s="1605">
        <v>43617</v>
      </c>
      <c r="G323" s="1606">
        <v>43647</v>
      </c>
      <c r="H323" s="1678">
        <v>1</v>
      </c>
      <c r="I323" s="1584"/>
      <c r="J323" s="1608" t="s">
        <v>6104</v>
      </c>
      <c r="K323" s="1580"/>
      <c r="L323" s="1580"/>
      <c r="M323" s="1580"/>
      <c r="N323" s="1580"/>
      <c r="O323" s="1580"/>
      <c r="P323" s="1580"/>
      <c r="Q323" s="1580"/>
      <c r="R323" s="1580"/>
      <c r="S323" s="1580"/>
      <c r="T323" s="1580"/>
      <c r="U323" s="1580"/>
      <c r="V323" s="1580"/>
      <c r="W323" s="1580"/>
      <c r="X323" s="1580"/>
      <c r="Y323" s="1580"/>
      <c r="Z323" s="1580"/>
    </row>
    <row r="324" spans="1:26" ht="15.75" customHeight="1">
      <c r="A324" s="1580"/>
      <c r="B324" s="1603">
        <f t="shared" si="9"/>
        <v>62</v>
      </c>
      <c r="C324" s="1584" t="s">
        <v>3844</v>
      </c>
      <c r="D324" s="1584" t="s">
        <v>4885</v>
      </c>
      <c r="E324" s="1605">
        <v>43586</v>
      </c>
      <c r="F324" s="1605">
        <v>43617</v>
      </c>
      <c r="G324" s="1606">
        <v>43647</v>
      </c>
      <c r="H324" s="1678">
        <v>1</v>
      </c>
      <c r="I324" s="1584"/>
      <c r="J324" s="1608" t="s">
        <v>6105</v>
      </c>
      <c r="K324" s="1580"/>
      <c r="L324" s="1580"/>
      <c r="M324" s="1580"/>
      <c r="N324" s="1580"/>
      <c r="O324" s="1580"/>
      <c r="P324" s="1580"/>
      <c r="Q324" s="1580"/>
      <c r="R324" s="1580"/>
      <c r="S324" s="1580"/>
      <c r="T324" s="1580"/>
      <c r="U324" s="1580"/>
      <c r="V324" s="1580"/>
      <c r="W324" s="1580"/>
      <c r="X324" s="1580"/>
      <c r="Y324" s="1580"/>
      <c r="Z324" s="1580"/>
    </row>
    <row r="325" spans="1:26" ht="15.75" customHeight="1">
      <c r="A325" s="1580"/>
      <c r="B325" s="1603">
        <f t="shared" si="9"/>
        <v>63</v>
      </c>
      <c r="C325" s="1584" t="s">
        <v>6106</v>
      </c>
      <c r="D325" s="1584" t="s">
        <v>6107</v>
      </c>
      <c r="E325" s="1611"/>
      <c r="F325" s="1611"/>
      <c r="G325" s="1615">
        <v>43647</v>
      </c>
      <c r="H325" s="1660"/>
      <c r="I325" s="1584"/>
      <c r="J325" s="1609" t="s">
        <v>6108</v>
      </c>
      <c r="K325" s="1580"/>
      <c r="L325" s="1580"/>
      <c r="M325" s="1580"/>
      <c r="N325" s="1580"/>
      <c r="O325" s="1580"/>
      <c r="P325" s="1580"/>
      <c r="Q325" s="1580"/>
      <c r="R325" s="1580"/>
      <c r="S325" s="1580"/>
      <c r="T325" s="1580"/>
      <c r="U325" s="1580"/>
      <c r="V325" s="1580"/>
      <c r="W325" s="1580"/>
      <c r="X325" s="1580"/>
      <c r="Y325" s="1580"/>
      <c r="Z325" s="1580"/>
    </row>
    <row r="326" spans="1:26" ht="15.75" customHeight="1">
      <c r="A326" s="1580"/>
      <c r="B326" s="1603">
        <f t="shared" si="9"/>
        <v>64</v>
      </c>
      <c r="C326" s="1584" t="s">
        <v>487</v>
      </c>
      <c r="D326" s="1584" t="s">
        <v>6109</v>
      </c>
      <c r="E326" s="1605">
        <v>43586</v>
      </c>
      <c r="F326" s="1605">
        <v>43617</v>
      </c>
      <c r="G326" s="1606">
        <v>43647</v>
      </c>
      <c r="H326" s="1678">
        <v>1</v>
      </c>
      <c r="I326" s="1584"/>
      <c r="J326" s="1609" t="s">
        <v>6110</v>
      </c>
      <c r="K326" s="1580"/>
      <c r="L326" s="1580"/>
      <c r="M326" s="1580"/>
      <c r="N326" s="1580"/>
      <c r="O326" s="1580"/>
      <c r="P326" s="1580"/>
      <c r="Q326" s="1580"/>
      <c r="R326" s="1580"/>
      <c r="S326" s="1580"/>
      <c r="T326" s="1580"/>
      <c r="U326" s="1580"/>
      <c r="V326" s="1580"/>
      <c r="W326" s="1580"/>
      <c r="X326" s="1580"/>
      <c r="Y326" s="1580"/>
      <c r="Z326" s="1580"/>
    </row>
    <row r="327" spans="1:26" ht="15.75" customHeight="1">
      <c r="A327" s="1580"/>
      <c r="B327" s="1603">
        <f t="shared" si="9"/>
        <v>65</v>
      </c>
      <c r="C327" s="1584" t="s">
        <v>724</v>
      </c>
      <c r="D327" s="1584" t="s">
        <v>6111</v>
      </c>
      <c r="E327" s="1605">
        <v>43586</v>
      </c>
      <c r="F327" s="1605">
        <v>43770</v>
      </c>
      <c r="G327" s="1606">
        <v>43647</v>
      </c>
      <c r="H327" s="1672">
        <v>1</v>
      </c>
      <c r="I327" s="1584"/>
      <c r="J327" s="1608" t="s">
        <v>6112</v>
      </c>
      <c r="K327" s="1580"/>
      <c r="L327" s="1580"/>
      <c r="M327" s="1580"/>
      <c r="N327" s="1580"/>
      <c r="O327" s="1580"/>
      <c r="P327" s="1580"/>
      <c r="Q327" s="1580"/>
      <c r="R327" s="1580"/>
      <c r="S327" s="1580"/>
      <c r="T327" s="1580"/>
      <c r="U327" s="1580"/>
      <c r="V327" s="1580"/>
      <c r="W327" s="1580"/>
      <c r="X327" s="1580"/>
      <c r="Y327" s="1580"/>
      <c r="Z327" s="1580"/>
    </row>
    <row r="328" spans="1:26" ht="15.75" customHeight="1">
      <c r="A328" s="1580"/>
      <c r="B328" s="1603">
        <f t="shared" si="9"/>
        <v>66</v>
      </c>
      <c r="C328" s="1584" t="s">
        <v>135</v>
      </c>
      <c r="D328" s="1584" t="s">
        <v>2478</v>
      </c>
      <c r="E328" s="1605">
        <v>43586</v>
      </c>
      <c r="F328" s="1605">
        <v>43617</v>
      </c>
      <c r="G328" s="1606">
        <v>43647</v>
      </c>
      <c r="H328" s="1678">
        <v>1</v>
      </c>
      <c r="I328" s="1584"/>
      <c r="J328" s="1608" t="s">
        <v>6113</v>
      </c>
      <c r="K328" s="1580"/>
      <c r="L328" s="1580"/>
      <c r="M328" s="1580"/>
      <c r="N328" s="1580"/>
      <c r="O328" s="1580"/>
      <c r="P328" s="1580"/>
      <c r="Q328" s="1580"/>
      <c r="R328" s="1580"/>
      <c r="S328" s="1580"/>
      <c r="T328" s="1580"/>
      <c r="U328" s="1580"/>
      <c r="V328" s="1580"/>
      <c r="W328" s="1580"/>
      <c r="X328" s="1580"/>
      <c r="Y328" s="1580"/>
      <c r="Z328" s="1580"/>
    </row>
    <row r="329" spans="1:26" ht="15.75" customHeight="1">
      <c r="A329" s="1580"/>
      <c r="B329" s="1603">
        <f t="shared" si="9"/>
        <v>67</v>
      </c>
      <c r="C329" s="1584" t="s">
        <v>6114</v>
      </c>
      <c r="D329" s="1584" t="s">
        <v>6115</v>
      </c>
      <c r="E329" s="1605">
        <v>43586</v>
      </c>
      <c r="F329" s="1605">
        <v>43617</v>
      </c>
      <c r="G329" s="1606">
        <v>43647</v>
      </c>
      <c r="H329" s="1678">
        <v>1</v>
      </c>
      <c r="I329" s="1584"/>
      <c r="J329" s="1608" t="s">
        <v>6116</v>
      </c>
      <c r="K329" s="1580"/>
      <c r="L329" s="1580"/>
      <c r="M329" s="1580"/>
      <c r="N329" s="1580"/>
      <c r="O329" s="1580"/>
      <c r="P329" s="1580"/>
      <c r="Q329" s="1580"/>
      <c r="R329" s="1580"/>
      <c r="S329" s="1580"/>
      <c r="T329" s="1580"/>
      <c r="U329" s="1580"/>
      <c r="V329" s="1580"/>
      <c r="W329" s="1580"/>
      <c r="X329" s="1580"/>
      <c r="Y329" s="1580"/>
      <c r="Z329" s="1580"/>
    </row>
    <row r="330" spans="1:26" ht="15.75" customHeight="1">
      <c r="A330" s="1580"/>
      <c r="B330" s="1603">
        <f t="shared" si="9"/>
        <v>68</v>
      </c>
      <c r="C330" s="1584" t="s">
        <v>6117</v>
      </c>
      <c r="D330" s="1584" t="s">
        <v>6118</v>
      </c>
      <c r="E330" s="1605">
        <v>43586</v>
      </c>
      <c r="F330" s="1605">
        <v>43617</v>
      </c>
      <c r="G330" s="1606">
        <v>43647</v>
      </c>
      <c r="H330" s="1678">
        <v>1</v>
      </c>
      <c r="I330" s="1584"/>
      <c r="J330" s="1609" t="s">
        <v>6119</v>
      </c>
      <c r="K330" s="1580"/>
      <c r="L330" s="1580"/>
      <c r="M330" s="1580"/>
      <c r="N330" s="1580"/>
      <c r="O330" s="1580"/>
      <c r="P330" s="1580"/>
      <c r="Q330" s="1580"/>
      <c r="R330" s="1580"/>
      <c r="S330" s="1580"/>
      <c r="T330" s="1580"/>
      <c r="U330" s="1580"/>
      <c r="V330" s="1580"/>
      <c r="W330" s="1580"/>
      <c r="X330" s="1580"/>
      <c r="Y330" s="1580"/>
      <c r="Z330" s="1580"/>
    </row>
    <row r="331" spans="1:26" ht="15.75" customHeight="1">
      <c r="A331" s="1580"/>
      <c r="B331" s="1603">
        <f t="shared" si="9"/>
        <v>69</v>
      </c>
      <c r="C331" s="1584" t="s">
        <v>822</v>
      </c>
      <c r="D331" s="1584" t="s">
        <v>6120</v>
      </c>
      <c r="E331" s="1605">
        <v>43586</v>
      </c>
      <c r="F331" s="1605">
        <v>43617</v>
      </c>
      <c r="G331" s="1606">
        <v>43647</v>
      </c>
      <c r="H331" s="1678">
        <v>1</v>
      </c>
      <c r="I331" s="1584"/>
      <c r="J331" s="1609" t="s">
        <v>6121</v>
      </c>
      <c r="K331" s="1580"/>
      <c r="L331" s="1580"/>
      <c r="M331" s="1580"/>
      <c r="N331" s="1580"/>
      <c r="O331" s="1580"/>
      <c r="P331" s="1580"/>
      <c r="Q331" s="1580"/>
      <c r="R331" s="1580"/>
      <c r="S331" s="1580"/>
      <c r="T331" s="1580"/>
      <c r="U331" s="1580"/>
      <c r="V331" s="1580"/>
      <c r="W331" s="1580"/>
      <c r="X331" s="1580"/>
      <c r="Y331" s="1580"/>
      <c r="Z331" s="1580"/>
    </row>
    <row r="332" spans="1:26" ht="15.75" customHeight="1">
      <c r="A332" s="1580"/>
      <c r="B332" s="1603">
        <f t="shared" si="9"/>
        <v>70</v>
      </c>
      <c r="C332" s="1584" t="s">
        <v>204</v>
      </c>
      <c r="D332" s="1584" t="s">
        <v>6122</v>
      </c>
      <c r="E332" s="1611"/>
      <c r="F332" s="1585"/>
      <c r="G332" s="1615">
        <v>43647</v>
      </c>
      <c r="H332" s="1660"/>
      <c r="I332" s="1584"/>
      <c r="J332" s="1609" t="s">
        <v>6123</v>
      </c>
      <c r="K332" s="1580"/>
      <c r="L332" s="1580"/>
      <c r="M332" s="1580"/>
      <c r="N332" s="1580"/>
      <c r="O332" s="1580"/>
      <c r="P332" s="1580"/>
      <c r="Q332" s="1580"/>
      <c r="R332" s="1580"/>
      <c r="S332" s="1580"/>
      <c r="T332" s="1580"/>
      <c r="U332" s="1580"/>
      <c r="V332" s="1580"/>
      <c r="W332" s="1580"/>
      <c r="X332" s="1580"/>
      <c r="Y332" s="1580"/>
      <c r="Z332" s="1580"/>
    </row>
    <row r="333" spans="1:26" ht="15.75" customHeight="1">
      <c r="A333" s="1580"/>
      <c r="B333" s="1603">
        <f t="shared" si="9"/>
        <v>71</v>
      </c>
      <c r="C333" s="1584" t="s">
        <v>2469</v>
      </c>
      <c r="D333" s="1584" t="s">
        <v>6124</v>
      </c>
      <c r="E333" s="1605">
        <v>43739</v>
      </c>
      <c r="F333" s="1605">
        <v>43617</v>
      </c>
      <c r="G333" s="1606">
        <v>43647</v>
      </c>
      <c r="H333" s="1678">
        <v>1</v>
      </c>
      <c r="I333" s="1584"/>
      <c r="J333" s="1608" t="s">
        <v>6125</v>
      </c>
      <c r="K333" s="1580"/>
      <c r="L333" s="1580"/>
      <c r="M333" s="1580"/>
      <c r="N333" s="1580"/>
      <c r="O333" s="1580"/>
      <c r="P333" s="1580"/>
      <c r="Q333" s="1580"/>
      <c r="R333" s="1580"/>
      <c r="S333" s="1580"/>
      <c r="T333" s="1580"/>
      <c r="U333" s="1580"/>
      <c r="V333" s="1580"/>
      <c r="W333" s="1580"/>
      <c r="X333" s="1580"/>
      <c r="Y333" s="1580"/>
      <c r="Z333" s="1580"/>
    </row>
    <row r="334" spans="1:26" ht="15.75" customHeight="1">
      <c r="A334" s="1580"/>
      <c r="B334" s="1603">
        <f t="shared" si="9"/>
        <v>72</v>
      </c>
      <c r="C334" s="1584" t="s">
        <v>204</v>
      </c>
      <c r="D334" s="1584" t="s">
        <v>6126</v>
      </c>
      <c r="E334" s="1605">
        <v>43586</v>
      </c>
      <c r="F334" s="1605">
        <v>43617</v>
      </c>
      <c r="G334" s="1606">
        <v>43647</v>
      </c>
      <c r="H334" s="1678">
        <v>1</v>
      </c>
      <c r="I334" s="1584"/>
      <c r="J334" s="1608" t="s">
        <v>6127</v>
      </c>
      <c r="K334" s="1580"/>
      <c r="L334" s="1580"/>
      <c r="M334" s="1580"/>
      <c r="N334" s="1580"/>
      <c r="O334" s="1580"/>
      <c r="P334" s="1580"/>
      <c r="Q334" s="1580"/>
      <c r="R334" s="1580"/>
      <c r="S334" s="1580"/>
      <c r="T334" s="1580"/>
      <c r="U334" s="1580"/>
      <c r="V334" s="1580"/>
      <c r="W334" s="1580"/>
      <c r="X334" s="1580"/>
      <c r="Y334" s="1580"/>
      <c r="Z334" s="1580"/>
    </row>
    <row r="335" spans="1:26" ht="15.75" customHeight="1">
      <c r="A335" s="1580"/>
      <c r="B335" s="1603">
        <f t="shared" si="9"/>
        <v>73</v>
      </c>
      <c r="C335" s="1584" t="s">
        <v>6128</v>
      </c>
      <c r="D335" s="1584" t="s">
        <v>6129</v>
      </c>
      <c r="E335" s="1605">
        <v>43586</v>
      </c>
      <c r="F335" s="1605">
        <v>43617</v>
      </c>
      <c r="G335" s="1606">
        <v>43647</v>
      </c>
      <c r="H335" s="1678">
        <v>1</v>
      </c>
      <c r="I335" s="1584"/>
      <c r="J335" s="1608" t="s">
        <v>6130</v>
      </c>
      <c r="K335" s="1580"/>
      <c r="L335" s="1580"/>
      <c r="M335" s="1580"/>
      <c r="N335" s="1580"/>
      <c r="O335" s="1580"/>
      <c r="P335" s="1580"/>
      <c r="Q335" s="1580"/>
      <c r="R335" s="1580"/>
      <c r="S335" s="1580"/>
      <c r="T335" s="1580"/>
      <c r="U335" s="1580"/>
      <c r="V335" s="1580"/>
      <c r="W335" s="1580"/>
      <c r="X335" s="1580"/>
      <c r="Y335" s="1580"/>
      <c r="Z335" s="1580"/>
    </row>
    <row r="336" spans="1:26" ht="15.75" customHeight="1">
      <c r="A336" s="1580"/>
      <c r="B336" s="1603">
        <f t="shared" si="9"/>
        <v>74</v>
      </c>
      <c r="C336" s="1584" t="s">
        <v>388</v>
      </c>
      <c r="D336" s="1584" t="s">
        <v>6131</v>
      </c>
      <c r="E336" s="1605">
        <v>43586</v>
      </c>
      <c r="F336" s="1605">
        <v>43617</v>
      </c>
      <c r="G336" s="1606">
        <v>43647</v>
      </c>
      <c r="H336" s="1678">
        <v>1</v>
      </c>
      <c r="I336" s="1584"/>
      <c r="J336" s="1608" t="s">
        <v>6132</v>
      </c>
      <c r="K336" s="1580"/>
      <c r="L336" s="1580"/>
      <c r="M336" s="1580"/>
      <c r="N336" s="1580"/>
      <c r="O336" s="1580"/>
      <c r="P336" s="1580"/>
      <c r="Q336" s="1580"/>
      <c r="R336" s="1580"/>
      <c r="S336" s="1580"/>
      <c r="T336" s="1580"/>
      <c r="U336" s="1580"/>
      <c r="V336" s="1580"/>
      <c r="W336" s="1580"/>
      <c r="X336" s="1580"/>
      <c r="Y336" s="1580"/>
      <c r="Z336" s="1580"/>
    </row>
    <row r="337" spans="1:26" ht="15.75" customHeight="1">
      <c r="A337" s="1580"/>
      <c r="B337" s="1603">
        <f t="shared" si="9"/>
        <v>75</v>
      </c>
      <c r="C337" s="1584" t="s">
        <v>1134</v>
      </c>
      <c r="D337" s="1584" t="s">
        <v>6133</v>
      </c>
      <c r="E337" s="1605">
        <v>43586</v>
      </c>
      <c r="F337" s="1605">
        <v>43617</v>
      </c>
      <c r="G337" s="1606">
        <v>43647</v>
      </c>
      <c r="H337" s="1678">
        <v>1</v>
      </c>
      <c r="I337" s="1584"/>
      <c r="J337" s="1608" t="s">
        <v>6134</v>
      </c>
      <c r="K337" s="1580"/>
      <c r="L337" s="1580"/>
      <c r="M337" s="1580"/>
      <c r="N337" s="1580"/>
      <c r="O337" s="1580"/>
      <c r="P337" s="1580"/>
      <c r="Q337" s="1580"/>
      <c r="R337" s="1580"/>
      <c r="S337" s="1580"/>
      <c r="T337" s="1580"/>
      <c r="U337" s="1580"/>
      <c r="V337" s="1580"/>
      <c r="W337" s="1580"/>
      <c r="X337" s="1580"/>
      <c r="Y337" s="1580"/>
      <c r="Z337" s="1580"/>
    </row>
    <row r="338" spans="1:26" ht="15.75" customHeight="1">
      <c r="A338" s="1580"/>
      <c r="B338" s="1603">
        <f t="shared" si="9"/>
        <v>76</v>
      </c>
      <c r="C338" s="1584" t="s">
        <v>1241</v>
      </c>
      <c r="D338" s="1584" t="s">
        <v>6135</v>
      </c>
      <c r="E338" s="1605">
        <v>43586</v>
      </c>
      <c r="F338" s="1605">
        <v>43617</v>
      </c>
      <c r="G338" s="1606">
        <v>43647</v>
      </c>
      <c r="H338" s="1678">
        <v>1</v>
      </c>
      <c r="I338" s="1584"/>
      <c r="J338" s="1609" t="s">
        <v>6136</v>
      </c>
      <c r="K338" s="1580"/>
      <c r="L338" s="1580"/>
      <c r="M338" s="1580"/>
      <c r="N338" s="1580"/>
      <c r="O338" s="1580"/>
      <c r="P338" s="1580"/>
      <c r="Q338" s="1580"/>
      <c r="R338" s="1580"/>
      <c r="S338" s="1580"/>
      <c r="T338" s="1580"/>
      <c r="U338" s="1580"/>
      <c r="V338" s="1580"/>
      <c r="W338" s="1580"/>
      <c r="X338" s="1580"/>
      <c r="Y338" s="1580"/>
      <c r="Z338" s="1580"/>
    </row>
    <row r="339" spans="1:26" ht="15.75" customHeight="1">
      <c r="A339" s="1580"/>
      <c r="B339" s="1603">
        <f t="shared" si="9"/>
        <v>77</v>
      </c>
      <c r="C339" s="1584" t="s">
        <v>204</v>
      </c>
      <c r="D339" s="1584" t="s">
        <v>6137</v>
      </c>
      <c r="E339" s="1605">
        <v>43586</v>
      </c>
      <c r="F339" s="1605">
        <v>43617</v>
      </c>
      <c r="G339" s="1606">
        <v>43647</v>
      </c>
      <c r="H339" s="1678">
        <v>1</v>
      </c>
      <c r="I339" s="1584"/>
      <c r="J339" s="1609" t="s">
        <v>6138</v>
      </c>
      <c r="K339" s="1580"/>
      <c r="L339" s="1580"/>
      <c r="M339" s="1580"/>
      <c r="N339" s="1580"/>
      <c r="O339" s="1580"/>
      <c r="P339" s="1580"/>
      <c r="Q339" s="1580"/>
      <c r="R339" s="1580"/>
      <c r="S339" s="1580"/>
      <c r="T339" s="1580"/>
      <c r="U339" s="1580"/>
      <c r="V339" s="1580"/>
      <c r="W339" s="1580"/>
      <c r="X339" s="1580"/>
      <c r="Y339" s="1580"/>
      <c r="Z339" s="1580"/>
    </row>
    <row r="340" spans="1:26" ht="15.75" customHeight="1">
      <c r="A340" s="1580"/>
      <c r="B340" s="1603">
        <f t="shared" si="9"/>
        <v>78</v>
      </c>
      <c r="C340" s="1584" t="s">
        <v>2204</v>
      </c>
      <c r="D340" s="1584" t="s">
        <v>6139</v>
      </c>
      <c r="E340" s="1605">
        <v>43586</v>
      </c>
      <c r="F340" s="1605">
        <v>43617</v>
      </c>
      <c r="G340" s="1606">
        <v>43647</v>
      </c>
      <c r="H340" s="1678">
        <v>1</v>
      </c>
      <c r="I340" s="1584"/>
      <c r="J340" s="1608" t="s">
        <v>6140</v>
      </c>
      <c r="K340" s="1580"/>
      <c r="L340" s="1580"/>
      <c r="M340" s="1580"/>
      <c r="N340" s="1580"/>
      <c r="O340" s="1580"/>
      <c r="P340" s="1580"/>
      <c r="Q340" s="1580"/>
      <c r="R340" s="1580"/>
      <c r="S340" s="1580"/>
      <c r="T340" s="1580"/>
      <c r="U340" s="1580"/>
      <c r="V340" s="1580"/>
      <c r="W340" s="1580"/>
      <c r="X340" s="1580"/>
      <c r="Y340" s="1580"/>
      <c r="Z340" s="1580"/>
    </row>
    <row r="341" spans="1:26" ht="15.75" customHeight="1">
      <c r="A341" s="1580"/>
      <c r="B341" s="1603">
        <f t="shared" si="9"/>
        <v>79</v>
      </c>
      <c r="C341" s="1584" t="s">
        <v>246</v>
      </c>
      <c r="D341" s="1584" t="s">
        <v>6139</v>
      </c>
      <c r="E341" s="1605">
        <v>43586</v>
      </c>
      <c r="F341" s="1605">
        <v>43617</v>
      </c>
      <c r="G341" s="1606">
        <v>43647</v>
      </c>
      <c r="H341" s="1678">
        <v>1</v>
      </c>
      <c r="I341" s="1584"/>
      <c r="J341" s="1608" t="s">
        <v>6141</v>
      </c>
      <c r="K341" s="1580"/>
      <c r="L341" s="1580"/>
      <c r="M341" s="1580"/>
      <c r="N341" s="1580"/>
      <c r="O341" s="1580"/>
      <c r="P341" s="1580"/>
      <c r="Q341" s="1580"/>
      <c r="R341" s="1580"/>
      <c r="S341" s="1580"/>
      <c r="T341" s="1580"/>
      <c r="U341" s="1580"/>
      <c r="V341" s="1580"/>
      <c r="W341" s="1580"/>
      <c r="X341" s="1580"/>
      <c r="Y341" s="1580"/>
      <c r="Z341" s="1580"/>
    </row>
    <row r="342" spans="1:26" ht="15.75" customHeight="1">
      <c r="A342" s="1580"/>
      <c r="B342" s="1603">
        <f t="shared" si="9"/>
        <v>80</v>
      </c>
      <c r="C342" s="1584" t="s">
        <v>141</v>
      </c>
      <c r="D342" s="1584" t="s">
        <v>6142</v>
      </c>
      <c r="E342" s="1605">
        <v>43586</v>
      </c>
      <c r="F342" s="1605">
        <v>43617</v>
      </c>
      <c r="G342" s="1606">
        <v>43647</v>
      </c>
      <c r="H342" s="1678">
        <v>1</v>
      </c>
      <c r="I342" s="1584"/>
      <c r="J342" s="1609" t="s">
        <v>6143</v>
      </c>
      <c r="K342" s="1580"/>
      <c r="L342" s="1580"/>
      <c r="M342" s="1580"/>
      <c r="N342" s="1580"/>
      <c r="O342" s="1580"/>
      <c r="P342" s="1580"/>
      <c r="Q342" s="1580"/>
      <c r="R342" s="1580"/>
      <c r="S342" s="1580"/>
      <c r="T342" s="1580"/>
      <c r="U342" s="1580"/>
      <c r="V342" s="1580"/>
      <c r="W342" s="1580"/>
      <c r="X342" s="1580"/>
      <c r="Y342" s="1580"/>
      <c r="Z342" s="1580"/>
    </row>
    <row r="343" spans="1:26" ht="15.75" customHeight="1">
      <c r="A343" s="1580"/>
      <c r="B343" s="1616">
        <f t="shared" si="9"/>
        <v>81</v>
      </c>
      <c r="C343" s="1617" t="s">
        <v>6144</v>
      </c>
      <c r="D343" s="1617" t="s">
        <v>6145</v>
      </c>
      <c r="E343" s="1686">
        <v>43586</v>
      </c>
      <c r="F343" s="1686"/>
      <c r="G343" s="1687"/>
      <c r="H343" s="1682"/>
      <c r="I343" s="1617"/>
      <c r="J343" s="1622" t="s">
        <v>6146</v>
      </c>
      <c r="K343" s="1580"/>
      <c r="L343" s="1580"/>
      <c r="M343" s="1580"/>
      <c r="N343" s="1580"/>
      <c r="O343" s="1580"/>
      <c r="P343" s="1580"/>
      <c r="Q343" s="1580"/>
      <c r="R343" s="1580"/>
      <c r="S343" s="1580"/>
      <c r="T343" s="1580"/>
      <c r="U343" s="1580"/>
      <c r="V343" s="1580"/>
      <c r="W343" s="1580"/>
      <c r="X343" s="1580"/>
      <c r="Y343" s="1580"/>
      <c r="Z343" s="1580"/>
    </row>
    <row r="344" spans="1:26" ht="15.75" customHeight="1">
      <c r="A344" s="1580"/>
      <c r="B344" s="1668">
        <v>1</v>
      </c>
      <c r="C344" s="1596" t="s">
        <v>5755</v>
      </c>
      <c r="D344" s="1596" t="s">
        <v>5756</v>
      </c>
      <c r="E344" s="1688"/>
      <c r="F344" s="1689">
        <v>43770</v>
      </c>
      <c r="G344" s="1690"/>
      <c r="H344" s="1691"/>
      <c r="I344" s="1596" t="s">
        <v>5727</v>
      </c>
      <c r="J344" s="1601" t="s">
        <v>5757</v>
      </c>
      <c r="K344" s="1580"/>
      <c r="L344" s="1580"/>
      <c r="M344" s="1580"/>
      <c r="N344" s="1580"/>
      <c r="O344" s="1580"/>
      <c r="P344" s="1580"/>
      <c r="Q344" s="1580"/>
      <c r="R344" s="1580"/>
      <c r="S344" s="1580"/>
      <c r="T344" s="1580"/>
      <c r="U344" s="1580"/>
      <c r="V344" s="1580"/>
      <c r="W344" s="1580"/>
      <c r="X344" s="1580"/>
      <c r="Y344" s="1580"/>
      <c r="Z344" s="1580"/>
    </row>
    <row r="345" spans="1:26" ht="15.75" customHeight="1">
      <c r="A345" s="1580"/>
      <c r="B345" s="1671">
        <f t="shared" ref="B345:B449" si="10">B344+1</f>
        <v>2</v>
      </c>
      <c r="C345" s="1584" t="s">
        <v>1763</v>
      </c>
      <c r="D345" s="1584" t="s">
        <v>3031</v>
      </c>
      <c r="E345" s="1638"/>
      <c r="F345" s="1638">
        <v>43770</v>
      </c>
      <c r="G345" s="1630">
        <v>43800</v>
      </c>
      <c r="H345" s="1692"/>
      <c r="I345" s="1580" t="s">
        <v>5806</v>
      </c>
      <c r="J345" s="1608" t="s">
        <v>6001</v>
      </c>
      <c r="K345" s="1580"/>
      <c r="L345" s="1580"/>
      <c r="M345" s="1580"/>
      <c r="N345" s="1580"/>
      <c r="O345" s="1580"/>
      <c r="P345" s="1580"/>
      <c r="Q345" s="1580"/>
      <c r="R345" s="1580"/>
      <c r="S345" s="1580"/>
      <c r="T345" s="1580"/>
      <c r="U345" s="1580"/>
      <c r="V345" s="1580"/>
      <c r="W345" s="1580"/>
      <c r="X345" s="1580"/>
      <c r="Y345" s="1580"/>
      <c r="Z345" s="1580"/>
    </row>
    <row r="346" spans="1:26" ht="15.75" customHeight="1">
      <c r="A346" s="1580"/>
      <c r="B346" s="1671">
        <f t="shared" si="10"/>
        <v>3</v>
      </c>
      <c r="C346" s="1584" t="s">
        <v>188</v>
      </c>
      <c r="D346" s="1584" t="s">
        <v>5602</v>
      </c>
      <c r="E346" s="1638">
        <v>43739</v>
      </c>
      <c r="F346" s="1580"/>
      <c r="G346" s="1630">
        <v>43800</v>
      </c>
      <c r="H346" s="1692"/>
      <c r="I346" s="1580" t="s">
        <v>5806</v>
      </c>
      <c r="J346" s="1608" t="s">
        <v>5603</v>
      </c>
      <c r="K346" s="1580"/>
      <c r="L346" s="1580"/>
      <c r="M346" s="1580"/>
      <c r="N346" s="1580"/>
      <c r="O346" s="1580"/>
      <c r="P346" s="1580"/>
      <c r="Q346" s="1580"/>
      <c r="R346" s="1580"/>
      <c r="S346" s="1580"/>
      <c r="T346" s="1580"/>
      <c r="U346" s="1580"/>
      <c r="V346" s="1580"/>
      <c r="W346" s="1580"/>
      <c r="X346" s="1580"/>
      <c r="Y346" s="1580"/>
      <c r="Z346" s="1580"/>
    </row>
    <row r="347" spans="1:26" ht="15.75" customHeight="1">
      <c r="A347" s="1580"/>
      <c r="B347" s="1671">
        <f t="shared" si="10"/>
        <v>4</v>
      </c>
      <c r="C347" s="1584" t="s">
        <v>160</v>
      </c>
      <c r="D347" s="1584" t="s">
        <v>6147</v>
      </c>
      <c r="E347" s="1605">
        <v>43739</v>
      </c>
      <c r="F347" s="1605">
        <v>43770</v>
      </c>
      <c r="G347" s="1606">
        <v>43800</v>
      </c>
      <c r="H347" s="1649">
        <v>1</v>
      </c>
      <c r="I347" s="1580"/>
      <c r="J347" s="1609" t="s">
        <v>6148</v>
      </c>
      <c r="K347" s="1580"/>
      <c r="L347" s="1580"/>
      <c r="M347" s="1580"/>
      <c r="N347" s="1580"/>
      <c r="O347" s="1580"/>
      <c r="P347" s="1580"/>
      <c r="Q347" s="1580"/>
      <c r="R347" s="1580"/>
      <c r="S347" s="1580"/>
      <c r="T347" s="1580"/>
      <c r="U347" s="1580"/>
      <c r="V347" s="1580"/>
      <c r="W347" s="1580"/>
      <c r="X347" s="1580"/>
      <c r="Y347" s="1580"/>
      <c r="Z347" s="1580"/>
    </row>
    <row r="348" spans="1:26" ht="15.75" customHeight="1">
      <c r="A348" s="1580"/>
      <c r="B348" s="1671">
        <f t="shared" si="10"/>
        <v>5</v>
      </c>
      <c r="C348" s="1584" t="s">
        <v>451</v>
      </c>
      <c r="D348" s="1584" t="s">
        <v>5909</v>
      </c>
      <c r="E348" s="1605">
        <v>43739</v>
      </c>
      <c r="F348" s="1605">
        <v>43770</v>
      </c>
      <c r="G348" s="1606">
        <v>43800</v>
      </c>
      <c r="H348" s="1649">
        <v>1</v>
      </c>
      <c r="I348" s="1580" t="s">
        <v>5806</v>
      </c>
      <c r="J348" s="1609" t="s">
        <v>5910</v>
      </c>
      <c r="K348" s="1580"/>
      <c r="L348" s="1580"/>
      <c r="M348" s="1580"/>
      <c r="N348" s="1580"/>
      <c r="O348" s="1580"/>
      <c r="P348" s="1580"/>
      <c r="Q348" s="1580"/>
      <c r="R348" s="1580"/>
      <c r="S348" s="1580"/>
      <c r="T348" s="1580"/>
      <c r="U348" s="1580"/>
      <c r="V348" s="1580"/>
      <c r="W348" s="1580"/>
      <c r="X348" s="1580"/>
      <c r="Y348" s="1580"/>
      <c r="Z348" s="1580"/>
    </row>
    <row r="349" spans="1:26" ht="15.75" customHeight="1">
      <c r="A349" s="1580"/>
      <c r="B349" s="1671">
        <f t="shared" si="10"/>
        <v>6</v>
      </c>
      <c r="C349" s="1584" t="s">
        <v>4433</v>
      </c>
      <c r="D349" s="1584" t="s">
        <v>913</v>
      </c>
      <c r="E349" s="1605">
        <v>43739</v>
      </c>
      <c r="F349" s="1605">
        <v>43770</v>
      </c>
      <c r="G349" s="1606">
        <v>43800</v>
      </c>
      <c r="H349" s="1649">
        <v>1</v>
      </c>
      <c r="I349" s="1580"/>
      <c r="J349" s="1609" t="s">
        <v>6149</v>
      </c>
      <c r="K349" s="1580"/>
      <c r="L349" s="1580"/>
      <c r="M349" s="1580"/>
      <c r="N349" s="1580"/>
      <c r="O349" s="1580"/>
      <c r="P349" s="1580"/>
      <c r="Q349" s="1580"/>
      <c r="R349" s="1580"/>
      <c r="S349" s="1580"/>
      <c r="T349" s="1580"/>
      <c r="U349" s="1580"/>
      <c r="V349" s="1580"/>
      <c r="W349" s="1580"/>
      <c r="X349" s="1580"/>
      <c r="Y349" s="1580"/>
      <c r="Z349" s="1580"/>
    </row>
    <row r="350" spans="1:26" ht="15.75" customHeight="1">
      <c r="A350" s="1580"/>
      <c r="B350" s="1671">
        <f t="shared" si="10"/>
        <v>7</v>
      </c>
      <c r="C350" s="1584" t="s">
        <v>693</v>
      </c>
      <c r="D350" s="1584" t="s">
        <v>6150</v>
      </c>
      <c r="E350" s="1585"/>
      <c r="F350" s="1585"/>
      <c r="G350" s="1615">
        <v>43800</v>
      </c>
      <c r="H350" s="1692"/>
      <c r="I350" s="1580"/>
      <c r="J350" s="1609" t="s">
        <v>6151</v>
      </c>
      <c r="K350" s="1580"/>
      <c r="L350" s="1580"/>
      <c r="M350" s="1580"/>
      <c r="N350" s="1580"/>
      <c r="O350" s="1580"/>
      <c r="P350" s="1580"/>
      <c r="Q350" s="1580"/>
      <c r="R350" s="1580"/>
      <c r="S350" s="1580"/>
      <c r="T350" s="1580"/>
      <c r="U350" s="1580"/>
      <c r="V350" s="1580"/>
      <c r="W350" s="1580"/>
      <c r="X350" s="1580"/>
      <c r="Y350" s="1580"/>
      <c r="Z350" s="1580"/>
    </row>
    <row r="351" spans="1:26" ht="15.75" customHeight="1">
      <c r="A351" s="1580"/>
      <c r="B351" s="1671">
        <f t="shared" si="10"/>
        <v>8</v>
      </c>
      <c r="C351" s="1584" t="s">
        <v>1340</v>
      </c>
      <c r="D351" s="1584" t="s">
        <v>6152</v>
      </c>
      <c r="E351" s="1585"/>
      <c r="F351" s="1585"/>
      <c r="G351" s="1615">
        <v>43800</v>
      </c>
      <c r="H351" s="1692"/>
      <c r="I351" s="1580"/>
      <c r="J351" s="1609" t="s">
        <v>6153</v>
      </c>
      <c r="K351" s="1580"/>
      <c r="L351" s="1580"/>
      <c r="M351" s="1580"/>
      <c r="N351" s="1580"/>
      <c r="O351" s="1580"/>
      <c r="P351" s="1580"/>
      <c r="Q351" s="1580"/>
      <c r="R351" s="1580"/>
      <c r="S351" s="1580"/>
      <c r="T351" s="1580"/>
      <c r="U351" s="1580"/>
      <c r="V351" s="1580"/>
      <c r="W351" s="1580"/>
      <c r="X351" s="1580"/>
      <c r="Y351" s="1580"/>
      <c r="Z351" s="1580"/>
    </row>
    <row r="352" spans="1:26" ht="15.75" customHeight="1">
      <c r="A352" s="1580"/>
      <c r="B352" s="1671">
        <f t="shared" si="10"/>
        <v>9</v>
      </c>
      <c r="C352" s="1584" t="s">
        <v>5310</v>
      </c>
      <c r="D352" s="1584" t="s">
        <v>6154</v>
      </c>
      <c r="E352" s="1638">
        <v>43739</v>
      </c>
      <c r="F352" s="1580"/>
      <c r="G352" s="1660"/>
      <c r="H352" s="1692"/>
      <c r="I352" s="1580"/>
      <c r="J352" s="1609" t="s">
        <v>6155</v>
      </c>
      <c r="K352" s="1580"/>
      <c r="L352" s="1580"/>
      <c r="M352" s="1580"/>
      <c r="N352" s="1580"/>
      <c r="O352" s="1580"/>
      <c r="P352" s="1580"/>
      <c r="Q352" s="1580"/>
      <c r="R352" s="1580"/>
      <c r="S352" s="1580"/>
      <c r="T352" s="1580"/>
      <c r="U352" s="1580"/>
      <c r="V352" s="1580"/>
      <c r="W352" s="1580"/>
      <c r="X352" s="1580"/>
      <c r="Y352" s="1580"/>
      <c r="Z352" s="1580"/>
    </row>
    <row r="353" spans="1:26" ht="15.75" customHeight="1">
      <c r="A353" s="1580"/>
      <c r="B353" s="1671">
        <f t="shared" si="10"/>
        <v>10</v>
      </c>
      <c r="C353" s="1584" t="s">
        <v>275</v>
      </c>
      <c r="D353" s="1584" t="s">
        <v>2571</v>
      </c>
      <c r="E353" s="1580"/>
      <c r="F353" s="1638">
        <v>43770</v>
      </c>
      <c r="G353" s="1630">
        <v>43800</v>
      </c>
      <c r="H353" s="1692"/>
      <c r="I353" s="1580"/>
      <c r="J353" s="1608" t="s">
        <v>6156</v>
      </c>
      <c r="K353" s="1580"/>
      <c r="L353" s="1580"/>
      <c r="M353" s="1580"/>
      <c r="N353" s="1580"/>
      <c r="O353" s="1580"/>
      <c r="P353" s="1580"/>
      <c r="Q353" s="1580"/>
      <c r="R353" s="1580"/>
      <c r="S353" s="1580"/>
      <c r="T353" s="1580"/>
      <c r="U353" s="1580"/>
      <c r="V353" s="1580"/>
      <c r="W353" s="1580"/>
      <c r="X353" s="1580"/>
      <c r="Y353" s="1580"/>
      <c r="Z353" s="1580"/>
    </row>
    <row r="354" spans="1:26" ht="15.75" customHeight="1">
      <c r="A354" s="1580"/>
      <c r="B354" s="1671">
        <f t="shared" si="10"/>
        <v>11</v>
      </c>
      <c r="C354" s="1584" t="s">
        <v>622</v>
      </c>
      <c r="D354" s="1584" t="s">
        <v>2571</v>
      </c>
      <c r="E354" s="1580"/>
      <c r="F354" s="1638">
        <v>43770</v>
      </c>
      <c r="G354" s="1630">
        <v>43800</v>
      </c>
      <c r="H354" s="1692"/>
      <c r="I354" s="1580"/>
      <c r="J354" s="1608" t="s">
        <v>2572</v>
      </c>
      <c r="K354" s="1580"/>
      <c r="L354" s="1580"/>
      <c r="M354" s="1580"/>
      <c r="N354" s="1580"/>
      <c r="O354" s="1580"/>
      <c r="P354" s="1580"/>
      <c r="Q354" s="1580"/>
      <c r="R354" s="1580"/>
      <c r="S354" s="1580"/>
      <c r="T354" s="1580"/>
      <c r="U354" s="1580"/>
      <c r="V354" s="1580"/>
      <c r="W354" s="1580"/>
      <c r="X354" s="1580"/>
      <c r="Y354" s="1580"/>
      <c r="Z354" s="1580"/>
    </row>
    <row r="355" spans="1:26" ht="15.75" customHeight="1">
      <c r="A355" s="1580"/>
      <c r="B355" s="1671">
        <f t="shared" si="10"/>
        <v>12</v>
      </c>
      <c r="C355" s="1584" t="s">
        <v>246</v>
      </c>
      <c r="D355" s="1584" t="s">
        <v>5874</v>
      </c>
      <c r="E355" s="1605">
        <v>43739</v>
      </c>
      <c r="F355" s="1605">
        <v>43770</v>
      </c>
      <c r="G355" s="1606">
        <v>43800</v>
      </c>
      <c r="H355" s="1649">
        <v>1</v>
      </c>
      <c r="I355" s="1580"/>
      <c r="J355" s="1609" t="s">
        <v>6157</v>
      </c>
      <c r="K355" s="1580"/>
      <c r="L355" s="1580"/>
      <c r="M355" s="1580"/>
      <c r="N355" s="1580"/>
      <c r="O355" s="1580"/>
      <c r="P355" s="1580"/>
      <c r="Q355" s="1580"/>
      <c r="R355" s="1580"/>
      <c r="S355" s="1580"/>
      <c r="T355" s="1580"/>
      <c r="U355" s="1580"/>
      <c r="V355" s="1580"/>
      <c r="W355" s="1580"/>
      <c r="X355" s="1580"/>
      <c r="Y355" s="1580"/>
      <c r="Z355" s="1580"/>
    </row>
    <row r="356" spans="1:26" ht="15.75" customHeight="1">
      <c r="A356" s="1580"/>
      <c r="B356" s="1671">
        <f t="shared" si="10"/>
        <v>13</v>
      </c>
      <c r="C356" s="1584" t="s">
        <v>1272</v>
      </c>
      <c r="D356" s="1584" t="s">
        <v>5874</v>
      </c>
      <c r="E356" s="1605">
        <v>43739</v>
      </c>
      <c r="F356" s="1605">
        <v>43770</v>
      </c>
      <c r="G356" s="1606">
        <v>43800</v>
      </c>
      <c r="H356" s="1649">
        <v>1</v>
      </c>
      <c r="I356" s="1580"/>
      <c r="J356" s="1609" t="s">
        <v>6158</v>
      </c>
      <c r="K356" s="1580"/>
      <c r="L356" s="1580"/>
      <c r="M356" s="1580"/>
      <c r="N356" s="1580"/>
      <c r="O356" s="1580"/>
      <c r="P356" s="1580"/>
      <c r="Q356" s="1580"/>
      <c r="R356" s="1580"/>
      <c r="S356" s="1580"/>
      <c r="T356" s="1580"/>
      <c r="U356" s="1580"/>
      <c r="V356" s="1580"/>
      <c r="W356" s="1580"/>
      <c r="X356" s="1580"/>
      <c r="Y356" s="1580"/>
      <c r="Z356" s="1580"/>
    </row>
    <row r="357" spans="1:26" ht="15.75" customHeight="1">
      <c r="A357" s="1580"/>
      <c r="B357" s="1671">
        <f t="shared" si="10"/>
        <v>14</v>
      </c>
      <c r="C357" s="1584" t="s">
        <v>398</v>
      </c>
      <c r="D357" s="1584" t="s">
        <v>6159</v>
      </c>
      <c r="E357" s="1605">
        <v>43739</v>
      </c>
      <c r="F357" s="1605">
        <v>43770</v>
      </c>
      <c r="G357" s="1606">
        <v>43800</v>
      </c>
      <c r="H357" s="1649">
        <v>1</v>
      </c>
      <c r="I357" s="1580"/>
      <c r="J357" s="1609" t="s">
        <v>6160</v>
      </c>
      <c r="K357" s="1580"/>
      <c r="L357" s="1580"/>
      <c r="M357" s="1580"/>
      <c r="N357" s="1580"/>
      <c r="O357" s="1580"/>
      <c r="P357" s="1580"/>
      <c r="Q357" s="1580"/>
      <c r="R357" s="1580"/>
      <c r="S357" s="1580"/>
      <c r="T357" s="1580"/>
      <c r="U357" s="1580"/>
      <c r="V357" s="1580"/>
      <c r="W357" s="1580"/>
      <c r="X357" s="1580"/>
      <c r="Y357" s="1580"/>
      <c r="Z357" s="1580"/>
    </row>
    <row r="358" spans="1:26" ht="15.75" customHeight="1">
      <c r="A358" s="1580"/>
      <c r="B358" s="1671">
        <f t="shared" si="10"/>
        <v>15</v>
      </c>
      <c r="C358" s="1584" t="s">
        <v>6014</v>
      </c>
      <c r="D358" s="1584" t="s">
        <v>6015</v>
      </c>
      <c r="E358" s="1638"/>
      <c r="F358" s="1638">
        <v>43770</v>
      </c>
      <c r="G358" s="1660"/>
      <c r="H358" s="1692"/>
      <c r="I358" s="1580" t="s">
        <v>5806</v>
      </c>
      <c r="J358" s="1608" t="s">
        <v>6016</v>
      </c>
      <c r="K358" s="1580"/>
      <c r="L358" s="1580"/>
      <c r="M358" s="1580"/>
      <c r="N358" s="1580"/>
      <c r="O358" s="1580"/>
      <c r="P358" s="1580"/>
      <c r="Q358" s="1580"/>
      <c r="R358" s="1580"/>
      <c r="S358" s="1580"/>
      <c r="T358" s="1580"/>
      <c r="U358" s="1580"/>
      <c r="V358" s="1580"/>
      <c r="W358" s="1580"/>
      <c r="X358" s="1580"/>
      <c r="Y358" s="1580"/>
      <c r="Z358" s="1580"/>
    </row>
    <row r="359" spans="1:26" ht="15.75" customHeight="1">
      <c r="A359" s="1580"/>
      <c r="B359" s="1671">
        <f t="shared" si="10"/>
        <v>16</v>
      </c>
      <c r="C359" s="1584" t="s">
        <v>2588</v>
      </c>
      <c r="D359" s="1584" t="s">
        <v>884</v>
      </c>
      <c r="E359" s="1605">
        <v>43739</v>
      </c>
      <c r="F359" s="1605">
        <v>43770</v>
      </c>
      <c r="G359" s="1606">
        <v>43800</v>
      </c>
      <c r="H359" s="1649">
        <v>1</v>
      </c>
      <c r="I359" s="1580"/>
      <c r="J359" s="1608" t="s">
        <v>4570</v>
      </c>
      <c r="K359" s="1580"/>
      <c r="L359" s="1580"/>
      <c r="M359" s="1580"/>
      <c r="N359" s="1580"/>
      <c r="O359" s="1580"/>
      <c r="P359" s="1580"/>
      <c r="Q359" s="1580"/>
      <c r="R359" s="1580"/>
      <c r="S359" s="1580"/>
      <c r="T359" s="1580"/>
      <c r="U359" s="1580"/>
      <c r="V359" s="1580"/>
      <c r="W359" s="1580"/>
      <c r="X359" s="1580"/>
      <c r="Y359" s="1580"/>
      <c r="Z359" s="1580"/>
    </row>
    <row r="360" spans="1:26" ht="15.75" customHeight="1">
      <c r="A360" s="1580"/>
      <c r="B360" s="1671">
        <f t="shared" si="10"/>
        <v>17</v>
      </c>
      <c r="C360" s="1584" t="s">
        <v>1763</v>
      </c>
      <c r="D360" s="1584" t="s">
        <v>6161</v>
      </c>
      <c r="E360" s="1605">
        <v>43739</v>
      </c>
      <c r="F360" s="1605">
        <v>43770</v>
      </c>
      <c r="G360" s="1606">
        <v>43800</v>
      </c>
      <c r="H360" s="1649">
        <v>1</v>
      </c>
      <c r="I360" s="1580"/>
      <c r="J360" s="1609" t="s">
        <v>6162</v>
      </c>
      <c r="K360" s="1580"/>
      <c r="L360" s="1580"/>
      <c r="M360" s="1580"/>
      <c r="N360" s="1580"/>
      <c r="O360" s="1580"/>
      <c r="P360" s="1580"/>
      <c r="Q360" s="1580"/>
      <c r="R360" s="1580"/>
      <c r="S360" s="1580"/>
      <c r="T360" s="1580"/>
      <c r="U360" s="1580"/>
      <c r="V360" s="1580"/>
      <c r="W360" s="1580"/>
      <c r="X360" s="1580"/>
      <c r="Y360" s="1580"/>
      <c r="Z360" s="1580"/>
    </row>
    <row r="361" spans="1:26" ht="15.75" customHeight="1">
      <c r="A361" s="1580"/>
      <c r="B361" s="1671">
        <f t="shared" si="10"/>
        <v>18</v>
      </c>
      <c r="C361" s="1584" t="s">
        <v>407</v>
      </c>
      <c r="D361" s="1584" t="s">
        <v>6163</v>
      </c>
      <c r="E361" s="1605">
        <v>43739</v>
      </c>
      <c r="F361" s="1605">
        <v>43770</v>
      </c>
      <c r="G361" s="1606">
        <v>43800</v>
      </c>
      <c r="H361" s="1649">
        <v>1</v>
      </c>
      <c r="I361" s="1580"/>
      <c r="J361" s="1608" t="s">
        <v>6164</v>
      </c>
      <c r="K361" s="1580"/>
      <c r="L361" s="1580"/>
      <c r="M361" s="1580"/>
      <c r="N361" s="1580"/>
      <c r="O361" s="1580"/>
      <c r="P361" s="1580"/>
      <c r="Q361" s="1580"/>
      <c r="R361" s="1580"/>
      <c r="S361" s="1580"/>
      <c r="T361" s="1580"/>
      <c r="U361" s="1580"/>
      <c r="V361" s="1580"/>
      <c r="W361" s="1580"/>
      <c r="X361" s="1580"/>
      <c r="Y361" s="1580"/>
      <c r="Z361" s="1580"/>
    </row>
    <row r="362" spans="1:26" ht="15.75" customHeight="1">
      <c r="A362" s="1580"/>
      <c r="B362" s="1671">
        <f t="shared" si="10"/>
        <v>19</v>
      </c>
      <c r="C362" s="1584" t="s">
        <v>188</v>
      </c>
      <c r="D362" s="1584" t="s">
        <v>2585</v>
      </c>
      <c r="E362" s="1580"/>
      <c r="F362" s="1638">
        <v>43770</v>
      </c>
      <c r="G362" s="1660"/>
      <c r="H362" s="1692"/>
      <c r="I362" s="1580" t="s">
        <v>5806</v>
      </c>
      <c r="J362" s="1609" t="s">
        <v>4582</v>
      </c>
      <c r="K362" s="1580"/>
      <c r="L362" s="1580"/>
      <c r="M362" s="1580"/>
      <c r="N362" s="1580"/>
      <c r="O362" s="1580"/>
      <c r="P362" s="1580"/>
      <c r="Q362" s="1580"/>
      <c r="R362" s="1580"/>
      <c r="S362" s="1580"/>
      <c r="T362" s="1580"/>
      <c r="U362" s="1580"/>
      <c r="V362" s="1580"/>
      <c r="W362" s="1580"/>
      <c r="X362" s="1580"/>
      <c r="Y362" s="1580"/>
      <c r="Z362" s="1580"/>
    </row>
    <row r="363" spans="1:26" ht="15.75" customHeight="1">
      <c r="A363" s="1580"/>
      <c r="B363" s="1671">
        <f t="shared" si="10"/>
        <v>20</v>
      </c>
      <c r="C363" s="1584" t="s">
        <v>2317</v>
      </c>
      <c r="D363" s="1584" t="s">
        <v>2318</v>
      </c>
      <c r="E363" s="1605">
        <v>43739</v>
      </c>
      <c r="F363" s="1605">
        <v>43770</v>
      </c>
      <c r="G363" s="1606">
        <v>43800</v>
      </c>
      <c r="H363" s="1649">
        <v>1</v>
      </c>
      <c r="I363" s="1580" t="s">
        <v>5806</v>
      </c>
      <c r="J363" s="1609" t="s">
        <v>2319</v>
      </c>
      <c r="K363" s="1580"/>
      <c r="L363" s="1580"/>
      <c r="M363" s="1580"/>
      <c r="N363" s="1580"/>
      <c r="O363" s="1580"/>
      <c r="P363" s="1580"/>
      <c r="Q363" s="1580"/>
      <c r="R363" s="1580"/>
      <c r="S363" s="1580"/>
      <c r="T363" s="1580"/>
      <c r="U363" s="1580"/>
      <c r="V363" s="1580"/>
      <c r="W363" s="1580"/>
      <c r="X363" s="1580"/>
      <c r="Y363" s="1580"/>
      <c r="Z363" s="1580"/>
    </row>
    <row r="364" spans="1:26" ht="15.75" customHeight="1">
      <c r="A364" s="1580"/>
      <c r="B364" s="1671">
        <f t="shared" si="10"/>
        <v>21</v>
      </c>
      <c r="C364" s="1584" t="s">
        <v>1048</v>
      </c>
      <c r="D364" s="1584" t="s">
        <v>6024</v>
      </c>
      <c r="E364" s="1638">
        <v>43739</v>
      </c>
      <c r="F364" s="1638">
        <v>43770</v>
      </c>
      <c r="G364" s="1660"/>
      <c r="H364" s="1692"/>
      <c r="I364" s="1580" t="s">
        <v>5806</v>
      </c>
      <c r="J364" s="1608" t="s">
        <v>6025</v>
      </c>
      <c r="K364" s="1580"/>
      <c r="L364" s="1580"/>
      <c r="M364" s="1580"/>
      <c r="N364" s="1580"/>
      <c r="O364" s="1580"/>
      <c r="P364" s="1580"/>
      <c r="Q364" s="1580"/>
      <c r="R364" s="1580"/>
      <c r="S364" s="1580"/>
      <c r="T364" s="1580"/>
      <c r="U364" s="1580"/>
      <c r="V364" s="1580"/>
      <c r="W364" s="1580"/>
      <c r="X364" s="1580"/>
      <c r="Y364" s="1580"/>
      <c r="Z364" s="1580"/>
    </row>
    <row r="365" spans="1:26" ht="15.75" customHeight="1">
      <c r="A365" s="1580"/>
      <c r="B365" s="1671">
        <f t="shared" si="10"/>
        <v>22</v>
      </c>
      <c r="C365" s="1584" t="s">
        <v>6165</v>
      </c>
      <c r="D365" s="1584" t="s">
        <v>6166</v>
      </c>
      <c r="E365" s="1585"/>
      <c r="F365" s="1585"/>
      <c r="G365" s="1615">
        <v>43800</v>
      </c>
      <c r="H365" s="1692"/>
      <c r="I365" s="1580"/>
      <c r="J365" s="1609" t="s">
        <v>6167</v>
      </c>
      <c r="K365" s="1580"/>
      <c r="L365" s="1580"/>
      <c r="M365" s="1580"/>
      <c r="N365" s="1580"/>
      <c r="O365" s="1580"/>
      <c r="P365" s="1580"/>
      <c r="Q365" s="1580"/>
      <c r="R365" s="1580"/>
      <c r="S365" s="1580"/>
      <c r="T365" s="1580"/>
      <c r="U365" s="1580"/>
      <c r="V365" s="1580"/>
      <c r="W365" s="1580"/>
      <c r="X365" s="1580"/>
      <c r="Y365" s="1580"/>
      <c r="Z365" s="1580"/>
    </row>
    <row r="366" spans="1:26" ht="15.75" customHeight="1">
      <c r="A366" s="1580"/>
      <c r="B366" s="1671">
        <f t="shared" si="10"/>
        <v>23</v>
      </c>
      <c r="C366" s="1584" t="s">
        <v>477</v>
      </c>
      <c r="D366" s="1584" t="s">
        <v>6168</v>
      </c>
      <c r="E366" s="1605">
        <v>43739</v>
      </c>
      <c r="F366" s="1605">
        <v>43770</v>
      </c>
      <c r="G366" s="1606">
        <v>43800</v>
      </c>
      <c r="H366" s="1649">
        <v>1</v>
      </c>
      <c r="I366" s="1580"/>
      <c r="J366" s="1609" t="s">
        <v>6169</v>
      </c>
      <c r="K366" s="1580"/>
      <c r="L366" s="1580"/>
      <c r="M366" s="1580"/>
      <c r="N366" s="1580"/>
      <c r="O366" s="1580"/>
      <c r="P366" s="1580"/>
      <c r="Q366" s="1580"/>
      <c r="R366" s="1580"/>
      <c r="S366" s="1580"/>
      <c r="T366" s="1580"/>
      <c r="U366" s="1580"/>
      <c r="V366" s="1580"/>
      <c r="W366" s="1580"/>
      <c r="X366" s="1580"/>
      <c r="Y366" s="1580"/>
      <c r="Z366" s="1580"/>
    </row>
    <row r="367" spans="1:26" ht="15.75" customHeight="1">
      <c r="A367" s="1580"/>
      <c r="B367" s="1671">
        <f t="shared" si="10"/>
        <v>24</v>
      </c>
      <c r="C367" s="1584" t="s">
        <v>6170</v>
      </c>
      <c r="D367" s="1584" t="s">
        <v>6171</v>
      </c>
      <c r="E367" s="1605">
        <v>43739</v>
      </c>
      <c r="F367" s="1605">
        <v>43770</v>
      </c>
      <c r="G367" s="1606">
        <v>43800</v>
      </c>
      <c r="H367" s="1649">
        <v>1</v>
      </c>
      <c r="I367" s="1580"/>
      <c r="J367" s="1608" t="s">
        <v>6172</v>
      </c>
      <c r="K367" s="1580"/>
      <c r="L367" s="1580"/>
      <c r="M367" s="1580"/>
      <c r="N367" s="1580"/>
      <c r="O367" s="1580"/>
      <c r="P367" s="1580"/>
      <c r="Q367" s="1580"/>
      <c r="R367" s="1580"/>
      <c r="S367" s="1580"/>
      <c r="T367" s="1580"/>
      <c r="U367" s="1580"/>
      <c r="V367" s="1580"/>
      <c r="W367" s="1580"/>
      <c r="X367" s="1580"/>
      <c r="Y367" s="1580"/>
      <c r="Z367" s="1580"/>
    </row>
    <row r="368" spans="1:26" ht="15.75" customHeight="1">
      <c r="A368" s="1580"/>
      <c r="B368" s="1671">
        <f t="shared" si="10"/>
        <v>25</v>
      </c>
      <c r="C368" s="1584" t="s">
        <v>2522</v>
      </c>
      <c r="D368" s="1584" t="s">
        <v>2523</v>
      </c>
      <c r="E368" s="1580"/>
      <c r="F368" s="1638">
        <v>43770</v>
      </c>
      <c r="G368" s="1630">
        <v>43800</v>
      </c>
      <c r="H368" s="1692"/>
      <c r="I368" s="1580" t="s">
        <v>5806</v>
      </c>
      <c r="J368" s="1608" t="s">
        <v>2524</v>
      </c>
      <c r="K368" s="1580"/>
      <c r="L368" s="1580"/>
      <c r="M368" s="1580"/>
      <c r="N368" s="1580"/>
      <c r="O368" s="1580"/>
      <c r="P368" s="1580"/>
      <c r="Q368" s="1580"/>
      <c r="R368" s="1580"/>
      <c r="S368" s="1580"/>
      <c r="T368" s="1580"/>
      <c r="U368" s="1580"/>
      <c r="V368" s="1580"/>
      <c r="W368" s="1580"/>
      <c r="X368" s="1580"/>
      <c r="Y368" s="1580"/>
      <c r="Z368" s="1580"/>
    </row>
    <row r="369" spans="1:26" ht="15.75" customHeight="1">
      <c r="A369" s="1580"/>
      <c r="B369" s="1671">
        <f t="shared" si="10"/>
        <v>26</v>
      </c>
      <c r="C369" s="1584" t="s">
        <v>208</v>
      </c>
      <c r="D369" s="1584" t="s">
        <v>5926</v>
      </c>
      <c r="E369" s="1605">
        <v>43739</v>
      </c>
      <c r="F369" s="1605">
        <v>43770</v>
      </c>
      <c r="G369" s="1606">
        <v>43800</v>
      </c>
      <c r="H369" s="1649">
        <v>1</v>
      </c>
      <c r="I369" s="1580" t="s">
        <v>5806</v>
      </c>
      <c r="J369" s="1609" t="s">
        <v>5927</v>
      </c>
      <c r="K369" s="1580"/>
      <c r="L369" s="1580"/>
      <c r="M369" s="1580"/>
      <c r="N369" s="1580"/>
      <c r="O369" s="1580"/>
      <c r="P369" s="1580"/>
      <c r="Q369" s="1580"/>
      <c r="R369" s="1580"/>
      <c r="S369" s="1580"/>
      <c r="T369" s="1580"/>
      <c r="U369" s="1580"/>
      <c r="V369" s="1580"/>
      <c r="W369" s="1580"/>
      <c r="X369" s="1580"/>
      <c r="Y369" s="1580"/>
      <c r="Z369" s="1580"/>
    </row>
    <row r="370" spans="1:26" ht="15.75" customHeight="1">
      <c r="A370" s="1580"/>
      <c r="B370" s="1671">
        <f t="shared" si="10"/>
        <v>27</v>
      </c>
      <c r="C370" s="1584" t="s">
        <v>477</v>
      </c>
      <c r="D370" s="1584" t="s">
        <v>6173</v>
      </c>
      <c r="E370" s="1605">
        <v>43739</v>
      </c>
      <c r="F370" s="1605">
        <v>43770</v>
      </c>
      <c r="G370" s="1606">
        <v>43800</v>
      </c>
      <c r="H370" s="1649">
        <v>1</v>
      </c>
      <c r="I370" s="1580"/>
      <c r="J370" s="1609" t="s">
        <v>6174</v>
      </c>
      <c r="K370" s="1580"/>
      <c r="L370" s="1580"/>
      <c r="M370" s="1580"/>
      <c r="N370" s="1580"/>
      <c r="O370" s="1580"/>
      <c r="P370" s="1580"/>
      <c r="Q370" s="1580"/>
      <c r="R370" s="1580"/>
      <c r="S370" s="1580"/>
      <c r="T370" s="1580"/>
      <c r="U370" s="1580"/>
      <c r="V370" s="1580"/>
      <c r="W370" s="1580"/>
      <c r="X370" s="1580"/>
      <c r="Y370" s="1580"/>
      <c r="Z370" s="1580"/>
    </row>
    <row r="371" spans="1:26" ht="15.75" customHeight="1">
      <c r="A371" s="1580"/>
      <c r="B371" s="1671">
        <f t="shared" si="10"/>
        <v>28</v>
      </c>
      <c r="C371" s="1584" t="s">
        <v>166</v>
      </c>
      <c r="D371" s="1584" t="s">
        <v>4949</v>
      </c>
      <c r="E371" s="1605">
        <v>43739</v>
      </c>
      <c r="F371" s="1605">
        <v>43770</v>
      </c>
      <c r="G371" s="1605">
        <v>43800</v>
      </c>
      <c r="H371" s="1649">
        <v>1</v>
      </c>
      <c r="I371" s="1580"/>
      <c r="J371" s="1608" t="s">
        <v>6175</v>
      </c>
      <c r="K371" s="1580"/>
      <c r="L371" s="1580"/>
      <c r="M371" s="1580"/>
      <c r="N371" s="1580"/>
      <c r="O371" s="1580"/>
      <c r="P371" s="1580"/>
      <c r="Q371" s="1580"/>
      <c r="R371" s="1580"/>
      <c r="S371" s="1580"/>
      <c r="T371" s="1580"/>
      <c r="U371" s="1580"/>
      <c r="V371" s="1580"/>
      <c r="W371" s="1580"/>
      <c r="X371" s="1580"/>
      <c r="Y371" s="1580"/>
      <c r="Z371" s="1580"/>
    </row>
    <row r="372" spans="1:26" ht="15.75" customHeight="1">
      <c r="A372" s="1580"/>
      <c r="B372" s="1671">
        <f t="shared" si="10"/>
        <v>29</v>
      </c>
      <c r="C372" s="1584" t="s">
        <v>204</v>
      </c>
      <c r="D372" s="1584" t="s">
        <v>6176</v>
      </c>
      <c r="E372" s="1605">
        <v>43739</v>
      </c>
      <c r="F372" s="1605">
        <v>43770</v>
      </c>
      <c r="G372" s="1606">
        <v>43800</v>
      </c>
      <c r="H372" s="1649">
        <v>1</v>
      </c>
      <c r="I372" s="1580"/>
      <c r="J372" s="1609" t="s">
        <v>6177</v>
      </c>
      <c r="K372" s="1580"/>
      <c r="L372" s="1580"/>
      <c r="M372" s="1580"/>
      <c r="N372" s="1580"/>
      <c r="O372" s="1580"/>
      <c r="P372" s="1580"/>
      <c r="Q372" s="1580"/>
      <c r="R372" s="1580"/>
      <c r="S372" s="1580"/>
      <c r="T372" s="1580"/>
      <c r="U372" s="1580"/>
      <c r="V372" s="1580"/>
      <c r="W372" s="1580"/>
      <c r="X372" s="1580"/>
      <c r="Y372" s="1580"/>
      <c r="Z372" s="1580"/>
    </row>
    <row r="373" spans="1:26" ht="15.75" customHeight="1">
      <c r="A373" s="1580"/>
      <c r="B373" s="1671">
        <f t="shared" si="10"/>
        <v>30</v>
      </c>
      <c r="C373" s="1584" t="s">
        <v>5194</v>
      </c>
      <c r="D373" s="1584" t="s">
        <v>6178</v>
      </c>
      <c r="E373" s="1605">
        <v>43739</v>
      </c>
      <c r="F373" s="1605">
        <v>43770</v>
      </c>
      <c r="G373" s="1606">
        <v>43800</v>
      </c>
      <c r="H373" s="1649">
        <v>1</v>
      </c>
      <c r="I373" s="1580"/>
      <c r="J373" s="1608" t="s">
        <v>6179</v>
      </c>
      <c r="K373" s="1580"/>
      <c r="L373" s="1580"/>
      <c r="M373" s="1580"/>
      <c r="N373" s="1580"/>
      <c r="O373" s="1580"/>
      <c r="P373" s="1580"/>
      <c r="Q373" s="1580"/>
      <c r="R373" s="1580"/>
      <c r="S373" s="1580"/>
      <c r="T373" s="1580"/>
      <c r="U373" s="1580"/>
      <c r="V373" s="1580"/>
      <c r="W373" s="1580"/>
      <c r="X373" s="1580"/>
      <c r="Y373" s="1580"/>
      <c r="Z373" s="1580"/>
    </row>
    <row r="374" spans="1:26" ht="15.75" customHeight="1">
      <c r="A374" s="1580"/>
      <c r="B374" s="1671">
        <f t="shared" si="10"/>
        <v>31</v>
      </c>
      <c r="C374" s="1584" t="s">
        <v>769</v>
      </c>
      <c r="D374" s="1584" t="s">
        <v>770</v>
      </c>
      <c r="E374" s="1605">
        <v>43739</v>
      </c>
      <c r="F374" s="1605">
        <v>43770</v>
      </c>
      <c r="G374" s="1606">
        <v>43800</v>
      </c>
      <c r="H374" s="1649">
        <v>1</v>
      </c>
      <c r="I374" s="1580"/>
      <c r="J374" s="1608" t="s">
        <v>6180</v>
      </c>
      <c r="K374" s="1580"/>
      <c r="L374" s="1580"/>
      <c r="M374" s="1580"/>
      <c r="N374" s="1580"/>
      <c r="O374" s="1580"/>
      <c r="P374" s="1580"/>
      <c r="Q374" s="1580"/>
      <c r="R374" s="1580"/>
      <c r="S374" s="1580"/>
      <c r="T374" s="1580"/>
      <c r="U374" s="1580"/>
      <c r="V374" s="1580"/>
      <c r="W374" s="1580"/>
      <c r="X374" s="1580"/>
      <c r="Y374" s="1580"/>
      <c r="Z374" s="1580"/>
    </row>
    <row r="375" spans="1:26" ht="15.75" customHeight="1">
      <c r="A375" s="1580"/>
      <c r="B375" s="1671">
        <f t="shared" si="10"/>
        <v>32</v>
      </c>
      <c r="C375" s="1584" t="s">
        <v>1134</v>
      </c>
      <c r="D375" s="1584" t="s">
        <v>2324</v>
      </c>
      <c r="E375" s="1605">
        <v>43739</v>
      </c>
      <c r="F375" s="1605">
        <v>43770</v>
      </c>
      <c r="G375" s="1606">
        <v>43800</v>
      </c>
      <c r="H375" s="1649">
        <v>1</v>
      </c>
      <c r="I375" s="1580"/>
      <c r="J375" s="1608" t="s">
        <v>2325</v>
      </c>
      <c r="K375" s="1580"/>
      <c r="L375" s="1580"/>
      <c r="M375" s="1580"/>
      <c r="N375" s="1580"/>
      <c r="O375" s="1580"/>
      <c r="P375" s="1580"/>
      <c r="Q375" s="1580"/>
      <c r="R375" s="1580"/>
      <c r="S375" s="1580"/>
      <c r="T375" s="1580"/>
      <c r="U375" s="1580"/>
      <c r="V375" s="1580"/>
      <c r="W375" s="1580"/>
      <c r="X375" s="1580"/>
      <c r="Y375" s="1580"/>
      <c r="Z375" s="1580"/>
    </row>
    <row r="376" spans="1:26" ht="15.75" customHeight="1">
      <c r="A376" s="1580"/>
      <c r="B376" s="1671">
        <f t="shared" si="10"/>
        <v>33</v>
      </c>
      <c r="C376" s="1584" t="s">
        <v>741</v>
      </c>
      <c r="D376" s="1584" t="s">
        <v>6181</v>
      </c>
      <c r="E376" s="1585"/>
      <c r="F376" s="1585"/>
      <c r="G376" s="1615">
        <v>43800</v>
      </c>
      <c r="H376" s="1692"/>
      <c r="I376" s="1580"/>
      <c r="J376" s="1608" t="s">
        <v>6182</v>
      </c>
      <c r="K376" s="1580"/>
      <c r="L376" s="1580"/>
      <c r="M376" s="1580"/>
      <c r="N376" s="1580"/>
      <c r="O376" s="1580"/>
      <c r="P376" s="1580"/>
      <c r="Q376" s="1580"/>
      <c r="R376" s="1580"/>
      <c r="S376" s="1580"/>
      <c r="T376" s="1580"/>
      <c r="U376" s="1580"/>
      <c r="V376" s="1580"/>
      <c r="W376" s="1580"/>
      <c r="X376" s="1580"/>
      <c r="Y376" s="1580"/>
      <c r="Z376" s="1580"/>
    </row>
    <row r="377" spans="1:26" ht="15.75" customHeight="1">
      <c r="A377" s="1580"/>
      <c r="B377" s="1671">
        <f t="shared" si="10"/>
        <v>34</v>
      </c>
      <c r="C377" s="1584" t="s">
        <v>1600</v>
      </c>
      <c r="D377" s="1584" t="s">
        <v>6183</v>
      </c>
      <c r="E377" s="1605">
        <v>43739</v>
      </c>
      <c r="F377" s="1605">
        <v>43770</v>
      </c>
      <c r="G377" s="1606">
        <v>43800</v>
      </c>
      <c r="H377" s="1649">
        <v>1</v>
      </c>
      <c r="I377" s="1580"/>
      <c r="J377" s="1609" t="s">
        <v>6184</v>
      </c>
      <c r="K377" s="1580"/>
      <c r="L377" s="1580"/>
      <c r="M377" s="1580"/>
      <c r="N377" s="1580"/>
      <c r="O377" s="1580"/>
      <c r="P377" s="1580"/>
      <c r="Q377" s="1580"/>
      <c r="R377" s="1580"/>
      <c r="S377" s="1580"/>
      <c r="T377" s="1580"/>
      <c r="U377" s="1580"/>
      <c r="V377" s="1580"/>
      <c r="W377" s="1580"/>
      <c r="X377" s="1580"/>
      <c r="Y377" s="1580"/>
      <c r="Z377" s="1580"/>
    </row>
    <row r="378" spans="1:26" ht="15.75" customHeight="1">
      <c r="A378" s="1580"/>
      <c r="B378" s="1671">
        <f t="shared" si="10"/>
        <v>35</v>
      </c>
      <c r="C378" s="1584" t="s">
        <v>754</v>
      </c>
      <c r="D378" s="1584" t="s">
        <v>6185</v>
      </c>
      <c r="E378" s="1585"/>
      <c r="F378" s="1585"/>
      <c r="G378" s="1615">
        <v>43800</v>
      </c>
      <c r="H378" s="1692"/>
      <c r="I378" s="1580"/>
      <c r="J378" s="1609" t="s">
        <v>6186</v>
      </c>
      <c r="K378" s="1580"/>
      <c r="L378" s="1580"/>
      <c r="M378" s="1580"/>
      <c r="N378" s="1580"/>
      <c r="O378" s="1580"/>
      <c r="P378" s="1580"/>
      <c r="Q378" s="1580"/>
      <c r="R378" s="1580"/>
      <c r="S378" s="1580"/>
      <c r="T378" s="1580"/>
      <c r="U378" s="1580"/>
      <c r="V378" s="1580"/>
      <c r="W378" s="1580"/>
      <c r="X378" s="1580"/>
      <c r="Y378" s="1580"/>
      <c r="Z378" s="1580"/>
    </row>
    <row r="379" spans="1:26" ht="15.75" customHeight="1">
      <c r="A379" s="1580"/>
      <c r="B379" s="1671">
        <f t="shared" si="10"/>
        <v>36</v>
      </c>
      <c r="C379" s="1584" t="s">
        <v>895</v>
      </c>
      <c r="D379" s="1584" t="s">
        <v>6187</v>
      </c>
      <c r="E379" s="1605">
        <v>43739</v>
      </c>
      <c r="F379" s="1605">
        <v>43770</v>
      </c>
      <c r="G379" s="1606">
        <v>43800</v>
      </c>
      <c r="H379" s="1649">
        <v>1</v>
      </c>
      <c r="I379" s="1580"/>
      <c r="J379" s="1608" t="s">
        <v>6188</v>
      </c>
      <c r="K379" s="1580"/>
      <c r="L379" s="1580"/>
      <c r="M379" s="1580"/>
      <c r="N379" s="1580"/>
      <c r="O379" s="1580"/>
      <c r="P379" s="1580"/>
      <c r="Q379" s="1580"/>
      <c r="R379" s="1580"/>
      <c r="S379" s="1580"/>
      <c r="T379" s="1580"/>
      <c r="U379" s="1580"/>
      <c r="V379" s="1580"/>
      <c r="W379" s="1580"/>
      <c r="X379" s="1580"/>
      <c r="Y379" s="1580"/>
      <c r="Z379" s="1580"/>
    </row>
    <row r="380" spans="1:26" ht="15.75" customHeight="1">
      <c r="A380" s="1580"/>
      <c r="B380" s="1671">
        <f t="shared" si="10"/>
        <v>37</v>
      </c>
      <c r="C380" s="1584" t="s">
        <v>477</v>
      </c>
      <c r="D380" s="1584" t="s">
        <v>6189</v>
      </c>
      <c r="E380" s="1605">
        <v>43739</v>
      </c>
      <c r="F380" s="1605">
        <v>43770</v>
      </c>
      <c r="G380" s="1606">
        <v>43800</v>
      </c>
      <c r="H380" s="1649">
        <v>1</v>
      </c>
      <c r="I380" s="1580" t="s">
        <v>5806</v>
      </c>
      <c r="J380" s="1609" t="s">
        <v>5936</v>
      </c>
      <c r="K380" s="1580"/>
      <c r="L380" s="1580"/>
      <c r="M380" s="1580"/>
      <c r="N380" s="1580"/>
      <c r="O380" s="1580"/>
      <c r="P380" s="1580"/>
      <c r="Q380" s="1580"/>
      <c r="R380" s="1580"/>
      <c r="S380" s="1580"/>
      <c r="T380" s="1580"/>
      <c r="U380" s="1580"/>
      <c r="V380" s="1580"/>
      <c r="W380" s="1580"/>
      <c r="X380" s="1580"/>
      <c r="Y380" s="1580"/>
      <c r="Z380" s="1580"/>
    </row>
    <row r="381" spans="1:26" ht="15.75" customHeight="1">
      <c r="A381" s="1580"/>
      <c r="B381" s="1671">
        <f t="shared" si="10"/>
        <v>38</v>
      </c>
      <c r="C381" s="1584" t="s">
        <v>471</v>
      </c>
      <c r="D381" s="1584" t="s">
        <v>6190</v>
      </c>
      <c r="E381" s="1605">
        <v>43739</v>
      </c>
      <c r="F381" s="1605">
        <v>43770</v>
      </c>
      <c r="G381" s="1606">
        <v>43800</v>
      </c>
      <c r="H381" s="1649">
        <v>1</v>
      </c>
      <c r="I381" s="1580"/>
      <c r="J381" s="1608" t="s">
        <v>6191</v>
      </c>
      <c r="K381" s="1580"/>
      <c r="L381" s="1580"/>
      <c r="M381" s="1580"/>
      <c r="N381" s="1580"/>
      <c r="O381" s="1580"/>
      <c r="P381" s="1580"/>
      <c r="Q381" s="1580"/>
      <c r="R381" s="1580"/>
      <c r="S381" s="1580"/>
      <c r="T381" s="1580"/>
      <c r="U381" s="1580"/>
      <c r="V381" s="1580"/>
      <c r="W381" s="1580"/>
      <c r="X381" s="1580"/>
      <c r="Y381" s="1580"/>
      <c r="Z381" s="1580"/>
    </row>
    <row r="382" spans="1:26" ht="15.75" customHeight="1">
      <c r="A382" s="1580"/>
      <c r="B382" s="1671">
        <f t="shared" si="10"/>
        <v>39</v>
      </c>
      <c r="C382" s="1584" t="s">
        <v>4226</v>
      </c>
      <c r="D382" s="1584" t="s">
        <v>6192</v>
      </c>
      <c r="E382" s="1605">
        <v>43739</v>
      </c>
      <c r="F382" s="1605">
        <v>43770</v>
      </c>
      <c r="G382" s="1606">
        <v>43800</v>
      </c>
      <c r="H382" s="1649">
        <v>1</v>
      </c>
      <c r="I382" s="1580"/>
      <c r="J382" s="1608" t="s">
        <v>6193</v>
      </c>
      <c r="K382" s="1580"/>
      <c r="L382" s="1580"/>
      <c r="M382" s="1580"/>
      <c r="N382" s="1580"/>
      <c r="O382" s="1580"/>
      <c r="P382" s="1580"/>
      <c r="Q382" s="1580"/>
      <c r="R382" s="1580"/>
      <c r="S382" s="1580"/>
      <c r="T382" s="1580"/>
      <c r="U382" s="1580"/>
      <c r="V382" s="1580"/>
      <c r="W382" s="1580"/>
      <c r="X382" s="1580"/>
      <c r="Y382" s="1580"/>
      <c r="Z382" s="1580"/>
    </row>
    <row r="383" spans="1:26" ht="15.75" customHeight="1">
      <c r="A383" s="1580"/>
      <c r="B383" s="1671">
        <f t="shared" si="10"/>
        <v>40</v>
      </c>
      <c r="C383" s="1584" t="s">
        <v>1769</v>
      </c>
      <c r="D383" s="1584" t="s">
        <v>6194</v>
      </c>
      <c r="E383" s="1585"/>
      <c r="F383" s="1585"/>
      <c r="G383" s="1615">
        <v>43800</v>
      </c>
      <c r="H383" s="1692"/>
      <c r="I383" s="1580"/>
      <c r="J383" s="1609" t="s">
        <v>6195</v>
      </c>
      <c r="K383" s="1580"/>
      <c r="L383" s="1580"/>
      <c r="M383" s="1580"/>
      <c r="N383" s="1580"/>
      <c r="O383" s="1580"/>
      <c r="P383" s="1580"/>
      <c r="Q383" s="1580"/>
      <c r="R383" s="1580"/>
      <c r="S383" s="1580"/>
      <c r="T383" s="1580"/>
      <c r="U383" s="1580"/>
      <c r="V383" s="1580"/>
      <c r="W383" s="1580"/>
      <c r="X383" s="1580"/>
      <c r="Y383" s="1580"/>
      <c r="Z383" s="1580"/>
    </row>
    <row r="384" spans="1:26" ht="15.75" customHeight="1">
      <c r="A384" s="1580"/>
      <c r="B384" s="1671">
        <f t="shared" si="10"/>
        <v>41</v>
      </c>
      <c r="C384" s="1584" t="s">
        <v>2100</v>
      </c>
      <c r="D384" s="1584" t="s">
        <v>6196</v>
      </c>
      <c r="E384" s="1605">
        <v>43739</v>
      </c>
      <c r="F384" s="1605">
        <v>43770</v>
      </c>
      <c r="G384" s="1606">
        <v>43800</v>
      </c>
      <c r="H384" s="1649">
        <v>1</v>
      </c>
      <c r="I384" s="1580"/>
      <c r="J384" s="1608" t="s">
        <v>6197</v>
      </c>
      <c r="K384" s="1580"/>
      <c r="L384" s="1580"/>
      <c r="M384" s="1580"/>
      <c r="N384" s="1580"/>
      <c r="O384" s="1580"/>
      <c r="P384" s="1580"/>
      <c r="Q384" s="1580"/>
      <c r="R384" s="1580"/>
      <c r="S384" s="1580"/>
      <c r="T384" s="1580"/>
      <c r="U384" s="1580"/>
      <c r="V384" s="1580"/>
      <c r="W384" s="1580"/>
      <c r="X384" s="1580"/>
      <c r="Y384" s="1580"/>
      <c r="Z384" s="1580"/>
    </row>
    <row r="385" spans="1:26" ht="15.75" customHeight="1">
      <c r="A385" s="1580"/>
      <c r="B385" s="1671">
        <f t="shared" si="10"/>
        <v>42</v>
      </c>
      <c r="C385" s="1584" t="s">
        <v>861</v>
      </c>
      <c r="D385" s="1584" t="s">
        <v>6198</v>
      </c>
      <c r="E385" s="1605">
        <v>43739</v>
      </c>
      <c r="F385" s="1605">
        <v>43770</v>
      </c>
      <c r="G385" s="1606">
        <v>43800</v>
      </c>
      <c r="H385" s="1649">
        <v>1</v>
      </c>
      <c r="I385" s="1580"/>
      <c r="J385" s="1608" t="s">
        <v>6199</v>
      </c>
      <c r="K385" s="1580"/>
      <c r="L385" s="1580"/>
      <c r="M385" s="1580"/>
      <c r="N385" s="1580"/>
      <c r="O385" s="1580"/>
      <c r="P385" s="1580"/>
      <c r="Q385" s="1580"/>
      <c r="R385" s="1580"/>
      <c r="S385" s="1580"/>
      <c r="T385" s="1580"/>
      <c r="U385" s="1580"/>
      <c r="V385" s="1580"/>
      <c r="W385" s="1580"/>
      <c r="X385" s="1580"/>
      <c r="Y385" s="1580"/>
      <c r="Z385" s="1580"/>
    </row>
    <row r="386" spans="1:26" ht="15.75" customHeight="1">
      <c r="A386" s="1580"/>
      <c r="B386" s="1671">
        <f t="shared" si="10"/>
        <v>43</v>
      </c>
      <c r="C386" s="1584" t="s">
        <v>857</v>
      </c>
      <c r="D386" s="1584" t="s">
        <v>3919</v>
      </c>
      <c r="E386" s="1605">
        <v>43739</v>
      </c>
      <c r="F386" s="1605">
        <v>43770</v>
      </c>
      <c r="G386" s="1606">
        <v>43800</v>
      </c>
      <c r="H386" s="1649">
        <v>1</v>
      </c>
      <c r="I386" s="1580"/>
      <c r="J386" s="1608" t="s">
        <v>6200</v>
      </c>
      <c r="K386" s="1580"/>
      <c r="L386" s="1580"/>
      <c r="M386" s="1580"/>
      <c r="N386" s="1580"/>
      <c r="O386" s="1580"/>
      <c r="P386" s="1580"/>
      <c r="Q386" s="1580"/>
      <c r="R386" s="1580"/>
      <c r="S386" s="1580"/>
      <c r="T386" s="1580"/>
      <c r="U386" s="1580"/>
      <c r="V386" s="1580"/>
      <c r="W386" s="1580"/>
      <c r="X386" s="1580"/>
      <c r="Y386" s="1580"/>
      <c r="Z386" s="1580"/>
    </row>
    <row r="387" spans="1:26" ht="15.75" customHeight="1">
      <c r="A387" s="1580"/>
      <c r="B387" s="1671">
        <f t="shared" si="10"/>
        <v>44</v>
      </c>
      <c r="C387" s="1584" t="s">
        <v>631</v>
      </c>
      <c r="D387" s="1584" t="s">
        <v>6050</v>
      </c>
      <c r="E387" s="1580"/>
      <c r="F387" s="1638">
        <v>43770</v>
      </c>
      <c r="G387" s="1630">
        <v>43800</v>
      </c>
      <c r="H387" s="1692"/>
      <c r="I387" s="1580" t="s">
        <v>5727</v>
      </c>
      <c r="J387" s="1608" t="s">
        <v>6051</v>
      </c>
      <c r="K387" s="1580"/>
      <c r="L387" s="1580"/>
      <c r="M387" s="1580"/>
      <c r="N387" s="1580"/>
      <c r="O387" s="1580"/>
      <c r="P387" s="1580"/>
      <c r="Q387" s="1580"/>
      <c r="R387" s="1580"/>
      <c r="S387" s="1580"/>
      <c r="T387" s="1580"/>
      <c r="U387" s="1580"/>
      <c r="V387" s="1580"/>
      <c r="W387" s="1580"/>
      <c r="X387" s="1580"/>
      <c r="Y387" s="1580"/>
      <c r="Z387" s="1580"/>
    </row>
    <row r="388" spans="1:26" ht="15.75" customHeight="1">
      <c r="A388" s="1580"/>
      <c r="B388" s="1671">
        <f t="shared" si="10"/>
        <v>45</v>
      </c>
      <c r="C388" s="1584" t="s">
        <v>204</v>
      </c>
      <c r="D388" s="1584" t="s">
        <v>1647</v>
      </c>
      <c r="E388" s="1605">
        <v>43739</v>
      </c>
      <c r="F388" s="1605">
        <v>43770</v>
      </c>
      <c r="G388" s="1606">
        <v>43800</v>
      </c>
      <c r="H388" s="1649">
        <v>1</v>
      </c>
      <c r="I388" s="1580"/>
      <c r="J388" s="1608" t="s">
        <v>6201</v>
      </c>
      <c r="K388" s="1580"/>
      <c r="L388" s="1580"/>
      <c r="M388" s="1580"/>
      <c r="N388" s="1580"/>
      <c r="O388" s="1580"/>
      <c r="P388" s="1580"/>
      <c r="Q388" s="1580"/>
      <c r="R388" s="1580"/>
      <c r="S388" s="1580"/>
      <c r="T388" s="1580"/>
      <c r="U388" s="1580"/>
      <c r="V388" s="1580"/>
      <c r="W388" s="1580"/>
      <c r="X388" s="1580"/>
      <c r="Y388" s="1580"/>
      <c r="Z388" s="1580"/>
    </row>
    <row r="389" spans="1:26" ht="15.75" customHeight="1">
      <c r="A389" s="1580"/>
      <c r="B389" s="1671">
        <f t="shared" si="10"/>
        <v>46</v>
      </c>
      <c r="C389" s="1584" t="s">
        <v>1254</v>
      </c>
      <c r="D389" s="1584" t="s">
        <v>6202</v>
      </c>
      <c r="E389" s="1605">
        <v>43739</v>
      </c>
      <c r="F389" s="1605">
        <v>43770</v>
      </c>
      <c r="G389" s="1606">
        <v>43800</v>
      </c>
      <c r="H389" s="1649">
        <v>1</v>
      </c>
      <c r="I389" s="1580"/>
      <c r="J389" s="1609" t="s">
        <v>6203</v>
      </c>
      <c r="K389" s="1580"/>
      <c r="L389" s="1580"/>
      <c r="M389" s="1580"/>
      <c r="N389" s="1580"/>
      <c r="O389" s="1580"/>
      <c r="P389" s="1580"/>
      <c r="Q389" s="1580"/>
      <c r="R389" s="1580"/>
      <c r="S389" s="1580"/>
      <c r="T389" s="1580"/>
      <c r="U389" s="1580"/>
      <c r="V389" s="1580"/>
      <c r="W389" s="1580"/>
      <c r="X389" s="1580"/>
      <c r="Y389" s="1580"/>
      <c r="Z389" s="1580"/>
    </row>
    <row r="390" spans="1:26" ht="15.75" customHeight="1">
      <c r="A390" s="1580"/>
      <c r="B390" s="1671">
        <f t="shared" si="10"/>
        <v>47</v>
      </c>
      <c r="C390" s="1584" t="s">
        <v>861</v>
      </c>
      <c r="D390" s="1584" t="s">
        <v>6202</v>
      </c>
      <c r="E390" s="1605">
        <v>43739</v>
      </c>
      <c r="F390" s="1605">
        <v>43770</v>
      </c>
      <c r="G390" s="1606">
        <v>43800</v>
      </c>
      <c r="H390" s="1649">
        <v>1</v>
      </c>
      <c r="I390" s="1580"/>
      <c r="J390" s="1609" t="s">
        <v>6203</v>
      </c>
      <c r="K390" s="1580"/>
      <c r="L390" s="1580"/>
      <c r="M390" s="1580"/>
      <c r="N390" s="1580"/>
      <c r="O390" s="1580"/>
      <c r="P390" s="1580"/>
      <c r="Q390" s="1580"/>
      <c r="R390" s="1580"/>
      <c r="S390" s="1580"/>
      <c r="T390" s="1580"/>
      <c r="U390" s="1580"/>
      <c r="V390" s="1580"/>
      <c r="W390" s="1580"/>
      <c r="X390" s="1580"/>
      <c r="Y390" s="1580"/>
      <c r="Z390" s="1580"/>
    </row>
    <row r="391" spans="1:26" ht="15.75" customHeight="1">
      <c r="A391" s="1580"/>
      <c r="B391" s="1671">
        <f t="shared" si="10"/>
        <v>48</v>
      </c>
      <c r="C391" s="1584" t="s">
        <v>2511</v>
      </c>
      <c r="D391" s="1584" t="s">
        <v>2512</v>
      </c>
      <c r="E391" s="1605">
        <v>43739</v>
      </c>
      <c r="F391" s="1605">
        <v>43770</v>
      </c>
      <c r="G391" s="1606">
        <v>43800</v>
      </c>
      <c r="H391" s="1649">
        <v>1</v>
      </c>
      <c r="I391" s="1580"/>
      <c r="J391" s="1608" t="s">
        <v>2513</v>
      </c>
      <c r="K391" s="1580"/>
      <c r="L391" s="1580"/>
      <c r="M391" s="1580"/>
      <c r="N391" s="1580"/>
      <c r="O391" s="1580"/>
      <c r="P391" s="1580"/>
      <c r="Q391" s="1580"/>
      <c r="R391" s="1580"/>
      <c r="S391" s="1580"/>
      <c r="T391" s="1580"/>
      <c r="U391" s="1580"/>
      <c r="V391" s="1580"/>
      <c r="W391" s="1580"/>
      <c r="X391" s="1580"/>
      <c r="Y391" s="1580"/>
      <c r="Z391" s="1580"/>
    </row>
    <row r="392" spans="1:26" ht="15.75" customHeight="1">
      <c r="A392" s="1580"/>
      <c r="B392" s="1671">
        <f t="shared" si="10"/>
        <v>49</v>
      </c>
      <c r="C392" s="1584" t="s">
        <v>570</v>
      </c>
      <c r="D392" s="1584" t="s">
        <v>2301</v>
      </c>
      <c r="E392" s="1605">
        <v>43739</v>
      </c>
      <c r="F392" s="1605">
        <v>43770</v>
      </c>
      <c r="G392" s="1606">
        <v>43800</v>
      </c>
      <c r="H392" s="1649">
        <v>1</v>
      </c>
      <c r="I392" s="1580"/>
      <c r="J392" s="1609" t="s">
        <v>2302</v>
      </c>
      <c r="K392" s="1580"/>
      <c r="L392" s="1580"/>
      <c r="M392" s="1580"/>
      <c r="N392" s="1580"/>
      <c r="O392" s="1580"/>
      <c r="P392" s="1580"/>
      <c r="Q392" s="1580"/>
      <c r="R392" s="1580"/>
      <c r="S392" s="1580"/>
      <c r="T392" s="1580"/>
      <c r="U392" s="1580"/>
      <c r="V392" s="1580"/>
      <c r="W392" s="1580"/>
      <c r="X392" s="1580"/>
      <c r="Y392" s="1580"/>
      <c r="Z392" s="1580"/>
    </row>
    <row r="393" spans="1:26" ht="15.75" customHeight="1">
      <c r="A393" s="1580"/>
      <c r="B393" s="1671">
        <f t="shared" si="10"/>
        <v>50</v>
      </c>
      <c r="C393" s="1584" t="s">
        <v>2511</v>
      </c>
      <c r="D393" s="1584" t="s">
        <v>2301</v>
      </c>
      <c r="E393" s="1605">
        <v>43739</v>
      </c>
      <c r="F393" s="1605">
        <v>43770</v>
      </c>
      <c r="G393" s="1606">
        <v>43800</v>
      </c>
      <c r="H393" s="1649">
        <v>1</v>
      </c>
      <c r="I393" s="1580"/>
      <c r="J393" s="1609" t="s">
        <v>3234</v>
      </c>
      <c r="K393" s="1580"/>
      <c r="L393" s="1580"/>
      <c r="M393" s="1580"/>
      <c r="N393" s="1580"/>
      <c r="O393" s="1580"/>
      <c r="P393" s="1580"/>
      <c r="Q393" s="1580"/>
      <c r="R393" s="1580"/>
      <c r="S393" s="1580"/>
      <c r="T393" s="1580"/>
      <c r="U393" s="1580"/>
      <c r="V393" s="1580"/>
      <c r="W393" s="1580"/>
      <c r="X393" s="1580"/>
      <c r="Y393" s="1580"/>
      <c r="Z393" s="1580"/>
    </row>
    <row r="394" spans="1:26" ht="15.75" customHeight="1">
      <c r="A394" s="1580"/>
      <c r="B394" s="1671">
        <f t="shared" si="10"/>
        <v>51</v>
      </c>
      <c r="C394" s="1584" t="s">
        <v>895</v>
      </c>
      <c r="D394" s="1584" t="s">
        <v>6204</v>
      </c>
      <c r="E394" s="1585"/>
      <c r="F394" s="1585"/>
      <c r="G394" s="1615">
        <v>43800</v>
      </c>
      <c r="H394" s="1692"/>
      <c r="I394" s="1580"/>
      <c r="J394" s="1609" t="s">
        <v>6205</v>
      </c>
      <c r="K394" s="1580"/>
      <c r="L394" s="1580"/>
      <c r="M394" s="1580"/>
      <c r="N394" s="1580"/>
      <c r="O394" s="1580"/>
      <c r="P394" s="1580"/>
      <c r="Q394" s="1580"/>
      <c r="R394" s="1580"/>
      <c r="S394" s="1580"/>
      <c r="T394" s="1580"/>
      <c r="U394" s="1580"/>
      <c r="V394" s="1580"/>
      <c r="W394" s="1580"/>
      <c r="X394" s="1580"/>
      <c r="Y394" s="1580"/>
      <c r="Z394" s="1580"/>
    </row>
    <row r="395" spans="1:26" ht="15.75" customHeight="1">
      <c r="A395" s="1580"/>
      <c r="B395" s="1671">
        <f t="shared" si="10"/>
        <v>52</v>
      </c>
      <c r="C395" s="1584" t="s">
        <v>1382</v>
      </c>
      <c r="D395" s="1584" t="s">
        <v>5730</v>
      </c>
      <c r="E395" s="1605">
        <v>43739</v>
      </c>
      <c r="F395" s="1605">
        <v>43770</v>
      </c>
      <c r="G395" s="1606">
        <v>43800</v>
      </c>
      <c r="H395" s="1649">
        <v>1</v>
      </c>
      <c r="I395" s="1580" t="s">
        <v>5806</v>
      </c>
      <c r="J395" s="1608" t="s">
        <v>5731</v>
      </c>
      <c r="K395" s="1580"/>
      <c r="L395" s="1580"/>
      <c r="M395" s="1580"/>
      <c r="N395" s="1580"/>
      <c r="O395" s="1580"/>
      <c r="P395" s="1580"/>
      <c r="Q395" s="1580"/>
      <c r="R395" s="1580"/>
      <c r="S395" s="1580"/>
      <c r="T395" s="1580"/>
      <c r="U395" s="1580"/>
      <c r="V395" s="1580"/>
      <c r="W395" s="1580"/>
      <c r="X395" s="1580"/>
      <c r="Y395" s="1580"/>
      <c r="Z395" s="1580"/>
    </row>
    <row r="396" spans="1:26" ht="15.75" customHeight="1">
      <c r="A396" s="1580"/>
      <c r="B396" s="1671">
        <f t="shared" si="10"/>
        <v>53</v>
      </c>
      <c r="C396" s="1584" t="s">
        <v>2978</v>
      </c>
      <c r="D396" s="1584" t="s">
        <v>5795</v>
      </c>
      <c r="E396" s="1605">
        <v>43739</v>
      </c>
      <c r="F396" s="1605">
        <v>43770</v>
      </c>
      <c r="G396" s="1606">
        <v>43800</v>
      </c>
      <c r="H396" s="1649">
        <v>1</v>
      </c>
      <c r="I396" s="1580"/>
      <c r="J396" s="1609" t="s">
        <v>6206</v>
      </c>
      <c r="K396" s="1580"/>
      <c r="L396" s="1580"/>
      <c r="M396" s="1580"/>
      <c r="N396" s="1580"/>
      <c r="O396" s="1580"/>
      <c r="P396" s="1580"/>
      <c r="Q396" s="1580"/>
      <c r="R396" s="1580"/>
      <c r="S396" s="1580"/>
      <c r="T396" s="1580"/>
      <c r="U396" s="1580"/>
      <c r="V396" s="1580"/>
      <c r="W396" s="1580"/>
      <c r="X396" s="1580"/>
      <c r="Y396" s="1580"/>
      <c r="Z396" s="1580"/>
    </row>
    <row r="397" spans="1:26" ht="15.75" customHeight="1">
      <c r="A397" s="1580"/>
      <c r="B397" s="1671">
        <f t="shared" si="10"/>
        <v>54</v>
      </c>
      <c r="C397" s="1584" t="s">
        <v>2199</v>
      </c>
      <c r="D397" s="1584" t="s">
        <v>6207</v>
      </c>
      <c r="E397" s="1580"/>
      <c r="F397" s="1638">
        <v>43770</v>
      </c>
      <c r="G397" s="1630">
        <v>43800</v>
      </c>
      <c r="H397" s="1692"/>
      <c r="I397" s="1580"/>
      <c r="J397" s="1609" t="s">
        <v>6208</v>
      </c>
      <c r="K397" s="1580"/>
      <c r="L397" s="1580"/>
      <c r="M397" s="1580"/>
      <c r="N397" s="1580"/>
      <c r="O397" s="1580"/>
      <c r="P397" s="1580"/>
      <c r="Q397" s="1580"/>
      <c r="R397" s="1580"/>
      <c r="S397" s="1580"/>
      <c r="T397" s="1580"/>
      <c r="U397" s="1580"/>
      <c r="V397" s="1580"/>
      <c r="W397" s="1580"/>
      <c r="X397" s="1580"/>
      <c r="Y397" s="1580"/>
      <c r="Z397" s="1580"/>
    </row>
    <row r="398" spans="1:26" ht="15.75" customHeight="1">
      <c r="A398" s="1580"/>
      <c r="B398" s="1671">
        <f t="shared" si="10"/>
        <v>55</v>
      </c>
      <c r="C398" s="1584" t="s">
        <v>6209</v>
      </c>
      <c r="D398" s="1584" t="s">
        <v>6210</v>
      </c>
      <c r="E398" s="1605">
        <v>43739</v>
      </c>
      <c r="F398" s="1605">
        <v>43770</v>
      </c>
      <c r="G398" s="1606">
        <v>43800</v>
      </c>
      <c r="H398" s="1649">
        <v>1</v>
      </c>
      <c r="I398" s="1580"/>
      <c r="J398" s="1608" t="s">
        <v>6211</v>
      </c>
      <c r="K398" s="1580"/>
      <c r="L398" s="1580"/>
      <c r="M398" s="1580"/>
      <c r="N398" s="1580"/>
      <c r="O398" s="1580"/>
      <c r="P398" s="1580"/>
      <c r="Q398" s="1580"/>
      <c r="R398" s="1580"/>
      <c r="S398" s="1580"/>
      <c r="T398" s="1580"/>
      <c r="U398" s="1580"/>
      <c r="V398" s="1580"/>
      <c r="W398" s="1580"/>
      <c r="X398" s="1580"/>
      <c r="Y398" s="1580"/>
      <c r="Z398" s="1580"/>
    </row>
    <row r="399" spans="1:26" ht="15.75" customHeight="1">
      <c r="A399" s="1580"/>
      <c r="B399" s="1671">
        <f t="shared" si="10"/>
        <v>56</v>
      </c>
      <c r="C399" s="1584" t="s">
        <v>6212</v>
      </c>
      <c r="D399" s="1584" t="s">
        <v>6213</v>
      </c>
      <c r="E399" s="1605">
        <v>43739</v>
      </c>
      <c r="F399" s="1605">
        <v>43770</v>
      </c>
      <c r="G399" s="1606">
        <v>43800</v>
      </c>
      <c r="H399" s="1649">
        <v>1</v>
      </c>
      <c r="I399" s="1580"/>
      <c r="J399" s="1608" t="s">
        <v>6214</v>
      </c>
      <c r="K399" s="1580"/>
      <c r="L399" s="1580"/>
      <c r="M399" s="1580"/>
      <c r="N399" s="1580"/>
      <c r="O399" s="1580"/>
      <c r="P399" s="1580"/>
      <c r="Q399" s="1580"/>
      <c r="R399" s="1580"/>
      <c r="S399" s="1580"/>
      <c r="T399" s="1580"/>
      <c r="U399" s="1580"/>
      <c r="V399" s="1580"/>
      <c r="W399" s="1580"/>
      <c r="X399" s="1580"/>
      <c r="Y399" s="1580"/>
      <c r="Z399" s="1580"/>
    </row>
    <row r="400" spans="1:26" ht="15.75" customHeight="1">
      <c r="A400" s="1580"/>
      <c r="B400" s="1671">
        <f t="shared" si="10"/>
        <v>57</v>
      </c>
      <c r="C400" s="1584" t="s">
        <v>769</v>
      </c>
      <c r="D400" s="1584" t="s">
        <v>6215</v>
      </c>
      <c r="E400" s="1605">
        <v>43739</v>
      </c>
      <c r="F400" s="1605">
        <v>43770</v>
      </c>
      <c r="G400" s="1606">
        <v>43800</v>
      </c>
      <c r="H400" s="1649">
        <v>1</v>
      </c>
      <c r="I400" s="1580"/>
      <c r="J400" s="1609" t="s">
        <v>6216</v>
      </c>
      <c r="K400" s="1580"/>
      <c r="L400" s="1580"/>
      <c r="M400" s="1580"/>
      <c r="N400" s="1580"/>
      <c r="O400" s="1580"/>
      <c r="P400" s="1580"/>
      <c r="Q400" s="1580"/>
      <c r="R400" s="1580"/>
      <c r="S400" s="1580"/>
      <c r="T400" s="1580"/>
      <c r="U400" s="1580"/>
      <c r="V400" s="1580"/>
      <c r="W400" s="1580"/>
      <c r="X400" s="1580"/>
      <c r="Y400" s="1580"/>
      <c r="Z400" s="1580"/>
    </row>
    <row r="401" spans="1:26" ht="15.75" customHeight="1">
      <c r="A401" s="1580"/>
      <c r="B401" s="1671">
        <f t="shared" si="10"/>
        <v>58</v>
      </c>
      <c r="C401" s="1584" t="s">
        <v>188</v>
      </c>
      <c r="D401" s="1584" t="s">
        <v>6217</v>
      </c>
      <c r="E401" s="1605">
        <v>43739</v>
      </c>
      <c r="F401" s="1605">
        <v>43770</v>
      </c>
      <c r="G401" s="1606">
        <v>43800</v>
      </c>
      <c r="H401" s="1649">
        <v>1</v>
      </c>
      <c r="I401" s="1580"/>
      <c r="J401" s="1608" t="s">
        <v>6218</v>
      </c>
      <c r="K401" s="1580"/>
      <c r="L401" s="1580"/>
      <c r="M401" s="1580"/>
      <c r="N401" s="1580"/>
      <c r="O401" s="1580"/>
      <c r="P401" s="1580"/>
      <c r="Q401" s="1580"/>
      <c r="R401" s="1580"/>
      <c r="S401" s="1580"/>
      <c r="T401" s="1580"/>
      <c r="U401" s="1580"/>
      <c r="V401" s="1580"/>
      <c r="W401" s="1580"/>
      <c r="X401" s="1580"/>
      <c r="Y401" s="1580"/>
      <c r="Z401" s="1580"/>
    </row>
    <row r="402" spans="1:26" ht="15.75" customHeight="1">
      <c r="A402" s="1580"/>
      <c r="B402" s="1671">
        <f t="shared" si="10"/>
        <v>59</v>
      </c>
      <c r="C402" s="1584" t="s">
        <v>135</v>
      </c>
      <c r="D402" s="1584" t="s">
        <v>2541</v>
      </c>
      <c r="E402" s="1605">
        <v>43739</v>
      </c>
      <c r="F402" s="1605">
        <v>43770</v>
      </c>
      <c r="G402" s="1606">
        <v>43800</v>
      </c>
      <c r="H402" s="1649">
        <v>1</v>
      </c>
      <c r="I402" s="1580"/>
      <c r="J402" s="1608" t="s">
        <v>2542</v>
      </c>
      <c r="K402" s="1580"/>
      <c r="L402" s="1580"/>
      <c r="M402" s="1580"/>
      <c r="N402" s="1580"/>
      <c r="O402" s="1580"/>
      <c r="P402" s="1580"/>
      <c r="Q402" s="1580"/>
      <c r="R402" s="1580"/>
      <c r="S402" s="1580"/>
      <c r="T402" s="1580"/>
      <c r="U402" s="1580"/>
      <c r="V402" s="1580"/>
      <c r="W402" s="1580"/>
      <c r="X402" s="1580"/>
      <c r="Y402" s="1580"/>
      <c r="Z402" s="1580"/>
    </row>
    <row r="403" spans="1:26" ht="15.75" customHeight="1">
      <c r="A403" s="1580"/>
      <c r="B403" s="1671">
        <f t="shared" si="10"/>
        <v>60</v>
      </c>
      <c r="C403" s="1584" t="s">
        <v>3844</v>
      </c>
      <c r="D403" s="1584" t="s">
        <v>4607</v>
      </c>
      <c r="E403" s="1605">
        <v>43739</v>
      </c>
      <c r="F403" s="1605">
        <v>43770</v>
      </c>
      <c r="G403" s="1606">
        <v>43800</v>
      </c>
      <c r="H403" s="1649">
        <v>1</v>
      </c>
      <c r="I403" s="1580"/>
      <c r="J403" s="1609" t="s">
        <v>4608</v>
      </c>
      <c r="K403" s="1580"/>
      <c r="L403" s="1580"/>
      <c r="M403" s="1580"/>
      <c r="N403" s="1580"/>
      <c r="O403" s="1580"/>
      <c r="P403" s="1580"/>
      <c r="Q403" s="1580"/>
      <c r="R403" s="1580"/>
      <c r="S403" s="1580"/>
      <c r="T403" s="1580"/>
      <c r="U403" s="1580"/>
      <c r="V403" s="1580"/>
      <c r="W403" s="1580"/>
      <c r="X403" s="1580"/>
      <c r="Y403" s="1580"/>
      <c r="Z403" s="1580"/>
    </row>
    <row r="404" spans="1:26" ht="15.75" customHeight="1">
      <c r="A404" s="1580"/>
      <c r="B404" s="1671">
        <f t="shared" si="10"/>
        <v>61</v>
      </c>
      <c r="C404" s="1584" t="s">
        <v>6219</v>
      </c>
      <c r="D404" s="1584" t="s">
        <v>4607</v>
      </c>
      <c r="E404" s="1605">
        <v>43739</v>
      </c>
      <c r="F404" s="1605">
        <v>43770</v>
      </c>
      <c r="G404" s="1606">
        <v>43800</v>
      </c>
      <c r="H404" s="1649">
        <v>1</v>
      </c>
      <c r="I404" s="1580"/>
      <c r="J404" s="1609" t="s">
        <v>6220</v>
      </c>
      <c r="K404" s="1580"/>
      <c r="L404" s="1580"/>
      <c r="M404" s="1580"/>
      <c r="N404" s="1580"/>
      <c r="O404" s="1580"/>
      <c r="P404" s="1580"/>
      <c r="Q404" s="1580"/>
      <c r="R404" s="1580"/>
      <c r="S404" s="1580"/>
      <c r="T404" s="1580"/>
      <c r="U404" s="1580"/>
      <c r="V404" s="1580"/>
      <c r="W404" s="1580"/>
      <c r="X404" s="1580"/>
      <c r="Y404" s="1580"/>
      <c r="Z404" s="1580"/>
    </row>
    <row r="405" spans="1:26" ht="15.75" customHeight="1">
      <c r="A405" s="1580"/>
      <c r="B405" s="1671">
        <f t="shared" si="10"/>
        <v>62</v>
      </c>
      <c r="C405" s="1584" t="s">
        <v>6221</v>
      </c>
      <c r="D405" s="1584" t="s">
        <v>4607</v>
      </c>
      <c r="E405" s="1605">
        <v>43739</v>
      </c>
      <c r="F405" s="1605">
        <v>43770</v>
      </c>
      <c r="G405" s="1606">
        <v>43800</v>
      </c>
      <c r="H405" s="1649">
        <v>1</v>
      </c>
      <c r="I405" s="1580"/>
      <c r="J405" s="1609" t="s">
        <v>6222</v>
      </c>
      <c r="K405" s="1580"/>
      <c r="L405" s="1580"/>
      <c r="M405" s="1580"/>
      <c r="N405" s="1580"/>
      <c r="O405" s="1580"/>
      <c r="P405" s="1580"/>
      <c r="Q405" s="1580"/>
      <c r="R405" s="1580"/>
      <c r="S405" s="1580"/>
      <c r="T405" s="1580"/>
      <c r="U405" s="1580"/>
      <c r="V405" s="1580"/>
      <c r="W405" s="1580"/>
      <c r="X405" s="1580"/>
      <c r="Y405" s="1580"/>
      <c r="Z405" s="1580"/>
    </row>
    <row r="406" spans="1:26" ht="15.75" customHeight="1">
      <c r="A406" s="1580"/>
      <c r="B406" s="1671">
        <f t="shared" si="10"/>
        <v>63</v>
      </c>
      <c r="C406" s="1584" t="s">
        <v>950</v>
      </c>
      <c r="D406" s="1584" t="s">
        <v>2474</v>
      </c>
      <c r="E406" s="1605">
        <v>43739</v>
      </c>
      <c r="F406" s="1605">
        <v>43770</v>
      </c>
      <c r="G406" s="1606">
        <v>43800</v>
      </c>
      <c r="H406" s="1649">
        <v>1</v>
      </c>
      <c r="I406" s="1580"/>
      <c r="J406" s="1609" t="s">
        <v>2475</v>
      </c>
      <c r="K406" s="1580"/>
      <c r="L406" s="1580"/>
      <c r="M406" s="1580"/>
      <c r="N406" s="1580"/>
      <c r="O406" s="1580"/>
      <c r="P406" s="1580"/>
      <c r="Q406" s="1580"/>
      <c r="R406" s="1580"/>
      <c r="S406" s="1580"/>
      <c r="T406" s="1580"/>
      <c r="U406" s="1580"/>
      <c r="V406" s="1580"/>
      <c r="W406" s="1580"/>
      <c r="X406" s="1580"/>
      <c r="Y406" s="1580"/>
      <c r="Z406" s="1580"/>
    </row>
    <row r="407" spans="1:26" ht="15.75" customHeight="1">
      <c r="A407" s="1580"/>
      <c r="B407" s="1671">
        <f t="shared" si="10"/>
        <v>64</v>
      </c>
      <c r="C407" s="1584" t="s">
        <v>1340</v>
      </c>
      <c r="D407" s="1584" t="s">
        <v>6223</v>
      </c>
      <c r="E407" s="1585"/>
      <c r="F407" s="1585"/>
      <c r="G407" s="1615">
        <v>43800</v>
      </c>
      <c r="H407" s="1692"/>
      <c r="I407" s="1580"/>
      <c r="J407" s="1609" t="s">
        <v>6224</v>
      </c>
      <c r="K407" s="1580"/>
      <c r="L407" s="1580"/>
      <c r="M407" s="1580"/>
      <c r="N407" s="1580"/>
      <c r="O407" s="1580"/>
      <c r="P407" s="1580"/>
      <c r="Q407" s="1580"/>
      <c r="R407" s="1580"/>
      <c r="S407" s="1580"/>
      <c r="T407" s="1580"/>
      <c r="U407" s="1580"/>
      <c r="V407" s="1580"/>
      <c r="W407" s="1580"/>
      <c r="X407" s="1580"/>
      <c r="Y407" s="1580"/>
      <c r="Z407" s="1580"/>
    </row>
    <row r="408" spans="1:26" ht="15.75" customHeight="1">
      <c r="A408" s="1580"/>
      <c r="B408" s="1671">
        <f t="shared" si="10"/>
        <v>65</v>
      </c>
      <c r="C408" s="1584" t="s">
        <v>6225</v>
      </c>
      <c r="D408" s="1584" t="s">
        <v>6226</v>
      </c>
      <c r="E408" s="1585"/>
      <c r="F408" s="1585"/>
      <c r="G408" s="1615">
        <v>43800</v>
      </c>
      <c r="H408" s="1692"/>
      <c r="I408" s="1580"/>
      <c r="J408" s="1609" t="s">
        <v>6227</v>
      </c>
      <c r="K408" s="1580"/>
      <c r="L408" s="1580"/>
      <c r="M408" s="1580"/>
      <c r="N408" s="1580"/>
      <c r="O408" s="1580"/>
      <c r="P408" s="1580"/>
      <c r="Q408" s="1580"/>
      <c r="R408" s="1580"/>
      <c r="S408" s="1580"/>
      <c r="T408" s="1580"/>
      <c r="U408" s="1580"/>
      <c r="V408" s="1580"/>
      <c r="W408" s="1580"/>
      <c r="X408" s="1580"/>
      <c r="Y408" s="1580"/>
      <c r="Z408" s="1580"/>
    </row>
    <row r="409" spans="1:26" ht="15.75" customHeight="1">
      <c r="A409" s="1580"/>
      <c r="B409" s="1671">
        <f t="shared" si="10"/>
        <v>66</v>
      </c>
      <c r="C409" s="1584" t="s">
        <v>741</v>
      </c>
      <c r="D409" s="1584" t="s">
        <v>2387</v>
      </c>
      <c r="E409" s="1605">
        <v>43739</v>
      </c>
      <c r="F409" s="1605">
        <v>43770</v>
      </c>
      <c r="G409" s="1606">
        <v>43800</v>
      </c>
      <c r="H409" s="1649">
        <v>1</v>
      </c>
      <c r="I409" s="1580"/>
      <c r="J409" s="1609" t="s">
        <v>6228</v>
      </c>
      <c r="K409" s="1580"/>
      <c r="L409" s="1580"/>
      <c r="M409" s="1580"/>
      <c r="N409" s="1580"/>
      <c r="O409" s="1580"/>
      <c r="P409" s="1580"/>
      <c r="Q409" s="1580"/>
      <c r="R409" s="1580"/>
      <c r="S409" s="1580"/>
      <c r="T409" s="1580"/>
      <c r="U409" s="1580"/>
      <c r="V409" s="1580"/>
      <c r="W409" s="1580"/>
      <c r="X409" s="1580"/>
      <c r="Y409" s="1580"/>
      <c r="Z409" s="1580"/>
    </row>
    <row r="410" spans="1:26" ht="15.75" customHeight="1">
      <c r="A410" s="1580"/>
      <c r="B410" s="1671">
        <f t="shared" si="10"/>
        <v>67</v>
      </c>
      <c r="C410" s="1584" t="s">
        <v>398</v>
      </c>
      <c r="D410" s="1584" t="s">
        <v>5872</v>
      </c>
      <c r="E410" s="1638">
        <v>43739</v>
      </c>
      <c r="F410" s="1580"/>
      <c r="G410" s="1630">
        <v>43800</v>
      </c>
      <c r="H410" s="1692"/>
      <c r="I410" s="1580" t="s">
        <v>5806</v>
      </c>
      <c r="J410" s="1609" t="s">
        <v>5873</v>
      </c>
      <c r="K410" s="1580"/>
      <c r="L410" s="1580"/>
      <c r="M410" s="1580"/>
      <c r="N410" s="1580"/>
      <c r="O410" s="1580"/>
      <c r="P410" s="1580"/>
      <c r="Q410" s="1580"/>
      <c r="R410" s="1580"/>
      <c r="S410" s="1580"/>
      <c r="T410" s="1580"/>
      <c r="U410" s="1580"/>
      <c r="V410" s="1580"/>
      <c r="W410" s="1580"/>
      <c r="X410" s="1580"/>
      <c r="Y410" s="1580"/>
      <c r="Z410" s="1580"/>
    </row>
    <row r="411" spans="1:26" ht="15.75" customHeight="1">
      <c r="A411" s="1580"/>
      <c r="B411" s="1671">
        <f t="shared" si="10"/>
        <v>68</v>
      </c>
      <c r="C411" s="1584" t="s">
        <v>730</v>
      </c>
      <c r="D411" s="1584" t="s">
        <v>2363</v>
      </c>
      <c r="E411" s="1605">
        <v>43739</v>
      </c>
      <c r="F411" s="1605">
        <v>43770</v>
      </c>
      <c r="G411" s="1606">
        <v>43800</v>
      </c>
      <c r="H411" s="1649">
        <v>1</v>
      </c>
      <c r="I411" s="1580" t="s">
        <v>5806</v>
      </c>
      <c r="J411" s="1608" t="s">
        <v>4956</v>
      </c>
      <c r="K411" s="1580"/>
      <c r="L411" s="1580"/>
      <c r="M411" s="1580"/>
      <c r="N411" s="1580"/>
      <c r="O411" s="1580"/>
      <c r="P411" s="1580"/>
      <c r="Q411" s="1580"/>
      <c r="R411" s="1580"/>
      <c r="S411" s="1580"/>
      <c r="T411" s="1580"/>
      <c r="U411" s="1580"/>
      <c r="V411" s="1580"/>
      <c r="W411" s="1580"/>
      <c r="X411" s="1580"/>
      <c r="Y411" s="1580"/>
      <c r="Z411" s="1580"/>
    </row>
    <row r="412" spans="1:26" ht="15.75" customHeight="1">
      <c r="A412" s="1580"/>
      <c r="B412" s="1671">
        <f t="shared" si="10"/>
        <v>69</v>
      </c>
      <c r="C412" s="1584" t="s">
        <v>1134</v>
      </c>
      <c r="D412" s="1584" t="s">
        <v>6229</v>
      </c>
      <c r="E412" s="1605">
        <v>43739</v>
      </c>
      <c r="F412" s="1605">
        <v>43770</v>
      </c>
      <c r="G412" s="1606">
        <v>43800</v>
      </c>
      <c r="H412" s="1649">
        <v>1</v>
      </c>
      <c r="I412" s="1580"/>
      <c r="J412" s="1608" t="s">
        <v>6230</v>
      </c>
      <c r="K412" s="1580"/>
      <c r="L412" s="1580"/>
      <c r="M412" s="1580"/>
      <c r="N412" s="1580"/>
      <c r="O412" s="1580"/>
      <c r="P412" s="1580"/>
      <c r="Q412" s="1580"/>
      <c r="R412" s="1580"/>
      <c r="S412" s="1580"/>
      <c r="T412" s="1580"/>
      <c r="U412" s="1580"/>
      <c r="V412" s="1580"/>
      <c r="W412" s="1580"/>
      <c r="X412" s="1580"/>
      <c r="Y412" s="1580"/>
      <c r="Z412" s="1580"/>
    </row>
    <row r="413" spans="1:26" ht="15.75" customHeight="1">
      <c r="A413" s="1580"/>
      <c r="B413" s="1671">
        <f t="shared" si="10"/>
        <v>70</v>
      </c>
      <c r="C413" s="1584" t="s">
        <v>6231</v>
      </c>
      <c r="D413" s="1584" t="s">
        <v>5739</v>
      </c>
      <c r="E413" s="1605">
        <v>43739</v>
      </c>
      <c r="F413" s="1605">
        <v>43770</v>
      </c>
      <c r="G413" s="1606">
        <v>43800</v>
      </c>
      <c r="H413" s="1637">
        <v>1</v>
      </c>
      <c r="I413" s="1580"/>
      <c r="J413" s="1609" t="s">
        <v>6232</v>
      </c>
      <c r="K413" s="1580"/>
      <c r="L413" s="1580"/>
      <c r="M413" s="1580"/>
      <c r="N413" s="1580"/>
      <c r="O413" s="1580"/>
      <c r="P413" s="1580"/>
      <c r="Q413" s="1580"/>
      <c r="R413" s="1580"/>
      <c r="S413" s="1580"/>
      <c r="T413" s="1580"/>
      <c r="U413" s="1580"/>
      <c r="V413" s="1580"/>
      <c r="W413" s="1580"/>
      <c r="X413" s="1580"/>
      <c r="Y413" s="1580"/>
      <c r="Z413" s="1580"/>
    </row>
    <row r="414" spans="1:26" ht="15.75" customHeight="1">
      <c r="A414" s="1580"/>
      <c r="B414" s="1671">
        <f t="shared" si="10"/>
        <v>71</v>
      </c>
      <c r="C414" s="1584" t="s">
        <v>471</v>
      </c>
      <c r="D414" s="1584" t="s">
        <v>2539</v>
      </c>
      <c r="E414" s="1605">
        <v>43739</v>
      </c>
      <c r="F414" s="1605">
        <v>43770</v>
      </c>
      <c r="G414" s="1605">
        <v>43800</v>
      </c>
      <c r="H414" s="1649">
        <v>1</v>
      </c>
      <c r="I414" s="1580"/>
      <c r="J414" s="1609" t="s">
        <v>2540</v>
      </c>
      <c r="K414" s="1580"/>
      <c r="L414" s="1580"/>
      <c r="M414" s="1580"/>
      <c r="N414" s="1580"/>
      <c r="O414" s="1580"/>
      <c r="P414" s="1580"/>
      <c r="Q414" s="1580"/>
      <c r="R414" s="1580"/>
      <c r="S414" s="1580"/>
      <c r="T414" s="1580"/>
      <c r="U414" s="1580"/>
      <c r="V414" s="1580"/>
      <c r="W414" s="1580"/>
      <c r="X414" s="1580"/>
      <c r="Y414" s="1580"/>
      <c r="Z414" s="1580"/>
    </row>
    <row r="415" spans="1:26" ht="15.75" customHeight="1">
      <c r="A415" s="1580"/>
      <c r="B415" s="1671">
        <f t="shared" si="10"/>
        <v>72</v>
      </c>
      <c r="C415" s="1584" t="s">
        <v>563</v>
      </c>
      <c r="D415" s="1584" t="s">
        <v>6233</v>
      </c>
      <c r="E415" s="1605">
        <v>43739</v>
      </c>
      <c r="F415" s="1605">
        <v>43770</v>
      </c>
      <c r="G415" s="1606">
        <v>43800</v>
      </c>
      <c r="H415" s="1649">
        <v>1</v>
      </c>
      <c r="I415" s="1580"/>
      <c r="J415" s="1608" t="s">
        <v>6234</v>
      </c>
      <c r="K415" s="1580"/>
      <c r="L415" s="1580"/>
      <c r="M415" s="1580"/>
      <c r="N415" s="1580"/>
      <c r="O415" s="1580"/>
      <c r="P415" s="1580"/>
      <c r="Q415" s="1580"/>
      <c r="R415" s="1580"/>
      <c r="S415" s="1580"/>
      <c r="T415" s="1580"/>
      <c r="U415" s="1580"/>
      <c r="V415" s="1580"/>
      <c r="W415" s="1580"/>
      <c r="X415" s="1580"/>
      <c r="Y415" s="1580"/>
      <c r="Z415" s="1580"/>
    </row>
    <row r="416" spans="1:26" ht="15.75" customHeight="1">
      <c r="A416" s="1580"/>
      <c r="B416" s="1671">
        <f t="shared" si="10"/>
        <v>73</v>
      </c>
      <c r="C416" s="1584" t="s">
        <v>2199</v>
      </c>
      <c r="D416" s="1584" t="s">
        <v>6235</v>
      </c>
      <c r="E416" s="1605">
        <v>43739</v>
      </c>
      <c r="F416" s="1605">
        <v>43770</v>
      </c>
      <c r="G416" s="1606">
        <v>43800</v>
      </c>
      <c r="H416" s="1649">
        <v>1</v>
      </c>
      <c r="I416" s="1580"/>
      <c r="J416" s="1608" t="s">
        <v>6236</v>
      </c>
      <c r="K416" s="1580"/>
      <c r="L416" s="1580"/>
      <c r="M416" s="1580"/>
      <c r="N416" s="1580"/>
      <c r="O416" s="1580"/>
      <c r="P416" s="1580"/>
      <c r="Q416" s="1580"/>
      <c r="R416" s="1580"/>
      <c r="S416" s="1580"/>
      <c r="T416" s="1580"/>
      <c r="U416" s="1580"/>
      <c r="V416" s="1580"/>
      <c r="W416" s="1580"/>
      <c r="X416" s="1580"/>
      <c r="Y416" s="1580"/>
      <c r="Z416" s="1580"/>
    </row>
    <row r="417" spans="1:26" ht="15.75" customHeight="1">
      <c r="A417" s="1580"/>
      <c r="B417" s="1671">
        <f t="shared" si="10"/>
        <v>74</v>
      </c>
      <c r="C417" s="1584" t="s">
        <v>204</v>
      </c>
      <c r="D417" s="1584" t="s">
        <v>3131</v>
      </c>
      <c r="E417" s="1638">
        <v>43739</v>
      </c>
      <c r="F417" s="1580"/>
      <c r="G417" s="1660"/>
      <c r="H417" s="1692"/>
      <c r="I417" s="1580"/>
      <c r="J417" s="1609" t="s">
        <v>3132</v>
      </c>
      <c r="K417" s="1580"/>
      <c r="L417" s="1580"/>
      <c r="M417" s="1580"/>
      <c r="N417" s="1580"/>
      <c r="O417" s="1580"/>
      <c r="P417" s="1580"/>
      <c r="Q417" s="1580"/>
      <c r="R417" s="1580"/>
      <c r="S417" s="1580"/>
      <c r="T417" s="1580"/>
      <c r="U417" s="1580"/>
      <c r="V417" s="1580"/>
      <c r="W417" s="1580"/>
      <c r="X417" s="1580"/>
      <c r="Y417" s="1580"/>
      <c r="Z417" s="1580"/>
    </row>
    <row r="418" spans="1:26" ht="15.75" customHeight="1">
      <c r="A418" s="1580"/>
      <c r="B418" s="1671">
        <f t="shared" si="10"/>
        <v>75</v>
      </c>
      <c r="C418" s="1584" t="s">
        <v>6237</v>
      </c>
      <c r="D418" s="1584" t="s">
        <v>4140</v>
      </c>
      <c r="E418" s="1605">
        <v>43739</v>
      </c>
      <c r="F418" s="1605">
        <v>43770</v>
      </c>
      <c r="G418" s="1606">
        <v>43800</v>
      </c>
      <c r="H418" s="1649">
        <v>1</v>
      </c>
      <c r="I418" s="1580"/>
      <c r="J418" s="1608" t="s">
        <v>6238</v>
      </c>
      <c r="K418" s="1580"/>
      <c r="L418" s="1580"/>
      <c r="M418" s="1580"/>
      <c r="N418" s="1580"/>
      <c r="O418" s="1580"/>
      <c r="P418" s="1580"/>
      <c r="Q418" s="1580"/>
      <c r="R418" s="1580"/>
      <c r="S418" s="1580"/>
      <c r="T418" s="1580"/>
      <c r="U418" s="1580"/>
      <c r="V418" s="1580"/>
      <c r="W418" s="1580"/>
      <c r="X418" s="1580"/>
      <c r="Y418" s="1580"/>
      <c r="Z418" s="1580"/>
    </row>
    <row r="419" spans="1:26" ht="15.75" customHeight="1">
      <c r="A419" s="1580"/>
      <c r="B419" s="1671">
        <f t="shared" si="10"/>
        <v>76</v>
      </c>
      <c r="C419" s="1584" t="s">
        <v>622</v>
      </c>
      <c r="D419" s="1584" t="s">
        <v>4593</v>
      </c>
      <c r="E419" s="1605">
        <v>43739</v>
      </c>
      <c r="F419" s="1605">
        <v>43770</v>
      </c>
      <c r="G419" s="1606">
        <v>43800</v>
      </c>
      <c r="H419" s="1649">
        <v>1</v>
      </c>
      <c r="I419" s="1580"/>
      <c r="J419" s="1609" t="s">
        <v>4594</v>
      </c>
      <c r="K419" s="1580"/>
      <c r="L419" s="1580"/>
      <c r="M419" s="1580"/>
      <c r="N419" s="1580"/>
      <c r="O419" s="1580"/>
      <c r="P419" s="1580"/>
      <c r="Q419" s="1580"/>
      <c r="R419" s="1580"/>
      <c r="S419" s="1580"/>
      <c r="T419" s="1580"/>
      <c r="U419" s="1580"/>
      <c r="V419" s="1580"/>
      <c r="W419" s="1580"/>
      <c r="X419" s="1580"/>
      <c r="Y419" s="1580"/>
      <c r="Z419" s="1580"/>
    </row>
    <row r="420" spans="1:26" ht="15.75" customHeight="1">
      <c r="A420" s="1580"/>
      <c r="B420" s="1671">
        <f t="shared" si="10"/>
        <v>77</v>
      </c>
      <c r="C420" s="1584" t="s">
        <v>1622</v>
      </c>
      <c r="D420" s="1584" t="s">
        <v>5881</v>
      </c>
      <c r="E420" s="1605">
        <v>43739</v>
      </c>
      <c r="F420" s="1605">
        <v>43770</v>
      </c>
      <c r="G420" s="1606">
        <v>43800</v>
      </c>
      <c r="H420" s="1649">
        <v>1</v>
      </c>
      <c r="I420" s="1580" t="s">
        <v>5806</v>
      </c>
      <c r="J420" s="1608" t="s">
        <v>5882</v>
      </c>
      <c r="K420" s="1580"/>
      <c r="L420" s="1580"/>
      <c r="M420" s="1580"/>
      <c r="N420" s="1580"/>
      <c r="O420" s="1580"/>
      <c r="P420" s="1580"/>
      <c r="Q420" s="1580"/>
      <c r="R420" s="1580"/>
      <c r="S420" s="1580"/>
      <c r="T420" s="1580"/>
      <c r="U420" s="1580"/>
      <c r="V420" s="1580"/>
      <c r="W420" s="1580"/>
      <c r="X420" s="1580"/>
      <c r="Y420" s="1580"/>
      <c r="Z420" s="1580"/>
    </row>
    <row r="421" spans="1:26" ht="15.75" customHeight="1">
      <c r="A421" s="1580"/>
      <c r="B421" s="1671">
        <f t="shared" si="10"/>
        <v>78</v>
      </c>
      <c r="C421" s="1584" t="s">
        <v>1945</v>
      </c>
      <c r="D421" s="1584" t="s">
        <v>6239</v>
      </c>
      <c r="E421" s="1605">
        <v>43739</v>
      </c>
      <c r="F421" s="1605">
        <v>43770</v>
      </c>
      <c r="G421" s="1606">
        <v>43800</v>
      </c>
      <c r="H421" s="1649">
        <v>1</v>
      </c>
      <c r="I421" s="1580"/>
      <c r="J421" s="1609" t="s">
        <v>6240</v>
      </c>
      <c r="K421" s="1580"/>
      <c r="L421" s="1580"/>
      <c r="M421" s="1580"/>
      <c r="N421" s="1580"/>
      <c r="O421" s="1580"/>
      <c r="P421" s="1580"/>
      <c r="Q421" s="1580"/>
      <c r="R421" s="1580"/>
      <c r="S421" s="1580"/>
      <c r="T421" s="1580"/>
      <c r="U421" s="1580"/>
      <c r="V421" s="1580"/>
      <c r="W421" s="1580"/>
      <c r="X421" s="1580"/>
      <c r="Y421" s="1580"/>
      <c r="Z421" s="1580"/>
    </row>
    <row r="422" spans="1:26" ht="15.75" customHeight="1">
      <c r="A422" s="1580"/>
      <c r="B422" s="1671">
        <f t="shared" si="10"/>
        <v>79</v>
      </c>
      <c r="C422" s="1584" t="s">
        <v>1134</v>
      </c>
      <c r="D422" s="1584" t="s">
        <v>5231</v>
      </c>
      <c r="E422" s="1605">
        <v>43739</v>
      </c>
      <c r="F422" s="1605">
        <v>43770</v>
      </c>
      <c r="G422" s="1606">
        <v>43800</v>
      </c>
      <c r="H422" s="1649">
        <v>1</v>
      </c>
      <c r="I422" s="1580"/>
      <c r="J422" s="1609" t="s">
        <v>5232</v>
      </c>
      <c r="K422" s="1580"/>
      <c r="L422" s="1580"/>
      <c r="M422" s="1580"/>
      <c r="N422" s="1580"/>
      <c r="O422" s="1580"/>
      <c r="P422" s="1580"/>
      <c r="Q422" s="1580"/>
      <c r="R422" s="1580"/>
      <c r="S422" s="1580"/>
      <c r="T422" s="1580"/>
      <c r="U422" s="1580"/>
      <c r="V422" s="1580"/>
      <c r="W422" s="1580"/>
      <c r="X422" s="1580"/>
      <c r="Y422" s="1580"/>
      <c r="Z422" s="1580"/>
    </row>
    <row r="423" spans="1:26" ht="15.75" customHeight="1">
      <c r="A423" s="1580"/>
      <c r="B423" s="1671">
        <f t="shared" si="10"/>
        <v>80</v>
      </c>
      <c r="C423" s="1584" t="s">
        <v>246</v>
      </c>
      <c r="D423" s="1584" t="s">
        <v>6241</v>
      </c>
      <c r="E423" s="1605">
        <v>43739</v>
      </c>
      <c r="F423" s="1605">
        <v>43770</v>
      </c>
      <c r="G423" s="1606">
        <v>43800</v>
      </c>
      <c r="H423" s="1649">
        <v>1</v>
      </c>
      <c r="I423" s="1580"/>
      <c r="J423" s="1609" t="s">
        <v>6242</v>
      </c>
      <c r="K423" s="1580"/>
      <c r="L423" s="1580"/>
      <c r="M423" s="1580"/>
      <c r="N423" s="1580"/>
      <c r="O423" s="1580"/>
      <c r="P423" s="1580"/>
      <c r="Q423" s="1580"/>
      <c r="R423" s="1580"/>
      <c r="S423" s="1580"/>
      <c r="T423" s="1580"/>
      <c r="U423" s="1580"/>
      <c r="V423" s="1580"/>
      <c r="W423" s="1580"/>
      <c r="X423" s="1580"/>
      <c r="Y423" s="1580"/>
      <c r="Z423" s="1580"/>
    </row>
    <row r="424" spans="1:26" ht="15.75" customHeight="1">
      <c r="A424" s="1580"/>
      <c r="B424" s="1671">
        <f t="shared" si="10"/>
        <v>81</v>
      </c>
      <c r="C424" s="1584" t="s">
        <v>3859</v>
      </c>
      <c r="D424" s="1584" t="s">
        <v>2723</v>
      </c>
      <c r="E424" s="1605">
        <v>43739</v>
      </c>
      <c r="F424" s="1605">
        <v>43770</v>
      </c>
      <c r="G424" s="1606">
        <v>43800</v>
      </c>
      <c r="H424" s="1649">
        <v>1</v>
      </c>
      <c r="I424" s="1580"/>
      <c r="J424" s="1609" t="s">
        <v>6243</v>
      </c>
      <c r="K424" s="1580"/>
      <c r="L424" s="1580"/>
      <c r="M424" s="1580"/>
      <c r="N424" s="1580"/>
      <c r="O424" s="1580"/>
      <c r="P424" s="1580"/>
      <c r="Q424" s="1580"/>
      <c r="R424" s="1580"/>
      <c r="S424" s="1580"/>
      <c r="T424" s="1580"/>
      <c r="U424" s="1580"/>
      <c r="V424" s="1580"/>
      <c r="W424" s="1580"/>
      <c r="X424" s="1580"/>
      <c r="Y424" s="1580"/>
      <c r="Z424" s="1580"/>
    </row>
    <row r="425" spans="1:26" ht="15.75" customHeight="1">
      <c r="A425" s="1580"/>
      <c r="B425" s="1671">
        <f t="shared" si="10"/>
        <v>82</v>
      </c>
      <c r="C425" s="1584" t="s">
        <v>1134</v>
      </c>
      <c r="D425" s="1584" t="s">
        <v>4596</v>
      </c>
      <c r="E425" s="1605">
        <v>43739</v>
      </c>
      <c r="F425" s="1605">
        <v>43770</v>
      </c>
      <c r="G425" s="1606">
        <v>43800</v>
      </c>
      <c r="H425" s="1649">
        <v>1</v>
      </c>
      <c r="I425" s="1580"/>
      <c r="J425" s="1608" t="s">
        <v>4597</v>
      </c>
      <c r="K425" s="1580"/>
      <c r="L425" s="1580"/>
      <c r="M425" s="1580"/>
      <c r="N425" s="1580"/>
      <c r="O425" s="1580"/>
      <c r="P425" s="1580"/>
      <c r="Q425" s="1580"/>
      <c r="R425" s="1580"/>
      <c r="S425" s="1580"/>
      <c r="T425" s="1580"/>
      <c r="U425" s="1580"/>
      <c r="V425" s="1580"/>
      <c r="W425" s="1580"/>
      <c r="X425" s="1580"/>
      <c r="Y425" s="1580"/>
      <c r="Z425" s="1580"/>
    </row>
    <row r="426" spans="1:26" ht="15.75" customHeight="1">
      <c r="A426" s="1580"/>
      <c r="B426" s="1671">
        <f t="shared" si="10"/>
        <v>83</v>
      </c>
      <c r="C426" s="1584" t="s">
        <v>300</v>
      </c>
      <c r="D426" s="1584" t="s">
        <v>1057</v>
      </c>
      <c r="E426" s="1605">
        <v>43739</v>
      </c>
      <c r="F426" s="1605">
        <v>43770</v>
      </c>
      <c r="G426" s="1606">
        <v>43800</v>
      </c>
      <c r="H426" s="1649">
        <v>1</v>
      </c>
      <c r="I426" s="1580"/>
      <c r="J426" s="1608" t="s">
        <v>6244</v>
      </c>
      <c r="K426" s="1580"/>
      <c r="L426" s="1580"/>
      <c r="M426" s="1580"/>
      <c r="N426" s="1580"/>
      <c r="O426" s="1580"/>
      <c r="P426" s="1580"/>
      <c r="Q426" s="1580"/>
      <c r="R426" s="1580"/>
      <c r="S426" s="1580"/>
      <c r="T426" s="1580"/>
      <c r="U426" s="1580"/>
      <c r="V426" s="1580"/>
      <c r="W426" s="1580"/>
      <c r="X426" s="1580"/>
      <c r="Y426" s="1580"/>
      <c r="Z426" s="1580"/>
    </row>
    <row r="427" spans="1:26" ht="15.75" customHeight="1">
      <c r="A427" s="1580"/>
      <c r="B427" s="1671">
        <f t="shared" si="10"/>
        <v>84</v>
      </c>
      <c r="C427" s="1584" t="s">
        <v>2439</v>
      </c>
      <c r="D427" s="1584" t="s">
        <v>2440</v>
      </c>
      <c r="E427" s="1605">
        <v>43739</v>
      </c>
      <c r="F427" s="1605">
        <v>43770</v>
      </c>
      <c r="G427" s="1606">
        <v>43800</v>
      </c>
      <c r="H427" s="1649">
        <v>1</v>
      </c>
      <c r="I427" s="1580"/>
      <c r="J427" s="1608" t="s">
        <v>2441</v>
      </c>
      <c r="K427" s="1580"/>
      <c r="L427" s="1580"/>
      <c r="M427" s="1580"/>
      <c r="N427" s="1580"/>
      <c r="O427" s="1580"/>
      <c r="P427" s="1580"/>
      <c r="Q427" s="1580"/>
      <c r="R427" s="1580"/>
      <c r="S427" s="1580"/>
      <c r="T427" s="1580"/>
      <c r="U427" s="1580"/>
      <c r="V427" s="1580"/>
      <c r="W427" s="1580"/>
      <c r="X427" s="1580"/>
      <c r="Y427" s="1580"/>
      <c r="Z427" s="1580"/>
    </row>
    <row r="428" spans="1:26" ht="15.75" customHeight="1">
      <c r="A428" s="1580"/>
      <c r="B428" s="1671">
        <f t="shared" si="10"/>
        <v>85</v>
      </c>
      <c r="C428" s="1584" t="s">
        <v>3008</v>
      </c>
      <c r="D428" s="1584" t="s">
        <v>6245</v>
      </c>
      <c r="E428" s="1605">
        <v>43739</v>
      </c>
      <c r="F428" s="1605">
        <v>43770</v>
      </c>
      <c r="G428" s="1606">
        <v>43800</v>
      </c>
      <c r="H428" s="1649">
        <v>1</v>
      </c>
      <c r="I428" s="1580"/>
      <c r="J428" s="1608" t="s">
        <v>6246</v>
      </c>
      <c r="K428" s="1580"/>
      <c r="L428" s="1580"/>
      <c r="M428" s="1580"/>
      <c r="N428" s="1580"/>
      <c r="O428" s="1580"/>
      <c r="P428" s="1580"/>
      <c r="Q428" s="1580"/>
      <c r="R428" s="1580"/>
      <c r="S428" s="1580"/>
      <c r="T428" s="1580"/>
      <c r="U428" s="1580"/>
      <c r="V428" s="1580"/>
      <c r="W428" s="1580"/>
      <c r="X428" s="1580"/>
      <c r="Y428" s="1580"/>
      <c r="Z428" s="1580"/>
    </row>
    <row r="429" spans="1:26" ht="15.75" customHeight="1">
      <c r="A429" s="1580"/>
      <c r="B429" s="1671">
        <f t="shared" si="10"/>
        <v>86</v>
      </c>
      <c r="C429" s="1584" t="s">
        <v>595</v>
      </c>
      <c r="D429" s="1584" t="s">
        <v>6247</v>
      </c>
      <c r="E429" s="1605">
        <v>43739</v>
      </c>
      <c r="F429" s="1605">
        <v>43770</v>
      </c>
      <c r="G429" s="1606">
        <v>43800</v>
      </c>
      <c r="H429" s="1649">
        <v>1</v>
      </c>
      <c r="I429" s="1580"/>
      <c r="J429" s="1609" t="s">
        <v>6248</v>
      </c>
      <c r="K429" s="1580"/>
      <c r="L429" s="1580"/>
      <c r="M429" s="1580"/>
      <c r="N429" s="1580"/>
      <c r="O429" s="1580"/>
      <c r="P429" s="1580"/>
      <c r="Q429" s="1580"/>
      <c r="R429" s="1580"/>
      <c r="S429" s="1580"/>
      <c r="T429" s="1580"/>
      <c r="U429" s="1580"/>
      <c r="V429" s="1580"/>
      <c r="W429" s="1580"/>
      <c r="X429" s="1580"/>
      <c r="Y429" s="1580"/>
      <c r="Z429" s="1580"/>
    </row>
    <row r="430" spans="1:26" ht="15.75" customHeight="1">
      <c r="A430" s="1580"/>
      <c r="B430" s="1671">
        <f t="shared" si="10"/>
        <v>87</v>
      </c>
      <c r="C430" s="1584" t="s">
        <v>246</v>
      </c>
      <c r="D430" s="1584" t="s">
        <v>5979</v>
      </c>
      <c r="E430" s="1580"/>
      <c r="F430" s="1580"/>
      <c r="G430" s="1630">
        <v>43800</v>
      </c>
      <c r="H430" s="1692"/>
      <c r="I430" s="1580" t="s">
        <v>5806</v>
      </c>
      <c r="J430" s="1609" t="s">
        <v>5980</v>
      </c>
      <c r="K430" s="1580"/>
      <c r="L430" s="1580"/>
      <c r="M430" s="1580"/>
      <c r="N430" s="1580"/>
      <c r="O430" s="1580"/>
      <c r="P430" s="1580"/>
      <c r="Q430" s="1580"/>
      <c r="R430" s="1580"/>
      <c r="S430" s="1580"/>
      <c r="T430" s="1580"/>
      <c r="U430" s="1580"/>
      <c r="V430" s="1580"/>
      <c r="W430" s="1580"/>
      <c r="X430" s="1580"/>
      <c r="Y430" s="1580"/>
      <c r="Z430" s="1580"/>
    </row>
    <row r="431" spans="1:26" ht="15.75" customHeight="1">
      <c r="A431" s="1580"/>
      <c r="B431" s="1671">
        <f t="shared" si="10"/>
        <v>88</v>
      </c>
      <c r="C431" s="1584" t="s">
        <v>4506</v>
      </c>
      <c r="D431" s="1584" t="s">
        <v>4507</v>
      </c>
      <c r="E431" s="1580"/>
      <c r="F431" s="1638">
        <v>43770</v>
      </c>
      <c r="G431" s="1630">
        <v>43800</v>
      </c>
      <c r="H431" s="1692"/>
      <c r="I431" s="1580"/>
      <c r="J431" s="1609" t="s">
        <v>6249</v>
      </c>
      <c r="K431" s="1580"/>
      <c r="L431" s="1580"/>
      <c r="M431" s="1580"/>
      <c r="N431" s="1580"/>
      <c r="O431" s="1580"/>
      <c r="P431" s="1580"/>
      <c r="Q431" s="1580"/>
      <c r="R431" s="1580"/>
      <c r="S431" s="1580"/>
      <c r="T431" s="1580"/>
      <c r="U431" s="1580"/>
      <c r="V431" s="1580"/>
      <c r="W431" s="1580"/>
      <c r="X431" s="1580"/>
      <c r="Y431" s="1580"/>
      <c r="Z431" s="1580"/>
    </row>
    <row r="432" spans="1:26" ht="15.75" customHeight="1">
      <c r="A432" s="1580"/>
      <c r="B432" s="1671">
        <f t="shared" si="10"/>
        <v>89</v>
      </c>
      <c r="C432" s="1584" t="s">
        <v>246</v>
      </c>
      <c r="D432" s="1584" t="s">
        <v>2448</v>
      </c>
      <c r="E432" s="1605">
        <v>43739</v>
      </c>
      <c r="F432" s="1605">
        <v>43770</v>
      </c>
      <c r="G432" s="1606">
        <v>43800</v>
      </c>
      <c r="H432" s="1649">
        <v>1</v>
      </c>
      <c r="I432" s="1580" t="s">
        <v>5806</v>
      </c>
      <c r="J432" s="1609" t="s">
        <v>5983</v>
      </c>
      <c r="K432" s="1580"/>
      <c r="L432" s="1580"/>
      <c r="M432" s="1580"/>
      <c r="N432" s="1580"/>
      <c r="O432" s="1580"/>
      <c r="P432" s="1580"/>
      <c r="Q432" s="1580"/>
      <c r="R432" s="1580"/>
      <c r="S432" s="1580"/>
      <c r="T432" s="1580"/>
      <c r="U432" s="1580"/>
      <c r="V432" s="1580"/>
      <c r="W432" s="1580"/>
      <c r="X432" s="1580"/>
      <c r="Y432" s="1580"/>
      <c r="Z432" s="1580"/>
    </row>
    <row r="433" spans="1:26" ht="15.75" customHeight="1">
      <c r="A433" s="1580"/>
      <c r="B433" s="1671">
        <f t="shared" si="10"/>
        <v>90</v>
      </c>
      <c r="C433" s="1584" t="s">
        <v>166</v>
      </c>
      <c r="D433" s="1584" t="s">
        <v>5893</v>
      </c>
      <c r="E433" s="1638">
        <v>43739</v>
      </c>
      <c r="F433" s="1638">
        <v>43770</v>
      </c>
      <c r="G433" s="1660"/>
      <c r="H433" s="1692"/>
      <c r="I433" s="1580" t="s">
        <v>5806</v>
      </c>
      <c r="J433" s="1609" t="s">
        <v>5894</v>
      </c>
      <c r="K433" s="1580"/>
      <c r="L433" s="1580"/>
      <c r="M433" s="1580"/>
      <c r="N433" s="1580"/>
      <c r="O433" s="1580"/>
      <c r="P433" s="1580"/>
      <c r="Q433" s="1580"/>
      <c r="R433" s="1580"/>
      <c r="S433" s="1580"/>
      <c r="T433" s="1580"/>
      <c r="U433" s="1580"/>
      <c r="V433" s="1580"/>
      <c r="W433" s="1580"/>
      <c r="X433" s="1580"/>
      <c r="Y433" s="1580"/>
      <c r="Z433" s="1580"/>
    </row>
    <row r="434" spans="1:26" ht="15.75" customHeight="1">
      <c r="A434" s="1580"/>
      <c r="B434" s="1671">
        <f t="shared" si="10"/>
        <v>91</v>
      </c>
      <c r="C434" s="1584" t="s">
        <v>622</v>
      </c>
      <c r="D434" s="1584" t="s">
        <v>6250</v>
      </c>
      <c r="E434" s="1585"/>
      <c r="F434" s="1585"/>
      <c r="G434" s="1615">
        <v>43800</v>
      </c>
      <c r="H434" s="1692"/>
      <c r="I434" s="1580"/>
      <c r="J434" s="1609" t="s">
        <v>6251</v>
      </c>
      <c r="K434" s="1580"/>
      <c r="L434" s="1580"/>
      <c r="M434" s="1580"/>
      <c r="N434" s="1580"/>
      <c r="O434" s="1580"/>
      <c r="P434" s="1580"/>
      <c r="Q434" s="1580"/>
      <c r="R434" s="1580"/>
      <c r="S434" s="1580"/>
      <c r="T434" s="1580"/>
      <c r="U434" s="1580"/>
      <c r="V434" s="1580"/>
      <c r="W434" s="1580"/>
      <c r="X434" s="1580"/>
      <c r="Y434" s="1580"/>
      <c r="Z434" s="1580"/>
    </row>
    <row r="435" spans="1:26" ht="15.75" customHeight="1">
      <c r="A435" s="1580"/>
      <c r="B435" s="1671">
        <f t="shared" si="10"/>
        <v>92</v>
      </c>
      <c r="C435" s="1584" t="s">
        <v>2668</v>
      </c>
      <c r="D435" s="1584" t="s">
        <v>6252</v>
      </c>
      <c r="E435" s="1605">
        <v>43739</v>
      </c>
      <c r="F435" s="1605">
        <v>43770</v>
      </c>
      <c r="G435" s="1606">
        <v>43800</v>
      </c>
      <c r="H435" s="1649">
        <v>1</v>
      </c>
      <c r="I435" s="1580"/>
      <c r="J435" s="1608" t="s">
        <v>5882</v>
      </c>
      <c r="K435" s="1580"/>
      <c r="L435" s="1580"/>
      <c r="M435" s="1580"/>
      <c r="N435" s="1580"/>
      <c r="O435" s="1580"/>
      <c r="P435" s="1580"/>
      <c r="Q435" s="1580"/>
      <c r="R435" s="1580"/>
      <c r="S435" s="1580"/>
      <c r="T435" s="1580"/>
      <c r="U435" s="1580"/>
      <c r="V435" s="1580"/>
      <c r="W435" s="1580"/>
      <c r="X435" s="1580"/>
      <c r="Y435" s="1580"/>
      <c r="Z435" s="1580"/>
    </row>
    <row r="436" spans="1:26" ht="15.75" customHeight="1">
      <c r="A436" s="1580"/>
      <c r="B436" s="1671">
        <f t="shared" si="10"/>
        <v>93</v>
      </c>
      <c r="C436" s="1584" t="s">
        <v>204</v>
      </c>
      <c r="D436" s="1584" t="s">
        <v>6126</v>
      </c>
      <c r="E436" s="1638">
        <v>43739</v>
      </c>
      <c r="F436" s="1638">
        <v>43770</v>
      </c>
      <c r="G436" s="1660"/>
      <c r="H436" s="1692"/>
      <c r="I436" s="1580" t="s">
        <v>5806</v>
      </c>
      <c r="J436" s="1608" t="s">
        <v>6127</v>
      </c>
      <c r="K436" s="1580"/>
      <c r="L436" s="1580"/>
      <c r="M436" s="1580"/>
      <c r="N436" s="1580"/>
      <c r="O436" s="1580"/>
      <c r="P436" s="1580"/>
      <c r="Q436" s="1580"/>
      <c r="R436" s="1580"/>
      <c r="S436" s="1580"/>
      <c r="T436" s="1580"/>
      <c r="U436" s="1580"/>
      <c r="V436" s="1580"/>
      <c r="W436" s="1580"/>
      <c r="X436" s="1580"/>
      <c r="Y436" s="1580"/>
      <c r="Z436" s="1580"/>
    </row>
    <row r="437" spans="1:26" ht="15.75" customHeight="1">
      <c r="A437" s="1580"/>
      <c r="B437" s="1671">
        <f t="shared" si="10"/>
        <v>94</v>
      </c>
      <c r="C437" s="1584" t="s">
        <v>141</v>
      </c>
      <c r="D437" s="1584" t="s">
        <v>3037</v>
      </c>
      <c r="E437" s="1638">
        <v>43739</v>
      </c>
      <c r="F437" s="1638">
        <v>43770</v>
      </c>
      <c r="G437" s="1660"/>
      <c r="H437" s="1692"/>
      <c r="I437" s="1580"/>
      <c r="J437" s="1608" t="s">
        <v>3038</v>
      </c>
      <c r="K437" s="1580"/>
      <c r="L437" s="1580"/>
      <c r="M437" s="1580"/>
      <c r="N437" s="1580"/>
      <c r="O437" s="1580"/>
      <c r="P437" s="1580"/>
      <c r="Q437" s="1580"/>
      <c r="R437" s="1580"/>
      <c r="S437" s="1580"/>
      <c r="T437" s="1580"/>
      <c r="U437" s="1580"/>
      <c r="V437" s="1580"/>
      <c r="W437" s="1580"/>
      <c r="X437" s="1580"/>
      <c r="Y437" s="1580"/>
      <c r="Z437" s="1580"/>
    </row>
    <row r="438" spans="1:26" ht="15.75" customHeight="1">
      <c r="A438" s="1580"/>
      <c r="B438" s="1671">
        <f t="shared" si="10"/>
        <v>95</v>
      </c>
      <c r="C438" s="1584" t="s">
        <v>595</v>
      </c>
      <c r="D438" s="1584" t="s">
        <v>5039</v>
      </c>
      <c r="E438" s="1605">
        <v>43739</v>
      </c>
      <c r="F438" s="1605">
        <v>43770</v>
      </c>
      <c r="G438" s="1606">
        <v>43800</v>
      </c>
      <c r="H438" s="1649">
        <v>1</v>
      </c>
      <c r="I438" s="1580"/>
      <c r="J438" s="1609" t="s">
        <v>6253</v>
      </c>
      <c r="K438" s="1580"/>
      <c r="L438" s="1580"/>
      <c r="M438" s="1580"/>
      <c r="N438" s="1580"/>
      <c r="O438" s="1580"/>
      <c r="P438" s="1580"/>
      <c r="Q438" s="1580"/>
      <c r="R438" s="1580"/>
      <c r="S438" s="1580"/>
      <c r="T438" s="1580"/>
      <c r="U438" s="1580"/>
      <c r="V438" s="1580"/>
      <c r="W438" s="1580"/>
      <c r="X438" s="1580"/>
      <c r="Y438" s="1580"/>
      <c r="Z438" s="1580"/>
    </row>
    <row r="439" spans="1:26" ht="15.75" customHeight="1">
      <c r="A439" s="1580"/>
      <c r="B439" s="1671">
        <f t="shared" si="10"/>
        <v>96</v>
      </c>
      <c r="C439" s="1584" t="s">
        <v>321</v>
      </c>
      <c r="D439" s="1584" t="s">
        <v>6254</v>
      </c>
      <c r="E439" s="1605">
        <v>43739</v>
      </c>
      <c r="F439" s="1605">
        <v>43770</v>
      </c>
      <c r="G439" s="1606">
        <v>43800</v>
      </c>
      <c r="H439" s="1649">
        <v>1</v>
      </c>
      <c r="I439" s="1580"/>
      <c r="J439" s="1609" t="s">
        <v>6255</v>
      </c>
      <c r="K439" s="1580"/>
      <c r="L439" s="1580"/>
      <c r="M439" s="1580"/>
      <c r="N439" s="1580"/>
      <c r="O439" s="1580"/>
      <c r="P439" s="1580"/>
      <c r="Q439" s="1580"/>
      <c r="R439" s="1580"/>
      <c r="S439" s="1580"/>
      <c r="T439" s="1580"/>
      <c r="U439" s="1580"/>
      <c r="V439" s="1580"/>
      <c r="W439" s="1580"/>
      <c r="X439" s="1580"/>
      <c r="Y439" s="1580"/>
      <c r="Z439" s="1580"/>
    </row>
    <row r="440" spans="1:26" ht="15.75" customHeight="1">
      <c r="A440" s="1580"/>
      <c r="B440" s="1671">
        <f t="shared" si="10"/>
        <v>97</v>
      </c>
      <c r="C440" s="1584" t="s">
        <v>407</v>
      </c>
      <c r="D440" s="1584" t="s">
        <v>6256</v>
      </c>
      <c r="E440" s="1605">
        <v>43739</v>
      </c>
      <c r="F440" s="1605">
        <v>43770</v>
      </c>
      <c r="G440" s="1606">
        <v>43800</v>
      </c>
      <c r="H440" s="1649">
        <v>1</v>
      </c>
      <c r="I440" s="1580"/>
      <c r="J440" s="1608" t="s">
        <v>6257</v>
      </c>
      <c r="K440" s="1580"/>
      <c r="L440" s="1580"/>
      <c r="M440" s="1580"/>
      <c r="N440" s="1580"/>
      <c r="O440" s="1580"/>
      <c r="P440" s="1580"/>
      <c r="Q440" s="1580"/>
      <c r="R440" s="1580"/>
      <c r="S440" s="1580"/>
      <c r="T440" s="1580"/>
      <c r="U440" s="1580"/>
      <c r="V440" s="1580"/>
      <c r="W440" s="1580"/>
      <c r="X440" s="1580"/>
      <c r="Y440" s="1580"/>
      <c r="Z440" s="1580"/>
    </row>
    <row r="441" spans="1:26" ht="15.75" customHeight="1">
      <c r="A441" s="1580"/>
      <c r="B441" s="1671">
        <f t="shared" si="10"/>
        <v>98</v>
      </c>
      <c r="C441" s="1584" t="s">
        <v>290</v>
      </c>
      <c r="D441" s="1584" t="s">
        <v>5826</v>
      </c>
      <c r="E441" s="1638">
        <v>43739</v>
      </c>
      <c r="F441" s="1638">
        <v>43770</v>
      </c>
      <c r="G441" s="1660"/>
      <c r="H441" s="1692"/>
      <c r="I441" s="1584" t="s">
        <v>5806</v>
      </c>
      <c r="J441" s="1609" t="s">
        <v>5827</v>
      </c>
      <c r="K441" s="1580"/>
      <c r="L441" s="1580"/>
      <c r="M441" s="1580"/>
      <c r="N441" s="1580"/>
      <c r="O441" s="1580"/>
      <c r="P441" s="1580"/>
      <c r="Q441" s="1580"/>
      <c r="R441" s="1580"/>
      <c r="S441" s="1580"/>
      <c r="T441" s="1580"/>
      <c r="U441" s="1580"/>
      <c r="V441" s="1580"/>
      <c r="W441" s="1580"/>
      <c r="X441" s="1580"/>
      <c r="Y441" s="1580"/>
      <c r="Z441" s="1580"/>
    </row>
    <row r="442" spans="1:26" ht="15.75" customHeight="1">
      <c r="A442" s="1580"/>
      <c r="B442" s="1671">
        <f t="shared" si="10"/>
        <v>99</v>
      </c>
      <c r="C442" s="1584" t="s">
        <v>6258</v>
      </c>
      <c r="D442" s="1584" t="s">
        <v>6259</v>
      </c>
      <c r="E442" s="1585"/>
      <c r="F442" s="1585"/>
      <c r="G442" s="1615">
        <v>43800</v>
      </c>
      <c r="H442" s="1692"/>
      <c r="I442" s="1580"/>
      <c r="J442" s="1609" t="s">
        <v>6260</v>
      </c>
      <c r="K442" s="1580"/>
      <c r="L442" s="1580"/>
      <c r="M442" s="1580"/>
      <c r="N442" s="1580"/>
      <c r="O442" s="1580"/>
      <c r="P442" s="1580"/>
      <c r="Q442" s="1580"/>
      <c r="R442" s="1580"/>
      <c r="S442" s="1580"/>
      <c r="T442" s="1580"/>
      <c r="U442" s="1580"/>
      <c r="V442" s="1580"/>
      <c r="W442" s="1580"/>
      <c r="X442" s="1580"/>
      <c r="Y442" s="1580"/>
      <c r="Z442" s="1580"/>
    </row>
    <row r="443" spans="1:26" ht="15.75" customHeight="1">
      <c r="A443" s="1580"/>
      <c r="B443" s="1671">
        <f t="shared" si="10"/>
        <v>100</v>
      </c>
      <c r="C443" s="1584" t="s">
        <v>451</v>
      </c>
      <c r="D443" s="1584" t="s">
        <v>5989</v>
      </c>
      <c r="E443" s="1605">
        <v>43739</v>
      </c>
      <c r="F443" s="1605">
        <v>43770</v>
      </c>
      <c r="G443" s="1606">
        <v>43800</v>
      </c>
      <c r="H443" s="1649">
        <v>1</v>
      </c>
      <c r="I443" s="1580" t="s">
        <v>5806</v>
      </c>
      <c r="J443" s="1609" t="s">
        <v>5990</v>
      </c>
      <c r="K443" s="1580"/>
      <c r="L443" s="1580"/>
      <c r="M443" s="1580"/>
      <c r="N443" s="1580"/>
      <c r="O443" s="1580"/>
      <c r="P443" s="1580"/>
      <c r="Q443" s="1580"/>
      <c r="R443" s="1580"/>
      <c r="S443" s="1580"/>
      <c r="T443" s="1580"/>
      <c r="U443" s="1580"/>
      <c r="V443" s="1580"/>
      <c r="W443" s="1580"/>
      <c r="X443" s="1580"/>
      <c r="Y443" s="1580"/>
      <c r="Z443" s="1580"/>
    </row>
    <row r="444" spans="1:26" ht="15.75" customHeight="1">
      <c r="A444" s="1580"/>
      <c r="B444" s="1671">
        <f t="shared" si="10"/>
        <v>101</v>
      </c>
      <c r="C444" s="1584" t="s">
        <v>6261</v>
      </c>
      <c r="D444" s="1584" t="s">
        <v>6262</v>
      </c>
      <c r="E444" s="1605">
        <v>43739</v>
      </c>
      <c r="F444" s="1605">
        <v>43770</v>
      </c>
      <c r="G444" s="1606">
        <v>43800</v>
      </c>
      <c r="H444" s="1649">
        <v>1</v>
      </c>
      <c r="I444" s="1580"/>
      <c r="J444" s="1609" t="s">
        <v>6263</v>
      </c>
      <c r="K444" s="1580"/>
      <c r="L444" s="1580"/>
      <c r="M444" s="1580"/>
      <c r="N444" s="1580"/>
      <c r="O444" s="1580"/>
      <c r="P444" s="1580"/>
      <c r="Q444" s="1580"/>
      <c r="R444" s="1580"/>
      <c r="S444" s="1580"/>
      <c r="T444" s="1580"/>
      <c r="U444" s="1580"/>
      <c r="V444" s="1580"/>
      <c r="W444" s="1580"/>
      <c r="X444" s="1580"/>
      <c r="Y444" s="1580"/>
      <c r="Z444" s="1580"/>
    </row>
    <row r="445" spans="1:26" ht="15.75" customHeight="1">
      <c r="A445" s="1580"/>
      <c r="B445" s="1671">
        <f t="shared" si="10"/>
        <v>102</v>
      </c>
      <c r="C445" s="1584" t="s">
        <v>861</v>
      </c>
      <c r="D445" s="1584" t="s">
        <v>5021</v>
      </c>
      <c r="E445" s="1580"/>
      <c r="F445" s="1638">
        <v>43770</v>
      </c>
      <c r="G445" s="1630">
        <v>43800</v>
      </c>
      <c r="H445" s="1692"/>
      <c r="I445" s="1580"/>
      <c r="J445" s="1608" t="s">
        <v>5022</v>
      </c>
      <c r="K445" s="1580"/>
      <c r="L445" s="1580"/>
      <c r="M445" s="1580"/>
      <c r="N445" s="1580"/>
      <c r="O445" s="1580"/>
      <c r="P445" s="1580"/>
      <c r="Q445" s="1580"/>
      <c r="R445" s="1580"/>
      <c r="S445" s="1580"/>
      <c r="T445" s="1580"/>
      <c r="U445" s="1580"/>
      <c r="V445" s="1580"/>
      <c r="W445" s="1580"/>
      <c r="X445" s="1580"/>
      <c r="Y445" s="1580"/>
      <c r="Z445" s="1580"/>
    </row>
    <row r="446" spans="1:26" ht="15.75" customHeight="1">
      <c r="A446" s="1580"/>
      <c r="B446" s="1671">
        <f t="shared" si="10"/>
        <v>103</v>
      </c>
      <c r="C446" s="1584" t="s">
        <v>3973</v>
      </c>
      <c r="D446" s="1584" t="s">
        <v>6264</v>
      </c>
      <c r="E446" s="1605">
        <v>43739</v>
      </c>
      <c r="F446" s="1605">
        <v>43770</v>
      </c>
      <c r="G446" s="1606">
        <v>43800</v>
      </c>
      <c r="H446" s="1649">
        <v>1</v>
      </c>
      <c r="I446" s="1580"/>
      <c r="J446" s="1609" t="s">
        <v>6265</v>
      </c>
      <c r="K446" s="1580"/>
      <c r="L446" s="1580"/>
      <c r="M446" s="1580"/>
      <c r="N446" s="1580"/>
      <c r="O446" s="1580"/>
      <c r="P446" s="1580"/>
      <c r="Q446" s="1580"/>
      <c r="R446" s="1580"/>
      <c r="S446" s="1580"/>
      <c r="T446" s="1580"/>
      <c r="U446" s="1580"/>
      <c r="V446" s="1580"/>
      <c r="W446" s="1580"/>
      <c r="X446" s="1580"/>
      <c r="Y446" s="1580"/>
      <c r="Z446" s="1580"/>
    </row>
    <row r="447" spans="1:26" ht="15.75" customHeight="1">
      <c r="A447" s="1580"/>
      <c r="B447" s="1671">
        <f t="shared" si="10"/>
        <v>104</v>
      </c>
      <c r="C447" s="1584" t="s">
        <v>6266</v>
      </c>
      <c r="D447" s="1584" t="s">
        <v>6267</v>
      </c>
      <c r="E447" s="1585"/>
      <c r="F447" s="1585"/>
      <c r="G447" s="1615">
        <v>43800</v>
      </c>
      <c r="H447" s="1692"/>
      <c r="I447" s="1580"/>
      <c r="J447" s="1609" t="s">
        <v>6268</v>
      </c>
      <c r="K447" s="1580"/>
      <c r="L447" s="1580"/>
      <c r="M447" s="1580"/>
      <c r="N447" s="1580"/>
      <c r="O447" s="1580"/>
      <c r="P447" s="1580"/>
      <c r="Q447" s="1580"/>
      <c r="R447" s="1580"/>
      <c r="S447" s="1580"/>
      <c r="T447" s="1580"/>
      <c r="U447" s="1580"/>
      <c r="V447" s="1580"/>
      <c r="W447" s="1580"/>
      <c r="X447" s="1580"/>
      <c r="Y447" s="1580"/>
      <c r="Z447" s="1580"/>
    </row>
    <row r="448" spans="1:26" ht="15.75" customHeight="1">
      <c r="A448" s="1580"/>
      <c r="B448" s="1671">
        <f t="shared" si="10"/>
        <v>105</v>
      </c>
      <c r="C448" s="1584" t="s">
        <v>4611</v>
      </c>
      <c r="D448" s="1584" t="s">
        <v>4612</v>
      </c>
      <c r="E448" s="1605">
        <v>43739</v>
      </c>
      <c r="F448" s="1605">
        <v>43770</v>
      </c>
      <c r="G448" s="1606">
        <v>43800</v>
      </c>
      <c r="H448" s="1649">
        <v>1</v>
      </c>
      <c r="I448" s="1580"/>
      <c r="J448" s="1609" t="s">
        <v>4613</v>
      </c>
      <c r="K448" s="1580"/>
      <c r="L448" s="1580"/>
      <c r="M448" s="1580"/>
      <c r="N448" s="1580"/>
      <c r="O448" s="1580"/>
      <c r="P448" s="1580"/>
      <c r="Q448" s="1580"/>
      <c r="R448" s="1580"/>
      <c r="S448" s="1580"/>
      <c r="T448" s="1580"/>
      <c r="U448" s="1580"/>
      <c r="V448" s="1580"/>
      <c r="W448" s="1580"/>
      <c r="X448" s="1580"/>
      <c r="Y448" s="1580"/>
      <c r="Z448" s="1580"/>
    </row>
    <row r="449" spans="1:26" ht="15.75" customHeight="1">
      <c r="A449" s="1580"/>
      <c r="B449" s="1693">
        <f t="shared" si="10"/>
        <v>106</v>
      </c>
      <c r="C449" s="1617" t="s">
        <v>895</v>
      </c>
      <c r="D449" s="1617" t="s">
        <v>6269</v>
      </c>
      <c r="E449" s="1619">
        <v>43739</v>
      </c>
      <c r="F449" s="1619">
        <v>43770</v>
      </c>
      <c r="G449" s="1620">
        <v>43770</v>
      </c>
      <c r="H449" s="1694">
        <v>1</v>
      </c>
      <c r="I449" s="1681"/>
      <c r="J449" s="1631" t="s">
        <v>6270</v>
      </c>
      <c r="K449" s="1580"/>
      <c r="L449" s="1580"/>
      <c r="M449" s="1580"/>
      <c r="N449" s="1580"/>
      <c r="O449" s="1580"/>
      <c r="P449" s="1580"/>
      <c r="Q449" s="1580"/>
      <c r="R449" s="1580"/>
      <c r="S449" s="1580"/>
      <c r="T449" s="1580"/>
      <c r="U449" s="1580"/>
      <c r="V449" s="1580"/>
      <c r="W449" s="1580"/>
      <c r="X449" s="1580"/>
      <c r="Y449" s="1580"/>
      <c r="Z449" s="1580"/>
    </row>
    <row r="450" spans="1:26" ht="15.75" customHeight="1">
      <c r="A450" s="1580"/>
      <c r="B450" s="1580"/>
      <c r="C450" s="1584"/>
      <c r="D450" s="1584"/>
      <c r="E450" s="1638"/>
      <c r="F450" s="1638"/>
      <c r="G450" s="1638"/>
      <c r="H450" s="1580"/>
      <c r="I450" s="1580"/>
      <c r="J450" s="1584"/>
      <c r="K450" s="1580"/>
      <c r="L450" s="1580"/>
      <c r="M450" s="1580"/>
      <c r="N450" s="1580"/>
      <c r="O450" s="1580"/>
      <c r="P450" s="1580"/>
      <c r="Q450" s="1580"/>
      <c r="R450" s="1580"/>
      <c r="S450" s="1580"/>
      <c r="T450" s="1580"/>
      <c r="U450" s="1580"/>
      <c r="V450" s="1580"/>
      <c r="W450" s="1580"/>
      <c r="X450" s="1580"/>
      <c r="Y450" s="1580"/>
      <c r="Z450" s="1580"/>
    </row>
    <row r="451" spans="1:26" ht="15.75" customHeight="1">
      <c r="A451" s="1580"/>
      <c r="B451" s="1580"/>
      <c r="C451" s="1580"/>
      <c r="D451" s="1580"/>
      <c r="E451" s="1580"/>
      <c r="F451" s="1580"/>
      <c r="G451" s="1580"/>
      <c r="H451" s="1580"/>
      <c r="I451" s="1580"/>
      <c r="J451" s="1584"/>
      <c r="K451" s="1580"/>
      <c r="L451" s="1580"/>
      <c r="M451" s="1580"/>
      <c r="N451" s="1580"/>
      <c r="O451" s="1580"/>
      <c r="P451" s="1580"/>
      <c r="Q451" s="1580"/>
      <c r="R451" s="1580"/>
      <c r="S451" s="1580"/>
      <c r="T451" s="1580"/>
      <c r="U451" s="1580"/>
      <c r="V451" s="1580"/>
      <c r="W451" s="1580"/>
      <c r="X451" s="1580"/>
      <c r="Y451" s="1580"/>
      <c r="Z451" s="1580"/>
    </row>
    <row r="452" spans="1:26" ht="15.75" customHeight="1">
      <c r="A452" s="1580"/>
      <c r="B452" s="1580"/>
      <c r="C452" s="1580"/>
      <c r="D452" s="1580"/>
      <c r="E452" s="1580"/>
      <c r="F452" s="1580"/>
      <c r="G452" s="1580"/>
      <c r="H452" s="1580"/>
      <c r="I452" s="1580"/>
      <c r="J452" s="1584"/>
      <c r="K452" s="1580"/>
      <c r="L452" s="1580"/>
      <c r="M452" s="1580"/>
      <c r="N452" s="1580"/>
      <c r="O452" s="1580"/>
      <c r="P452" s="1580"/>
      <c r="Q452" s="1580"/>
      <c r="R452" s="1580"/>
      <c r="S452" s="1580"/>
      <c r="T452" s="1580"/>
      <c r="U452" s="1580"/>
      <c r="V452" s="1580"/>
      <c r="W452" s="1580"/>
      <c r="X452" s="1580"/>
      <c r="Y452" s="1580"/>
      <c r="Z452" s="1580"/>
    </row>
    <row r="453" spans="1:26" ht="15.75" customHeight="1">
      <c r="A453" s="1580"/>
      <c r="B453" s="1580"/>
      <c r="C453" s="1580"/>
      <c r="D453" s="1580"/>
      <c r="E453" s="1580"/>
      <c r="F453" s="1580"/>
      <c r="G453" s="1580"/>
      <c r="H453" s="1580"/>
      <c r="I453" s="1580"/>
      <c r="J453" s="1584"/>
      <c r="K453" s="1580"/>
      <c r="L453" s="1580"/>
      <c r="M453" s="1580"/>
      <c r="N453" s="1580"/>
      <c r="O453" s="1580"/>
      <c r="P453" s="1580"/>
      <c r="Q453" s="1580"/>
      <c r="R453" s="1580"/>
      <c r="S453" s="1580"/>
      <c r="T453" s="1580"/>
      <c r="U453" s="1580"/>
      <c r="V453" s="1580"/>
      <c r="W453" s="1580"/>
      <c r="X453" s="1580"/>
      <c r="Y453" s="1580"/>
      <c r="Z453" s="1580"/>
    </row>
    <row r="454" spans="1:26" ht="15.75" customHeight="1">
      <c r="A454" s="1580"/>
      <c r="B454" s="1580"/>
      <c r="C454" s="1580"/>
      <c r="D454" s="1580"/>
      <c r="E454" s="1580"/>
      <c r="F454" s="1580"/>
      <c r="G454" s="1580"/>
      <c r="H454" s="1580"/>
      <c r="I454" s="1580"/>
      <c r="J454" s="1584"/>
      <c r="K454" s="1580"/>
      <c r="L454" s="1580"/>
      <c r="M454" s="1580"/>
      <c r="N454" s="1580"/>
      <c r="O454" s="1580"/>
      <c r="P454" s="1580"/>
      <c r="Q454" s="1580"/>
      <c r="R454" s="1580"/>
      <c r="S454" s="1580"/>
      <c r="T454" s="1580"/>
      <c r="U454" s="1580"/>
      <c r="V454" s="1580"/>
      <c r="W454" s="1580"/>
      <c r="X454" s="1580"/>
      <c r="Y454" s="1580"/>
      <c r="Z454" s="1580"/>
    </row>
    <row r="455" spans="1:26" ht="15.75" customHeight="1">
      <c r="A455" s="1580"/>
      <c r="B455" s="1580"/>
      <c r="C455" s="1580"/>
      <c r="D455" s="1580"/>
      <c r="E455" s="1580"/>
      <c r="F455" s="1580"/>
      <c r="G455" s="1580"/>
      <c r="H455" s="1580"/>
      <c r="I455" s="1580"/>
      <c r="J455" s="1584"/>
      <c r="K455" s="1580"/>
      <c r="L455" s="1580"/>
      <c r="M455" s="1580"/>
      <c r="N455" s="1580"/>
      <c r="O455" s="1580"/>
      <c r="P455" s="1580"/>
      <c r="Q455" s="1580"/>
      <c r="R455" s="1580"/>
      <c r="S455" s="1580"/>
      <c r="T455" s="1580"/>
      <c r="U455" s="1580"/>
      <c r="V455" s="1580"/>
      <c r="W455" s="1580"/>
      <c r="X455" s="1580"/>
      <c r="Y455" s="1580"/>
      <c r="Z455" s="1580"/>
    </row>
    <row r="456" spans="1:26" ht="15.75" customHeight="1">
      <c r="A456" s="1580"/>
      <c r="B456" s="1580"/>
      <c r="C456" s="1580"/>
      <c r="D456" s="1580"/>
      <c r="E456" s="1580"/>
      <c r="F456" s="1580"/>
      <c r="G456" s="1580"/>
      <c r="H456" s="1580"/>
      <c r="I456" s="1580"/>
      <c r="J456" s="1584"/>
      <c r="K456" s="1580"/>
      <c r="L456" s="1580"/>
      <c r="M456" s="1580"/>
      <c r="N456" s="1580"/>
      <c r="O456" s="1580"/>
      <c r="P456" s="1580"/>
      <c r="Q456" s="1580"/>
      <c r="R456" s="1580"/>
      <c r="S456" s="1580"/>
      <c r="T456" s="1580"/>
      <c r="U456" s="1580"/>
      <c r="V456" s="1580"/>
      <c r="W456" s="1580"/>
      <c r="X456" s="1580"/>
      <c r="Y456" s="1580"/>
      <c r="Z456" s="1580"/>
    </row>
    <row r="457" spans="1:26" ht="15.75" customHeight="1">
      <c r="A457" s="1580"/>
      <c r="B457" s="1580"/>
      <c r="C457" s="1580"/>
      <c r="D457" s="1580"/>
      <c r="E457" s="1580"/>
      <c r="F457" s="1580"/>
      <c r="G457" s="1580"/>
      <c r="H457" s="1580"/>
      <c r="I457" s="1580"/>
      <c r="J457" s="1584"/>
      <c r="K457" s="1580"/>
      <c r="L457" s="1580"/>
      <c r="M457" s="1580"/>
      <c r="N457" s="1580"/>
      <c r="O457" s="1580"/>
      <c r="P457" s="1580"/>
      <c r="Q457" s="1580"/>
      <c r="R457" s="1580"/>
      <c r="S457" s="1580"/>
      <c r="T457" s="1580"/>
      <c r="U457" s="1580"/>
      <c r="V457" s="1580"/>
      <c r="W457" s="1580"/>
      <c r="X457" s="1580"/>
      <c r="Y457" s="1580"/>
      <c r="Z457" s="1580"/>
    </row>
    <row r="458" spans="1:26" ht="15.75" customHeight="1">
      <c r="A458" s="1580"/>
      <c r="B458" s="1580"/>
      <c r="C458" s="1580"/>
      <c r="D458" s="1580"/>
      <c r="E458" s="1580"/>
      <c r="F458" s="1580"/>
      <c r="G458" s="1580"/>
      <c r="H458" s="1580"/>
      <c r="I458" s="1580"/>
      <c r="J458" s="1584"/>
      <c r="K458" s="1580"/>
      <c r="L458" s="1580"/>
      <c r="M458" s="1580"/>
      <c r="N458" s="1580"/>
      <c r="O458" s="1580"/>
      <c r="P458" s="1580"/>
      <c r="Q458" s="1580"/>
      <c r="R458" s="1580"/>
      <c r="S458" s="1580"/>
      <c r="T458" s="1580"/>
      <c r="U458" s="1580"/>
      <c r="V458" s="1580"/>
      <c r="W458" s="1580"/>
      <c r="X458" s="1580"/>
      <c r="Y458" s="1580"/>
      <c r="Z458" s="1580"/>
    </row>
    <row r="459" spans="1:26" ht="15.75" customHeight="1">
      <c r="A459" s="1580"/>
      <c r="B459" s="1580"/>
      <c r="C459" s="1580"/>
      <c r="D459" s="1580"/>
      <c r="E459" s="1580"/>
      <c r="F459" s="1580"/>
      <c r="G459" s="1580"/>
      <c r="H459" s="1580"/>
      <c r="I459" s="1580"/>
      <c r="J459" s="1584"/>
      <c r="K459" s="1580"/>
      <c r="L459" s="1580"/>
      <c r="M459" s="1580"/>
      <c r="N459" s="1580"/>
      <c r="O459" s="1580"/>
      <c r="P459" s="1580"/>
      <c r="Q459" s="1580"/>
      <c r="R459" s="1580"/>
      <c r="S459" s="1580"/>
      <c r="T459" s="1580"/>
      <c r="U459" s="1580"/>
      <c r="V459" s="1580"/>
      <c r="W459" s="1580"/>
      <c r="X459" s="1580"/>
      <c r="Y459" s="1580"/>
      <c r="Z459" s="1580"/>
    </row>
    <row r="460" spans="1:26" ht="15.75" customHeight="1">
      <c r="A460" s="1580"/>
      <c r="B460" s="1580"/>
      <c r="C460" s="1580"/>
      <c r="D460" s="1580"/>
      <c r="E460" s="1580"/>
      <c r="F460" s="1580"/>
      <c r="G460" s="1580"/>
      <c r="H460" s="1580"/>
      <c r="I460" s="1580"/>
      <c r="J460" s="1584"/>
      <c r="K460" s="1580"/>
      <c r="L460" s="1580"/>
      <c r="M460" s="1580"/>
      <c r="N460" s="1580"/>
      <c r="O460" s="1580"/>
      <c r="P460" s="1580"/>
      <c r="Q460" s="1580"/>
      <c r="R460" s="1580"/>
      <c r="S460" s="1580"/>
      <c r="T460" s="1580"/>
      <c r="U460" s="1580"/>
      <c r="V460" s="1580"/>
      <c r="W460" s="1580"/>
      <c r="X460" s="1580"/>
      <c r="Y460" s="1580"/>
      <c r="Z460" s="1580"/>
    </row>
    <row r="461" spans="1:26" ht="15.75" customHeight="1">
      <c r="A461" s="1580"/>
      <c r="B461" s="1580"/>
      <c r="C461" s="1580"/>
      <c r="D461" s="1580"/>
      <c r="E461" s="1580"/>
      <c r="F461" s="1580"/>
      <c r="G461" s="1580"/>
      <c r="H461" s="1580"/>
      <c r="I461" s="1580"/>
      <c r="J461" s="1584"/>
      <c r="K461" s="1580"/>
      <c r="L461" s="1580"/>
      <c r="M461" s="1580"/>
      <c r="N461" s="1580"/>
      <c r="O461" s="1580"/>
      <c r="P461" s="1580"/>
      <c r="Q461" s="1580"/>
      <c r="R461" s="1580"/>
      <c r="S461" s="1580"/>
      <c r="T461" s="1580"/>
      <c r="U461" s="1580"/>
      <c r="V461" s="1580"/>
      <c r="W461" s="1580"/>
      <c r="X461" s="1580"/>
      <c r="Y461" s="1580"/>
      <c r="Z461" s="1580"/>
    </row>
    <row r="462" spans="1:26" ht="15.75" customHeight="1">
      <c r="A462" s="1580"/>
      <c r="B462" s="1580"/>
      <c r="C462" s="1580"/>
      <c r="D462" s="1580"/>
      <c r="E462" s="1580"/>
      <c r="F462" s="1580"/>
      <c r="G462" s="1580"/>
      <c r="H462" s="1580"/>
      <c r="I462" s="1580"/>
      <c r="J462" s="1584"/>
      <c r="K462" s="1580"/>
      <c r="L462" s="1580"/>
      <c r="M462" s="1580"/>
      <c r="N462" s="1580"/>
      <c r="O462" s="1580"/>
      <c r="P462" s="1580"/>
      <c r="Q462" s="1580"/>
      <c r="R462" s="1580"/>
      <c r="S462" s="1580"/>
      <c r="T462" s="1580"/>
      <c r="U462" s="1580"/>
      <c r="V462" s="1580"/>
      <c r="W462" s="1580"/>
      <c r="X462" s="1580"/>
      <c r="Y462" s="1580"/>
      <c r="Z462" s="1580"/>
    </row>
    <row r="463" spans="1:26" ht="15.75" customHeight="1">
      <c r="A463" s="1580"/>
      <c r="B463" s="1580"/>
      <c r="C463" s="1580"/>
      <c r="D463" s="1580"/>
      <c r="E463" s="1580"/>
      <c r="F463" s="1580"/>
      <c r="G463" s="1580"/>
      <c r="H463" s="1580"/>
      <c r="I463" s="1580"/>
      <c r="J463" s="1584"/>
      <c r="K463" s="1580"/>
      <c r="L463" s="1580"/>
      <c r="M463" s="1580"/>
      <c r="N463" s="1580"/>
      <c r="O463" s="1580"/>
      <c r="P463" s="1580"/>
      <c r="Q463" s="1580"/>
      <c r="R463" s="1580"/>
      <c r="S463" s="1580"/>
      <c r="T463" s="1580"/>
      <c r="U463" s="1580"/>
      <c r="V463" s="1580"/>
      <c r="W463" s="1580"/>
      <c r="X463" s="1580"/>
      <c r="Y463" s="1580"/>
      <c r="Z463" s="1580"/>
    </row>
    <row r="464" spans="1:26" ht="15.75" customHeight="1">
      <c r="A464" s="1580"/>
      <c r="B464" s="1580"/>
      <c r="C464" s="1580"/>
      <c r="D464" s="1580"/>
      <c r="E464" s="1580"/>
      <c r="F464" s="1580"/>
      <c r="G464" s="1580"/>
      <c r="H464" s="1580"/>
      <c r="I464" s="1580"/>
      <c r="J464" s="1584"/>
      <c r="K464" s="1580"/>
      <c r="L464" s="1580"/>
      <c r="M464" s="1580"/>
      <c r="N464" s="1580"/>
      <c r="O464" s="1580"/>
      <c r="P464" s="1580"/>
      <c r="Q464" s="1580"/>
      <c r="R464" s="1580"/>
      <c r="S464" s="1580"/>
      <c r="T464" s="1580"/>
      <c r="U464" s="1580"/>
      <c r="V464" s="1580"/>
      <c r="W464" s="1580"/>
      <c r="X464" s="1580"/>
      <c r="Y464" s="1580"/>
      <c r="Z464" s="1580"/>
    </row>
    <row r="465" spans="1:26" ht="15.75" customHeight="1">
      <c r="A465" s="1580"/>
      <c r="B465" s="1580"/>
      <c r="C465" s="1580"/>
      <c r="D465" s="1580"/>
      <c r="E465" s="1580"/>
      <c r="F465" s="1580"/>
      <c r="G465" s="1580"/>
      <c r="H465" s="1580"/>
      <c r="I465" s="1580"/>
      <c r="J465" s="1584"/>
      <c r="K465" s="1580"/>
      <c r="L465" s="1580"/>
      <c r="M465" s="1580"/>
      <c r="N465" s="1580"/>
      <c r="O465" s="1580"/>
      <c r="P465" s="1580"/>
      <c r="Q465" s="1580"/>
      <c r="R465" s="1580"/>
      <c r="S465" s="1580"/>
      <c r="T465" s="1580"/>
      <c r="U465" s="1580"/>
      <c r="V465" s="1580"/>
      <c r="W465" s="1580"/>
      <c r="X465" s="1580"/>
      <c r="Y465" s="1580"/>
      <c r="Z465" s="1580"/>
    </row>
    <row r="466" spans="1:26" ht="15.75" customHeight="1">
      <c r="A466" s="1580"/>
      <c r="B466" s="1580"/>
      <c r="C466" s="1580"/>
      <c r="D466" s="1580"/>
      <c r="E466" s="1580"/>
      <c r="F466" s="1580"/>
      <c r="G466" s="1580"/>
      <c r="H466" s="1580"/>
      <c r="I466" s="1580"/>
      <c r="J466" s="1584"/>
      <c r="K466" s="1580"/>
      <c r="L466" s="1580"/>
      <c r="M466" s="1580"/>
      <c r="N466" s="1580"/>
      <c r="O466" s="1580"/>
      <c r="P466" s="1580"/>
      <c r="Q466" s="1580"/>
      <c r="R466" s="1580"/>
      <c r="S466" s="1580"/>
      <c r="T466" s="1580"/>
      <c r="U466" s="1580"/>
      <c r="V466" s="1580"/>
      <c r="W466" s="1580"/>
      <c r="X466" s="1580"/>
      <c r="Y466" s="1580"/>
      <c r="Z466" s="1580"/>
    </row>
    <row r="467" spans="1:26" ht="15.75" customHeight="1">
      <c r="A467" s="1580"/>
      <c r="B467" s="1580"/>
      <c r="C467" s="1580"/>
      <c r="D467" s="1580"/>
      <c r="E467" s="1580"/>
      <c r="F467" s="1580"/>
      <c r="G467" s="1580"/>
      <c r="H467" s="1580"/>
      <c r="I467" s="1580"/>
      <c r="J467" s="1584"/>
      <c r="K467" s="1580"/>
      <c r="L467" s="1580"/>
      <c r="M467" s="1580"/>
      <c r="N467" s="1580"/>
      <c r="O467" s="1580"/>
      <c r="P467" s="1580"/>
      <c r="Q467" s="1580"/>
      <c r="R467" s="1580"/>
      <c r="S467" s="1580"/>
      <c r="T467" s="1580"/>
      <c r="U467" s="1580"/>
      <c r="V467" s="1580"/>
      <c r="W467" s="1580"/>
      <c r="X467" s="1580"/>
      <c r="Y467" s="1580"/>
      <c r="Z467" s="1580"/>
    </row>
    <row r="468" spans="1:26" ht="15.75" customHeight="1">
      <c r="A468" s="1580"/>
      <c r="B468" s="1580"/>
      <c r="C468" s="1580"/>
      <c r="D468" s="1580"/>
      <c r="E468" s="1580"/>
      <c r="F468" s="1580"/>
      <c r="G468" s="1580"/>
      <c r="H468" s="1580"/>
      <c r="I468" s="1580"/>
      <c r="J468" s="1584"/>
      <c r="K468" s="1580"/>
      <c r="L468" s="1580"/>
      <c r="M468" s="1580"/>
      <c r="N468" s="1580"/>
      <c r="O468" s="1580"/>
      <c r="P468" s="1580"/>
      <c r="Q468" s="1580"/>
      <c r="R468" s="1580"/>
      <c r="S468" s="1580"/>
      <c r="T468" s="1580"/>
      <c r="U468" s="1580"/>
      <c r="V468" s="1580"/>
      <c r="W468" s="1580"/>
      <c r="X468" s="1580"/>
      <c r="Y468" s="1580"/>
      <c r="Z468" s="1580"/>
    </row>
    <row r="469" spans="1:26" ht="15.75" customHeight="1">
      <c r="A469" s="1580"/>
      <c r="B469" s="1580"/>
      <c r="C469" s="1580"/>
      <c r="D469" s="1580"/>
      <c r="E469" s="1580"/>
      <c r="F469" s="1580"/>
      <c r="G469" s="1580"/>
      <c r="H469" s="1580"/>
      <c r="I469" s="1580"/>
      <c r="J469" s="1584"/>
      <c r="K469" s="1580"/>
      <c r="L469" s="1580"/>
      <c r="M469" s="1580"/>
      <c r="N469" s="1580"/>
      <c r="O469" s="1580"/>
      <c r="P469" s="1580"/>
      <c r="Q469" s="1580"/>
      <c r="R469" s="1580"/>
      <c r="S469" s="1580"/>
      <c r="T469" s="1580"/>
      <c r="U469" s="1580"/>
      <c r="V469" s="1580"/>
      <c r="W469" s="1580"/>
      <c r="X469" s="1580"/>
      <c r="Y469" s="1580"/>
      <c r="Z469" s="1580"/>
    </row>
    <row r="470" spans="1:26" ht="15.75" customHeight="1">
      <c r="A470" s="1580"/>
      <c r="B470" s="1580"/>
      <c r="C470" s="1580"/>
      <c r="D470" s="1580"/>
      <c r="E470" s="1580"/>
      <c r="F470" s="1580"/>
      <c r="G470" s="1580"/>
      <c r="H470" s="1580"/>
      <c r="I470" s="1580"/>
      <c r="J470" s="1584"/>
      <c r="K470" s="1580"/>
      <c r="L470" s="1580"/>
      <c r="M470" s="1580"/>
      <c r="N470" s="1580"/>
      <c r="O470" s="1580"/>
      <c r="P470" s="1580"/>
      <c r="Q470" s="1580"/>
      <c r="R470" s="1580"/>
      <c r="S470" s="1580"/>
      <c r="T470" s="1580"/>
      <c r="U470" s="1580"/>
      <c r="V470" s="1580"/>
      <c r="W470" s="1580"/>
      <c r="X470" s="1580"/>
      <c r="Y470" s="1580"/>
      <c r="Z470" s="1580"/>
    </row>
    <row r="471" spans="1:26" ht="15.75" customHeight="1">
      <c r="A471" s="1580"/>
      <c r="B471" s="1580"/>
      <c r="C471" s="1580"/>
      <c r="D471" s="1580"/>
      <c r="E471" s="1580"/>
      <c r="F471" s="1580"/>
      <c r="G471" s="1580"/>
      <c r="H471" s="1580"/>
      <c r="I471" s="1580"/>
      <c r="J471" s="1584"/>
      <c r="K471" s="1580"/>
      <c r="L471" s="1580"/>
      <c r="M471" s="1580"/>
      <c r="N471" s="1580"/>
      <c r="O471" s="1580"/>
      <c r="P471" s="1580"/>
      <c r="Q471" s="1580"/>
      <c r="R471" s="1580"/>
      <c r="S471" s="1580"/>
      <c r="T471" s="1580"/>
      <c r="U471" s="1580"/>
      <c r="V471" s="1580"/>
      <c r="W471" s="1580"/>
      <c r="X471" s="1580"/>
      <c r="Y471" s="1580"/>
      <c r="Z471" s="1580"/>
    </row>
    <row r="472" spans="1:26" ht="15.75" customHeight="1">
      <c r="A472" s="1580"/>
      <c r="B472" s="1580"/>
      <c r="C472" s="1580"/>
      <c r="D472" s="1580"/>
      <c r="E472" s="1580"/>
      <c r="F472" s="1580"/>
      <c r="G472" s="1580"/>
      <c r="H472" s="1580"/>
      <c r="I472" s="1580"/>
      <c r="J472" s="1584"/>
      <c r="K472" s="1580"/>
      <c r="L472" s="1580"/>
      <c r="M472" s="1580"/>
      <c r="N472" s="1580"/>
      <c r="O472" s="1580"/>
      <c r="P472" s="1580"/>
      <c r="Q472" s="1580"/>
      <c r="R472" s="1580"/>
      <c r="S472" s="1580"/>
      <c r="T472" s="1580"/>
      <c r="U472" s="1580"/>
      <c r="V472" s="1580"/>
      <c r="W472" s="1580"/>
      <c r="X472" s="1580"/>
      <c r="Y472" s="1580"/>
      <c r="Z472" s="1580"/>
    </row>
    <row r="473" spans="1:26" ht="15.75" customHeight="1">
      <c r="A473" s="1580"/>
      <c r="B473" s="1580"/>
      <c r="C473" s="1580"/>
      <c r="D473" s="1580"/>
      <c r="E473" s="1580"/>
      <c r="F473" s="1580"/>
      <c r="G473" s="1580"/>
      <c r="H473" s="1580"/>
      <c r="I473" s="1580"/>
      <c r="J473" s="1584"/>
      <c r="K473" s="1580"/>
      <c r="L473" s="1580"/>
      <c r="M473" s="1580"/>
      <c r="N473" s="1580"/>
      <c r="O473" s="1580"/>
      <c r="P473" s="1580"/>
      <c r="Q473" s="1580"/>
      <c r="R473" s="1580"/>
      <c r="S473" s="1580"/>
      <c r="T473" s="1580"/>
      <c r="U473" s="1580"/>
      <c r="V473" s="1580"/>
      <c r="W473" s="1580"/>
      <c r="X473" s="1580"/>
      <c r="Y473" s="1580"/>
      <c r="Z473" s="1580"/>
    </row>
    <row r="474" spans="1:26" ht="15.75" customHeight="1">
      <c r="A474" s="1580"/>
      <c r="B474" s="1580"/>
      <c r="C474" s="1580"/>
      <c r="D474" s="1580"/>
      <c r="E474" s="1580"/>
      <c r="F474" s="1580"/>
      <c r="G474" s="1580"/>
      <c r="H474" s="1580"/>
      <c r="I474" s="1580"/>
      <c r="J474" s="1584"/>
      <c r="K474" s="1580"/>
      <c r="L474" s="1580"/>
      <c r="M474" s="1580"/>
      <c r="N474" s="1580"/>
      <c r="O474" s="1580"/>
      <c r="P474" s="1580"/>
      <c r="Q474" s="1580"/>
      <c r="R474" s="1580"/>
      <c r="S474" s="1580"/>
      <c r="T474" s="1580"/>
      <c r="U474" s="1580"/>
      <c r="V474" s="1580"/>
      <c r="W474" s="1580"/>
      <c r="X474" s="1580"/>
      <c r="Y474" s="1580"/>
      <c r="Z474" s="1580"/>
    </row>
    <row r="475" spans="1:26" ht="15.75" customHeight="1">
      <c r="A475" s="1580"/>
      <c r="B475" s="1580"/>
      <c r="C475" s="1580"/>
      <c r="D475" s="1580"/>
      <c r="E475" s="1580"/>
      <c r="F475" s="1580"/>
      <c r="G475" s="1580"/>
      <c r="H475" s="1580"/>
      <c r="I475" s="1580"/>
      <c r="J475" s="1584"/>
      <c r="K475" s="1580"/>
      <c r="L475" s="1580"/>
      <c r="M475" s="1580"/>
      <c r="N475" s="1580"/>
      <c r="O475" s="1580"/>
      <c r="P475" s="1580"/>
      <c r="Q475" s="1580"/>
      <c r="R475" s="1580"/>
      <c r="S475" s="1580"/>
      <c r="T475" s="1580"/>
      <c r="U475" s="1580"/>
      <c r="V475" s="1580"/>
      <c r="W475" s="1580"/>
      <c r="X475" s="1580"/>
      <c r="Y475" s="1580"/>
      <c r="Z475" s="1580"/>
    </row>
    <row r="476" spans="1:26" ht="15.75" customHeight="1">
      <c r="A476" s="1580"/>
      <c r="B476" s="1580"/>
      <c r="C476" s="1580"/>
      <c r="D476" s="1580"/>
      <c r="E476" s="1580"/>
      <c r="F476" s="1580"/>
      <c r="G476" s="1580"/>
      <c r="H476" s="1580"/>
      <c r="I476" s="1580"/>
      <c r="J476" s="1584"/>
      <c r="K476" s="1580"/>
      <c r="L476" s="1580"/>
      <c r="M476" s="1580"/>
      <c r="N476" s="1580"/>
      <c r="O476" s="1580"/>
      <c r="P476" s="1580"/>
      <c r="Q476" s="1580"/>
      <c r="R476" s="1580"/>
      <c r="S476" s="1580"/>
      <c r="T476" s="1580"/>
      <c r="U476" s="1580"/>
      <c r="V476" s="1580"/>
      <c r="W476" s="1580"/>
      <c r="X476" s="1580"/>
      <c r="Y476" s="1580"/>
      <c r="Z476" s="1580"/>
    </row>
    <row r="477" spans="1:26" ht="15.75" customHeight="1">
      <c r="A477" s="1580"/>
      <c r="B477" s="1580"/>
      <c r="C477" s="1580"/>
      <c r="D477" s="1580"/>
      <c r="E477" s="1580"/>
      <c r="F477" s="1580"/>
      <c r="G477" s="1580"/>
      <c r="H477" s="1580"/>
      <c r="I477" s="1580"/>
      <c r="J477" s="1584"/>
      <c r="K477" s="1580"/>
      <c r="L477" s="1580"/>
      <c r="M477" s="1580"/>
      <c r="N477" s="1580"/>
      <c r="O477" s="1580"/>
      <c r="P477" s="1580"/>
      <c r="Q477" s="1580"/>
      <c r="R477" s="1580"/>
      <c r="S477" s="1580"/>
      <c r="T477" s="1580"/>
      <c r="U477" s="1580"/>
      <c r="V477" s="1580"/>
      <c r="W477" s="1580"/>
      <c r="X477" s="1580"/>
      <c r="Y477" s="1580"/>
      <c r="Z477" s="1580"/>
    </row>
    <row r="478" spans="1:26" ht="15.75" customHeight="1">
      <c r="A478" s="1580"/>
      <c r="B478" s="1580"/>
      <c r="C478" s="1580"/>
      <c r="D478" s="1580"/>
      <c r="E478" s="1580"/>
      <c r="F478" s="1580"/>
      <c r="G478" s="1580"/>
      <c r="H478" s="1580"/>
      <c r="I478" s="1580"/>
      <c r="J478" s="1584"/>
      <c r="K478" s="1580"/>
      <c r="L478" s="1580"/>
      <c r="M478" s="1580"/>
      <c r="N478" s="1580"/>
      <c r="O478" s="1580"/>
      <c r="P478" s="1580"/>
      <c r="Q478" s="1580"/>
      <c r="R478" s="1580"/>
      <c r="S478" s="1580"/>
      <c r="T478" s="1580"/>
      <c r="U478" s="1580"/>
      <c r="V478" s="1580"/>
      <c r="W478" s="1580"/>
      <c r="X478" s="1580"/>
      <c r="Y478" s="1580"/>
      <c r="Z478" s="1580"/>
    </row>
    <row r="479" spans="1:26" ht="15.75" customHeight="1">
      <c r="A479" s="1580"/>
      <c r="B479" s="1580"/>
      <c r="C479" s="1580"/>
      <c r="D479" s="1580"/>
      <c r="E479" s="1580"/>
      <c r="F479" s="1580"/>
      <c r="G479" s="1580"/>
      <c r="H479" s="1580"/>
      <c r="I479" s="1580"/>
      <c r="J479" s="1584"/>
      <c r="K479" s="1580"/>
      <c r="L479" s="1580"/>
      <c r="M479" s="1580"/>
      <c r="N479" s="1580"/>
      <c r="O479" s="1580"/>
      <c r="P479" s="1580"/>
      <c r="Q479" s="1580"/>
      <c r="R479" s="1580"/>
      <c r="S479" s="1580"/>
      <c r="T479" s="1580"/>
      <c r="U479" s="1580"/>
      <c r="V479" s="1580"/>
      <c r="W479" s="1580"/>
      <c r="X479" s="1580"/>
      <c r="Y479" s="1580"/>
      <c r="Z479" s="1580"/>
    </row>
    <row r="480" spans="1:26" ht="15.75" customHeight="1">
      <c r="A480" s="1580"/>
      <c r="B480" s="1580"/>
      <c r="C480" s="1580"/>
      <c r="D480" s="1580"/>
      <c r="E480" s="1580"/>
      <c r="F480" s="1580"/>
      <c r="G480" s="1580"/>
      <c r="H480" s="1580"/>
      <c r="I480" s="1580"/>
      <c r="J480" s="1584"/>
      <c r="K480" s="1580"/>
      <c r="L480" s="1580"/>
      <c r="M480" s="1580"/>
      <c r="N480" s="1580"/>
      <c r="O480" s="1580"/>
      <c r="P480" s="1580"/>
      <c r="Q480" s="1580"/>
      <c r="R480" s="1580"/>
      <c r="S480" s="1580"/>
      <c r="T480" s="1580"/>
      <c r="U480" s="1580"/>
      <c r="V480" s="1580"/>
      <c r="W480" s="1580"/>
      <c r="X480" s="1580"/>
      <c r="Y480" s="1580"/>
      <c r="Z480" s="1580"/>
    </row>
    <row r="481" spans="1:26" ht="15.75" customHeight="1">
      <c r="A481" s="1580"/>
      <c r="B481" s="1580"/>
      <c r="C481" s="1580"/>
      <c r="D481" s="1580"/>
      <c r="E481" s="1580"/>
      <c r="F481" s="1580"/>
      <c r="G481" s="1580"/>
      <c r="H481" s="1580"/>
      <c r="I481" s="1580"/>
      <c r="J481" s="1584"/>
      <c r="K481" s="1580"/>
      <c r="L481" s="1580"/>
      <c r="M481" s="1580"/>
      <c r="N481" s="1580"/>
      <c r="O481" s="1580"/>
      <c r="P481" s="1580"/>
      <c r="Q481" s="1580"/>
      <c r="R481" s="1580"/>
      <c r="S481" s="1580"/>
      <c r="T481" s="1580"/>
      <c r="U481" s="1580"/>
      <c r="V481" s="1580"/>
      <c r="W481" s="1580"/>
      <c r="X481" s="1580"/>
      <c r="Y481" s="1580"/>
      <c r="Z481" s="1580"/>
    </row>
    <row r="482" spans="1:26" ht="15.75" customHeight="1">
      <c r="A482" s="1580"/>
      <c r="B482" s="1580"/>
      <c r="C482" s="1580"/>
      <c r="D482" s="1580"/>
      <c r="E482" s="1580"/>
      <c r="F482" s="1580"/>
      <c r="G482" s="1580"/>
      <c r="H482" s="1580"/>
      <c r="I482" s="1580"/>
      <c r="J482" s="1584"/>
      <c r="K482" s="1580"/>
      <c r="L482" s="1580"/>
      <c r="M482" s="1580"/>
      <c r="N482" s="1580"/>
      <c r="O482" s="1580"/>
      <c r="P482" s="1580"/>
      <c r="Q482" s="1580"/>
      <c r="R482" s="1580"/>
      <c r="S482" s="1580"/>
      <c r="T482" s="1580"/>
      <c r="U482" s="1580"/>
      <c r="V482" s="1580"/>
      <c r="W482" s="1580"/>
      <c r="X482" s="1580"/>
      <c r="Y482" s="1580"/>
      <c r="Z482" s="1580"/>
    </row>
    <row r="483" spans="1:26" ht="15.75" customHeight="1">
      <c r="A483" s="1580"/>
      <c r="B483" s="1580"/>
      <c r="C483" s="1580"/>
      <c r="D483" s="1580"/>
      <c r="E483" s="1580"/>
      <c r="F483" s="1580"/>
      <c r="G483" s="1580"/>
      <c r="H483" s="1580"/>
      <c r="I483" s="1580"/>
      <c r="J483" s="1584"/>
      <c r="K483" s="1580"/>
      <c r="L483" s="1580"/>
      <c r="M483" s="1580"/>
      <c r="N483" s="1580"/>
      <c r="O483" s="1580"/>
      <c r="P483" s="1580"/>
      <c r="Q483" s="1580"/>
      <c r="R483" s="1580"/>
      <c r="S483" s="1580"/>
      <c r="T483" s="1580"/>
      <c r="U483" s="1580"/>
      <c r="V483" s="1580"/>
      <c r="W483" s="1580"/>
      <c r="X483" s="1580"/>
      <c r="Y483" s="1580"/>
      <c r="Z483" s="1580"/>
    </row>
    <row r="484" spans="1:26" ht="15.75" customHeight="1">
      <c r="A484" s="1580"/>
      <c r="B484" s="1580"/>
      <c r="C484" s="1580"/>
      <c r="D484" s="1580"/>
      <c r="E484" s="1580"/>
      <c r="F484" s="1580"/>
      <c r="G484" s="1580"/>
      <c r="H484" s="1580"/>
      <c r="I484" s="1580"/>
      <c r="J484" s="1584"/>
      <c r="K484" s="1580"/>
      <c r="L484" s="1580"/>
      <c r="M484" s="1580"/>
      <c r="N484" s="1580"/>
      <c r="O484" s="1580"/>
      <c r="P484" s="1580"/>
      <c r="Q484" s="1580"/>
      <c r="R484" s="1580"/>
      <c r="S484" s="1580"/>
      <c r="T484" s="1580"/>
      <c r="U484" s="1580"/>
      <c r="V484" s="1580"/>
      <c r="W484" s="1580"/>
      <c r="X484" s="1580"/>
      <c r="Y484" s="1580"/>
      <c r="Z484" s="1580"/>
    </row>
    <row r="485" spans="1:26" ht="15.75" customHeight="1">
      <c r="A485" s="1580"/>
      <c r="B485" s="1580"/>
      <c r="C485" s="1580"/>
      <c r="D485" s="1580"/>
      <c r="E485" s="1580"/>
      <c r="F485" s="1580"/>
      <c r="G485" s="1580"/>
      <c r="H485" s="1580"/>
      <c r="I485" s="1580"/>
      <c r="J485" s="1584"/>
      <c r="K485" s="1580"/>
      <c r="L485" s="1580"/>
      <c r="M485" s="1580"/>
      <c r="N485" s="1580"/>
      <c r="O485" s="1580"/>
      <c r="P485" s="1580"/>
      <c r="Q485" s="1580"/>
      <c r="R485" s="1580"/>
      <c r="S485" s="1580"/>
      <c r="T485" s="1580"/>
      <c r="U485" s="1580"/>
      <c r="V485" s="1580"/>
      <c r="W485" s="1580"/>
      <c r="X485" s="1580"/>
      <c r="Y485" s="1580"/>
      <c r="Z485" s="1580"/>
    </row>
    <row r="486" spans="1:26" ht="15.75" customHeight="1">
      <c r="A486" s="1580"/>
      <c r="B486" s="1580"/>
      <c r="C486" s="1580"/>
      <c r="D486" s="1580"/>
      <c r="E486" s="1580"/>
      <c r="F486" s="1580"/>
      <c r="G486" s="1580"/>
      <c r="H486" s="1580"/>
      <c r="I486" s="1580"/>
      <c r="J486" s="1584"/>
      <c r="K486" s="1580"/>
      <c r="L486" s="1580"/>
      <c r="M486" s="1580"/>
      <c r="N486" s="1580"/>
      <c r="O486" s="1580"/>
      <c r="P486" s="1580"/>
      <c r="Q486" s="1580"/>
      <c r="R486" s="1580"/>
      <c r="S486" s="1580"/>
      <c r="T486" s="1580"/>
      <c r="U486" s="1580"/>
      <c r="V486" s="1580"/>
      <c r="W486" s="1580"/>
      <c r="X486" s="1580"/>
      <c r="Y486" s="1580"/>
      <c r="Z486" s="1580"/>
    </row>
    <row r="487" spans="1:26" ht="15.75" customHeight="1">
      <c r="A487" s="1580"/>
      <c r="B487" s="1580"/>
      <c r="C487" s="1580"/>
      <c r="D487" s="1580"/>
      <c r="E487" s="1580"/>
      <c r="F487" s="1580"/>
      <c r="G487" s="1580"/>
      <c r="H487" s="1580"/>
      <c r="I487" s="1580"/>
      <c r="J487" s="1584"/>
      <c r="K487" s="1580"/>
      <c r="L487" s="1580"/>
      <c r="M487" s="1580"/>
      <c r="N487" s="1580"/>
      <c r="O487" s="1580"/>
      <c r="P487" s="1580"/>
      <c r="Q487" s="1580"/>
      <c r="R487" s="1580"/>
      <c r="S487" s="1580"/>
      <c r="T487" s="1580"/>
      <c r="U487" s="1580"/>
      <c r="V487" s="1580"/>
      <c r="W487" s="1580"/>
      <c r="X487" s="1580"/>
      <c r="Y487" s="1580"/>
      <c r="Z487" s="1580"/>
    </row>
    <row r="488" spans="1:26" ht="15.75" customHeight="1">
      <c r="A488" s="1580"/>
      <c r="B488" s="1580"/>
      <c r="C488" s="1580"/>
      <c r="D488" s="1580"/>
      <c r="E488" s="1580"/>
      <c r="F488" s="1580"/>
      <c r="G488" s="1580"/>
      <c r="H488" s="1580"/>
      <c r="I488" s="1580"/>
      <c r="J488" s="1584"/>
      <c r="K488" s="1580"/>
      <c r="L488" s="1580"/>
      <c r="M488" s="1580"/>
      <c r="N488" s="1580"/>
      <c r="O488" s="1580"/>
      <c r="P488" s="1580"/>
      <c r="Q488" s="1580"/>
      <c r="R488" s="1580"/>
      <c r="S488" s="1580"/>
      <c r="T488" s="1580"/>
      <c r="U488" s="1580"/>
      <c r="V488" s="1580"/>
      <c r="W488" s="1580"/>
      <c r="X488" s="1580"/>
      <c r="Y488" s="1580"/>
      <c r="Z488" s="1580"/>
    </row>
    <row r="489" spans="1:26" ht="15.75" customHeight="1">
      <c r="A489" s="1580"/>
      <c r="B489" s="1580"/>
      <c r="C489" s="1580"/>
      <c r="D489" s="1580"/>
      <c r="E489" s="1580"/>
      <c r="F489" s="1580"/>
      <c r="G489" s="1580"/>
      <c r="H489" s="1580"/>
      <c r="I489" s="1580"/>
      <c r="J489" s="1584"/>
      <c r="K489" s="1580"/>
      <c r="L489" s="1580"/>
      <c r="M489" s="1580"/>
      <c r="N489" s="1580"/>
      <c r="O489" s="1580"/>
      <c r="P489" s="1580"/>
      <c r="Q489" s="1580"/>
      <c r="R489" s="1580"/>
      <c r="S489" s="1580"/>
      <c r="T489" s="1580"/>
      <c r="U489" s="1580"/>
      <c r="V489" s="1580"/>
      <c r="W489" s="1580"/>
      <c r="X489" s="1580"/>
      <c r="Y489" s="1580"/>
      <c r="Z489" s="1580"/>
    </row>
    <row r="490" spans="1:26" ht="15.75" customHeight="1">
      <c r="A490" s="1580"/>
      <c r="B490" s="1580"/>
      <c r="C490" s="1580"/>
      <c r="D490" s="1580"/>
      <c r="E490" s="1580"/>
      <c r="F490" s="1580"/>
      <c r="G490" s="1580"/>
      <c r="H490" s="1580"/>
      <c r="I490" s="1580"/>
      <c r="J490" s="1584"/>
      <c r="K490" s="1580"/>
      <c r="L490" s="1580"/>
      <c r="M490" s="1580"/>
      <c r="N490" s="1580"/>
      <c r="O490" s="1580"/>
      <c r="P490" s="1580"/>
      <c r="Q490" s="1580"/>
      <c r="R490" s="1580"/>
      <c r="S490" s="1580"/>
      <c r="T490" s="1580"/>
      <c r="U490" s="1580"/>
      <c r="V490" s="1580"/>
      <c r="W490" s="1580"/>
      <c r="X490" s="1580"/>
      <c r="Y490" s="1580"/>
      <c r="Z490" s="1580"/>
    </row>
    <row r="491" spans="1:26" ht="15.75" customHeight="1">
      <c r="A491" s="1580"/>
      <c r="B491" s="1580"/>
      <c r="C491" s="1580"/>
      <c r="D491" s="1580"/>
      <c r="E491" s="1580"/>
      <c r="F491" s="1580"/>
      <c r="G491" s="1580"/>
      <c r="H491" s="1580"/>
      <c r="I491" s="1580"/>
      <c r="J491" s="1584"/>
      <c r="K491" s="1580"/>
      <c r="L491" s="1580"/>
      <c r="M491" s="1580"/>
      <c r="N491" s="1580"/>
      <c r="O491" s="1580"/>
      <c r="P491" s="1580"/>
      <c r="Q491" s="1580"/>
      <c r="R491" s="1580"/>
      <c r="S491" s="1580"/>
      <c r="T491" s="1580"/>
      <c r="U491" s="1580"/>
      <c r="V491" s="1580"/>
      <c r="W491" s="1580"/>
      <c r="X491" s="1580"/>
      <c r="Y491" s="1580"/>
      <c r="Z491" s="1580"/>
    </row>
    <row r="492" spans="1:26" ht="15.75" customHeight="1">
      <c r="A492" s="1580"/>
      <c r="B492" s="1580"/>
      <c r="C492" s="1580"/>
      <c r="D492" s="1580"/>
      <c r="E492" s="1580"/>
      <c r="F492" s="1580"/>
      <c r="G492" s="1580"/>
      <c r="H492" s="1580"/>
      <c r="I492" s="1580"/>
      <c r="J492" s="1584"/>
      <c r="K492" s="1580"/>
      <c r="L492" s="1580"/>
      <c r="M492" s="1580"/>
      <c r="N492" s="1580"/>
      <c r="O492" s="1580"/>
      <c r="P492" s="1580"/>
      <c r="Q492" s="1580"/>
      <c r="R492" s="1580"/>
      <c r="S492" s="1580"/>
      <c r="T492" s="1580"/>
      <c r="U492" s="1580"/>
      <c r="V492" s="1580"/>
      <c r="W492" s="1580"/>
      <c r="X492" s="1580"/>
      <c r="Y492" s="1580"/>
      <c r="Z492" s="1580"/>
    </row>
    <row r="493" spans="1:26" ht="15.75" customHeight="1">
      <c r="A493" s="1580"/>
      <c r="B493" s="1580"/>
      <c r="C493" s="1580"/>
      <c r="D493" s="1580"/>
      <c r="E493" s="1580"/>
      <c r="F493" s="1580"/>
      <c r="G493" s="1580"/>
      <c r="H493" s="1580"/>
      <c r="I493" s="1580"/>
      <c r="J493" s="1584"/>
      <c r="K493" s="1580"/>
      <c r="L493" s="1580"/>
      <c r="M493" s="1580"/>
      <c r="N493" s="1580"/>
      <c r="O493" s="1580"/>
      <c r="P493" s="1580"/>
      <c r="Q493" s="1580"/>
      <c r="R493" s="1580"/>
      <c r="S493" s="1580"/>
      <c r="T493" s="1580"/>
      <c r="U493" s="1580"/>
      <c r="V493" s="1580"/>
      <c r="W493" s="1580"/>
      <c r="X493" s="1580"/>
      <c r="Y493" s="1580"/>
      <c r="Z493" s="1580"/>
    </row>
    <row r="494" spans="1:26" ht="15.75" customHeight="1">
      <c r="A494" s="1580"/>
      <c r="B494" s="1580"/>
      <c r="C494" s="1580"/>
      <c r="D494" s="1580"/>
      <c r="E494" s="1580"/>
      <c r="F494" s="1580"/>
      <c r="G494" s="1580"/>
      <c r="H494" s="1580"/>
      <c r="I494" s="1580"/>
      <c r="J494" s="1584"/>
      <c r="K494" s="1580"/>
      <c r="L494" s="1580"/>
      <c r="M494" s="1580"/>
      <c r="N494" s="1580"/>
      <c r="O494" s="1580"/>
      <c r="P494" s="1580"/>
      <c r="Q494" s="1580"/>
      <c r="R494" s="1580"/>
      <c r="S494" s="1580"/>
      <c r="T494" s="1580"/>
      <c r="U494" s="1580"/>
      <c r="V494" s="1580"/>
      <c r="W494" s="1580"/>
      <c r="X494" s="1580"/>
      <c r="Y494" s="1580"/>
      <c r="Z494" s="1580"/>
    </row>
    <row r="495" spans="1:26" ht="15.75" customHeight="1">
      <c r="A495" s="1580"/>
      <c r="B495" s="1580"/>
      <c r="C495" s="1580"/>
      <c r="D495" s="1580"/>
      <c r="E495" s="1580"/>
      <c r="F495" s="1580"/>
      <c r="G495" s="1580"/>
      <c r="H495" s="1580"/>
      <c r="I495" s="1580"/>
      <c r="J495" s="1584"/>
      <c r="K495" s="1580"/>
      <c r="L495" s="1580"/>
      <c r="M495" s="1580"/>
      <c r="N495" s="1580"/>
      <c r="O495" s="1580"/>
      <c r="P495" s="1580"/>
      <c r="Q495" s="1580"/>
      <c r="R495" s="1580"/>
      <c r="S495" s="1580"/>
      <c r="T495" s="1580"/>
      <c r="U495" s="1580"/>
      <c r="V495" s="1580"/>
      <c r="W495" s="1580"/>
      <c r="X495" s="1580"/>
      <c r="Y495" s="1580"/>
      <c r="Z495" s="1580"/>
    </row>
    <row r="496" spans="1:26" ht="15.75" customHeight="1">
      <c r="A496" s="1580"/>
      <c r="B496" s="1580"/>
      <c r="C496" s="1580"/>
      <c r="D496" s="1580"/>
      <c r="E496" s="1580"/>
      <c r="F496" s="1580"/>
      <c r="G496" s="1580"/>
      <c r="H496" s="1580"/>
      <c r="I496" s="1580"/>
      <c r="J496" s="1584"/>
      <c r="K496" s="1580"/>
      <c r="L496" s="1580"/>
      <c r="M496" s="1580"/>
      <c r="N496" s="1580"/>
      <c r="O496" s="1580"/>
      <c r="P496" s="1580"/>
      <c r="Q496" s="1580"/>
      <c r="R496" s="1580"/>
      <c r="S496" s="1580"/>
      <c r="T496" s="1580"/>
      <c r="U496" s="1580"/>
      <c r="V496" s="1580"/>
      <c r="W496" s="1580"/>
      <c r="X496" s="1580"/>
      <c r="Y496" s="1580"/>
      <c r="Z496" s="1580"/>
    </row>
    <row r="497" spans="1:26" ht="15.75" customHeight="1">
      <c r="A497" s="1580"/>
      <c r="B497" s="1580"/>
      <c r="C497" s="1580"/>
      <c r="D497" s="1580"/>
      <c r="E497" s="1580"/>
      <c r="F497" s="1580"/>
      <c r="G497" s="1580"/>
      <c r="H497" s="1580"/>
      <c r="I497" s="1580"/>
      <c r="J497" s="1584"/>
      <c r="K497" s="1580"/>
      <c r="L497" s="1580"/>
      <c r="M497" s="1580"/>
      <c r="N497" s="1580"/>
      <c r="O497" s="1580"/>
      <c r="P497" s="1580"/>
      <c r="Q497" s="1580"/>
      <c r="R497" s="1580"/>
      <c r="S497" s="1580"/>
      <c r="T497" s="1580"/>
      <c r="U497" s="1580"/>
      <c r="V497" s="1580"/>
      <c r="W497" s="1580"/>
      <c r="X497" s="1580"/>
      <c r="Y497" s="1580"/>
      <c r="Z497" s="1580"/>
    </row>
    <row r="498" spans="1:26" ht="15.75" customHeight="1">
      <c r="A498" s="1580"/>
      <c r="B498" s="1580"/>
      <c r="C498" s="1580"/>
      <c r="D498" s="1580"/>
      <c r="E498" s="1580"/>
      <c r="F498" s="1580"/>
      <c r="G498" s="1580"/>
      <c r="H498" s="1580"/>
      <c r="I498" s="1580"/>
      <c r="J498" s="1584"/>
      <c r="K498" s="1580"/>
      <c r="L498" s="1580"/>
      <c r="M498" s="1580"/>
      <c r="N498" s="1580"/>
      <c r="O498" s="1580"/>
      <c r="P498" s="1580"/>
      <c r="Q498" s="1580"/>
      <c r="R498" s="1580"/>
      <c r="S498" s="1580"/>
      <c r="T498" s="1580"/>
      <c r="U498" s="1580"/>
      <c r="V498" s="1580"/>
      <c r="W498" s="1580"/>
      <c r="X498" s="1580"/>
      <c r="Y498" s="1580"/>
      <c r="Z498" s="1580"/>
    </row>
    <row r="499" spans="1:26" ht="15.75" customHeight="1">
      <c r="A499" s="1580"/>
      <c r="B499" s="1580"/>
      <c r="C499" s="1580"/>
      <c r="D499" s="1580"/>
      <c r="E499" s="1580"/>
      <c r="F499" s="1580"/>
      <c r="G499" s="1580"/>
      <c r="H499" s="1580"/>
      <c r="I499" s="1580"/>
      <c r="J499" s="1584"/>
      <c r="K499" s="1580"/>
      <c r="L499" s="1580"/>
      <c r="M499" s="1580"/>
      <c r="N499" s="1580"/>
      <c r="O499" s="1580"/>
      <c r="P499" s="1580"/>
      <c r="Q499" s="1580"/>
      <c r="R499" s="1580"/>
      <c r="S499" s="1580"/>
      <c r="T499" s="1580"/>
      <c r="U499" s="1580"/>
      <c r="V499" s="1580"/>
      <c r="W499" s="1580"/>
      <c r="X499" s="1580"/>
      <c r="Y499" s="1580"/>
      <c r="Z499" s="1580"/>
    </row>
    <row r="500" spans="1:26" ht="15.75" customHeight="1">
      <c r="A500" s="1580"/>
      <c r="B500" s="1580"/>
      <c r="C500" s="1580"/>
      <c r="D500" s="1580"/>
      <c r="E500" s="1580"/>
      <c r="F500" s="1580"/>
      <c r="G500" s="1580"/>
      <c r="H500" s="1580"/>
      <c r="I500" s="1580"/>
      <c r="J500" s="1584"/>
      <c r="K500" s="1580"/>
      <c r="L500" s="1580"/>
      <c r="M500" s="1580"/>
      <c r="N500" s="1580"/>
      <c r="O500" s="1580"/>
      <c r="P500" s="1580"/>
      <c r="Q500" s="1580"/>
      <c r="R500" s="1580"/>
      <c r="S500" s="1580"/>
      <c r="T500" s="1580"/>
      <c r="U500" s="1580"/>
      <c r="V500" s="1580"/>
      <c r="W500" s="1580"/>
      <c r="X500" s="1580"/>
      <c r="Y500" s="1580"/>
      <c r="Z500" s="1580"/>
    </row>
    <row r="501" spans="1:26" ht="15.75" customHeight="1">
      <c r="A501" s="1580"/>
      <c r="B501" s="1580"/>
      <c r="C501" s="1580"/>
      <c r="D501" s="1580"/>
      <c r="E501" s="1580"/>
      <c r="F501" s="1580"/>
      <c r="G501" s="1580"/>
      <c r="H501" s="1580"/>
      <c r="I501" s="1580"/>
      <c r="J501" s="1584"/>
      <c r="K501" s="1580"/>
      <c r="L501" s="1580"/>
      <c r="M501" s="1580"/>
      <c r="N501" s="1580"/>
      <c r="O501" s="1580"/>
      <c r="P501" s="1580"/>
      <c r="Q501" s="1580"/>
      <c r="R501" s="1580"/>
      <c r="S501" s="1580"/>
      <c r="T501" s="1580"/>
      <c r="U501" s="1580"/>
      <c r="V501" s="1580"/>
      <c r="W501" s="1580"/>
      <c r="X501" s="1580"/>
      <c r="Y501" s="1580"/>
      <c r="Z501" s="1580"/>
    </row>
    <row r="502" spans="1:26" ht="15.75" customHeight="1">
      <c r="A502" s="1580"/>
      <c r="B502" s="1580"/>
      <c r="C502" s="1580"/>
      <c r="D502" s="1580"/>
      <c r="E502" s="1580"/>
      <c r="F502" s="1580"/>
      <c r="G502" s="1580"/>
      <c r="H502" s="1580"/>
      <c r="I502" s="1580"/>
      <c r="J502" s="1584"/>
      <c r="K502" s="1580"/>
      <c r="L502" s="1580"/>
      <c r="M502" s="1580"/>
      <c r="N502" s="1580"/>
      <c r="O502" s="1580"/>
      <c r="P502" s="1580"/>
      <c r="Q502" s="1580"/>
      <c r="R502" s="1580"/>
      <c r="S502" s="1580"/>
      <c r="T502" s="1580"/>
      <c r="U502" s="1580"/>
      <c r="V502" s="1580"/>
      <c r="W502" s="1580"/>
      <c r="X502" s="1580"/>
      <c r="Y502" s="1580"/>
      <c r="Z502" s="1580"/>
    </row>
    <row r="503" spans="1:26" ht="15.75" customHeight="1">
      <c r="A503" s="1580"/>
      <c r="B503" s="1580"/>
      <c r="C503" s="1580"/>
      <c r="D503" s="1580"/>
      <c r="E503" s="1580"/>
      <c r="F503" s="1580"/>
      <c r="G503" s="1580"/>
      <c r="H503" s="1580"/>
      <c r="I503" s="1580"/>
      <c r="J503" s="1584"/>
      <c r="K503" s="1580"/>
      <c r="L503" s="1580"/>
      <c r="M503" s="1580"/>
      <c r="N503" s="1580"/>
      <c r="O503" s="1580"/>
      <c r="P503" s="1580"/>
      <c r="Q503" s="1580"/>
      <c r="R503" s="1580"/>
      <c r="S503" s="1580"/>
      <c r="T503" s="1580"/>
      <c r="U503" s="1580"/>
      <c r="V503" s="1580"/>
      <c r="W503" s="1580"/>
      <c r="X503" s="1580"/>
      <c r="Y503" s="1580"/>
      <c r="Z503" s="1580"/>
    </row>
    <row r="504" spans="1:26" ht="15.75" customHeight="1">
      <c r="A504" s="1580"/>
      <c r="B504" s="1580"/>
      <c r="C504" s="1580"/>
      <c r="D504" s="1580"/>
      <c r="E504" s="1580"/>
      <c r="F504" s="1580"/>
      <c r="G504" s="1580"/>
      <c r="H504" s="1580"/>
      <c r="I504" s="1580"/>
      <c r="J504" s="1584"/>
      <c r="K504" s="1580"/>
      <c r="L504" s="1580"/>
      <c r="M504" s="1580"/>
      <c r="N504" s="1580"/>
      <c r="O504" s="1580"/>
      <c r="P504" s="1580"/>
      <c r="Q504" s="1580"/>
      <c r="R504" s="1580"/>
      <c r="S504" s="1580"/>
      <c r="T504" s="1580"/>
      <c r="U504" s="1580"/>
      <c r="V504" s="1580"/>
      <c r="W504" s="1580"/>
      <c r="X504" s="1580"/>
      <c r="Y504" s="1580"/>
      <c r="Z504" s="1580"/>
    </row>
    <row r="505" spans="1:26" ht="15.75" customHeight="1">
      <c r="A505" s="1580"/>
      <c r="B505" s="1580"/>
      <c r="C505" s="1580"/>
      <c r="D505" s="1580"/>
      <c r="E505" s="1580"/>
      <c r="F505" s="1580"/>
      <c r="G505" s="1580"/>
      <c r="H505" s="1580"/>
      <c r="I505" s="1580"/>
      <c r="J505" s="1584"/>
      <c r="K505" s="1580"/>
      <c r="L505" s="1580"/>
      <c r="M505" s="1580"/>
      <c r="N505" s="1580"/>
      <c r="O505" s="1580"/>
      <c r="P505" s="1580"/>
      <c r="Q505" s="1580"/>
      <c r="R505" s="1580"/>
      <c r="S505" s="1580"/>
      <c r="T505" s="1580"/>
      <c r="U505" s="1580"/>
      <c r="V505" s="1580"/>
      <c r="W505" s="1580"/>
      <c r="X505" s="1580"/>
      <c r="Y505" s="1580"/>
      <c r="Z505" s="1580"/>
    </row>
    <row r="506" spans="1:26" ht="15.75" customHeight="1">
      <c r="A506" s="1580"/>
      <c r="B506" s="1580"/>
      <c r="C506" s="1580"/>
      <c r="D506" s="1580"/>
      <c r="E506" s="1580"/>
      <c r="F506" s="1580"/>
      <c r="G506" s="1580"/>
      <c r="H506" s="1580"/>
      <c r="I506" s="1580"/>
      <c r="J506" s="1584"/>
      <c r="K506" s="1580"/>
      <c r="L506" s="1580"/>
      <c r="M506" s="1580"/>
      <c r="N506" s="1580"/>
      <c r="O506" s="1580"/>
      <c r="P506" s="1580"/>
      <c r="Q506" s="1580"/>
      <c r="R506" s="1580"/>
      <c r="S506" s="1580"/>
      <c r="T506" s="1580"/>
      <c r="U506" s="1580"/>
      <c r="V506" s="1580"/>
      <c r="W506" s="1580"/>
      <c r="X506" s="1580"/>
      <c r="Y506" s="1580"/>
      <c r="Z506" s="1580"/>
    </row>
    <row r="507" spans="1:26" ht="15.75" customHeight="1">
      <c r="A507" s="1580"/>
      <c r="B507" s="1580"/>
      <c r="C507" s="1580"/>
      <c r="D507" s="1580"/>
      <c r="E507" s="1580"/>
      <c r="F507" s="1580"/>
      <c r="G507" s="1580"/>
      <c r="H507" s="1580"/>
      <c r="I507" s="1580"/>
      <c r="J507" s="1584"/>
      <c r="K507" s="1580"/>
      <c r="L507" s="1580"/>
      <c r="M507" s="1580"/>
      <c r="N507" s="1580"/>
      <c r="O507" s="1580"/>
      <c r="P507" s="1580"/>
      <c r="Q507" s="1580"/>
      <c r="R507" s="1580"/>
      <c r="S507" s="1580"/>
      <c r="T507" s="1580"/>
      <c r="U507" s="1580"/>
      <c r="V507" s="1580"/>
      <c r="W507" s="1580"/>
      <c r="X507" s="1580"/>
      <c r="Y507" s="1580"/>
      <c r="Z507" s="1580"/>
    </row>
    <row r="508" spans="1:26" ht="15.75" customHeight="1">
      <c r="A508" s="1580"/>
      <c r="B508" s="1580"/>
      <c r="C508" s="1580"/>
      <c r="D508" s="1580"/>
      <c r="E508" s="1580"/>
      <c r="F508" s="1580"/>
      <c r="G508" s="1580"/>
      <c r="H508" s="1580"/>
      <c r="I508" s="1580"/>
      <c r="J508" s="1584"/>
      <c r="K508" s="1580"/>
      <c r="L508" s="1580"/>
      <c r="M508" s="1580"/>
      <c r="N508" s="1580"/>
      <c r="O508" s="1580"/>
      <c r="P508" s="1580"/>
      <c r="Q508" s="1580"/>
      <c r="R508" s="1580"/>
      <c r="S508" s="1580"/>
      <c r="T508" s="1580"/>
      <c r="U508" s="1580"/>
      <c r="V508" s="1580"/>
      <c r="W508" s="1580"/>
      <c r="X508" s="1580"/>
      <c r="Y508" s="1580"/>
      <c r="Z508" s="1580"/>
    </row>
    <row r="509" spans="1:26" ht="15.75" customHeight="1">
      <c r="A509" s="1580"/>
      <c r="B509" s="1580"/>
      <c r="C509" s="1580"/>
      <c r="D509" s="1580"/>
      <c r="E509" s="1580"/>
      <c r="F509" s="1580"/>
      <c r="G509" s="1580"/>
      <c r="H509" s="1580"/>
      <c r="I509" s="1580"/>
      <c r="J509" s="1584"/>
      <c r="K509" s="1580"/>
      <c r="L509" s="1580"/>
      <c r="M509" s="1580"/>
      <c r="N509" s="1580"/>
      <c r="O509" s="1580"/>
      <c r="P509" s="1580"/>
      <c r="Q509" s="1580"/>
      <c r="R509" s="1580"/>
      <c r="S509" s="1580"/>
      <c r="T509" s="1580"/>
      <c r="U509" s="1580"/>
      <c r="V509" s="1580"/>
      <c r="W509" s="1580"/>
      <c r="X509" s="1580"/>
      <c r="Y509" s="1580"/>
      <c r="Z509" s="1580"/>
    </row>
    <row r="510" spans="1:26" ht="15.75" customHeight="1">
      <c r="A510" s="1580"/>
      <c r="B510" s="1580"/>
      <c r="C510" s="1580"/>
      <c r="D510" s="1580"/>
      <c r="E510" s="1580"/>
      <c r="F510" s="1580"/>
      <c r="G510" s="1580"/>
      <c r="H510" s="1580"/>
      <c r="I510" s="1580"/>
      <c r="J510" s="1584"/>
      <c r="K510" s="1580"/>
      <c r="L510" s="1580"/>
      <c r="M510" s="1580"/>
      <c r="N510" s="1580"/>
      <c r="O510" s="1580"/>
      <c r="P510" s="1580"/>
      <c r="Q510" s="1580"/>
      <c r="R510" s="1580"/>
      <c r="S510" s="1580"/>
      <c r="T510" s="1580"/>
      <c r="U510" s="1580"/>
      <c r="V510" s="1580"/>
      <c r="W510" s="1580"/>
      <c r="X510" s="1580"/>
      <c r="Y510" s="1580"/>
      <c r="Z510" s="1580"/>
    </row>
    <row r="511" spans="1:26" ht="15.75" customHeight="1">
      <c r="A511" s="1580"/>
      <c r="B511" s="1580"/>
      <c r="C511" s="1580"/>
      <c r="D511" s="1580"/>
      <c r="E511" s="1580"/>
      <c r="F511" s="1580"/>
      <c r="G511" s="1580"/>
      <c r="H511" s="1580"/>
      <c r="I511" s="1580"/>
      <c r="J511" s="1584"/>
      <c r="K511" s="1580"/>
      <c r="L511" s="1580"/>
      <c r="M511" s="1580"/>
      <c r="N511" s="1580"/>
      <c r="O511" s="1580"/>
      <c r="P511" s="1580"/>
      <c r="Q511" s="1580"/>
      <c r="R511" s="1580"/>
      <c r="S511" s="1580"/>
      <c r="T511" s="1580"/>
      <c r="U511" s="1580"/>
      <c r="V511" s="1580"/>
      <c r="W511" s="1580"/>
      <c r="X511" s="1580"/>
      <c r="Y511" s="1580"/>
      <c r="Z511" s="1580"/>
    </row>
    <row r="512" spans="1:26" ht="15.75" customHeight="1">
      <c r="A512" s="1580"/>
      <c r="B512" s="1580"/>
      <c r="C512" s="1580"/>
      <c r="D512" s="1580"/>
      <c r="E512" s="1580"/>
      <c r="F512" s="1580"/>
      <c r="G512" s="1580"/>
      <c r="H512" s="1580"/>
      <c r="I512" s="1580"/>
      <c r="J512" s="1584"/>
      <c r="K512" s="1580"/>
      <c r="L512" s="1580"/>
      <c r="M512" s="1580"/>
      <c r="N512" s="1580"/>
      <c r="O512" s="1580"/>
      <c r="P512" s="1580"/>
      <c r="Q512" s="1580"/>
      <c r="R512" s="1580"/>
      <c r="S512" s="1580"/>
      <c r="T512" s="1580"/>
      <c r="U512" s="1580"/>
      <c r="V512" s="1580"/>
      <c r="W512" s="1580"/>
      <c r="X512" s="1580"/>
      <c r="Y512" s="1580"/>
      <c r="Z512" s="1580"/>
    </row>
    <row r="513" spans="1:26" ht="15.75" customHeight="1">
      <c r="A513" s="1580"/>
      <c r="B513" s="1580"/>
      <c r="C513" s="1580"/>
      <c r="D513" s="1580"/>
      <c r="E513" s="1580"/>
      <c r="F513" s="1580"/>
      <c r="G513" s="1580"/>
      <c r="H513" s="1580"/>
      <c r="I513" s="1580"/>
      <c r="J513" s="1584"/>
      <c r="K513" s="1580"/>
      <c r="L513" s="1580"/>
      <c r="M513" s="1580"/>
      <c r="N513" s="1580"/>
      <c r="O513" s="1580"/>
      <c r="P513" s="1580"/>
      <c r="Q513" s="1580"/>
      <c r="R513" s="1580"/>
      <c r="S513" s="1580"/>
      <c r="T513" s="1580"/>
      <c r="U513" s="1580"/>
      <c r="V513" s="1580"/>
      <c r="W513" s="1580"/>
      <c r="X513" s="1580"/>
      <c r="Y513" s="1580"/>
      <c r="Z513" s="1580"/>
    </row>
    <row r="514" spans="1:26" ht="15.75" customHeight="1">
      <c r="A514" s="1580"/>
      <c r="B514" s="1580"/>
      <c r="C514" s="1580"/>
      <c r="D514" s="1580"/>
      <c r="E514" s="1580"/>
      <c r="F514" s="1580"/>
      <c r="G514" s="1580"/>
      <c r="H514" s="1580"/>
      <c r="I514" s="1580"/>
      <c r="J514" s="1584"/>
      <c r="K514" s="1580"/>
      <c r="L514" s="1580"/>
      <c r="M514" s="1580"/>
      <c r="N514" s="1580"/>
      <c r="O514" s="1580"/>
      <c r="P514" s="1580"/>
      <c r="Q514" s="1580"/>
      <c r="R514" s="1580"/>
      <c r="S514" s="1580"/>
      <c r="T514" s="1580"/>
      <c r="U514" s="1580"/>
      <c r="V514" s="1580"/>
      <c r="W514" s="1580"/>
      <c r="X514" s="1580"/>
      <c r="Y514" s="1580"/>
      <c r="Z514" s="1580"/>
    </row>
    <row r="515" spans="1:26" ht="15.75" customHeight="1">
      <c r="A515" s="1580"/>
      <c r="B515" s="1580"/>
      <c r="C515" s="1580"/>
      <c r="D515" s="1580"/>
      <c r="E515" s="1580"/>
      <c r="F515" s="1580"/>
      <c r="G515" s="1580"/>
      <c r="H515" s="1580"/>
      <c r="I515" s="1580"/>
      <c r="J515" s="1584"/>
      <c r="K515" s="1580"/>
      <c r="L515" s="1580"/>
      <c r="M515" s="1580"/>
      <c r="N515" s="1580"/>
      <c r="O515" s="1580"/>
      <c r="P515" s="1580"/>
      <c r="Q515" s="1580"/>
      <c r="R515" s="1580"/>
      <c r="S515" s="1580"/>
      <c r="T515" s="1580"/>
      <c r="U515" s="1580"/>
      <c r="V515" s="1580"/>
      <c r="W515" s="1580"/>
      <c r="X515" s="1580"/>
      <c r="Y515" s="1580"/>
      <c r="Z515" s="1580"/>
    </row>
    <row r="516" spans="1:26" ht="15.75" customHeight="1">
      <c r="A516" s="1580"/>
      <c r="B516" s="1580"/>
      <c r="C516" s="1580"/>
      <c r="D516" s="1580"/>
      <c r="E516" s="1580"/>
      <c r="F516" s="1580"/>
      <c r="G516" s="1580"/>
      <c r="H516" s="1580"/>
      <c r="I516" s="1580"/>
      <c r="J516" s="1584"/>
      <c r="K516" s="1580"/>
      <c r="L516" s="1580"/>
      <c r="M516" s="1580"/>
      <c r="N516" s="1580"/>
      <c r="O516" s="1580"/>
      <c r="P516" s="1580"/>
      <c r="Q516" s="1580"/>
      <c r="R516" s="1580"/>
      <c r="S516" s="1580"/>
      <c r="T516" s="1580"/>
      <c r="U516" s="1580"/>
      <c r="V516" s="1580"/>
      <c r="W516" s="1580"/>
      <c r="X516" s="1580"/>
      <c r="Y516" s="1580"/>
      <c r="Z516" s="1580"/>
    </row>
    <row r="517" spans="1:26" ht="15.75" customHeight="1">
      <c r="A517" s="1580"/>
      <c r="B517" s="1580"/>
      <c r="C517" s="1580"/>
      <c r="D517" s="1580"/>
      <c r="E517" s="1580"/>
      <c r="F517" s="1580"/>
      <c r="G517" s="1580"/>
      <c r="H517" s="1580"/>
      <c r="I517" s="1580"/>
      <c r="J517" s="1584"/>
      <c r="K517" s="1580"/>
      <c r="L517" s="1580"/>
      <c r="M517" s="1580"/>
      <c r="N517" s="1580"/>
      <c r="O517" s="1580"/>
      <c r="P517" s="1580"/>
      <c r="Q517" s="1580"/>
      <c r="R517" s="1580"/>
      <c r="S517" s="1580"/>
      <c r="T517" s="1580"/>
      <c r="U517" s="1580"/>
      <c r="V517" s="1580"/>
      <c r="W517" s="1580"/>
      <c r="X517" s="1580"/>
      <c r="Y517" s="1580"/>
      <c r="Z517" s="1580"/>
    </row>
    <row r="518" spans="1:26" ht="15.75" customHeight="1">
      <c r="A518" s="1580"/>
      <c r="B518" s="1580"/>
      <c r="C518" s="1580"/>
      <c r="D518" s="1580"/>
      <c r="E518" s="1580"/>
      <c r="F518" s="1580"/>
      <c r="G518" s="1580"/>
      <c r="H518" s="1580"/>
      <c r="I518" s="1580"/>
      <c r="J518" s="1584"/>
      <c r="K518" s="1580"/>
      <c r="L518" s="1580"/>
      <c r="M518" s="1580"/>
      <c r="N518" s="1580"/>
      <c r="O518" s="1580"/>
      <c r="P518" s="1580"/>
      <c r="Q518" s="1580"/>
      <c r="R518" s="1580"/>
      <c r="S518" s="1580"/>
      <c r="T518" s="1580"/>
      <c r="U518" s="1580"/>
      <c r="V518" s="1580"/>
      <c r="W518" s="1580"/>
      <c r="X518" s="1580"/>
      <c r="Y518" s="1580"/>
      <c r="Z518" s="1580"/>
    </row>
    <row r="519" spans="1:26" ht="15.75" customHeight="1">
      <c r="A519" s="1580"/>
      <c r="B519" s="1580"/>
      <c r="C519" s="1580"/>
      <c r="D519" s="1580"/>
      <c r="E519" s="1580"/>
      <c r="F519" s="1580"/>
      <c r="G519" s="1580"/>
      <c r="H519" s="1580"/>
      <c r="I519" s="1580"/>
      <c r="J519" s="1584"/>
      <c r="K519" s="1580"/>
      <c r="L519" s="1580"/>
      <c r="M519" s="1580"/>
      <c r="N519" s="1580"/>
      <c r="O519" s="1580"/>
      <c r="P519" s="1580"/>
      <c r="Q519" s="1580"/>
      <c r="R519" s="1580"/>
      <c r="S519" s="1580"/>
      <c r="T519" s="1580"/>
      <c r="U519" s="1580"/>
      <c r="V519" s="1580"/>
      <c r="W519" s="1580"/>
      <c r="X519" s="1580"/>
      <c r="Y519" s="1580"/>
      <c r="Z519" s="1580"/>
    </row>
    <row r="520" spans="1:26" ht="15.75" customHeight="1">
      <c r="A520" s="1580"/>
      <c r="B520" s="1580"/>
      <c r="C520" s="1580"/>
      <c r="D520" s="1580"/>
      <c r="E520" s="1580"/>
      <c r="F520" s="1580"/>
      <c r="G520" s="1580"/>
      <c r="H520" s="1580"/>
      <c r="I520" s="1580"/>
      <c r="J520" s="1584"/>
      <c r="K520" s="1580"/>
      <c r="L520" s="1580"/>
      <c r="M520" s="1580"/>
      <c r="N520" s="1580"/>
      <c r="O520" s="1580"/>
      <c r="P520" s="1580"/>
      <c r="Q520" s="1580"/>
      <c r="R520" s="1580"/>
      <c r="S520" s="1580"/>
      <c r="T520" s="1580"/>
      <c r="U520" s="1580"/>
      <c r="V520" s="1580"/>
      <c r="W520" s="1580"/>
      <c r="X520" s="1580"/>
      <c r="Y520" s="1580"/>
      <c r="Z520" s="1580"/>
    </row>
    <row r="521" spans="1:26" ht="15.75" customHeight="1">
      <c r="A521" s="1580"/>
      <c r="B521" s="1580"/>
      <c r="C521" s="1580"/>
      <c r="D521" s="1580"/>
      <c r="E521" s="1580"/>
      <c r="F521" s="1580"/>
      <c r="G521" s="1580"/>
      <c r="H521" s="1580"/>
      <c r="I521" s="1580"/>
      <c r="J521" s="1584"/>
      <c r="K521" s="1580"/>
      <c r="L521" s="1580"/>
      <c r="M521" s="1580"/>
      <c r="N521" s="1580"/>
      <c r="O521" s="1580"/>
      <c r="P521" s="1580"/>
      <c r="Q521" s="1580"/>
      <c r="R521" s="1580"/>
      <c r="S521" s="1580"/>
      <c r="T521" s="1580"/>
      <c r="U521" s="1580"/>
      <c r="V521" s="1580"/>
      <c r="W521" s="1580"/>
      <c r="X521" s="1580"/>
      <c r="Y521" s="1580"/>
      <c r="Z521" s="1580"/>
    </row>
    <row r="522" spans="1:26" ht="15.75" customHeight="1">
      <c r="A522" s="1580"/>
      <c r="B522" s="1580"/>
      <c r="C522" s="1580"/>
      <c r="D522" s="1580"/>
      <c r="E522" s="1580"/>
      <c r="F522" s="1580"/>
      <c r="G522" s="1580"/>
      <c r="H522" s="1580"/>
      <c r="I522" s="1580"/>
      <c r="J522" s="1584"/>
      <c r="K522" s="1580"/>
      <c r="L522" s="1580"/>
      <c r="M522" s="1580"/>
      <c r="N522" s="1580"/>
      <c r="O522" s="1580"/>
      <c r="P522" s="1580"/>
      <c r="Q522" s="1580"/>
      <c r="R522" s="1580"/>
      <c r="S522" s="1580"/>
      <c r="T522" s="1580"/>
      <c r="U522" s="1580"/>
      <c r="V522" s="1580"/>
      <c r="W522" s="1580"/>
      <c r="X522" s="1580"/>
      <c r="Y522" s="1580"/>
      <c r="Z522" s="1580"/>
    </row>
    <row r="523" spans="1:26" ht="15.75" customHeight="1">
      <c r="A523" s="1580"/>
      <c r="B523" s="1580"/>
      <c r="C523" s="1580"/>
      <c r="D523" s="1580"/>
      <c r="E523" s="1580"/>
      <c r="F523" s="1580"/>
      <c r="G523" s="1580"/>
      <c r="H523" s="1580"/>
      <c r="I523" s="1580"/>
      <c r="J523" s="1584"/>
      <c r="K523" s="1580"/>
      <c r="L523" s="1580"/>
      <c r="M523" s="1580"/>
      <c r="N523" s="1580"/>
      <c r="O523" s="1580"/>
      <c r="P523" s="1580"/>
      <c r="Q523" s="1580"/>
      <c r="R523" s="1580"/>
      <c r="S523" s="1580"/>
      <c r="T523" s="1580"/>
      <c r="U523" s="1580"/>
      <c r="V523" s="1580"/>
      <c r="W523" s="1580"/>
      <c r="X523" s="1580"/>
      <c r="Y523" s="1580"/>
      <c r="Z523" s="1580"/>
    </row>
    <row r="524" spans="1:26" ht="15.75" customHeight="1">
      <c r="A524" s="1580"/>
      <c r="B524" s="1580"/>
      <c r="C524" s="1580"/>
      <c r="D524" s="1580"/>
      <c r="E524" s="1580"/>
      <c r="F524" s="1580"/>
      <c r="G524" s="1580"/>
      <c r="H524" s="1580"/>
      <c r="I524" s="1580"/>
      <c r="J524" s="1584"/>
      <c r="K524" s="1580"/>
      <c r="L524" s="1580"/>
      <c r="M524" s="1580"/>
      <c r="N524" s="1580"/>
      <c r="O524" s="1580"/>
      <c r="P524" s="1580"/>
      <c r="Q524" s="1580"/>
      <c r="R524" s="1580"/>
      <c r="S524" s="1580"/>
      <c r="T524" s="1580"/>
      <c r="U524" s="1580"/>
      <c r="V524" s="1580"/>
      <c r="W524" s="1580"/>
      <c r="X524" s="1580"/>
      <c r="Y524" s="1580"/>
      <c r="Z524" s="1580"/>
    </row>
    <row r="525" spans="1:26" ht="15.75" customHeight="1">
      <c r="A525" s="1580"/>
      <c r="B525" s="1580"/>
      <c r="C525" s="1580"/>
      <c r="D525" s="1580"/>
      <c r="E525" s="1580"/>
      <c r="F525" s="1580"/>
      <c r="G525" s="1580"/>
      <c r="H525" s="1580"/>
      <c r="I525" s="1580"/>
      <c r="J525" s="1584"/>
      <c r="K525" s="1580"/>
      <c r="L525" s="1580"/>
      <c r="M525" s="1580"/>
      <c r="N525" s="1580"/>
      <c r="O525" s="1580"/>
      <c r="P525" s="1580"/>
      <c r="Q525" s="1580"/>
      <c r="R525" s="1580"/>
      <c r="S525" s="1580"/>
      <c r="T525" s="1580"/>
      <c r="U525" s="1580"/>
      <c r="V525" s="1580"/>
      <c r="W525" s="1580"/>
      <c r="X525" s="1580"/>
      <c r="Y525" s="1580"/>
      <c r="Z525" s="1580"/>
    </row>
    <row r="526" spans="1:26" ht="15.75" customHeight="1">
      <c r="A526" s="1580"/>
      <c r="B526" s="1580"/>
      <c r="C526" s="1580"/>
      <c r="D526" s="1580"/>
      <c r="E526" s="1580"/>
      <c r="F526" s="1580"/>
      <c r="G526" s="1580"/>
      <c r="H526" s="1580"/>
      <c r="I526" s="1580"/>
      <c r="J526" s="1584"/>
      <c r="K526" s="1580"/>
      <c r="L526" s="1580"/>
      <c r="M526" s="1580"/>
      <c r="N526" s="1580"/>
      <c r="O526" s="1580"/>
      <c r="P526" s="1580"/>
      <c r="Q526" s="1580"/>
      <c r="R526" s="1580"/>
      <c r="S526" s="1580"/>
      <c r="T526" s="1580"/>
      <c r="U526" s="1580"/>
      <c r="V526" s="1580"/>
      <c r="W526" s="1580"/>
      <c r="X526" s="1580"/>
      <c r="Y526" s="1580"/>
      <c r="Z526" s="1580"/>
    </row>
    <row r="527" spans="1:26" ht="15.75" customHeight="1">
      <c r="A527" s="1580"/>
      <c r="B527" s="1580"/>
      <c r="C527" s="1580"/>
      <c r="D527" s="1580"/>
      <c r="E527" s="1580"/>
      <c r="F527" s="1580"/>
      <c r="G527" s="1580"/>
      <c r="H527" s="1580"/>
      <c r="I527" s="1580"/>
      <c r="J527" s="1584"/>
      <c r="K527" s="1580"/>
      <c r="L527" s="1580"/>
      <c r="M527" s="1580"/>
      <c r="N527" s="1580"/>
      <c r="O527" s="1580"/>
      <c r="P527" s="1580"/>
      <c r="Q527" s="1580"/>
      <c r="R527" s="1580"/>
      <c r="S527" s="1580"/>
      <c r="T527" s="1580"/>
      <c r="U527" s="1580"/>
      <c r="V527" s="1580"/>
      <c r="W527" s="1580"/>
      <c r="X527" s="1580"/>
      <c r="Y527" s="1580"/>
      <c r="Z527" s="1580"/>
    </row>
    <row r="528" spans="1:26" ht="15.75" customHeight="1">
      <c r="A528" s="1580"/>
      <c r="B528" s="1580"/>
      <c r="C528" s="1580"/>
      <c r="D528" s="1580"/>
      <c r="E528" s="1580"/>
      <c r="F528" s="1580"/>
      <c r="G528" s="1580"/>
      <c r="H528" s="1580"/>
      <c r="I528" s="1580"/>
      <c r="J528" s="1584"/>
      <c r="K528" s="1580"/>
      <c r="L528" s="1580"/>
      <c r="M528" s="1580"/>
      <c r="N528" s="1580"/>
      <c r="O528" s="1580"/>
      <c r="P528" s="1580"/>
      <c r="Q528" s="1580"/>
      <c r="R528" s="1580"/>
      <c r="S528" s="1580"/>
      <c r="T528" s="1580"/>
      <c r="U528" s="1580"/>
      <c r="V528" s="1580"/>
      <c r="W528" s="1580"/>
      <c r="X528" s="1580"/>
      <c r="Y528" s="1580"/>
      <c r="Z528" s="1580"/>
    </row>
    <row r="529" spans="1:26" ht="15.75" customHeight="1">
      <c r="A529" s="1580"/>
      <c r="B529" s="1580"/>
      <c r="C529" s="1580"/>
      <c r="D529" s="1580"/>
      <c r="E529" s="1580"/>
      <c r="F529" s="1580"/>
      <c r="G529" s="1580"/>
      <c r="H529" s="1580"/>
      <c r="I529" s="1580"/>
      <c r="J529" s="1584"/>
      <c r="K529" s="1580"/>
      <c r="L529" s="1580"/>
      <c r="M529" s="1580"/>
      <c r="N529" s="1580"/>
      <c r="O529" s="1580"/>
      <c r="P529" s="1580"/>
      <c r="Q529" s="1580"/>
      <c r="R529" s="1580"/>
      <c r="S529" s="1580"/>
      <c r="T529" s="1580"/>
      <c r="U529" s="1580"/>
      <c r="V529" s="1580"/>
      <c r="W529" s="1580"/>
      <c r="X529" s="1580"/>
      <c r="Y529" s="1580"/>
      <c r="Z529" s="1580"/>
    </row>
    <row r="530" spans="1:26" ht="15.75" customHeight="1">
      <c r="A530" s="1580"/>
      <c r="B530" s="1580"/>
      <c r="C530" s="1580"/>
      <c r="D530" s="1580"/>
      <c r="E530" s="1580"/>
      <c r="F530" s="1580"/>
      <c r="G530" s="1580"/>
      <c r="H530" s="1580"/>
      <c r="I530" s="1580"/>
      <c r="J530" s="1584"/>
      <c r="K530" s="1580"/>
      <c r="L530" s="1580"/>
      <c r="M530" s="1580"/>
      <c r="N530" s="1580"/>
      <c r="O530" s="1580"/>
      <c r="P530" s="1580"/>
      <c r="Q530" s="1580"/>
      <c r="R530" s="1580"/>
      <c r="S530" s="1580"/>
      <c r="T530" s="1580"/>
      <c r="U530" s="1580"/>
      <c r="V530" s="1580"/>
      <c r="W530" s="1580"/>
      <c r="X530" s="1580"/>
      <c r="Y530" s="1580"/>
      <c r="Z530" s="1580"/>
    </row>
    <row r="531" spans="1:26" ht="15.75" customHeight="1">
      <c r="A531" s="1580"/>
      <c r="B531" s="1580"/>
      <c r="C531" s="1580"/>
      <c r="D531" s="1580"/>
      <c r="E531" s="1580"/>
      <c r="F531" s="1580"/>
      <c r="G531" s="1580"/>
      <c r="H531" s="1580"/>
      <c r="I531" s="1580"/>
      <c r="J531" s="1584"/>
      <c r="K531" s="1580"/>
      <c r="L531" s="1580"/>
      <c r="M531" s="1580"/>
      <c r="N531" s="1580"/>
      <c r="O531" s="1580"/>
      <c r="P531" s="1580"/>
      <c r="Q531" s="1580"/>
      <c r="R531" s="1580"/>
      <c r="S531" s="1580"/>
      <c r="T531" s="1580"/>
      <c r="U531" s="1580"/>
      <c r="V531" s="1580"/>
      <c r="W531" s="1580"/>
      <c r="X531" s="1580"/>
      <c r="Y531" s="1580"/>
      <c r="Z531" s="1580"/>
    </row>
    <row r="532" spans="1:26" ht="15.75" customHeight="1">
      <c r="A532" s="1580"/>
      <c r="B532" s="1580"/>
      <c r="C532" s="1580"/>
      <c r="D532" s="1580"/>
      <c r="E532" s="1580"/>
      <c r="F532" s="1580"/>
      <c r="G532" s="1580"/>
      <c r="H532" s="1580"/>
      <c r="I532" s="1580"/>
      <c r="J532" s="1584"/>
      <c r="K532" s="1580"/>
      <c r="L532" s="1580"/>
      <c r="M532" s="1580"/>
      <c r="N532" s="1580"/>
      <c r="O532" s="1580"/>
      <c r="P532" s="1580"/>
      <c r="Q532" s="1580"/>
      <c r="R532" s="1580"/>
      <c r="S532" s="1580"/>
      <c r="T532" s="1580"/>
      <c r="U532" s="1580"/>
      <c r="V532" s="1580"/>
      <c r="W532" s="1580"/>
      <c r="X532" s="1580"/>
      <c r="Y532" s="1580"/>
      <c r="Z532" s="1580"/>
    </row>
    <row r="533" spans="1:26" ht="15.75" customHeight="1">
      <c r="A533" s="1580"/>
      <c r="B533" s="1580"/>
      <c r="C533" s="1580"/>
      <c r="D533" s="1580"/>
      <c r="E533" s="1580"/>
      <c r="F533" s="1580"/>
      <c r="G533" s="1580"/>
      <c r="H533" s="1580"/>
      <c r="I533" s="1580"/>
      <c r="J533" s="1584"/>
      <c r="K533" s="1580"/>
      <c r="L533" s="1580"/>
      <c r="M533" s="1580"/>
      <c r="N533" s="1580"/>
      <c r="O533" s="1580"/>
      <c r="P533" s="1580"/>
      <c r="Q533" s="1580"/>
      <c r="R533" s="1580"/>
      <c r="S533" s="1580"/>
      <c r="T533" s="1580"/>
      <c r="U533" s="1580"/>
      <c r="V533" s="1580"/>
      <c r="W533" s="1580"/>
      <c r="X533" s="1580"/>
      <c r="Y533" s="1580"/>
      <c r="Z533" s="1580"/>
    </row>
    <row r="534" spans="1:26" ht="15.75" customHeight="1">
      <c r="A534" s="1580"/>
      <c r="B534" s="1580"/>
      <c r="C534" s="1580"/>
      <c r="D534" s="1580"/>
      <c r="E534" s="1580"/>
      <c r="F534" s="1580"/>
      <c r="G534" s="1580"/>
      <c r="H534" s="1580"/>
      <c r="I534" s="1580"/>
      <c r="J534" s="1584"/>
      <c r="K534" s="1580"/>
      <c r="L534" s="1580"/>
      <c r="M534" s="1580"/>
      <c r="N534" s="1580"/>
      <c r="O534" s="1580"/>
      <c r="P534" s="1580"/>
      <c r="Q534" s="1580"/>
      <c r="R534" s="1580"/>
      <c r="S534" s="1580"/>
      <c r="T534" s="1580"/>
      <c r="U534" s="1580"/>
      <c r="V534" s="1580"/>
      <c r="W534" s="1580"/>
      <c r="X534" s="1580"/>
      <c r="Y534" s="1580"/>
      <c r="Z534" s="1580"/>
    </row>
    <row r="535" spans="1:26" ht="15.75" customHeight="1">
      <c r="A535" s="1580"/>
      <c r="B535" s="1580"/>
      <c r="C535" s="1580"/>
      <c r="D535" s="1580"/>
      <c r="E535" s="1580"/>
      <c r="F535" s="1580"/>
      <c r="G535" s="1580"/>
      <c r="H535" s="1580"/>
      <c r="I535" s="1580"/>
      <c r="J535" s="1584"/>
      <c r="K535" s="1580"/>
      <c r="L535" s="1580"/>
      <c r="M535" s="1580"/>
      <c r="N535" s="1580"/>
      <c r="O535" s="1580"/>
      <c r="P535" s="1580"/>
      <c r="Q535" s="1580"/>
      <c r="R535" s="1580"/>
      <c r="S535" s="1580"/>
      <c r="T535" s="1580"/>
      <c r="U535" s="1580"/>
      <c r="V535" s="1580"/>
      <c r="W535" s="1580"/>
      <c r="X535" s="1580"/>
      <c r="Y535" s="1580"/>
      <c r="Z535" s="1580"/>
    </row>
    <row r="536" spans="1:26" ht="15.75" customHeight="1">
      <c r="A536" s="1580"/>
      <c r="B536" s="1580"/>
      <c r="C536" s="1580"/>
      <c r="D536" s="1580"/>
      <c r="E536" s="1580"/>
      <c r="F536" s="1580"/>
      <c r="G536" s="1580"/>
      <c r="H536" s="1580"/>
      <c r="I536" s="1580"/>
      <c r="J536" s="1584"/>
      <c r="K536" s="1580"/>
      <c r="L536" s="1580"/>
      <c r="M536" s="1580"/>
      <c r="N536" s="1580"/>
      <c r="O536" s="1580"/>
      <c r="P536" s="1580"/>
      <c r="Q536" s="1580"/>
      <c r="R536" s="1580"/>
      <c r="S536" s="1580"/>
      <c r="T536" s="1580"/>
      <c r="U536" s="1580"/>
      <c r="V536" s="1580"/>
      <c r="W536" s="1580"/>
      <c r="X536" s="1580"/>
      <c r="Y536" s="1580"/>
      <c r="Z536" s="1580"/>
    </row>
    <row r="537" spans="1:26" ht="15.75" customHeight="1">
      <c r="A537" s="1580"/>
      <c r="B537" s="1580"/>
      <c r="C537" s="1580"/>
      <c r="D537" s="1580"/>
      <c r="E537" s="1580"/>
      <c r="F537" s="1580"/>
      <c r="G537" s="1580"/>
      <c r="H537" s="1580"/>
      <c r="I537" s="1580"/>
      <c r="J537" s="1584"/>
      <c r="K537" s="1580"/>
      <c r="L537" s="1580"/>
      <c r="M537" s="1580"/>
      <c r="N537" s="1580"/>
      <c r="O537" s="1580"/>
      <c r="P537" s="1580"/>
      <c r="Q537" s="1580"/>
      <c r="R537" s="1580"/>
      <c r="S537" s="1580"/>
      <c r="T537" s="1580"/>
      <c r="U537" s="1580"/>
      <c r="V537" s="1580"/>
      <c r="W537" s="1580"/>
      <c r="X537" s="1580"/>
      <c r="Y537" s="1580"/>
      <c r="Z537" s="1580"/>
    </row>
    <row r="538" spans="1:26" ht="15.75" customHeight="1">
      <c r="A538" s="1580"/>
      <c r="B538" s="1580"/>
      <c r="C538" s="1580"/>
      <c r="D538" s="1580"/>
      <c r="E538" s="1580"/>
      <c r="F538" s="1580"/>
      <c r="G538" s="1580"/>
      <c r="H538" s="1580"/>
      <c r="I538" s="1580"/>
      <c r="J538" s="1584"/>
      <c r="K538" s="1580"/>
      <c r="L538" s="1580"/>
      <c r="M538" s="1580"/>
      <c r="N538" s="1580"/>
      <c r="O538" s="1580"/>
      <c r="P538" s="1580"/>
      <c r="Q538" s="1580"/>
      <c r="R538" s="1580"/>
      <c r="S538" s="1580"/>
      <c r="T538" s="1580"/>
      <c r="U538" s="1580"/>
      <c r="V538" s="1580"/>
      <c r="W538" s="1580"/>
      <c r="X538" s="1580"/>
      <c r="Y538" s="1580"/>
      <c r="Z538" s="1580"/>
    </row>
    <row r="539" spans="1:26" ht="15.75" customHeight="1">
      <c r="A539" s="1580"/>
      <c r="B539" s="1580"/>
      <c r="C539" s="1580"/>
      <c r="D539" s="1580"/>
      <c r="E539" s="1580"/>
      <c r="F539" s="1580"/>
      <c r="G539" s="1580"/>
      <c r="H539" s="1580"/>
      <c r="I539" s="1580"/>
      <c r="J539" s="1584"/>
      <c r="K539" s="1580"/>
      <c r="L539" s="1580"/>
      <c r="M539" s="1580"/>
      <c r="N539" s="1580"/>
      <c r="O539" s="1580"/>
      <c r="P539" s="1580"/>
      <c r="Q539" s="1580"/>
      <c r="R539" s="1580"/>
      <c r="S539" s="1580"/>
      <c r="T539" s="1580"/>
      <c r="U539" s="1580"/>
      <c r="V539" s="1580"/>
      <c r="W539" s="1580"/>
      <c r="X539" s="1580"/>
      <c r="Y539" s="1580"/>
      <c r="Z539" s="1580"/>
    </row>
    <row r="540" spans="1:26" ht="15.75" customHeight="1">
      <c r="A540" s="1580"/>
      <c r="B540" s="1580"/>
      <c r="C540" s="1580"/>
      <c r="D540" s="1580"/>
      <c r="E540" s="1580"/>
      <c r="F540" s="1580"/>
      <c r="G540" s="1580"/>
      <c r="H540" s="1580"/>
      <c r="I540" s="1580"/>
      <c r="J540" s="1584"/>
      <c r="K540" s="1580"/>
      <c r="L540" s="1580"/>
      <c r="M540" s="1580"/>
      <c r="N540" s="1580"/>
      <c r="O540" s="1580"/>
      <c r="P540" s="1580"/>
      <c r="Q540" s="1580"/>
      <c r="R540" s="1580"/>
      <c r="S540" s="1580"/>
      <c r="T540" s="1580"/>
      <c r="U540" s="1580"/>
      <c r="V540" s="1580"/>
      <c r="W540" s="1580"/>
      <c r="X540" s="1580"/>
      <c r="Y540" s="1580"/>
      <c r="Z540" s="1580"/>
    </row>
    <row r="541" spans="1:26" ht="15.75" customHeight="1">
      <c r="A541" s="1580"/>
      <c r="B541" s="1580"/>
      <c r="C541" s="1580"/>
      <c r="D541" s="1580"/>
      <c r="E541" s="1580"/>
      <c r="F541" s="1580"/>
      <c r="G541" s="1580"/>
      <c r="H541" s="1580"/>
      <c r="I541" s="1580"/>
      <c r="J541" s="1584"/>
      <c r="K541" s="1580"/>
      <c r="L541" s="1580"/>
      <c r="M541" s="1580"/>
      <c r="N541" s="1580"/>
      <c r="O541" s="1580"/>
      <c r="P541" s="1580"/>
      <c r="Q541" s="1580"/>
      <c r="R541" s="1580"/>
      <c r="S541" s="1580"/>
      <c r="T541" s="1580"/>
      <c r="U541" s="1580"/>
      <c r="V541" s="1580"/>
      <c r="W541" s="1580"/>
      <c r="X541" s="1580"/>
      <c r="Y541" s="1580"/>
      <c r="Z541" s="1580"/>
    </row>
    <row r="542" spans="1:26" ht="15.75" customHeight="1">
      <c r="A542" s="1580"/>
      <c r="B542" s="1580"/>
      <c r="C542" s="1580"/>
      <c r="D542" s="1580"/>
      <c r="E542" s="1580"/>
      <c r="F542" s="1580"/>
      <c r="G542" s="1580"/>
      <c r="H542" s="1580"/>
      <c r="I542" s="1580"/>
      <c r="J542" s="1584"/>
      <c r="K542" s="1580"/>
      <c r="L542" s="1580"/>
      <c r="M542" s="1580"/>
      <c r="N542" s="1580"/>
      <c r="O542" s="1580"/>
      <c r="P542" s="1580"/>
      <c r="Q542" s="1580"/>
      <c r="R542" s="1580"/>
      <c r="S542" s="1580"/>
      <c r="T542" s="1580"/>
      <c r="U542" s="1580"/>
      <c r="V542" s="1580"/>
      <c r="W542" s="1580"/>
      <c r="X542" s="1580"/>
      <c r="Y542" s="1580"/>
      <c r="Z542" s="1580"/>
    </row>
    <row r="543" spans="1:26" ht="15.75" customHeight="1">
      <c r="A543" s="1580"/>
      <c r="B543" s="1580"/>
      <c r="C543" s="1580"/>
      <c r="D543" s="1580"/>
      <c r="E543" s="1580"/>
      <c r="F543" s="1580"/>
      <c r="G543" s="1580"/>
      <c r="H543" s="1580"/>
      <c r="I543" s="1580"/>
      <c r="J543" s="1584"/>
      <c r="K543" s="1580"/>
      <c r="L543" s="1580"/>
      <c r="M543" s="1580"/>
      <c r="N543" s="1580"/>
      <c r="O543" s="1580"/>
      <c r="P543" s="1580"/>
      <c r="Q543" s="1580"/>
      <c r="R543" s="1580"/>
      <c r="S543" s="1580"/>
      <c r="T543" s="1580"/>
      <c r="U543" s="1580"/>
      <c r="V543" s="1580"/>
      <c r="W543" s="1580"/>
      <c r="X543" s="1580"/>
      <c r="Y543" s="1580"/>
      <c r="Z543" s="1580"/>
    </row>
    <row r="544" spans="1:26" ht="15.75" customHeight="1">
      <c r="A544" s="1580"/>
      <c r="B544" s="1580"/>
      <c r="C544" s="1580"/>
      <c r="D544" s="1580"/>
      <c r="E544" s="1580"/>
      <c r="F544" s="1580"/>
      <c r="G544" s="1580"/>
      <c r="H544" s="1580"/>
      <c r="I544" s="1580"/>
      <c r="J544" s="1584"/>
      <c r="K544" s="1580"/>
      <c r="L544" s="1580"/>
      <c r="M544" s="1580"/>
      <c r="N544" s="1580"/>
      <c r="O544" s="1580"/>
      <c r="P544" s="1580"/>
      <c r="Q544" s="1580"/>
      <c r="R544" s="1580"/>
      <c r="S544" s="1580"/>
      <c r="T544" s="1580"/>
      <c r="U544" s="1580"/>
      <c r="V544" s="1580"/>
      <c r="W544" s="1580"/>
      <c r="X544" s="1580"/>
      <c r="Y544" s="1580"/>
      <c r="Z544" s="1580"/>
    </row>
    <row r="545" spans="1:26" ht="15.75" customHeight="1">
      <c r="A545" s="1580"/>
      <c r="B545" s="1580"/>
      <c r="C545" s="1580"/>
      <c r="D545" s="1580"/>
      <c r="E545" s="1580"/>
      <c r="F545" s="1580"/>
      <c r="G545" s="1580"/>
      <c r="H545" s="1580"/>
      <c r="I545" s="1580"/>
      <c r="J545" s="1584"/>
      <c r="K545" s="1580"/>
      <c r="L545" s="1580"/>
      <c r="M545" s="1580"/>
      <c r="N545" s="1580"/>
      <c r="O545" s="1580"/>
      <c r="P545" s="1580"/>
      <c r="Q545" s="1580"/>
      <c r="R545" s="1580"/>
      <c r="S545" s="1580"/>
      <c r="T545" s="1580"/>
      <c r="U545" s="1580"/>
      <c r="V545" s="1580"/>
      <c r="W545" s="1580"/>
      <c r="X545" s="1580"/>
      <c r="Y545" s="1580"/>
      <c r="Z545" s="1580"/>
    </row>
    <row r="546" spans="1:26" ht="15.75" customHeight="1">
      <c r="A546" s="1580"/>
      <c r="B546" s="1580"/>
      <c r="C546" s="1580"/>
      <c r="D546" s="1580"/>
      <c r="E546" s="1580"/>
      <c r="F546" s="1580"/>
      <c r="G546" s="1580"/>
      <c r="H546" s="1580"/>
      <c r="I546" s="1580"/>
      <c r="J546" s="1580"/>
      <c r="K546" s="1580"/>
      <c r="L546" s="1580"/>
      <c r="M546" s="1580"/>
      <c r="N546" s="1580"/>
      <c r="O546" s="1580"/>
      <c r="P546" s="1580"/>
      <c r="Q546" s="1580"/>
      <c r="R546" s="1580"/>
      <c r="S546" s="1580"/>
      <c r="T546" s="1580"/>
      <c r="U546" s="1580"/>
      <c r="V546" s="1580"/>
      <c r="W546" s="1580"/>
      <c r="X546" s="1580"/>
      <c r="Y546" s="1580"/>
      <c r="Z546" s="1580"/>
    </row>
    <row r="547" spans="1:26" ht="15.75" customHeight="1">
      <c r="A547" s="1580"/>
      <c r="B547" s="1580"/>
      <c r="C547" s="1580"/>
      <c r="D547" s="1580"/>
      <c r="E547" s="1580"/>
      <c r="F547" s="1580"/>
      <c r="G547" s="1580"/>
      <c r="H547" s="1580"/>
      <c r="I547" s="1580"/>
      <c r="J547" s="1580"/>
      <c r="K547" s="1580"/>
      <c r="L547" s="1580"/>
      <c r="M547" s="1580"/>
      <c r="N547" s="1580"/>
      <c r="O547" s="1580"/>
      <c r="P547" s="1580"/>
      <c r="Q547" s="1580"/>
      <c r="R547" s="1580"/>
      <c r="S547" s="1580"/>
      <c r="T547" s="1580"/>
      <c r="U547" s="1580"/>
      <c r="V547" s="1580"/>
      <c r="W547" s="1580"/>
      <c r="X547" s="1580"/>
      <c r="Y547" s="1580"/>
      <c r="Z547" s="1580"/>
    </row>
    <row r="548" spans="1:26" ht="15.75" customHeight="1">
      <c r="A548" s="1580"/>
      <c r="B548" s="1580"/>
      <c r="C548" s="1580"/>
      <c r="D548" s="1580"/>
      <c r="E548" s="1580"/>
      <c r="F548" s="1580"/>
      <c r="G548" s="1580"/>
      <c r="H548" s="1580"/>
      <c r="I548" s="1580"/>
      <c r="J548" s="1580"/>
      <c r="K548" s="1580"/>
      <c r="L548" s="1580"/>
      <c r="M548" s="1580"/>
      <c r="N548" s="1580"/>
      <c r="O548" s="1580"/>
      <c r="P548" s="1580"/>
      <c r="Q548" s="1580"/>
      <c r="R548" s="1580"/>
      <c r="S548" s="1580"/>
      <c r="T548" s="1580"/>
      <c r="U548" s="1580"/>
      <c r="V548" s="1580"/>
      <c r="W548" s="1580"/>
      <c r="X548" s="1580"/>
      <c r="Y548" s="1580"/>
      <c r="Z548" s="1580"/>
    </row>
    <row r="549" spans="1:26" ht="15.75" customHeight="1">
      <c r="A549" s="1580"/>
      <c r="B549" s="1580"/>
      <c r="C549" s="1580"/>
      <c r="D549" s="1580"/>
      <c r="E549" s="1580"/>
      <c r="F549" s="1580"/>
      <c r="G549" s="1580"/>
      <c r="H549" s="1580"/>
      <c r="I549" s="1580"/>
      <c r="J549" s="1580"/>
      <c r="K549" s="1580"/>
      <c r="L549" s="1580"/>
      <c r="M549" s="1580"/>
      <c r="N549" s="1580"/>
      <c r="O549" s="1580"/>
      <c r="P549" s="1580"/>
      <c r="Q549" s="1580"/>
      <c r="R549" s="1580"/>
      <c r="S549" s="1580"/>
      <c r="T549" s="1580"/>
      <c r="U549" s="1580"/>
      <c r="V549" s="1580"/>
      <c r="W549" s="1580"/>
      <c r="X549" s="1580"/>
      <c r="Y549" s="1580"/>
      <c r="Z549" s="1580"/>
    </row>
    <row r="550" spans="1:26" ht="15.75" customHeight="1">
      <c r="A550" s="1580"/>
      <c r="B550" s="1580"/>
      <c r="C550" s="1580"/>
      <c r="D550" s="1580"/>
      <c r="E550" s="1580"/>
      <c r="F550" s="1580"/>
      <c r="G550" s="1580"/>
      <c r="H550" s="1580"/>
      <c r="I550" s="1580"/>
      <c r="J550" s="1580"/>
      <c r="K550" s="1580"/>
      <c r="L550" s="1580"/>
      <c r="M550" s="1580"/>
      <c r="N550" s="1580"/>
      <c r="O550" s="1580"/>
      <c r="P550" s="1580"/>
      <c r="Q550" s="1580"/>
      <c r="R550" s="1580"/>
      <c r="S550" s="1580"/>
      <c r="T550" s="1580"/>
      <c r="U550" s="1580"/>
      <c r="V550" s="1580"/>
      <c r="W550" s="1580"/>
      <c r="X550" s="1580"/>
      <c r="Y550" s="1580"/>
      <c r="Z550" s="1580"/>
    </row>
    <row r="551" spans="1:26" ht="15.75" customHeight="1">
      <c r="A551" s="1580"/>
      <c r="B551" s="1580"/>
      <c r="C551" s="1580"/>
      <c r="D551" s="1580"/>
      <c r="E551" s="1580"/>
      <c r="F551" s="1580"/>
      <c r="G551" s="1580"/>
      <c r="H551" s="1580"/>
      <c r="I551" s="1580"/>
      <c r="J551" s="1580"/>
      <c r="K551" s="1580"/>
      <c r="L551" s="1580"/>
      <c r="M551" s="1580"/>
      <c r="N551" s="1580"/>
      <c r="O551" s="1580"/>
      <c r="P551" s="1580"/>
      <c r="Q551" s="1580"/>
      <c r="R551" s="1580"/>
      <c r="S551" s="1580"/>
      <c r="T551" s="1580"/>
      <c r="U551" s="1580"/>
      <c r="V551" s="1580"/>
      <c r="W551" s="1580"/>
      <c r="X551" s="1580"/>
      <c r="Y551" s="1580"/>
      <c r="Z551" s="1580"/>
    </row>
    <row r="552" spans="1:26" ht="15.75" customHeight="1">
      <c r="A552" s="1580"/>
      <c r="B552" s="1580"/>
      <c r="C552" s="1580"/>
      <c r="D552" s="1580"/>
      <c r="E552" s="1580"/>
      <c r="F552" s="1580"/>
      <c r="G552" s="1580"/>
      <c r="H552" s="1580"/>
      <c r="I552" s="1580"/>
      <c r="J552" s="1580"/>
      <c r="K552" s="1580"/>
      <c r="L552" s="1580"/>
      <c r="M552" s="1580"/>
      <c r="N552" s="1580"/>
      <c r="O552" s="1580"/>
      <c r="P552" s="1580"/>
      <c r="Q552" s="1580"/>
      <c r="R552" s="1580"/>
      <c r="S552" s="1580"/>
      <c r="T552" s="1580"/>
      <c r="U552" s="1580"/>
      <c r="V552" s="1580"/>
      <c r="W552" s="1580"/>
      <c r="X552" s="1580"/>
      <c r="Y552" s="1580"/>
      <c r="Z552" s="1580"/>
    </row>
    <row r="553" spans="1:26" ht="15.75" customHeight="1">
      <c r="A553" s="1580"/>
      <c r="B553" s="1580"/>
      <c r="C553" s="1580"/>
      <c r="D553" s="1580"/>
      <c r="E553" s="1580"/>
      <c r="F553" s="1580"/>
      <c r="G553" s="1580"/>
      <c r="H553" s="1580"/>
      <c r="I553" s="1580"/>
      <c r="J553" s="1580"/>
      <c r="K553" s="1580"/>
      <c r="L553" s="1580"/>
      <c r="M553" s="1580"/>
      <c r="N553" s="1580"/>
      <c r="O553" s="1580"/>
      <c r="P553" s="1580"/>
      <c r="Q553" s="1580"/>
      <c r="R553" s="1580"/>
      <c r="S553" s="1580"/>
      <c r="T553" s="1580"/>
      <c r="U553" s="1580"/>
      <c r="V553" s="1580"/>
      <c r="W553" s="1580"/>
      <c r="X553" s="1580"/>
      <c r="Y553" s="1580"/>
      <c r="Z553" s="1580"/>
    </row>
    <row r="554" spans="1:26" ht="15.75" customHeight="1">
      <c r="A554" s="1580"/>
      <c r="B554" s="1580"/>
      <c r="C554" s="1580"/>
      <c r="D554" s="1580"/>
      <c r="E554" s="1580"/>
      <c r="F554" s="1580"/>
      <c r="G554" s="1580"/>
      <c r="H554" s="1580"/>
      <c r="I554" s="1580"/>
      <c r="J554" s="1580"/>
      <c r="K554" s="1580"/>
      <c r="L554" s="1580"/>
      <c r="M554" s="1580"/>
      <c r="N554" s="1580"/>
      <c r="O554" s="1580"/>
      <c r="P554" s="1580"/>
      <c r="Q554" s="1580"/>
      <c r="R554" s="1580"/>
      <c r="S554" s="1580"/>
      <c r="T554" s="1580"/>
      <c r="U554" s="1580"/>
      <c r="V554" s="1580"/>
      <c r="W554" s="1580"/>
      <c r="X554" s="1580"/>
      <c r="Y554" s="1580"/>
      <c r="Z554" s="1580"/>
    </row>
    <row r="555" spans="1:26" ht="15.75" customHeight="1">
      <c r="A555" s="1580"/>
      <c r="B555" s="1580"/>
      <c r="C555" s="1580"/>
      <c r="D555" s="1580"/>
      <c r="E555" s="1580"/>
      <c r="F555" s="1580"/>
      <c r="G555" s="1580"/>
      <c r="H555" s="1580"/>
      <c r="I555" s="1580"/>
      <c r="J555" s="1580"/>
      <c r="K555" s="1580"/>
      <c r="L555" s="1580"/>
      <c r="M555" s="1580"/>
      <c r="N555" s="1580"/>
      <c r="O555" s="1580"/>
      <c r="P555" s="1580"/>
      <c r="Q555" s="1580"/>
      <c r="R555" s="1580"/>
      <c r="S555" s="1580"/>
      <c r="T555" s="1580"/>
      <c r="U555" s="1580"/>
      <c r="V555" s="1580"/>
      <c r="W555" s="1580"/>
      <c r="X555" s="1580"/>
      <c r="Y555" s="1580"/>
      <c r="Z555" s="1580"/>
    </row>
    <row r="556" spans="1:26" ht="15.75" customHeight="1">
      <c r="A556" s="1580"/>
      <c r="B556" s="1580"/>
      <c r="C556" s="1580"/>
      <c r="D556" s="1580"/>
      <c r="E556" s="1580"/>
      <c r="F556" s="1580"/>
      <c r="G556" s="1580"/>
      <c r="H556" s="1580"/>
      <c r="I556" s="1580"/>
      <c r="J556" s="1580"/>
      <c r="K556" s="1580"/>
      <c r="L556" s="1580"/>
      <c r="M556" s="1580"/>
      <c r="N556" s="1580"/>
      <c r="O556" s="1580"/>
      <c r="P556" s="1580"/>
      <c r="Q556" s="1580"/>
      <c r="R556" s="1580"/>
      <c r="S556" s="1580"/>
      <c r="T556" s="1580"/>
      <c r="U556" s="1580"/>
      <c r="V556" s="1580"/>
      <c r="W556" s="1580"/>
      <c r="X556" s="1580"/>
      <c r="Y556" s="1580"/>
      <c r="Z556" s="1580"/>
    </row>
    <row r="557" spans="1:26" ht="15.75" customHeight="1">
      <c r="A557" s="1580"/>
      <c r="B557" s="1580"/>
      <c r="C557" s="1580"/>
      <c r="D557" s="1580"/>
      <c r="E557" s="1580"/>
      <c r="F557" s="1580"/>
      <c r="G557" s="1580"/>
      <c r="H557" s="1580"/>
      <c r="I557" s="1580"/>
      <c r="J557" s="1580"/>
      <c r="K557" s="1580"/>
      <c r="L557" s="1580"/>
      <c r="M557" s="1580"/>
      <c r="N557" s="1580"/>
      <c r="O557" s="1580"/>
      <c r="P557" s="1580"/>
      <c r="Q557" s="1580"/>
      <c r="R557" s="1580"/>
      <c r="S557" s="1580"/>
      <c r="T557" s="1580"/>
      <c r="U557" s="1580"/>
      <c r="V557" s="1580"/>
      <c r="W557" s="1580"/>
      <c r="X557" s="1580"/>
      <c r="Y557" s="1580"/>
      <c r="Z557" s="1580"/>
    </row>
    <row r="558" spans="1:26" ht="15.75" customHeight="1">
      <c r="A558" s="1580"/>
      <c r="B558" s="1580"/>
      <c r="C558" s="1580"/>
      <c r="D558" s="1580"/>
      <c r="E558" s="1580"/>
      <c r="F558" s="1580"/>
      <c r="G558" s="1580"/>
      <c r="H558" s="1580"/>
      <c r="I558" s="1580"/>
      <c r="J558" s="1580"/>
      <c r="K558" s="1580"/>
      <c r="L558" s="1580"/>
      <c r="M558" s="1580"/>
      <c r="N558" s="1580"/>
      <c r="O558" s="1580"/>
      <c r="P558" s="1580"/>
      <c r="Q558" s="1580"/>
      <c r="R558" s="1580"/>
      <c r="S558" s="1580"/>
      <c r="T558" s="1580"/>
      <c r="U558" s="1580"/>
      <c r="V558" s="1580"/>
      <c r="W558" s="1580"/>
      <c r="X558" s="1580"/>
      <c r="Y558" s="1580"/>
      <c r="Z558" s="1580"/>
    </row>
    <row r="559" spans="1:26" ht="15.75" customHeight="1">
      <c r="A559" s="1580"/>
      <c r="B559" s="1580"/>
      <c r="C559" s="1580"/>
      <c r="D559" s="1580"/>
      <c r="E559" s="1580"/>
      <c r="F559" s="1580"/>
      <c r="G559" s="1580"/>
      <c r="H559" s="1580"/>
      <c r="I559" s="1580"/>
      <c r="J559" s="1580"/>
      <c r="K559" s="1580"/>
      <c r="L559" s="1580"/>
      <c r="M559" s="1580"/>
      <c r="N559" s="1580"/>
      <c r="O559" s="1580"/>
      <c r="P559" s="1580"/>
      <c r="Q559" s="1580"/>
      <c r="R559" s="1580"/>
      <c r="S559" s="1580"/>
      <c r="T559" s="1580"/>
      <c r="U559" s="1580"/>
      <c r="V559" s="1580"/>
      <c r="W559" s="1580"/>
      <c r="X559" s="1580"/>
      <c r="Y559" s="1580"/>
      <c r="Z559" s="1580"/>
    </row>
    <row r="560" spans="1:26" ht="15.75" customHeight="1">
      <c r="A560" s="1580"/>
      <c r="B560" s="1580"/>
      <c r="C560" s="1580"/>
      <c r="D560" s="1580"/>
      <c r="E560" s="1580"/>
      <c r="F560" s="1580"/>
      <c r="G560" s="1580"/>
      <c r="H560" s="1580"/>
      <c r="I560" s="1580"/>
      <c r="J560" s="1580"/>
      <c r="K560" s="1580"/>
      <c r="L560" s="1580"/>
      <c r="M560" s="1580"/>
      <c r="N560" s="1580"/>
      <c r="O560" s="1580"/>
      <c r="P560" s="1580"/>
      <c r="Q560" s="1580"/>
      <c r="R560" s="1580"/>
      <c r="S560" s="1580"/>
      <c r="T560" s="1580"/>
      <c r="U560" s="1580"/>
      <c r="V560" s="1580"/>
      <c r="W560" s="1580"/>
      <c r="X560" s="1580"/>
      <c r="Y560" s="1580"/>
      <c r="Z560" s="1580"/>
    </row>
    <row r="561" spans="1:26" ht="15.75" customHeight="1">
      <c r="A561" s="1580"/>
      <c r="B561" s="1580"/>
      <c r="C561" s="1580"/>
      <c r="D561" s="1580"/>
      <c r="E561" s="1580"/>
      <c r="F561" s="1580"/>
      <c r="G561" s="1580"/>
      <c r="H561" s="1580"/>
      <c r="I561" s="1580"/>
      <c r="J561" s="1580"/>
      <c r="K561" s="1580"/>
      <c r="L561" s="1580"/>
      <c r="M561" s="1580"/>
      <c r="N561" s="1580"/>
      <c r="O561" s="1580"/>
      <c r="P561" s="1580"/>
      <c r="Q561" s="1580"/>
      <c r="R561" s="1580"/>
      <c r="S561" s="1580"/>
      <c r="T561" s="1580"/>
      <c r="U561" s="1580"/>
      <c r="V561" s="1580"/>
      <c r="W561" s="1580"/>
      <c r="X561" s="1580"/>
      <c r="Y561" s="1580"/>
      <c r="Z561" s="1580"/>
    </row>
    <row r="562" spans="1:26" ht="15.75" customHeight="1">
      <c r="A562" s="1580"/>
      <c r="B562" s="1580"/>
      <c r="C562" s="1580"/>
      <c r="D562" s="1580"/>
      <c r="E562" s="1580"/>
      <c r="F562" s="1580"/>
      <c r="G562" s="1580"/>
      <c r="H562" s="1580"/>
      <c r="I562" s="1580"/>
      <c r="J562" s="1580"/>
      <c r="K562" s="1580"/>
      <c r="L562" s="1580"/>
      <c r="M562" s="1580"/>
      <c r="N562" s="1580"/>
      <c r="O562" s="1580"/>
      <c r="P562" s="1580"/>
      <c r="Q562" s="1580"/>
      <c r="R562" s="1580"/>
      <c r="S562" s="1580"/>
      <c r="T562" s="1580"/>
      <c r="U562" s="1580"/>
      <c r="V562" s="1580"/>
      <c r="W562" s="1580"/>
      <c r="X562" s="1580"/>
      <c r="Y562" s="1580"/>
      <c r="Z562" s="1580"/>
    </row>
    <row r="563" spans="1:26" ht="15.75" customHeight="1">
      <c r="A563" s="1580"/>
      <c r="B563" s="1580"/>
      <c r="C563" s="1580"/>
      <c r="D563" s="1580"/>
      <c r="E563" s="1580"/>
      <c r="F563" s="1580"/>
      <c r="G563" s="1580"/>
      <c r="H563" s="1580"/>
      <c r="I563" s="1580"/>
      <c r="J563" s="1580"/>
      <c r="K563" s="1580"/>
      <c r="L563" s="1580"/>
      <c r="M563" s="1580"/>
      <c r="N563" s="1580"/>
      <c r="O563" s="1580"/>
      <c r="P563" s="1580"/>
      <c r="Q563" s="1580"/>
      <c r="R563" s="1580"/>
      <c r="S563" s="1580"/>
      <c r="T563" s="1580"/>
      <c r="U563" s="1580"/>
      <c r="V563" s="1580"/>
      <c r="W563" s="1580"/>
      <c r="X563" s="1580"/>
      <c r="Y563" s="1580"/>
      <c r="Z563" s="1580"/>
    </row>
    <row r="564" spans="1:26" ht="15.75" customHeight="1">
      <c r="A564" s="1580"/>
      <c r="B564" s="1580"/>
      <c r="C564" s="1580"/>
      <c r="D564" s="1580"/>
      <c r="E564" s="1580"/>
      <c r="F564" s="1580"/>
      <c r="G564" s="1580"/>
      <c r="H564" s="1580"/>
      <c r="I564" s="1580"/>
      <c r="J564" s="1580"/>
      <c r="K564" s="1580"/>
      <c r="L564" s="1580"/>
      <c r="M564" s="1580"/>
      <c r="N564" s="1580"/>
      <c r="O564" s="1580"/>
      <c r="P564" s="1580"/>
      <c r="Q564" s="1580"/>
      <c r="R564" s="1580"/>
      <c r="S564" s="1580"/>
      <c r="T564" s="1580"/>
      <c r="U564" s="1580"/>
      <c r="V564" s="1580"/>
      <c r="W564" s="1580"/>
      <c r="X564" s="1580"/>
      <c r="Y564" s="1580"/>
      <c r="Z564" s="1580"/>
    </row>
    <row r="565" spans="1:26" ht="15.75" customHeight="1">
      <c r="A565" s="1580"/>
      <c r="B565" s="1580"/>
      <c r="C565" s="1580"/>
      <c r="D565" s="1580"/>
      <c r="E565" s="1580"/>
      <c r="F565" s="1580"/>
      <c r="G565" s="1580"/>
      <c r="H565" s="1580"/>
      <c r="I565" s="1580"/>
      <c r="J565" s="1580"/>
      <c r="K565" s="1580"/>
      <c r="L565" s="1580"/>
      <c r="M565" s="1580"/>
      <c r="N565" s="1580"/>
      <c r="O565" s="1580"/>
      <c r="P565" s="1580"/>
      <c r="Q565" s="1580"/>
      <c r="R565" s="1580"/>
      <c r="S565" s="1580"/>
      <c r="T565" s="1580"/>
      <c r="U565" s="1580"/>
      <c r="V565" s="1580"/>
      <c r="W565" s="1580"/>
      <c r="X565" s="1580"/>
      <c r="Y565" s="1580"/>
      <c r="Z565" s="1580"/>
    </row>
    <row r="566" spans="1:26" ht="15.75" customHeight="1">
      <c r="A566" s="1580"/>
      <c r="B566" s="1580"/>
      <c r="C566" s="1580"/>
      <c r="D566" s="1580"/>
      <c r="E566" s="1580"/>
      <c r="F566" s="1580"/>
      <c r="G566" s="1580"/>
      <c r="H566" s="1580"/>
      <c r="I566" s="1580"/>
      <c r="J566" s="1580"/>
      <c r="K566" s="1580"/>
      <c r="L566" s="1580"/>
      <c r="M566" s="1580"/>
      <c r="N566" s="1580"/>
      <c r="O566" s="1580"/>
      <c r="P566" s="1580"/>
      <c r="Q566" s="1580"/>
      <c r="R566" s="1580"/>
      <c r="S566" s="1580"/>
      <c r="T566" s="1580"/>
      <c r="U566" s="1580"/>
      <c r="V566" s="1580"/>
      <c r="W566" s="1580"/>
      <c r="X566" s="1580"/>
      <c r="Y566" s="1580"/>
      <c r="Z566" s="1580"/>
    </row>
    <row r="567" spans="1:26" ht="15.75" customHeight="1">
      <c r="A567" s="1580"/>
      <c r="B567" s="1580"/>
      <c r="C567" s="1580"/>
      <c r="D567" s="1580"/>
      <c r="E567" s="1580"/>
      <c r="F567" s="1580"/>
      <c r="G567" s="1580"/>
      <c r="H567" s="1580"/>
      <c r="I567" s="1580"/>
      <c r="J567" s="1580"/>
      <c r="K567" s="1580"/>
      <c r="L567" s="1580"/>
      <c r="M567" s="1580"/>
      <c r="N567" s="1580"/>
      <c r="O567" s="1580"/>
      <c r="P567" s="1580"/>
      <c r="Q567" s="1580"/>
      <c r="R567" s="1580"/>
      <c r="S567" s="1580"/>
      <c r="T567" s="1580"/>
      <c r="U567" s="1580"/>
      <c r="V567" s="1580"/>
      <c r="W567" s="1580"/>
      <c r="X567" s="1580"/>
      <c r="Y567" s="1580"/>
      <c r="Z567" s="1580"/>
    </row>
    <row r="568" spans="1:26" ht="15.75" customHeight="1">
      <c r="A568" s="1580"/>
      <c r="B568" s="1580"/>
      <c r="C568" s="1580"/>
      <c r="D568" s="1580"/>
      <c r="E568" s="1580"/>
      <c r="F568" s="1580"/>
      <c r="G568" s="1580"/>
      <c r="H568" s="1580"/>
      <c r="I568" s="1580"/>
      <c r="J568" s="1580"/>
      <c r="K568" s="1580"/>
      <c r="L568" s="1580"/>
      <c r="M568" s="1580"/>
      <c r="N568" s="1580"/>
      <c r="O568" s="1580"/>
      <c r="P568" s="1580"/>
      <c r="Q568" s="1580"/>
      <c r="R568" s="1580"/>
      <c r="S568" s="1580"/>
      <c r="T568" s="1580"/>
      <c r="U568" s="1580"/>
      <c r="V568" s="1580"/>
      <c r="W568" s="1580"/>
      <c r="X568" s="1580"/>
      <c r="Y568" s="1580"/>
      <c r="Z568" s="1580"/>
    </row>
    <row r="569" spans="1:26" ht="15.75" customHeight="1">
      <c r="A569" s="1580"/>
      <c r="B569" s="1580"/>
      <c r="C569" s="1580"/>
      <c r="D569" s="1580"/>
      <c r="E569" s="1580"/>
      <c r="F569" s="1580"/>
      <c r="G569" s="1580"/>
      <c r="H569" s="1580"/>
      <c r="I569" s="1580"/>
      <c r="J569" s="1580"/>
      <c r="K569" s="1580"/>
      <c r="L569" s="1580"/>
      <c r="M569" s="1580"/>
      <c r="N569" s="1580"/>
      <c r="O569" s="1580"/>
      <c r="P569" s="1580"/>
      <c r="Q569" s="1580"/>
      <c r="R569" s="1580"/>
      <c r="S569" s="1580"/>
      <c r="T569" s="1580"/>
      <c r="U569" s="1580"/>
      <c r="V569" s="1580"/>
      <c r="W569" s="1580"/>
      <c r="X569" s="1580"/>
      <c r="Y569" s="1580"/>
      <c r="Z569" s="1580"/>
    </row>
    <row r="570" spans="1:26" ht="15.75" customHeight="1">
      <c r="A570" s="1580"/>
      <c r="B570" s="1580"/>
      <c r="C570" s="1580"/>
      <c r="D570" s="1580"/>
      <c r="E570" s="1580"/>
      <c r="F570" s="1580"/>
      <c r="G570" s="1580"/>
      <c r="H570" s="1580"/>
      <c r="I570" s="1580"/>
      <c r="J570" s="1580"/>
      <c r="K570" s="1580"/>
      <c r="L570" s="1580"/>
      <c r="M570" s="1580"/>
      <c r="N570" s="1580"/>
      <c r="O570" s="1580"/>
      <c r="P570" s="1580"/>
      <c r="Q570" s="1580"/>
      <c r="R570" s="1580"/>
      <c r="S570" s="1580"/>
      <c r="T570" s="1580"/>
      <c r="U570" s="1580"/>
      <c r="V570" s="1580"/>
      <c r="W570" s="1580"/>
      <c r="X570" s="1580"/>
      <c r="Y570" s="1580"/>
      <c r="Z570" s="1580"/>
    </row>
    <row r="571" spans="1:26" ht="15.75" customHeight="1">
      <c r="A571" s="1580"/>
      <c r="B571" s="1580"/>
      <c r="C571" s="1580"/>
      <c r="D571" s="1580"/>
      <c r="E571" s="1580"/>
      <c r="F571" s="1580"/>
      <c r="G571" s="1580"/>
      <c r="H571" s="1580"/>
      <c r="I571" s="1580"/>
      <c r="J571" s="1580"/>
      <c r="K571" s="1580"/>
      <c r="L571" s="1580"/>
      <c r="M571" s="1580"/>
      <c r="N571" s="1580"/>
      <c r="O571" s="1580"/>
      <c r="P571" s="1580"/>
      <c r="Q571" s="1580"/>
      <c r="R571" s="1580"/>
      <c r="S571" s="1580"/>
      <c r="T571" s="1580"/>
      <c r="U571" s="1580"/>
      <c r="V571" s="1580"/>
      <c r="W571" s="1580"/>
      <c r="X571" s="1580"/>
      <c r="Y571" s="1580"/>
      <c r="Z571" s="1580"/>
    </row>
    <row r="572" spans="1:26" ht="15.75" customHeight="1">
      <c r="A572" s="1580"/>
      <c r="B572" s="1580"/>
      <c r="C572" s="1580"/>
      <c r="D572" s="1580"/>
      <c r="E572" s="1580"/>
      <c r="F572" s="1580"/>
      <c r="G572" s="1580"/>
      <c r="H572" s="1580"/>
      <c r="I572" s="1580"/>
      <c r="J572" s="1580"/>
      <c r="K572" s="1580"/>
      <c r="L572" s="1580"/>
      <c r="M572" s="1580"/>
      <c r="N572" s="1580"/>
      <c r="O572" s="1580"/>
      <c r="P572" s="1580"/>
      <c r="Q572" s="1580"/>
      <c r="R572" s="1580"/>
      <c r="S572" s="1580"/>
      <c r="T572" s="1580"/>
      <c r="U572" s="1580"/>
      <c r="V572" s="1580"/>
      <c r="W572" s="1580"/>
      <c r="X572" s="1580"/>
      <c r="Y572" s="1580"/>
      <c r="Z572" s="1580"/>
    </row>
    <row r="573" spans="1:26" ht="15.75" customHeight="1">
      <c r="A573" s="1580"/>
      <c r="B573" s="1580"/>
      <c r="C573" s="1580"/>
      <c r="D573" s="1580"/>
      <c r="E573" s="1580"/>
      <c r="F573" s="1580"/>
      <c r="G573" s="1580"/>
      <c r="H573" s="1580"/>
      <c r="I573" s="1580"/>
      <c r="J573" s="1580"/>
      <c r="K573" s="1580"/>
      <c r="L573" s="1580"/>
      <c r="M573" s="1580"/>
      <c r="N573" s="1580"/>
      <c r="O573" s="1580"/>
      <c r="P573" s="1580"/>
      <c r="Q573" s="1580"/>
      <c r="R573" s="1580"/>
      <c r="S573" s="1580"/>
      <c r="T573" s="1580"/>
      <c r="U573" s="1580"/>
      <c r="V573" s="1580"/>
      <c r="W573" s="1580"/>
      <c r="X573" s="1580"/>
      <c r="Y573" s="1580"/>
      <c r="Z573" s="1580"/>
    </row>
    <row r="574" spans="1:26" ht="15.75" customHeight="1">
      <c r="A574" s="1580"/>
      <c r="B574" s="1580"/>
      <c r="C574" s="1580"/>
      <c r="D574" s="1580"/>
      <c r="E574" s="1580"/>
      <c r="F574" s="1580"/>
      <c r="G574" s="1580"/>
      <c r="H574" s="1580"/>
      <c r="I574" s="1580"/>
      <c r="J574" s="1580"/>
      <c r="K574" s="1580"/>
      <c r="L574" s="1580"/>
      <c r="M574" s="1580"/>
      <c r="N574" s="1580"/>
      <c r="O574" s="1580"/>
      <c r="P574" s="1580"/>
      <c r="Q574" s="1580"/>
      <c r="R574" s="1580"/>
      <c r="S574" s="1580"/>
      <c r="T574" s="1580"/>
      <c r="U574" s="1580"/>
      <c r="V574" s="1580"/>
      <c r="W574" s="1580"/>
      <c r="X574" s="1580"/>
      <c r="Y574" s="1580"/>
      <c r="Z574" s="1580"/>
    </row>
    <row r="575" spans="1:26" ht="15.75" customHeight="1">
      <c r="A575" s="1580"/>
      <c r="B575" s="1580"/>
      <c r="C575" s="1580"/>
      <c r="D575" s="1580"/>
      <c r="E575" s="1580"/>
      <c r="F575" s="1580"/>
      <c r="G575" s="1580"/>
      <c r="H575" s="1580"/>
      <c r="I575" s="1580"/>
      <c r="J575" s="1580"/>
      <c r="K575" s="1580"/>
      <c r="L575" s="1580"/>
      <c r="M575" s="1580"/>
      <c r="N575" s="1580"/>
      <c r="O575" s="1580"/>
      <c r="P575" s="1580"/>
      <c r="Q575" s="1580"/>
      <c r="R575" s="1580"/>
      <c r="S575" s="1580"/>
      <c r="T575" s="1580"/>
      <c r="U575" s="1580"/>
      <c r="V575" s="1580"/>
      <c r="W575" s="1580"/>
      <c r="X575" s="1580"/>
      <c r="Y575" s="1580"/>
      <c r="Z575" s="1580"/>
    </row>
    <row r="576" spans="1:26" ht="15.75" customHeight="1">
      <c r="A576" s="1580"/>
      <c r="B576" s="1580"/>
      <c r="C576" s="1580"/>
      <c r="D576" s="1580"/>
      <c r="E576" s="1580"/>
      <c r="F576" s="1580"/>
      <c r="G576" s="1580"/>
      <c r="H576" s="1580"/>
      <c r="I576" s="1580"/>
      <c r="J576" s="1580"/>
      <c r="K576" s="1580"/>
      <c r="L576" s="1580"/>
      <c r="M576" s="1580"/>
      <c r="N576" s="1580"/>
      <c r="O576" s="1580"/>
      <c r="P576" s="1580"/>
      <c r="Q576" s="1580"/>
      <c r="R576" s="1580"/>
      <c r="S576" s="1580"/>
      <c r="T576" s="1580"/>
      <c r="U576" s="1580"/>
      <c r="V576" s="1580"/>
      <c r="W576" s="1580"/>
      <c r="X576" s="1580"/>
      <c r="Y576" s="1580"/>
      <c r="Z576" s="1580"/>
    </row>
    <row r="577" spans="1:26" ht="15.75" customHeight="1">
      <c r="A577" s="1580"/>
      <c r="B577" s="1580"/>
      <c r="C577" s="1580"/>
      <c r="D577" s="1580"/>
      <c r="E577" s="1580"/>
      <c r="F577" s="1580"/>
      <c r="G577" s="1580"/>
      <c r="H577" s="1580"/>
      <c r="I577" s="1580"/>
      <c r="J577" s="1580"/>
      <c r="K577" s="1580"/>
      <c r="L577" s="1580"/>
      <c r="M577" s="1580"/>
      <c r="N577" s="1580"/>
      <c r="O577" s="1580"/>
      <c r="P577" s="1580"/>
      <c r="Q577" s="1580"/>
      <c r="R577" s="1580"/>
      <c r="S577" s="1580"/>
      <c r="T577" s="1580"/>
      <c r="U577" s="1580"/>
      <c r="V577" s="1580"/>
      <c r="W577" s="1580"/>
      <c r="X577" s="1580"/>
      <c r="Y577" s="1580"/>
      <c r="Z577" s="1580"/>
    </row>
    <row r="578" spans="1:26" ht="15.75" customHeight="1">
      <c r="A578" s="1580"/>
      <c r="B578" s="1580"/>
      <c r="C578" s="1580"/>
      <c r="D578" s="1580"/>
      <c r="E578" s="1580"/>
      <c r="F578" s="1580"/>
      <c r="G578" s="1580"/>
      <c r="H578" s="1580"/>
      <c r="I578" s="1580"/>
      <c r="J578" s="1580"/>
      <c r="K578" s="1580"/>
      <c r="L578" s="1580"/>
      <c r="M578" s="1580"/>
      <c r="N578" s="1580"/>
      <c r="O578" s="1580"/>
      <c r="P578" s="1580"/>
      <c r="Q578" s="1580"/>
      <c r="R578" s="1580"/>
      <c r="S578" s="1580"/>
      <c r="T578" s="1580"/>
      <c r="U578" s="1580"/>
      <c r="V578" s="1580"/>
      <c r="W578" s="1580"/>
      <c r="X578" s="1580"/>
      <c r="Y578" s="1580"/>
      <c r="Z578" s="1580"/>
    </row>
    <row r="579" spans="1:26" ht="15.75" customHeight="1">
      <c r="A579" s="1580"/>
      <c r="B579" s="1580"/>
      <c r="C579" s="1580"/>
      <c r="D579" s="1580"/>
      <c r="E579" s="1580"/>
      <c r="F579" s="1580"/>
      <c r="G579" s="1580"/>
      <c r="H579" s="1580"/>
      <c r="I579" s="1580"/>
      <c r="J579" s="1580"/>
      <c r="K579" s="1580"/>
      <c r="L579" s="1580"/>
      <c r="M579" s="1580"/>
      <c r="N579" s="1580"/>
      <c r="O579" s="1580"/>
      <c r="P579" s="1580"/>
      <c r="Q579" s="1580"/>
      <c r="R579" s="1580"/>
      <c r="S579" s="1580"/>
      <c r="T579" s="1580"/>
      <c r="U579" s="1580"/>
      <c r="V579" s="1580"/>
      <c r="W579" s="1580"/>
      <c r="X579" s="1580"/>
      <c r="Y579" s="1580"/>
      <c r="Z579" s="1580"/>
    </row>
    <row r="580" spans="1:26" ht="15.75" customHeight="1">
      <c r="A580" s="1580"/>
      <c r="B580" s="1580"/>
      <c r="C580" s="1580"/>
      <c r="D580" s="1580"/>
      <c r="E580" s="1580"/>
      <c r="F580" s="1580"/>
      <c r="G580" s="1580"/>
      <c r="H580" s="1580"/>
      <c r="I580" s="1580"/>
      <c r="J580" s="1580"/>
      <c r="K580" s="1580"/>
      <c r="L580" s="1580"/>
      <c r="M580" s="1580"/>
      <c r="N580" s="1580"/>
      <c r="O580" s="1580"/>
      <c r="P580" s="1580"/>
      <c r="Q580" s="1580"/>
      <c r="R580" s="1580"/>
      <c r="S580" s="1580"/>
      <c r="T580" s="1580"/>
      <c r="U580" s="1580"/>
      <c r="V580" s="1580"/>
      <c r="W580" s="1580"/>
      <c r="X580" s="1580"/>
      <c r="Y580" s="1580"/>
      <c r="Z580" s="1580"/>
    </row>
    <row r="581" spans="1:26" ht="15.75" customHeight="1">
      <c r="A581" s="1580"/>
      <c r="B581" s="1580"/>
      <c r="C581" s="1580"/>
      <c r="D581" s="1580"/>
      <c r="E581" s="1580"/>
      <c r="F581" s="1580"/>
      <c r="G581" s="1580"/>
      <c r="H581" s="1580"/>
      <c r="I581" s="1580"/>
      <c r="J581" s="1580"/>
      <c r="K581" s="1580"/>
      <c r="L581" s="1580"/>
      <c r="M581" s="1580"/>
      <c r="N581" s="1580"/>
      <c r="O581" s="1580"/>
      <c r="P581" s="1580"/>
      <c r="Q581" s="1580"/>
      <c r="R581" s="1580"/>
      <c r="S581" s="1580"/>
      <c r="T581" s="1580"/>
      <c r="U581" s="1580"/>
      <c r="V581" s="1580"/>
      <c r="W581" s="1580"/>
      <c r="X581" s="1580"/>
      <c r="Y581" s="1580"/>
      <c r="Z581" s="1580"/>
    </row>
    <row r="582" spans="1:26" ht="15.75" customHeight="1">
      <c r="A582" s="1580"/>
      <c r="B582" s="1580"/>
      <c r="C582" s="1580"/>
      <c r="D582" s="1580"/>
      <c r="E582" s="1580"/>
      <c r="F582" s="1580"/>
      <c r="G582" s="1580"/>
      <c r="H582" s="1580"/>
      <c r="I582" s="1580"/>
      <c r="J582" s="1580"/>
      <c r="K582" s="1580"/>
      <c r="L582" s="1580"/>
      <c r="M582" s="1580"/>
      <c r="N582" s="1580"/>
      <c r="O582" s="1580"/>
      <c r="P582" s="1580"/>
      <c r="Q582" s="1580"/>
      <c r="R582" s="1580"/>
      <c r="S582" s="1580"/>
      <c r="T582" s="1580"/>
      <c r="U582" s="1580"/>
      <c r="V582" s="1580"/>
      <c r="W582" s="1580"/>
      <c r="X582" s="1580"/>
      <c r="Y582" s="1580"/>
      <c r="Z582" s="1580"/>
    </row>
    <row r="583" spans="1:26" ht="15.75" customHeight="1">
      <c r="A583" s="1580"/>
      <c r="B583" s="1580"/>
      <c r="C583" s="1580"/>
      <c r="D583" s="1580"/>
      <c r="E583" s="1580"/>
      <c r="F583" s="1580"/>
      <c r="G583" s="1580"/>
      <c r="H583" s="1580"/>
      <c r="I583" s="1580"/>
      <c r="J583" s="1580"/>
      <c r="K583" s="1580"/>
      <c r="L583" s="1580"/>
      <c r="M583" s="1580"/>
      <c r="N583" s="1580"/>
      <c r="O583" s="1580"/>
      <c r="P583" s="1580"/>
      <c r="Q583" s="1580"/>
      <c r="R583" s="1580"/>
      <c r="S583" s="1580"/>
      <c r="T583" s="1580"/>
      <c r="U583" s="1580"/>
      <c r="V583" s="1580"/>
      <c r="W583" s="1580"/>
      <c r="X583" s="1580"/>
      <c r="Y583" s="1580"/>
      <c r="Z583" s="1580"/>
    </row>
    <row r="584" spans="1:26" ht="15.75" customHeight="1">
      <c r="A584" s="1580"/>
      <c r="B584" s="1580"/>
      <c r="C584" s="1580"/>
      <c r="D584" s="1580"/>
      <c r="E584" s="1580"/>
      <c r="F584" s="1580"/>
      <c r="G584" s="1580"/>
      <c r="H584" s="1580"/>
      <c r="I584" s="1580"/>
      <c r="J584" s="1580"/>
      <c r="K584" s="1580"/>
      <c r="L584" s="1580"/>
      <c r="M584" s="1580"/>
      <c r="N584" s="1580"/>
      <c r="O584" s="1580"/>
      <c r="P584" s="1580"/>
      <c r="Q584" s="1580"/>
      <c r="R584" s="1580"/>
      <c r="S584" s="1580"/>
      <c r="T584" s="1580"/>
      <c r="U584" s="1580"/>
      <c r="V584" s="1580"/>
      <c r="W584" s="1580"/>
      <c r="X584" s="1580"/>
      <c r="Y584" s="1580"/>
      <c r="Z584" s="1580"/>
    </row>
    <row r="585" spans="1:26" ht="15.75" customHeight="1">
      <c r="A585" s="1580"/>
      <c r="B585" s="1580"/>
      <c r="C585" s="1580"/>
      <c r="D585" s="1580"/>
      <c r="E585" s="1580"/>
      <c r="F585" s="1580"/>
      <c r="G585" s="1580"/>
      <c r="H585" s="1580"/>
      <c r="I585" s="1580"/>
      <c r="J585" s="1580"/>
      <c r="K585" s="1580"/>
      <c r="L585" s="1580"/>
      <c r="M585" s="1580"/>
      <c r="N585" s="1580"/>
      <c r="O585" s="1580"/>
      <c r="P585" s="1580"/>
      <c r="Q585" s="1580"/>
      <c r="R585" s="1580"/>
      <c r="S585" s="1580"/>
      <c r="T585" s="1580"/>
      <c r="U585" s="1580"/>
      <c r="V585" s="1580"/>
      <c r="W585" s="1580"/>
      <c r="X585" s="1580"/>
      <c r="Y585" s="1580"/>
      <c r="Z585" s="1580"/>
    </row>
    <row r="586" spans="1:26" ht="15.75" customHeight="1">
      <c r="A586" s="1580"/>
      <c r="B586" s="1580"/>
      <c r="C586" s="1580"/>
      <c r="D586" s="1580"/>
      <c r="E586" s="1580"/>
      <c r="F586" s="1580"/>
      <c r="G586" s="1580"/>
      <c r="H586" s="1580"/>
      <c r="I586" s="1580"/>
      <c r="J586" s="1580"/>
      <c r="K586" s="1580"/>
      <c r="L586" s="1580"/>
      <c r="M586" s="1580"/>
      <c r="N586" s="1580"/>
      <c r="O586" s="1580"/>
      <c r="P586" s="1580"/>
      <c r="Q586" s="1580"/>
      <c r="R586" s="1580"/>
      <c r="S586" s="1580"/>
      <c r="T586" s="1580"/>
      <c r="U586" s="1580"/>
      <c r="V586" s="1580"/>
      <c r="W586" s="1580"/>
      <c r="X586" s="1580"/>
      <c r="Y586" s="1580"/>
      <c r="Z586" s="1580"/>
    </row>
    <row r="587" spans="1:26" ht="15.75" customHeight="1">
      <c r="A587" s="1580"/>
      <c r="B587" s="1580"/>
      <c r="C587" s="1580"/>
      <c r="D587" s="1580"/>
      <c r="E587" s="1580"/>
      <c r="F587" s="1580"/>
      <c r="G587" s="1580"/>
      <c r="H587" s="1580"/>
      <c r="I587" s="1580"/>
      <c r="J587" s="1580"/>
      <c r="K587" s="1580"/>
      <c r="L587" s="1580"/>
      <c r="M587" s="1580"/>
      <c r="N587" s="1580"/>
      <c r="O587" s="1580"/>
      <c r="P587" s="1580"/>
      <c r="Q587" s="1580"/>
      <c r="R587" s="1580"/>
      <c r="S587" s="1580"/>
      <c r="T587" s="1580"/>
      <c r="U587" s="1580"/>
      <c r="V587" s="1580"/>
      <c r="W587" s="1580"/>
      <c r="X587" s="1580"/>
      <c r="Y587" s="1580"/>
      <c r="Z587" s="1580"/>
    </row>
    <row r="588" spans="1:26" ht="15.75" customHeight="1">
      <c r="A588" s="1580"/>
      <c r="B588" s="1580"/>
      <c r="C588" s="1580"/>
      <c r="D588" s="1580"/>
      <c r="E588" s="1580"/>
      <c r="F588" s="1580"/>
      <c r="G588" s="1580"/>
      <c r="H588" s="1580"/>
      <c r="I588" s="1580"/>
      <c r="J588" s="1580"/>
      <c r="K588" s="1580"/>
      <c r="L588" s="1580"/>
      <c r="M588" s="1580"/>
      <c r="N588" s="1580"/>
      <c r="O588" s="1580"/>
      <c r="P588" s="1580"/>
      <c r="Q588" s="1580"/>
      <c r="R588" s="1580"/>
      <c r="S588" s="1580"/>
      <c r="T588" s="1580"/>
      <c r="U588" s="1580"/>
      <c r="V588" s="1580"/>
      <c r="W588" s="1580"/>
      <c r="X588" s="1580"/>
      <c r="Y588" s="1580"/>
      <c r="Z588" s="1580"/>
    </row>
    <row r="589" spans="1:26" ht="15.75" customHeight="1">
      <c r="A589" s="1580"/>
      <c r="B589" s="1580"/>
      <c r="C589" s="1580"/>
      <c r="D589" s="1580"/>
      <c r="E589" s="1580"/>
      <c r="F589" s="1580"/>
      <c r="G589" s="1580"/>
      <c r="H589" s="1580"/>
      <c r="I589" s="1580"/>
      <c r="J589" s="1580"/>
      <c r="K589" s="1580"/>
      <c r="L589" s="1580"/>
      <c r="M589" s="1580"/>
      <c r="N589" s="1580"/>
      <c r="O589" s="1580"/>
      <c r="P589" s="1580"/>
      <c r="Q589" s="1580"/>
      <c r="R589" s="1580"/>
      <c r="S589" s="1580"/>
      <c r="T589" s="1580"/>
      <c r="U589" s="1580"/>
      <c r="V589" s="1580"/>
      <c r="W589" s="1580"/>
      <c r="X589" s="1580"/>
      <c r="Y589" s="1580"/>
      <c r="Z589" s="1580"/>
    </row>
    <row r="590" spans="1:26" ht="15.75" customHeight="1">
      <c r="A590" s="1580"/>
      <c r="B590" s="1580"/>
      <c r="C590" s="1580"/>
      <c r="D590" s="1580"/>
      <c r="E590" s="1580"/>
      <c r="F590" s="1580"/>
      <c r="G590" s="1580"/>
      <c r="H590" s="1580"/>
      <c r="I590" s="1580"/>
      <c r="J590" s="1580"/>
      <c r="K590" s="1580"/>
      <c r="L590" s="1580"/>
      <c r="M590" s="1580"/>
      <c r="N590" s="1580"/>
      <c r="O590" s="1580"/>
      <c r="P590" s="1580"/>
      <c r="Q590" s="1580"/>
      <c r="R590" s="1580"/>
      <c r="S590" s="1580"/>
      <c r="T590" s="1580"/>
      <c r="U590" s="1580"/>
      <c r="V590" s="1580"/>
      <c r="W590" s="1580"/>
      <c r="X590" s="1580"/>
      <c r="Y590" s="1580"/>
      <c r="Z590" s="1580"/>
    </row>
    <row r="591" spans="1:26" ht="15.75" customHeight="1">
      <c r="A591" s="1580"/>
      <c r="B591" s="1580"/>
      <c r="C591" s="1580"/>
      <c r="D591" s="1580"/>
      <c r="E591" s="1580"/>
      <c r="F591" s="1580"/>
      <c r="G591" s="1580"/>
      <c r="H591" s="1580"/>
      <c r="I591" s="1580"/>
      <c r="J591" s="1580"/>
      <c r="K591" s="1580"/>
      <c r="L591" s="1580"/>
      <c r="M591" s="1580"/>
      <c r="N591" s="1580"/>
      <c r="O591" s="1580"/>
      <c r="P591" s="1580"/>
      <c r="Q591" s="1580"/>
      <c r="R591" s="1580"/>
      <c r="S591" s="1580"/>
      <c r="T591" s="1580"/>
      <c r="U591" s="1580"/>
      <c r="V591" s="1580"/>
      <c r="W591" s="1580"/>
      <c r="X591" s="1580"/>
      <c r="Y591" s="1580"/>
      <c r="Z591" s="1580"/>
    </row>
    <row r="592" spans="1:26" ht="15.75" customHeight="1">
      <c r="A592" s="1580"/>
      <c r="B592" s="1580"/>
      <c r="C592" s="1580"/>
      <c r="D592" s="1580"/>
      <c r="E592" s="1580"/>
      <c r="F592" s="1580"/>
      <c r="G592" s="1580"/>
      <c r="H592" s="1580"/>
      <c r="I592" s="1580"/>
      <c r="J592" s="1580"/>
      <c r="K592" s="1580"/>
      <c r="L592" s="1580"/>
      <c r="M592" s="1580"/>
      <c r="N592" s="1580"/>
      <c r="O592" s="1580"/>
      <c r="P592" s="1580"/>
      <c r="Q592" s="1580"/>
      <c r="R592" s="1580"/>
      <c r="S592" s="1580"/>
      <c r="T592" s="1580"/>
      <c r="U592" s="1580"/>
      <c r="V592" s="1580"/>
      <c r="W592" s="1580"/>
      <c r="X592" s="1580"/>
      <c r="Y592" s="1580"/>
      <c r="Z592" s="1580"/>
    </row>
    <row r="593" spans="1:26" ht="15.75" customHeight="1">
      <c r="A593" s="1580"/>
      <c r="B593" s="1580"/>
      <c r="C593" s="1580"/>
      <c r="D593" s="1580"/>
      <c r="E593" s="1580"/>
      <c r="F593" s="1580"/>
      <c r="G593" s="1580"/>
      <c r="H593" s="1580"/>
      <c r="I593" s="1580"/>
      <c r="J593" s="1580"/>
      <c r="K593" s="1580"/>
      <c r="L593" s="1580"/>
      <c r="M593" s="1580"/>
      <c r="N593" s="1580"/>
      <c r="O593" s="1580"/>
      <c r="P593" s="1580"/>
      <c r="Q593" s="1580"/>
      <c r="R593" s="1580"/>
      <c r="S593" s="1580"/>
      <c r="T593" s="1580"/>
      <c r="U593" s="1580"/>
      <c r="V593" s="1580"/>
      <c r="W593" s="1580"/>
      <c r="X593" s="1580"/>
      <c r="Y593" s="1580"/>
      <c r="Z593" s="1580"/>
    </row>
    <row r="594" spans="1:26" ht="15.75" customHeight="1">
      <c r="A594" s="1580"/>
      <c r="B594" s="1580"/>
      <c r="C594" s="1580"/>
      <c r="D594" s="1580"/>
      <c r="E594" s="1580"/>
      <c r="F594" s="1580"/>
      <c r="G594" s="1580"/>
      <c r="H594" s="1580"/>
      <c r="I594" s="1580"/>
      <c r="J594" s="1580"/>
      <c r="K594" s="1580"/>
      <c r="L594" s="1580"/>
      <c r="M594" s="1580"/>
      <c r="N594" s="1580"/>
      <c r="O594" s="1580"/>
      <c r="P594" s="1580"/>
      <c r="Q594" s="1580"/>
      <c r="R594" s="1580"/>
      <c r="S594" s="1580"/>
      <c r="T594" s="1580"/>
      <c r="U594" s="1580"/>
      <c r="V594" s="1580"/>
      <c r="W594" s="1580"/>
      <c r="X594" s="1580"/>
      <c r="Y594" s="1580"/>
      <c r="Z594" s="1580"/>
    </row>
    <row r="595" spans="1:26" ht="15.75" customHeight="1">
      <c r="A595" s="1580"/>
      <c r="B595" s="1580"/>
      <c r="C595" s="1580"/>
      <c r="D595" s="1580"/>
      <c r="E595" s="1580"/>
      <c r="F595" s="1580"/>
      <c r="G595" s="1580"/>
      <c r="H595" s="1580"/>
      <c r="I595" s="1580"/>
      <c r="J595" s="1580"/>
      <c r="K595" s="1580"/>
      <c r="L595" s="1580"/>
      <c r="M595" s="1580"/>
      <c r="N595" s="1580"/>
      <c r="O595" s="1580"/>
      <c r="P595" s="1580"/>
      <c r="Q595" s="1580"/>
      <c r="R595" s="1580"/>
      <c r="S595" s="1580"/>
      <c r="T595" s="1580"/>
      <c r="U595" s="1580"/>
      <c r="V595" s="1580"/>
      <c r="W595" s="1580"/>
      <c r="X595" s="1580"/>
      <c r="Y595" s="1580"/>
      <c r="Z595" s="1580"/>
    </row>
    <row r="596" spans="1:26" ht="15.75" customHeight="1">
      <c r="A596" s="1580"/>
      <c r="B596" s="1580"/>
      <c r="C596" s="1580"/>
      <c r="D596" s="1580"/>
      <c r="E596" s="1580"/>
      <c r="F596" s="1580"/>
      <c r="G596" s="1580"/>
      <c r="H596" s="1580"/>
      <c r="I596" s="1580"/>
      <c r="J596" s="1580"/>
      <c r="K596" s="1580"/>
      <c r="L596" s="1580"/>
      <c r="M596" s="1580"/>
      <c r="N596" s="1580"/>
      <c r="O596" s="1580"/>
      <c r="P596" s="1580"/>
      <c r="Q596" s="1580"/>
      <c r="R596" s="1580"/>
      <c r="S596" s="1580"/>
      <c r="T596" s="1580"/>
      <c r="U596" s="1580"/>
      <c r="V596" s="1580"/>
      <c r="W596" s="1580"/>
      <c r="X596" s="1580"/>
      <c r="Y596" s="1580"/>
      <c r="Z596" s="1580"/>
    </row>
    <row r="597" spans="1:26" ht="15.75" customHeight="1">
      <c r="A597" s="1580"/>
      <c r="B597" s="1580"/>
      <c r="C597" s="1580"/>
      <c r="D597" s="1580"/>
      <c r="E597" s="1580"/>
      <c r="F597" s="1580"/>
      <c r="G597" s="1580"/>
      <c r="H597" s="1580"/>
      <c r="I597" s="1580"/>
      <c r="J597" s="1580"/>
      <c r="K597" s="1580"/>
      <c r="L597" s="1580"/>
      <c r="M597" s="1580"/>
      <c r="N597" s="1580"/>
      <c r="O597" s="1580"/>
      <c r="P597" s="1580"/>
      <c r="Q597" s="1580"/>
      <c r="R597" s="1580"/>
      <c r="S597" s="1580"/>
      <c r="T597" s="1580"/>
      <c r="U597" s="1580"/>
      <c r="V597" s="1580"/>
      <c r="W597" s="1580"/>
      <c r="X597" s="1580"/>
      <c r="Y597" s="1580"/>
      <c r="Z597" s="1580"/>
    </row>
    <row r="598" spans="1:26" ht="15.75" customHeight="1">
      <c r="A598" s="1580"/>
      <c r="B598" s="1580"/>
      <c r="C598" s="1580"/>
      <c r="D598" s="1580"/>
      <c r="E598" s="1580"/>
      <c r="F598" s="1580"/>
      <c r="G598" s="1580"/>
      <c r="H598" s="1580"/>
      <c r="I598" s="1580"/>
      <c r="J598" s="1580"/>
      <c r="K598" s="1580"/>
      <c r="L598" s="1580"/>
      <c r="M598" s="1580"/>
      <c r="N598" s="1580"/>
      <c r="O598" s="1580"/>
      <c r="P598" s="1580"/>
      <c r="Q598" s="1580"/>
      <c r="R598" s="1580"/>
      <c r="S598" s="1580"/>
      <c r="T598" s="1580"/>
      <c r="U598" s="1580"/>
      <c r="V598" s="1580"/>
      <c r="W598" s="1580"/>
      <c r="X598" s="1580"/>
      <c r="Y598" s="1580"/>
      <c r="Z598" s="1580"/>
    </row>
    <row r="599" spans="1:26" ht="15.75" customHeight="1">
      <c r="A599" s="1580"/>
      <c r="B599" s="1580"/>
      <c r="C599" s="1580"/>
      <c r="D599" s="1580"/>
      <c r="E599" s="1580"/>
      <c r="F599" s="1580"/>
      <c r="G599" s="1580"/>
      <c r="H599" s="1580"/>
      <c r="I599" s="1580"/>
      <c r="J599" s="1580"/>
      <c r="K599" s="1580"/>
      <c r="L599" s="1580"/>
      <c r="M599" s="1580"/>
      <c r="N599" s="1580"/>
      <c r="O599" s="1580"/>
      <c r="P599" s="1580"/>
      <c r="Q599" s="1580"/>
      <c r="R599" s="1580"/>
      <c r="S599" s="1580"/>
      <c r="T599" s="1580"/>
      <c r="U599" s="1580"/>
      <c r="V599" s="1580"/>
      <c r="W599" s="1580"/>
      <c r="X599" s="1580"/>
      <c r="Y599" s="1580"/>
      <c r="Z599" s="1580"/>
    </row>
    <row r="600" spans="1:26" ht="15.75" customHeight="1">
      <c r="A600" s="1580"/>
      <c r="B600" s="1580"/>
      <c r="C600" s="1580"/>
      <c r="D600" s="1580"/>
      <c r="E600" s="1580"/>
      <c r="F600" s="1580"/>
      <c r="G600" s="1580"/>
      <c r="H600" s="1580"/>
      <c r="I600" s="1580"/>
      <c r="J600" s="1580"/>
      <c r="K600" s="1580"/>
      <c r="L600" s="1580"/>
      <c r="M600" s="1580"/>
      <c r="N600" s="1580"/>
      <c r="O600" s="1580"/>
      <c r="P600" s="1580"/>
      <c r="Q600" s="1580"/>
      <c r="R600" s="1580"/>
      <c r="S600" s="1580"/>
      <c r="T600" s="1580"/>
      <c r="U600" s="1580"/>
      <c r="V600" s="1580"/>
      <c r="W600" s="1580"/>
      <c r="X600" s="1580"/>
      <c r="Y600" s="1580"/>
      <c r="Z600" s="1580"/>
    </row>
    <row r="601" spans="1:26" ht="15.75" customHeight="1">
      <c r="A601" s="1580"/>
      <c r="B601" s="1580"/>
      <c r="C601" s="1580"/>
      <c r="D601" s="1580"/>
      <c r="E601" s="1580"/>
      <c r="F601" s="1580"/>
      <c r="G601" s="1580"/>
      <c r="H601" s="1580"/>
      <c r="I601" s="1580"/>
      <c r="J601" s="1580"/>
      <c r="K601" s="1580"/>
      <c r="L601" s="1580"/>
      <c r="M601" s="1580"/>
      <c r="N601" s="1580"/>
      <c r="O601" s="1580"/>
      <c r="P601" s="1580"/>
      <c r="Q601" s="1580"/>
      <c r="R601" s="1580"/>
      <c r="S601" s="1580"/>
      <c r="T601" s="1580"/>
      <c r="U601" s="1580"/>
      <c r="V601" s="1580"/>
      <c r="W601" s="1580"/>
      <c r="X601" s="1580"/>
      <c r="Y601" s="1580"/>
      <c r="Z601" s="1580"/>
    </row>
    <row r="602" spans="1:26" ht="15.75" customHeight="1">
      <c r="A602" s="1580"/>
      <c r="B602" s="1580"/>
      <c r="C602" s="1580"/>
      <c r="D602" s="1580"/>
      <c r="E602" s="1580"/>
      <c r="F602" s="1580"/>
      <c r="G602" s="1580"/>
      <c r="H602" s="1580"/>
      <c r="I602" s="1580"/>
      <c r="J602" s="1580"/>
      <c r="K602" s="1580"/>
      <c r="L602" s="1580"/>
      <c r="M602" s="1580"/>
      <c r="N602" s="1580"/>
      <c r="O602" s="1580"/>
      <c r="P602" s="1580"/>
      <c r="Q602" s="1580"/>
      <c r="R602" s="1580"/>
      <c r="S602" s="1580"/>
      <c r="T602" s="1580"/>
      <c r="U602" s="1580"/>
      <c r="V602" s="1580"/>
      <c r="W602" s="1580"/>
      <c r="X602" s="1580"/>
      <c r="Y602" s="1580"/>
      <c r="Z602" s="1580"/>
    </row>
    <row r="603" spans="1:26" ht="15.75" customHeight="1">
      <c r="A603" s="1580"/>
      <c r="B603" s="1580"/>
      <c r="C603" s="1580"/>
      <c r="D603" s="1580"/>
      <c r="E603" s="1580"/>
      <c r="F603" s="1580"/>
      <c r="G603" s="1580"/>
      <c r="H603" s="1580"/>
      <c r="I603" s="1580"/>
      <c r="J603" s="1580"/>
      <c r="K603" s="1580"/>
      <c r="L603" s="1580"/>
      <c r="M603" s="1580"/>
      <c r="N603" s="1580"/>
      <c r="O603" s="1580"/>
      <c r="P603" s="1580"/>
      <c r="Q603" s="1580"/>
      <c r="R603" s="1580"/>
      <c r="S603" s="1580"/>
      <c r="T603" s="1580"/>
      <c r="U603" s="1580"/>
      <c r="V603" s="1580"/>
      <c r="W603" s="1580"/>
      <c r="X603" s="1580"/>
      <c r="Y603" s="1580"/>
      <c r="Z603" s="1580"/>
    </row>
    <row r="604" spans="1:26" ht="15.75" customHeight="1">
      <c r="A604" s="1580"/>
      <c r="B604" s="1580"/>
      <c r="C604" s="1580"/>
      <c r="D604" s="1580"/>
      <c r="E604" s="1580"/>
      <c r="F604" s="1580"/>
      <c r="G604" s="1580"/>
      <c r="H604" s="1580"/>
      <c r="I604" s="1580"/>
      <c r="J604" s="1580"/>
      <c r="K604" s="1580"/>
      <c r="L604" s="1580"/>
      <c r="M604" s="1580"/>
      <c r="N604" s="1580"/>
      <c r="O604" s="1580"/>
      <c r="P604" s="1580"/>
      <c r="Q604" s="1580"/>
      <c r="R604" s="1580"/>
      <c r="S604" s="1580"/>
      <c r="T604" s="1580"/>
      <c r="U604" s="1580"/>
      <c r="V604" s="1580"/>
      <c r="W604" s="1580"/>
      <c r="X604" s="1580"/>
      <c r="Y604" s="1580"/>
      <c r="Z604" s="1580"/>
    </row>
    <row r="605" spans="1:26" ht="15.75" customHeight="1">
      <c r="A605" s="1580"/>
      <c r="B605" s="1580"/>
      <c r="C605" s="1580"/>
      <c r="D605" s="1580"/>
      <c r="E605" s="1580"/>
      <c r="F605" s="1580"/>
      <c r="G605" s="1580"/>
      <c r="H605" s="1580"/>
      <c r="I605" s="1580"/>
      <c r="J605" s="1580"/>
      <c r="K605" s="1580"/>
      <c r="L605" s="1580"/>
      <c r="M605" s="1580"/>
      <c r="N605" s="1580"/>
      <c r="O605" s="1580"/>
      <c r="P605" s="1580"/>
      <c r="Q605" s="1580"/>
      <c r="R605" s="1580"/>
      <c r="S605" s="1580"/>
      <c r="T605" s="1580"/>
      <c r="U605" s="1580"/>
      <c r="V605" s="1580"/>
      <c r="W605" s="1580"/>
      <c r="X605" s="1580"/>
      <c r="Y605" s="1580"/>
      <c r="Z605" s="1580"/>
    </row>
    <row r="606" spans="1:26" ht="15.75" customHeight="1">
      <c r="A606" s="1580"/>
      <c r="B606" s="1580"/>
      <c r="C606" s="1580"/>
      <c r="D606" s="1580"/>
      <c r="E606" s="1580"/>
      <c r="F606" s="1580"/>
      <c r="G606" s="1580"/>
      <c r="H606" s="1580"/>
      <c r="I606" s="1580"/>
      <c r="J606" s="1580"/>
      <c r="K606" s="1580"/>
      <c r="L606" s="1580"/>
      <c r="M606" s="1580"/>
      <c r="N606" s="1580"/>
      <c r="O606" s="1580"/>
      <c r="P606" s="1580"/>
      <c r="Q606" s="1580"/>
      <c r="R606" s="1580"/>
      <c r="S606" s="1580"/>
      <c r="T606" s="1580"/>
      <c r="U606" s="1580"/>
      <c r="V606" s="1580"/>
      <c r="W606" s="1580"/>
      <c r="X606" s="1580"/>
      <c r="Y606" s="1580"/>
      <c r="Z606" s="1580"/>
    </row>
    <row r="607" spans="1:26" ht="15.75" customHeight="1">
      <c r="A607" s="1580"/>
      <c r="B607" s="1580"/>
      <c r="C607" s="1580"/>
      <c r="D607" s="1580"/>
      <c r="E607" s="1580"/>
      <c r="F607" s="1580"/>
      <c r="G607" s="1580"/>
      <c r="H607" s="1580"/>
      <c r="I607" s="1580"/>
      <c r="J607" s="1580"/>
      <c r="K607" s="1580"/>
      <c r="L607" s="1580"/>
      <c r="M607" s="1580"/>
      <c r="N607" s="1580"/>
      <c r="O607" s="1580"/>
      <c r="P607" s="1580"/>
      <c r="Q607" s="1580"/>
      <c r="R607" s="1580"/>
      <c r="S607" s="1580"/>
      <c r="T607" s="1580"/>
      <c r="U607" s="1580"/>
      <c r="V607" s="1580"/>
      <c r="W607" s="1580"/>
      <c r="X607" s="1580"/>
      <c r="Y607" s="1580"/>
      <c r="Z607" s="1580"/>
    </row>
    <row r="608" spans="1:26" ht="15.75" customHeight="1">
      <c r="A608" s="1580"/>
      <c r="B608" s="1580"/>
      <c r="C608" s="1580"/>
      <c r="D608" s="1580"/>
      <c r="E608" s="1580"/>
      <c r="F608" s="1580"/>
      <c r="G608" s="1580"/>
      <c r="H608" s="1580"/>
      <c r="I608" s="1580"/>
      <c r="J608" s="1580"/>
      <c r="K608" s="1580"/>
      <c r="L608" s="1580"/>
      <c r="M608" s="1580"/>
      <c r="N608" s="1580"/>
      <c r="O608" s="1580"/>
      <c r="P608" s="1580"/>
      <c r="Q608" s="1580"/>
      <c r="R608" s="1580"/>
      <c r="S608" s="1580"/>
      <c r="T608" s="1580"/>
      <c r="U608" s="1580"/>
      <c r="V608" s="1580"/>
      <c r="W608" s="1580"/>
      <c r="X608" s="1580"/>
      <c r="Y608" s="1580"/>
      <c r="Z608" s="1580"/>
    </row>
    <row r="609" spans="1:26" ht="15.75" customHeight="1">
      <c r="A609" s="1580"/>
      <c r="B609" s="1580"/>
      <c r="C609" s="1580"/>
      <c r="D609" s="1580"/>
      <c r="E609" s="1580"/>
      <c r="F609" s="1580"/>
      <c r="G609" s="1580"/>
      <c r="H609" s="1580"/>
      <c r="I609" s="1580"/>
      <c r="J609" s="1580"/>
      <c r="K609" s="1580"/>
      <c r="L609" s="1580"/>
      <c r="M609" s="1580"/>
      <c r="N609" s="1580"/>
      <c r="O609" s="1580"/>
      <c r="P609" s="1580"/>
      <c r="Q609" s="1580"/>
      <c r="R609" s="1580"/>
      <c r="S609" s="1580"/>
      <c r="T609" s="1580"/>
      <c r="U609" s="1580"/>
      <c r="V609" s="1580"/>
      <c r="W609" s="1580"/>
      <c r="X609" s="1580"/>
      <c r="Y609" s="1580"/>
      <c r="Z609" s="1580"/>
    </row>
    <row r="610" spans="1:26" ht="15.75" customHeight="1">
      <c r="A610" s="1580"/>
      <c r="B610" s="1580"/>
      <c r="C610" s="1580"/>
      <c r="D610" s="1580"/>
      <c r="E610" s="1580"/>
      <c r="F610" s="1580"/>
      <c r="G610" s="1580"/>
      <c r="H610" s="1580"/>
      <c r="I610" s="1580"/>
      <c r="J610" s="1580"/>
      <c r="K610" s="1580"/>
      <c r="L610" s="1580"/>
      <c r="M610" s="1580"/>
      <c r="N610" s="1580"/>
      <c r="O610" s="1580"/>
      <c r="P610" s="1580"/>
      <c r="Q610" s="1580"/>
      <c r="R610" s="1580"/>
      <c r="S610" s="1580"/>
      <c r="T610" s="1580"/>
      <c r="U610" s="1580"/>
      <c r="V610" s="1580"/>
      <c r="W610" s="1580"/>
      <c r="X610" s="1580"/>
      <c r="Y610" s="1580"/>
      <c r="Z610" s="1580"/>
    </row>
    <row r="611" spans="1:26" ht="15.75" customHeight="1">
      <c r="A611" s="1580"/>
      <c r="B611" s="1580"/>
      <c r="C611" s="1580"/>
      <c r="D611" s="1580"/>
      <c r="E611" s="1580"/>
      <c r="F611" s="1580"/>
      <c r="G611" s="1580"/>
      <c r="H611" s="1580"/>
      <c r="I611" s="1580"/>
      <c r="J611" s="1580"/>
      <c r="K611" s="1580"/>
      <c r="L611" s="1580"/>
      <c r="M611" s="1580"/>
      <c r="N611" s="1580"/>
      <c r="O611" s="1580"/>
      <c r="P611" s="1580"/>
      <c r="Q611" s="1580"/>
      <c r="R611" s="1580"/>
      <c r="S611" s="1580"/>
      <c r="T611" s="1580"/>
      <c r="U611" s="1580"/>
      <c r="V611" s="1580"/>
      <c r="W611" s="1580"/>
      <c r="X611" s="1580"/>
      <c r="Y611" s="1580"/>
      <c r="Z611" s="1580"/>
    </row>
    <row r="612" spans="1:26" ht="15.75" customHeight="1">
      <c r="A612" s="1580"/>
      <c r="B612" s="1580"/>
      <c r="C612" s="1580"/>
      <c r="D612" s="1580"/>
      <c r="E612" s="1580"/>
      <c r="F612" s="1580"/>
      <c r="G612" s="1580"/>
      <c r="H612" s="1580"/>
      <c r="I612" s="1580"/>
      <c r="J612" s="1580"/>
      <c r="K612" s="1580"/>
      <c r="L612" s="1580"/>
      <c r="M612" s="1580"/>
      <c r="N612" s="1580"/>
      <c r="O612" s="1580"/>
      <c r="P612" s="1580"/>
      <c r="Q612" s="1580"/>
      <c r="R612" s="1580"/>
      <c r="S612" s="1580"/>
      <c r="T612" s="1580"/>
      <c r="U612" s="1580"/>
      <c r="V612" s="1580"/>
      <c r="W612" s="1580"/>
      <c r="X612" s="1580"/>
      <c r="Y612" s="1580"/>
      <c r="Z612" s="1580"/>
    </row>
    <row r="613" spans="1:26" ht="15.75" customHeight="1">
      <c r="A613" s="1580"/>
      <c r="B613" s="1580"/>
      <c r="C613" s="1580"/>
      <c r="D613" s="1580"/>
      <c r="E613" s="1580"/>
      <c r="F613" s="1580"/>
      <c r="G613" s="1580"/>
      <c r="H613" s="1580"/>
      <c r="I613" s="1580"/>
      <c r="J613" s="1580"/>
      <c r="K613" s="1580"/>
      <c r="L613" s="1580"/>
      <c r="M613" s="1580"/>
      <c r="N613" s="1580"/>
      <c r="O613" s="1580"/>
      <c r="P613" s="1580"/>
      <c r="Q613" s="1580"/>
      <c r="R613" s="1580"/>
      <c r="S613" s="1580"/>
      <c r="T613" s="1580"/>
      <c r="U613" s="1580"/>
      <c r="V613" s="1580"/>
      <c r="W613" s="1580"/>
      <c r="X613" s="1580"/>
      <c r="Y613" s="1580"/>
      <c r="Z613" s="1580"/>
    </row>
    <row r="614" spans="1:26" ht="15.75" customHeight="1">
      <c r="A614" s="1580"/>
      <c r="B614" s="1580"/>
      <c r="C614" s="1580"/>
      <c r="D614" s="1580"/>
      <c r="E614" s="1580"/>
      <c r="F614" s="1580"/>
      <c r="G614" s="1580"/>
      <c r="H614" s="1580"/>
      <c r="I614" s="1580"/>
      <c r="J614" s="1580"/>
      <c r="K614" s="1580"/>
      <c r="L614" s="1580"/>
      <c r="M614" s="1580"/>
      <c r="N614" s="1580"/>
      <c r="O614" s="1580"/>
      <c r="P614" s="1580"/>
      <c r="Q614" s="1580"/>
      <c r="R614" s="1580"/>
      <c r="S614" s="1580"/>
      <c r="T614" s="1580"/>
      <c r="U614" s="1580"/>
      <c r="V614" s="1580"/>
      <c r="W614" s="1580"/>
      <c r="X614" s="1580"/>
      <c r="Y614" s="1580"/>
      <c r="Z614" s="1580"/>
    </row>
    <row r="615" spans="1:26" ht="15.75" customHeight="1">
      <c r="A615" s="1580"/>
      <c r="B615" s="1580"/>
      <c r="C615" s="1580"/>
      <c r="D615" s="1580"/>
      <c r="E615" s="1580"/>
      <c r="F615" s="1580"/>
      <c r="G615" s="1580"/>
      <c r="H615" s="1580"/>
      <c r="I615" s="1580"/>
      <c r="J615" s="1580"/>
      <c r="K615" s="1580"/>
      <c r="L615" s="1580"/>
      <c r="M615" s="1580"/>
      <c r="N615" s="1580"/>
      <c r="O615" s="1580"/>
      <c r="P615" s="1580"/>
      <c r="Q615" s="1580"/>
      <c r="R615" s="1580"/>
      <c r="S615" s="1580"/>
      <c r="T615" s="1580"/>
      <c r="U615" s="1580"/>
      <c r="V615" s="1580"/>
      <c r="W615" s="1580"/>
      <c r="X615" s="1580"/>
      <c r="Y615" s="1580"/>
      <c r="Z615" s="1580"/>
    </row>
    <row r="616" spans="1:26" ht="15.75" customHeight="1">
      <c r="A616" s="1580"/>
      <c r="B616" s="1580"/>
      <c r="C616" s="1580"/>
      <c r="D616" s="1580"/>
      <c r="E616" s="1580"/>
      <c r="F616" s="1580"/>
      <c r="G616" s="1580"/>
      <c r="H616" s="1580"/>
      <c r="I616" s="1580"/>
      <c r="J616" s="1580"/>
      <c r="K616" s="1580"/>
      <c r="L616" s="1580"/>
      <c r="M616" s="1580"/>
      <c r="N616" s="1580"/>
      <c r="O616" s="1580"/>
      <c r="P616" s="1580"/>
      <c r="Q616" s="1580"/>
      <c r="R616" s="1580"/>
      <c r="S616" s="1580"/>
      <c r="T616" s="1580"/>
      <c r="U616" s="1580"/>
      <c r="V616" s="1580"/>
      <c r="W616" s="1580"/>
      <c r="X616" s="1580"/>
      <c r="Y616" s="1580"/>
      <c r="Z616" s="1580"/>
    </row>
    <row r="617" spans="1:26" ht="15.75" customHeight="1">
      <c r="A617" s="1580"/>
      <c r="B617" s="1580"/>
      <c r="C617" s="1580"/>
      <c r="D617" s="1580"/>
      <c r="E617" s="1580"/>
      <c r="F617" s="1580"/>
      <c r="G617" s="1580"/>
      <c r="H617" s="1580"/>
      <c r="I617" s="1580"/>
      <c r="J617" s="1580"/>
      <c r="K617" s="1580"/>
      <c r="L617" s="1580"/>
      <c r="M617" s="1580"/>
      <c r="N617" s="1580"/>
      <c r="O617" s="1580"/>
      <c r="P617" s="1580"/>
      <c r="Q617" s="1580"/>
      <c r="R617" s="1580"/>
      <c r="S617" s="1580"/>
      <c r="T617" s="1580"/>
      <c r="U617" s="1580"/>
      <c r="V617" s="1580"/>
      <c r="W617" s="1580"/>
      <c r="X617" s="1580"/>
      <c r="Y617" s="1580"/>
      <c r="Z617" s="1580"/>
    </row>
    <row r="618" spans="1:26" ht="15.75" customHeight="1">
      <c r="A618" s="1580"/>
      <c r="B618" s="1580"/>
      <c r="C618" s="1580"/>
      <c r="D618" s="1580"/>
      <c r="E618" s="1580"/>
      <c r="F618" s="1580"/>
      <c r="G618" s="1580"/>
      <c r="H618" s="1580"/>
      <c r="I618" s="1580"/>
      <c r="J618" s="1580"/>
      <c r="K618" s="1580"/>
      <c r="L618" s="1580"/>
      <c r="M618" s="1580"/>
      <c r="N618" s="1580"/>
      <c r="O618" s="1580"/>
      <c r="P618" s="1580"/>
      <c r="Q618" s="1580"/>
      <c r="R618" s="1580"/>
      <c r="S618" s="1580"/>
      <c r="T618" s="1580"/>
      <c r="U618" s="1580"/>
      <c r="V618" s="1580"/>
      <c r="W618" s="1580"/>
      <c r="X618" s="1580"/>
      <c r="Y618" s="1580"/>
      <c r="Z618" s="1580"/>
    </row>
    <row r="619" spans="1:26" ht="15.75" customHeight="1">
      <c r="A619" s="1580"/>
      <c r="B619" s="1580"/>
      <c r="C619" s="1580"/>
      <c r="D619" s="1580"/>
      <c r="E619" s="1580"/>
      <c r="F619" s="1580"/>
      <c r="G619" s="1580"/>
      <c r="H619" s="1580"/>
      <c r="I619" s="1580"/>
      <c r="J619" s="1580"/>
      <c r="K619" s="1580"/>
      <c r="L619" s="1580"/>
      <c r="M619" s="1580"/>
      <c r="N619" s="1580"/>
      <c r="O619" s="1580"/>
      <c r="P619" s="1580"/>
      <c r="Q619" s="1580"/>
      <c r="R619" s="1580"/>
      <c r="S619" s="1580"/>
      <c r="T619" s="1580"/>
      <c r="U619" s="1580"/>
      <c r="V619" s="1580"/>
      <c r="W619" s="1580"/>
      <c r="X619" s="1580"/>
      <c r="Y619" s="1580"/>
      <c r="Z619" s="1580"/>
    </row>
    <row r="620" spans="1:26" ht="15.75" customHeight="1">
      <c r="A620" s="1580"/>
      <c r="B620" s="1580"/>
      <c r="C620" s="1580"/>
      <c r="D620" s="1580"/>
      <c r="E620" s="1580"/>
      <c r="F620" s="1580"/>
      <c r="G620" s="1580"/>
      <c r="H620" s="1580"/>
      <c r="I620" s="1580"/>
      <c r="J620" s="1580"/>
      <c r="K620" s="1580"/>
      <c r="L620" s="1580"/>
      <c r="M620" s="1580"/>
      <c r="N620" s="1580"/>
      <c r="O620" s="1580"/>
      <c r="P620" s="1580"/>
      <c r="Q620" s="1580"/>
      <c r="R620" s="1580"/>
      <c r="S620" s="1580"/>
      <c r="T620" s="1580"/>
      <c r="U620" s="1580"/>
      <c r="V620" s="1580"/>
      <c r="W620" s="1580"/>
      <c r="X620" s="1580"/>
      <c r="Y620" s="1580"/>
      <c r="Z620" s="1580"/>
    </row>
    <row r="621" spans="1:26" ht="15.75" customHeight="1">
      <c r="A621" s="1580"/>
      <c r="B621" s="1580"/>
      <c r="C621" s="1580"/>
      <c r="D621" s="1580"/>
      <c r="E621" s="1580"/>
      <c r="F621" s="1580"/>
      <c r="G621" s="1580"/>
      <c r="H621" s="1580"/>
      <c r="I621" s="1580"/>
      <c r="J621" s="1580"/>
      <c r="K621" s="1580"/>
      <c r="L621" s="1580"/>
      <c r="M621" s="1580"/>
      <c r="N621" s="1580"/>
      <c r="O621" s="1580"/>
      <c r="P621" s="1580"/>
      <c r="Q621" s="1580"/>
      <c r="R621" s="1580"/>
      <c r="S621" s="1580"/>
      <c r="T621" s="1580"/>
      <c r="U621" s="1580"/>
      <c r="V621" s="1580"/>
      <c r="W621" s="1580"/>
      <c r="X621" s="1580"/>
      <c r="Y621" s="1580"/>
      <c r="Z621" s="1580"/>
    </row>
    <row r="622" spans="1:26" ht="15.75" customHeight="1">
      <c r="A622" s="1580"/>
      <c r="B622" s="1580"/>
      <c r="C622" s="1580"/>
      <c r="D622" s="1580"/>
      <c r="E622" s="1580"/>
      <c r="F622" s="1580"/>
      <c r="G622" s="1580"/>
      <c r="H622" s="1580"/>
      <c r="I622" s="1580"/>
      <c r="J622" s="1580"/>
      <c r="K622" s="1580"/>
      <c r="L622" s="1580"/>
      <c r="M622" s="1580"/>
      <c r="N622" s="1580"/>
      <c r="O622" s="1580"/>
      <c r="P622" s="1580"/>
      <c r="Q622" s="1580"/>
      <c r="R622" s="1580"/>
      <c r="S622" s="1580"/>
      <c r="T622" s="1580"/>
      <c r="U622" s="1580"/>
      <c r="V622" s="1580"/>
      <c r="W622" s="1580"/>
      <c r="X622" s="1580"/>
      <c r="Y622" s="1580"/>
      <c r="Z622" s="1580"/>
    </row>
    <row r="623" spans="1:26" ht="15.75" customHeight="1">
      <c r="A623" s="1580"/>
      <c r="B623" s="1580"/>
      <c r="C623" s="1580"/>
      <c r="D623" s="1580"/>
      <c r="E623" s="1580"/>
      <c r="F623" s="1580"/>
      <c r="G623" s="1580"/>
      <c r="H623" s="1580"/>
      <c r="I623" s="1580"/>
      <c r="J623" s="1580"/>
      <c r="K623" s="1580"/>
      <c r="L623" s="1580"/>
      <c r="M623" s="1580"/>
      <c r="N623" s="1580"/>
      <c r="O623" s="1580"/>
      <c r="P623" s="1580"/>
      <c r="Q623" s="1580"/>
      <c r="R623" s="1580"/>
      <c r="S623" s="1580"/>
      <c r="T623" s="1580"/>
      <c r="U623" s="1580"/>
      <c r="V623" s="1580"/>
      <c r="W623" s="1580"/>
      <c r="X623" s="1580"/>
      <c r="Y623" s="1580"/>
      <c r="Z623" s="1580"/>
    </row>
    <row r="624" spans="1:26" ht="15.75" customHeight="1">
      <c r="A624" s="1580"/>
      <c r="B624" s="1580"/>
      <c r="C624" s="1580"/>
      <c r="D624" s="1580"/>
      <c r="E624" s="1580"/>
      <c r="F624" s="1580"/>
      <c r="G624" s="1580"/>
      <c r="H624" s="1580"/>
      <c r="I624" s="1580"/>
      <c r="J624" s="1580"/>
      <c r="K624" s="1580"/>
      <c r="L624" s="1580"/>
      <c r="M624" s="1580"/>
      <c r="N624" s="1580"/>
      <c r="O624" s="1580"/>
      <c r="P624" s="1580"/>
      <c r="Q624" s="1580"/>
      <c r="R624" s="1580"/>
      <c r="S624" s="1580"/>
      <c r="T624" s="1580"/>
      <c r="U624" s="1580"/>
      <c r="V624" s="1580"/>
      <c r="W624" s="1580"/>
      <c r="X624" s="1580"/>
      <c r="Y624" s="1580"/>
      <c r="Z624" s="1580"/>
    </row>
    <row r="625" spans="1:26" ht="15.75" customHeight="1">
      <c r="A625" s="1580"/>
      <c r="B625" s="1580"/>
      <c r="C625" s="1580"/>
      <c r="D625" s="1580"/>
      <c r="E625" s="1580"/>
      <c r="F625" s="1580"/>
      <c r="G625" s="1580"/>
      <c r="H625" s="1580"/>
      <c r="I625" s="1580"/>
      <c r="J625" s="1580"/>
      <c r="K625" s="1580"/>
      <c r="L625" s="1580"/>
      <c r="M625" s="1580"/>
      <c r="N625" s="1580"/>
      <c r="O625" s="1580"/>
      <c r="P625" s="1580"/>
      <c r="Q625" s="1580"/>
      <c r="R625" s="1580"/>
      <c r="S625" s="1580"/>
      <c r="T625" s="1580"/>
      <c r="U625" s="1580"/>
      <c r="V625" s="1580"/>
      <c r="W625" s="1580"/>
      <c r="X625" s="1580"/>
      <c r="Y625" s="1580"/>
      <c r="Z625" s="1580"/>
    </row>
    <row r="626" spans="1:26" ht="15.75" customHeight="1">
      <c r="A626" s="1580"/>
      <c r="B626" s="1580"/>
      <c r="C626" s="1580"/>
      <c r="D626" s="1580"/>
      <c r="E626" s="1580"/>
      <c r="F626" s="1580"/>
      <c r="G626" s="1580"/>
      <c r="H626" s="1580"/>
      <c r="I626" s="1580"/>
      <c r="J626" s="1580"/>
      <c r="K626" s="1580"/>
      <c r="L626" s="1580"/>
      <c r="M626" s="1580"/>
      <c r="N626" s="1580"/>
      <c r="O626" s="1580"/>
      <c r="P626" s="1580"/>
      <c r="Q626" s="1580"/>
      <c r="R626" s="1580"/>
      <c r="S626" s="1580"/>
      <c r="T626" s="1580"/>
      <c r="U626" s="1580"/>
      <c r="V626" s="1580"/>
      <c r="W626" s="1580"/>
      <c r="X626" s="1580"/>
      <c r="Y626" s="1580"/>
      <c r="Z626" s="1580"/>
    </row>
    <row r="627" spans="1:26" ht="15.75" customHeight="1">
      <c r="A627" s="1580"/>
      <c r="B627" s="1580"/>
      <c r="C627" s="1580"/>
      <c r="D627" s="1580"/>
      <c r="E627" s="1580"/>
      <c r="F627" s="1580"/>
      <c r="G627" s="1580"/>
      <c r="H627" s="1580"/>
      <c r="I627" s="1580"/>
      <c r="J627" s="1580"/>
      <c r="K627" s="1580"/>
      <c r="L627" s="1580"/>
      <c r="M627" s="1580"/>
      <c r="N627" s="1580"/>
      <c r="O627" s="1580"/>
      <c r="P627" s="1580"/>
      <c r="Q627" s="1580"/>
      <c r="R627" s="1580"/>
      <c r="S627" s="1580"/>
      <c r="T627" s="1580"/>
      <c r="U627" s="1580"/>
      <c r="V627" s="1580"/>
      <c r="W627" s="1580"/>
      <c r="X627" s="1580"/>
      <c r="Y627" s="1580"/>
      <c r="Z627" s="1580"/>
    </row>
    <row r="628" spans="1:26" ht="15.75" customHeight="1">
      <c r="A628" s="1580"/>
      <c r="B628" s="1580"/>
      <c r="C628" s="1580"/>
      <c r="D628" s="1580"/>
      <c r="E628" s="1580"/>
      <c r="F628" s="1580"/>
      <c r="G628" s="1580"/>
      <c r="H628" s="1580"/>
      <c r="I628" s="1580"/>
      <c r="J628" s="1580"/>
      <c r="K628" s="1580"/>
      <c r="L628" s="1580"/>
      <c r="M628" s="1580"/>
      <c r="N628" s="1580"/>
      <c r="O628" s="1580"/>
      <c r="P628" s="1580"/>
      <c r="Q628" s="1580"/>
      <c r="R628" s="1580"/>
      <c r="S628" s="1580"/>
      <c r="T628" s="1580"/>
      <c r="U628" s="1580"/>
      <c r="V628" s="1580"/>
      <c r="W628" s="1580"/>
      <c r="X628" s="1580"/>
      <c r="Y628" s="1580"/>
      <c r="Z628" s="1580"/>
    </row>
    <row r="629" spans="1:26" ht="15.75" customHeight="1">
      <c r="A629" s="1580"/>
      <c r="B629" s="1580"/>
      <c r="C629" s="1580"/>
      <c r="D629" s="1580"/>
      <c r="E629" s="1580"/>
      <c r="F629" s="1580"/>
      <c r="G629" s="1580"/>
      <c r="H629" s="1580"/>
      <c r="I629" s="1580"/>
      <c r="J629" s="1580"/>
      <c r="K629" s="1580"/>
      <c r="L629" s="1580"/>
      <c r="M629" s="1580"/>
      <c r="N629" s="1580"/>
      <c r="O629" s="1580"/>
      <c r="P629" s="1580"/>
      <c r="Q629" s="1580"/>
      <c r="R629" s="1580"/>
      <c r="S629" s="1580"/>
      <c r="T629" s="1580"/>
      <c r="U629" s="1580"/>
      <c r="V629" s="1580"/>
      <c r="W629" s="1580"/>
      <c r="X629" s="1580"/>
      <c r="Y629" s="1580"/>
      <c r="Z629" s="1580"/>
    </row>
    <row r="630" spans="1:26" ht="15.75" customHeight="1">
      <c r="A630" s="1580"/>
      <c r="B630" s="1580"/>
      <c r="C630" s="1580"/>
      <c r="D630" s="1580"/>
      <c r="E630" s="1580"/>
      <c r="F630" s="1580"/>
      <c r="G630" s="1580"/>
      <c r="H630" s="1580"/>
      <c r="I630" s="1580"/>
      <c r="J630" s="1580"/>
      <c r="K630" s="1580"/>
      <c r="L630" s="1580"/>
      <c r="M630" s="1580"/>
      <c r="N630" s="1580"/>
      <c r="O630" s="1580"/>
      <c r="P630" s="1580"/>
      <c r="Q630" s="1580"/>
      <c r="R630" s="1580"/>
      <c r="S630" s="1580"/>
      <c r="T630" s="1580"/>
      <c r="U630" s="1580"/>
      <c r="V630" s="1580"/>
      <c r="W630" s="1580"/>
      <c r="X630" s="1580"/>
      <c r="Y630" s="1580"/>
      <c r="Z630" s="1580"/>
    </row>
    <row r="631" spans="1:26" ht="15.75" customHeight="1">
      <c r="A631" s="1580"/>
      <c r="B631" s="1580"/>
      <c r="C631" s="1580"/>
      <c r="D631" s="1580"/>
      <c r="E631" s="1580"/>
      <c r="F631" s="1580"/>
      <c r="G631" s="1580"/>
      <c r="H631" s="1580"/>
      <c r="I631" s="1580"/>
      <c r="J631" s="1580"/>
      <c r="K631" s="1580"/>
      <c r="L631" s="1580"/>
      <c r="M631" s="1580"/>
      <c r="N631" s="1580"/>
      <c r="O631" s="1580"/>
      <c r="P631" s="1580"/>
      <c r="Q631" s="1580"/>
      <c r="R631" s="1580"/>
      <c r="S631" s="1580"/>
      <c r="T631" s="1580"/>
      <c r="U631" s="1580"/>
      <c r="V631" s="1580"/>
      <c r="W631" s="1580"/>
      <c r="X631" s="1580"/>
      <c r="Y631" s="1580"/>
      <c r="Z631" s="1580"/>
    </row>
    <row r="632" spans="1:26" ht="15.75" customHeight="1">
      <c r="A632" s="1580"/>
      <c r="B632" s="1580"/>
      <c r="C632" s="1580"/>
      <c r="D632" s="1580"/>
      <c r="E632" s="1580"/>
      <c r="F632" s="1580"/>
      <c r="G632" s="1580"/>
      <c r="H632" s="1580"/>
      <c r="I632" s="1580"/>
      <c r="J632" s="1580"/>
      <c r="K632" s="1580"/>
      <c r="L632" s="1580"/>
      <c r="M632" s="1580"/>
      <c r="N632" s="1580"/>
      <c r="O632" s="1580"/>
      <c r="P632" s="1580"/>
      <c r="Q632" s="1580"/>
      <c r="R632" s="1580"/>
      <c r="S632" s="1580"/>
      <c r="T632" s="1580"/>
      <c r="U632" s="1580"/>
      <c r="V632" s="1580"/>
      <c r="W632" s="1580"/>
      <c r="X632" s="1580"/>
      <c r="Y632" s="1580"/>
      <c r="Z632" s="1580"/>
    </row>
    <row r="633" spans="1:26" ht="15.75" customHeight="1">
      <c r="A633" s="1580"/>
      <c r="B633" s="1580"/>
      <c r="C633" s="1580"/>
      <c r="D633" s="1580"/>
      <c r="E633" s="1580"/>
      <c r="F633" s="1580"/>
      <c r="G633" s="1580"/>
      <c r="H633" s="1580"/>
      <c r="I633" s="1580"/>
      <c r="J633" s="1580"/>
      <c r="K633" s="1580"/>
      <c r="L633" s="1580"/>
      <c r="M633" s="1580"/>
      <c r="N633" s="1580"/>
      <c r="O633" s="1580"/>
      <c r="P633" s="1580"/>
      <c r="Q633" s="1580"/>
      <c r="R633" s="1580"/>
      <c r="S633" s="1580"/>
      <c r="T633" s="1580"/>
      <c r="U633" s="1580"/>
      <c r="V633" s="1580"/>
      <c r="W633" s="1580"/>
      <c r="X633" s="1580"/>
      <c r="Y633" s="1580"/>
      <c r="Z633" s="1580"/>
    </row>
    <row r="634" spans="1:26" ht="15.75" customHeight="1">
      <c r="A634" s="1580"/>
      <c r="B634" s="1580"/>
      <c r="C634" s="1580"/>
      <c r="D634" s="1580"/>
      <c r="E634" s="1580"/>
      <c r="F634" s="1580"/>
      <c r="G634" s="1580"/>
      <c r="H634" s="1580"/>
      <c r="I634" s="1580"/>
      <c r="J634" s="1580"/>
      <c r="K634" s="1580"/>
      <c r="L634" s="1580"/>
      <c r="M634" s="1580"/>
      <c r="N634" s="1580"/>
      <c r="O634" s="1580"/>
      <c r="P634" s="1580"/>
      <c r="Q634" s="1580"/>
      <c r="R634" s="1580"/>
      <c r="S634" s="1580"/>
      <c r="T634" s="1580"/>
      <c r="U634" s="1580"/>
      <c r="V634" s="1580"/>
      <c r="W634" s="1580"/>
      <c r="X634" s="1580"/>
      <c r="Y634" s="1580"/>
      <c r="Z634" s="1580"/>
    </row>
    <row r="635" spans="1:26" ht="15.75" customHeight="1">
      <c r="A635" s="1580"/>
      <c r="B635" s="1580"/>
      <c r="C635" s="1580"/>
      <c r="D635" s="1580"/>
      <c r="E635" s="1580"/>
      <c r="F635" s="1580"/>
      <c r="G635" s="1580"/>
      <c r="H635" s="1580"/>
      <c r="I635" s="1580"/>
      <c r="J635" s="1580"/>
      <c r="K635" s="1580"/>
      <c r="L635" s="1580"/>
      <c r="M635" s="1580"/>
      <c r="N635" s="1580"/>
      <c r="O635" s="1580"/>
      <c r="P635" s="1580"/>
      <c r="Q635" s="1580"/>
      <c r="R635" s="1580"/>
      <c r="S635" s="1580"/>
      <c r="T635" s="1580"/>
      <c r="U635" s="1580"/>
      <c r="V635" s="1580"/>
      <c r="W635" s="1580"/>
      <c r="X635" s="1580"/>
      <c r="Y635" s="1580"/>
      <c r="Z635" s="1580"/>
    </row>
    <row r="636" spans="1:26" ht="15.75" customHeight="1">
      <c r="A636" s="1580"/>
      <c r="B636" s="1580"/>
      <c r="C636" s="1580"/>
      <c r="D636" s="1580"/>
      <c r="E636" s="1580"/>
      <c r="F636" s="1580"/>
      <c r="G636" s="1580"/>
      <c r="H636" s="1580"/>
      <c r="I636" s="1580"/>
      <c r="J636" s="1580"/>
      <c r="K636" s="1580"/>
      <c r="L636" s="1580"/>
      <c r="M636" s="1580"/>
      <c r="N636" s="1580"/>
      <c r="O636" s="1580"/>
      <c r="P636" s="1580"/>
      <c r="Q636" s="1580"/>
      <c r="R636" s="1580"/>
      <c r="S636" s="1580"/>
      <c r="T636" s="1580"/>
      <c r="U636" s="1580"/>
      <c r="V636" s="1580"/>
      <c r="W636" s="1580"/>
      <c r="X636" s="1580"/>
      <c r="Y636" s="1580"/>
      <c r="Z636" s="1580"/>
    </row>
    <row r="637" spans="1:26" ht="15.75" customHeight="1">
      <c r="A637" s="1580"/>
      <c r="B637" s="1580"/>
      <c r="C637" s="1580"/>
      <c r="D637" s="1580"/>
      <c r="E637" s="1580"/>
      <c r="F637" s="1580"/>
      <c r="G637" s="1580"/>
      <c r="H637" s="1580"/>
      <c r="I637" s="1580"/>
      <c r="J637" s="1580"/>
      <c r="K637" s="1580"/>
      <c r="L637" s="1580"/>
      <c r="M637" s="1580"/>
      <c r="N637" s="1580"/>
      <c r="O637" s="1580"/>
      <c r="P637" s="1580"/>
      <c r="Q637" s="1580"/>
      <c r="R637" s="1580"/>
      <c r="S637" s="1580"/>
      <c r="T637" s="1580"/>
      <c r="U637" s="1580"/>
      <c r="V637" s="1580"/>
      <c r="W637" s="1580"/>
      <c r="X637" s="1580"/>
      <c r="Y637" s="1580"/>
      <c r="Z637" s="1580"/>
    </row>
    <row r="638" spans="1:26" ht="15.75" customHeight="1">
      <c r="A638" s="1580"/>
      <c r="B638" s="1580"/>
      <c r="C638" s="1580"/>
      <c r="D638" s="1580"/>
      <c r="E638" s="1580"/>
      <c r="F638" s="1580"/>
      <c r="G638" s="1580"/>
      <c r="H638" s="1580"/>
      <c r="I638" s="1580"/>
      <c r="J638" s="1580"/>
      <c r="K638" s="1580"/>
      <c r="L638" s="1580"/>
      <c r="M638" s="1580"/>
      <c r="N638" s="1580"/>
      <c r="O638" s="1580"/>
      <c r="P638" s="1580"/>
      <c r="Q638" s="1580"/>
      <c r="R638" s="1580"/>
      <c r="S638" s="1580"/>
      <c r="T638" s="1580"/>
      <c r="U638" s="1580"/>
      <c r="V638" s="1580"/>
      <c r="W638" s="1580"/>
      <c r="X638" s="1580"/>
      <c r="Y638" s="1580"/>
      <c r="Z638" s="1580"/>
    </row>
    <row r="639" spans="1:26" ht="15.75" customHeight="1">
      <c r="A639" s="1580"/>
      <c r="B639" s="1580"/>
      <c r="C639" s="1580"/>
      <c r="D639" s="1580"/>
      <c r="E639" s="1580"/>
      <c r="F639" s="1580"/>
      <c r="G639" s="1580"/>
      <c r="H639" s="1580"/>
      <c r="I639" s="1580"/>
      <c r="J639" s="1580"/>
      <c r="K639" s="1580"/>
      <c r="L639" s="1580"/>
      <c r="M639" s="1580"/>
      <c r="N639" s="1580"/>
      <c r="O639" s="1580"/>
      <c r="P639" s="1580"/>
      <c r="Q639" s="1580"/>
      <c r="R639" s="1580"/>
      <c r="S639" s="1580"/>
      <c r="T639" s="1580"/>
      <c r="U639" s="1580"/>
      <c r="V639" s="1580"/>
      <c r="W639" s="1580"/>
      <c r="X639" s="1580"/>
      <c r="Y639" s="1580"/>
      <c r="Z639" s="1580"/>
    </row>
    <row r="640" spans="1:26" ht="15.75" customHeight="1">
      <c r="A640" s="1580"/>
      <c r="B640" s="1580"/>
      <c r="C640" s="1580"/>
      <c r="D640" s="1580"/>
      <c r="E640" s="1580"/>
      <c r="F640" s="1580"/>
      <c r="G640" s="1580"/>
      <c r="H640" s="1580"/>
      <c r="I640" s="1580"/>
      <c r="J640" s="1580"/>
      <c r="K640" s="1580"/>
      <c r="L640" s="1580"/>
      <c r="M640" s="1580"/>
      <c r="N640" s="1580"/>
      <c r="O640" s="1580"/>
      <c r="P640" s="1580"/>
      <c r="Q640" s="1580"/>
      <c r="R640" s="1580"/>
      <c r="S640" s="1580"/>
      <c r="T640" s="1580"/>
      <c r="U640" s="1580"/>
      <c r="V640" s="1580"/>
      <c r="W640" s="1580"/>
      <c r="X640" s="1580"/>
      <c r="Y640" s="1580"/>
      <c r="Z640" s="1580"/>
    </row>
    <row r="641" spans="1:26" ht="15.75" customHeight="1">
      <c r="A641" s="1580"/>
      <c r="B641" s="1580"/>
      <c r="C641" s="1580"/>
      <c r="D641" s="1580"/>
      <c r="E641" s="1580"/>
      <c r="F641" s="1580"/>
      <c r="G641" s="1580"/>
      <c r="H641" s="1580"/>
      <c r="I641" s="1580"/>
      <c r="J641" s="1580"/>
      <c r="K641" s="1580"/>
      <c r="L641" s="1580"/>
      <c r="M641" s="1580"/>
      <c r="N641" s="1580"/>
      <c r="O641" s="1580"/>
      <c r="P641" s="1580"/>
      <c r="Q641" s="1580"/>
      <c r="R641" s="1580"/>
      <c r="S641" s="1580"/>
      <c r="T641" s="1580"/>
      <c r="U641" s="1580"/>
      <c r="V641" s="1580"/>
      <c r="W641" s="1580"/>
      <c r="X641" s="1580"/>
      <c r="Y641" s="1580"/>
      <c r="Z641" s="1580"/>
    </row>
    <row r="642" spans="1:26" ht="15.75" customHeight="1">
      <c r="A642" s="1580"/>
      <c r="B642" s="1580"/>
      <c r="C642" s="1580"/>
      <c r="D642" s="1580"/>
      <c r="E642" s="1580"/>
      <c r="F642" s="1580"/>
      <c r="G642" s="1580"/>
      <c r="H642" s="1580"/>
      <c r="I642" s="1580"/>
      <c r="J642" s="1580"/>
      <c r="K642" s="1580"/>
      <c r="L642" s="1580"/>
      <c r="M642" s="1580"/>
      <c r="N642" s="1580"/>
      <c r="O642" s="1580"/>
      <c r="P642" s="1580"/>
      <c r="Q642" s="1580"/>
      <c r="R642" s="1580"/>
      <c r="S642" s="1580"/>
      <c r="T642" s="1580"/>
      <c r="U642" s="1580"/>
      <c r="V642" s="1580"/>
      <c r="W642" s="1580"/>
      <c r="X642" s="1580"/>
      <c r="Y642" s="1580"/>
      <c r="Z642" s="1580"/>
    </row>
    <row r="643" spans="1:26" ht="15.75" customHeight="1">
      <c r="A643" s="1580"/>
      <c r="B643" s="1580"/>
      <c r="C643" s="1580"/>
      <c r="D643" s="1580"/>
      <c r="E643" s="1580"/>
      <c r="F643" s="1580"/>
      <c r="G643" s="1580"/>
      <c r="H643" s="1580"/>
      <c r="I643" s="1580"/>
      <c r="J643" s="1580"/>
      <c r="K643" s="1580"/>
      <c r="L643" s="1580"/>
      <c r="M643" s="1580"/>
      <c r="N643" s="1580"/>
      <c r="O643" s="1580"/>
      <c r="P643" s="1580"/>
      <c r="Q643" s="1580"/>
      <c r="R643" s="1580"/>
      <c r="S643" s="1580"/>
      <c r="T643" s="1580"/>
      <c r="U643" s="1580"/>
      <c r="V643" s="1580"/>
      <c r="W643" s="1580"/>
      <c r="X643" s="1580"/>
      <c r="Y643" s="1580"/>
      <c r="Z643" s="1580"/>
    </row>
    <row r="644" spans="1:26" ht="15.75" customHeight="1">
      <c r="A644" s="1580"/>
      <c r="B644" s="1580"/>
      <c r="C644" s="1580"/>
      <c r="D644" s="1580"/>
      <c r="E644" s="1580"/>
      <c r="F644" s="1580"/>
      <c r="G644" s="1580"/>
      <c r="H644" s="1580"/>
      <c r="I644" s="1580"/>
      <c r="J644" s="1580"/>
      <c r="K644" s="1580"/>
      <c r="L644" s="1580"/>
      <c r="M644" s="1580"/>
      <c r="N644" s="1580"/>
      <c r="O644" s="1580"/>
      <c r="P644" s="1580"/>
      <c r="Q644" s="1580"/>
      <c r="R644" s="1580"/>
      <c r="S644" s="1580"/>
      <c r="T644" s="1580"/>
      <c r="U644" s="1580"/>
      <c r="V644" s="1580"/>
      <c r="W644" s="1580"/>
      <c r="X644" s="1580"/>
      <c r="Y644" s="1580"/>
      <c r="Z644" s="1580"/>
    </row>
    <row r="645" spans="1:26" ht="15.75" customHeight="1">
      <c r="A645" s="1580"/>
      <c r="B645" s="1580"/>
      <c r="C645" s="1580"/>
      <c r="D645" s="1580"/>
      <c r="E645" s="1580"/>
      <c r="F645" s="1580"/>
      <c r="G645" s="1580"/>
      <c r="H645" s="1580"/>
      <c r="I645" s="1580"/>
      <c r="J645" s="1580"/>
      <c r="K645" s="1580"/>
      <c r="L645" s="1580"/>
      <c r="M645" s="1580"/>
      <c r="N645" s="1580"/>
      <c r="O645" s="1580"/>
      <c r="P645" s="1580"/>
      <c r="Q645" s="1580"/>
      <c r="R645" s="1580"/>
      <c r="S645" s="1580"/>
      <c r="T645" s="1580"/>
      <c r="U645" s="1580"/>
      <c r="V645" s="1580"/>
      <c r="W645" s="1580"/>
      <c r="X645" s="1580"/>
      <c r="Y645" s="1580"/>
      <c r="Z645" s="1580"/>
    </row>
    <row r="646" spans="1:26" ht="15.75" customHeight="1">
      <c r="A646" s="1580"/>
      <c r="B646" s="1580"/>
      <c r="C646" s="1580"/>
      <c r="D646" s="1580"/>
      <c r="E646" s="1580"/>
      <c r="F646" s="1580"/>
      <c r="G646" s="1580"/>
      <c r="H646" s="1580"/>
      <c r="I646" s="1580"/>
      <c r="J646" s="1580"/>
      <c r="K646" s="1580"/>
      <c r="L646" s="1580"/>
      <c r="M646" s="1580"/>
      <c r="N646" s="1580"/>
      <c r="O646" s="1580"/>
      <c r="P646" s="1580"/>
      <c r="Q646" s="1580"/>
      <c r="R646" s="1580"/>
      <c r="S646" s="1580"/>
      <c r="T646" s="1580"/>
      <c r="U646" s="1580"/>
      <c r="V646" s="1580"/>
      <c r="W646" s="1580"/>
      <c r="X646" s="1580"/>
      <c r="Y646" s="1580"/>
      <c r="Z646" s="1580"/>
    </row>
    <row r="647" spans="1:26" ht="15.75" customHeight="1">
      <c r="A647" s="1580"/>
      <c r="B647" s="1580"/>
      <c r="C647" s="1580"/>
      <c r="D647" s="1580"/>
      <c r="E647" s="1580"/>
      <c r="F647" s="1580"/>
      <c r="G647" s="1580"/>
      <c r="H647" s="1580"/>
      <c r="I647" s="1580"/>
      <c r="J647" s="1580"/>
      <c r="K647" s="1580"/>
      <c r="L647" s="1580"/>
      <c r="M647" s="1580"/>
      <c r="N647" s="1580"/>
      <c r="O647" s="1580"/>
      <c r="P647" s="1580"/>
      <c r="Q647" s="1580"/>
      <c r="R647" s="1580"/>
      <c r="S647" s="1580"/>
      <c r="T647" s="1580"/>
      <c r="U647" s="1580"/>
      <c r="V647" s="1580"/>
      <c r="W647" s="1580"/>
      <c r="X647" s="1580"/>
      <c r="Y647" s="1580"/>
      <c r="Z647" s="1580"/>
    </row>
    <row r="648" spans="1:26" ht="15.75" customHeight="1">
      <c r="A648" s="1580"/>
      <c r="B648" s="1580"/>
      <c r="C648" s="1580"/>
      <c r="D648" s="1580"/>
      <c r="E648" s="1580"/>
      <c r="F648" s="1580"/>
      <c r="G648" s="1580"/>
      <c r="H648" s="1580"/>
      <c r="I648" s="1580"/>
      <c r="J648" s="1580"/>
      <c r="K648" s="1580"/>
      <c r="L648" s="1580"/>
      <c r="M648" s="1580"/>
      <c r="N648" s="1580"/>
      <c r="O648" s="1580"/>
      <c r="P648" s="1580"/>
      <c r="Q648" s="1580"/>
      <c r="R648" s="1580"/>
      <c r="S648" s="1580"/>
      <c r="T648" s="1580"/>
      <c r="U648" s="1580"/>
      <c r="V648" s="1580"/>
      <c r="W648" s="1580"/>
      <c r="X648" s="1580"/>
      <c r="Y648" s="1580"/>
      <c r="Z648" s="1580"/>
    </row>
    <row r="649" spans="1:26" ht="15.75" customHeight="1">
      <c r="A649" s="1580"/>
      <c r="B649" s="1580"/>
      <c r="C649" s="1580"/>
      <c r="D649" s="1580"/>
      <c r="E649" s="1580"/>
      <c r="F649" s="1580"/>
      <c r="G649" s="1580"/>
      <c r="H649" s="1580"/>
      <c r="I649" s="1580"/>
      <c r="J649" s="1580"/>
      <c r="K649" s="1580"/>
      <c r="L649" s="1580"/>
      <c r="M649" s="1580"/>
      <c r="N649" s="1580"/>
      <c r="O649" s="1580"/>
      <c r="P649" s="1580"/>
      <c r="Q649" s="1580"/>
      <c r="R649" s="1580"/>
      <c r="S649" s="1580"/>
      <c r="T649" s="1580"/>
      <c r="U649" s="1580"/>
      <c r="V649" s="1580"/>
      <c r="W649" s="1580"/>
      <c r="X649" s="1580"/>
      <c r="Y649" s="1580"/>
      <c r="Z649" s="1580"/>
    </row>
    <row r="650" spans="1:26" ht="15.75" customHeight="1"/>
    <row r="651" spans="1:26" ht="15.75" customHeight="1"/>
    <row r="652" spans="1:26" ht="15.75" customHeight="1"/>
    <row r="653" spans="1:26" ht="15.75" customHeight="1"/>
    <row r="654" spans="1:26" ht="15.75" customHeight="1"/>
    <row r="655" spans="1:26" ht="15.75" customHeight="1"/>
    <row r="656" spans="1:2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J450" xr:uid="{00000000-0009-0000-0000-00000A000000}"/>
  <mergeCells count="1">
    <mergeCell ref="P2:Q2"/>
  </mergeCells>
  <dataValidations count="1">
    <dataValidation type="list" allowBlank="1" showErrorMessage="1" sqref="F141 F156:G156 E157:G157 G160 F162:G162 G166 G169 G172 F174 F177 G178 E179:E180 E185 G184:G185 G210" xr:uid="{00000000-0002-0000-0A00-000000000000}">
      <formula1>"x"</formula1>
    </dataValidation>
  </dataValidations>
  <hyperlinks>
    <hyperlink ref="J4" r:id="rId1" xr:uid="{00000000-0004-0000-0A00-000000000000}"/>
    <hyperlink ref="S4" r:id="rId2" display="mailto:s.giannetto@salvix.it" xr:uid="{00000000-0004-0000-0A00-000001000000}"/>
    <hyperlink ref="J9" r:id="rId3" xr:uid="{00000000-0004-0000-0A00-000002000000}"/>
    <hyperlink ref="J12" r:id="rId4" xr:uid="{00000000-0004-0000-0A00-000003000000}"/>
    <hyperlink ref="J13" r:id="rId5" xr:uid="{00000000-0004-0000-0A00-000004000000}"/>
    <hyperlink ref="J14" r:id="rId6" xr:uid="{00000000-0004-0000-0A00-000005000000}"/>
    <hyperlink ref="J18" r:id="rId7" xr:uid="{00000000-0004-0000-0A00-000006000000}"/>
    <hyperlink ref="J27" r:id="rId8" xr:uid="{00000000-0004-0000-0A00-000007000000}"/>
    <hyperlink ref="J32" r:id="rId9" xr:uid="{00000000-0004-0000-0A00-000008000000}"/>
    <hyperlink ref="J33" r:id="rId10" xr:uid="{00000000-0004-0000-0A00-000009000000}"/>
    <hyperlink ref="J34" r:id="rId11" xr:uid="{00000000-0004-0000-0A00-00000A000000}"/>
    <hyperlink ref="J35" r:id="rId12" xr:uid="{00000000-0004-0000-0A00-00000B000000}"/>
    <hyperlink ref="J36" r:id="rId13" xr:uid="{00000000-0004-0000-0A00-00000C000000}"/>
    <hyperlink ref="J39" r:id="rId14" xr:uid="{00000000-0004-0000-0A00-00000D000000}"/>
    <hyperlink ref="J45" r:id="rId15" xr:uid="{00000000-0004-0000-0A00-00000E000000}"/>
    <hyperlink ref="J46" r:id="rId16" xr:uid="{00000000-0004-0000-0A00-00000F000000}"/>
    <hyperlink ref="J48" r:id="rId17" xr:uid="{00000000-0004-0000-0A00-000010000000}"/>
    <hyperlink ref="J49" r:id="rId18" xr:uid="{00000000-0004-0000-0A00-000011000000}"/>
    <hyperlink ref="J50" r:id="rId19" xr:uid="{00000000-0004-0000-0A00-000012000000}"/>
    <hyperlink ref="J51" r:id="rId20" xr:uid="{00000000-0004-0000-0A00-000013000000}"/>
    <hyperlink ref="J54" r:id="rId21" xr:uid="{00000000-0004-0000-0A00-000014000000}"/>
    <hyperlink ref="J55" r:id="rId22" xr:uid="{00000000-0004-0000-0A00-000015000000}"/>
    <hyperlink ref="J56" r:id="rId23" xr:uid="{00000000-0004-0000-0A00-000016000000}"/>
    <hyperlink ref="J58" r:id="rId24" xr:uid="{00000000-0004-0000-0A00-000017000000}"/>
    <hyperlink ref="J60" r:id="rId25" xr:uid="{00000000-0004-0000-0A00-000018000000}"/>
    <hyperlink ref="J61" r:id="rId26" xr:uid="{00000000-0004-0000-0A00-000019000000}"/>
    <hyperlink ref="J62" r:id="rId27" xr:uid="{00000000-0004-0000-0A00-00001A000000}"/>
    <hyperlink ref="J63" r:id="rId28" xr:uid="{00000000-0004-0000-0A00-00001B000000}"/>
    <hyperlink ref="J64" r:id="rId29" xr:uid="{00000000-0004-0000-0A00-00001C000000}"/>
    <hyperlink ref="J66" r:id="rId30" xr:uid="{00000000-0004-0000-0A00-00001D000000}"/>
    <hyperlink ref="J67" r:id="rId31" xr:uid="{00000000-0004-0000-0A00-00001E000000}"/>
    <hyperlink ref="J68" r:id="rId32" xr:uid="{00000000-0004-0000-0A00-00001F000000}"/>
    <hyperlink ref="S68" r:id="rId33" display="mailto:marco.gusella@gusella-adv.com" xr:uid="{00000000-0004-0000-0A00-000020000000}"/>
    <hyperlink ref="J69" r:id="rId34" xr:uid="{00000000-0004-0000-0A00-000021000000}"/>
    <hyperlink ref="S69" r:id="rId35" display="mailto:zannellienrico@gmail.com" xr:uid="{00000000-0004-0000-0A00-000022000000}"/>
    <hyperlink ref="J70" r:id="rId36" xr:uid="{00000000-0004-0000-0A00-000023000000}"/>
    <hyperlink ref="J71" r:id="rId37" xr:uid="{00000000-0004-0000-0A00-000024000000}"/>
    <hyperlink ref="J72" r:id="rId38" xr:uid="{00000000-0004-0000-0A00-000025000000}"/>
    <hyperlink ref="J73" r:id="rId39" xr:uid="{00000000-0004-0000-0A00-000026000000}"/>
    <hyperlink ref="J74" r:id="rId40" xr:uid="{00000000-0004-0000-0A00-000027000000}"/>
    <hyperlink ref="J76" r:id="rId41" xr:uid="{00000000-0004-0000-0A00-000028000000}"/>
    <hyperlink ref="J77" r:id="rId42" xr:uid="{00000000-0004-0000-0A00-000029000000}"/>
    <hyperlink ref="J78" r:id="rId43" xr:uid="{00000000-0004-0000-0A00-00002A000000}"/>
    <hyperlink ref="J81" r:id="rId44" xr:uid="{00000000-0004-0000-0A00-00002B000000}"/>
    <hyperlink ref="J83" r:id="rId45" xr:uid="{00000000-0004-0000-0A00-00002C000000}"/>
    <hyperlink ref="J85" r:id="rId46" xr:uid="{00000000-0004-0000-0A00-00002D000000}"/>
    <hyperlink ref="J88" r:id="rId47" xr:uid="{00000000-0004-0000-0A00-00002E000000}"/>
    <hyperlink ref="J90" r:id="rId48" xr:uid="{00000000-0004-0000-0A00-00002F000000}"/>
    <hyperlink ref="J92" r:id="rId49" xr:uid="{00000000-0004-0000-0A00-000030000000}"/>
    <hyperlink ref="J93" r:id="rId50" xr:uid="{00000000-0004-0000-0A00-000031000000}"/>
    <hyperlink ref="J94" r:id="rId51" xr:uid="{00000000-0004-0000-0A00-000032000000}"/>
    <hyperlink ref="J96" r:id="rId52" xr:uid="{00000000-0004-0000-0A00-000033000000}"/>
    <hyperlink ref="J97" r:id="rId53" xr:uid="{00000000-0004-0000-0A00-000034000000}"/>
    <hyperlink ref="J98" r:id="rId54" xr:uid="{00000000-0004-0000-0A00-000035000000}"/>
    <hyperlink ref="S98" r:id="rId55" display="mailto:andrea.lenzi@orang-e.it" xr:uid="{00000000-0004-0000-0A00-000036000000}"/>
    <hyperlink ref="J99" r:id="rId56" xr:uid="{00000000-0004-0000-0A00-000037000000}"/>
    <hyperlink ref="S99" r:id="rId57" display="mailto:g.martorana@dataprinter.it" xr:uid="{00000000-0004-0000-0A00-000038000000}"/>
    <hyperlink ref="J100" r:id="rId58" xr:uid="{00000000-0004-0000-0A00-000039000000}"/>
    <hyperlink ref="J102" r:id="rId59" xr:uid="{00000000-0004-0000-0A00-00003A000000}"/>
    <hyperlink ref="J103" r:id="rId60" xr:uid="{00000000-0004-0000-0A00-00003B000000}"/>
    <hyperlink ref="J104" r:id="rId61" xr:uid="{00000000-0004-0000-0A00-00003C000000}"/>
    <hyperlink ref="J105" r:id="rId62" xr:uid="{00000000-0004-0000-0A00-00003D000000}"/>
    <hyperlink ref="J106" r:id="rId63" xr:uid="{00000000-0004-0000-0A00-00003E000000}"/>
    <hyperlink ref="J107" r:id="rId64" xr:uid="{00000000-0004-0000-0A00-00003F000000}"/>
    <hyperlink ref="J109" r:id="rId65" xr:uid="{00000000-0004-0000-0A00-000040000000}"/>
    <hyperlink ref="J111" r:id="rId66" xr:uid="{00000000-0004-0000-0A00-000041000000}"/>
    <hyperlink ref="J112" r:id="rId67" xr:uid="{00000000-0004-0000-0A00-000042000000}"/>
    <hyperlink ref="J113" r:id="rId68" xr:uid="{00000000-0004-0000-0A00-000043000000}"/>
    <hyperlink ref="J114" r:id="rId69" xr:uid="{00000000-0004-0000-0A00-000044000000}"/>
    <hyperlink ref="J115" r:id="rId70" xr:uid="{00000000-0004-0000-0A00-000045000000}"/>
    <hyperlink ref="J117" r:id="rId71" xr:uid="{00000000-0004-0000-0A00-000046000000}"/>
    <hyperlink ref="J118" r:id="rId72" xr:uid="{00000000-0004-0000-0A00-000047000000}"/>
    <hyperlink ref="J120" r:id="rId73" xr:uid="{00000000-0004-0000-0A00-000048000000}"/>
    <hyperlink ref="J121" r:id="rId74" xr:uid="{00000000-0004-0000-0A00-000049000000}"/>
    <hyperlink ref="J122" r:id="rId75" xr:uid="{00000000-0004-0000-0A00-00004A000000}"/>
    <hyperlink ref="J123" r:id="rId76" xr:uid="{00000000-0004-0000-0A00-00004B000000}"/>
    <hyperlink ref="J124" r:id="rId77" xr:uid="{00000000-0004-0000-0A00-00004C000000}"/>
    <hyperlink ref="J125" r:id="rId78" xr:uid="{00000000-0004-0000-0A00-00004D000000}"/>
    <hyperlink ref="J128" r:id="rId79" xr:uid="{00000000-0004-0000-0A00-00004E000000}"/>
    <hyperlink ref="J129" r:id="rId80" xr:uid="{00000000-0004-0000-0A00-00004F000000}"/>
    <hyperlink ref="J132" r:id="rId81" xr:uid="{00000000-0004-0000-0A00-000050000000}"/>
    <hyperlink ref="J133" r:id="rId82" xr:uid="{00000000-0004-0000-0A00-000051000000}"/>
    <hyperlink ref="J134" r:id="rId83" xr:uid="{00000000-0004-0000-0A00-000052000000}"/>
    <hyperlink ref="J135" r:id="rId84" xr:uid="{00000000-0004-0000-0A00-000053000000}"/>
    <hyperlink ref="J136" r:id="rId85" xr:uid="{00000000-0004-0000-0A00-000054000000}"/>
    <hyperlink ref="J137" r:id="rId86" xr:uid="{00000000-0004-0000-0A00-000055000000}"/>
    <hyperlink ref="J138" r:id="rId87" xr:uid="{00000000-0004-0000-0A00-000056000000}"/>
    <hyperlink ref="J139" r:id="rId88" xr:uid="{00000000-0004-0000-0A00-000057000000}"/>
    <hyperlink ref="J140" r:id="rId89" xr:uid="{00000000-0004-0000-0A00-000058000000}"/>
    <hyperlink ref="J142" r:id="rId90" xr:uid="{00000000-0004-0000-0A00-000059000000}"/>
    <hyperlink ref="S142" r:id="rId91" display="mailto:monica.ramaschi@gmail.com" xr:uid="{00000000-0004-0000-0A00-00005A000000}"/>
    <hyperlink ref="J144" r:id="rId92" xr:uid="{00000000-0004-0000-0A00-00005B000000}"/>
    <hyperlink ref="J146" r:id="rId93" xr:uid="{00000000-0004-0000-0A00-00005C000000}"/>
    <hyperlink ref="J148" r:id="rId94" xr:uid="{00000000-0004-0000-0A00-00005D000000}"/>
    <hyperlink ref="J149" r:id="rId95" xr:uid="{00000000-0004-0000-0A00-00005E000000}"/>
    <hyperlink ref="J150" r:id="rId96" xr:uid="{00000000-0004-0000-0A00-00005F000000}"/>
    <hyperlink ref="J152" r:id="rId97" xr:uid="{00000000-0004-0000-0A00-000060000000}"/>
    <hyperlink ref="J153" r:id="rId98" xr:uid="{00000000-0004-0000-0A00-000061000000}"/>
    <hyperlink ref="J156" r:id="rId99" xr:uid="{00000000-0004-0000-0A00-000062000000}"/>
    <hyperlink ref="J158" r:id="rId100" xr:uid="{00000000-0004-0000-0A00-000063000000}"/>
    <hyperlink ref="J160" r:id="rId101" xr:uid="{00000000-0004-0000-0A00-000064000000}"/>
    <hyperlink ref="J161" r:id="rId102" xr:uid="{00000000-0004-0000-0A00-000065000000}"/>
    <hyperlink ref="J162" r:id="rId103" xr:uid="{00000000-0004-0000-0A00-000066000000}"/>
    <hyperlink ref="J164" r:id="rId104" xr:uid="{00000000-0004-0000-0A00-000067000000}"/>
    <hyperlink ref="J166" r:id="rId105" xr:uid="{00000000-0004-0000-0A00-000068000000}"/>
    <hyperlink ref="J167" r:id="rId106" xr:uid="{00000000-0004-0000-0A00-000069000000}"/>
    <hyperlink ref="J168" r:id="rId107" xr:uid="{00000000-0004-0000-0A00-00006A000000}"/>
    <hyperlink ref="J172" r:id="rId108" xr:uid="{00000000-0004-0000-0A00-00006B000000}"/>
    <hyperlink ref="J176" r:id="rId109" xr:uid="{00000000-0004-0000-0A00-00006C000000}"/>
    <hyperlink ref="J180" r:id="rId110" xr:uid="{00000000-0004-0000-0A00-00006D000000}"/>
    <hyperlink ref="J181" r:id="rId111" xr:uid="{00000000-0004-0000-0A00-00006E000000}"/>
    <hyperlink ref="J182" r:id="rId112" xr:uid="{00000000-0004-0000-0A00-00006F000000}"/>
    <hyperlink ref="J185" r:id="rId113" xr:uid="{00000000-0004-0000-0A00-000070000000}"/>
    <hyperlink ref="J186" r:id="rId114" xr:uid="{00000000-0004-0000-0A00-000071000000}"/>
    <hyperlink ref="J188" r:id="rId115" xr:uid="{00000000-0004-0000-0A00-000072000000}"/>
    <hyperlink ref="S189" r:id="rId116" display="mailto:a.giannetto@salvix.it" xr:uid="{00000000-0004-0000-0A00-000073000000}"/>
    <hyperlink ref="J190" r:id="rId117" xr:uid="{00000000-0004-0000-0A00-000074000000}"/>
    <hyperlink ref="S190" r:id="rId118" display="mailto:grillo.maria@libero.it" xr:uid="{00000000-0004-0000-0A00-000075000000}"/>
    <hyperlink ref="J191" r:id="rId119" xr:uid="{00000000-0004-0000-0A00-000076000000}"/>
    <hyperlink ref="S191" r:id="rId120" display="mailto:ernesto.bragagnolo@spherastudio.com" xr:uid="{00000000-0004-0000-0A00-000077000000}"/>
    <hyperlink ref="J192" r:id="rId121" xr:uid="{00000000-0004-0000-0A00-000078000000}"/>
    <hyperlink ref="J193" r:id="rId122" xr:uid="{00000000-0004-0000-0A00-000079000000}"/>
    <hyperlink ref="J194" r:id="rId123" xr:uid="{00000000-0004-0000-0A00-00007A000000}"/>
    <hyperlink ref="J196" r:id="rId124" xr:uid="{00000000-0004-0000-0A00-00007B000000}"/>
    <hyperlink ref="J198" r:id="rId125" xr:uid="{00000000-0004-0000-0A00-00007C000000}"/>
    <hyperlink ref="J199" r:id="rId126" xr:uid="{00000000-0004-0000-0A00-00007D000000}"/>
    <hyperlink ref="J200" r:id="rId127" xr:uid="{00000000-0004-0000-0A00-00007E000000}"/>
    <hyperlink ref="J201" r:id="rId128" xr:uid="{00000000-0004-0000-0A00-00007F000000}"/>
    <hyperlink ref="J202" r:id="rId129" xr:uid="{00000000-0004-0000-0A00-000080000000}"/>
    <hyperlink ref="J203" r:id="rId130" xr:uid="{00000000-0004-0000-0A00-000081000000}"/>
    <hyperlink ref="J204" r:id="rId131" xr:uid="{00000000-0004-0000-0A00-000082000000}"/>
    <hyperlink ref="J205" r:id="rId132" xr:uid="{00000000-0004-0000-0A00-000083000000}"/>
    <hyperlink ref="J206" r:id="rId133" xr:uid="{00000000-0004-0000-0A00-000084000000}"/>
    <hyperlink ref="J208" r:id="rId134" xr:uid="{00000000-0004-0000-0A00-000085000000}"/>
    <hyperlink ref="J209" r:id="rId135" xr:uid="{00000000-0004-0000-0A00-000086000000}"/>
    <hyperlink ref="J210" r:id="rId136" xr:uid="{00000000-0004-0000-0A00-000087000000}"/>
    <hyperlink ref="J211" r:id="rId137" xr:uid="{00000000-0004-0000-0A00-000088000000}"/>
    <hyperlink ref="J213" r:id="rId138" xr:uid="{00000000-0004-0000-0A00-000089000000}"/>
    <hyperlink ref="J214" r:id="rId139" xr:uid="{00000000-0004-0000-0A00-00008A000000}"/>
    <hyperlink ref="J217" r:id="rId140" xr:uid="{00000000-0004-0000-0A00-00008B000000}"/>
    <hyperlink ref="J218" r:id="rId141" xr:uid="{00000000-0004-0000-0A00-00008C000000}"/>
    <hyperlink ref="J219" r:id="rId142" xr:uid="{00000000-0004-0000-0A00-00008D000000}"/>
    <hyperlink ref="J220" r:id="rId143" xr:uid="{00000000-0004-0000-0A00-00008E000000}"/>
    <hyperlink ref="J221" r:id="rId144" xr:uid="{00000000-0004-0000-0A00-00008F000000}"/>
    <hyperlink ref="J222" r:id="rId145" xr:uid="{00000000-0004-0000-0A00-000090000000}"/>
    <hyperlink ref="J223" r:id="rId146" xr:uid="{00000000-0004-0000-0A00-000091000000}"/>
    <hyperlink ref="J225" r:id="rId147" xr:uid="{00000000-0004-0000-0A00-000092000000}"/>
    <hyperlink ref="J227" r:id="rId148" xr:uid="{00000000-0004-0000-0A00-000093000000}"/>
    <hyperlink ref="J232" r:id="rId149" xr:uid="{00000000-0004-0000-0A00-000094000000}"/>
    <hyperlink ref="J233" r:id="rId150" xr:uid="{00000000-0004-0000-0A00-000095000000}"/>
    <hyperlink ref="J234" r:id="rId151" xr:uid="{00000000-0004-0000-0A00-000096000000}"/>
    <hyperlink ref="J236" r:id="rId152" xr:uid="{00000000-0004-0000-0A00-000097000000}"/>
    <hyperlink ref="J237" r:id="rId153" xr:uid="{00000000-0004-0000-0A00-000098000000}"/>
    <hyperlink ref="J239" r:id="rId154" xr:uid="{00000000-0004-0000-0A00-000099000000}"/>
    <hyperlink ref="J241" r:id="rId155" xr:uid="{00000000-0004-0000-0A00-00009A000000}"/>
    <hyperlink ref="J242" r:id="rId156" xr:uid="{00000000-0004-0000-0A00-00009B000000}"/>
    <hyperlink ref="J243" r:id="rId157" xr:uid="{00000000-0004-0000-0A00-00009C000000}"/>
    <hyperlink ref="J246" r:id="rId158" xr:uid="{00000000-0004-0000-0A00-00009D000000}"/>
    <hyperlink ref="J250" r:id="rId159" xr:uid="{00000000-0004-0000-0A00-00009E000000}"/>
    <hyperlink ref="J251" r:id="rId160" xr:uid="{00000000-0004-0000-0A00-00009F000000}"/>
    <hyperlink ref="J252" r:id="rId161" xr:uid="{00000000-0004-0000-0A00-0000A0000000}"/>
    <hyperlink ref="J253" r:id="rId162" xr:uid="{00000000-0004-0000-0A00-0000A1000000}"/>
    <hyperlink ref="J254" r:id="rId163" xr:uid="{00000000-0004-0000-0A00-0000A2000000}"/>
    <hyperlink ref="J255" r:id="rId164" xr:uid="{00000000-0004-0000-0A00-0000A3000000}"/>
    <hyperlink ref="J257" r:id="rId165" xr:uid="{00000000-0004-0000-0A00-0000A4000000}"/>
    <hyperlink ref="J258" r:id="rId166" xr:uid="{00000000-0004-0000-0A00-0000A5000000}"/>
    <hyperlink ref="J260" r:id="rId167" xr:uid="{00000000-0004-0000-0A00-0000A6000000}"/>
    <hyperlink ref="S262" r:id="rId168" display="mailto:a.tondat@mtabarbecue.com" xr:uid="{00000000-0004-0000-0A00-0000A7000000}"/>
    <hyperlink ref="J263" r:id="rId169" xr:uid="{00000000-0004-0000-0A00-0000A8000000}"/>
    <hyperlink ref="S263" r:id="rId170" display="mailto:alessandro.busi@cdfoods.com" xr:uid="{00000000-0004-0000-0A00-0000A9000000}"/>
    <hyperlink ref="J269" r:id="rId171" xr:uid="{00000000-0004-0000-0A00-0000AA000000}"/>
    <hyperlink ref="J293" r:id="rId172" xr:uid="{00000000-0004-0000-0A00-0000AB000000}"/>
    <hyperlink ref="J316" r:id="rId173" xr:uid="{00000000-0004-0000-0A00-0000AC000000}"/>
    <hyperlink ref="J319" r:id="rId174" xr:uid="{00000000-0004-0000-0A00-0000AD000000}"/>
    <hyperlink ref="J321" r:id="rId175" xr:uid="{00000000-0004-0000-0A00-0000AE000000}"/>
    <hyperlink ref="J325" r:id="rId176" xr:uid="{00000000-0004-0000-0A00-0000AF000000}"/>
    <hyperlink ref="J326" r:id="rId177" xr:uid="{00000000-0004-0000-0A00-0000B0000000}"/>
    <hyperlink ref="J330" r:id="rId178" xr:uid="{00000000-0004-0000-0A00-0000B1000000}"/>
    <hyperlink ref="J331" r:id="rId179" xr:uid="{00000000-0004-0000-0A00-0000B2000000}"/>
    <hyperlink ref="J332" r:id="rId180" xr:uid="{00000000-0004-0000-0A00-0000B3000000}"/>
    <hyperlink ref="J338" r:id="rId181" xr:uid="{00000000-0004-0000-0A00-0000B4000000}"/>
    <hyperlink ref="J339" r:id="rId182" xr:uid="{00000000-0004-0000-0A00-0000B5000000}"/>
    <hyperlink ref="J342" r:id="rId183" xr:uid="{00000000-0004-0000-0A00-0000B6000000}"/>
    <hyperlink ref="J344" r:id="rId184" xr:uid="{00000000-0004-0000-0A00-0000B7000000}"/>
    <hyperlink ref="J347" r:id="rId185" xr:uid="{00000000-0004-0000-0A00-0000B8000000}"/>
    <hyperlink ref="J348" r:id="rId186" xr:uid="{00000000-0004-0000-0A00-0000B9000000}"/>
    <hyperlink ref="J349" r:id="rId187" xr:uid="{00000000-0004-0000-0A00-0000BA000000}"/>
    <hyperlink ref="J350" r:id="rId188" xr:uid="{00000000-0004-0000-0A00-0000BB000000}"/>
    <hyperlink ref="J351" r:id="rId189" xr:uid="{00000000-0004-0000-0A00-0000BC000000}"/>
    <hyperlink ref="J352" r:id="rId190" xr:uid="{00000000-0004-0000-0A00-0000BD000000}"/>
    <hyperlink ref="J355" r:id="rId191" xr:uid="{00000000-0004-0000-0A00-0000BE000000}"/>
    <hyperlink ref="J356" r:id="rId192" xr:uid="{00000000-0004-0000-0A00-0000BF000000}"/>
    <hyperlink ref="J357" r:id="rId193" xr:uid="{00000000-0004-0000-0A00-0000C0000000}"/>
    <hyperlink ref="J360" r:id="rId194" xr:uid="{00000000-0004-0000-0A00-0000C1000000}"/>
    <hyperlink ref="J362" r:id="rId195" xr:uid="{00000000-0004-0000-0A00-0000C2000000}"/>
    <hyperlink ref="J363" r:id="rId196" xr:uid="{00000000-0004-0000-0A00-0000C3000000}"/>
    <hyperlink ref="J365" r:id="rId197" xr:uid="{00000000-0004-0000-0A00-0000C4000000}"/>
    <hyperlink ref="J366" r:id="rId198" xr:uid="{00000000-0004-0000-0A00-0000C5000000}"/>
    <hyperlink ref="J369" r:id="rId199" xr:uid="{00000000-0004-0000-0A00-0000C6000000}"/>
    <hyperlink ref="J370" r:id="rId200" xr:uid="{00000000-0004-0000-0A00-0000C7000000}"/>
    <hyperlink ref="J372" r:id="rId201" xr:uid="{00000000-0004-0000-0A00-0000C8000000}"/>
    <hyperlink ref="J377" r:id="rId202" xr:uid="{00000000-0004-0000-0A00-0000C9000000}"/>
    <hyperlink ref="J378" r:id="rId203" xr:uid="{00000000-0004-0000-0A00-0000CA000000}"/>
    <hyperlink ref="J380" r:id="rId204" xr:uid="{00000000-0004-0000-0A00-0000CB000000}"/>
    <hyperlink ref="J383" r:id="rId205" xr:uid="{00000000-0004-0000-0A00-0000CC000000}"/>
    <hyperlink ref="J389" r:id="rId206" xr:uid="{00000000-0004-0000-0A00-0000CD000000}"/>
    <hyperlink ref="J390" r:id="rId207" xr:uid="{00000000-0004-0000-0A00-0000CE000000}"/>
    <hyperlink ref="J392" r:id="rId208" xr:uid="{00000000-0004-0000-0A00-0000CF000000}"/>
    <hyperlink ref="J393" r:id="rId209" xr:uid="{00000000-0004-0000-0A00-0000D0000000}"/>
    <hyperlink ref="J394" r:id="rId210" xr:uid="{00000000-0004-0000-0A00-0000D1000000}"/>
    <hyperlink ref="J396" r:id="rId211" xr:uid="{00000000-0004-0000-0A00-0000D2000000}"/>
    <hyperlink ref="J397" r:id="rId212" xr:uid="{00000000-0004-0000-0A00-0000D3000000}"/>
    <hyperlink ref="J400" r:id="rId213" xr:uid="{00000000-0004-0000-0A00-0000D4000000}"/>
    <hyperlink ref="J403" r:id="rId214" xr:uid="{00000000-0004-0000-0A00-0000D5000000}"/>
    <hyperlink ref="J404" r:id="rId215" xr:uid="{00000000-0004-0000-0A00-0000D6000000}"/>
    <hyperlink ref="J405" r:id="rId216" xr:uid="{00000000-0004-0000-0A00-0000D7000000}"/>
    <hyperlink ref="J406" r:id="rId217" xr:uid="{00000000-0004-0000-0A00-0000D8000000}"/>
    <hyperlink ref="J407" r:id="rId218" xr:uid="{00000000-0004-0000-0A00-0000D9000000}"/>
    <hyperlink ref="J408" r:id="rId219" xr:uid="{00000000-0004-0000-0A00-0000DA000000}"/>
    <hyperlink ref="J409" r:id="rId220" xr:uid="{00000000-0004-0000-0A00-0000DB000000}"/>
    <hyperlink ref="J410" r:id="rId221" xr:uid="{00000000-0004-0000-0A00-0000DC000000}"/>
    <hyperlink ref="J413" r:id="rId222" xr:uid="{00000000-0004-0000-0A00-0000DD000000}"/>
    <hyperlink ref="J414" r:id="rId223" xr:uid="{00000000-0004-0000-0A00-0000DE000000}"/>
    <hyperlink ref="J417" r:id="rId224" xr:uid="{00000000-0004-0000-0A00-0000DF000000}"/>
    <hyperlink ref="J419" r:id="rId225" xr:uid="{00000000-0004-0000-0A00-0000E0000000}"/>
    <hyperlink ref="J421" r:id="rId226" xr:uid="{00000000-0004-0000-0A00-0000E1000000}"/>
    <hyperlink ref="J422" r:id="rId227" xr:uid="{00000000-0004-0000-0A00-0000E2000000}"/>
    <hyperlink ref="J423" r:id="rId228" xr:uid="{00000000-0004-0000-0A00-0000E3000000}"/>
    <hyperlink ref="J424" r:id="rId229" xr:uid="{00000000-0004-0000-0A00-0000E4000000}"/>
    <hyperlink ref="J429" r:id="rId230" xr:uid="{00000000-0004-0000-0A00-0000E5000000}"/>
    <hyperlink ref="J430" r:id="rId231" xr:uid="{00000000-0004-0000-0A00-0000E6000000}"/>
    <hyperlink ref="J431" r:id="rId232" xr:uid="{00000000-0004-0000-0A00-0000E7000000}"/>
    <hyperlink ref="J432" r:id="rId233" xr:uid="{00000000-0004-0000-0A00-0000E8000000}"/>
    <hyperlink ref="J433" r:id="rId234" xr:uid="{00000000-0004-0000-0A00-0000E9000000}"/>
    <hyperlink ref="J434" r:id="rId235" xr:uid="{00000000-0004-0000-0A00-0000EA000000}"/>
    <hyperlink ref="J438" r:id="rId236" xr:uid="{00000000-0004-0000-0A00-0000EB000000}"/>
    <hyperlink ref="J439" r:id="rId237" xr:uid="{00000000-0004-0000-0A00-0000EC000000}"/>
    <hyperlink ref="J441" r:id="rId238" xr:uid="{00000000-0004-0000-0A00-0000ED000000}"/>
    <hyperlink ref="J442" r:id="rId239" xr:uid="{00000000-0004-0000-0A00-0000EE000000}"/>
    <hyperlink ref="J443" r:id="rId240" xr:uid="{00000000-0004-0000-0A00-0000EF000000}"/>
    <hyperlink ref="J444" r:id="rId241" xr:uid="{00000000-0004-0000-0A00-0000F0000000}"/>
    <hyperlink ref="J446" r:id="rId242" xr:uid="{00000000-0004-0000-0A00-0000F1000000}"/>
    <hyperlink ref="J447" r:id="rId243" xr:uid="{00000000-0004-0000-0A00-0000F2000000}"/>
    <hyperlink ref="J448" r:id="rId244" xr:uid="{00000000-0004-0000-0A00-0000F3000000}"/>
    <hyperlink ref="J449" r:id="rId245" xr:uid="{00000000-0004-0000-0A00-0000F4000000}"/>
  </hyperlinks>
  <pageMargins left="0.75" right="0.75" top="1" bottom="1"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4.42578125" defaultRowHeight="15" customHeight="1"/>
  <cols>
    <col min="1" max="1" width="12.140625" customWidth="1"/>
    <col min="2" max="2" width="17.42578125" customWidth="1"/>
    <col min="3" max="3" width="16.140625" customWidth="1"/>
    <col min="4" max="4" width="19.28515625" customWidth="1"/>
    <col min="5" max="5" width="15.7109375" customWidth="1"/>
    <col min="6" max="11" width="18.7109375" customWidth="1"/>
    <col min="12" max="26" width="16.140625" customWidth="1"/>
  </cols>
  <sheetData>
    <row r="1" spans="1:26" ht="12.75" customHeight="1">
      <c r="A1" s="1695" t="s">
        <v>6271</v>
      </c>
      <c r="B1" s="1695" t="s">
        <v>6272</v>
      </c>
      <c r="C1" s="1695" t="s">
        <v>6273</v>
      </c>
      <c r="D1" s="1695" t="s">
        <v>6274</v>
      </c>
      <c r="E1" s="1695" t="s">
        <v>6275</v>
      </c>
      <c r="F1" s="1695" t="s">
        <v>6276</v>
      </c>
      <c r="G1" s="1695" t="s">
        <v>6276</v>
      </c>
      <c r="H1" s="1695" t="s">
        <v>6276</v>
      </c>
      <c r="I1" s="1695" t="s">
        <v>6276</v>
      </c>
      <c r="J1" s="1695" t="s">
        <v>6276</v>
      </c>
      <c r="K1" s="1695" t="s">
        <v>6276</v>
      </c>
      <c r="L1" s="1523"/>
      <c r="M1" s="1523"/>
      <c r="N1" s="1523"/>
      <c r="O1" s="1523"/>
      <c r="P1" s="1523"/>
      <c r="Q1" s="1523"/>
      <c r="R1" s="1523"/>
      <c r="S1" s="1523"/>
      <c r="T1" s="1523"/>
      <c r="U1" s="1523"/>
      <c r="V1" s="1523"/>
      <c r="W1" s="1523"/>
      <c r="X1" s="1523"/>
      <c r="Y1" s="1523"/>
      <c r="Z1" s="1523"/>
    </row>
    <row r="2" spans="1:26" ht="12.75" customHeight="1">
      <c r="A2" s="1696" t="s">
        <v>6277</v>
      </c>
      <c r="B2" s="1697">
        <v>800</v>
      </c>
      <c r="C2" s="1697">
        <v>600</v>
      </c>
      <c r="D2" s="1698" t="s">
        <v>6278</v>
      </c>
      <c r="E2" s="1698" t="s">
        <v>6279</v>
      </c>
      <c r="F2" s="1696" t="s">
        <v>6280</v>
      </c>
      <c r="G2" s="1696" t="s">
        <v>6281</v>
      </c>
      <c r="H2" s="1696" t="s">
        <v>6282</v>
      </c>
      <c r="I2" s="1696" t="s">
        <v>6283</v>
      </c>
      <c r="J2" s="1696" t="s">
        <v>6284</v>
      </c>
      <c r="K2" s="1696" t="s">
        <v>6285</v>
      </c>
      <c r="L2" s="1523"/>
      <c r="M2" s="1523"/>
      <c r="N2" s="1523"/>
      <c r="O2" s="1523"/>
      <c r="P2" s="1523"/>
      <c r="Q2" s="1523"/>
      <c r="R2" s="1523"/>
      <c r="S2" s="1523"/>
      <c r="T2" s="1523"/>
      <c r="U2" s="1523"/>
      <c r="V2" s="1523"/>
      <c r="W2" s="1523"/>
      <c r="X2" s="1523"/>
      <c r="Y2" s="1523"/>
      <c r="Z2" s="1523"/>
    </row>
    <row r="3" spans="1:26" ht="12.75" customHeight="1">
      <c r="A3" s="1696" t="s">
        <v>6286</v>
      </c>
      <c r="B3" s="1697">
        <v>400</v>
      </c>
      <c r="C3" s="1697">
        <v>350</v>
      </c>
      <c r="D3" s="1698" t="s">
        <v>6287</v>
      </c>
      <c r="E3" s="1698" t="s">
        <v>6288</v>
      </c>
      <c r="F3" s="1696" t="s">
        <v>6289</v>
      </c>
      <c r="G3" s="1696" t="s">
        <v>6290</v>
      </c>
      <c r="H3" s="1696" t="s">
        <v>6291</v>
      </c>
      <c r="I3" s="1696" t="s">
        <v>6292</v>
      </c>
      <c r="J3" s="1696" t="s">
        <v>6293</v>
      </c>
      <c r="K3" s="1696" t="s">
        <v>6294</v>
      </c>
      <c r="L3" s="1523"/>
      <c r="M3" s="1523"/>
      <c r="N3" s="1523"/>
      <c r="O3" s="1523"/>
      <c r="P3" s="1523"/>
      <c r="Q3" s="1523"/>
      <c r="R3" s="1523"/>
      <c r="S3" s="1523"/>
      <c r="T3" s="1523"/>
      <c r="U3" s="1523"/>
      <c r="V3" s="1523"/>
      <c r="W3" s="1523"/>
      <c r="X3" s="1523"/>
      <c r="Y3" s="1523"/>
      <c r="Z3" s="1523"/>
    </row>
    <row r="4" spans="1:26" ht="12.75" customHeight="1">
      <c r="A4" s="1696" t="s">
        <v>6295</v>
      </c>
      <c r="B4" s="1697">
        <v>300</v>
      </c>
      <c r="C4" s="1697">
        <v>250</v>
      </c>
      <c r="D4" s="1698" t="s">
        <v>6296</v>
      </c>
      <c r="E4" s="1698" t="s">
        <v>6297</v>
      </c>
      <c r="F4" s="1696" t="s">
        <v>6298</v>
      </c>
      <c r="G4" s="1696" t="s">
        <v>6298</v>
      </c>
      <c r="H4" s="1696" t="s">
        <v>6298</v>
      </c>
      <c r="I4" s="1696" t="s">
        <v>6298</v>
      </c>
      <c r="J4" s="1696" t="s">
        <v>6298</v>
      </c>
      <c r="K4" s="1696" t="s">
        <v>6298</v>
      </c>
      <c r="L4" s="1523"/>
      <c r="M4" s="1523"/>
      <c r="N4" s="1523"/>
      <c r="O4" s="1523"/>
      <c r="P4" s="1523"/>
      <c r="Q4" s="1523"/>
      <c r="R4" s="1523"/>
      <c r="S4" s="1523"/>
      <c r="T4" s="1523"/>
      <c r="U4" s="1523"/>
      <c r="V4" s="1523"/>
      <c r="W4" s="1523"/>
      <c r="X4" s="1523"/>
      <c r="Y4" s="1523"/>
      <c r="Z4" s="1523"/>
    </row>
    <row r="5" spans="1:26" ht="12.75" customHeight="1">
      <c r="A5" s="1696"/>
      <c r="B5" s="1697"/>
      <c r="C5" s="1697"/>
      <c r="D5" s="1697"/>
      <c r="E5" s="1697"/>
      <c r="F5" s="1696"/>
      <c r="G5" s="1696"/>
      <c r="H5" s="1696"/>
      <c r="I5" s="1696"/>
      <c r="J5" s="1696"/>
      <c r="K5" s="1696"/>
      <c r="L5" s="1523"/>
      <c r="M5" s="1523"/>
      <c r="N5" s="1523"/>
      <c r="O5" s="1523"/>
      <c r="P5" s="1523"/>
      <c r="Q5" s="1523"/>
      <c r="R5" s="1523"/>
      <c r="S5" s="1523"/>
      <c r="T5" s="1523"/>
      <c r="U5" s="1523"/>
      <c r="V5" s="1523"/>
      <c r="W5" s="1523"/>
      <c r="X5" s="1523"/>
      <c r="Y5" s="1523"/>
      <c r="Z5" s="1523"/>
    </row>
    <row r="6" spans="1:26" ht="12.75" customHeight="1">
      <c r="A6" s="1696" t="s">
        <v>6299</v>
      </c>
      <c r="B6" s="1697">
        <v>200</v>
      </c>
      <c r="C6" s="1697">
        <v>200</v>
      </c>
      <c r="D6" s="1697"/>
      <c r="E6" s="1697"/>
      <c r="F6" s="1696" t="s">
        <v>6300</v>
      </c>
      <c r="G6" s="1696"/>
      <c r="H6" s="1696" t="s">
        <v>6301</v>
      </c>
      <c r="I6" s="1696"/>
      <c r="J6" s="1696"/>
      <c r="K6" s="1696"/>
      <c r="L6" s="1523"/>
      <c r="M6" s="1523"/>
      <c r="N6" s="1523"/>
      <c r="O6" s="1523"/>
      <c r="P6" s="1523"/>
      <c r="Q6" s="1523"/>
      <c r="R6" s="1523"/>
      <c r="S6" s="1523"/>
      <c r="T6" s="1523"/>
      <c r="U6" s="1523"/>
      <c r="V6" s="1523"/>
      <c r="W6" s="1523"/>
      <c r="X6" s="1523"/>
      <c r="Y6" s="1523"/>
      <c r="Z6" s="1523"/>
    </row>
    <row r="7" spans="1:26" ht="12.75" customHeight="1">
      <c r="A7" s="1696" t="s">
        <v>6302</v>
      </c>
      <c r="B7" s="1697">
        <v>150</v>
      </c>
      <c r="C7" s="1697">
        <v>150</v>
      </c>
      <c r="D7" s="1697"/>
      <c r="E7" s="1697"/>
      <c r="F7" s="1696" t="s">
        <v>6303</v>
      </c>
      <c r="G7" s="1696"/>
      <c r="H7" s="1696" t="s">
        <v>6304</v>
      </c>
      <c r="I7" s="1696"/>
      <c r="J7" s="1696"/>
      <c r="K7" s="1696"/>
      <c r="L7" s="1523"/>
      <c r="M7" s="1523"/>
      <c r="N7" s="1523"/>
      <c r="O7" s="1523"/>
      <c r="P7" s="1523"/>
      <c r="Q7" s="1523"/>
      <c r="R7" s="1523"/>
      <c r="S7" s="1523"/>
      <c r="T7" s="1523"/>
      <c r="U7" s="1523"/>
      <c r="V7" s="1523"/>
      <c r="W7" s="1523"/>
      <c r="X7" s="1523"/>
      <c r="Y7" s="1523"/>
      <c r="Z7" s="1523"/>
    </row>
    <row r="8" spans="1:26" ht="12.75" customHeight="1">
      <c r="A8" s="1696" t="s">
        <v>745</v>
      </c>
      <c r="B8" s="1697">
        <v>100</v>
      </c>
      <c r="C8" s="1697">
        <v>100</v>
      </c>
      <c r="D8" s="1697"/>
      <c r="E8" s="1697"/>
      <c r="F8" s="1696" t="s">
        <v>6298</v>
      </c>
      <c r="G8" s="1696" t="s">
        <v>6298</v>
      </c>
      <c r="H8" s="1696" t="s">
        <v>6298</v>
      </c>
      <c r="I8" s="1696" t="s">
        <v>6298</v>
      </c>
      <c r="J8" s="1696" t="s">
        <v>6298</v>
      </c>
      <c r="K8" s="1696" t="s">
        <v>6298</v>
      </c>
      <c r="L8" s="1523"/>
      <c r="M8" s="1523"/>
      <c r="N8" s="1523"/>
      <c r="O8" s="1523"/>
      <c r="P8" s="1523"/>
      <c r="Q8" s="1523"/>
      <c r="R8" s="1523"/>
      <c r="S8" s="1523"/>
      <c r="T8" s="1523"/>
      <c r="U8" s="1523"/>
      <c r="V8" s="1523"/>
      <c r="W8" s="1523"/>
      <c r="X8" s="1523"/>
      <c r="Y8" s="1523"/>
      <c r="Z8" s="1523"/>
    </row>
    <row r="9" spans="1:26" ht="12.75" customHeight="1">
      <c r="A9" s="1523"/>
      <c r="B9" s="1523"/>
      <c r="C9" s="1523"/>
      <c r="D9" s="1523"/>
      <c r="E9" s="1523"/>
      <c r="F9" s="1523"/>
      <c r="G9" s="1523"/>
      <c r="H9" s="1523"/>
      <c r="I9" s="1523"/>
      <c r="J9" s="1523"/>
      <c r="K9" s="1523"/>
      <c r="L9" s="1523"/>
      <c r="M9" s="1523"/>
      <c r="N9" s="1523"/>
      <c r="O9" s="1523"/>
      <c r="P9" s="1523"/>
      <c r="Q9" s="1523"/>
      <c r="R9" s="1523"/>
      <c r="S9" s="1523"/>
      <c r="T9" s="1523"/>
      <c r="U9" s="1523"/>
      <c r="V9" s="1523"/>
      <c r="W9" s="1523"/>
      <c r="X9" s="1523"/>
      <c r="Y9" s="1523"/>
      <c r="Z9" s="1523"/>
    </row>
    <row r="10" spans="1:26" ht="12.75" customHeight="1">
      <c r="A10" s="1523"/>
      <c r="B10" s="1523"/>
      <c r="C10" s="1523"/>
      <c r="D10" s="1523"/>
      <c r="E10" s="1523"/>
      <c r="F10" s="1523"/>
      <c r="G10" s="1523"/>
      <c r="H10" s="1523"/>
      <c r="I10" s="1523"/>
      <c r="J10" s="1523"/>
      <c r="K10" s="1523"/>
      <c r="L10" s="1523"/>
      <c r="M10" s="1523"/>
      <c r="N10" s="1523"/>
      <c r="O10" s="1523"/>
      <c r="P10" s="1523"/>
      <c r="Q10" s="1523"/>
      <c r="R10" s="1523"/>
      <c r="S10" s="1523"/>
      <c r="T10" s="1523"/>
      <c r="U10" s="1523"/>
      <c r="V10" s="1523"/>
      <c r="W10" s="1523"/>
      <c r="X10" s="1523"/>
      <c r="Y10" s="1523"/>
      <c r="Z10" s="1523"/>
    </row>
    <row r="11" spans="1:26" ht="12.75" customHeight="1">
      <c r="A11" s="1523"/>
      <c r="B11" s="1523"/>
      <c r="C11" s="1523"/>
      <c r="D11" s="1523"/>
      <c r="E11" s="1523"/>
      <c r="F11" s="1523"/>
      <c r="G11" s="1523"/>
      <c r="H11" s="1523"/>
      <c r="I11" s="1523"/>
      <c r="J11" s="1523"/>
      <c r="K11" s="1523"/>
      <c r="L11" s="1523"/>
      <c r="M11" s="1523"/>
      <c r="N11" s="1523"/>
      <c r="O11" s="1523"/>
      <c r="P11" s="1523"/>
      <c r="Q11" s="1523"/>
      <c r="R11" s="1523"/>
      <c r="S11" s="1523"/>
      <c r="T11" s="1523"/>
      <c r="U11" s="1523"/>
      <c r="V11" s="1523"/>
      <c r="W11" s="1523"/>
      <c r="X11" s="1523"/>
      <c r="Y11" s="1523"/>
      <c r="Z11" s="1523"/>
    </row>
    <row r="12" spans="1:26" ht="12.75" customHeight="1">
      <c r="A12" s="1523"/>
      <c r="B12" s="1523"/>
      <c r="C12" s="1523"/>
      <c r="D12" s="1523"/>
      <c r="E12" s="1523"/>
      <c r="F12" s="1523"/>
      <c r="G12" s="1523"/>
      <c r="H12" s="1523"/>
      <c r="I12" s="1523"/>
      <c r="J12" s="1523"/>
      <c r="K12" s="1523"/>
      <c r="L12" s="1523"/>
      <c r="M12" s="1523"/>
      <c r="N12" s="1523"/>
      <c r="O12" s="1523"/>
      <c r="P12" s="1523"/>
      <c r="Q12" s="1523"/>
      <c r="R12" s="1523"/>
      <c r="S12" s="1523"/>
      <c r="T12" s="1523"/>
      <c r="U12" s="1523"/>
      <c r="V12" s="1523"/>
      <c r="W12" s="1523"/>
      <c r="X12" s="1523"/>
      <c r="Y12" s="1523"/>
      <c r="Z12" s="1523"/>
    </row>
    <row r="13" spans="1:26" ht="12.75" customHeight="1">
      <c r="A13" s="1523"/>
      <c r="B13" s="1523"/>
      <c r="C13" s="1523"/>
      <c r="D13" s="1523"/>
      <c r="E13" s="1523"/>
      <c r="F13" s="1523"/>
      <c r="G13" s="1523"/>
      <c r="H13" s="1523"/>
      <c r="I13" s="1523"/>
      <c r="J13" s="1523"/>
      <c r="K13" s="1523"/>
      <c r="L13" s="1523"/>
      <c r="M13" s="1523"/>
      <c r="N13" s="1523"/>
      <c r="O13" s="1523"/>
      <c r="P13" s="1523"/>
      <c r="Q13" s="1523"/>
      <c r="R13" s="1523"/>
      <c r="S13" s="1523"/>
      <c r="T13" s="1523"/>
      <c r="U13" s="1523"/>
      <c r="V13" s="1523"/>
      <c r="W13" s="1523"/>
      <c r="X13" s="1523"/>
      <c r="Y13" s="1523"/>
      <c r="Z13" s="1523"/>
    </row>
    <row r="14" spans="1:26" ht="12.75" customHeight="1">
      <c r="A14" s="1523"/>
      <c r="B14" s="1523"/>
      <c r="C14" s="1523"/>
      <c r="D14" s="1523"/>
      <c r="E14" s="1523"/>
      <c r="F14" s="1523"/>
      <c r="G14" s="1523"/>
      <c r="H14" s="1523"/>
      <c r="I14" s="1523"/>
      <c r="J14" s="1523"/>
      <c r="K14" s="1523"/>
      <c r="L14" s="1523"/>
      <c r="M14" s="1523"/>
      <c r="N14" s="1523"/>
      <c r="O14" s="1523"/>
      <c r="P14" s="1523"/>
      <c r="Q14" s="1523"/>
      <c r="R14" s="1523"/>
      <c r="S14" s="1523"/>
      <c r="T14" s="1523"/>
      <c r="U14" s="1523"/>
      <c r="V14" s="1523"/>
      <c r="W14" s="1523"/>
      <c r="X14" s="1523"/>
      <c r="Y14" s="1523"/>
      <c r="Z14" s="1523"/>
    </row>
    <row r="15" spans="1:26" ht="12.75" customHeight="1">
      <c r="A15" s="1523"/>
      <c r="B15" s="1523"/>
      <c r="C15" s="1523"/>
      <c r="D15" s="1523"/>
      <c r="E15" s="1523"/>
      <c r="F15" s="1523"/>
      <c r="G15" s="1523"/>
      <c r="H15" s="1523"/>
      <c r="I15" s="1523"/>
      <c r="J15" s="1523"/>
      <c r="K15" s="1523"/>
      <c r="L15" s="1523"/>
      <c r="M15" s="1523"/>
      <c r="N15" s="1523"/>
      <c r="O15" s="1523"/>
      <c r="P15" s="1523"/>
      <c r="Q15" s="1523"/>
      <c r="R15" s="1523"/>
      <c r="S15" s="1523"/>
      <c r="T15" s="1523"/>
      <c r="U15" s="1523"/>
      <c r="V15" s="1523"/>
      <c r="W15" s="1523"/>
      <c r="X15" s="1523"/>
      <c r="Y15" s="1523"/>
      <c r="Z15" s="1523"/>
    </row>
    <row r="16" spans="1:26" ht="12.75" customHeight="1">
      <c r="A16" s="1523"/>
      <c r="B16" s="1523"/>
      <c r="C16" s="1523"/>
      <c r="D16" s="1523"/>
      <c r="E16" s="1523"/>
      <c r="F16" s="1523"/>
      <c r="G16" s="1523"/>
      <c r="H16" s="1523"/>
      <c r="I16" s="1523"/>
      <c r="J16" s="1523"/>
      <c r="K16" s="1523"/>
      <c r="L16" s="1523"/>
      <c r="M16" s="1523"/>
      <c r="N16" s="1523"/>
      <c r="O16" s="1523"/>
      <c r="P16" s="1523"/>
      <c r="Q16" s="1523"/>
      <c r="R16" s="1523"/>
      <c r="S16" s="1523"/>
      <c r="T16" s="1523"/>
      <c r="U16" s="1523"/>
      <c r="V16" s="1523"/>
      <c r="W16" s="1523"/>
      <c r="X16" s="1523"/>
      <c r="Y16" s="1523"/>
      <c r="Z16" s="1523"/>
    </row>
    <row r="17" spans="1:26" ht="12.75" customHeight="1">
      <c r="A17" s="1523"/>
      <c r="B17" s="1523"/>
      <c r="C17" s="1523"/>
      <c r="D17" s="1523"/>
      <c r="E17" s="1523"/>
      <c r="F17" s="1523"/>
      <c r="G17" s="1523"/>
      <c r="H17" s="1523"/>
      <c r="I17" s="1523"/>
      <c r="J17" s="1523"/>
      <c r="K17" s="1523"/>
      <c r="L17" s="1523"/>
      <c r="M17" s="1523"/>
      <c r="N17" s="1523"/>
      <c r="O17" s="1523"/>
      <c r="P17" s="1523"/>
      <c r="Q17" s="1523"/>
      <c r="R17" s="1523"/>
      <c r="S17" s="1523"/>
      <c r="T17" s="1523"/>
      <c r="U17" s="1523"/>
      <c r="V17" s="1523"/>
      <c r="W17" s="1523"/>
      <c r="X17" s="1523"/>
      <c r="Y17" s="1523"/>
      <c r="Z17" s="1523"/>
    </row>
    <row r="18" spans="1:26" ht="12.75" customHeight="1">
      <c r="A18" s="1523"/>
      <c r="B18" s="1523"/>
      <c r="C18" s="1523"/>
      <c r="D18" s="1523"/>
      <c r="E18" s="1523"/>
      <c r="F18" s="1523"/>
      <c r="G18" s="1523"/>
      <c r="H18" s="1523"/>
      <c r="I18" s="1523"/>
      <c r="J18" s="1523"/>
      <c r="K18" s="1523"/>
      <c r="L18" s="1523"/>
      <c r="M18" s="1523"/>
      <c r="N18" s="1523"/>
      <c r="O18" s="1523"/>
      <c r="P18" s="1523"/>
      <c r="Q18" s="1523"/>
      <c r="R18" s="1523"/>
      <c r="S18" s="1523"/>
      <c r="T18" s="1523"/>
      <c r="U18" s="1523"/>
      <c r="V18" s="1523"/>
      <c r="W18" s="1523"/>
      <c r="X18" s="1523"/>
      <c r="Y18" s="1523"/>
      <c r="Z18" s="1523"/>
    </row>
    <row r="19" spans="1:26" ht="12.75" customHeight="1">
      <c r="A19" s="1523"/>
      <c r="B19" s="1523"/>
      <c r="C19" s="1523"/>
      <c r="D19" s="1523"/>
      <c r="E19" s="1523"/>
      <c r="F19" s="1523"/>
      <c r="G19" s="1523"/>
      <c r="H19" s="1523"/>
      <c r="I19" s="1523"/>
      <c r="J19" s="1523"/>
      <c r="K19" s="1523"/>
      <c r="L19" s="1523"/>
      <c r="M19" s="1523"/>
      <c r="N19" s="1523"/>
      <c r="O19" s="1523"/>
      <c r="P19" s="1523"/>
      <c r="Q19" s="1523"/>
      <c r="R19" s="1523"/>
      <c r="S19" s="1523"/>
      <c r="T19" s="1523"/>
      <c r="U19" s="1523"/>
      <c r="V19" s="1523"/>
      <c r="W19" s="1523"/>
      <c r="X19" s="1523"/>
      <c r="Y19" s="1523"/>
      <c r="Z19" s="1523"/>
    </row>
    <row r="20" spans="1:26" ht="12.75" customHeight="1">
      <c r="A20" s="1523"/>
      <c r="B20" s="1523"/>
      <c r="C20" s="1523"/>
      <c r="D20" s="1523"/>
      <c r="E20" s="1523"/>
      <c r="F20" s="1523"/>
      <c r="G20" s="1523"/>
      <c r="H20" s="1523"/>
      <c r="I20" s="1523"/>
      <c r="J20" s="1523"/>
      <c r="K20" s="1523"/>
      <c r="L20" s="1523"/>
      <c r="M20" s="1523"/>
      <c r="N20" s="1523"/>
      <c r="O20" s="1523"/>
      <c r="P20" s="1523"/>
      <c r="Q20" s="1523"/>
      <c r="R20" s="1523"/>
      <c r="S20" s="1523"/>
      <c r="T20" s="1523"/>
      <c r="U20" s="1523"/>
      <c r="V20" s="1523"/>
      <c r="W20" s="1523"/>
      <c r="X20" s="1523"/>
      <c r="Y20" s="1523"/>
      <c r="Z20" s="1523"/>
    </row>
    <row r="21" spans="1:26" ht="12.75" customHeight="1">
      <c r="A21" s="1523"/>
      <c r="B21" s="1523"/>
      <c r="C21" s="1523"/>
      <c r="D21" s="1523"/>
      <c r="E21" s="1523"/>
      <c r="F21" s="1523"/>
      <c r="G21" s="1523"/>
      <c r="H21" s="1523"/>
      <c r="I21" s="1523"/>
      <c r="J21" s="1523"/>
      <c r="K21" s="1523"/>
      <c r="L21" s="1523"/>
      <c r="M21" s="1523"/>
      <c r="N21" s="1523"/>
      <c r="O21" s="1523"/>
      <c r="P21" s="1523"/>
      <c r="Q21" s="1523"/>
      <c r="R21" s="1523"/>
      <c r="S21" s="1523"/>
      <c r="T21" s="1523"/>
      <c r="U21" s="1523"/>
      <c r="V21" s="1523"/>
      <c r="W21" s="1523"/>
      <c r="X21" s="1523"/>
      <c r="Y21" s="1523"/>
      <c r="Z21" s="1523"/>
    </row>
    <row r="22" spans="1:26" ht="12.75" customHeight="1">
      <c r="A22" s="1523"/>
      <c r="B22" s="1523"/>
      <c r="C22" s="1523"/>
      <c r="D22" s="1523"/>
      <c r="E22" s="1523"/>
      <c r="F22" s="1523"/>
      <c r="G22" s="1523"/>
      <c r="H22" s="1523"/>
      <c r="I22" s="1523"/>
      <c r="J22" s="1523"/>
      <c r="K22" s="1523"/>
      <c r="L22" s="1523"/>
      <c r="M22" s="1523"/>
      <c r="N22" s="1523"/>
      <c r="O22" s="1523"/>
      <c r="P22" s="1523"/>
      <c r="Q22" s="1523"/>
      <c r="R22" s="1523"/>
      <c r="S22" s="1523"/>
      <c r="T22" s="1523"/>
      <c r="U22" s="1523"/>
      <c r="V22" s="1523"/>
      <c r="W22" s="1523"/>
      <c r="X22" s="1523"/>
      <c r="Y22" s="1523"/>
      <c r="Z22" s="1523"/>
    </row>
    <row r="23" spans="1:26" ht="12.75" customHeight="1">
      <c r="A23" s="1523"/>
      <c r="B23" s="1523"/>
      <c r="C23" s="1523"/>
      <c r="D23" s="1523"/>
      <c r="E23" s="1523"/>
      <c r="F23" s="1523"/>
      <c r="G23" s="1523"/>
      <c r="H23" s="1523"/>
      <c r="I23" s="1523"/>
      <c r="J23" s="1523"/>
      <c r="K23" s="1523"/>
      <c r="L23" s="1523"/>
      <c r="M23" s="1523"/>
      <c r="N23" s="1523"/>
      <c r="O23" s="1523"/>
      <c r="P23" s="1523"/>
      <c r="Q23" s="1523"/>
      <c r="R23" s="1523"/>
      <c r="S23" s="1523"/>
      <c r="T23" s="1523"/>
      <c r="U23" s="1523"/>
      <c r="V23" s="1523"/>
      <c r="W23" s="1523"/>
      <c r="X23" s="1523"/>
      <c r="Y23" s="1523"/>
      <c r="Z23" s="1523"/>
    </row>
    <row r="24" spans="1:26" ht="12.75" customHeight="1">
      <c r="A24" s="1523"/>
      <c r="B24" s="1523"/>
      <c r="C24" s="1523"/>
      <c r="D24" s="1523"/>
      <c r="E24" s="1523"/>
      <c r="F24" s="1523"/>
      <c r="G24" s="1523"/>
      <c r="H24" s="1523"/>
      <c r="I24" s="1523"/>
      <c r="J24" s="1523"/>
      <c r="K24" s="1523"/>
      <c r="L24" s="1523"/>
      <c r="M24" s="1523"/>
      <c r="N24" s="1523"/>
      <c r="O24" s="1523"/>
      <c r="P24" s="1523"/>
      <c r="Q24" s="1523"/>
      <c r="R24" s="1523"/>
      <c r="S24" s="1523"/>
      <c r="T24" s="1523"/>
      <c r="U24" s="1523"/>
      <c r="V24" s="1523"/>
      <c r="W24" s="1523"/>
      <c r="X24" s="1523"/>
      <c r="Y24" s="1523"/>
      <c r="Z24" s="1523"/>
    </row>
    <row r="25" spans="1:26" ht="12.75" customHeight="1">
      <c r="A25" s="1523"/>
      <c r="B25" s="1523"/>
      <c r="C25" s="1523"/>
      <c r="D25" s="1523"/>
      <c r="E25" s="1523"/>
      <c r="F25" s="1523"/>
      <c r="G25" s="1523"/>
      <c r="H25" s="1523"/>
      <c r="I25" s="1523"/>
      <c r="J25" s="1523"/>
      <c r="K25" s="1523"/>
      <c r="L25" s="1523"/>
      <c r="M25" s="1523"/>
      <c r="N25" s="1523"/>
      <c r="O25" s="1523"/>
      <c r="P25" s="1523"/>
      <c r="Q25" s="1523"/>
      <c r="R25" s="1523"/>
      <c r="S25" s="1523"/>
      <c r="T25" s="1523"/>
      <c r="U25" s="1523"/>
      <c r="V25" s="1523"/>
      <c r="W25" s="1523"/>
      <c r="X25" s="1523"/>
      <c r="Y25" s="1523"/>
      <c r="Z25" s="1523"/>
    </row>
    <row r="26" spans="1:26" ht="12.75" customHeight="1">
      <c r="A26" s="1523"/>
      <c r="B26" s="1523"/>
      <c r="C26" s="1523"/>
      <c r="D26" s="1523"/>
      <c r="E26" s="1523"/>
      <c r="F26" s="1523"/>
      <c r="G26" s="1523"/>
      <c r="H26" s="1523"/>
      <c r="I26" s="1523"/>
      <c r="J26" s="1523"/>
      <c r="K26" s="1523"/>
      <c r="L26" s="1523"/>
      <c r="M26" s="1523"/>
      <c r="N26" s="1523"/>
      <c r="O26" s="1523"/>
      <c r="P26" s="1523"/>
      <c r="Q26" s="1523"/>
      <c r="R26" s="1523"/>
      <c r="S26" s="1523"/>
      <c r="T26" s="1523"/>
      <c r="U26" s="1523"/>
      <c r="V26" s="1523"/>
      <c r="W26" s="1523"/>
      <c r="X26" s="1523"/>
      <c r="Y26" s="1523"/>
      <c r="Z26" s="1523"/>
    </row>
    <row r="27" spans="1:26" ht="12.75" customHeight="1">
      <c r="A27" s="1523"/>
      <c r="B27" s="1523"/>
      <c r="C27" s="1523"/>
      <c r="D27" s="1523"/>
      <c r="E27" s="1523"/>
      <c r="F27" s="1523"/>
      <c r="G27" s="1523"/>
      <c r="H27" s="1523"/>
      <c r="I27" s="1523"/>
      <c r="J27" s="1523"/>
      <c r="K27" s="1523"/>
      <c r="L27" s="1523"/>
      <c r="M27" s="1523"/>
      <c r="N27" s="1523"/>
      <c r="O27" s="1523"/>
      <c r="P27" s="1523"/>
      <c r="Q27" s="1523"/>
      <c r="R27" s="1523"/>
      <c r="S27" s="1523"/>
      <c r="T27" s="1523"/>
      <c r="U27" s="1523"/>
      <c r="V27" s="1523"/>
      <c r="W27" s="1523"/>
      <c r="X27" s="1523"/>
      <c r="Y27" s="1523"/>
      <c r="Z27" s="1523"/>
    </row>
    <row r="28" spans="1:26" ht="12.75" customHeight="1">
      <c r="A28" s="1523"/>
      <c r="B28" s="1523"/>
      <c r="C28" s="1523"/>
      <c r="D28" s="1523"/>
      <c r="E28" s="1523"/>
      <c r="F28" s="1523"/>
      <c r="G28" s="1523"/>
      <c r="H28" s="1523"/>
      <c r="I28" s="1523"/>
      <c r="J28" s="1523"/>
      <c r="K28" s="1523"/>
      <c r="L28" s="1523"/>
      <c r="M28" s="1523"/>
      <c r="N28" s="1523"/>
      <c r="O28" s="1523"/>
      <c r="P28" s="1523"/>
      <c r="Q28" s="1523"/>
      <c r="R28" s="1523"/>
      <c r="S28" s="1523"/>
      <c r="T28" s="1523"/>
      <c r="U28" s="1523"/>
      <c r="V28" s="1523"/>
      <c r="W28" s="1523"/>
      <c r="X28" s="1523"/>
      <c r="Y28" s="1523"/>
      <c r="Z28" s="1523"/>
    </row>
    <row r="29" spans="1:26" ht="12.75" customHeight="1">
      <c r="A29" s="1523"/>
      <c r="B29" s="1523"/>
      <c r="C29" s="1523"/>
      <c r="D29" s="1523"/>
      <c r="E29" s="1523"/>
      <c r="F29" s="1523"/>
      <c r="G29" s="1523"/>
      <c r="H29" s="1523"/>
      <c r="I29" s="1523"/>
      <c r="J29" s="1523"/>
      <c r="K29" s="1523"/>
      <c r="L29" s="1523"/>
      <c r="M29" s="1523"/>
      <c r="N29" s="1523"/>
      <c r="O29" s="1523"/>
      <c r="P29" s="1523"/>
      <c r="Q29" s="1523"/>
      <c r="R29" s="1523"/>
      <c r="S29" s="1523"/>
      <c r="T29" s="1523"/>
      <c r="U29" s="1523"/>
      <c r="V29" s="1523"/>
      <c r="W29" s="1523"/>
      <c r="X29" s="1523"/>
      <c r="Y29" s="1523"/>
      <c r="Z29" s="1523"/>
    </row>
    <row r="30" spans="1:26" ht="12.75" customHeight="1">
      <c r="A30" s="1523"/>
      <c r="B30" s="1523"/>
      <c r="C30" s="1523"/>
      <c r="D30" s="1523"/>
      <c r="E30" s="1523"/>
      <c r="F30" s="1523"/>
      <c r="G30" s="1523"/>
      <c r="H30" s="1523"/>
      <c r="I30" s="1523"/>
      <c r="J30" s="1523"/>
      <c r="K30" s="1523"/>
      <c r="L30" s="1523"/>
      <c r="M30" s="1523"/>
      <c r="N30" s="1523"/>
      <c r="O30" s="1523"/>
      <c r="P30" s="1523"/>
      <c r="Q30" s="1523"/>
      <c r="R30" s="1523"/>
      <c r="S30" s="1523"/>
      <c r="T30" s="1523"/>
      <c r="U30" s="1523"/>
      <c r="V30" s="1523"/>
      <c r="W30" s="1523"/>
      <c r="X30" s="1523"/>
      <c r="Y30" s="1523"/>
      <c r="Z30" s="1523"/>
    </row>
    <row r="31" spans="1:26" ht="12.75" customHeight="1">
      <c r="A31" s="1523"/>
      <c r="B31" s="1523"/>
      <c r="C31" s="1523"/>
      <c r="D31" s="1523"/>
      <c r="E31" s="1523"/>
      <c r="F31" s="1523"/>
      <c r="G31" s="1523"/>
      <c r="H31" s="1523"/>
      <c r="I31" s="1523"/>
      <c r="J31" s="1523"/>
      <c r="K31" s="1523"/>
      <c r="L31" s="1523"/>
      <c r="M31" s="1523"/>
      <c r="N31" s="1523"/>
      <c r="O31" s="1523"/>
      <c r="P31" s="1523"/>
      <c r="Q31" s="1523"/>
      <c r="R31" s="1523"/>
      <c r="S31" s="1523"/>
      <c r="T31" s="1523"/>
      <c r="U31" s="1523"/>
      <c r="V31" s="1523"/>
      <c r="W31" s="1523"/>
      <c r="X31" s="1523"/>
      <c r="Y31" s="1523"/>
      <c r="Z31" s="1523"/>
    </row>
    <row r="32" spans="1:26" ht="12.75" customHeight="1">
      <c r="A32" s="1523"/>
      <c r="B32" s="1523"/>
      <c r="C32" s="1523"/>
      <c r="D32" s="1523"/>
      <c r="E32" s="1523"/>
      <c r="F32" s="1523"/>
      <c r="G32" s="1523"/>
      <c r="H32" s="1523"/>
      <c r="I32" s="1523"/>
      <c r="J32" s="1523"/>
      <c r="K32" s="1523"/>
      <c r="L32" s="1523"/>
      <c r="M32" s="1523"/>
      <c r="N32" s="1523"/>
      <c r="O32" s="1523"/>
      <c r="P32" s="1523"/>
      <c r="Q32" s="1523"/>
      <c r="R32" s="1523"/>
      <c r="S32" s="1523"/>
      <c r="T32" s="1523"/>
      <c r="U32" s="1523"/>
      <c r="V32" s="1523"/>
      <c r="W32" s="1523"/>
      <c r="X32" s="1523"/>
      <c r="Y32" s="1523"/>
      <c r="Z32" s="1523"/>
    </row>
    <row r="33" spans="1:26" ht="12.75" customHeight="1">
      <c r="A33" s="1523"/>
      <c r="B33" s="1523"/>
      <c r="C33" s="1523"/>
      <c r="D33" s="1523"/>
      <c r="E33" s="1523"/>
      <c r="F33" s="1523"/>
      <c r="G33" s="1523"/>
      <c r="H33" s="1523"/>
      <c r="I33" s="1523"/>
      <c r="J33" s="1523"/>
      <c r="K33" s="1523"/>
      <c r="L33" s="1523"/>
      <c r="M33" s="1523"/>
      <c r="N33" s="1523"/>
      <c r="O33" s="1523"/>
      <c r="P33" s="1523"/>
      <c r="Q33" s="1523"/>
      <c r="R33" s="1523"/>
      <c r="S33" s="1523"/>
      <c r="T33" s="1523"/>
      <c r="U33" s="1523"/>
      <c r="V33" s="1523"/>
      <c r="W33" s="1523"/>
      <c r="X33" s="1523"/>
      <c r="Y33" s="1523"/>
      <c r="Z33" s="1523"/>
    </row>
    <row r="34" spans="1:26" ht="12.75" customHeight="1">
      <c r="A34" s="1523"/>
      <c r="B34" s="1523"/>
      <c r="C34" s="1523"/>
      <c r="D34" s="1523"/>
      <c r="E34" s="1523"/>
      <c r="F34" s="1523"/>
      <c r="G34" s="1523"/>
      <c r="H34" s="1523"/>
      <c r="I34" s="1523"/>
      <c r="J34" s="1523"/>
      <c r="K34" s="1523"/>
      <c r="L34" s="1523"/>
      <c r="M34" s="1523"/>
      <c r="N34" s="1523"/>
      <c r="O34" s="1523"/>
      <c r="P34" s="1523"/>
      <c r="Q34" s="1523"/>
      <c r="R34" s="1523"/>
      <c r="S34" s="1523"/>
      <c r="T34" s="1523"/>
      <c r="U34" s="1523"/>
      <c r="V34" s="1523"/>
      <c r="W34" s="1523"/>
      <c r="X34" s="1523"/>
      <c r="Y34" s="1523"/>
      <c r="Z34" s="1523"/>
    </row>
    <row r="35" spans="1:26" ht="12.75" customHeight="1">
      <c r="A35" s="1523"/>
      <c r="B35" s="1523"/>
      <c r="C35" s="1523"/>
      <c r="D35" s="1523"/>
      <c r="E35" s="1523"/>
      <c r="F35" s="1523"/>
      <c r="G35" s="1523"/>
      <c r="H35" s="1523"/>
      <c r="I35" s="1523"/>
      <c r="J35" s="1523"/>
      <c r="K35" s="1523"/>
      <c r="L35" s="1523"/>
      <c r="M35" s="1523"/>
      <c r="N35" s="1523"/>
      <c r="O35" s="1523"/>
      <c r="P35" s="1523"/>
      <c r="Q35" s="1523"/>
      <c r="R35" s="1523"/>
      <c r="S35" s="1523"/>
      <c r="T35" s="1523"/>
      <c r="U35" s="1523"/>
      <c r="V35" s="1523"/>
      <c r="W35" s="1523"/>
      <c r="X35" s="1523"/>
      <c r="Y35" s="1523"/>
      <c r="Z35" s="1523"/>
    </row>
    <row r="36" spans="1:26" ht="12.75" customHeight="1">
      <c r="A36" s="1523"/>
      <c r="B36" s="1523"/>
      <c r="C36" s="1523"/>
      <c r="D36" s="1523"/>
      <c r="E36" s="1523"/>
      <c r="F36" s="1523"/>
      <c r="G36" s="1523"/>
      <c r="H36" s="1523"/>
      <c r="I36" s="1523"/>
      <c r="J36" s="1523"/>
      <c r="K36" s="1523"/>
      <c r="L36" s="1523"/>
      <c r="M36" s="1523"/>
      <c r="N36" s="1523"/>
      <c r="O36" s="1523"/>
      <c r="P36" s="1523"/>
      <c r="Q36" s="1523"/>
      <c r="R36" s="1523"/>
      <c r="S36" s="1523"/>
      <c r="T36" s="1523"/>
      <c r="U36" s="1523"/>
      <c r="V36" s="1523"/>
      <c r="W36" s="1523"/>
      <c r="X36" s="1523"/>
      <c r="Y36" s="1523"/>
      <c r="Z36" s="1523"/>
    </row>
    <row r="37" spans="1:26" ht="12.75" customHeight="1">
      <c r="A37" s="1523"/>
      <c r="B37" s="1523"/>
      <c r="C37" s="1523"/>
      <c r="D37" s="1523"/>
      <c r="E37" s="1523"/>
      <c r="F37" s="1523"/>
      <c r="G37" s="1523"/>
      <c r="H37" s="1523"/>
      <c r="I37" s="1523"/>
      <c r="J37" s="1523"/>
      <c r="K37" s="1523"/>
      <c r="L37" s="1523"/>
      <c r="M37" s="1523"/>
      <c r="N37" s="1523"/>
      <c r="O37" s="1523"/>
      <c r="P37" s="1523"/>
      <c r="Q37" s="1523"/>
      <c r="R37" s="1523"/>
      <c r="S37" s="1523"/>
      <c r="T37" s="1523"/>
      <c r="U37" s="1523"/>
      <c r="V37" s="1523"/>
      <c r="W37" s="1523"/>
      <c r="X37" s="1523"/>
      <c r="Y37" s="1523"/>
      <c r="Z37" s="1523"/>
    </row>
    <row r="38" spans="1:26" ht="12.75" customHeight="1">
      <c r="A38" s="1523"/>
      <c r="B38" s="1523"/>
      <c r="C38" s="1523"/>
      <c r="D38" s="1523"/>
      <c r="E38" s="1523"/>
      <c r="F38" s="1523"/>
      <c r="G38" s="1523"/>
      <c r="H38" s="1523"/>
      <c r="I38" s="1523"/>
      <c r="J38" s="1523"/>
      <c r="K38" s="1523"/>
      <c r="L38" s="1523"/>
      <c r="M38" s="1523"/>
      <c r="N38" s="1523"/>
      <c r="O38" s="1523"/>
      <c r="P38" s="1523"/>
      <c r="Q38" s="1523"/>
      <c r="R38" s="1523"/>
      <c r="S38" s="1523"/>
      <c r="T38" s="1523"/>
      <c r="U38" s="1523"/>
      <c r="V38" s="1523"/>
      <c r="W38" s="1523"/>
      <c r="X38" s="1523"/>
      <c r="Y38" s="1523"/>
      <c r="Z38" s="1523"/>
    </row>
    <row r="39" spans="1:26" ht="12.75" customHeight="1">
      <c r="A39" s="1523"/>
      <c r="B39" s="1523"/>
      <c r="C39" s="1523"/>
      <c r="D39" s="1523"/>
      <c r="E39" s="1523"/>
      <c r="F39" s="1523"/>
      <c r="G39" s="1523"/>
      <c r="H39" s="1523"/>
      <c r="I39" s="1523"/>
      <c r="J39" s="1523"/>
      <c r="K39" s="1523"/>
      <c r="L39" s="1523"/>
      <c r="M39" s="1523"/>
      <c r="N39" s="1523"/>
      <c r="O39" s="1523"/>
      <c r="P39" s="1523"/>
      <c r="Q39" s="1523"/>
      <c r="R39" s="1523"/>
      <c r="S39" s="1523"/>
      <c r="T39" s="1523"/>
      <c r="U39" s="1523"/>
      <c r="V39" s="1523"/>
      <c r="W39" s="1523"/>
      <c r="X39" s="1523"/>
      <c r="Y39" s="1523"/>
      <c r="Z39" s="1523"/>
    </row>
    <row r="40" spans="1:26" ht="12.75" customHeight="1">
      <c r="A40" s="1523"/>
      <c r="B40" s="1523"/>
      <c r="C40" s="1523"/>
      <c r="D40" s="1523"/>
      <c r="E40" s="1523"/>
      <c r="F40" s="1523"/>
      <c r="G40" s="1523"/>
      <c r="H40" s="1523"/>
      <c r="I40" s="1523"/>
      <c r="J40" s="1523"/>
      <c r="K40" s="1523"/>
      <c r="L40" s="1523"/>
      <c r="M40" s="1523"/>
      <c r="N40" s="1523"/>
      <c r="O40" s="1523"/>
      <c r="P40" s="1523"/>
      <c r="Q40" s="1523"/>
      <c r="R40" s="1523"/>
      <c r="S40" s="1523"/>
      <c r="T40" s="1523"/>
      <c r="U40" s="1523"/>
      <c r="V40" s="1523"/>
      <c r="W40" s="1523"/>
      <c r="X40" s="1523"/>
      <c r="Y40" s="1523"/>
      <c r="Z40" s="1523"/>
    </row>
    <row r="41" spans="1:26" ht="12.75" customHeight="1">
      <c r="A41" s="1523"/>
      <c r="B41" s="1523"/>
      <c r="C41" s="1523"/>
      <c r="D41" s="1523"/>
      <c r="E41" s="1523"/>
      <c r="F41" s="1523"/>
      <c r="G41" s="1523"/>
      <c r="H41" s="1523"/>
      <c r="I41" s="1523"/>
      <c r="J41" s="1523"/>
      <c r="K41" s="1523"/>
      <c r="L41" s="1523"/>
      <c r="M41" s="1523"/>
      <c r="N41" s="1523"/>
      <c r="O41" s="1523"/>
      <c r="P41" s="1523"/>
      <c r="Q41" s="1523"/>
      <c r="R41" s="1523"/>
      <c r="S41" s="1523"/>
      <c r="T41" s="1523"/>
      <c r="U41" s="1523"/>
      <c r="V41" s="1523"/>
      <c r="W41" s="1523"/>
      <c r="X41" s="1523"/>
      <c r="Y41" s="1523"/>
      <c r="Z41" s="1523"/>
    </row>
    <row r="42" spans="1:26" ht="12.75" customHeight="1">
      <c r="A42" s="1523"/>
      <c r="B42" s="1523"/>
      <c r="C42" s="1523"/>
      <c r="D42" s="1523"/>
      <c r="E42" s="1523"/>
      <c r="F42" s="1523"/>
      <c r="G42" s="1523"/>
      <c r="H42" s="1523"/>
      <c r="I42" s="1523"/>
      <c r="J42" s="1523"/>
      <c r="K42" s="1523"/>
      <c r="L42" s="1523"/>
      <c r="M42" s="1523"/>
      <c r="N42" s="1523"/>
      <c r="O42" s="1523"/>
      <c r="P42" s="1523"/>
      <c r="Q42" s="1523"/>
      <c r="R42" s="1523"/>
      <c r="S42" s="1523"/>
      <c r="T42" s="1523"/>
      <c r="U42" s="1523"/>
      <c r="V42" s="1523"/>
      <c r="W42" s="1523"/>
      <c r="X42" s="1523"/>
      <c r="Y42" s="1523"/>
      <c r="Z42" s="1523"/>
    </row>
    <row r="43" spans="1:26" ht="12.75" customHeight="1">
      <c r="A43" s="1523"/>
      <c r="B43" s="1523"/>
      <c r="C43" s="1523"/>
      <c r="D43" s="1523"/>
      <c r="E43" s="1523"/>
      <c r="F43" s="1523"/>
      <c r="G43" s="1523"/>
      <c r="H43" s="1523"/>
      <c r="I43" s="1523"/>
      <c r="J43" s="1523"/>
      <c r="K43" s="1523"/>
      <c r="L43" s="1523"/>
      <c r="M43" s="1523"/>
      <c r="N43" s="1523"/>
      <c r="O43" s="1523"/>
      <c r="P43" s="1523"/>
      <c r="Q43" s="1523"/>
      <c r="R43" s="1523"/>
      <c r="S43" s="1523"/>
      <c r="T43" s="1523"/>
      <c r="U43" s="1523"/>
      <c r="V43" s="1523"/>
      <c r="W43" s="1523"/>
      <c r="X43" s="1523"/>
      <c r="Y43" s="1523"/>
      <c r="Z43" s="1523"/>
    </row>
    <row r="44" spans="1:26" ht="12.75" customHeight="1">
      <c r="A44" s="1523"/>
      <c r="B44" s="1523"/>
      <c r="C44" s="1523"/>
      <c r="D44" s="1523"/>
      <c r="E44" s="1523"/>
      <c r="F44" s="1523"/>
      <c r="G44" s="1523"/>
      <c r="H44" s="1523"/>
      <c r="I44" s="1523"/>
      <c r="J44" s="1523"/>
      <c r="K44" s="1523"/>
      <c r="L44" s="1523"/>
      <c r="M44" s="1523"/>
      <c r="N44" s="1523"/>
      <c r="O44" s="1523"/>
      <c r="P44" s="1523"/>
      <c r="Q44" s="1523"/>
      <c r="R44" s="1523"/>
      <c r="S44" s="1523"/>
      <c r="T44" s="1523"/>
      <c r="U44" s="1523"/>
      <c r="V44" s="1523"/>
      <c r="W44" s="1523"/>
      <c r="X44" s="1523"/>
      <c r="Y44" s="1523"/>
      <c r="Z44" s="1523"/>
    </row>
    <row r="45" spans="1:26" ht="12.75" customHeight="1">
      <c r="A45" s="1523"/>
      <c r="B45" s="1523"/>
      <c r="C45" s="1523"/>
      <c r="D45" s="1523"/>
      <c r="E45" s="1523"/>
      <c r="F45" s="1523"/>
      <c r="G45" s="1523"/>
      <c r="H45" s="1523"/>
      <c r="I45" s="1523"/>
      <c r="J45" s="1523"/>
      <c r="K45" s="1523"/>
      <c r="L45" s="1523"/>
      <c r="M45" s="1523"/>
      <c r="N45" s="1523"/>
      <c r="O45" s="1523"/>
      <c r="P45" s="1523"/>
      <c r="Q45" s="1523"/>
      <c r="R45" s="1523"/>
      <c r="S45" s="1523"/>
      <c r="T45" s="1523"/>
      <c r="U45" s="1523"/>
      <c r="V45" s="1523"/>
      <c r="W45" s="1523"/>
      <c r="X45" s="1523"/>
      <c r="Y45" s="1523"/>
      <c r="Z45" s="1523"/>
    </row>
    <row r="46" spans="1:26" ht="12.75" customHeight="1">
      <c r="A46" s="1523"/>
      <c r="B46" s="1523"/>
      <c r="C46" s="1523"/>
      <c r="D46" s="1523"/>
      <c r="E46" s="1523"/>
      <c r="F46" s="1523"/>
      <c r="G46" s="1523"/>
      <c r="H46" s="1523"/>
      <c r="I46" s="1523"/>
      <c r="J46" s="1523"/>
      <c r="K46" s="1523"/>
      <c r="L46" s="1523"/>
      <c r="M46" s="1523"/>
      <c r="N46" s="1523"/>
      <c r="O46" s="1523"/>
      <c r="P46" s="1523"/>
      <c r="Q46" s="1523"/>
      <c r="R46" s="1523"/>
      <c r="S46" s="1523"/>
      <c r="T46" s="1523"/>
      <c r="U46" s="1523"/>
      <c r="V46" s="1523"/>
      <c r="W46" s="1523"/>
      <c r="X46" s="1523"/>
      <c r="Y46" s="1523"/>
      <c r="Z46" s="1523"/>
    </row>
    <row r="47" spans="1:26" ht="12.75" customHeight="1">
      <c r="A47" s="1523"/>
      <c r="B47" s="1523"/>
      <c r="C47" s="1523"/>
      <c r="D47" s="1523"/>
      <c r="E47" s="1523"/>
      <c r="F47" s="1523"/>
      <c r="G47" s="1523"/>
      <c r="H47" s="1523"/>
      <c r="I47" s="1523"/>
      <c r="J47" s="1523"/>
      <c r="K47" s="1523"/>
      <c r="L47" s="1523"/>
      <c r="M47" s="1523"/>
      <c r="N47" s="1523"/>
      <c r="O47" s="1523"/>
      <c r="P47" s="1523"/>
      <c r="Q47" s="1523"/>
      <c r="R47" s="1523"/>
      <c r="S47" s="1523"/>
      <c r="T47" s="1523"/>
      <c r="U47" s="1523"/>
      <c r="V47" s="1523"/>
      <c r="W47" s="1523"/>
      <c r="X47" s="1523"/>
      <c r="Y47" s="1523"/>
      <c r="Z47" s="1523"/>
    </row>
    <row r="48" spans="1:26" ht="12.75" customHeight="1">
      <c r="A48" s="1523"/>
      <c r="B48" s="1523"/>
      <c r="C48" s="1523"/>
      <c r="D48" s="1523"/>
      <c r="E48" s="1523"/>
      <c r="F48" s="1523"/>
      <c r="G48" s="1523"/>
      <c r="H48" s="1523"/>
      <c r="I48" s="1523"/>
      <c r="J48" s="1523"/>
      <c r="K48" s="1523"/>
      <c r="L48" s="1523"/>
      <c r="M48" s="1523"/>
      <c r="N48" s="1523"/>
      <c r="O48" s="1523"/>
      <c r="P48" s="1523"/>
      <c r="Q48" s="1523"/>
      <c r="R48" s="1523"/>
      <c r="S48" s="1523"/>
      <c r="T48" s="1523"/>
      <c r="U48" s="1523"/>
      <c r="V48" s="1523"/>
      <c r="W48" s="1523"/>
      <c r="X48" s="1523"/>
      <c r="Y48" s="1523"/>
      <c r="Z48" s="1523"/>
    </row>
    <row r="49" spans="1:26" ht="12.75" customHeight="1">
      <c r="A49" s="1523"/>
      <c r="B49" s="1523"/>
      <c r="C49" s="1523"/>
      <c r="D49" s="1523"/>
      <c r="E49" s="1523"/>
      <c r="F49" s="1523"/>
      <c r="G49" s="1523"/>
      <c r="H49" s="1523"/>
      <c r="I49" s="1523"/>
      <c r="J49" s="1523"/>
      <c r="K49" s="1523"/>
      <c r="L49" s="1523"/>
      <c r="M49" s="1523"/>
      <c r="N49" s="1523"/>
      <c r="O49" s="1523"/>
      <c r="P49" s="1523"/>
      <c r="Q49" s="1523"/>
      <c r="R49" s="1523"/>
      <c r="S49" s="1523"/>
      <c r="T49" s="1523"/>
      <c r="U49" s="1523"/>
      <c r="V49" s="1523"/>
      <c r="W49" s="1523"/>
      <c r="X49" s="1523"/>
      <c r="Y49" s="1523"/>
      <c r="Z49" s="1523"/>
    </row>
    <row r="50" spans="1:26" ht="12.75" customHeight="1">
      <c r="A50" s="1523"/>
      <c r="B50" s="1523"/>
      <c r="C50" s="1523"/>
      <c r="D50" s="1523"/>
      <c r="E50" s="1523"/>
      <c r="F50" s="1523"/>
      <c r="G50" s="1523"/>
      <c r="H50" s="1523"/>
      <c r="I50" s="1523"/>
      <c r="J50" s="1523"/>
      <c r="K50" s="1523"/>
      <c r="L50" s="1523"/>
      <c r="M50" s="1523"/>
      <c r="N50" s="1523"/>
      <c r="O50" s="1523"/>
      <c r="P50" s="1523"/>
      <c r="Q50" s="1523"/>
      <c r="R50" s="1523"/>
      <c r="S50" s="1523"/>
      <c r="T50" s="1523"/>
      <c r="U50" s="1523"/>
      <c r="V50" s="1523"/>
      <c r="W50" s="1523"/>
      <c r="X50" s="1523"/>
      <c r="Y50" s="1523"/>
      <c r="Z50" s="1523"/>
    </row>
    <row r="51" spans="1:26" ht="12.75" customHeight="1">
      <c r="A51" s="1523"/>
      <c r="B51" s="1523"/>
      <c r="C51" s="1523"/>
      <c r="D51" s="1523"/>
      <c r="E51" s="1523"/>
      <c r="F51" s="1523"/>
      <c r="G51" s="1523"/>
      <c r="H51" s="1523"/>
      <c r="I51" s="1523"/>
      <c r="J51" s="1523"/>
      <c r="K51" s="1523"/>
      <c r="L51" s="1523"/>
      <c r="M51" s="1523"/>
      <c r="N51" s="1523"/>
      <c r="O51" s="1523"/>
      <c r="P51" s="1523"/>
      <c r="Q51" s="1523"/>
      <c r="R51" s="1523"/>
      <c r="S51" s="1523"/>
      <c r="T51" s="1523"/>
      <c r="U51" s="1523"/>
      <c r="V51" s="1523"/>
      <c r="W51" s="1523"/>
      <c r="X51" s="1523"/>
      <c r="Y51" s="1523"/>
      <c r="Z51" s="1523"/>
    </row>
    <row r="52" spans="1:26" ht="12.75" customHeight="1">
      <c r="A52" s="1523"/>
      <c r="B52" s="1523"/>
      <c r="C52" s="1523"/>
      <c r="D52" s="1523"/>
      <c r="E52" s="1523"/>
      <c r="F52" s="1523"/>
      <c r="G52" s="1523"/>
      <c r="H52" s="1523"/>
      <c r="I52" s="1523"/>
      <c r="J52" s="1523"/>
      <c r="K52" s="1523"/>
      <c r="L52" s="1523"/>
      <c r="M52" s="1523"/>
      <c r="N52" s="1523"/>
      <c r="O52" s="1523"/>
      <c r="P52" s="1523"/>
      <c r="Q52" s="1523"/>
      <c r="R52" s="1523"/>
      <c r="S52" s="1523"/>
      <c r="T52" s="1523"/>
      <c r="U52" s="1523"/>
      <c r="V52" s="1523"/>
      <c r="W52" s="1523"/>
      <c r="X52" s="1523"/>
      <c r="Y52" s="1523"/>
      <c r="Z52" s="1523"/>
    </row>
    <row r="53" spans="1:26" ht="12.75" customHeight="1">
      <c r="A53" s="1523"/>
      <c r="B53" s="1523"/>
      <c r="C53" s="1523"/>
      <c r="D53" s="1523"/>
      <c r="E53" s="1523"/>
      <c r="F53" s="1523"/>
      <c r="G53" s="1523"/>
      <c r="H53" s="1523"/>
      <c r="I53" s="1523"/>
      <c r="J53" s="1523"/>
      <c r="K53" s="1523"/>
      <c r="L53" s="1523"/>
      <c r="M53" s="1523"/>
      <c r="N53" s="1523"/>
      <c r="O53" s="1523"/>
      <c r="P53" s="1523"/>
      <c r="Q53" s="1523"/>
      <c r="R53" s="1523"/>
      <c r="S53" s="1523"/>
      <c r="T53" s="1523"/>
      <c r="U53" s="1523"/>
      <c r="V53" s="1523"/>
      <c r="W53" s="1523"/>
      <c r="X53" s="1523"/>
      <c r="Y53" s="1523"/>
      <c r="Z53" s="1523"/>
    </row>
    <row r="54" spans="1:26" ht="12.75" customHeight="1">
      <c r="A54" s="1523"/>
      <c r="B54" s="1523"/>
      <c r="C54" s="1523"/>
      <c r="D54" s="1523"/>
      <c r="E54" s="1523"/>
      <c r="F54" s="1523"/>
      <c r="G54" s="1523"/>
      <c r="H54" s="1523"/>
      <c r="I54" s="1523"/>
      <c r="J54" s="1523"/>
      <c r="K54" s="1523"/>
      <c r="L54" s="1523"/>
      <c r="M54" s="1523"/>
      <c r="N54" s="1523"/>
      <c r="O54" s="1523"/>
      <c r="P54" s="1523"/>
      <c r="Q54" s="1523"/>
      <c r="R54" s="1523"/>
      <c r="S54" s="1523"/>
      <c r="T54" s="1523"/>
      <c r="U54" s="1523"/>
      <c r="V54" s="1523"/>
      <c r="W54" s="1523"/>
      <c r="X54" s="1523"/>
      <c r="Y54" s="1523"/>
      <c r="Z54" s="1523"/>
    </row>
    <row r="55" spans="1:26" ht="12.75" customHeight="1">
      <c r="A55" s="1523"/>
      <c r="B55" s="1523"/>
      <c r="C55" s="1523"/>
      <c r="D55" s="1523"/>
      <c r="E55" s="1523"/>
      <c r="F55" s="1523"/>
      <c r="G55" s="1523"/>
      <c r="H55" s="1523"/>
      <c r="I55" s="1523"/>
      <c r="J55" s="1523"/>
      <c r="K55" s="1523"/>
      <c r="L55" s="1523"/>
      <c r="M55" s="1523"/>
      <c r="N55" s="1523"/>
      <c r="O55" s="1523"/>
      <c r="P55" s="1523"/>
      <c r="Q55" s="1523"/>
      <c r="R55" s="1523"/>
      <c r="S55" s="1523"/>
      <c r="T55" s="1523"/>
      <c r="U55" s="1523"/>
      <c r="V55" s="1523"/>
      <c r="W55" s="1523"/>
      <c r="X55" s="1523"/>
      <c r="Y55" s="1523"/>
      <c r="Z55" s="1523"/>
    </row>
    <row r="56" spans="1:26" ht="12.75" customHeight="1">
      <c r="A56" s="1523"/>
      <c r="B56" s="1523"/>
      <c r="C56" s="1523"/>
      <c r="D56" s="1523"/>
      <c r="E56" s="1523"/>
      <c r="F56" s="1523"/>
      <c r="G56" s="1523"/>
      <c r="H56" s="1523"/>
      <c r="I56" s="1523"/>
      <c r="J56" s="1523"/>
      <c r="K56" s="1523"/>
      <c r="L56" s="1523"/>
      <c r="M56" s="1523"/>
      <c r="N56" s="1523"/>
      <c r="O56" s="1523"/>
      <c r="P56" s="1523"/>
      <c r="Q56" s="1523"/>
      <c r="R56" s="1523"/>
      <c r="S56" s="1523"/>
      <c r="T56" s="1523"/>
      <c r="U56" s="1523"/>
      <c r="V56" s="1523"/>
      <c r="W56" s="1523"/>
      <c r="X56" s="1523"/>
      <c r="Y56" s="1523"/>
      <c r="Z56" s="1523"/>
    </row>
    <row r="57" spans="1:26" ht="12.75" customHeight="1">
      <c r="A57" s="1523"/>
      <c r="B57" s="1523"/>
      <c r="C57" s="1523"/>
      <c r="D57" s="1523"/>
      <c r="E57" s="1523"/>
      <c r="F57" s="1523"/>
      <c r="G57" s="1523"/>
      <c r="H57" s="1523"/>
      <c r="I57" s="1523"/>
      <c r="J57" s="1523"/>
      <c r="K57" s="1523"/>
      <c r="L57" s="1523"/>
      <c r="M57" s="1523"/>
      <c r="N57" s="1523"/>
      <c r="O57" s="1523"/>
      <c r="P57" s="1523"/>
      <c r="Q57" s="1523"/>
      <c r="R57" s="1523"/>
      <c r="S57" s="1523"/>
      <c r="T57" s="1523"/>
      <c r="U57" s="1523"/>
      <c r="V57" s="1523"/>
      <c r="W57" s="1523"/>
      <c r="X57" s="1523"/>
      <c r="Y57" s="1523"/>
      <c r="Z57" s="1523"/>
    </row>
    <row r="58" spans="1:26" ht="12.75" customHeight="1">
      <c r="A58" s="1523"/>
      <c r="B58" s="1523"/>
      <c r="C58" s="1523"/>
      <c r="D58" s="1523"/>
      <c r="E58" s="1523"/>
      <c r="F58" s="1523"/>
      <c r="G58" s="1523"/>
      <c r="H58" s="1523"/>
      <c r="I58" s="1523"/>
      <c r="J58" s="1523"/>
      <c r="K58" s="1523"/>
      <c r="L58" s="1523"/>
      <c r="M58" s="1523"/>
      <c r="N58" s="1523"/>
      <c r="O58" s="1523"/>
      <c r="P58" s="1523"/>
      <c r="Q58" s="1523"/>
      <c r="R58" s="1523"/>
      <c r="S58" s="1523"/>
      <c r="T58" s="1523"/>
      <c r="U58" s="1523"/>
      <c r="V58" s="1523"/>
      <c r="W58" s="1523"/>
      <c r="X58" s="1523"/>
      <c r="Y58" s="1523"/>
      <c r="Z58" s="1523"/>
    </row>
    <row r="59" spans="1:26" ht="12.75" customHeight="1">
      <c r="A59" s="1523"/>
      <c r="B59" s="1523"/>
      <c r="C59" s="1523"/>
      <c r="D59" s="1523"/>
      <c r="E59" s="1523"/>
      <c r="F59" s="1523"/>
      <c r="G59" s="1523"/>
      <c r="H59" s="1523"/>
      <c r="I59" s="1523"/>
      <c r="J59" s="1523"/>
      <c r="K59" s="1523"/>
      <c r="L59" s="1523"/>
      <c r="M59" s="1523"/>
      <c r="N59" s="1523"/>
      <c r="O59" s="1523"/>
      <c r="P59" s="1523"/>
      <c r="Q59" s="1523"/>
      <c r="R59" s="1523"/>
      <c r="S59" s="1523"/>
      <c r="T59" s="1523"/>
      <c r="U59" s="1523"/>
      <c r="V59" s="1523"/>
      <c r="W59" s="1523"/>
      <c r="X59" s="1523"/>
      <c r="Y59" s="1523"/>
      <c r="Z59" s="1523"/>
    </row>
    <row r="60" spans="1:26" ht="12.75" customHeight="1">
      <c r="A60" s="1523"/>
      <c r="B60" s="1523"/>
      <c r="C60" s="1523"/>
      <c r="D60" s="1523"/>
      <c r="E60" s="1523"/>
      <c r="F60" s="1523"/>
      <c r="G60" s="1523"/>
      <c r="H60" s="1523"/>
      <c r="I60" s="1523"/>
      <c r="J60" s="1523"/>
      <c r="K60" s="1523"/>
      <c r="L60" s="1523"/>
      <c r="M60" s="1523"/>
      <c r="N60" s="1523"/>
      <c r="O60" s="1523"/>
      <c r="P60" s="1523"/>
      <c r="Q60" s="1523"/>
      <c r="R60" s="1523"/>
      <c r="S60" s="1523"/>
      <c r="T60" s="1523"/>
      <c r="U60" s="1523"/>
      <c r="V60" s="1523"/>
      <c r="W60" s="1523"/>
      <c r="X60" s="1523"/>
      <c r="Y60" s="1523"/>
      <c r="Z60" s="1523"/>
    </row>
    <row r="61" spans="1:26" ht="12.75" customHeight="1">
      <c r="A61" s="1523"/>
      <c r="B61" s="1523"/>
      <c r="C61" s="1523"/>
      <c r="D61" s="1523"/>
      <c r="E61" s="1523"/>
      <c r="F61" s="1523"/>
      <c r="G61" s="1523"/>
      <c r="H61" s="1523"/>
      <c r="I61" s="1523"/>
      <c r="J61" s="1523"/>
      <c r="K61" s="1523"/>
      <c r="L61" s="1523"/>
      <c r="M61" s="1523"/>
      <c r="N61" s="1523"/>
      <c r="O61" s="1523"/>
      <c r="P61" s="1523"/>
      <c r="Q61" s="1523"/>
      <c r="R61" s="1523"/>
      <c r="S61" s="1523"/>
      <c r="T61" s="1523"/>
      <c r="U61" s="1523"/>
      <c r="V61" s="1523"/>
      <c r="W61" s="1523"/>
      <c r="X61" s="1523"/>
      <c r="Y61" s="1523"/>
      <c r="Z61" s="1523"/>
    </row>
    <row r="62" spans="1:26" ht="12.75" customHeight="1">
      <c r="A62" s="1523"/>
      <c r="B62" s="1523"/>
      <c r="C62" s="1523"/>
      <c r="D62" s="1523"/>
      <c r="E62" s="1523"/>
      <c r="F62" s="1523"/>
      <c r="G62" s="1523"/>
      <c r="H62" s="1523"/>
      <c r="I62" s="1523"/>
      <c r="J62" s="1523"/>
      <c r="K62" s="1523"/>
      <c r="L62" s="1523"/>
      <c r="M62" s="1523"/>
      <c r="N62" s="1523"/>
      <c r="O62" s="1523"/>
      <c r="P62" s="1523"/>
      <c r="Q62" s="1523"/>
      <c r="R62" s="1523"/>
      <c r="S62" s="1523"/>
      <c r="T62" s="1523"/>
      <c r="U62" s="1523"/>
      <c r="V62" s="1523"/>
      <c r="W62" s="1523"/>
      <c r="X62" s="1523"/>
      <c r="Y62" s="1523"/>
      <c r="Z62" s="1523"/>
    </row>
    <row r="63" spans="1:26" ht="12.75" customHeight="1">
      <c r="A63" s="1523"/>
      <c r="B63" s="1523"/>
      <c r="C63" s="1523"/>
      <c r="D63" s="1523"/>
      <c r="E63" s="1523"/>
      <c r="F63" s="1523"/>
      <c r="G63" s="1523"/>
      <c r="H63" s="1523"/>
      <c r="I63" s="1523"/>
      <c r="J63" s="1523"/>
      <c r="K63" s="1523"/>
      <c r="L63" s="1523"/>
      <c r="M63" s="1523"/>
      <c r="N63" s="1523"/>
      <c r="O63" s="1523"/>
      <c r="P63" s="1523"/>
      <c r="Q63" s="1523"/>
      <c r="R63" s="1523"/>
      <c r="S63" s="1523"/>
      <c r="T63" s="1523"/>
      <c r="U63" s="1523"/>
      <c r="V63" s="1523"/>
      <c r="W63" s="1523"/>
      <c r="X63" s="1523"/>
      <c r="Y63" s="1523"/>
      <c r="Z63" s="1523"/>
    </row>
    <row r="64" spans="1:26" ht="12.75" customHeight="1">
      <c r="A64" s="1523"/>
      <c r="B64" s="1523"/>
      <c r="C64" s="1523"/>
      <c r="D64" s="1523"/>
      <c r="E64" s="1523"/>
      <c r="F64" s="1523"/>
      <c r="G64" s="1523"/>
      <c r="H64" s="1523"/>
      <c r="I64" s="1523"/>
      <c r="J64" s="1523"/>
      <c r="K64" s="1523"/>
      <c r="L64" s="1523"/>
      <c r="M64" s="1523"/>
      <c r="N64" s="1523"/>
      <c r="O64" s="1523"/>
      <c r="P64" s="1523"/>
      <c r="Q64" s="1523"/>
      <c r="R64" s="1523"/>
      <c r="S64" s="1523"/>
      <c r="T64" s="1523"/>
      <c r="U64" s="1523"/>
      <c r="V64" s="1523"/>
      <c r="W64" s="1523"/>
      <c r="X64" s="1523"/>
      <c r="Y64" s="1523"/>
      <c r="Z64" s="1523"/>
    </row>
    <row r="65" spans="1:26" ht="12.75" customHeight="1">
      <c r="A65" s="1523"/>
      <c r="B65" s="1523"/>
      <c r="C65" s="1523"/>
      <c r="D65" s="1523"/>
      <c r="E65" s="1523"/>
      <c r="F65" s="1523"/>
      <c r="G65" s="1523"/>
      <c r="H65" s="1523"/>
      <c r="I65" s="1523"/>
      <c r="J65" s="1523"/>
      <c r="K65" s="1523"/>
      <c r="L65" s="1523"/>
      <c r="M65" s="1523"/>
      <c r="N65" s="1523"/>
      <c r="O65" s="1523"/>
      <c r="P65" s="1523"/>
      <c r="Q65" s="1523"/>
      <c r="R65" s="1523"/>
      <c r="S65" s="1523"/>
      <c r="T65" s="1523"/>
      <c r="U65" s="1523"/>
      <c r="V65" s="1523"/>
      <c r="W65" s="1523"/>
      <c r="X65" s="1523"/>
      <c r="Y65" s="1523"/>
      <c r="Z65" s="1523"/>
    </row>
    <row r="66" spans="1:26" ht="12.75" customHeight="1">
      <c r="A66" s="1523"/>
      <c r="B66" s="1523"/>
      <c r="C66" s="1523"/>
      <c r="D66" s="1523"/>
      <c r="E66" s="1523"/>
      <c r="F66" s="1523"/>
      <c r="G66" s="1523"/>
      <c r="H66" s="1523"/>
      <c r="I66" s="1523"/>
      <c r="J66" s="1523"/>
      <c r="K66" s="1523"/>
      <c r="L66" s="1523"/>
      <c r="M66" s="1523"/>
      <c r="N66" s="1523"/>
      <c r="O66" s="1523"/>
      <c r="P66" s="1523"/>
      <c r="Q66" s="1523"/>
      <c r="R66" s="1523"/>
      <c r="S66" s="1523"/>
      <c r="T66" s="1523"/>
      <c r="U66" s="1523"/>
      <c r="V66" s="1523"/>
      <c r="W66" s="1523"/>
      <c r="X66" s="1523"/>
      <c r="Y66" s="1523"/>
      <c r="Z66" s="1523"/>
    </row>
    <row r="67" spans="1:26" ht="12.75" customHeight="1">
      <c r="A67" s="1523"/>
      <c r="B67" s="1523"/>
      <c r="C67" s="1523"/>
      <c r="D67" s="1523"/>
      <c r="E67" s="1523"/>
      <c r="F67" s="1523"/>
      <c r="G67" s="1523"/>
      <c r="H67" s="1523"/>
      <c r="I67" s="1523"/>
      <c r="J67" s="1523"/>
      <c r="K67" s="1523"/>
      <c r="L67" s="1523"/>
      <c r="M67" s="1523"/>
      <c r="N67" s="1523"/>
      <c r="O67" s="1523"/>
      <c r="P67" s="1523"/>
      <c r="Q67" s="1523"/>
      <c r="R67" s="1523"/>
      <c r="S67" s="1523"/>
      <c r="T67" s="1523"/>
      <c r="U67" s="1523"/>
      <c r="V67" s="1523"/>
      <c r="W67" s="1523"/>
      <c r="X67" s="1523"/>
      <c r="Y67" s="1523"/>
      <c r="Z67" s="1523"/>
    </row>
    <row r="68" spans="1:26" ht="12.75" customHeight="1">
      <c r="A68" s="1523"/>
      <c r="B68" s="1523"/>
      <c r="C68" s="1523"/>
      <c r="D68" s="1523"/>
      <c r="E68" s="1523"/>
      <c r="F68" s="1523"/>
      <c r="G68" s="1523"/>
      <c r="H68" s="1523"/>
      <c r="I68" s="1523"/>
      <c r="J68" s="1523"/>
      <c r="K68" s="1523"/>
      <c r="L68" s="1523"/>
      <c r="M68" s="1523"/>
      <c r="N68" s="1523"/>
      <c r="O68" s="1523"/>
      <c r="P68" s="1523"/>
      <c r="Q68" s="1523"/>
      <c r="R68" s="1523"/>
      <c r="S68" s="1523"/>
      <c r="T68" s="1523"/>
      <c r="U68" s="1523"/>
      <c r="V68" s="1523"/>
      <c r="W68" s="1523"/>
      <c r="X68" s="1523"/>
      <c r="Y68" s="1523"/>
      <c r="Z68" s="1523"/>
    </row>
    <row r="69" spans="1:26" ht="12.75" customHeight="1">
      <c r="A69" s="1523"/>
      <c r="B69" s="1523"/>
      <c r="C69" s="1523"/>
      <c r="D69" s="1523"/>
      <c r="E69" s="1523"/>
      <c r="F69" s="1523"/>
      <c r="G69" s="1523"/>
      <c r="H69" s="1523"/>
      <c r="I69" s="1523"/>
      <c r="J69" s="1523"/>
      <c r="K69" s="1523"/>
      <c r="L69" s="1523"/>
      <c r="M69" s="1523"/>
      <c r="N69" s="1523"/>
      <c r="O69" s="1523"/>
      <c r="P69" s="1523"/>
      <c r="Q69" s="1523"/>
      <c r="R69" s="1523"/>
      <c r="S69" s="1523"/>
      <c r="T69" s="1523"/>
      <c r="U69" s="1523"/>
      <c r="V69" s="1523"/>
      <c r="W69" s="1523"/>
      <c r="X69" s="1523"/>
      <c r="Y69" s="1523"/>
      <c r="Z69" s="1523"/>
    </row>
    <row r="70" spans="1:26" ht="12.75" customHeight="1">
      <c r="A70" s="1523"/>
      <c r="B70" s="1523"/>
      <c r="C70" s="1523"/>
      <c r="D70" s="1523"/>
      <c r="E70" s="1523"/>
      <c r="F70" s="1523"/>
      <c r="G70" s="1523"/>
      <c r="H70" s="1523"/>
      <c r="I70" s="1523"/>
      <c r="J70" s="1523"/>
      <c r="K70" s="1523"/>
      <c r="L70" s="1523"/>
      <c r="M70" s="1523"/>
      <c r="N70" s="1523"/>
      <c r="O70" s="1523"/>
      <c r="P70" s="1523"/>
      <c r="Q70" s="1523"/>
      <c r="R70" s="1523"/>
      <c r="S70" s="1523"/>
      <c r="T70" s="1523"/>
      <c r="U70" s="1523"/>
      <c r="V70" s="1523"/>
      <c r="W70" s="1523"/>
      <c r="X70" s="1523"/>
      <c r="Y70" s="1523"/>
      <c r="Z70" s="1523"/>
    </row>
    <row r="71" spans="1:26" ht="12.75" customHeight="1">
      <c r="A71" s="1523"/>
      <c r="B71" s="1523"/>
      <c r="C71" s="1523"/>
      <c r="D71" s="1523"/>
      <c r="E71" s="1523"/>
      <c r="F71" s="1523"/>
      <c r="G71" s="1523"/>
      <c r="H71" s="1523"/>
      <c r="I71" s="1523"/>
      <c r="J71" s="1523"/>
      <c r="K71" s="1523"/>
      <c r="L71" s="1523"/>
      <c r="M71" s="1523"/>
      <c r="N71" s="1523"/>
      <c r="O71" s="1523"/>
      <c r="P71" s="1523"/>
      <c r="Q71" s="1523"/>
      <c r="R71" s="1523"/>
      <c r="S71" s="1523"/>
      <c r="T71" s="1523"/>
      <c r="U71" s="1523"/>
      <c r="V71" s="1523"/>
      <c r="W71" s="1523"/>
      <c r="X71" s="1523"/>
      <c r="Y71" s="1523"/>
      <c r="Z71" s="1523"/>
    </row>
    <row r="72" spans="1:26" ht="12.75" customHeight="1">
      <c r="A72" s="1523"/>
      <c r="B72" s="1523"/>
      <c r="C72" s="1523"/>
      <c r="D72" s="1523"/>
      <c r="E72" s="1523"/>
      <c r="F72" s="1523"/>
      <c r="G72" s="1523"/>
      <c r="H72" s="1523"/>
      <c r="I72" s="1523"/>
      <c r="J72" s="1523"/>
      <c r="K72" s="1523"/>
      <c r="L72" s="1523"/>
      <c r="M72" s="1523"/>
      <c r="N72" s="1523"/>
      <c r="O72" s="1523"/>
      <c r="P72" s="1523"/>
      <c r="Q72" s="1523"/>
      <c r="R72" s="1523"/>
      <c r="S72" s="1523"/>
      <c r="T72" s="1523"/>
      <c r="U72" s="1523"/>
      <c r="V72" s="1523"/>
      <c r="W72" s="1523"/>
      <c r="X72" s="1523"/>
      <c r="Y72" s="1523"/>
      <c r="Z72" s="1523"/>
    </row>
    <row r="73" spans="1:26" ht="12.75" customHeight="1">
      <c r="A73" s="1523"/>
      <c r="B73" s="1523"/>
      <c r="C73" s="1523"/>
      <c r="D73" s="1523"/>
      <c r="E73" s="1523"/>
      <c r="F73" s="1523"/>
      <c r="G73" s="1523"/>
      <c r="H73" s="1523"/>
      <c r="I73" s="1523"/>
      <c r="J73" s="1523"/>
      <c r="K73" s="1523"/>
      <c r="L73" s="1523"/>
      <c r="M73" s="1523"/>
      <c r="N73" s="1523"/>
      <c r="O73" s="1523"/>
      <c r="P73" s="1523"/>
      <c r="Q73" s="1523"/>
      <c r="R73" s="1523"/>
      <c r="S73" s="1523"/>
      <c r="T73" s="1523"/>
      <c r="U73" s="1523"/>
      <c r="V73" s="1523"/>
      <c r="W73" s="1523"/>
      <c r="X73" s="1523"/>
      <c r="Y73" s="1523"/>
      <c r="Z73" s="1523"/>
    </row>
    <row r="74" spans="1:26" ht="12.75" customHeight="1">
      <c r="A74" s="1523"/>
      <c r="B74" s="1523"/>
      <c r="C74" s="1523"/>
      <c r="D74" s="1523"/>
      <c r="E74" s="1523"/>
      <c r="F74" s="1523"/>
      <c r="G74" s="1523"/>
      <c r="H74" s="1523"/>
      <c r="I74" s="1523"/>
      <c r="J74" s="1523"/>
      <c r="K74" s="1523"/>
      <c r="L74" s="1523"/>
      <c r="M74" s="1523"/>
      <c r="N74" s="1523"/>
      <c r="O74" s="1523"/>
      <c r="P74" s="1523"/>
      <c r="Q74" s="1523"/>
      <c r="R74" s="1523"/>
      <c r="S74" s="1523"/>
      <c r="T74" s="1523"/>
      <c r="U74" s="1523"/>
      <c r="V74" s="1523"/>
      <c r="W74" s="1523"/>
      <c r="X74" s="1523"/>
      <c r="Y74" s="1523"/>
      <c r="Z74" s="1523"/>
    </row>
    <row r="75" spans="1:26" ht="12.75" customHeight="1">
      <c r="A75" s="1523"/>
      <c r="B75" s="1523"/>
      <c r="C75" s="1523"/>
      <c r="D75" s="1523"/>
      <c r="E75" s="1523"/>
      <c r="F75" s="1523"/>
      <c r="G75" s="1523"/>
      <c r="H75" s="1523"/>
      <c r="I75" s="1523"/>
      <c r="J75" s="1523"/>
      <c r="K75" s="1523"/>
      <c r="L75" s="1523"/>
      <c r="M75" s="1523"/>
      <c r="N75" s="1523"/>
      <c r="O75" s="1523"/>
      <c r="P75" s="1523"/>
      <c r="Q75" s="1523"/>
      <c r="R75" s="1523"/>
      <c r="S75" s="1523"/>
      <c r="T75" s="1523"/>
      <c r="U75" s="1523"/>
      <c r="V75" s="1523"/>
      <c r="W75" s="1523"/>
      <c r="X75" s="1523"/>
      <c r="Y75" s="1523"/>
      <c r="Z75" s="1523"/>
    </row>
    <row r="76" spans="1:26" ht="12.75" customHeight="1">
      <c r="A76" s="1523"/>
      <c r="B76" s="1523"/>
      <c r="C76" s="1523"/>
      <c r="D76" s="1523"/>
      <c r="E76" s="1523"/>
      <c r="F76" s="1523"/>
      <c r="G76" s="1523"/>
      <c r="H76" s="1523"/>
      <c r="I76" s="1523"/>
      <c r="J76" s="1523"/>
      <c r="K76" s="1523"/>
      <c r="L76" s="1523"/>
      <c r="M76" s="1523"/>
      <c r="N76" s="1523"/>
      <c r="O76" s="1523"/>
      <c r="P76" s="1523"/>
      <c r="Q76" s="1523"/>
      <c r="R76" s="1523"/>
      <c r="S76" s="1523"/>
      <c r="T76" s="1523"/>
      <c r="U76" s="1523"/>
      <c r="V76" s="1523"/>
      <c r="W76" s="1523"/>
      <c r="X76" s="1523"/>
      <c r="Y76" s="1523"/>
      <c r="Z76" s="1523"/>
    </row>
    <row r="77" spans="1:26" ht="12.75" customHeight="1">
      <c r="A77" s="1523"/>
      <c r="B77" s="1523"/>
      <c r="C77" s="1523"/>
      <c r="D77" s="1523"/>
      <c r="E77" s="1523"/>
      <c r="F77" s="1523"/>
      <c r="G77" s="1523"/>
      <c r="H77" s="1523"/>
      <c r="I77" s="1523"/>
      <c r="J77" s="1523"/>
      <c r="K77" s="1523"/>
      <c r="L77" s="1523"/>
      <c r="M77" s="1523"/>
      <c r="N77" s="1523"/>
      <c r="O77" s="1523"/>
      <c r="P77" s="1523"/>
      <c r="Q77" s="1523"/>
      <c r="R77" s="1523"/>
      <c r="S77" s="1523"/>
      <c r="T77" s="1523"/>
      <c r="U77" s="1523"/>
      <c r="V77" s="1523"/>
      <c r="W77" s="1523"/>
      <c r="X77" s="1523"/>
      <c r="Y77" s="1523"/>
      <c r="Z77" s="1523"/>
    </row>
    <row r="78" spans="1:26" ht="12.75" customHeight="1">
      <c r="A78" s="1523"/>
      <c r="B78" s="1523"/>
      <c r="C78" s="1523"/>
      <c r="D78" s="1523"/>
      <c r="E78" s="1523"/>
      <c r="F78" s="1523"/>
      <c r="G78" s="1523"/>
      <c r="H78" s="1523"/>
      <c r="I78" s="1523"/>
      <c r="J78" s="1523"/>
      <c r="K78" s="1523"/>
      <c r="L78" s="1523"/>
      <c r="M78" s="1523"/>
      <c r="N78" s="1523"/>
      <c r="O78" s="1523"/>
      <c r="P78" s="1523"/>
      <c r="Q78" s="1523"/>
      <c r="R78" s="1523"/>
      <c r="S78" s="1523"/>
      <c r="T78" s="1523"/>
      <c r="U78" s="1523"/>
      <c r="V78" s="1523"/>
      <c r="W78" s="1523"/>
      <c r="X78" s="1523"/>
      <c r="Y78" s="1523"/>
      <c r="Z78" s="1523"/>
    </row>
    <row r="79" spans="1:26" ht="12.75" customHeight="1">
      <c r="A79" s="1523"/>
      <c r="B79" s="1523"/>
      <c r="C79" s="1523"/>
      <c r="D79" s="1523"/>
      <c r="E79" s="1523"/>
      <c r="F79" s="1523"/>
      <c r="G79" s="1523"/>
      <c r="H79" s="1523"/>
      <c r="I79" s="1523"/>
      <c r="J79" s="1523"/>
      <c r="K79" s="1523"/>
      <c r="L79" s="1523"/>
      <c r="M79" s="1523"/>
      <c r="N79" s="1523"/>
      <c r="O79" s="1523"/>
      <c r="P79" s="1523"/>
      <c r="Q79" s="1523"/>
      <c r="R79" s="1523"/>
      <c r="S79" s="1523"/>
      <c r="T79" s="1523"/>
      <c r="U79" s="1523"/>
      <c r="V79" s="1523"/>
      <c r="W79" s="1523"/>
      <c r="X79" s="1523"/>
      <c r="Y79" s="1523"/>
      <c r="Z79" s="1523"/>
    </row>
    <row r="80" spans="1:26" ht="12.75" customHeight="1">
      <c r="A80" s="1523"/>
      <c r="B80" s="1523"/>
      <c r="C80" s="1523"/>
      <c r="D80" s="1523"/>
      <c r="E80" s="1523"/>
      <c r="F80" s="1523"/>
      <c r="G80" s="1523"/>
      <c r="H80" s="1523"/>
      <c r="I80" s="1523"/>
      <c r="J80" s="1523"/>
      <c r="K80" s="1523"/>
      <c r="L80" s="1523"/>
      <c r="M80" s="1523"/>
      <c r="N80" s="1523"/>
      <c r="O80" s="1523"/>
      <c r="P80" s="1523"/>
      <c r="Q80" s="1523"/>
      <c r="R80" s="1523"/>
      <c r="S80" s="1523"/>
      <c r="T80" s="1523"/>
      <c r="U80" s="1523"/>
      <c r="V80" s="1523"/>
      <c r="W80" s="1523"/>
      <c r="X80" s="1523"/>
      <c r="Y80" s="1523"/>
      <c r="Z80" s="1523"/>
    </row>
    <row r="81" spans="1:26" ht="12.75" customHeight="1">
      <c r="A81" s="1523"/>
      <c r="B81" s="1523"/>
      <c r="C81" s="1523"/>
      <c r="D81" s="1523"/>
      <c r="E81" s="1523"/>
      <c r="F81" s="1523"/>
      <c r="G81" s="1523"/>
      <c r="H81" s="1523"/>
      <c r="I81" s="1523"/>
      <c r="J81" s="1523"/>
      <c r="K81" s="1523"/>
      <c r="L81" s="1523"/>
      <c r="M81" s="1523"/>
      <c r="N81" s="1523"/>
      <c r="O81" s="1523"/>
      <c r="P81" s="1523"/>
      <c r="Q81" s="1523"/>
      <c r="R81" s="1523"/>
      <c r="S81" s="1523"/>
      <c r="T81" s="1523"/>
      <c r="U81" s="1523"/>
      <c r="V81" s="1523"/>
      <c r="W81" s="1523"/>
      <c r="X81" s="1523"/>
      <c r="Y81" s="1523"/>
      <c r="Z81" s="1523"/>
    </row>
    <row r="82" spans="1:26" ht="12.75" customHeight="1">
      <c r="A82" s="1523"/>
      <c r="B82" s="1523"/>
      <c r="C82" s="1523"/>
      <c r="D82" s="1523"/>
      <c r="E82" s="1523"/>
      <c r="F82" s="1523"/>
      <c r="G82" s="1523"/>
      <c r="H82" s="1523"/>
      <c r="I82" s="1523"/>
      <c r="J82" s="1523"/>
      <c r="K82" s="1523"/>
      <c r="L82" s="1523"/>
      <c r="M82" s="1523"/>
      <c r="N82" s="1523"/>
      <c r="O82" s="1523"/>
      <c r="P82" s="1523"/>
      <c r="Q82" s="1523"/>
      <c r="R82" s="1523"/>
      <c r="S82" s="1523"/>
      <c r="T82" s="1523"/>
      <c r="U82" s="1523"/>
      <c r="V82" s="1523"/>
      <c r="W82" s="1523"/>
      <c r="X82" s="1523"/>
      <c r="Y82" s="1523"/>
      <c r="Z82" s="1523"/>
    </row>
    <row r="83" spans="1:26" ht="12.75" customHeight="1">
      <c r="A83" s="1523"/>
      <c r="B83" s="1523"/>
      <c r="C83" s="1523"/>
      <c r="D83" s="1523"/>
      <c r="E83" s="1523"/>
      <c r="F83" s="1523"/>
      <c r="G83" s="1523"/>
      <c r="H83" s="1523"/>
      <c r="I83" s="1523"/>
      <c r="J83" s="1523"/>
      <c r="K83" s="1523"/>
      <c r="L83" s="1523"/>
      <c r="M83" s="1523"/>
      <c r="N83" s="1523"/>
      <c r="O83" s="1523"/>
      <c r="P83" s="1523"/>
      <c r="Q83" s="1523"/>
      <c r="R83" s="1523"/>
      <c r="S83" s="1523"/>
      <c r="T83" s="1523"/>
      <c r="U83" s="1523"/>
      <c r="V83" s="1523"/>
      <c r="W83" s="1523"/>
      <c r="X83" s="1523"/>
      <c r="Y83" s="1523"/>
      <c r="Z83" s="1523"/>
    </row>
    <row r="84" spans="1:26" ht="12.75" customHeight="1">
      <c r="A84" s="1523"/>
      <c r="B84" s="1523"/>
      <c r="C84" s="1523"/>
      <c r="D84" s="1523"/>
      <c r="E84" s="1523"/>
      <c r="F84" s="1523"/>
      <c r="G84" s="1523"/>
      <c r="H84" s="1523"/>
      <c r="I84" s="1523"/>
      <c r="J84" s="1523"/>
      <c r="K84" s="1523"/>
      <c r="L84" s="1523"/>
      <c r="M84" s="1523"/>
      <c r="N84" s="1523"/>
      <c r="O84" s="1523"/>
      <c r="P84" s="1523"/>
      <c r="Q84" s="1523"/>
      <c r="R84" s="1523"/>
      <c r="S84" s="1523"/>
      <c r="T84" s="1523"/>
      <c r="U84" s="1523"/>
      <c r="V84" s="1523"/>
      <c r="W84" s="1523"/>
      <c r="X84" s="1523"/>
      <c r="Y84" s="1523"/>
      <c r="Z84" s="1523"/>
    </row>
    <row r="85" spans="1:26" ht="12.75" customHeight="1">
      <c r="A85" s="1523"/>
      <c r="B85" s="1523"/>
      <c r="C85" s="1523"/>
      <c r="D85" s="1523"/>
      <c r="E85" s="1523"/>
      <c r="F85" s="1523"/>
      <c r="G85" s="1523"/>
      <c r="H85" s="1523"/>
      <c r="I85" s="1523"/>
      <c r="J85" s="1523"/>
      <c r="K85" s="1523"/>
      <c r="L85" s="1523"/>
      <c r="M85" s="1523"/>
      <c r="N85" s="1523"/>
      <c r="O85" s="1523"/>
      <c r="P85" s="1523"/>
      <c r="Q85" s="1523"/>
      <c r="R85" s="1523"/>
      <c r="S85" s="1523"/>
      <c r="T85" s="1523"/>
      <c r="U85" s="1523"/>
      <c r="V85" s="1523"/>
      <c r="W85" s="1523"/>
      <c r="X85" s="1523"/>
      <c r="Y85" s="1523"/>
      <c r="Z85" s="1523"/>
    </row>
    <row r="86" spans="1:26" ht="12.75" customHeight="1">
      <c r="A86" s="1523"/>
      <c r="B86" s="1523"/>
      <c r="C86" s="1523"/>
      <c r="D86" s="1523"/>
      <c r="E86" s="1523"/>
      <c r="F86" s="1523"/>
      <c r="G86" s="1523"/>
      <c r="H86" s="1523"/>
      <c r="I86" s="1523"/>
      <c r="J86" s="1523"/>
      <c r="K86" s="1523"/>
      <c r="L86" s="1523"/>
      <c r="M86" s="1523"/>
      <c r="N86" s="1523"/>
      <c r="O86" s="1523"/>
      <c r="P86" s="1523"/>
      <c r="Q86" s="1523"/>
      <c r="R86" s="1523"/>
      <c r="S86" s="1523"/>
      <c r="T86" s="1523"/>
      <c r="U86" s="1523"/>
      <c r="V86" s="1523"/>
      <c r="W86" s="1523"/>
      <c r="X86" s="1523"/>
      <c r="Y86" s="1523"/>
      <c r="Z86" s="1523"/>
    </row>
    <row r="87" spans="1:26" ht="12.75" customHeight="1">
      <c r="A87" s="1523"/>
      <c r="B87" s="1523"/>
      <c r="C87" s="1523"/>
      <c r="D87" s="1523"/>
      <c r="E87" s="1523"/>
      <c r="F87" s="1523"/>
      <c r="G87" s="1523"/>
      <c r="H87" s="1523"/>
      <c r="I87" s="1523"/>
      <c r="J87" s="1523"/>
      <c r="K87" s="1523"/>
      <c r="L87" s="1523"/>
      <c r="M87" s="1523"/>
      <c r="N87" s="1523"/>
      <c r="O87" s="1523"/>
      <c r="P87" s="1523"/>
      <c r="Q87" s="1523"/>
      <c r="R87" s="1523"/>
      <c r="S87" s="1523"/>
      <c r="T87" s="1523"/>
      <c r="U87" s="1523"/>
      <c r="V87" s="1523"/>
      <c r="W87" s="1523"/>
      <c r="X87" s="1523"/>
      <c r="Y87" s="1523"/>
      <c r="Z87" s="1523"/>
    </row>
    <row r="88" spans="1:26" ht="12.75" customHeight="1">
      <c r="A88" s="1523"/>
      <c r="B88" s="1523"/>
      <c r="C88" s="1523"/>
      <c r="D88" s="1523"/>
      <c r="E88" s="1523"/>
      <c r="F88" s="1523"/>
      <c r="G88" s="1523"/>
      <c r="H88" s="1523"/>
      <c r="I88" s="1523"/>
      <c r="J88" s="1523"/>
      <c r="K88" s="1523"/>
      <c r="L88" s="1523"/>
      <c r="M88" s="1523"/>
      <c r="N88" s="1523"/>
      <c r="O88" s="1523"/>
      <c r="P88" s="1523"/>
      <c r="Q88" s="1523"/>
      <c r="R88" s="1523"/>
      <c r="S88" s="1523"/>
      <c r="T88" s="1523"/>
      <c r="U88" s="1523"/>
      <c r="V88" s="1523"/>
      <c r="W88" s="1523"/>
      <c r="X88" s="1523"/>
      <c r="Y88" s="1523"/>
      <c r="Z88" s="1523"/>
    </row>
    <row r="89" spans="1:26" ht="12.75" customHeight="1">
      <c r="A89" s="1523"/>
      <c r="B89" s="1523"/>
      <c r="C89" s="1523"/>
      <c r="D89" s="1523"/>
      <c r="E89" s="1523"/>
      <c r="F89" s="1523"/>
      <c r="G89" s="1523"/>
      <c r="H89" s="1523"/>
      <c r="I89" s="1523"/>
      <c r="J89" s="1523"/>
      <c r="K89" s="1523"/>
      <c r="L89" s="1523"/>
      <c r="M89" s="1523"/>
      <c r="N89" s="1523"/>
      <c r="O89" s="1523"/>
      <c r="P89" s="1523"/>
      <c r="Q89" s="1523"/>
      <c r="R89" s="1523"/>
      <c r="S89" s="1523"/>
      <c r="T89" s="1523"/>
      <c r="U89" s="1523"/>
      <c r="V89" s="1523"/>
      <c r="W89" s="1523"/>
      <c r="X89" s="1523"/>
      <c r="Y89" s="1523"/>
      <c r="Z89" s="1523"/>
    </row>
    <row r="90" spans="1:26" ht="12.75" customHeight="1">
      <c r="A90" s="1523"/>
      <c r="B90" s="1523"/>
      <c r="C90" s="1523"/>
      <c r="D90" s="1523"/>
      <c r="E90" s="1523"/>
      <c r="F90" s="1523"/>
      <c r="G90" s="1523"/>
      <c r="H90" s="1523"/>
      <c r="I90" s="1523"/>
      <c r="J90" s="1523"/>
      <c r="K90" s="1523"/>
      <c r="L90" s="1523"/>
      <c r="M90" s="1523"/>
      <c r="N90" s="1523"/>
      <c r="O90" s="1523"/>
      <c r="P90" s="1523"/>
      <c r="Q90" s="1523"/>
      <c r="R90" s="1523"/>
      <c r="S90" s="1523"/>
      <c r="T90" s="1523"/>
      <c r="U90" s="1523"/>
      <c r="V90" s="1523"/>
      <c r="W90" s="1523"/>
      <c r="X90" s="1523"/>
      <c r="Y90" s="1523"/>
      <c r="Z90" s="1523"/>
    </row>
    <row r="91" spans="1:26" ht="12.75" customHeight="1">
      <c r="A91" s="1523"/>
      <c r="B91" s="1523"/>
      <c r="C91" s="1523"/>
      <c r="D91" s="1523"/>
      <c r="E91" s="1523"/>
      <c r="F91" s="1523"/>
      <c r="G91" s="1523"/>
      <c r="H91" s="1523"/>
      <c r="I91" s="1523"/>
      <c r="J91" s="1523"/>
      <c r="K91" s="1523"/>
      <c r="L91" s="1523"/>
      <c r="M91" s="1523"/>
      <c r="N91" s="1523"/>
      <c r="O91" s="1523"/>
      <c r="P91" s="1523"/>
      <c r="Q91" s="1523"/>
      <c r="R91" s="1523"/>
      <c r="S91" s="1523"/>
      <c r="T91" s="1523"/>
      <c r="U91" s="1523"/>
      <c r="V91" s="1523"/>
      <c r="W91" s="1523"/>
      <c r="X91" s="1523"/>
      <c r="Y91" s="1523"/>
      <c r="Z91" s="1523"/>
    </row>
    <row r="92" spans="1:26" ht="12.75" customHeight="1">
      <c r="A92" s="1523"/>
      <c r="B92" s="1523"/>
      <c r="C92" s="1523"/>
      <c r="D92" s="1523"/>
      <c r="E92" s="1523"/>
      <c r="F92" s="1523"/>
      <c r="G92" s="1523"/>
      <c r="H92" s="1523"/>
      <c r="I92" s="1523"/>
      <c r="J92" s="1523"/>
      <c r="K92" s="1523"/>
      <c r="L92" s="1523"/>
      <c r="M92" s="1523"/>
      <c r="N92" s="1523"/>
      <c r="O92" s="1523"/>
      <c r="P92" s="1523"/>
      <c r="Q92" s="1523"/>
      <c r="R92" s="1523"/>
      <c r="S92" s="1523"/>
      <c r="T92" s="1523"/>
      <c r="U92" s="1523"/>
      <c r="V92" s="1523"/>
      <c r="W92" s="1523"/>
      <c r="X92" s="1523"/>
      <c r="Y92" s="1523"/>
      <c r="Z92" s="1523"/>
    </row>
    <row r="93" spans="1:26" ht="12.75" customHeight="1">
      <c r="A93" s="1523"/>
      <c r="B93" s="1523"/>
      <c r="C93" s="1523"/>
      <c r="D93" s="1523"/>
      <c r="E93" s="1523"/>
      <c r="F93" s="1523"/>
      <c r="G93" s="1523"/>
      <c r="H93" s="1523"/>
      <c r="I93" s="1523"/>
      <c r="J93" s="1523"/>
      <c r="K93" s="1523"/>
      <c r="L93" s="1523"/>
      <c r="M93" s="1523"/>
      <c r="N93" s="1523"/>
      <c r="O93" s="1523"/>
      <c r="P93" s="1523"/>
      <c r="Q93" s="1523"/>
      <c r="R93" s="1523"/>
      <c r="S93" s="1523"/>
      <c r="T93" s="1523"/>
      <c r="U93" s="1523"/>
      <c r="V93" s="1523"/>
      <c r="W93" s="1523"/>
      <c r="X93" s="1523"/>
      <c r="Y93" s="1523"/>
      <c r="Z93" s="1523"/>
    </row>
    <row r="94" spans="1:26" ht="12.75" customHeight="1">
      <c r="A94" s="1523"/>
      <c r="B94" s="1523"/>
      <c r="C94" s="1523"/>
      <c r="D94" s="1523"/>
      <c r="E94" s="1523"/>
      <c r="F94" s="1523"/>
      <c r="G94" s="1523"/>
      <c r="H94" s="1523"/>
      <c r="I94" s="1523"/>
      <c r="J94" s="1523"/>
      <c r="K94" s="1523"/>
      <c r="L94" s="1523"/>
      <c r="M94" s="1523"/>
      <c r="N94" s="1523"/>
      <c r="O94" s="1523"/>
      <c r="P94" s="1523"/>
      <c r="Q94" s="1523"/>
      <c r="R94" s="1523"/>
      <c r="S94" s="1523"/>
      <c r="T94" s="1523"/>
      <c r="U94" s="1523"/>
      <c r="V94" s="1523"/>
      <c r="W94" s="1523"/>
      <c r="X94" s="1523"/>
      <c r="Y94" s="1523"/>
      <c r="Z94" s="1523"/>
    </row>
    <row r="95" spans="1:26" ht="12.75" customHeight="1">
      <c r="A95" s="1523"/>
      <c r="B95" s="1523"/>
      <c r="C95" s="1523"/>
      <c r="D95" s="1523"/>
      <c r="E95" s="1523"/>
      <c r="F95" s="1523"/>
      <c r="G95" s="1523"/>
      <c r="H95" s="1523"/>
      <c r="I95" s="1523"/>
      <c r="J95" s="1523"/>
      <c r="K95" s="1523"/>
      <c r="L95" s="1523"/>
      <c r="M95" s="1523"/>
      <c r="N95" s="1523"/>
      <c r="O95" s="1523"/>
      <c r="P95" s="1523"/>
      <c r="Q95" s="1523"/>
      <c r="R95" s="1523"/>
      <c r="S95" s="1523"/>
      <c r="T95" s="1523"/>
      <c r="U95" s="1523"/>
      <c r="V95" s="1523"/>
      <c r="W95" s="1523"/>
      <c r="X95" s="1523"/>
      <c r="Y95" s="1523"/>
      <c r="Z95" s="1523"/>
    </row>
    <row r="96" spans="1:26" ht="12.75" customHeight="1">
      <c r="A96" s="1523"/>
      <c r="B96" s="1523"/>
      <c r="C96" s="1523"/>
      <c r="D96" s="1523"/>
      <c r="E96" s="1523"/>
      <c r="F96" s="1523"/>
      <c r="G96" s="1523"/>
      <c r="H96" s="1523"/>
      <c r="I96" s="1523"/>
      <c r="J96" s="1523"/>
      <c r="K96" s="1523"/>
      <c r="L96" s="1523"/>
      <c r="M96" s="1523"/>
      <c r="N96" s="1523"/>
      <c r="O96" s="1523"/>
      <c r="P96" s="1523"/>
      <c r="Q96" s="1523"/>
      <c r="R96" s="1523"/>
      <c r="S96" s="1523"/>
      <c r="T96" s="1523"/>
      <c r="U96" s="1523"/>
      <c r="V96" s="1523"/>
      <c r="W96" s="1523"/>
      <c r="X96" s="1523"/>
      <c r="Y96" s="1523"/>
      <c r="Z96" s="1523"/>
    </row>
    <row r="97" spans="1:26" ht="12.75" customHeight="1">
      <c r="A97" s="1523"/>
      <c r="B97" s="1523"/>
      <c r="C97" s="1523"/>
      <c r="D97" s="1523"/>
      <c r="E97" s="1523"/>
      <c r="F97" s="1523"/>
      <c r="G97" s="1523"/>
      <c r="H97" s="1523"/>
      <c r="I97" s="1523"/>
      <c r="J97" s="1523"/>
      <c r="K97" s="1523"/>
      <c r="L97" s="1523"/>
      <c r="M97" s="1523"/>
      <c r="N97" s="1523"/>
      <c r="O97" s="1523"/>
      <c r="P97" s="1523"/>
      <c r="Q97" s="1523"/>
      <c r="R97" s="1523"/>
      <c r="S97" s="1523"/>
      <c r="T97" s="1523"/>
      <c r="U97" s="1523"/>
      <c r="V97" s="1523"/>
      <c r="W97" s="1523"/>
      <c r="X97" s="1523"/>
      <c r="Y97" s="1523"/>
      <c r="Z97" s="1523"/>
    </row>
    <row r="98" spans="1:26" ht="12.75" customHeight="1">
      <c r="A98" s="1523"/>
      <c r="B98" s="1523"/>
      <c r="C98" s="1523"/>
      <c r="D98" s="1523"/>
      <c r="E98" s="1523"/>
      <c r="F98" s="1523"/>
      <c r="G98" s="1523"/>
      <c r="H98" s="1523"/>
      <c r="I98" s="1523"/>
      <c r="J98" s="1523"/>
      <c r="K98" s="1523"/>
      <c r="L98" s="1523"/>
      <c r="M98" s="1523"/>
      <c r="N98" s="1523"/>
      <c r="O98" s="1523"/>
      <c r="P98" s="1523"/>
      <c r="Q98" s="1523"/>
      <c r="R98" s="1523"/>
      <c r="S98" s="1523"/>
      <c r="T98" s="1523"/>
      <c r="U98" s="1523"/>
      <c r="V98" s="1523"/>
      <c r="W98" s="1523"/>
      <c r="X98" s="1523"/>
      <c r="Y98" s="1523"/>
      <c r="Z98" s="1523"/>
    </row>
    <row r="99" spans="1:26" ht="12.75" customHeight="1">
      <c r="A99" s="1523"/>
      <c r="B99" s="1523"/>
      <c r="C99" s="1523"/>
      <c r="D99" s="1523"/>
      <c r="E99" s="1523"/>
      <c r="F99" s="1523"/>
      <c r="G99" s="1523"/>
      <c r="H99" s="1523"/>
      <c r="I99" s="1523"/>
      <c r="J99" s="1523"/>
      <c r="K99" s="1523"/>
      <c r="L99" s="1523"/>
      <c r="M99" s="1523"/>
      <c r="N99" s="1523"/>
      <c r="O99" s="1523"/>
      <c r="P99" s="1523"/>
      <c r="Q99" s="1523"/>
      <c r="R99" s="1523"/>
      <c r="S99" s="1523"/>
      <c r="T99" s="1523"/>
      <c r="U99" s="1523"/>
      <c r="V99" s="1523"/>
      <c r="W99" s="1523"/>
      <c r="X99" s="1523"/>
      <c r="Y99" s="1523"/>
      <c r="Z99" s="1523"/>
    </row>
    <row r="100" spans="1:26" ht="12.75" customHeight="1">
      <c r="A100" s="1523"/>
      <c r="B100" s="1523"/>
      <c r="C100" s="1523"/>
      <c r="D100" s="1523"/>
      <c r="E100" s="1523"/>
      <c r="F100" s="1523"/>
      <c r="G100" s="1523"/>
      <c r="H100" s="1523"/>
      <c r="I100" s="1523"/>
      <c r="J100" s="1523"/>
      <c r="K100" s="1523"/>
      <c r="L100" s="1523"/>
      <c r="M100" s="1523"/>
      <c r="N100" s="1523"/>
      <c r="O100" s="1523"/>
      <c r="P100" s="1523"/>
      <c r="Q100" s="1523"/>
      <c r="R100" s="1523"/>
      <c r="S100" s="1523"/>
      <c r="T100" s="1523"/>
      <c r="U100" s="1523"/>
      <c r="V100" s="1523"/>
      <c r="W100" s="1523"/>
      <c r="X100" s="1523"/>
      <c r="Y100" s="1523"/>
      <c r="Z100" s="1523"/>
    </row>
    <row r="101" spans="1:26" ht="12.75" customHeight="1">
      <c r="A101" s="1523"/>
      <c r="B101" s="1523"/>
      <c r="C101" s="1523"/>
      <c r="D101" s="1523"/>
      <c r="E101" s="1523"/>
      <c r="F101" s="1523"/>
      <c r="G101" s="1523"/>
      <c r="H101" s="1523"/>
      <c r="I101" s="1523"/>
      <c r="J101" s="1523"/>
      <c r="K101" s="1523"/>
      <c r="L101" s="1523"/>
      <c r="M101" s="1523"/>
      <c r="N101" s="1523"/>
      <c r="O101" s="1523"/>
      <c r="P101" s="1523"/>
      <c r="Q101" s="1523"/>
      <c r="R101" s="1523"/>
      <c r="S101" s="1523"/>
      <c r="T101" s="1523"/>
      <c r="U101" s="1523"/>
      <c r="V101" s="1523"/>
      <c r="W101" s="1523"/>
      <c r="X101" s="1523"/>
      <c r="Y101" s="1523"/>
      <c r="Z101" s="1523"/>
    </row>
    <row r="102" spans="1:26" ht="12.75" customHeight="1">
      <c r="A102" s="1523"/>
      <c r="B102" s="1523"/>
      <c r="C102" s="1523"/>
      <c r="D102" s="1523"/>
      <c r="E102" s="1523"/>
      <c r="F102" s="1523"/>
      <c r="G102" s="1523"/>
      <c r="H102" s="1523"/>
      <c r="I102" s="1523"/>
      <c r="J102" s="1523"/>
      <c r="K102" s="1523"/>
      <c r="L102" s="1523"/>
      <c r="M102" s="1523"/>
      <c r="N102" s="1523"/>
      <c r="O102" s="1523"/>
      <c r="P102" s="1523"/>
      <c r="Q102" s="1523"/>
      <c r="R102" s="1523"/>
      <c r="S102" s="1523"/>
      <c r="T102" s="1523"/>
      <c r="U102" s="1523"/>
      <c r="V102" s="1523"/>
      <c r="W102" s="1523"/>
      <c r="X102" s="1523"/>
      <c r="Y102" s="1523"/>
      <c r="Z102" s="1523"/>
    </row>
    <row r="103" spans="1:26" ht="12.75" customHeight="1">
      <c r="A103" s="1523"/>
      <c r="B103" s="1523"/>
      <c r="C103" s="1523"/>
      <c r="D103" s="1523"/>
      <c r="E103" s="1523"/>
      <c r="F103" s="1523"/>
      <c r="G103" s="1523"/>
      <c r="H103" s="1523"/>
      <c r="I103" s="1523"/>
      <c r="J103" s="1523"/>
      <c r="K103" s="1523"/>
      <c r="L103" s="1523"/>
      <c r="M103" s="1523"/>
      <c r="N103" s="1523"/>
      <c r="O103" s="1523"/>
      <c r="P103" s="1523"/>
      <c r="Q103" s="1523"/>
      <c r="R103" s="1523"/>
      <c r="S103" s="1523"/>
      <c r="T103" s="1523"/>
      <c r="U103" s="1523"/>
      <c r="V103" s="1523"/>
      <c r="W103" s="1523"/>
      <c r="X103" s="1523"/>
      <c r="Y103" s="1523"/>
      <c r="Z103" s="1523"/>
    </row>
    <row r="104" spans="1:26" ht="12.75" customHeight="1">
      <c r="A104" s="1523"/>
      <c r="B104" s="1523"/>
      <c r="C104" s="1523"/>
      <c r="D104" s="1523"/>
      <c r="E104" s="1523"/>
      <c r="F104" s="1523"/>
      <c r="G104" s="1523"/>
      <c r="H104" s="1523"/>
      <c r="I104" s="1523"/>
      <c r="J104" s="1523"/>
      <c r="K104" s="1523"/>
      <c r="L104" s="1523"/>
      <c r="M104" s="1523"/>
      <c r="N104" s="1523"/>
      <c r="O104" s="1523"/>
      <c r="P104" s="1523"/>
      <c r="Q104" s="1523"/>
      <c r="R104" s="1523"/>
      <c r="S104" s="1523"/>
      <c r="T104" s="1523"/>
      <c r="U104" s="1523"/>
      <c r="V104" s="1523"/>
      <c r="W104" s="1523"/>
      <c r="X104" s="1523"/>
      <c r="Y104" s="1523"/>
      <c r="Z104" s="1523"/>
    </row>
    <row r="105" spans="1:26" ht="12.75" customHeight="1">
      <c r="A105" s="1523"/>
      <c r="B105" s="1523"/>
      <c r="C105" s="1523"/>
      <c r="D105" s="1523"/>
      <c r="E105" s="1523"/>
      <c r="F105" s="1523"/>
      <c r="G105" s="1523"/>
      <c r="H105" s="1523"/>
      <c r="I105" s="1523"/>
      <c r="J105" s="1523"/>
      <c r="K105" s="1523"/>
      <c r="L105" s="1523"/>
      <c r="M105" s="1523"/>
      <c r="N105" s="1523"/>
      <c r="O105" s="1523"/>
      <c r="P105" s="1523"/>
      <c r="Q105" s="1523"/>
      <c r="R105" s="1523"/>
      <c r="S105" s="1523"/>
      <c r="T105" s="1523"/>
      <c r="U105" s="1523"/>
      <c r="V105" s="1523"/>
      <c r="W105" s="1523"/>
      <c r="X105" s="1523"/>
      <c r="Y105" s="1523"/>
      <c r="Z105" s="1523"/>
    </row>
    <row r="106" spans="1:26" ht="12.75" customHeight="1">
      <c r="A106" s="1523"/>
      <c r="B106" s="1523"/>
      <c r="C106" s="1523"/>
      <c r="D106" s="1523"/>
      <c r="E106" s="1523"/>
      <c r="F106" s="1523"/>
      <c r="G106" s="1523"/>
      <c r="H106" s="1523"/>
      <c r="I106" s="1523"/>
      <c r="J106" s="1523"/>
      <c r="K106" s="1523"/>
      <c r="L106" s="1523"/>
      <c r="M106" s="1523"/>
      <c r="N106" s="1523"/>
      <c r="O106" s="1523"/>
      <c r="P106" s="1523"/>
      <c r="Q106" s="1523"/>
      <c r="R106" s="1523"/>
      <c r="S106" s="1523"/>
      <c r="T106" s="1523"/>
      <c r="U106" s="1523"/>
      <c r="V106" s="1523"/>
      <c r="W106" s="1523"/>
      <c r="X106" s="1523"/>
      <c r="Y106" s="1523"/>
      <c r="Z106" s="1523"/>
    </row>
    <row r="107" spans="1:26" ht="12.75" customHeight="1">
      <c r="A107" s="1523"/>
      <c r="B107" s="1523"/>
      <c r="C107" s="1523"/>
      <c r="D107" s="1523"/>
      <c r="E107" s="1523"/>
      <c r="F107" s="1523"/>
      <c r="G107" s="1523"/>
      <c r="H107" s="1523"/>
      <c r="I107" s="1523"/>
      <c r="J107" s="1523"/>
      <c r="K107" s="1523"/>
      <c r="L107" s="1523"/>
      <c r="M107" s="1523"/>
      <c r="N107" s="1523"/>
      <c r="O107" s="1523"/>
      <c r="P107" s="1523"/>
      <c r="Q107" s="1523"/>
      <c r="R107" s="1523"/>
      <c r="S107" s="1523"/>
      <c r="T107" s="1523"/>
      <c r="U107" s="1523"/>
      <c r="V107" s="1523"/>
      <c r="W107" s="1523"/>
      <c r="X107" s="1523"/>
      <c r="Y107" s="1523"/>
      <c r="Z107" s="1523"/>
    </row>
    <row r="108" spans="1:26" ht="12.75" customHeight="1">
      <c r="A108" s="1523"/>
      <c r="B108" s="1523"/>
      <c r="C108" s="1523"/>
      <c r="D108" s="1523"/>
      <c r="E108" s="1523"/>
      <c r="F108" s="1523"/>
      <c r="G108" s="1523"/>
      <c r="H108" s="1523"/>
      <c r="I108" s="1523"/>
      <c r="J108" s="1523"/>
      <c r="K108" s="1523"/>
      <c r="L108" s="1523"/>
      <c r="M108" s="1523"/>
      <c r="N108" s="1523"/>
      <c r="O108" s="1523"/>
      <c r="P108" s="1523"/>
      <c r="Q108" s="1523"/>
      <c r="R108" s="1523"/>
      <c r="S108" s="1523"/>
      <c r="T108" s="1523"/>
      <c r="U108" s="1523"/>
      <c r="V108" s="1523"/>
      <c r="W108" s="1523"/>
      <c r="X108" s="1523"/>
      <c r="Y108" s="1523"/>
      <c r="Z108" s="1523"/>
    </row>
    <row r="109" spans="1:26" ht="12.75" customHeight="1">
      <c r="A109" s="1523"/>
      <c r="B109" s="1523"/>
      <c r="C109" s="1523"/>
      <c r="D109" s="1523"/>
      <c r="E109" s="1523"/>
      <c r="F109" s="1523"/>
      <c r="G109" s="1523"/>
      <c r="H109" s="1523"/>
      <c r="I109" s="1523"/>
      <c r="J109" s="1523"/>
      <c r="K109" s="1523"/>
      <c r="L109" s="1523"/>
      <c r="M109" s="1523"/>
      <c r="N109" s="1523"/>
      <c r="O109" s="1523"/>
      <c r="P109" s="1523"/>
      <c r="Q109" s="1523"/>
      <c r="R109" s="1523"/>
      <c r="S109" s="1523"/>
      <c r="T109" s="1523"/>
      <c r="U109" s="1523"/>
      <c r="V109" s="1523"/>
      <c r="W109" s="1523"/>
      <c r="X109" s="1523"/>
      <c r="Y109" s="1523"/>
      <c r="Z109" s="1523"/>
    </row>
    <row r="110" spans="1:26" ht="12.75" customHeight="1">
      <c r="A110" s="1523"/>
      <c r="B110" s="1523"/>
      <c r="C110" s="1523"/>
      <c r="D110" s="1523"/>
      <c r="E110" s="1523"/>
      <c r="F110" s="1523"/>
      <c r="G110" s="1523"/>
      <c r="H110" s="1523"/>
      <c r="I110" s="1523"/>
      <c r="J110" s="1523"/>
      <c r="K110" s="1523"/>
      <c r="L110" s="1523"/>
      <c r="M110" s="1523"/>
      <c r="N110" s="1523"/>
      <c r="O110" s="1523"/>
      <c r="P110" s="1523"/>
      <c r="Q110" s="1523"/>
      <c r="R110" s="1523"/>
      <c r="S110" s="1523"/>
      <c r="T110" s="1523"/>
      <c r="U110" s="1523"/>
      <c r="V110" s="1523"/>
      <c r="W110" s="1523"/>
      <c r="X110" s="1523"/>
      <c r="Y110" s="1523"/>
      <c r="Z110" s="1523"/>
    </row>
    <row r="111" spans="1:26" ht="12.75" customHeight="1">
      <c r="A111" s="1523"/>
      <c r="B111" s="1523"/>
      <c r="C111" s="1523"/>
      <c r="D111" s="1523"/>
      <c r="E111" s="1523"/>
      <c r="F111" s="1523"/>
      <c r="G111" s="1523"/>
      <c r="H111" s="1523"/>
      <c r="I111" s="1523"/>
      <c r="J111" s="1523"/>
      <c r="K111" s="1523"/>
      <c r="L111" s="1523"/>
      <c r="M111" s="1523"/>
      <c r="N111" s="1523"/>
      <c r="O111" s="1523"/>
      <c r="P111" s="1523"/>
      <c r="Q111" s="1523"/>
      <c r="R111" s="1523"/>
      <c r="S111" s="1523"/>
      <c r="T111" s="1523"/>
      <c r="U111" s="1523"/>
      <c r="V111" s="1523"/>
      <c r="W111" s="1523"/>
      <c r="X111" s="1523"/>
      <c r="Y111" s="1523"/>
      <c r="Z111" s="1523"/>
    </row>
    <row r="112" spans="1:26" ht="12.75" customHeight="1">
      <c r="A112" s="1523"/>
      <c r="B112" s="1523"/>
      <c r="C112" s="1523"/>
      <c r="D112" s="1523"/>
      <c r="E112" s="1523"/>
      <c r="F112" s="1523"/>
      <c r="G112" s="1523"/>
      <c r="H112" s="1523"/>
      <c r="I112" s="1523"/>
      <c r="J112" s="1523"/>
      <c r="K112" s="1523"/>
      <c r="L112" s="1523"/>
      <c r="M112" s="1523"/>
      <c r="N112" s="1523"/>
      <c r="O112" s="1523"/>
      <c r="P112" s="1523"/>
      <c r="Q112" s="1523"/>
      <c r="R112" s="1523"/>
      <c r="S112" s="1523"/>
      <c r="T112" s="1523"/>
      <c r="U112" s="1523"/>
      <c r="V112" s="1523"/>
      <c r="W112" s="1523"/>
      <c r="X112" s="1523"/>
      <c r="Y112" s="1523"/>
      <c r="Z112" s="1523"/>
    </row>
    <row r="113" spans="1:26" ht="12.75" customHeight="1">
      <c r="A113" s="1523"/>
      <c r="B113" s="1523"/>
      <c r="C113" s="1523"/>
      <c r="D113" s="1523"/>
      <c r="E113" s="1523"/>
      <c r="F113" s="1523"/>
      <c r="G113" s="1523"/>
      <c r="H113" s="1523"/>
      <c r="I113" s="1523"/>
      <c r="J113" s="1523"/>
      <c r="K113" s="1523"/>
      <c r="L113" s="1523"/>
      <c r="M113" s="1523"/>
      <c r="N113" s="1523"/>
      <c r="O113" s="1523"/>
      <c r="P113" s="1523"/>
      <c r="Q113" s="1523"/>
      <c r="R113" s="1523"/>
      <c r="S113" s="1523"/>
      <c r="T113" s="1523"/>
      <c r="U113" s="1523"/>
      <c r="V113" s="1523"/>
      <c r="W113" s="1523"/>
      <c r="X113" s="1523"/>
      <c r="Y113" s="1523"/>
      <c r="Z113" s="1523"/>
    </row>
    <row r="114" spans="1:26" ht="12.75" customHeight="1">
      <c r="A114" s="1523"/>
      <c r="B114" s="1523"/>
      <c r="C114" s="1523"/>
      <c r="D114" s="1523"/>
      <c r="E114" s="1523"/>
      <c r="F114" s="1523"/>
      <c r="G114" s="1523"/>
      <c r="H114" s="1523"/>
      <c r="I114" s="1523"/>
      <c r="J114" s="1523"/>
      <c r="K114" s="1523"/>
      <c r="L114" s="1523"/>
      <c r="M114" s="1523"/>
      <c r="N114" s="1523"/>
      <c r="O114" s="1523"/>
      <c r="P114" s="1523"/>
      <c r="Q114" s="1523"/>
      <c r="R114" s="1523"/>
      <c r="S114" s="1523"/>
      <c r="T114" s="1523"/>
      <c r="U114" s="1523"/>
      <c r="V114" s="1523"/>
      <c r="W114" s="1523"/>
      <c r="X114" s="1523"/>
      <c r="Y114" s="1523"/>
      <c r="Z114" s="1523"/>
    </row>
    <row r="115" spans="1:26" ht="12.75" customHeight="1">
      <c r="A115" s="1523"/>
      <c r="B115" s="1523"/>
      <c r="C115" s="1523"/>
      <c r="D115" s="1523"/>
      <c r="E115" s="1523"/>
      <c r="F115" s="1523"/>
      <c r="G115" s="1523"/>
      <c r="H115" s="1523"/>
      <c r="I115" s="1523"/>
      <c r="J115" s="1523"/>
      <c r="K115" s="1523"/>
      <c r="L115" s="1523"/>
      <c r="M115" s="1523"/>
      <c r="N115" s="1523"/>
      <c r="O115" s="1523"/>
      <c r="P115" s="1523"/>
      <c r="Q115" s="1523"/>
      <c r="R115" s="1523"/>
      <c r="S115" s="1523"/>
      <c r="T115" s="1523"/>
      <c r="U115" s="1523"/>
      <c r="V115" s="1523"/>
      <c r="W115" s="1523"/>
      <c r="X115" s="1523"/>
      <c r="Y115" s="1523"/>
      <c r="Z115" s="1523"/>
    </row>
    <row r="116" spans="1:26" ht="12.75" customHeight="1">
      <c r="A116" s="1523"/>
      <c r="B116" s="1523"/>
      <c r="C116" s="1523"/>
      <c r="D116" s="1523"/>
      <c r="E116" s="1523"/>
      <c r="F116" s="1523"/>
      <c r="G116" s="1523"/>
      <c r="H116" s="1523"/>
      <c r="I116" s="1523"/>
      <c r="J116" s="1523"/>
      <c r="K116" s="1523"/>
      <c r="L116" s="1523"/>
      <c r="M116" s="1523"/>
      <c r="N116" s="1523"/>
      <c r="O116" s="1523"/>
      <c r="P116" s="1523"/>
      <c r="Q116" s="1523"/>
      <c r="R116" s="1523"/>
      <c r="S116" s="1523"/>
      <c r="T116" s="1523"/>
      <c r="U116" s="1523"/>
      <c r="V116" s="1523"/>
      <c r="W116" s="1523"/>
      <c r="X116" s="1523"/>
      <c r="Y116" s="1523"/>
      <c r="Z116" s="1523"/>
    </row>
    <row r="117" spans="1:26" ht="12.75" customHeight="1">
      <c r="A117" s="1523"/>
      <c r="B117" s="1523"/>
      <c r="C117" s="1523"/>
      <c r="D117" s="1523"/>
      <c r="E117" s="1523"/>
      <c r="F117" s="1523"/>
      <c r="G117" s="1523"/>
      <c r="H117" s="1523"/>
      <c r="I117" s="1523"/>
      <c r="J117" s="1523"/>
      <c r="K117" s="1523"/>
      <c r="L117" s="1523"/>
      <c r="M117" s="1523"/>
      <c r="N117" s="1523"/>
      <c r="O117" s="1523"/>
      <c r="P117" s="1523"/>
      <c r="Q117" s="1523"/>
      <c r="R117" s="1523"/>
      <c r="S117" s="1523"/>
      <c r="T117" s="1523"/>
      <c r="U117" s="1523"/>
      <c r="V117" s="1523"/>
      <c r="W117" s="1523"/>
      <c r="X117" s="1523"/>
      <c r="Y117" s="1523"/>
      <c r="Z117" s="1523"/>
    </row>
    <row r="118" spans="1:26" ht="12.75" customHeight="1">
      <c r="A118" s="1523"/>
      <c r="B118" s="1523"/>
      <c r="C118" s="1523"/>
      <c r="D118" s="1523"/>
      <c r="E118" s="1523"/>
      <c r="F118" s="1523"/>
      <c r="G118" s="1523"/>
      <c r="H118" s="1523"/>
      <c r="I118" s="1523"/>
      <c r="J118" s="1523"/>
      <c r="K118" s="1523"/>
      <c r="L118" s="1523"/>
      <c r="M118" s="1523"/>
      <c r="N118" s="1523"/>
      <c r="O118" s="1523"/>
      <c r="P118" s="1523"/>
      <c r="Q118" s="1523"/>
      <c r="R118" s="1523"/>
      <c r="S118" s="1523"/>
      <c r="T118" s="1523"/>
      <c r="U118" s="1523"/>
      <c r="V118" s="1523"/>
      <c r="W118" s="1523"/>
      <c r="X118" s="1523"/>
      <c r="Y118" s="1523"/>
      <c r="Z118" s="1523"/>
    </row>
    <row r="119" spans="1:26" ht="12.75" customHeight="1">
      <c r="A119" s="1523"/>
      <c r="B119" s="1523"/>
      <c r="C119" s="1523"/>
      <c r="D119" s="1523"/>
      <c r="E119" s="1523"/>
      <c r="F119" s="1523"/>
      <c r="G119" s="1523"/>
      <c r="H119" s="1523"/>
      <c r="I119" s="1523"/>
      <c r="J119" s="1523"/>
      <c r="K119" s="1523"/>
      <c r="L119" s="1523"/>
      <c r="M119" s="1523"/>
      <c r="N119" s="1523"/>
      <c r="O119" s="1523"/>
      <c r="P119" s="1523"/>
      <c r="Q119" s="1523"/>
      <c r="R119" s="1523"/>
      <c r="S119" s="1523"/>
      <c r="T119" s="1523"/>
      <c r="U119" s="1523"/>
      <c r="V119" s="1523"/>
      <c r="W119" s="1523"/>
      <c r="X119" s="1523"/>
      <c r="Y119" s="1523"/>
      <c r="Z119" s="1523"/>
    </row>
    <row r="120" spans="1:26" ht="12.75" customHeight="1">
      <c r="A120" s="1523"/>
      <c r="B120" s="1523"/>
      <c r="C120" s="1523"/>
      <c r="D120" s="1523"/>
      <c r="E120" s="1523"/>
      <c r="F120" s="1523"/>
      <c r="G120" s="1523"/>
      <c r="H120" s="1523"/>
      <c r="I120" s="1523"/>
      <c r="J120" s="1523"/>
      <c r="K120" s="1523"/>
      <c r="L120" s="1523"/>
      <c r="M120" s="1523"/>
      <c r="N120" s="1523"/>
      <c r="O120" s="1523"/>
      <c r="P120" s="1523"/>
      <c r="Q120" s="1523"/>
      <c r="R120" s="1523"/>
      <c r="S120" s="1523"/>
      <c r="T120" s="1523"/>
      <c r="U120" s="1523"/>
      <c r="V120" s="1523"/>
      <c r="W120" s="1523"/>
      <c r="X120" s="1523"/>
      <c r="Y120" s="1523"/>
      <c r="Z120" s="1523"/>
    </row>
    <row r="121" spans="1:26" ht="12.75" customHeight="1">
      <c r="A121" s="1523"/>
      <c r="B121" s="1523"/>
      <c r="C121" s="1523"/>
      <c r="D121" s="1523"/>
      <c r="E121" s="1523"/>
      <c r="F121" s="1523"/>
      <c r="G121" s="1523"/>
      <c r="H121" s="1523"/>
      <c r="I121" s="1523"/>
      <c r="J121" s="1523"/>
      <c r="K121" s="1523"/>
      <c r="L121" s="1523"/>
      <c r="M121" s="1523"/>
      <c r="N121" s="1523"/>
      <c r="O121" s="1523"/>
      <c r="P121" s="1523"/>
      <c r="Q121" s="1523"/>
      <c r="R121" s="1523"/>
      <c r="S121" s="1523"/>
      <c r="T121" s="1523"/>
      <c r="U121" s="1523"/>
      <c r="V121" s="1523"/>
      <c r="W121" s="1523"/>
      <c r="X121" s="1523"/>
      <c r="Y121" s="1523"/>
      <c r="Z121" s="1523"/>
    </row>
    <row r="122" spans="1:26" ht="12.75" customHeight="1">
      <c r="A122" s="1523"/>
      <c r="B122" s="1523"/>
      <c r="C122" s="1523"/>
      <c r="D122" s="1523"/>
      <c r="E122" s="1523"/>
      <c r="F122" s="1523"/>
      <c r="G122" s="1523"/>
      <c r="H122" s="1523"/>
      <c r="I122" s="1523"/>
      <c r="J122" s="1523"/>
      <c r="K122" s="1523"/>
      <c r="L122" s="1523"/>
      <c r="M122" s="1523"/>
      <c r="N122" s="1523"/>
      <c r="O122" s="1523"/>
      <c r="P122" s="1523"/>
      <c r="Q122" s="1523"/>
      <c r="R122" s="1523"/>
      <c r="S122" s="1523"/>
      <c r="T122" s="1523"/>
      <c r="U122" s="1523"/>
      <c r="V122" s="1523"/>
      <c r="W122" s="1523"/>
      <c r="X122" s="1523"/>
      <c r="Y122" s="1523"/>
      <c r="Z122" s="1523"/>
    </row>
    <row r="123" spans="1:26" ht="12.75" customHeight="1">
      <c r="A123" s="1523"/>
      <c r="B123" s="1523"/>
      <c r="C123" s="1523"/>
      <c r="D123" s="1523"/>
      <c r="E123" s="1523"/>
      <c r="F123" s="1523"/>
      <c r="G123" s="1523"/>
      <c r="H123" s="1523"/>
      <c r="I123" s="1523"/>
      <c r="J123" s="1523"/>
      <c r="K123" s="1523"/>
      <c r="L123" s="1523"/>
      <c r="M123" s="1523"/>
      <c r="N123" s="1523"/>
      <c r="O123" s="1523"/>
      <c r="P123" s="1523"/>
      <c r="Q123" s="1523"/>
      <c r="R123" s="1523"/>
      <c r="S123" s="1523"/>
      <c r="T123" s="1523"/>
      <c r="U123" s="1523"/>
      <c r="V123" s="1523"/>
      <c r="W123" s="1523"/>
      <c r="X123" s="1523"/>
      <c r="Y123" s="1523"/>
      <c r="Z123" s="1523"/>
    </row>
    <row r="124" spans="1:26" ht="12.75" customHeight="1">
      <c r="A124" s="1523"/>
      <c r="B124" s="1523"/>
      <c r="C124" s="1523"/>
      <c r="D124" s="1523"/>
      <c r="E124" s="1523"/>
      <c r="F124" s="1523"/>
      <c r="G124" s="1523"/>
      <c r="H124" s="1523"/>
      <c r="I124" s="1523"/>
      <c r="J124" s="1523"/>
      <c r="K124" s="1523"/>
      <c r="L124" s="1523"/>
      <c r="M124" s="1523"/>
      <c r="N124" s="1523"/>
      <c r="O124" s="1523"/>
      <c r="P124" s="1523"/>
      <c r="Q124" s="1523"/>
      <c r="R124" s="1523"/>
      <c r="S124" s="1523"/>
      <c r="T124" s="1523"/>
      <c r="U124" s="1523"/>
      <c r="V124" s="1523"/>
      <c r="W124" s="1523"/>
      <c r="X124" s="1523"/>
      <c r="Y124" s="1523"/>
      <c r="Z124" s="1523"/>
    </row>
    <row r="125" spans="1:26" ht="12.75" customHeight="1">
      <c r="A125" s="1523"/>
      <c r="B125" s="1523"/>
      <c r="C125" s="1523"/>
      <c r="D125" s="1523"/>
      <c r="E125" s="1523"/>
      <c r="F125" s="1523"/>
      <c r="G125" s="1523"/>
      <c r="H125" s="1523"/>
      <c r="I125" s="1523"/>
      <c r="J125" s="1523"/>
      <c r="K125" s="1523"/>
      <c r="L125" s="1523"/>
      <c r="M125" s="1523"/>
      <c r="N125" s="1523"/>
      <c r="O125" s="1523"/>
      <c r="P125" s="1523"/>
      <c r="Q125" s="1523"/>
      <c r="R125" s="1523"/>
      <c r="S125" s="1523"/>
      <c r="T125" s="1523"/>
      <c r="U125" s="1523"/>
      <c r="V125" s="1523"/>
      <c r="W125" s="1523"/>
      <c r="X125" s="1523"/>
      <c r="Y125" s="1523"/>
      <c r="Z125" s="1523"/>
    </row>
    <row r="126" spans="1:26" ht="12.75" customHeight="1">
      <c r="A126" s="1523"/>
      <c r="B126" s="1523"/>
      <c r="C126" s="1523"/>
      <c r="D126" s="1523"/>
      <c r="E126" s="1523"/>
      <c r="F126" s="1523"/>
      <c r="G126" s="1523"/>
      <c r="H126" s="1523"/>
      <c r="I126" s="1523"/>
      <c r="J126" s="1523"/>
      <c r="K126" s="1523"/>
      <c r="L126" s="1523"/>
      <c r="M126" s="1523"/>
      <c r="N126" s="1523"/>
      <c r="O126" s="1523"/>
      <c r="P126" s="1523"/>
      <c r="Q126" s="1523"/>
      <c r="R126" s="1523"/>
      <c r="S126" s="1523"/>
      <c r="T126" s="1523"/>
      <c r="U126" s="1523"/>
      <c r="V126" s="1523"/>
      <c r="W126" s="1523"/>
      <c r="X126" s="1523"/>
      <c r="Y126" s="1523"/>
      <c r="Z126" s="1523"/>
    </row>
    <row r="127" spans="1:26" ht="12.75" customHeight="1">
      <c r="A127" s="1523"/>
      <c r="B127" s="1523"/>
      <c r="C127" s="1523"/>
      <c r="D127" s="1523"/>
      <c r="E127" s="1523"/>
      <c r="F127" s="1523"/>
      <c r="G127" s="1523"/>
      <c r="H127" s="1523"/>
      <c r="I127" s="1523"/>
      <c r="J127" s="1523"/>
      <c r="K127" s="1523"/>
      <c r="L127" s="1523"/>
      <c r="M127" s="1523"/>
      <c r="N127" s="1523"/>
      <c r="O127" s="1523"/>
      <c r="P127" s="1523"/>
      <c r="Q127" s="1523"/>
      <c r="R127" s="1523"/>
      <c r="S127" s="1523"/>
      <c r="T127" s="1523"/>
      <c r="U127" s="1523"/>
      <c r="V127" s="1523"/>
      <c r="W127" s="1523"/>
      <c r="X127" s="1523"/>
      <c r="Y127" s="1523"/>
      <c r="Z127" s="1523"/>
    </row>
    <row r="128" spans="1:26" ht="12.75" customHeight="1">
      <c r="A128" s="1523"/>
      <c r="B128" s="1523"/>
      <c r="C128" s="1523"/>
      <c r="D128" s="1523"/>
      <c r="E128" s="1523"/>
      <c r="F128" s="1523"/>
      <c r="G128" s="1523"/>
      <c r="H128" s="1523"/>
      <c r="I128" s="1523"/>
      <c r="J128" s="1523"/>
      <c r="K128" s="1523"/>
      <c r="L128" s="1523"/>
      <c r="M128" s="1523"/>
      <c r="N128" s="1523"/>
      <c r="O128" s="1523"/>
      <c r="P128" s="1523"/>
      <c r="Q128" s="1523"/>
      <c r="R128" s="1523"/>
      <c r="S128" s="1523"/>
      <c r="T128" s="1523"/>
      <c r="U128" s="1523"/>
      <c r="V128" s="1523"/>
      <c r="W128" s="1523"/>
      <c r="X128" s="1523"/>
      <c r="Y128" s="1523"/>
      <c r="Z128" s="1523"/>
    </row>
    <row r="129" spans="1:26" ht="12.75" customHeight="1">
      <c r="A129" s="1523"/>
      <c r="B129" s="1523"/>
      <c r="C129" s="1523"/>
      <c r="D129" s="1523"/>
      <c r="E129" s="1523"/>
      <c r="F129" s="1523"/>
      <c r="G129" s="1523"/>
      <c r="H129" s="1523"/>
      <c r="I129" s="1523"/>
      <c r="J129" s="1523"/>
      <c r="K129" s="1523"/>
      <c r="L129" s="1523"/>
      <c r="M129" s="1523"/>
      <c r="N129" s="1523"/>
      <c r="O129" s="1523"/>
      <c r="P129" s="1523"/>
      <c r="Q129" s="1523"/>
      <c r="R129" s="1523"/>
      <c r="S129" s="1523"/>
      <c r="T129" s="1523"/>
      <c r="U129" s="1523"/>
      <c r="V129" s="1523"/>
      <c r="W129" s="1523"/>
      <c r="X129" s="1523"/>
      <c r="Y129" s="1523"/>
      <c r="Z129" s="1523"/>
    </row>
    <row r="130" spans="1:26" ht="12.75" customHeight="1">
      <c r="A130" s="1523"/>
      <c r="B130" s="1523"/>
      <c r="C130" s="1523"/>
      <c r="D130" s="1523"/>
      <c r="E130" s="1523"/>
      <c r="F130" s="1523"/>
      <c r="G130" s="1523"/>
      <c r="H130" s="1523"/>
      <c r="I130" s="1523"/>
      <c r="J130" s="1523"/>
      <c r="K130" s="1523"/>
      <c r="L130" s="1523"/>
      <c r="M130" s="1523"/>
      <c r="N130" s="1523"/>
      <c r="O130" s="1523"/>
      <c r="P130" s="1523"/>
      <c r="Q130" s="1523"/>
      <c r="R130" s="1523"/>
      <c r="S130" s="1523"/>
      <c r="T130" s="1523"/>
      <c r="U130" s="1523"/>
      <c r="V130" s="1523"/>
      <c r="W130" s="1523"/>
      <c r="X130" s="1523"/>
      <c r="Y130" s="1523"/>
      <c r="Z130" s="1523"/>
    </row>
    <row r="131" spans="1:26" ht="12.75" customHeight="1">
      <c r="A131" s="1523"/>
      <c r="B131" s="1523"/>
      <c r="C131" s="1523"/>
      <c r="D131" s="1523"/>
      <c r="E131" s="1523"/>
      <c r="F131" s="1523"/>
      <c r="G131" s="1523"/>
      <c r="H131" s="1523"/>
      <c r="I131" s="1523"/>
      <c r="J131" s="1523"/>
      <c r="K131" s="1523"/>
      <c r="L131" s="1523"/>
      <c r="M131" s="1523"/>
      <c r="N131" s="1523"/>
      <c r="O131" s="1523"/>
      <c r="P131" s="1523"/>
      <c r="Q131" s="1523"/>
      <c r="R131" s="1523"/>
      <c r="S131" s="1523"/>
      <c r="T131" s="1523"/>
      <c r="U131" s="1523"/>
      <c r="V131" s="1523"/>
      <c r="W131" s="1523"/>
      <c r="X131" s="1523"/>
      <c r="Y131" s="1523"/>
      <c r="Z131" s="1523"/>
    </row>
    <row r="132" spans="1:26" ht="12.75" customHeight="1">
      <c r="A132" s="1523"/>
      <c r="B132" s="1523"/>
      <c r="C132" s="1523"/>
      <c r="D132" s="1523"/>
      <c r="E132" s="1523"/>
      <c r="F132" s="1523"/>
      <c r="G132" s="1523"/>
      <c r="H132" s="1523"/>
      <c r="I132" s="1523"/>
      <c r="J132" s="1523"/>
      <c r="K132" s="1523"/>
      <c r="L132" s="1523"/>
      <c r="M132" s="1523"/>
      <c r="N132" s="1523"/>
      <c r="O132" s="1523"/>
      <c r="P132" s="1523"/>
      <c r="Q132" s="1523"/>
      <c r="R132" s="1523"/>
      <c r="S132" s="1523"/>
      <c r="T132" s="1523"/>
      <c r="U132" s="1523"/>
      <c r="V132" s="1523"/>
      <c r="W132" s="1523"/>
      <c r="X132" s="1523"/>
      <c r="Y132" s="1523"/>
      <c r="Z132" s="1523"/>
    </row>
    <row r="133" spans="1:26" ht="12.75" customHeight="1">
      <c r="A133" s="1523"/>
      <c r="B133" s="1523"/>
      <c r="C133" s="1523"/>
      <c r="D133" s="1523"/>
      <c r="E133" s="1523"/>
      <c r="F133" s="1523"/>
      <c r="G133" s="1523"/>
      <c r="H133" s="1523"/>
      <c r="I133" s="1523"/>
      <c r="J133" s="1523"/>
      <c r="K133" s="1523"/>
      <c r="L133" s="1523"/>
      <c r="M133" s="1523"/>
      <c r="N133" s="1523"/>
      <c r="O133" s="1523"/>
      <c r="P133" s="1523"/>
      <c r="Q133" s="1523"/>
      <c r="R133" s="1523"/>
      <c r="S133" s="1523"/>
      <c r="T133" s="1523"/>
      <c r="U133" s="1523"/>
      <c r="V133" s="1523"/>
      <c r="W133" s="1523"/>
      <c r="X133" s="1523"/>
      <c r="Y133" s="1523"/>
      <c r="Z133" s="1523"/>
    </row>
    <row r="134" spans="1:26" ht="12.75" customHeight="1">
      <c r="A134" s="1523"/>
      <c r="B134" s="1523"/>
      <c r="C134" s="1523"/>
      <c r="D134" s="1523"/>
      <c r="E134" s="1523"/>
      <c r="F134" s="1523"/>
      <c r="G134" s="1523"/>
      <c r="H134" s="1523"/>
      <c r="I134" s="1523"/>
      <c r="J134" s="1523"/>
      <c r="K134" s="1523"/>
      <c r="L134" s="1523"/>
      <c r="M134" s="1523"/>
      <c r="N134" s="1523"/>
      <c r="O134" s="1523"/>
      <c r="P134" s="1523"/>
      <c r="Q134" s="1523"/>
      <c r="R134" s="1523"/>
      <c r="S134" s="1523"/>
      <c r="T134" s="1523"/>
      <c r="U134" s="1523"/>
      <c r="V134" s="1523"/>
      <c r="W134" s="1523"/>
      <c r="X134" s="1523"/>
      <c r="Y134" s="1523"/>
      <c r="Z134" s="1523"/>
    </row>
    <row r="135" spans="1:26" ht="12.75" customHeight="1">
      <c r="A135" s="1523"/>
      <c r="B135" s="1523"/>
      <c r="C135" s="1523"/>
      <c r="D135" s="1523"/>
      <c r="E135" s="1523"/>
      <c r="F135" s="1523"/>
      <c r="G135" s="1523"/>
      <c r="H135" s="1523"/>
      <c r="I135" s="1523"/>
      <c r="J135" s="1523"/>
      <c r="K135" s="1523"/>
      <c r="L135" s="1523"/>
      <c r="M135" s="1523"/>
      <c r="N135" s="1523"/>
      <c r="O135" s="1523"/>
      <c r="P135" s="1523"/>
      <c r="Q135" s="1523"/>
      <c r="R135" s="1523"/>
      <c r="S135" s="1523"/>
      <c r="T135" s="1523"/>
      <c r="U135" s="1523"/>
      <c r="V135" s="1523"/>
      <c r="W135" s="1523"/>
      <c r="X135" s="1523"/>
      <c r="Y135" s="1523"/>
      <c r="Z135" s="1523"/>
    </row>
    <row r="136" spans="1:26" ht="12.75" customHeight="1">
      <c r="A136" s="1523"/>
      <c r="B136" s="1523"/>
      <c r="C136" s="1523"/>
      <c r="D136" s="1523"/>
      <c r="E136" s="1523"/>
      <c r="F136" s="1523"/>
      <c r="G136" s="1523"/>
      <c r="H136" s="1523"/>
      <c r="I136" s="1523"/>
      <c r="J136" s="1523"/>
      <c r="K136" s="1523"/>
      <c r="L136" s="1523"/>
      <c r="M136" s="1523"/>
      <c r="N136" s="1523"/>
      <c r="O136" s="1523"/>
      <c r="P136" s="1523"/>
      <c r="Q136" s="1523"/>
      <c r="R136" s="1523"/>
      <c r="S136" s="1523"/>
      <c r="T136" s="1523"/>
      <c r="U136" s="1523"/>
      <c r="V136" s="1523"/>
      <c r="W136" s="1523"/>
      <c r="X136" s="1523"/>
      <c r="Y136" s="1523"/>
      <c r="Z136" s="1523"/>
    </row>
    <row r="137" spans="1:26" ht="12.75" customHeight="1">
      <c r="A137" s="1523"/>
      <c r="B137" s="1523"/>
      <c r="C137" s="1523"/>
      <c r="D137" s="1523"/>
      <c r="E137" s="1523"/>
      <c r="F137" s="1523"/>
      <c r="G137" s="1523"/>
      <c r="H137" s="1523"/>
      <c r="I137" s="1523"/>
      <c r="J137" s="1523"/>
      <c r="K137" s="1523"/>
      <c r="L137" s="1523"/>
      <c r="M137" s="1523"/>
      <c r="N137" s="1523"/>
      <c r="O137" s="1523"/>
      <c r="P137" s="1523"/>
      <c r="Q137" s="1523"/>
      <c r="R137" s="1523"/>
      <c r="S137" s="1523"/>
      <c r="T137" s="1523"/>
      <c r="U137" s="1523"/>
      <c r="V137" s="1523"/>
      <c r="W137" s="1523"/>
      <c r="X137" s="1523"/>
      <c r="Y137" s="1523"/>
      <c r="Z137" s="1523"/>
    </row>
    <row r="138" spans="1:26" ht="12.75" customHeight="1">
      <c r="A138" s="1523"/>
      <c r="B138" s="1523"/>
      <c r="C138" s="1523"/>
      <c r="D138" s="1523"/>
      <c r="E138" s="1523"/>
      <c r="F138" s="1523"/>
      <c r="G138" s="1523"/>
      <c r="H138" s="1523"/>
      <c r="I138" s="1523"/>
      <c r="J138" s="1523"/>
      <c r="K138" s="1523"/>
      <c r="L138" s="1523"/>
      <c r="M138" s="1523"/>
      <c r="N138" s="1523"/>
      <c r="O138" s="1523"/>
      <c r="P138" s="1523"/>
      <c r="Q138" s="1523"/>
      <c r="R138" s="1523"/>
      <c r="S138" s="1523"/>
      <c r="T138" s="1523"/>
      <c r="U138" s="1523"/>
      <c r="V138" s="1523"/>
      <c r="W138" s="1523"/>
      <c r="X138" s="1523"/>
      <c r="Y138" s="1523"/>
      <c r="Z138" s="1523"/>
    </row>
    <row r="139" spans="1:26" ht="12.75" customHeight="1">
      <c r="A139" s="1523"/>
      <c r="B139" s="1523"/>
      <c r="C139" s="1523"/>
      <c r="D139" s="1523"/>
      <c r="E139" s="1523"/>
      <c r="F139" s="1523"/>
      <c r="G139" s="1523"/>
      <c r="H139" s="1523"/>
      <c r="I139" s="1523"/>
      <c r="J139" s="1523"/>
      <c r="K139" s="1523"/>
      <c r="L139" s="1523"/>
      <c r="M139" s="1523"/>
      <c r="N139" s="1523"/>
      <c r="O139" s="1523"/>
      <c r="P139" s="1523"/>
      <c r="Q139" s="1523"/>
      <c r="R139" s="1523"/>
      <c r="S139" s="1523"/>
      <c r="T139" s="1523"/>
      <c r="U139" s="1523"/>
      <c r="V139" s="1523"/>
      <c r="W139" s="1523"/>
      <c r="X139" s="1523"/>
      <c r="Y139" s="1523"/>
      <c r="Z139" s="1523"/>
    </row>
    <row r="140" spans="1:26" ht="12.75" customHeight="1">
      <c r="A140" s="1523"/>
      <c r="B140" s="1523"/>
      <c r="C140" s="1523"/>
      <c r="D140" s="1523"/>
      <c r="E140" s="1523"/>
      <c r="F140" s="1523"/>
      <c r="G140" s="1523"/>
      <c r="H140" s="1523"/>
      <c r="I140" s="1523"/>
      <c r="J140" s="1523"/>
      <c r="K140" s="1523"/>
      <c r="L140" s="1523"/>
      <c r="M140" s="1523"/>
      <c r="N140" s="1523"/>
      <c r="O140" s="1523"/>
      <c r="P140" s="1523"/>
      <c r="Q140" s="1523"/>
      <c r="R140" s="1523"/>
      <c r="S140" s="1523"/>
      <c r="T140" s="1523"/>
      <c r="U140" s="1523"/>
      <c r="V140" s="1523"/>
      <c r="W140" s="1523"/>
      <c r="X140" s="1523"/>
      <c r="Y140" s="1523"/>
      <c r="Z140" s="1523"/>
    </row>
    <row r="141" spans="1:26" ht="12.75" customHeight="1">
      <c r="A141" s="1523"/>
      <c r="B141" s="1523"/>
      <c r="C141" s="1523"/>
      <c r="D141" s="1523"/>
      <c r="E141" s="1523"/>
      <c r="F141" s="1523"/>
      <c r="G141" s="1523"/>
      <c r="H141" s="1523"/>
      <c r="I141" s="1523"/>
      <c r="J141" s="1523"/>
      <c r="K141" s="1523"/>
      <c r="L141" s="1523"/>
      <c r="M141" s="1523"/>
      <c r="N141" s="1523"/>
      <c r="O141" s="1523"/>
      <c r="P141" s="1523"/>
      <c r="Q141" s="1523"/>
      <c r="R141" s="1523"/>
      <c r="S141" s="1523"/>
      <c r="T141" s="1523"/>
      <c r="U141" s="1523"/>
      <c r="V141" s="1523"/>
      <c r="W141" s="1523"/>
      <c r="X141" s="1523"/>
      <c r="Y141" s="1523"/>
      <c r="Z141" s="1523"/>
    </row>
    <row r="142" spans="1:26" ht="12.75" customHeight="1">
      <c r="A142" s="1523"/>
      <c r="B142" s="1523"/>
      <c r="C142" s="1523"/>
      <c r="D142" s="1523"/>
      <c r="E142" s="1523"/>
      <c r="F142" s="1523"/>
      <c r="G142" s="1523"/>
      <c r="H142" s="1523"/>
      <c r="I142" s="1523"/>
      <c r="J142" s="1523"/>
      <c r="K142" s="1523"/>
      <c r="L142" s="1523"/>
      <c r="M142" s="1523"/>
      <c r="N142" s="1523"/>
      <c r="O142" s="1523"/>
      <c r="P142" s="1523"/>
      <c r="Q142" s="1523"/>
      <c r="R142" s="1523"/>
      <c r="S142" s="1523"/>
      <c r="T142" s="1523"/>
      <c r="U142" s="1523"/>
      <c r="V142" s="1523"/>
      <c r="W142" s="1523"/>
      <c r="X142" s="1523"/>
      <c r="Y142" s="1523"/>
      <c r="Z142" s="1523"/>
    </row>
    <row r="143" spans="1:26" ht="12.75" customHeight="1">
      <c r="A143" s="1523"/>
      <c r="B143" s="1523"/>
      <c r="C143" s="1523"/>
      <c r="D143" s="1523"/>
      <c r="E143" s="1523"/>
      <c r="F143" s="1523"/>
      <c r="G143" s="1523"/>
      <c r="H143" s="1523"/>
      <c r="I143" s="1523"/>
      <c r="J143" s="1523"/>
      <c r="K143" s="1523"/>
      <c r="L143" s="1523"/>
      <c r="M143" s="1523"/>
      <c r="N143" s="1523"/>
      <c r="O143" s="1523"/>
      <c r="P143" s="1523"/>
      <c r="Q143" s="1523"/>
      <c r="R143" s="1523"/>
      <c r="S143" s="1523"/>
      <c r="T143" s="1523"/>
      <c r="U143" s="1523"/>
      <c r="V143" s="1523"/>
      <c r="W143" s="1523"/>
      <c r="X143" s="1523"/>
      <c r="Y143" s="1523"/>
      <c r="Z143" s="1523"/>
    </row>
    <row r="144" spans="1:26" ht="12.75" customHeight="1">
      <c r="A144" s="1523"/>
      <c r="B144" s="1523"/>
      <c r="C144" s="1523"/>
      <c r="D144" s="1523"/>
      <c r="E144" s="1523"/>
      <c r="F144" s="1523"/>
      <c r="G144" s="1523"/>
      <c r="H144" s="1523"/>
      <c r="I144" s="1523"/>
      <c r="J144" s="1523"/>
      <c r="K144" s="1523"/>
      <c r="L144" s="1523"/>
      <c r="M144" s="1523"/>
      <c r="N144" s="1523"/>
      <c r="O144" s="1523"/>
      <c r="P144" s="1523"/>
      <c r="Q144" s="1523"/>
      <c r="R144" s="1523"/>
      <c r="S144" s="1523"/>
      <c r="T144" s="1523"/>
      <c r="U144" s="1523"/>
      <c r="V144" s="1523"/>
      <c r="W144" s="1523"/>
      <c r="X144" s="1523"/>
      <c r="Y144" s="1523"/>
      <c r="Z144" s="1523"/>
    </row>
    <row r="145" spans="1:26" ht="12.75" customHeight="1">
      <c r="A145" s="1523"/>
      <c r="B145" s="1523"/>
      <c r="C145" s="1523"/>
      <c r="D145" s="1523"/>
      <c r="E145" s="1523"/>
      <c r="F145" s="1523"/>
      <c r="G145" s="1523"/>
      <c r="H145" s="1523"/>
      <c r="I145" s="1523"/>
      <c r="J145" s="1523"/>
      <c r="K145" s="1523"/>
      <c r="L145" s="1523"/>
      <c r="M145" s="1523"/>
      <c r="N145" s="1523"/>
      <c r="O145" s="1523"/>
      <c r="P145" s="1523"/>
      <c r="Q145" s="1523"/>
      <c r="R145" s="1523"/>
      <c r="S145" s="1523"/>
      <c r="T145" s="1523"/>
      <c r="U145" s="1523"/>
      <c r="V145" s="1523"/>
      <c r="W145" s="1523"/>
      <c r="X145" s="1523"/>
      <c r="Y145" s="1523"/>
      <c r="Z145" s="1523"/>
    </row>
    <row r="146" spans="1:26" ht="12.75" customHeight="1">
      <c r="A146" s="1523"/>
      <c r="B146" s="1523"/>
      <c r="C146" s="1523"/>
      <c r="D146" s="1523"/>
      <c r="E146" s="1523"/>
      <c r="F146" s="1523"/>
      <c r="G146" s="1523"/>
      <c r="H146" s="1523"/>
      <c r="I146" s="1523"/>
      <c r="J146" s="1523"/>
      <c r="K146" s="1523"/>
      <c r="L146" s="1523"/>
      <c r="M146" s="1523"/>
      <c r="N146" s="1523"/>
      <c r="O146" s="1523"/>
      <c r="P146" s="1523"/>
      <c r="Q146" s="1523"/>
      <c r="R146" s="1523"/>
      <c r="S146" s="1523"/>
      <c r="T146" s="1523"/>
      <c r="U146" s="1523"/>
      <c r="V146" s="1523"/>
      <c r="W146" s="1523"/>
      <c r="X146" s="1523"/>
      <c r="Y146" s="1523"/>
      <c r="Z146" s="1523"/>
    </row>
    <row r="147" spans="1:26" ht="12.75" customHeight="1">
      <c r="A147" s="1523"/>
      <c r="B147" s="1523"/>
      <c r="C147" s="1523"/>
      <c r="D147" s="1523"/>
      <c r="E147" s="1523"/>
      <c r="F147" s="1523"/>
      <c r="G147" s="1523"/>
      <c r="H147" s="1523"/>
      <c r="I147" s="1523"/>
      <c r="J147" s="1523"/>
      <c r="K147" s="1523"/>
      <c r="L147" s="1523"/>
      <c r="M147" s="1523"/>
      <c r="N147" s="1523"/>
      <c r="O147" s="1523"/>
      <c r="P147" s="1523"/>
      <c r="Q147" s="1523"/>
      <c r="R147" s="1523"/>
      <c r="S147" s="1523"/>
      <c r="T147" s="1523"/>
      <c r="U147" s="1523"/>
      <c r="V147" s="1523"/>
      <c r="W147" s="1523"/>
      <c r="X147" s="1523"/>
      <c r="Y147" s="1523"/>
      <c r="Z147" s="1523"/>
    </row>
    <row r="148" spans="1:26" ht="12.75" customHeight="1">
      <c r="A148" s="1523"/>
      <c r="B148" s="1523"/>
      <c r="C148" s="1523"/>
      <c r="D148" s="1523"/>
      <c r="E148" s="1523"/>
      <c r="F148" s="1523"/>
      <c r="G148" s="1523"/>
      <c r="H148" s="1523"/>
      <c r="I148" s="1523"/>
      <c r="J148" s="1523"/>
      <c r="K148" s="1523"/>
      <c r="L148" s="1523"/>
      <c r="M148" s="1523"/>
      <c r="N148" s="1523"/>
      <c r="O148" s="1523"/>
      <c r="P148" s="1523"/>
      <c r="Q148" s="1523"/>
      <c r="R148" s="1523"/>
      <c r="S148" s="1523"/>
      <c r="T148" s="1523"/>
      <c r="U148" s="1523"/>
      <c r="V148" s="1523"/>
      <c r="W148" s="1523"/>
      <c r="X148" s="1523"/>
      <c r="Y148" s="1523"/>
      <c r="Z148" s="1523"/>
    </row>
    <row r="149" spans="1:26" ht="12.75" customHeight="1">
      <c r="A149" s="1523"/>
      <c r="B149" s="1523"/>
      <c r="C149" s="1523"/>
      <c r="D149" s="1523"/>
      <c r="E149" s="1523"/>
      <c r="F149" s="1523"/>
      <c r="G149" s="1523"/>
      <c r="H149" s="1523"/>
      <c r="I149" s="1523"/>
      <c r="J149" s="1523"/>
      <c r="K149" s="1523"/>
      <c r="L149" s="1523"/>
      <c r="M149" s="1523"/>
      <c r="N149" s="1523"/>
      <c r="O149" s="1523"/>
      <c r="P149" s="1523"/>
      <c r="Q149" s="1523"/>
      <c r="R149" s="1523"/>
      <c r="S149" s="1523"/>
      <c r="T149" s="1523"/>
      <c r="U149" s="1523"/>
      <c r="V149" s="1523"/>
      <c r="W149" s="1523"/>
      <c r="X149" s="1523"/>
      <c r="Y149" s="1523"/>
      <c r="Z149" s="1523"/>
    </row>
    <row r="150" spans="1:26" ht="12.75" customHeight="1">
      <c r="A150" s="1523"/>
      <c r="B150" s="1523"/>
      <c r="C150" s="1523"/>
      <c r="D150" s="1523"/>
      <c r="E150" s="1523"/>
      <c r="F150" s="1523"/>
      <c r="G150" s="1523"/>
      <c r="H150" s="1523"/>
      <c r="I150" s="1523"/>
      <c r="J150" s="1523"/>
      <c r="K150" s="1523"/>
      <c r="L150" s="1523"/>
      <c r="M150" s="1523"/>
      <c r="N150" s="1523"/>
      <c r="O150" s="1523"/>
      <c r="P150" s="1523"/>
      <c r="Q150" s="1523"/>
      <c r="R150" s="1523"/>
      <c r="S150" s="1523"/>
      <c r="T150" s="1523"/>
      <c r="U150" s="1523"/>
      <c r="V150" s="1523"/>
      <c r="W150" s="1523"/>
      <c r="X150" s="1523"/>
      <c r="Y150" s="1523"/>
      <c r="Z150" s="1523"/>
    </row>
    <row r="151" spans="1:26" ht="12.75" customHeight="1">
      <c r="A151" s="1523"/>
      <c r="B151" s="1523"/>
      <c r="C151" s="1523"/>
      <c r="D151" s="1523"/>
      <c r="E151" s="1523"/>
      <c r="F151" s="1523"/>
      <c r="G151" s="1523"/>
      <c r="H151" s="1523"/>
      <c r="I151" s="1523"/>
      <c r="J151" s="1523"/>
      <c r="K151" s="1523"/>
      <c r="L151" s="1523"/>
      <c r="M151" s="1523"/>
      <c r="N151" s="1523"/>
      <c r="O151" s="1523"/>
      <c r="P151" s="1523"/>
      <c r="Q151" s="1523"/>
      <c r="R151" s="1523"/>
      <c r="S151" s="1523"/>
      <c r="T151" s="1523"/>
      <c r="U151" s="1523"/>
      <c r="V151" s="1523"/>
      <c r="W151" s="1523"/>
      <c r="X151" s="1523"/>
      <c r="Y151" s="1523"/>
      <c r="Z151" s="1523"/>
    </row>
    <row r="152" spans="1:26" ht="12.75" customHeight="1">
      <c r="A152" s="1523"/>
      <c r="B152" s="1523"/>
      <c r="C152" s="1523"/>
      <c r="D152" s="1523"/>
      <c r="E152" s="1523"/>
      <c r="F152" s="1523"/>
      <c r="G152" s="1523"/>
      <c r="H152" s="1523"/>
      <c r="I152" s="1523"/>
      <c r="J152" s="1523"/>
      <c r="K152" s="1523"/>
      <c r="L152" s="1523"/>
      <c r="M152" s="1523"/>
      <c r="N152" s="1523"/>
      <c r="O152" s="1523"/>
      <c r="P152" s="1523"/>
      <c r="Q152" s="1523"/>
      <c r="R152" s="1523"/>
      <c r="S152" s="1523"/>
      <c r="T152" s="1523"/>
      <c r="U152" s="1523"/>
      <c r="V152" s="1523"/>
      <c r="W152" s="1523"/>
      <c r="X152" s="1523"/>
      <c r="Y152" s="1523"/>
      <c r="Z152" s="1523"/>
    </row>
    <row r="153" spans="1:26" ht="12.75" customHeight="1">
      <c r="A153" s="1523"/>
      <c r="B153" s="1523"/>
      <c r="C153" s="1523"/>
      <c r="D153" s="1523"/>
      <c r="E153" s="1523"/>
      <c r="F153" s="1523"/>
      <c r="G153" s="1523"/>
      <c r="H153" s="1523"/>
      <c r="I153" s="1523"/>
      <c r="J153" s="1523"/>
      <c r="K153" s="1523"/>
      <c r="L153" s="1523"/>
      <c r="M153" s="1523"/>
      <c r="N153" s="1523"/>
      <c r="O153" s="1523"/>
      <c r="P153" s="1523"/>
      <c r="Q153" s="1523"/>
      <c r="R153" s="1523"/>
      <c r="S153" s="1523"/>
      <c r="T153" s="1523"/>
      <c r="U153" s="1523"/>
      <c r="V153" s="1523"/>
      <c r="W153" s="1523"/>
      <c r="X153" s="1523"/>
      <c r="Y153" s="1523"/>
      <c r="Z153" s="1523"/>
    </row>
    <row r="154" spans="1:26" ht="12.75" customHeight="1">
      <c r="A154" s="1523"/>
      <c r="B154" s="1523"/>
      <c r="C154" s="1523"/>
      <c r="D154" s="1523"/>
      <c r="E154" s="1523"/>
      <c r="F154" s="1523"/>
      <c r="G154" s="1523"/>
      <c r="H154" s="1523"/>
      <c r="I154" s="1523"/>
      <c r="J154" s="1523"/>
      <c r="K154" s="1523"/>
      <c r="L154" s="1523"/>
      <c r="M154" s="1523"/>
      <c r="N154" s="1523"/>
      <c r="O154" s="1523"/>
      <c r="P154" s="1523"/>
      <c r="Q154" s="1523"/>
      <c r="R154" s="1523"/>
      <c r="S154" s="1523"/>
      <c r="T154" s="1523"/>
      <c r="U154" s="1523"/>
      <c r="V154" s="1523"/>
      <c r="W154" s="1523"/>
      <c r="X154" s="1523"/>
      <c r="Y154" s="1523"/>
      <c r="Z154" s="1523"/>
    </row>
    <row r="155" spans="1:26" ht="12.75" customHeight="1">
      <c r="A155" s="1523"/>
      <c r="B155" s="1523"/>
      <c r="C155" s="1523"/>
      <c r="D155" s="1523"/>
      <c r="E155" s="1523"/>
      <c r="F155" s="1523"/>
      <c r="G155" s="1523"/>
      <c r="H155" s="1523"/>
      <c r="I155" s="1523"/>
      <c r="J155" s="1523"/>
      <c r="K155" s="1523"/>
      <c r="L155" s="1523"/>
      <c r="M155" s="1523"/>
      <c r="N155" s="1523"/>
      <c r="O155" s="1523"/>
      <c r="P155" s="1523"/>
      <c r="Q155" s="1523"/>
      <c r="R155" s="1523"/>
      <c r="S155" s="1523"/>
      <c r="T155" s="1523"/>
      <c r="U155" s="1523"/>
      <c r="V155" s="1523"/>
      <c r="W155" s="1523"/>
      <c r="X155" s="1523"/>
      <c r="Y155" s="1523"/>
      <c r="Z155" s="1523"/>
    </row>
    <row r="156" spans="1:26" ht="12.75" customHeight="1">
      <c r="A156" s="1523"/>
      <c r="B156" s="1523"/>
      <c r="C156" s="1523"/>
      <c r="D156" s="1523"/>
      <c r="E156" s="1523"/>
      <c r="F156" s="1523"/>
      <c r="G156" s="1523"/>
      <c r="H156" s="1523"/>
      <c r="I156" s="1523"/>
      <c r="J156" s="1523"/>
      <c r="K156" s="1523"/>
      <c r="L156" s="1523"/>
      <c r="M156" s="1523"/>
      <c r="N156" s="1523"/>
      <c r="O156" s="1523"/>
      <c r="P156" s="1523"/>
      <c r="Q156" s="1523"/>
      <c r="R156" s="1523"/>
      <c r="S156" s="1523"/>
      <c r="T156" s="1523"/>
      <c r="U156" s="1523"/>
      <c r="V156" s="1523"/>
      <c r="W156" s="1523"/>
      <c r="X156" s="1523"/>
      <c r="Y156" s="1523"/>
      <c r="Z156" s="1523"/>
    </row>
    <row r="157" spans="1:26" ht="12.75" customHeight="1">
      <c r="A157" s="1523"/>
      <c r="B157" s="1523"/>
      <c r="C157" s="1523"/>
      <c r="D157" s="1523"/>
      <c r="E157" s="1523"/>
      <c r="F157" s="1523"/>
      <c r="G157" s="1523"/>
      <c r="H157" s="1523"/>
      <c r="I157" s="1523"/>
      <c r="J157" s="1523"/>
      <c r="K157" s="1523"/>
      <c r="L157" s="1523"/>
      <c r="M157" s="1523"/>
      <c r="N157" s="1523"/>
      <c r="O157" s="1523"/>
      <c r="P157" s="1523"/>
      <c r="Q157" s="1523"/>
      <c r="R157" s="1523"/>
      <c r="S157" s="1523"/>
      <c r="T157" s="1523"/>
      <c r="U157" s="1523"/>
      <c r="V157" s="1523"/>
      <c r="W157" s="1523"/>
      <c r="X157" s="1523"/>
      <c r="Y157" s="1523"/>
      <c r="Z157" s="1523"/>
    </row>
    <row r="158" spans="1:26" ht="12.75" customHeight="1">
      <c r="A158" s="1523"/>
      <c r="B158" s="1523"/>
      <c r="C158" s="1523"/>
      <c r="D158" s="1523"/>
      <c r="E158" s="1523"/>
      <c r="F158" s="1523"/>
      <c r="G158" s="1523"/>
      <c r="H158" s="1523"/>
      <c r="I158" s="1523"/>
      <c r="J158" s="1523"/>
      <c r="K158" s="1523"/>
      <c r="L158" s="1523"/>
      <c r="M158" s="1523"/>
      <c r="N158" s="1523"/>
      <c r="O158" s="1523"/>
      <c r="P158" s="1523"/>
      <c r="Q158" s="1523"/>
      <c r="R158" s="1523"/>
      <c r="S158" s="1523"/>
      <c r="T158" s="1523"/>
      <c r="U158" s="1523"/>
      <c r="V158" s="1523"/>
      <c r="W158" s="1523"/>
      <c r="X158" s="1523"/>
      <c r="Y158" s="1523"/>
      <c r="Z158" s="1523"/>
    </row>
    <row r="159" spans="1:26" ht="12.75" customHeight="1">
      <c r="A159" s="1523"/>
      <c r="B159" s="1523"/>
      <c r="C159" s="1523"/>
      <c r="D159" s="1523"/>
      <c r="E159" s="1523"/>
      <c r="F159" s="1523"/>
      <c r="G159" s="1523"/>
      <c r="H159" s="1523"/>
      <c r="I159" s="1523"/>
      <c r="J159" s="1523"/>
      <c r="K159" s="1523"/>
      <c r="L159" s="1523"/>
      <c r="M159" s="1523"/>
      <c r="N159" s="1523"/>
      <c r="O159" s="1523"/>
      <c r="P159" s="1523"/>
      <c r="Q159" s="1523"/>
      <c r="R159" s="1523"/>
      <c r="S159" s="1523"/>
      <c r="T159" s="1523"/>
      <c r="U159" s="1523"/>
      <c r="V159" s="1523"/>
      <c r="W159" s="1523"/>
      <c r="X159" s="1523"/>
      <c r="Y159" s="1523"/>
      <c r="Z159" s="1523"/>
    </row>
    <row r="160" spans="1:26" ht="12.75" customHeight="1">
      <c r="A160" s="1523"/>
      <c r="B160" s="1523"/>
      <c r="C160" s="1523"/>
      <c r="D160" s="1523"/>
      <c r="E160" s="1523"/>
      <c r="F160" s="1523"/>
      <c r="G160" s="1523"/>
      <c r="H160" s="1523"/>
      <c r="I160" s="1523"/>
      <c r="J160" s="1523"/>
      <c r="K160" s="1523"/>
      <c r="L160" s="1523"/>
      <c r="M160" s="1523"/>
      <c r="N160" s="1523"/>
      <c r="O160" s="1523"/>
      <c r="P160" s="1523"/>
      <c r="Q160" s="1523"/>
      <c r="R160" s="1523"/>
      <c r="S160" s="1523"/>
      <c r="T160" s="1523"/>
      <c r="U160" s="1523"/>
      <c r="V160" s="1523"/>
      <c r="W160" s="1523"/>
      <c r="X160" s="1523"/>
      <c r="Y160" s="1523"/>
      <c r="Z160" s="1523"/>
    </row>
    <row r="161" spans="1:26" ht="12.75" customHeight="1">
      <c r="A161" s="1523"/>
      <c r="B161" s="1523"/>
      <c r="C161" s="1523"/>
      <c r="D161" s="1523"/>
      <c r="E161" s="1523"/>
      <c r="F161" s="1523"/>
      <c r="G161" s="1523"/>
      <c r="H161" s="1523"/>
      <c r="I161" s="1523"/>
      <c r="J161" s="1523"/>
      <c r="K161" s="1523"/>
      <c r="L161" s="1523"/>
      <c r="M161" s="1523"/>
      <c r="N161" s="1523"/>
      <c r="O161" s="1523"/>
      <c r="P161" s="1523"/>
      <c r="Q161" s="1523"/>
      <c r="R161" s="1523"/>
      <c r="S161" s="1523"/>
      <c r="T161" s="1523"/>
      <c r="U161" s="1523"/>
      <c r="V161" s="1523"/>
      <c r="W161" s="1523"/>
      <c r="X161" s="1523"/>
      <c r="Y161" s="1523"/>
      <c r="Z161" s="1523"/>
    </row>
    <row r="162" spans="1:26" ht="12.75" customHeight="1">
      <c r="A162" s="1523"/>
      <c r="B162" s="1523"/>
      <c r="C162" s="1523"/>
      <c r="D162" s="1523"/>
      <c r="E162" s="1523"/>
      <c r="F162" s="1523"/>
      <c r="G162" s="1523"/>
      <c r="H162" s="1523"/>
      <c r="I162" s="1523"/>
      <c r="J162" s="1523"/>
      <c r="K162" s="1523"/>
      <c r="L162" s="1523"/>
      <c r="M162" s="1523"/>
      <c r="N162" s="1523"/>
      <c r="O162" s="1523"/>
      <c r="P162" s="1523"/>
      <c r="Q162" s="1523"/>
      <c r="R162" s="1523"/>
      <c r="S162" s="1523"/>
      <c r="T162" s="1523"/>
      <c r="U162" s="1523"/>
      <c r="V162" s="1523"/>
      <c r="W162" s="1523"/>
      <c r="X162" s="1523"/>
      <c r="Y162" s="1523"/>
      <c r="Z162" s="1523"/>
    </row>
    <row r="163" spans="1:26" ht="12.75" customHeight="1">
      <c r="A163" s="1523"/>
      <c r="B163" s="1523"/>
      <c r="C163" s="1523"/>
      <c r="D163" s="1523"/>
      <c r="E163" s="1523"/>
      <c r="F163" s="1523"/>
      <c r="G163" s="1523"/>
      <c r="H163" s="1523"/>
      <c r="I163" s="1523"/>
      <c r="J163" s="1523"/>
      <c r="K163" s="1523"/>
      <c r="L163" s="1523"/>
      <c r="M163" s="1523"/>
      <c r="N163" s="1523"/>
      <c r="O163" s="1523"/>
      <c r="P163" s="1523"/>
      <c r="Q163" s="1523"/>
      <c r="R163" s="1523"/>
      <c r="S163" s="1523"/>
      <c r="T163" s="1523"/>
      <c r="U163" s="1523"/>
      <c r="V163" s="1523"/>
      <c r="W163" s="1523"/>
      <c r="X163" s="1523"/>
      <c r="Y163" s="1523"/>
      <c r="Z163" s="1523"/>
    </row>
    <row r="164" spans="1:26" ht="12.75" customHeight="1">
      <c r="A164" s="1523"/>
      <c r="B164" s="1523"/>
      <c r="C164" s="1523"/>
      <c r="D164" s="1523"/>
      <c r="E164" s="1523"/>
      <c r="F164" s="1523"/>
      <c r="G164" s="1523"/>
      <c r="H164" s="1523"/>
      <c r="I164" s="1523"/>
      <c r="J164" s="1523"/>
      <c r="K164" s="1523"/>
      <c r="L164" s="1523"/>
      <c r="M164" s="1523"/>
      <c r="N164" s="1523"/>
      <c r="O164" s="1523"/>
      <c r="P164" s="1523"/>
      <c r="Q164" s="1523"/>
      <c r="R164" s="1523"/>
      <c r="S164" s="1523"/>
      <c r="T164" s="1523"/>
      <c r="U164" s="1523"/>
      <c r="V164" s="1523"/>
      <c r="W164" s="1523"/>
      <c r="X164" s="1523"/>
      <c r="Y164" s="1523"/>
      <c r="Z164" s="1523"/>
    </row>
    <row r="165" spans="1:26" ht="12.75" customHeight="1">
      <c r="A165" s="1523"/>
      <c r="B165" s="1523"/>
      <c r="C165" s="1523"/>
      <c r="D165" s="1523"/>
      <c r="E165" s="1523"/>
      <c r="F165" s="1523"/>
      <c r="G165" s="1523"/>
      <c r="H165" s="1523"/>
      <c r="I165" s="1523"/>
      <c r="J165" s="1523"/>
      <c r="K165" s="1523"/>
      <c r="L165" s="1523"/>
      <c r="M165" s="1523"/>
      <c r="N165" s="1523"/>
      <c r="O165" s="1523"/>
      <c r="P165" s="1523"/>
      <c r="Q165" s="1523"/>
      <c r="R165" s="1523"/>
      <c r="S165" s="1523"/>
      <c r="T165" s="1523"/>
      <c r="U165" s="1523"/>
      <c r="V165" s="1523"/>
      <c r="W165" s="1523"/>
      <c r="X165" s="1523"/>
      <c r="Y165" s="1523"/>
      <c r="Z165" s="1523"/>
    </row>
    <row r="166" spans="1:26" ht="12.75" customHeight="1">
      <c r="A166" s="1523"/>
      <c r="B166" s="1523"/>
      <c r="C166" s="1523"/>
      <c r="D166" s="1523"/>
      <c r="E166" s="1523"/>
      <c r="F166" s="1523"/>
      <c r="G166" s="1523"/>
      <c r="H166" s="1523"/>
      <c r="I166" s="1523"/>
      <c r="J166" s="1523"/>
      <c r="K166" s="1523"/>
      <c r="L166" s="1523"/>
      <c r="M166" s="1523"/>
      <c r="N166" s="1523"/>
      <c r="O166" s="1523"/>
      <c r="P166" s="1523"/>
      <c r="Q166" s="1523"/>
      <c r="R166" s="1523"/>
      <c r="S166" s="1523"/>
      <c r="T166" s="1523"/>
      <c r="U166" s="1523"/>
      <c r="V166" s="1523"/>
      <c r="W166" s="1523"/>
      <c r="X166" s="1523"/>
      <c r="Y166" s="1523"/>
      <c r="Z166" s="1523"/>
    </row>
    <row r="167" spans="1:26" ht="12.75" customHeight="1">
      <c r="A167" s="1523"/>
      <c r="B167" s="1523"/>
      <c r="C167" s="1523"/>
      <c r="D167" s="1523"/>
      <c r="E167" s="1523"/>
      <c r="F167" s="1523"/>
      <c r="G167" s="1523"/>
      <c r="H167" s="1523"/>
      <c r="I167" s="1523"/>
      <c r="J167" s="1523"/>
      <c r="K167" s="1523"/>
      <c r="L167" s="1523"/>
      <c r="M167" s="1523"/>
      <c r="N167" s="1523"/>
      <c r="O167" s="1523"/>
      <c r="P167" s="1523"/>
      <c r="Q167" s="1523"/>
      <c r="R167" s="1523"/>
      <c r="S167" s="1523"/>
      <c r="T167" s="1523"/>
      <c r="U167" s="1523"/>
      <c r="V167" s="1523"/>
      <c r="W167" s="1523"/>
      <c r="X167" s="1523"/>
      <c r="Y167" s="1523"/>
      <c r="Z167" s="1523"/>
    </row>
    <row r="168" spans="1:26" ht="12.75" customHeight="1">
      <c r="A168" s="1523"/>
      <c r="B168" s="1523"/>
      <c r="C168" s="1523"/>
      <c r="D168" s="1523"/>
      <c r="E168" s="1523"/>
      <c r="F168" s="1523"/>
      <c r="G168" s="1523"/>
      <c r="H168" s="1523"/>
      <c r="I168" s="1523"/>
      <c r="J168" s="1523"/>
      <c r="K168" s="1523"/>
      <c r="L168" s="1523"/>
      <c r="M168" s="1523"/>
      <c r="N168" s="1523"/>
      <c r="O168" s="1523"/>
      <c r="P168" s="1523"/>
      <c r="Q168" s="1523"/>
      <c r="R168" s="1523"/>
      <c r="S168" s="1523"/>
      <c r="T168" s="1523"/>
      <c r="U168" s="1523"/>
      <c r="V168" s="1523"/>
      <c r="W168" s="1523"/>
      <c r="X168" s="1523"/>
      <c r="Y168" s="1523"/>
      <c r="Z168" s="1523"/>
    </row>
    <row r="169" spans="1:26" ht="12.75" customHeight="1">
      <c r="A169" s="1523"/>
      <c r="B169" s="1523"/>
      <c r="C169" s="1523"/>
      <c r="D169" s="1523"/>
      <c r="E169" s="1523"/>
      <c r="F169" s="1523"/>
      <c r="G169" s="1523"/>
      <c r="H169" s="1523"/>
      <c r="I169" s="1523"/>
      <c r="J169" s="1523"/>
      <c r="K169" s="1523"/>
      <c r="L169" s="1523"/>
      <c r="M169" s="1523"/>
      <c r="N169" s="1523"/>
      <c r="O169" s="1523"/>
      <c r="P169" s="1523"/>
      <c r="Q169" s="1523"/>
      <c r="R169" s="1523"/>
      <c r="S169" s="1523"/>
      <c r="T169" s="1523"/>
      <c r="U169" s="1523"/>
      <c r="V169" s="1523"/>
      <c r="W169" s="1523"/>
      <c r="X169" s="1523"/>
      <c r="Y169" s="1523"/>
      <c r="Z169" s="1523"/>
    </row>
    <row r="170" spans="1:26" ht="12.75" customHeight="1">
      <c r="A170" s="1523"/>
      <c r="B170" s="1523"/>
      <c r="C170" s="1523"/>
      <c r="D170" s="1523"/>
      <c r="E170" s="1523"/>
      <c r="F170" s="1523"/>
      <c r="G170" s="1523"/>
      <c r="H170" s="1523"/>
      <c r="I170" s="1523"/>
      <c r="J170" s="1523"/>
      <c r="K170" s="1523"/>
      <c r="L170" s="1523"/>
      <c r="M170" s="1523"/>
      <c r="N170" s="1523"/>
      <c r="O170" s="1523"/>
      <c r="P170" s="1523"/>
      <c r="Q170" s="1523"/>
      <c r="R170" s="1523"/>
      <c r="S170" s="1523"/>
      <c r="T170" s="1523"/>
      <c r="U170" s="1523"/>
      <c r="V170" s="1523"/>
      <c r="W170" s="1523"/>
      <c r="X170" s="1523"/>
      <c r="Y170" s="1523"/>
      <c r="Z170" s="1523"/>
    </row>
    <row r="171" spans="1:26" ht="12.75" customHeight="1">
      <c r="A171" s="1523"/>
      <c r="B171" s="1523"/>
      <c r="C171" s="1523"/>
      <c r="D171" s="1523"/>
      <c r="E171" s="1523"/>
      <c r="F171" s="1523"/>
      <c r="G171" s="1523"/>
      <c r="H171" s="1523"/>
      <c r="I171" s="1523"/>
      <c r="J171" s="1523"/>
      <c r="K171" s="1523"/>
      <c r="L171" s="1523"/>
      <c r="M171" s="1523"/>
      <c r="N171" s="1523"/>
      <c r="O171" s="1523"/>
      <c r="P171" s="1523"/>
      <c r="Q171" s="1523"/>
      <c r="R171" s="1523"/>
      <c r="S171" s="1523"/>
      <c r="T171" s="1523"/>
      <c r="U171" s="1523"/>
      <c r="V171" s="1523"/>
      <c r="W171" s="1523"/>
      <c r="X171" s="1523"/>
      <c r="Y171" s="1523"/>
      <c r="Z171" s="1523"/>
    </row>
    <row r="172" spans="1:26" ht="12.75" customHeight="1">
      <c r="A172" s="1523"/>
      <c r="B172" s="1523"/>
      <c r="C172" s="1523"/>
      <c r="D172" s="1523"/>
      <c r="E172" s="1523"/>
      <c r="F172" s="1523"/>
      <c r="G172" s="1523"/>
      <c r="H172" s="1523"/>
      <c r="I172" s="1523"/>
      <c r="J172" s="1523"/>
      <c r="K172" s="1523"/>
      <c r="L172" s="1523"/>
      <c r="M172" s="1523"/>
      <c r="N172" s="1523"/>
      <c r="O172" s="1523"/>
      <c r="P172" s="1523"/>
      <c r="Q172" s="1523"/>
      <c r="R172" s="1523"/>
      <c r="S172" s="1523"/>
      <c r="T172" s="1523"/>
      <c r="U172" s="1523"/>
      <c r="V172" s="1523"/>
      <c r="W172" s="1523"/>
      <c r="X172" s="1523"/>
      <c r="Y172" s="1523"/>
      <c r="Z172" s="1523"/>
    </row>
    <row r="173" spans="1:26" ht="12.75" customHeight="1">
      <c r="A173" s="1523"/>
      <c r="B173" s="1523"/>
      <c r="C173" s="1523"/>
      <c r="D173" s="1523"/>
      <c r="E173" s="1523"/>
      <c r="F173" s="1523"/>
      <c r="G173" s="1523"/>
      <c r="H173" s="1523"/>
      <c r="I173" s="1523"/>
      <c r="J173" s="1523"/>
      <c r="K173" s="1523"/>
      <c r="L173" s="1523"/>
      <c r="M173" s="1523"/>
      <c r="N173" s="1523"/>
      <c r="O173" s="1523"/>
      <c r="P173" s="1523"/>
      <c r="Q173" s="1523"/>
      <c r="R173" s="1523"/>
      <c r="S173" s="1523"/>
      <c r="T173" s="1523"/>
      <c r="U173" s="1523"/>
      <c r="V173" s="1523"/>
      <c r="W173" s="1523"/>
      <c r="X173" s="1523"/>
      <c r="Y173" s="1523"/>
      <c r="Z173" s="1523"/>
    </row>
    <row r="174" spans="1:26" ht="12.75" customHeight="1">
      <c r="A174" s="1523"/>
      <c r="B174" s="1523"/>
      <c r="C174" s="1523"/>
      <c r="D174" s="1523"/>
      <c r="E174" s="1523"/>
      <c r="F174" s="1523"/>
      <c r="G174" s="1523"/>
      <c r="H174" s="1523"/>
      <c r="I174" s="1523"/>
      <c r="J174" s="1523"/>
      <c r="K174" s="1523"/>
      <c r="L174" s="1523"/>
      <c r="M174" s="1523"/>
      <c r="N174" s="1523"/>
      <c r="O174" s="1523"/>
      <c r="P174" s="1523"/>
      <c r="Q174" s="1523"/>
      <c r="R174" s="1523"/>
      <c r="S174" s="1523"/>
      <c r="T174" s="1523"/>
      <c r="U174" s="1523"/>
      <c r="V174" s="1523"/>
      <c r="W174" s="1523"/>
      <c r="X174" s="1523"/>
      <c r="Y174" s="1523"/>
      <c r="Z174" s="1523"/>
    </row>
    <row r="175" spans="1:26" ht="12.75" customHeight="1">
      <c r="A175" s="1523"/>
      <c r="B175" s="1523"/>
      <c r="C175" s="1523"/>
      <c r="D175" s="1523"/>
      <c r="E175" s="1523"/>
      <c r="F175" s="1523"/>
      <c r="G175" s="1523"/>
      <c r="H175" s="1523"/>
      <c r="I175" s="1523"/>
      <c r="J175" s="1523"/>
      <c r="K175" s="1523"/>
      <c r="L175" s="1523"/>
      <c r="M175" s="1523"/>
      <c r="N175" s="1523"/>
      <c r="O175" s="1523"/>
      <c r="P175" s="1523"/>
      <c r="Q175" s="1523"/>
      <c r="R175" s="1523"/>
      <c r="S175" s="1523"/>
      <c r="T175" s="1523"/>
      <c r="U175" s="1523"/>
      <c r="V175" s="1523"/>
      <c r="W175" s="1523"/>
      <c r="X175" s="1523"/>
      <c r="Y175" s="1523"/>
      <c r="Z175" s="1523"/>
    </row>
    <row r="176" spans="1:26" ht="12.75" customHeight="1">
      <c r="A176" s="1523"/>
      <c r="B176" s="1523"/>
      <c r="C176" s="1523"/>
      <c r="D176" s="1523"/>
      <c r="E176" s="1523"/>
      <c r="F176" s="1523"/>
      <c r="G176" s="1523"/>
      <c r="H176" s="1523"/>
      <c r="I176" s="1523"/>
      <c r="J176" s="1523"/>
      <c r="K176" s="1523"/>
      <c r="L176" s="1523"/>
      <c r="M176" s="1523"/>
      <c r="N176" s="1523"/>
      <c r="O176" s="1523"/>
      <c r="P176" s="1523"/>
      <c r="Q176" s="1523"/>
      <c r="R176" s="1523"/>
      <c r="S176" s="1523"/>
      <c r="T176" s="1523"/>
      <c r="U176" s="1523"/>
      <c r="V176" s="1523"/>
      <c r="W176" s="1523"/>
      <c r="X176" s="1523"/>
      <c r="Y176" s="1523"/>
      <c r="Z176" s="1523"/>
    </row>
    <row r="177" spans="1:26" ht="12.75" customHeight="1">
      <c r="A177" s="1523"/>
      <c r="B177" s="1523"/>
      <c r="C177" s="1523"/>
      <c r="D177" s="1523"/>
      <c r="E177" s="1523"/>
      <c r="F177" s="1523"/>
      <c r="G177" s="1523"/>
      <c r="H177" s="1523"/>
      <c r="I177" s="1523"/>
      <c r="J177" s="1523"/>
      <c r="K177" s="1523"/>
      <c r="L177" s="1523"/>
      <c r="M177" s="1523"/>
      <c r="N177" s="1523"/>
      <c r="O177" s="1523"/>
      <c r="P177" s="1523"/>
      <c r="Q177" s="1523"/>
      <c r="R177" s="1523"/>
      <c r="S177" s="1523"/>
      <c r="T177" s="1523"/>
      <c r="U177" s="1523"/>
      <c r="V177" s="1523"/>
      <c r="W177" s="1523"/>
      <c r="X177" s="1523"/>
      <c r="Y177" s="1523"/>
      <c r="Z177" s="1523"/>
    </row>
    <row r="178" spans="1:26" ht="12.75" customHeight="1">
      <c r="A178" s="1523"/>
      <c r="B178" s="1523"/>
      <c r="C178" s="1523"/>
      <c r="D178" s="1523"/>
      <c r="E178" s="1523"/>
      <c r="F178" s="1523"/>
      <c r="G178" s="1523"/>
      <c r="H178" s="1523"/>
      <c r="I178" s="1523"/>
      <c r="J178" s="1523"/>
      <c r="K178" s="1523"/>
      <c r="L178" s="1523"/>
      <c r="M178" s="1523"/>
      <c r="N178" s="1523"/>
      <c r="O178" s="1523"/>
      <c r="P178" s="1523"/>
      <c r="Q178" s="1523"/>
      <c r="R178" s="1523"/>
      <c r="S178" s="1523"/>
      <c r="T178" s="1523"/>
      <c r="U178" s="1523"/>
      <c r="V178" s="1523"/>
      <c r="W178" s="1523"/>
      <c r="X178" s="1523"/>
      <c r="Y178" s="1523"/>
      <c r="Z178" s="1523"/>
    </row>
    <row r="179" spans="1:26" ht="12.75" customHeight="1">
      <c r="A179" s="1523"/>
      <c r="B179" s="1523"/>
      <c r="C179" s="1523"/>
      <c r="D179" s="1523"/>
      <c r="E179" s="1523"/>
      <c r="F179" s="1523"/>
      <c r="G179" s="1523"/>
      <c r="H179" s="1523"/>
      <c r="I179" s="1523"/>
      <c r="J179" s="1523"/>
      <c r="K179" s="1523"/>
      <c r="L179" s="1523"/>
      <c r="M179" s="1523"/>
      <c r="N179" s="1523"/>
      <c r="O179" s="1523"/>
      <c r="P179" s="1523"/>
      <c r="Q179" s="1523"/>
      <c r="R179" s="1523"/>
      <c r="S179" s="1523"/>
      <c r="T179" s="1523"/>
      <c r="U179" s="1523"/>
      <c r="V179" s="1523"/>
      <c r="W179" s="1523"/>
      <c r="X179" s="1523"/>
      <c r="Y179" s="1523"/>
      <c r="Z179" s="1523"/>
    </row>
    <row r="180" spans="1:26" ht="12.75" customHeight="1">
      <c r="A180" s="1523"/>
      <c r="B180" s="1523"/>
      <c r="C180" s="1523"/>
      <c r="D180" s="1523"/>
      <c r="E180" s="1523"/>
      <c r="F180" s="1523"/>
      <c r="G180" s="1523"/>
      <c r="H180" s="1523"/>
      <c r="I180" s="1523"/>
      <c r="J180" s="1523"/>
      <c r="K180" s="1523"/>
      <c r="L180" s="1523"/>
      <c r="M180" s="1523"/>
      <c r="N180" s="1523"/>
      <c r="O180" s="1523"/>
      <c r="P180" s="1523"/>
      <c r="Q180" s="1523"/>
      <c r="R180" s="1523"/>
      <c r="S180" s="1523"/>
      <c r="T180" s="1523"/>
      <c r="U180" s="1523"/>
      <c r="V180" s="1523"/>
      <c r="W180" s="1523"/>
      <c r="X180" s="1523"/>
      <c r="Y180" s="1523"/>
      <c r="Z180" s="1523"/>
    </row>
    <row r="181" spans="1:26" ht="12.75" customHeight="1">
      <c r="A181" s="1523"/>
      <c r="B181" s="1523"/>
      <c r="C181" s="1523"/>
      <c r="D181" s="1523"/>
      <c r="E181" s="1523"/>
      <c r="F181" s="1523"/>
      <c r="G181" s="1523"/>
      <c r="H181" s="1523"/>
      <c r="I181" s="1523"/>
      <c r="J181" s="1523"/>
      <c r="K181" s="1523"/>
      <c r="L181" s="1523"/>
      <c r="M181" s="1523"/>
      <c r="N181" s="1523"/>
      <c r="O181" s="1523"/>
      <c r="P181" s="1523"/>
      <c r="Q181" s="1523"/>
      <c r="R181" s="1523"/>
      <c r="S181" s="1523"/>
      <c r="T181" s="1523"/>
      <c r="U181" s="1523"/>
      <c r="V181" s="1523"/>
      <c r="W181" s="1523"/>
      <c r="X181" s="1523"/>
      <c r="Y181" s="1523"/>
      <c r="Z181" s="1523"/>
    </row>
    <row r="182" spans="1:26" ht="12.75" customHeight="1">
      <c r="A182" s="1523"/>
      <c r="B182" s="1523"/>
      <c r="C182" s="1523"/>
      <c r="D182" s="1523"/>
      <c r="E182" s="1523"/>
      <c r="F182" s="1523"/>
      <c r="G182" s="1523"/>
      <c r="H182" s="1523"/>
      <c r="I182" s="1523"/>
      <c r="J182" s="1523"/>
      <c r="K182" s="1523"/>
      <c r="L182" s="1523"/>
      <c r="M182" s="1523"/>
      <c r="N182" s="1523"/>
      <c r="O182" s="1523"/>
      <c r="P182" s="1523"/>
      <c r="Q182" s="1523"/>
      <c r="R182" s="1523"/>
      <c r="S182" s="1523"/>
      <c r="T182" s="1523"/>
      <c r="U182" s="1523"/>
      <c r="V182" s="1523"/>
      <c r="W182" s="1523"/>
      <c r="X182" s="1523"/>
      <c r="Y182" s="1523"/>
      <c r="Z182" s="1523"/>
    </row>
    <row r="183" spans="1:26" ht="12.75" customHeight="1">
      <c r="A183" s="1523"/>
      <c r="B183" s="1523"/>
      <c r="C183" s="1523"/>
      <c r="D183" s="1523"/>
      <c r="E183" s="1523"/>
      <c r="F183" s="1523"/>
      <c r="G183" s="1523"/>
      <c r="H183" s="1523"/>
      <c r="I183" s="1523"/>
      <c r="J183" s="1523"/>
      <c r="K183" s="1523"/>
      <c r="L183" s="1523"/>
      <c r="M183" s="1523"/>
      <c r="N183" s="1523"/>
      <c r="O183" s="1523"/>
      <c r="P183" s="1523"/>
      <c r="Q183" s="1523"/>
      <c r="R183" s="1523"/>
      <c r="S183" s="1523"/>
      <c r="T183" s="1523"/>
      <c r="U183" s="1523"/>
      <c r="V183" s="1523"/>
      <c r="W183" s="1523"/>
      <c r="X183" s="1523"/>
      <c r="Y183" s="1523"/>
      <c r="Z183" s="1523"/>
    </row>
    <row r="184" spans="1:26" ht="12.75" customHeight="1">
      <c r="A184" s="1523"/>
      <c r="B184" s="1523"/>
      <c r="C184" s="1523"/>
      <c r="D184" s="1523"/>
      <c r="E184" s="1523"/>
      <c r="F184" s="1523"/>
      <c r="G184" s="1523"/>
      <c r="H184" s="1523"/>
      <c r="I184" s="1523"/>
      <c r="J184" s="1523"/>
      <c r="K184" s="1523"/>
      <c r="L184" s="1523"/>
      <c r="M184" s="1523"/>
      <c r="N184" s="1523"/>
      <c r="O184" s="1523"/>
      <c r="P184" s="1523"/>
      <c r="Q184" s="1523"/>
      <c r="R184" s="1523"/>
      <c r="S184" s="1523"/>
      <c r="T184" s="1523"/>
      <c r="U184" s="1523"/>
      <c r="V184" s="1523"/>
      <c r="W184" s="1523"/>
      <c r="X184" s="1523"/>
      <c r="Y184" s="1523"/>
      <c r="Z184" s="1523"/>
    </row>
    <row r="185" spans="1:26" ht="12.75" customHeight="1">
      <c r="A185" s="1523"/>
      <c r="B185" s="1523"/>
      <c r="C185" s="1523"/>
      <c r="D185" s="1523"/>
      <c r="E185" s="1523"/>
      <c r="F185" s="1523"/>
      <c r="G185" s="1523"/>
      <c r="H185" s="1523"/>
      <c r="I185" s="1523"/>
      <c r="J185" s="1523"/>
      <c r="K185" s="1523"/>
      <c r="L185" s="1523"/>
      <c r="M185" s="1523"/>
      <c r="N185" s="1523"/>
      <c r="O185" s="1523"/>
      <c r="P185" s="1523"/>
      <c r="Q185" s="1523"/>
      <c r="R185" s="1523"/>
      <c r="S185" s="1523"/>
      <c r="T185" s="1523"/>
      <c r="U185" s="1523"/>
      <c r="V185" s="1523"/>
      <c r="W185" s="1523"/>
      <c r="X185" s="1523"/>
      <c r="Y185" s="1523"/>
      <c r="Z185" s="1523"/>
    </row>
    <row r="186" spans="1:26" ht="12.75" customHeight="1">
      <c r="A186" s="1523"/>
      <c r="B186" s="1523"/>
      <c r="C186" s="1523"/>
      <c r="D186" s="1523"/>
      <c r="E186" s="1523"/>
      <c r="F186" s="1523"/>
      <c r="G186" s="1523"/>
      <c r="H186" s="1523"/>
      <c r="I186" s="1523"/>
      <c r="J186" s="1523"/>
      <c r="K186" s="1523"/>
      <c r="L186" s="1523"/>
      <c r="M186" s="1523"/>
      <c r="N186" s="1523"/>
      <c r="O186" s="1523"/>
      <c r="P186" s="1523"/>
      <c r="Q186" s="1523"/>
      <c r="R186" s="1523"/>
      <c r="S186" s="1523"/>
      <c r="T186" s="1523"/>
      <c r="U186" s="1523"/>
      <c r="V186" s="1523"/>
      <c r="W186" s="1523"/>
      <c r="X186" s="1523"/>
      <c r="Y186" s="1523"/>
      <c r="Z186" s="1523"/>
    </row>
    <row r="187" spans="1:26" ht="12.75" customHeight="1">
      <c r="A187" s="1523"/>
      <c r="B187" s="1523"/>
      <c r="C187" s="1523"/>
      <c r="D187" s="1523"/>
      <c r="E187" s="1523"/>
      <c r="F187" s="1523"/>
      <c r="G187" s="1523"/>
      <c r="H187" s="1523"/>
      <c r="I187" s="1523"/>
      <c r="J187" s="1523"/>
      <c r="K187" s="1523"/>
      <c r="L187" s="1523"/>
      <c r="M187" s="1523"/>
      <c r="N187" s="1523"/>
      <c r="O187" s="1523"/>
      <c r="P187" s="1523"/>
      <c r="Q187" s="1523"/>
      <c r="R187" s="1523"/>
      <c r="S187" s="1523"/>
      <c r="T187" s="1523"/>
      <c r="U187" s="1523"/>
      <c r="V187" s="1523"/>
      <c r="W187" s="1523"/>
      <c r="X187" s="1523"/>
      <c r="Y187" s="1523"/>
      <c r="Z187" s="1523"/>
    </row>
    <row r="188" spans="1:26" ht="12.75" customHeight="1">
      <c r="A188" s="1523"/>
      <c r="B188" s="1523"/>
      <c r="C188" s="1523"/>
      <c r="D188" s="1523"/>
      <c r="E188" s="1523"/>
      <c r="F188" s="1523"/>
      <c r="G188" s="1523"/>
      <c r="H188" s="1523"/>
      <c r="I188" s="1523"/>
      <c r="J188" s="1523"/>
      <c r="K188" s="1523"/>
      <c r="L188" s="1523"/>
      <c r="M188" s="1523"/>
      <c r="N188" s="1523"/>
      <c r="O188" s="1523"/>
      <c r="P188" s="1523"/>
      <c r="Q188" s="1523"/>
      <c r="R188" s="1523"/>
      <c r="S188" s="1523"/>
      <c r="T188" s="1523"/>
      <c r="U188" s="1523"/>
      <c r="V188" s="1523"/>
      <c r="W188" s="1523"/>
      <c r="X188" s="1523"/>
      <c r="Y188" s="1523"/>
      <c r="Z188" s="1523"/>
    </row>
    <row r="189" spans="1:26" ht="12.75" customHeight="1">
      <c r="A189" s="1523"/>
      <c r="B189" s="1523"/>
      <c r="C189" s="1523"/>
      <c r="D189" s="1523"/>
      <c r="E189" s="1523"/>
      <c r="F189" s="1523"/>
      <c r="G189" s="1523"/>
      <c r="H189" s="1523"/>
      <c r="I189" s="1523"/>
      <c r="J189" s="1523"/>
      <c r="K189" s="1523"/>
      <c r="L189" s="1523"/>
      <c r="M189" s="1523"/>
      <c r="N189" s="1523"/>
      <c r="O189" s="1523"/>
      <c r="P189" s="1523"/>
      <c r="Q189" s="1523"/>
      <c r="R189" s="1523"/>
      <c r="S189" s="1523"/>
      <c r="T189" s="1523"/>
      <c r="U189" s="1523"/>
      <c r="V189" s="1523"/>
      <c r="W189" s="1523"/>
      <c r="X189" s="1523"/>
      <c r="Y189" s="1523"/>
      <c r="Z189" s="1523"/>
    </row>
    <row r="190" spans="1:26" ht="12.75" customHeight="1">
      <c r="A190" s="1523"/>
      <c r="B190" s="1523"/>
      <c r="C190" s="1523"/>
      <c r="D190" s="1523"/>
      <c r="E190" s="1523"/>
      <c r="F190" s="1523"/>
      <c r="G190" s="1523"/>
      <c r="H190" s="1523"/>
      <c r="I190" s="1523"/>
      <c r="J190" s="1523"/>
      <c r="K190" s="1523"/>
      <c r="L190" s="1523"/>
      <c r="M190" s="1523"/>
      <c r="N190" s="1523"/>
      <c r="O190" s="1523"/>
      <c r="P190" s="1523"/>
      <c r="Q190" s="1523"/>
      <c r="R190" s="1523"/>
      <c r="S190" s="1523"/>
      <c r="T190" s="1523"/>
      <c r="U190" s="1523"/>
      <c r="V190" s="1523"/>
      <c r="W190" s="1523"/>
      <c r="X190" s="1523"/>
      <c r="Y190" s="1523"/>
      <c r="Z190" s="1523"/>
    </row>
    <row r="191" spans="1:26" ht="12.75" customHeight="1">
      <c r="A191" s="1523"/>
      <c r="B191" s="1523"/>
      <c r="C191" s="1523"/>
      <c r="D191" s="1523"/>
      <c r="E191" s="1523"/>
      <c r="F191" s="1523"/>
      <c r="G191" s="1523"/>
      <c r="H191" s="1523"/>
      <c r="I191" s="1523"/>
      <c r="J191" s="1523"/>
      <c r="K191" s="1523"/>
      <c r="L191" s="1523"/>
      <c r="M191" s="1523"/>
      <c r="N191" s="1523"/>
      <c r="O191" s="1523"/>
      <c r="P191" s="1523"/>
      <c r="Q191" s="1523"/>
      <c r="R191" s="1523"/>
      <c r="S191" s="1523"/>
      <c r="T191" s="1523"/>
      <c r="U191" s="1523"/>
      <c r="V191" s="1523"/>
      <c r="W191" s="1523"/>
      <c r="X191" s="1523"/>
      <c r="Y191" s="1523"/>
      <c r="Z191" s="1523"/>
    </row>
    <row r="192" spans="1:26" ht="12.75" customHeight="1">
      <c r="A192" s="1523"/>
      <c r="B192" s="1523"/>
      <c r="C192" s="1523"/>
      <c r="D192" s="1523"/>
      <c r="E192" s="1523"/>
      <c r="F192" s="1523"/>
      <c r="G192" s="1523"/>
      <c r="H192" s="1523"/>
      <c r="I192" s="1523"/>
      <c r="J192" s="1523"/>
      <c r="K192" s="1523"/>
      <c r="L192" s="1523"/>
      <c r="M192" s="1523"/>
      <c r="N192" s="1523"/>
      <c r="O192" s="1523"/>
      <c r="P192" s="1523"/>
      <c r="Q192" s="1523"/>
      <c r="R192" s="1523"/>
      <c r="S192" s="1523"/>
      <c r="T192" s="1523"/>
      <c r="U192" s="1523"/>
      <c r="V192" s="1523"/>
      <c r="W192" s="1523"/>
      <c r="X192" s="1523"/>
      <c r="Y192" s="1523"/>
      <c r="Z192" s="1523"/>
    </row>
    <row r="193" spans="1:26" ht="12.75" customHeight="1">
      <c r="A193" s="1523"/>
      <c r="B193" s="1523"/>
      <c r="C193" s="1523"/>
      <c r="D193" s="1523"/>
      <c r="E193" s="1523"/>
      <c r="F193" s="1523"/>
      <c r="G193" s="1523"/>
      <c r="H193" s="1523"/>
      <c r="I193" s="1523"/>
      <c r="J193" s="1523"/>
      <c r="K193" s="1523"/>
      <c r="L193" s="1523"/>
      <c r="M193" s="1523"/>
      <c r="N193" s="1523"/>
      <c r="O193" s="1523"/>
      <c r="P193" s="1523"/>
      <c r="Q193" s="1523"/>
      <c r="R193" s="1523"/>
      <c r="S193" s="1523"/>
      <c r="T193" s="1523"/>
      <c r="U193" s="1523"/>
      <c r="V193" s="1523"/>
      <c r="W193" s="1523"/>
      <c r="X193" s="1523"/>
      <c r="Y193" s="1523"/>
      <c r="Z193" s="1523"/>
    </row>
    <row r="194" spans="1:26" ht="12.75" customHeight="1">
      <c r="A194" s="1523"/>
      <c r="B194" s="1523"/>
      <c r="C194" s="1523"/>
      <c r="D194" s="1523"/>
      <c r="E194" s="1523"/>
      <c r="F194" s="1523"/>
      <c r="G194" s="1523"/>
      <c r="H194" s="1523"/>
      <c r="I194" s="1523"/>
      <c r="J194" s="1523"/>
      <c r="K194" s="1523"/>
      <c r="L194" s="1523"/>
      <c r="M194" s="1523"/>
      <c r="N194" s="1523"/>
      <c r="O194" s="1523"/>
      <c r="P194" s="1523"/>
      <c r="Q194" s="1523"/>
      <c r="R194" s="1523"/>
      <c r="S194" s="1523"/>
      <c r="T194" s="1523"/>
      <c r="U194" s="1523"/>
      <c r="V194" s="1523"/>
      <c r="W194" s="1523"/>
      <c r="X194" s="1523"/>
      <c r="Y194" s="1523"/>
      <c r="Z194" s="1523"/>
    </row>
    <row r="195" spans="1:26" ht="12.75" customHeight="1">
      <c r="A195" s="1523"/>
      <c r="B195" s="1523"/>
      <c r="C195" s="1523"/>
      <c r="D195" s="1523"/>
      <c r="E195" s="1523"/>
      <c r="F195" s="1523"/>
      <c r="G195" s="1523"/>
      <c r="H195" s="1523"/>
      <c r="I195" s="1523"/>
      <c r="J195" s="1523"/>
      <c r="K195" s="1523"/>
      <c r="L195" s="1523"/>
      <c r="M195" s="1523"/>
      <c r="N195" s="1523"/>
      <c r="O195" s="1523"/>
      <c r="P195" s="1523"/>
      <c r="Q195" s="1523"/>
      <c r="R195" s="1523"/>
      <c r="S195" s="1523"/>
      <c r="T195" s="1523"/>
      <c r="U195" s="1523"/>
      <c r="V195" s="1523"/>
      <c r="W195" s="1523"/>
      <c r="X195" s="1523"/>
      <c r="Y195" s="1523"/>
      <c r="Z195" s="1523"/>
    </row>
    <row r="196" spans="1:26" ht="12.75" customHeight="1">
      <c r="A196" s="1523"/>
      <c r="B196" s="1523"/>
      <c r="C196" s="1523"/>
      <c r="D196" s="1523"/>
      <c r="E196" s="1523"/>
      <c r="F196" s="1523"/>
      <c r="G196" s="1523"/>
      <c r="H196" s="1523"/>
      <c r="I196" s="1523"/>
      <c r="J196" s="1523"/>
      <c r="K196" s="1523"/>
      <c r="L196" s="1523"/>
      <c r="M196" s="1523"/>
      <c r="N196" s="1523"/>
      <c r="O196" s="1523"/>
      <c r="P196" s="1523"/>
      <c r="Q196" s="1523"/>
      <c r="R196" s="1523"/>
      <c r="S196" s="1523"/>
      <c r="T196" s="1523"/>
      <c r="U196" s="1523"/>
      <c r="V196" s="1523"/>
      <c r="W196" s="1523"/>
      <c r="X196" s="1523"/>
      <c r="Y196" s="1523"/>
      <c r="Z196" s="1523"/>
    </row>
    <row r="197" spans="1:26" ht="12.75" customHeight="1">
      <c r="A197" s="1523"/>
      <c r="B197" s="1523"/>
      <c r="C197" s="1523"/>
      <c r="D197" s="1523"/>
      <c r="E197" s="1523"/>
      <c r="F197" s="1523"/>
      <c r="G197" s="1523"/>
      <c r="H197" s="1523"/>
      <c r="I197" s="1523"/>
      <c r="J197" s="1523"/>
      <c r="K197" s="1523"/>
      <c r="L197" s="1523"/>
      <c r="M197" s="1523"/>
      <c r="N197" s="1523"/>
      <c r="O197" s="1523"/>
      <c r="P197" s="1523"/>
      <c r="Q197" s="1523"/>
      <c r="R197" s="1523"/>
      <c r="S197" s="1523"/>
      <c r="T197" s="1523"/>
      <c r="U197" s="1523"/>
      <c r="V197" s="1523"/>
      <c r="W197" s="1523"/>
      <c r="X197" s="1523"/>
      <c r="Y197" s="1523"/>
      <c r="Z197" s="1523"/>
    </row>
    <row r="198" spans="1:26" ht="12.75" customHeight="1">
      <c r="A198" s="1523"/>
      <c r="B198" s="1523"/>
      <c r="C198" s="1523"/>
      <c r="D198" s="1523"/>
      <c r="E198" s="1523"/>
      <c r="F198" s="1523"/>
      <c r="G198" s="1523"/>
      <c r="H198" s="1523"/>
      <c r="I198" s="1523"/>
      <c r="J198" s="1523"/>
      <c r="K198" s="1523"/>
      <c r="L198" s="1523"/>
      <c r="M198" s="1523"/>
      <c r="N198" s="1523"/>
      <c r="O198" s="1523"/>
      <c r="P198" s="1523"/>
      <c r="Q198" s="1523"/>
      <c r="R198" s="1523"/>
      <c r="S198" s="1523"/>
      <c r="T198" s="1523"/>
      <c r="U198" s="1523"/>
      <c r="V198" s="1523"/>
      <c r="W198" s="1523"/>
      <c r="X198" s="1523"/>
      <c r="Y198" s="1523"/>
      <c r="Z198" s="1523"/>
    </row>
    <row r="199" spans="1:26" ht="12.75" customHeight="1">
      <c r="A199" s="1523"/>
      <c r="B199" s="1523"/>
      <c r="C199" s="1523"/>
      <c r="D199" s="1523"/>
      <c r="E199" s="1523"/>
      <c r="F199" s="1523"/>
      <c r="G199" s="1523"/>
      <c r="H199" s="1523"/>
      <c r="I199" s="1523"/>
      <c r="J199" s="1523"/>
      <c r="K199" s="1523"/>
      <c r="L199" s="1523"/>
      <c r="M199" s="1523"/>
      <c r="N199" s="1523"/>
      <c r="O199" s="1523"/>
      <c r="P199" s="1523"/>
      <c r="Q199" s="1523"/>
      <c r="R199" s="1523"/>
      <c r="S199" s="1523"/>
      <c r="T199" s="1523"/>
      <c r="U199" s="1523"/>
      <c r="V199" s="1523"/>
      <c r="W199" s="1523"/>
      <c r="X199" s="1523"/>
      <c r="Y199" s="1523"/>
      <c r="Z199" s="1523"/>
    </row>
    <row r="200" spans="1:26" ht="12.75" customHeight="1">
      <c r="A200" s="1523"/>
      <c r="B200" s="1523"/>
      <c r="C200" s="1523"/>
      <c r="D200" s="1523"/>
      <c r="E200" s="1523"/>
      <c r="F200" s="1523"/>
      <c r="G200" s="1523"/>
      <c r="H200" s="1523"/>
      <c r="I200" s="1523"/>
      <c r="J200" s="1523"/>
      <c r="K200" s="1523"/>
      <c r="L200" s="1523"/>
      <c r="M200" s="1523"/>
      <c r="N200" s="1523"/>
      <c r="O200" s="1523"/>
      <c r="P200" s="1523"/>
      <c r="Q200" s="1523"/>
      <c r="R200" s="1523"/>
      <c r="S200" s="1523"/>
      <c r="T200" s="1523"/>
      <c r="U200" s="1523"/>
      <c r="V200" s="1523"/>
      <c r="W200" s="1523"/>
      <c r="X200" s="1523"/>
      <c r="Y200" s="1523"/>
      <c r="Z200" s="1523"/>
    </row>
    <row r="201" spans="1:26" ht="12.75" customHeight="1">
      <c r="A201" s="1523"/>
      <c r="B201" s="1523"/>
      <c r="C201" s="1523"/>
      <c r="D201" s="1523"/>
      <c r="E201" s="1523"/>
      <c r="F201" s="1523"/>
      <c r="G201" s="1523"/>
      <c r="H201" s="1523"/>
      <c r="I201" s="1523"/>
      <c r="J201" s="1523"/>
      <c r="K201" s="1523"/>
      <c r="L201" s="1523"/>
      <c r="M201" s="1523"/>
      <c r="N201" s="1523"/>
      <c r="O201" s="1523"/>
      <c r="P201" s="1523"/>
      <c r="Q201" s="1523"/>
      <c r="R201" s="1523"/>
      <c r="S201" s="1523"/>
      <c r="T201" s="1523"/>
      <c r="U201" s="1523"/>
      <c r="V201" s="1523"/>
      <c r="W201" s="1523"/>
      <c r="X201" s="1523"/>
      <c r="Y201" s="1523"/>
      <c r="Z201" s="1523"/>
    </row>
    <row r="202" spans="1:26" ht="12.75" customHeight="1">
      <c r="A202" s="1523"/>
      <c r="B202" s="1523"/>
      <c r="C202" s="1523"/>
      <c r="D202" s="1523"/>
      <c r="E202" s="1523"/>
      <c r="F202" s="1523"/>
      <c r="G202" s="1523"/>
      <c r="H202" s="1523"/>
      <c r="I202" s="1523"/>
      <c r="J202" s="1523"/>
      <c r="K202" s="1523"/>
      <c r="L202" s="1523"/>
      <c r="M202" s="1523"/>
      <c r="N202" s="1523"/>
      <c r="O202" s="1523"/>
      <c r="P202" s="1523"/>
      <c r="Q202" s="1523"/>
      <c r="R202" s="1523"/>
      <c r="S202" s="1523"/>
      <c r="T202" s="1523"/>
      <c r="U202" s="1523"/>
      <c r="V202" s="1523"/>
      <c r="W202" s="1523"/>
      <c r="X202" s="1523"/>
      <c r="Y202" s="1523"/>
      <c r="Z202" s="1523"/>
    </row>
    <row r="203" spans="1:26" ht="12.75" customHeight="1">
      <c r="A203" s="1523"/>
      <c r="B203" s="1523"/>
      <c r="C203" s="1523"/>
      <c r="D203" s="1523"/>
      <c r="E203" s="1523"/>
      <c r="F203" s="1523"/>
      <c r="G203" s="1523"/>
      <c r="H203" s="1523"/>
      <c r="I203" s="1523"/>
      <c r="J203" s="1523"/>
      <c r="K203" s="1523"/>
      <c r="L203" s="1523"/>
      <c r="M203" s="1523"/>
      <c r="N203" s="1523"/>
      <c r="O203" s="1523"/>
      <c r="P203" s="1523"/>
      <c r="Q203" s="1523"/>
      <c r="R203" s="1523"/>
      <c r="S203" s="1523"/>
      <c r="T203" s="1523"/>
      <c r="U203" s="1523"/>
      <c r="V203" s="1523"/>
      <c r="W203" s="1523"/>
      <c r="X203" s="1523"/>
      <c r="Y203" s="1523"/>
      <c r="Z203" s="1523"/>
    </row>
    <row r="204" spans="1:26" ht="12.75" customHeight="1">
      <c r="A204" s="1523"/>
      <c r="B204" s="1523"/>
      <c r="C204" s="1523"/>
      <c r="D204" s="1523"/>
      <c r="E204" s="1523"/>
      <c r="F204" s="1523"/>
      <c r="G204" s="1523"/>
      <c r="H204" s="1523"/>
      <c r="I204" s="1523"/>
      <c r="J204" s="1523"/>
      <c r="K204" s="1523"/>
      <c r="L204" s="1523"/>
      <c r="M204" s="1523"/>
      <c r="N204" s="1523"/>
      <c r="O204" s="1523"/>
      <c r="P204" s="1523"/>
      <c r="Q204" s="1523"/>
      <c r="R204" s="1523"/>
      <c r="S204" s="1523"/>
      <c r="T204" s="1523"/>
      <c r="U204" s="1523"/>
      <c r="V204" s="1523"/>
      <c r="W204" s="1523"/>
      <c r="X204" s="1523"/>
      <c r="Y204" s="1523"/>
      <c r="Z204" s="1523"/>
    </row>
    <row r="205" spans="1:26" ht="12.75" customHeight="1">
      <c r="A205" s="1523"/>
      <c r="B205" s="1523"/>
      <c r="C205" s="1523"/>
      <c r="D205" s="1523"/>
      <c r="E205" s="1523"/>
      <c r="F205" s="1523"/>
      <c r="G205" s="1523"/>
      <c r="H205" s="1523"/>
      <c r="I205" s="1523"/>
      <c r="J205" s="1523"/>
      <c r="K205" s="1523"/>
      <c r="L205" s="1523"/>
      <c r="M205" s="1523"/>
      <c r="N205" s="1523"/>
      <c r="O205" s="1523"/>
      <c r="P205" s="1523"/>
      <c r="Q205" s="1523"/>
      <c r="R205" s="1523"/>
      <c r="S205" s="1523"/>
      <c r="T205" s="1523"/>
      <c r="U205" s="1523"/>
      <c r="V205" s="1523"/>
      <c r="W205" s="1523"/>
      <c r="X205" s="1523"/>
      <c r="Y205" s="1523"/>
      <c r="Z205" s="1523"/>
    </row>
    <row r="206" spans="1:26" ht="12.75" customHeight="1">
      <c r="A206" s="1523"/>
      <c r="B206" s="1523"/>
      <c r="C206" s="1523"/>
      <c r="D206" s="1523"/>
      <c r="E206" s="1523"/>
      <c r="F206" s="1523"/>
      <c r="G206" s="1523"/>
      <c r="H206" s="1523"/>
      <c r="I206" s="1523"/>
      <c r="J206" s="1523"/>
      <c r="K206" s="1523"/>
      <c r="L206" s="1523"/>
      <c r="M206" s="1523"/>
      <c r="N206" s="1523"/>
      <c r="O206" s="1523"/>
      <c r="P206" s="1523"/>
      <c r="Q206" s="1523"/>
      <c r="R206" s="1523"/>
      <c r="S206" s="1523"/>
      <c r="T206" s="1523"/>
      <c r="U206" s="1523"/>
      <c r="V206" s="1523"/>
      <c r="W206" s="1523"/>
      <c r="X206" s="1523"/>
      <c r="Y206" s="1523"/>
      <c r="Z206" s="1523"/>
    </row>
    <row r="207" spans="1:26" ht="12.75" customHeight="1">
      <c r="A207" s="1523"/>
      <c r="B207" s="1523"/>
      <c r="C207" s="1523"/>
      <c r="D207" s="1523"/>
      <c r="E207" s="1523"/>
      <c r="F207" s="1523"/>
      <c r="G207" s="1523"/>
      <c r="H207" s="1523"/>
      <c r="I207" s="1523"/>
      <c r="J207" s="1523"/>
      <c r="K207" s="1523"/>
      <c r="L207" s="1523"/>
      <c r="M207" s="1523"/>
      <c r="N207" s="1523"/>
      <c r="O207" s="1523"/>
      <c r="P207" s="1523"/>
      <c r="Q207" s="1523"/>
      <c r="R207" s="1523"/>
      <c r="S207" s="1523"/>
      <c r="T207" s="1523"/>
      <c r="U207" s="1523"/>
      <c r="V207" s="1523"/>
      <c r="W207" s="1523"/>
      <c r="X207" s="1523"/>
      <c r="Y207" s="1523"/>
      <c r="Z207" s="1523"/>
    </row>
    <row r="208" spans="1:26" ht="12.75" customHeight="1">
      <c r="A208" s="1523"/>
      <c r="B208" s="1523"/>
      <c r="C208" s="1523"/>
      <c r="D208" s="1523"/>
      <c r="E208" s="1523"/>
      <c r="F208" s="1523"/>
      <c r="G208" s="1523"/>
      <c r="H208" s="1523"/>
      <c r="I208" s="1523"/>
      <c r="J208" s="1523"/>
      <c r="K208" s="1523"/>
      <c r="L208" s="1523"/>
      <c r="M208" s="1523"/>
      <c r="N208" s="1523"/>
      <c r="O208" s="1523"/>
      <c r="P208" s="1523"/>
      <c r="Q208" s="1523"/>
      <c r="R208" s="1523"/>
      <c r="S208" s="1523"/>
      <c r="T208" s="1523"/>
      <c r="U208" s="1523"/>
      <c r="V208" s="1523"/>
      <c r="W208" s="1523"/>
      <c r="X208" s="1523"/>
      <c r="Y208" s="1523"/>
      <c r="Z208" s="1523"/>
    </row>
    <row r="209" spans="1:26" ht="12.75" customHeight="1">
      <c r="A209" s="1523"/>
      <c r="B209" s="1523"/>
      <c r="C209" s="1523"/>
      <c r="D209" s="1523"/>
      <c r="E209" s="1523"/>
      <c r="F209" s="1523"/>
      <c r="G209" s="1523"/>
      <c r="H209" s="1523"/>
      <c r="I209" s="1523"/>
      <c r="J209" s="1523"/>
      <c r="K209" s="1523"/>
      <c r="L209" s="1523"/>
      <c r="M209" s="1523"/>
      <c r="N209" s="1523"/>
      <c r="O209" s="1523"/>
      <c r="P209" s="1523"/>
      <c r="Q209" s="1523"/>
      <c r="R209" s="1523"/>
      <c r="S209" s="1523"/>
      <c r="T209" s="1523"/>
      <c r="U209" s="1523"/>
      <c r="V209" s="1523"/>
      <c r="W209" s="1523"/>
      <c r="X209" s="1523"/>
      <c r="Y209" s="1523"/>
      <c r="Z209" s="1523"/>
    </row>
    <row r="210" spans="1:26" ht="12.75" customHeight="1">
      <c r="A210" s="1523"/>
      <c r="B210" s="1523"/>
      <c r="C210" s="1523"/>
      <c r="D210" s="1523"/>
      <c r="E210" s="1523"/>
      <c r="F210" s="1523"/>
      <c r="G210" s="1523"/>
      <c r="H210" s="1523"/>
      <c r="I210" s="1523"/>
      <c r="J210" s="1523"/>
      <c r="K210" s="1523"/>
      <c r="L210" s="1523"/>
      <c r="M210" s="1523"/>
      <c r="N210" s="1523"/>
      <c r="O210" s="1523"/>
      <c r="P210" s="1523"/>
      <c r="Q210" s="1523"/>
      <c r="R210" s="1523"/>
      <c r="S210" s="1523"/>
      <c r="T210" s="1523"/>
      <c r="U210" s="1523"/>
      <c r="V210" s="1523"/>
      <c r="W210" s="1523"/>
      <c r="X210" s="1523"/>
      <c r="Y210" s="1523"/>
      <c r="Z210" s="1523"/>
    </row>
    <row r="211" spans="1:26" ht="12.75" customHeight="1">
      <c r="A211" s="1523"/>
      <c r="B211" s="1523"/>
      <c r="C211" s="1523"/>
      <c r="D211" s="1523"/>
      <c r="E211" s="1523"/>
      <c r="F211" s="1523"/>
      <c r="G211" s="1523"/>
      <c r="H211" s="1523"/>
      <c r="I211" s="1523"/>
      <c r="J211" s="1523"/>
      <c r="K211" s="1523"/>
      <c r="L211" s="1523"/>
      <c r="M211" s="1523"/>
      <c r="N211" s="1523"/>
      <c r="O211" s="1523"/>
      <c r="P211" s="1523"/>
      <c r="Q211" s="1523"/>
      <c r="R211" s="1523"/>
      <c r="S211" s="1523"/>
      <c r="T211" s="1523"/>
      <c r="U211" s="1523"/>
      <c r="V211" s="1523"/>
      <c r="W211" s="1523"/>
      <c r="X211" s="1523"/>
      <c r="Y211" s="1523"/>
      <c r="Z211" s="1523"/>
    </row>
    <row r="212" spans="1:26" ht="12.75" customHeight="1">
      <c r="A212" s="1523"/>
      <c r="B212" s="1523"/>
      <c r="C212" s="1523"/>
      <c r="D212" s="1523"/>
      <c r="E212" s="1523"/>
      <c r="F212" s="1523"/>
      <c r="G212" s="1523"/>
      <c r="H212" s="1523"/>
      <c r="I212" s="1523"/>
      <c r="J212" s="1523"/>
      <c r="K212" s="1523"/>
      <c r="L212" s="1523"/>
      <c r="M212" s="1523"/>
      <c r="N212" s="1523"/>
      <c r="O212" s="1523"/>
      <c r="P212" s="1523"/>
      <c r="Q212" s="1523"/>
      <c r="R212" s="1523"/>
      <c r="S212" s="1523"/>
      <c r="T212" s="1523"/>
      <c r="U212" s="1523"/>
      <c r="V212" s="1523"/>
      <c r="W212" s="1523"/>
      <c r="X212" s="1523"/>
      <c r="Y212" s="1523"/>
      <c r="Z212" s="1523"/>
    </row>
    <row r="213" spans="1:26" ht="12.75" customHeight="1">
      <c r="A213" s="1523"/>
      <c r="B213" s="1523"/>
      <c r="C213" s="1523"/>
      <c r="D213" s="1523"/>
      <c r="E213" s="1523"/>
      <c r="F213" s="1523"/>
      <c r="G213" s="1523"/>
      <c r="H213" s="1523"/>
      <c r="I213" s="1523"/>
      <c r="J213" s="1523"/>
      <c r="K213" s="1523"/>
      <c r="L213" s="1523"/>
      <c r="M213" s="1523"/>
      <c r="N213" s="1523"/>
      <c r="O213" s="1523"/>
      <c r="P213" s="1523"/>
      <c r="Q213" s="1523"/>
      <c r="R213" s="1523"/>
      <c r="S213" s="1523"/>
      <c r="T213" s="1523"/>
      <c r="U213" s="1523"/>
      <c r="V213" s="1523"/>
      <c r="W213" s="1523"/>
      <c r="X213" s="1523"/>
      <c r="Y213" s="1523"/>
      <c r="Z213" s="1523"/>
    </row>
    <row r="214" spans="1:26" ht="12.75" customHeight="1">
      <c r="A214" s="1523"/>
      <c r="B214" s="1523"/>
      <c r="C214" s="1523"/>
      <c r="D214" s="1523"/>
      <c r="E214" s="1523"/>
      <c r="F214" s="1523"/>
      <c r="G214" s="1523"/>
      <c r="H214" s="1523"/>
      <c r="I214" s="1523"/>
      <c r="J214" s="1523"/>
      <c r="K214" s="1523"/>
      <c r="L214" s="1523"/>
      <c r="M214" s="1523"/>
      <c r="N214" s="1523"/>
      <c r="O214" s="1523"/>
      <c r="P214" s="1523"/>
      <c r="Q214" s="1523"/>
      <c r="R214" s="1523"/>
      <c r="S214" s="1523"/>
      <c r="T214" s="1523"/>
      <c r="U214" s="1523"/>
      <c r="V214" s="1523"/>
      <c r="W214" s="1523"/>
      <c r="X214" s="1523"/>
      <c r="Y214" s="1523"/>
      <c r="Z214" s="1523"/>
    </row>
    <row r="215" spans="1:26" ht="12.75" customHeight="1">
      <c r="A215" s="1523"/>
      <c r="B215" s="1523"/>
      <c r="C215" s="1523"/>
      <c r="D215" s="1523"/>
      <c r="E215" s="1523"/>
      <c r="F215" s="1523"/>
      <c r="G215" s="1523"/>
      <c r="H215" s="1523"/>
      <c r="I215" s="1523"/>
      <c r="J215" s="1523"/>
      <c r="K215" s="1523"/>
      <c r="L215" s="1523"/>
      <c r="M215" s="1523"/>
      <c r="N215" s="1523"/>
      <c r="O215" s="1523"/>
      <c r="P215" s="1523"/>
      <c r="Q215" s="1523"/>
      <c r="R215" s="1523"/>
      <c r="S215" s="1523"/>
      <c r="T215" s="1523"/>
      <c r="U215" s="1523"/>
      <c r="V215" s="1523"/>
      <c r="W215" s="1523"/>
      <c r="X215" s="1523"/>
      <c r="Y215" s="1523"/>
      <c r="Z215" s="1523"/>
    </row>
    <row r="216" spans="1:26" ht="12.75" customHeight="1">
      <c r="A216" s="1523"/>
      <c r="B216" s="1523"/>
      <c r="C216" s="1523"/>
      <c r="D216" s="1523"/>
      <c r="E216" s="1523"/>
      <c r="F216" s="1523"/>
      <c r="G216" s="1523"/>
      <c r="H216" s="1523"/>
      <c r="I216" s="1523"/>
      <c r="J216" s="1523"/>
      <c r="K216" s="1523"/>
      <c r="L216" s="1523"/>
      <c r="M216" s="1523"/>
      <c r="N216" s="1523"/>
      <c r="O216" s="1523"/>
      <c r="P216" s="1523"/>
      <c r="Q216" s="1523"/>
      <c r="R216" s="1523"/>
      <c r="S216" s="1523"/>
      <c r="T216" s="1523"/>
      <c r="U216" s="1523"/>
      <c r="V216" s="1523"/>
      <c r="W216" s="1523"/>
      <c r="X216" s="1523"/>
      <c r="Y216" s="1523"/>
      <c r="Z216" s="1523"/>
    </row>
    <row r="217" spans="1:26" ht="12.75" customHeight="1">
      <c r="A217" s="1523"/>
      <c r="B217" s="1523"/>
      <c r="C217" s="1523"/>
      <c r="D217" s="1523"/>
      <c r="E217" s="1523"/>
      <c r="F217" s="1523"/>
      <c r="G217" s="1523"/>
      <c r="H217" s="1523"/>
      <c r="I217" s="1523"/>
      <c r="J217" s="1523"/>
      <c r="K217" s="1523"/>
      <c r="L217" s="1523"/>
      <c r="M217" s="1523"/>
      <c r="N217" s="1523"/>
      <c r="O217" s="1523"/>
      <c r="P217" s="1523"/>
      <c r="Q217" s="1523"/>
      <c r="R217" s="1523"/>
      <c r="S217" s="1523"/>
      <c r="T217" s="1523"/>
      <c r="U217" s="1523"/>
      <c r="V217" s="1523"/>
      <c r="W217" s="1523"/>
      <c r="X217" s="1523"/>
      <c r="Y217" s="1523"/>
      <c r="Z217" s="1523"/>
    </row>
    <row r="218" spans="1:26" ht="12.75" customHeight="1">
      <c r="A218" s="1523"/>
      <c r="B218" s="1523"/>
      <c r="C218" s="1523"/>
      <c r="D218" s="1523"/>
      <c r="E218" s="1523"/>
      <c r="F218" s="1523"/>
      <c r="G218" s="1523"/>
      <c r="H218" s="1523"/>
      <c r="I218" s="1523"/>
      <c r="J218" s="1523"/>
      <c r="K218" s="1523"/>
      <c r="L218" s="1523"/>
      <c r="M218" s="1523"/>
      <c r="N218" s="1523"/>
      <c r="O218" s="1523"/>
      <c r="P218" s="1523"/>
      <c r="Q218" s="1523"/>
      <c r="R218" s="1523"/>
      <c r="S218" s="1523"/>
      <c r="T218" s="1523"/>
      <c r="U218" s="1523"/>
      <c r="V218" s="1523"/>
      <c r="W218" s="1523"/>
      <c r="X218" s="1523"/>
      <c r="Y218" s="1523"/>
      <c r="Z218" s="1523"/>
    </row>
    <row r="219" spans="1:26" ht="12.75" customHeight="1">
      <c r="A219" s="1523"/>
      <c r="B219" s="1523"/>
      <c r="C219" s="1523"/>
      <c r="D219" s="1523"/>
      <c r="E219" s="1523"/>
      <c r="F219" s="1523"/>
      <c r="G219" s="1523"/>
      <c r="H219" s="1523"/>
      <c r="I219" s="1523"/>
      <c r="J219" s="1523"/>
      <c r="K219" s="1523"/>
      <c r="L219" s="1523"/>
      <c r="M219" s="1523"/>
      <c r="N219" s="1523"/>
      <c r="O219" s="1523"/>
      <c r="P219" s="1523"/>
      <c r="Q219" s="1523"/>
      <c r="R219" s="1523"/>
      <c r="S219" s="1523"/>
      <c r="T219" s="1523"/>
      <c r="U219" s="1523"/>
      <c r="V219" s="1523"/>
      <c r="W219" s="1523"/>
      <c r="X219" s="1523"/>
      <c r="Y219" s="1523"/>
      <c r="Z219" s="1523"/>
    </row>
    <row r="220" spans="1:26" ht="12.75" customHeight="1">
      <c r="A220" s="1523"/>
      <c r="B220" s="1523"/>
      <c r="C220" s="1523"/>
      <c r="D220" s="1523"/>
      <c r="E220" s="1523"/>
      <c r="F220" s="1523"/>
      <c r="G220" s="1523"/>
      <c r="H220" s="1523"/>
      <c r="I220" s="1523"/>
      <c r="J220" s="1523"/>
      <c r="K220" s="1523"/>
      <c r="L220" s="1523"/>
      <c r="M220" s="1523"/>
      <c r="N220" s="1523"/>
      <c r="O220" s="1523"/>
      <c r="P220" s="1523"/>
      <c r="Q220" s="1523"/>
      <c r="R220" s="1523"/>
      <c r="S220" s="1523"/>
      <c r="T220" s="1523"/>
      <c r="U220" s="1523"/>
      <c r="V220" s="1523"/>
      <c r="W220" s="1523"/>
      <c r="X220" s="1523"/>
      <c r="Y220" s="1523"/>
      <c r="Z220" s="1523"/>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paperSize="9" orientation="portrai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4.42578125" defaultRowHeight="15" customHeight="1" outlineLevelRow="1"/>
  <cols>
    <col min="1" max="1" width="4" customWidth="1"/>
    <col min="2" max="2" width="38.42578125" customWidth="1"/>
    <col min="3" max="3" width="14.7109375" customWidth="1"/>
    <col min="4" max="4" width="16.7109375" customWidth="1"/>
    <col min="5" max="5" width="16.28515625" customWidth="1"/>
    <col min="6" max="6" width="19.7109375" customWidth="1"/>
    <col min="7" max="7" width="15.7109375" customWidth="1"/>
    <col min="8" max="8" width="23.42578125" customWidth="1"/>
    <col min="9" max="9" width="20.140625" customWidth="1"/>
    <col min="10" max="10" width="15.7109375" customWidth="1"/>
    <col min="11" max="11" width="25" customWidth="1"/>
    <col min="12" max="12" width="12.7109375" customWidth="1"/>
    <col min="13" max="13" width="39.42578125" customWidth="1"/>
    <col min="14" max="16" width="8.7109375" customWidth="1"/>
    <col min="17" max="17" width="11" customWidth="1"/>
    <col min="18" max="26" width="8.7109375" customWidth="1"/>
  </cols>
  <sheetData>
    <row r="1" spans="1:26" ht="55.5" customHeight="1">
      <c r="A1" s="1699"/>
      <c r="B1" s="1700" t="s">
        <v>3341</v>
      </c>
      <c r="C1" s="1701" t="s">
        <v>3342</v>
      </c>
      <c r="D1" s="1702"/>
      <c r="E1" s="1703" t="s">
        <v>3339</v>
      </c>
      <c r="F1" s="1701" t="s">
        <v>6305</v>
      </c>
      <c r="G1" s="1704"/>
      <c r="H1" s="1703"/>
      <c r="I1" s="1705"/>
      <c r="J1" s="1529"/>
      <c r="K1" s="1523" t="s">
        <v>3334</v>
      </c>
      <c r="L1" s="1523" t="s">
        <v>3335</v>
      </c>
      <c r="M1" s="1030" t="s">
        <v>3337</v>
      </c>
      <c r="N1" s="1523"/>
      <c r="O1" s="1523"/>
      <c r="P1" s="1523"/>
      <c r="Q1" s="1523"/>
      <c r="R1" s="1523"/>
      <c r="S1" s="1523"/>
      <c r="T1" s="1523"/>
      <c r="U1" s="1523"/>
      <c r="V1" s="1523"/>
      <c r="W1" s="1523"/>
      <c r="X1" s="1523"/>
      <c r="Y1" s="1523"/>
      <c r="Z1" s="1523"/>
    </row>
    <row r="2" spans="1:26" ht="12.75" customHeight="1">
      <c r="A2" s="1706"/>
      <c r="B2" s="1707" t="s">
        <v>3347</v>
      </c>
      <c r="C2" s="1708">
        <f>3+3+3+2</f>
        <v>11</v>
      </c>
      <c r="D2" s="1709"/>
      <c r="E2" s="1707" t="s">
        <v>3348</v>
      </c>
      <c r="F2" s="1708" t="s">
        <v>6306</v>
      </c>
      <c r="G2" s="1710"/>
      <c r="H2" s="1711"/>
      <c r="I2" s="1712"/>
      <c r="J2" s="1529"/>
      <c r="K2" s="1523" t="s">
        <v>3344</v>
      </c>
      <c r="L2" s="1523" t="s">
        <v>3345</v>
      </c>
      <c r="M2" s="1030" t="s">
        <v>6307</v>
      </c>
      <c r="N2" s="1523"/>
      <c r="O2" s="1523"/>
      <c r="P2" s="1523"/>
      <c r="Q2" s="1523"/>
      <c r="R2" s="1523"/>
      <c r="S2" s="1523"/>
      <c r="T2" s="1523"/>
      <c r="U2" s="1523"/>
      <c r="V2" s="1523"/>
      <c r="W2" s="1523"/>
      <c r="X2" s="1523"/>
      <c r="Y2" s="1523"/>
      <c r="Z2" s="1523"/>
    </row>
    <row r="3" spans="1:26" ht="12.75" customHeight="1">
      <c r="A3" s="1713"/>
      <c r="B3" s="1523" t="s">
        <v>6308</v>
      </c>
      <c r="C3" s="1523"/>
      <c r="D3" s="1523"/>
      <c r="E3" s="1523"/>
      <c r="F3" s="1714"/>
      <c r="G3" s="729"/>
      <c r="H3" s="1523"/>
      <c r="I3" s="1715"/>
      <c r="J3" s="1523"/>
      <c r="K3" s="1523" t="s">
        <v>690</v>
      </c>
      <c r="L3" s="1523" t="s">
        <v>3354</v>
      </c>
      <c r="M3" s="1030" t="s">
        <v>6309</v>
      </c>
      <c r="N3" s="1523"/>
      <c r="O3" s="1523"/>
      <c r="P3" s="1523"/>
      <c r="Q3" s="1523"/>
      <c r="R3" s="1523"/>
      <c r="S3" s="1523"/>
      <c r="T3" s="1523"/>
      <c r="U3" s="1523"/>
      <c r="V3" s="1523"/>
      <c r="W3" s="1523"/>
      <c r="X3" s="1523"/>
      <c r="Y3" s="1523"/>
      <c r="Z3" s="1523"/>
    </row>
    <row r="4" spans="1:26" ht="12.75" customHeight="1">
      <c r="A4" s="1713"/>
      <c r="B4" s="1523" t="s">
        <v>3375</v>
      </c>
      <c r="C4" s="1523" t="s">
        <v>3376</v>
      </c>
      <c r="D4" s="1523" t="s">
        <v>3539</v>
      </c>
      <c r="E4" s="1523" t="s">
        <v>3378</v>
      </c>
      <c r="F4" s="1523" t="s">
        <v>3540</v>
      </c>
      <c r="G4" s="729" t="s">
        <v>3379</v>
      </c>
      <c r="H4" s="1523" t="s">
        <v>3380</v>
      </c>
      <c r="I4" s="1716" t="s">
        <v>6310</v>
      </c>
      <c r="J4" s="1523"/>
      <c r="K4" s="1523" t="s">
        <v>117</v>
      </c>
      <c r="L4" s="1523" t="s">
        <v>262</v>
      </c>
      <c r="M4" s="1030" t="s">
        <v>998</v>
      </c>
      <c r="N4" s="1523"/>
      <c r="O4" s="1523"/>
      <c r="P4" s="1523"/>
      <c r="Q4" s="1523"/>
      <c r="R4" s="1523"/>
      <c r="S4" s="1523"/>
      <c r="T4" s="1523"/>
      <c r="U4" s="1523"/>
      <c r="V4" s="1523"/>
      <c r="W4" s="1523"/>
      <c r="X4" s="1523"/>
      <c r="Y4" s="1523"/>
      <c r="Z4" s="1523"/>
    </row>
    <row r="5" spans="1:26" ht="12.75" customHeight="1">
      <c r="A5" s="1713">
        <v>1</v>
      </c>
      <c r="B5" s="1717" t="s">
        <v>6311</v>
      </c>
      <c r="C5" s="1717" t="s">
        <v>3383</v>
      </c>
      <c r="D5" s="1718"/>
      <c r="E5" s="1719">
        <f t="shared" ref="E5:E35" si="0">IF(C5="MT",800,IF(C5="ST",400,IF(C5="T",300,IF(C5="HC",200,IF(C5="SC",150,IF(C5="C",100,))))))+IF(C5="MTcod",600,IF(C5="STcod",350,IF(C5="Tcod",250,)))+IF(C5="MTCoach",800,IF(C5="STCoach",400,IF(C5="TCoach",300,)))</f>
        <v>600</v>
      </c>
      <c r="F5" s="1719">
        <f t="shared" ref="F5:F35" si="1">IF(D5="x",IF(AND($D$160&gt;=4000,OR(C5="MT",C5="MTcod")),IF((10*($D$160-4000)/100)&lt;=300,10*($D$160-4000)/100,300),0))+IF(D5="x",IF(AND($D$160&gt;=2500,OR(C5="ST",C5="STcod")),IF((10*($D$160-2500)/100)&lt;=200,10*($D$160-2500)/100,200),0))+IF(D5="x",IF(AND($D$160&gt;=1500,OR(C5="T",C5="Tcod")),IF((10*($D$160-1500)/100)&lt;=100,10*($D$160-1500)/100,100),0))+IF(D5="x",IF(AND($D$160&gt;=1500,OR(C5="HC",C5="SC",C5="C")),IF((10*($D$160-1500)/100)&lt;=100,10*($D$160-1500)/100,100),0))+IF(D5="x",IF(AND($D$160&gt;=2000,OR(C5="MTCoach",C5="MTCoach")),IF((10*($D$160-2000)/100*2)&lt;=300,10*($D$160-2000)/100*2,300),0))+IF(D5="x",IF(AND($D$160&gt;=1500,OR(C5="STCoach",C5="STCoach")),IF((10*($D$160-1500)/100*2)&lt;=200,10*($D$160-1500)/100*2,200),0))+IF(D5="x",IF(AND($D$160&gt;=1000,OR(C5="TCoach",C5="TCoach")),IF((10*($D$160-1000)/100*2)&lt;=100,10*($D$160-1000)/100*2,100),0))</f>
        <v>0</v>
      </c>
      <c r="G5" s="207">
        <v>3</v>
      </c>
      <c r="H5" s="1717"/>
      <c r="I5" s="1720">
        <f t="shared" ref="I5:I33" si="2">G5*E5+F5+H5</f>
        <v>1800</v>
      </c>
      <c r="J5" s="1721" t="s">
        <v>3386</v>
      </c>
      <c r="K5" s="1523" t="s">
        <v>6312</v>
      </c>
      <c r="L5" s="1523" t="s">
        <v>525</v>
      </c>
      <c r="M5" s="1030" t="s">
        <v>3356</v>
      </c>
      <c r="N5" s="1523"/>
      <c r="O5" s="1523"/>
      <c r="P5" s="1523"/>
      <c r="Q5" s="1523"/>
      <c r="R5" s="1523"/>
      <c r="S5" s="1523"/>
      <c r="T5" s="1523"/>
      <c r="U5" s="1523"/>
      <c r="V5" s="1523"/>
      <c r="W5" s="1523"/>
      <c r="X5" s="1523"/>
      <c r="Y5" s="1523"/>
      <c r="Z5" s="1523"/>
    </row>
    <row r="6" spans="1:26" ht="12.75" customHeight="1">
      <c r="A6" s="1713">
        <f t="shared" ref="A6:A35" si="3">A5+1</f>
        <v>2</v>
      </c>
      <c r="B6" s="1717" t="s">
        <v>3145</v>
      </c>
      <c r="C6" s="1717" t="s">
        <v>4703</v>
      </c>
      <c r="D6" s="1718"/>
      <c r="E6" s="1719">
        <f t="shared" si="0"/>
        <v>800</v>
      </c>
      <c r="F6" s="1719">
        <f t="shared" si="1"/>
        <v>0</v>
      </c>
      <c r="G6" s="207">
        <f>3+3+2</f>
        <v>8</v>
      </c>
      <c r="H6" s="1717"/>
      <c r="I6" s="1720">
        <f t="shared" si="2"/>
        <v>6400</v>
      </c>
      <c r="J6" s="1721" t="s">
        <v>3389</v>
      </c>
      <c r="K6" s="1523" t="s">
        <v>262</v>
      </c>
      <c r="L6" s="1523" t="s">
        <v>6313</v>
      </c>
      <c r="M6" s="1030" t="s">
        <v>6314</v>
      </c>
      <c r="N6" s="1523"/>
      <c r="O6" s="1523"/>
      <c r="P6" s="1523"/>
      <c r="Q6" s="1523"/>
      <c r="R6" s="1523"/>
      <c r="S6" s="1523"/>
      <c r="T6" s="1523"/>
      <c r="U6" s="1523"/>
      <c r="V6" s="1523"/>
      <c r="W6" s="1523"/>
      <c r="X6" s="1523"/>
      <c r="Y6" s="1523"/>
      <c r="Z6" s="1523"/>
    </row>
    <row r="7" spans="1:26" ht="12.75" customHeight="1">
      <c r="A7" s="1713">
        <f t="shared" si="3"/>
        <v>3</v>
      </c>
      <c r="B7" s="1717" t="s">
        <v>998</v>
      </c>
      <c r="C7" s="1717" t="s">
        <v>6315</v>
      </c>
      <c r="D7" s="1718"/>
      <c r="E7" s="1719">
        <f t="shared" si="0"/>
        <v>200</v>
      </c>
      <c r="F7" s="1719">
        <f t="shared" si="1"/>
        <v>0</v>
      </c>
      <c r="G7" s="207">
        <f>3.5+1.5+3.5+2.5</f>
        <v>11</v>
      </c>
      <c r="H7" s="1717"/>
      <c r="I7" s="1720">
        <f t="shared" si="2"/>
        <v>2200</v>
      </c>
      <c r="J7" s="1721" t="s">
        <v>3390</v>
      </c>
      <c r="K7" s="1523" t="s">
        <v>525</v>
      </c>
      <c r="L7" s="1523" t="s">
        <v>6316</v>
      </c>
      <c r="M7" s="1030" t="s">
        <v>3357</v>
      </c>
      <c r="N7" s="1523"/>
      <c r="O7" s="1523"/>
      <c r="P7" s="1523"/>
      <c r="Q7" s="1523"/>
      <c r="R7" s="1523"/>
      <c r="S7" s="1523"/>
      <c r="T7" s="1523"/>
      <c r="U7" s="1523"/>
      <c r="V7" s="1523"/>
      <c r="W7" s="1523"/>
      <c r="X7" s="1523"/>
      <c r="Y7" s="1523"/>
      <c r="Z7" s="1523"/>
    </row>
    <row r="8" spans="1:26" ht="12.75" customHeight="1">
      <c r="A8" s="1713">
        <f t="shared" si="3"/>
        <v>4</v>
      </c>
      <c r="B8" s="1717" t="s">
        <v>6317</v>
      </c>
      <c r="C8" s="1717" t="s">
        <v>3383</v>
      </c>
      <c r="D8" s="1718"/>
      <c r="E8" s="1719">
        <f t="shared" si="0"/>
        <v>600</v>
      </c>
      <c r="F8" s="1719">
        <f t="shared" si="1"/>
        <v>0</v>
      </c>
      <c r="G8" s="207">
        <v>3</v>
      </c>
      <c r="H8" s="1717"/>
      <c r="I8" s="1720">
        <f t="shared" si="2"/>
        <v>1800</v>
      </c>
      <c r="J8" s="1721" t="s">
        <v>3394</v>
      </c>
      <c r="K8" s="1523" t="s">
        <v>563</v>
      </c>
      <c r="L8" s="1523" t="s">
        <v>6318</v>
      </c>
      <c r="M8" s="1030" t="s">
        <v>1077</v>
      </c>
      <c r="N8" s="1523"/>
      <c r="O8" s="1523"/>
      <c r="P8" s="1523"/>
      <c r="Q8" s="1523"/>
      <c r="R8" s="1523"/>
      <c r="S8" s="1523"/>
      <c r="T8" s="1523"/>
      <c r="U8" s="1523"/>
      <c r="V8" s="1523"/>
      <c r="W8" s="1523"/>
      <c r="X8" s="1523"/>
      <c r="Y8" s="1523"/>
      <c r="Z8" s="1523"/>
    </row>
    <row r="9" spans="1:26" ht="12.75" customHeight="1">
      <c r="A9" s="1713">
        <f t="shared" si="3"/>
        <v>5</v>
      </c>
      <c r="B9" s="1717" t="s">
        <v>3356</v>
      </c>
      <c r="C9" s="1717" t="s">
        <v>6315</v>
      </c>
      <c r="D9" s="1718"/>
      <c r="E9" s="1719">
        <f t="shared" si="0"/>
        <v>200</v>
      </c>
      <c r="F9" s="1719">
        <f t="shared" si="1"/>
        <v>0</v>
      </c>
      <c r="G9" s="207">
        <f>3+3.5+2.5</f>
        <v>9</v>
      </c>
      <c r="H9" s="1717"/>
      <c r="I9" s="1720">
        <f t="shared" si="2"/>
        <v>1800</v>
      </c>
      <c r="J9" s="1721" t="s">
        <v>3397</v>
      </c>
      <c r="K9" s="1523" t="s">
        <v>6313</v>
      </c>
      <c r="L9" s="1523" t="s">
        <v>329</v>
      </c>
      <c r="M9" s="1030" t="s">
        <v>976</v>
      </c>
      <c r="N9" s="1523"/>
      <c r="O9" s="1523"/>
      <c r="P9" s="1523"/>
      <c r="Q9" s="1523"/>
      <c r="R9" s="1523"/>
      <c r="S9" s="1523"/>
      <c r="T9" s="1523"/>
      <c r="U9" s="1523"/>
      <c r="V9" s="1523"/>
      <c r="W9" s="1523"/>
      <c r="X9" s="1523"/>
      <c r="Y9" s="1523"/>
      <c r="Z9" s="1523"/>
    </row>
    <row r="10" spans="1:26" ht="12.75" customHeight="1">
      <c r="A10" s="1713">
        <f t="shared" si="3"/>
        <v>6</v>
      </c>
      <c r="B10" s="1717" t="s">
        <v>6314</v>
      </c>
      <c r="C10" s="1717" t="s">
        <v>6315</v>
      </c>
      <c r="D10" s="1718"/>
      <c r="E10" s="1719">
        <f t="shared" si="0"/>
        <v>200</v>
      </c>
      <c r="F10" s="1719">
        <f t="shared" si="1"/>
        <v>0</v>
      </c>
      <c r="G10" s="207">
        <f>3.5+0+0</f>
        <v>3.5</v>
      </c>
      <c r="H10" s="1717"/>
      <c r="I10" s="1720">
        <f t="shared" si="2"/>
        <v>700</v>
      </c>
      <c r="J10" s="1523"/>
      <c r="K10" s="1523" t="s">
        <v>6316</v>
      </c>
      <c r="L10" s="1523" t="s">
        <v>6319</v>
      </c>
      <c r="M10" s="1030" t="s">
        <v>1388</v>
      </c>
      <c r="N10" s="1523"/>
      <c r="O10" s="1523"/>
      <c r="P10" s="1523"/>
      <c r="Q10" s="1523"/>
      <c r="R10" s="1523"/>
      <c r="S10" s="1523"/>
      <c r="T10" s="1523"/>
      <c r="U10" s="1523"/>
      <c r="V10" s="1523"/>
      <c r="W10" s="1523"/>
      <c r="X10" s="1523"/>
      <c r="Y10" s="1523"/>
      <c r="Z10" s="1523"/>
    </row>
    <row r="11" spans="1:26" ht="12.75" customHeight="1">
      <c r="A11" s="1713">
        <f t="shared" si="3"/>
        <v>7</v>
      </c>
      <c r="B11" s="1717" t="s">
        <v>3357</v>
      </c>
      <c r="C11" s="1717" t="s">
        <v>6320</v>
      </c>
      <c r="D11" s="1718"/>
      <c r="E11" s="1719">
        <f t="shared" si="0"/>
        <v>150</v>
      </c>
      <c r="F11" s="1719">
        <f t="shared" si="1"/>
        <v>0</v>
      </c>
      <c r="G11" s="207">
        <f>3+3+2</f>
        <v>8</v>
      </c>
      <c r="H11" s="1717"/>
      <c r="I11" s="1720">
        <f t="shared" si="2"/>
        <v>1200</v>
      </c>
      <c r="J11" s="1523"/>
      <c r="K11" s="1523" t="s">
        <v>6318</v>
      </c>
      <c r="L11" s="1523" t="s">
        <v>177</v>
      </c>
      <c r="M11" s="1030" t="s">
        <v>2642</v>
      </c>
      <c r="N11" s="1523"/>
      <c r="O11" s="1523"/>
      <c r="P11" s="1523"/>
      <c r="Q11" s="1523"/>
      <c r="R11" s="1523"/>
      <c r="S11" s="1523"/>
      <c r="T11" s="1523"/>
      <c r="U11" s="1523"/>
      <c r="V11" s="1523"/>
      <c r="W11" s="1523"/>
      <c r="X11" s="1523"/>
      <c r="Y11" s="1523"/>
      <c r="Z11" s="1523"/>
    </row>
    <row r="12" spans="1:26" ht="12.75" customHeight="1">
      <c r="A12" s="1713">
        <f t="shared" si="3"/>
        <v>8</v>
      </c>
      <c r="B12" s="1717" t="s">
        <v>6321</v>
      </c>
      <c r="C12" s="1717" t="s">
        <v>151</v>
      </c>
      <c r="D12" s="1718"/>
      <c r="E12" s="1719">
        <f t="shared" si="0"/>
        <v>100</v>
      </c>
      <c r="F12" s="1719">
        <f t="shared" si="1"/>
        <v>0</v>
      </c>
      <c r="G12" s="207">
        <f>0+0+0+0</f>
        <v>0</v>
      </c>
      <c r="H12" s="1717"/>
      <c r="I12" s="1720">
        <f t="shared" si="2"/>
        <v>0</v>
      </c>
      <c r="J12" s="1523"/>
      <c r="K12" s="1523" t="s">
        <v>329</v>
      </c>
      <c r="L12" s="1523"/>
      <c r="M12" s="1030" t="s">
        <v>3366</v>
      </c>
      <c r="N12" s="1523"/>
      <c r="O12" s="1523"/>
      <c r="P12" s="1523"/>
      <c r="Q12" s="1523"/>
      <c r="R12" s="1523"/>
      <c r="S12" s="1523"/>
      <c r="T12" s="1523"/>
      <c r="U12" s="1523"/>
      <c r="V12" s="1523"/>
      <c r="W12" s="1523"/>
      <c r="X12" s="1523"/>
      <c r="Y12" s="1523"/>
      <c r="Z12" s="1523"/>
    </row>
    <row r="13" spans="1:26" ht="12.75" customHeight="1">
      <c r="A13" s="1713">
        <f t="shared" si="3"/>
        <v>9</v>
      </c>
      <c r="B13" s="1717" t="s">
        <v>1077</v>
      </c>
      <c r="C13" s="1717" t="s">
        <v>6315</v>
      </c>
      <c r="D13" s="1718"/>
      <c r="E13" s="1719">
        <f t="shared" si="0"/>
        <v>200</v>
      </c>
      <c r="F13" s="1719">
        <f t="shared" si="1"/>
        <v>0</v>
      </c>
      <c r="G13" s="207">
        <f>3+3+3+2</f>
        <v>11</v>
      </c>
      <c r="H13" s="1717"/>
      <c r="I13" s="1720">
        <f t="shared" si="2"/>
        <v>2200</v>
      </c>
      <c r="J13" s="1523"/>
      <c r="K13" s="1523" t="s">
        <v>6319</v>
      </c>
      <c r="L13" s="1523"/>
      <c r="M13" s="1030" t="s">
        <v>3368</v>
      </c>
      <c r="N13" s="1523"/>
      <c r="O13" s="1523"/>
      <c r="P13" s="1523"/>
      <c r="Q13" s="1523"/>
      <c r="R13" s="1523"/>
      <c r="S13" s="1523"/>
      <c r="T13" s="1523"/>
      <c r="U13" s="1523"/>
      <c r="V13" s="1523"/>
      <c r="W13" s="1523"/>
      <c r="X13" s="1523"/>
      <c r="Y13" s="1523"/>
      <c r="Z13" s="1523"/>
    </row>
    <row r="14" spans="1:26" ht="12.75" customHeight="1">
      <c r="A14" s="1713">
        <f t="shared" si="3"/>
        <v>10</v>
      </c>
      <c r="B14" s="1717" t="s">
        <v>976</v>
      </c>
      <c r="C14" s="1717" t="s">
        <v>6315</v>
      </c>
      <c r="D14" s="1718"/>
      <c r="E14" s="1719">
        <f t="shared" si="0"/>
        <v>200</v>
      </c>
      <c r="F14" s="1719">
        <f t="shared" si="1"/>
        <v>0</v>
      </c>
      <c r="G14" s="207">
        <f>3.5+3.5+3.5+2.5</f>
        <v>13</v>
      </c>
      <c r="H14" s="1717"/>
      <c r="I14" s="1720">
        <f t="shared" si="2"/>
        <v>2600</v>
      </c>
      <c r="J14" s="1523"/>
      <c r="K14" s="1523" t="s">
        <v>177</v>
      </c>
      <c r="L14" s="1523"/>
      <c r="M14" s="1030" t="s">
        <v>6322</v>
      </c>
      <c r="N14" s="1523"/>
      <c r="O14" s="1523"/>
      <c r="P14" s="1523"/>
      <c r="Q14" s="1523"/>
      <c r="R14" s="1523"/>
      <c r="S14" s="1523"/>
      <c r="T14" s="1523"/>
      <c r="U14" s="1523"/>
      <c r="V14" s="1523"/>
      <c r="W14" s="1523"/>
      <c r="X14" s="1523"/>
      <c r="Y14" s="1523"/>
      <c r="Z14" s="1523"/>
    </row>
    <row r="15" spans="1:26" ht="12.75" customHeight="1" outlineLevel="1">
      <c r="A15" s="1713">
        <f t="shared" si="3"/>
        <v>11</v>
      </c>
      <c r="B15" s="1717" t="s">
        <v>1388</v>
      </c>
      <c r="C15" s="1717" t="s">
        <v>6315</v>
      </c>
      <c r="D15" s="1718"/>
      <c r="E15" s="1719">
        <f t="shared" si="0"/>
        <v>200</v>
      </c>
      <c r="F15" s="1719">
        <f t="shared" si="1"/>
        <v>0</v>
      </c>
      <c r="G15" s="207">
        <f>3.5+3+3.5+2.5</f>
        <v>12.5</v>
      </c>
      <c r="H15" s="1717"/>
      <c r="I15" s="1720">
        <f t="shared" si="2"/>
        <v>2500</v>
      </c>
      <c r="J15" s="1523"/>
      <c r="K15" s="1523" t="s">
        <v>3403</v>
      </c>
      <c r="L15" s="1523"/>
      <c r="M15" s="1030" t="s">
        <v>6323</v>
      </c>
      <c r="N15" s="1523"/>
      <c r="O15" s="1523"/>
      <c r="P15" s="1523"/>
      <c r="Q15" s="1523"/>
      <c r="R15" s="1523"/>
      <c r="S15" s="1523"/>
      <c r="T15" s="1523"/>
      <c r="U15" s="1523"/>
      <c r="V15" s="1523"/>
      <c r="W15" s="1523"/>
      <c r="X15" s="1523"/>
      <c r="Y15" s="1523"/>
      <c r="Z15" s="1523"/>
    </row>
    <row r="16" spans="1:26" ht="12.75" customHeight="1" outlineLevel="1">
      <c r="A16" s="1713">
        <f t="shared" si="3"/>
        <v>12</v>
      </c>
      <c r="B16" s="1717" t="s">
        <v>2642</v>
      </c>
      <c r="C16" s="1717" t="s">
        <v>6315</v>
      </c>
      <c r="D16" s="1718"/>
      <c r="E16" s="1719">
        <f t="shared" si="0"/>
        <v>200</v>
      </c>
      <c r="F16" s="1719">
        <f t="shared" si="1"/>
        <v>0</v>
      </c>
      <c r="G16" s="207">
        <f>3.5+3.5+3.5+2.5</f>
        <v>13</v>
      </c>
      <c r="H16" s="1717"/>
      <c r="I16" s="1720">
        <f t="shared" si="2"/>
        <v>2600</v>
      </c>
      <c r="J16" s="1523"/>
      <c r="K16" s="1523"/>
      <c r="L16" s="1523"/>
      <c r="M16" s="1030" t="s">
        <v>6324</v>
      </c>
      <c r="N16" s="1523"/>
      <c r="O16" s="1523"/>
      <c r="P16" s="1523"/>
      <c r="Q16" s="1523"/>
      <c r="R16" s="1523"/>
      <c r="S16" s="1523"/>
      <c r="T16" s="1523"/>
      <c r="U16" s="1523"/>
      <c r="V16" s="1523"/>
      <c r="W16" s="1523"/>
      <c r="X16" s="1523"/>
      <c r="Y16" s="1523"/>
      <c r="Z16" s="1523"/>
    </row>
    <row r="17" spans="1:26" ht="12.75" customHeight="1" outlineLevel="1">
      <c r="A17" s="1713">
        <f t="shared" si="3"/>
        <v>13</v>
      </c>
      <c r="B17" s="1717" t="s">
        <v>3366</v>
      </c>
      <c r="C17" s="1717" t="s">
        <v>6315</v>
      </c>
      <c r="D17" s="1718"/>
      <c r="E17" s="1719">
        <f t="shared" si="0"/>
        <v>200</v>
      </c>
      <c r="F17" s="1719">
        <f t="shared" si="1"/>
        <v>0</v>
      </c>
      <c r="G17" s="207">
        <f>3.5+4+3.5+3</f>
        <v>14</v>
      </c>
      <c r="H17" s="1717"/>
      <c r="I17" s="1720">
        <f t="shared" si="2"/>
        <v>2800</v>
      </c>
      <c r="J17" s="1523"/>
      <c r="K17" s="1523"/>
      <c r="L17" s="1523"/>
      <c r="M17" s="1030" t="s">
        <v>2940</v>
      </c>
      <c r="N17" s="1523"/>
      <c r="O17" s="1523"/>
      <c r="P17" s="1523"/>
      <c r="Q17" s="1523"/>
      <c r="R17" s="1523"/>
      <c r="S17" s="1523"/>
      <c r="T17" s="1523"/>
      <c r="U17" s="1523"/>
      <c r="V17" s="1523"/>
      <c r="W17" s="1523"/>
      <c r="X17" s="1523"/>
      <c r="Y17" s="1523"/>
      <c r="Z17" s="1523"/>
    </row>
    <row r="18" spans="1:26" ht="12.75" customHeight="1" outlineLevel="1">
      <c r="A18" s="1713">
        <f t="shared" si="3"/>
        <v>14</v>
      </c>
      <c r="B18" s="1717" t="s">
        <v>3370</v>
      </c>
      <c r="C18" s="1717" t="s">
        <v>151</v>
      </c>
      <c r="D18" s="1718"/>
      <c r="E18" s="1719">
        <f t="shared" si="0"/>
        <v>100</v>
      </c>
      <c r="F18" s="1719">
        <f t="shared" si="1"/>
        <v>0</v>
      </c>
      <c r="G18" s="207">
        <f>0+0+0</f>
        <v>0</v>
      </c>
      <c r="H18" s="1717"/>
      <c r="I18" s="1720">
        <f t="shared" si="2"/>
        <v>0</v>
      </c>
      <c r="J18" s="1523"/>
      <c r="K18" s="1523"/>
      <c r="L18" s="1523"/>
      <c r="M18" s="1030" t="s">
        <v>2667</v>
      </c>
      <c r="N18" s="1523"/>
      <c r="O18" s="1523"/>
      <c r="P18" s="1523"/>
      <c r="Q18" s="1523"/>
      <c r="R18" s="1523"/>
      <c r="S18" s="1523"/>
      <c r="T18" s="1523"/>
      <c r="U18" s="1523"/>
      <c r="V18" s="1523"/>
      <c r="W18" s="1523"/>
      <c r="X18" s="1523"/>
      <c r="Y18" s="1523"/>
      <c r="Z18" s="1523"/>
    </row>
    <row r="19" spans="1:26" ht="12.75" customHeight="1" outlineLevel="1">
      <c r="A19" s="1713">
        <f t="shared" si="3"/>
        <v>15</v>
      </c>
      <c r="B19" s="1717" t="s">
        <v>2940</v>
      </c>
      <c r="C19" s="1717" t="s">
        <v>6315</v>
      </c>
      <c r="D19" s="1718"/>
      <c r="E19" s="1719">
        <f t="shared" si="0"/>
        <v>200</v>
      </c>
      <c r="F19" s="1719">
        <f t="shared" si="1"/>
        <v>0</v>
      </c>
      <c r="G19" s="207">
        <f>3+3+2+2</f>
        <v>10</v>
      </c>
      <c r="H19" s="1717"/>
      <c r="I19" s="1720">
        <f t="shared" si="2"/>
        <v>2000</v>
      </c>
      <c r="J19" s="1523"/>
      <c r="K19" s="1523"/>
      <c r="L19" s="1523"/>
      <c r="M19" s="1030" t="s">
        <v>3396</v>
      </c>
      <c r="N19" s="1523"/>
      <c r="O19" s="1523"/>
      <c r="P19" s="1523"/>
      <c r="Q19" s="1523"/>
      <c r="R19" s="1523"/>
      <c r="S19" s="1523"/>
      <c r="T19" s="1523"/>
      <c r="U19" s="1523"/>
      <c r="V19" s="1523"/>
      <c r="W19" s="1523"/>
      <c r="X19" s="1523"/>
      <c r="Y19" s="1523"/>
      <c r="Z19" s="1523"/>
    </row>
    <row r="20" spans="1:26" ht="12.75" customHeight="1" outlineLevel="1">
      <c r="A20" s="1713">
        <f t="shared" si="3"/>
        <v>16</v>
      </c>
      <c r="B20" s="1717" t="s">
        <v>3372</v>
      </c>
      <c r="C20" s="1717" t="s">
        <v>6315</v>
      </c>
      <c r="D20" s="1718"/>
      <c r="E20" s="1719">
        <f t="shared" si="0"/>
        <v>200</v>
      </c>
      <c r="F20" s="1719">
        <f t="shared" si="1"/>
        <v>0</v>
      </c>
      <c r="G20" s="207">
        <f>0+0+0+0</f>
        <v>0</v>
      </c>
      <c r="H20" s="1717"/>
      <c r="I20" s="1720">
        <f t="shared" si="2"/>
        <v>0</v>
      </c>
      <c r="J20" s="1523"/>
      <c r="K20" s="1523"/>
      <c r="L20" s="1523"/>
      <c r="M20" s="1030" t="s">
        <v>6325</v>
      </c>
      <c r="N20" s="1523"/>
      <c r="O20" s="1523"/>
      <c r="P20" s="1523"/>
      <c r="Q20" s="1523"/>
      <c r="R20" s="1523"/>
      <c r="S20" s="1523"/>
      <c r="T20" s="1523"/>
      <c r="U20" s="1523"/>
      <c r="V20" s="1523"/>
      <c r="W20" s="1523"/>
      <c r="X20" s="1523"/>
      <c r="Y20" s="1523"/>
      <c r="Z20" s="1523"/>
    </row>
    <row r="21" spans="1:26" ht="12.75" customHeight="1" outlineLevel="1">
      <c r="A21" s="1713">
        <f t="shared" si="3"/>
        <v>17</v>
      </c>
      <c r="B21" s="1717" t="s">
        <v>2667</v>
      </c>
      <c r="C21" s="1717" t="s">
        <v>6315</v>
      </c>
      <c r="D21" s="1718"/>
      <c r="E21" s="1719">
        <f t="shared" si="0"/>
        <v>200</v>
      </c>
      <c r="F21" s="1719">
        <f t="shared" si="1"/>
        <v>0</v>
      </c>
      <c r="G21" s="207">
        <f>3.5+3.5+3.5+2</f>
        <v>12.5</v>
      </c>
      <c r="H21" s="1717"/>
      <c r="I21" s="1720">
        <f t="shared" si="2"/>
        <v>2500</v>
      </c>
      <c r="J21" s="1523"/>
      <c r="K21" s="1523"/>
      <c r="L21" s="1523"/>
      <c r="M21" s="1030" t="s">
        <v>6325</v>
      </c>
      <c r="N21" s="1523"/>
      <c r="O21" s="1523"/>
      <c r="P21" s="1523"/>
      <c r="Q21" s="1523"/>
      <c r="R21" s="1523"/>
      <c r="S21" s="1523"/>
      <c r="T21" s="1523"/>
      <c r="U21" s="1523"/>
      <c r="V21" s="1523"/>
      <c r="W21" s="1523"/>
      <c r="X21" s="1523"/>
      <c r="Y21" s="1523"/>
      <c r="Z21" s="1523"/>
    </row>
    <row r="22" spans="1:26" ht="12.75" customHeight="1" outlineLevel="1">
      <c r="A22" s="1713">
        <f t="shared" si="3"/>
        <v>18</v>
      </c>
      <c r="B22" s="1717" t="s">
        <v>3391</v>
      </c>
      <c r="C22" s="1717" t="s">
        <v>151</v>
      </c>
      <c r="D22" s="1718"/>
      <c r="E22" s="1719">
        <f t="shared" si="0"/>
        <v>100</v>
      </c>
      <c r="F22" s="1719">
        <f t="shared" si="1"/>
        <v>0</v>
      </c>
      <c r="G22" s="207">
        <f>0+3.5+3.5+2.5</f>
        <v>9.5</v>
      </c>
      <c r="H22" s="1717"/>
      <c r="I22" s="1720">
        <f t="shared" si="2"/>
        <v>950</v>
      </c>
      <c r="J22" s="1523"/>
      <c r="K22" s="1523"/>
      <c r="L22" s="1523"/>
      <c r="M22" s="1030" t="s">
        <v>3145</v>
      </c>
      <c r="N22" s="1523"/>
      <c r="O22" s="1523"/>
      <c r="P22" s="1523"/>
      <c r="Q22" s="1523"/>
      <c r="R22" s="1523"/>
      <c r="S22" s="1523"/>
      <c r="T22" s="1523"/>
      <c r="U22" s="1523"/>
      <c r="V22" s="1523"/>
      <c r="W22" s="1523"/>
      <c r="X22" s="1523"/>
      <c r="Y22" s="1523"/>
      <c r="Z22" s="1523"/>
    </row>
    <row r="23" spans="1:26" ht="12.75" customHeight="1" outlineLevel="1">
      <c r="A23" s="1713">
        <f t="shared" si="3"/>
        <v>19</v>
      </c>
      <c r="B23" s="1717" t="s">
        <v>3396</v>
      </c>
      <c r="C23" s="1717" t="s">
        <v>151</v>
      </c>
      <c r="D23" s="1718"/>
      <c r="E23" s="1719">
        <f t="shared" si="0"/>
        <v>100</v>
      </c>
      <c r="F23" s="1719">
        <f t="shared" si="1"/>
        <v>0</v>
      </c>
      <c r="G23" s="207">
        <f>0+3.5+3.5+2</f>
        <v>9</v>
      </c>
      <c r="H23" s="1717"/>
      <c r="I23" s="1720">
        <f t="shared" si="2"/>
        <v>900</v>
      </c>
      <c r="J23" s="1523"/>
      <c r="K23" s="1523"/>
      <c r="L23" s="1523"/>
      <c r="M23" s="1030" t="s">
        <v>3395</v>
      </c>
      <c r="N23" s="1523"/>
      <c r="O23" s="1523"/>
      <c r="P23" s="1523"/>
      <c r="Q23" s="1523"/>
      <c r="R23" s="1523"/>
      <c r="S23" s="1523"/>
      <c r="T23" s="1523"/>
      <c r="U23" s="1523"/>
      <c r="V23" s="1523"/>
      <c r="W23" s="1523"/>
      <c r="X23" s="1523"/>
      <c r="Y23" s="1523"/>
      <c r="Z23" s="1523"/>
    </row>
    <row r="24" spans="1:26" ht="12.75" customHeight="1" outlineLevel="1">
      <c r="A24" s="1713">
        <f t="shared" si="3"/>
        <v>20</v>
      </c>
      <c r="B24" s="1717" t="s">
        <v>3399</v>
      </c>
      <c r="C24" s="1717" t="s">
        <v>151</v>
      </c>
      <c r="D24" s="1718"/>
      <c r="E24" s="1719">
        <f t="shared" si="0"/>
        <v>100</v>
      </c>
      <c r="F24" s="1719">
        <f t="shared" si="1"/>
        <v>0</v>
      </c>
      <c r="G24" s="207">
        <f>0+0+3.5+2</f>
        <v>5.5</v>
      </c>
      <c r="H24" s="1717"/>
      <c r="I24" s="1720">
        <f t="shared" si="2"/>
        <v>550</v>
      </c>
      <c r="J24" s="1523"/>
      <c r="K24" s="1523"/>
      <c r="L24" s="1523"/>
      <c r="M24" s="1030" t="s">
        <v>3405</v>
      </c>
      <c r="N24" s="1523"/>
      <c r="O24" s="1523"/>
      <c r="P24" s="1523"/>
      <c r="Q24" s="1523"/>
      <c r="R24" s="1523"/>
      <c r="S24" s="1523"/>
      <c r="T24" s="1523"/>
      <c r="U24" s="1523"/>
      <c r="V24" s="1523"/>
      <c r="W24" s="1523"/>
      <c r="X24" s="1523"/>
      <c r="Y24" s="1523"/>
      <c r="Z24" s="1523"/>
    </row>
    <row r="25" spans="1:26" ht="12.75" customHeight="1" outlineLevel="1">
      <c r="A25" s="1713">
        <f t="shared" si="3"/>
        <v>21</v>
      </c>
      <c r="B25" s="1717" t="s">
        <v>3387</v>
      </c>
      <c r="C25" s="1717" t="s">
        <v>6315</v>
      </c>
      <c r="D25" s="1718"/>
      <c r="E25" s="1719">
        <f t="shared" si="0"/>
        <v>200</v>
      </c>
      <c r="F25" s="1719">
        <f t="shared" si="1"/>
        <v>0</v>
      </c>
      <c r="G25" s="207">
        <f>0+3.5+2.5+1.5</f>
        <v>7.5</v>
      </c>
      <c r="H25" s="1717"/>
      <c r="I25" s="1720">
        <f t="shared" si="2"/>
        <v>1500</v>
      </c>
      <c r="J25" s="1523"/>
      <c r="K25" s="1523"/>
      <c r="L25" s="1523"/>
      <c r="M25" s="1030" t="s">
        <v>2802</v>
      </c>
      <c r="N25" s="1523"/>
      <c r="O25" s="1523"/>
      <c r="P25" s="1523"/>
      <c r="Q25" s="1523"/>
      <c r="R25" s="1523"/>
      <c r="S25" s="1523"/>
      <c r="T25" s="1523"/>
      <c r="U25" s="1523"/>
      <c r="V25" s="1523"/>
      <c r="W25" s="1523"/>
      <c r="X25" s="1523"/>
      <c r="Y25" s="1523"/>
      <c r="Z25" s="1523"/>
    </row>
    <row r="26" spans="1:26" ht="12.75" customHeight="1" outlineLevel="1">
      <c r="A26" s="1713">
        <f t="shared" si="3"/>
        <v>22</v>
      </c>
      <c r="B26" s="1717" t="s">
        <v>2689</v>
      </c>
      <c r="C26" s="1717" t="s">
        <v>6315</v>
      </c>
      <c r="D26" s="1718"/>
      <c r="E26" s="1719">
        <f t="shared" si="0"/>
        <v>200</v>
      </c>
      <c r="F26" s="1719">
        <f t="shared" si="1"/>
        <v>0</v>
      </c>
      <c r="G26" s="207">
        <f>0+0+0+0</f>
        <v>0</v>
      </c>
      <c r="H26" s="1717"/>
      <c r="I26" s="1720">
        <f t="shared" si="2"/>
        <v>0</v>
      </c>
      <c r="J26" s="1523"/>
      <c r="K26" s="1523"/>
      <c r="L26" s="1523"/>
      <c r="M26" s="1529"/>
      <c r="N26" s="1523"/>
      <c r="O26" s="1523"/>
      <c r="P26" s="1523"/>
      <c r="Q26" s="1523"/>
      <c r="R26" s="1523"/>
      <c r="S26" s="1523"/>
      <c r="T26" s="1523"/>
      <c r="U26" s="1523"/>
      <c r="V26" s="1523"/>
      <c r="W26" s="1523"/>
      <c r="X26" s="1523"/>
      <c r="Y26" s="1523"/>
      <c r="Z26" s="1523"/>
    </row>
    <row r="27" spans="1:26" ht="12.75" customHeight="1" outlineLevel="1">
      <c r="A27" s="1713">
        <f t="shared" si="3"/>
        <v>23</v>
      </c>
      <c r="B27" s="1717" t="s">
        <v>3395</v>
      </c>
      <c r="C27" s="1717" t="s">
        <v>6315</v>
      </c>
      <c r="D27" s="1718"/>
      <c r="E27" s="1719">
        <f t="shared" si="0"/>
        <v>200</v>
      </c>
      <c r="F27" s="1719">
        <f t="shared" si="1"/>
        <v>0</v>
      </c>
      <c r="G27" s="207">
        <f>3.5+4+3.5+2.5</f>
        <v>13.5</v>
      </c>
      <c r="H27" s="1717"/>
      <c r="I27" s="1720">
        <f t="shared" si="2"/>
        <v>2700</v>
      </c>
      <c r="J27" s="1523"/>
      <c r="K27" s="1523"/>
      <c r="L27" s="1523"/>
      <c r="M27" s="1523"/>
      <c r="N27" s="1523"/>
      <c r="O27" s="1523"/>
      <c r="P27" s="1523"/>
      <c r="Q27" s="1523"/>
      <c r="R27" s="1523"/>
      <c r="S27" s="1523"/>
      <c r="T27" s="1523"/>
      <c r="U27" s="1523"/>
      <c r="V27" s="1523"/>
      <c r="W27" s="1523"/>
      <c r="X27" s="1523"/>
      <c r="Y27" s="1523"/>
      <c r="Z27" s="1523"/>
    </row>
    <row r="28" spans="1:26" ht="12.75" customHeight="1" outlineLevel="1">
      <c r="A28" s="1713">
        <f t="shared" si="3"/>
        <v>24</v>
      </c>
      <c r="B28" s="1717" t="s">
        <v>3398</v>
      </c>
      <c r="C28" s="1717" t="s">
        <v>151</v>
      </c>
      <c r="D28" s="1718"/>
      <c r="E28" s="1719">
        <f t="shared" si="0"/>
        <v>100</v>
      </c>
      <c r="F28" s="1719">
        <f t="shared" si="1"/>
        <v>0</v>
      </c>
      <c r="G28" s="207">
        <f>0+0+0+0</f>
        <v>0</v>
      </c>
      <c r="H28" s="1717"/>
      <c r="I28" s="1720">
        <f t="shared" si="2"/>
        <v>0</v>
      </c>
      <c r="J28" s="1523"/>
      <c r="K28" s="1523"/>
      <c r="L28" s="1523"/>
      <c r="M28" s="1523"/>
      <c r="N28" s="1523"/>
      <c r="O28" s="1523"/>
      <c r="P28" s="1523"/>
      <c r="Q28" s="1523"/>
      <c r="R28" s="1523"/>
      <c r="S28" s="1523"/>
      <c r="T28" s="1523"/>
      <c r="U28" s="1523"/>
      <c r="V28" s="1523"/>
      <c r="W28" s="1523"/>
      <c r="X28" s="1523"/>
      <c r="Y28" s="1523"/>
      <c r="Z28" s="1523"/>
    </row>
    <row r="29" spans="1:26" ht="12.75" customHeight="1" outlineLevel="1">
      <c r="A29" s="1713">
        <f t="shared" si="3"/>
        <v>25</v>
      </c>
      <c r="B29" s="1717" t="s">
        <v>3405</v>
      </c>
      <c r="C29" s="1717" t="s">
        <v>6315</v>
      </c>
      <c r="D29" s="1718"/>
      <c r="E29" s="1719">
        <f t="shared" si="0"/>
        <v>200</v>
      </c>
      <c r="F29" s="1719">
        <f t="shared" si="1"/>
        <v>0</v>
      </c>
      <c r="G29" s="207">
        <f>3.5+3+3.5+2.5</f>
        <v>12.5</v>
      </c>
      <c r="H29" s="1717"/>
      <c r="I29" s="1720">
        <f t="shared" si="2"/>
        <v>2500</v>
      </c>
      <c r="J29" s="1523"/>
      <c r="K29" s="1523"/>
      <c r="L29" s="1523"/>
      <c r="M29" s="1523"/>
      <c r="N29" s="1523"/>
      <c r="O29" s="1523"/>
      <c r="P29" s="1523"/>
      <c r="Q29" s="1523"/>
      <c r="R29" s="1523"/>
      <c r="S29" s="1523"/>
      <c r="T29" s="1523"/>
      <c r="U29" s="1523"/>
      <c r="V29" s="1523"/>
      <c r="W29" s="1523"/>
      <c r="X29" s="1523"/>
      <c r="Y29" s="1523"/>
      <c r="Z29" s="1523"/>
    </row>
    <row r="30" spans="1:26" ht="12.75" customHeight="1" outlineLevel="1">
      <c r="A30" s="1713">
        <f t="shared" si="3"/>
        <v>26</v>
      </c>
      <c r="B30" s="1717" t="s">
        <v>3401</v>
      </c>
      <c r="C30" s="1717" t="s">
        <v>151</v>
      </c>
      <c r="D30" s="1718"/>
      <c r="E30" s="1719">
        <f t="shared" si="0"/>
        <v>100</v>
      </c>
      <c r="F30" s="1719">
        <f t="shared" si="1"/>
        <v>0</v>
      </c>
      <c r="G30" s="207">
        <f>0+0+0+0</f>
        <v>0</v>
      </c>
      <c r="H30" s="1717"/>
      <c r="I30" s="1720">
        <f t="shared" si="2"/>
        <v>0</v>
      </c>
      <c r="J30" s="1523"/>
      <c r="K30" s="1523"/>
      <c r="L30" s="1523"/>
      <c r="M30" s="1523"/>
      <c r="N30" s="1523"/>
      <c r="O30" s="1523"/>
      <c r="P30" s="1523"/>
      <c r="Q30" s="1523"/>
      <c r="R30" s="1523"/>
      <c r="S30" s="1523"/>
      <c r="T30" s="1523"/>
      <c r="U30" s="1523"/>
      <c r="V30" s="1523"/>
      <c r="W30" s="1523"/>
      <c r="X30" s="1523"/>
      <c r="Y30" s="1523"/>
      <c r="Z30" s="1523"/>
    </row>
    <row r="31" spans="1:26" ht="12.75" customHeight="1" outlineLevel="1">
      <c r="A31" s="1713">
        <f t="shared" si="3"/>
        <v>27</v>
      </c>
      <c r="B31" s="1717" t="s">
        <v>2802</v>
      </c>
      <c r="C31" s="1717" t="s">
        <v>6315</v>
      </c>
      <c r="D31" s="1718"/>
      <c r="E31" s="1719">
        <f t="shared" si="0"/>
        <v>200</v>
      </c>
      <c r="F31" s="1719">
        <f t="shared" si="1"/>
        <v>0</v>
      </c>
      <c r="G31" s="207">
        <f>3.5+3.5+3.5+2.5</f>
        <v>13</v>
      </c>
      <c r="H31" s="1717"/>
      <c r="I31" s="1720">
        <f t="shared" si="2"/>
        <v>2600</v>
      </c>
      <c r="J31" s="1523"/>
      <c r="K31" s="1523"/>
      <c r="L31" s="1523"/>
      <c r="M31" s="1523"/>
      <c r="N31" s="1523"/>
      <c r="O31" s="1523"/>
      <c r="P31" s="1523"/>
      <c r="Q31" s="1523"/>
      <c r="R31" s="1523"/>
      <c r="S31" s="1523"/>
      <c r="T31" s="1523"/>
      <c r="U31" s="1523"/>
      <c r="V31" s="1523"/>
      <c r="W31" s="1523"/>
      <c r="X31" s="1523"/>
      <c r="Y31" s="1523"/>
      <c r="Z31" s="1523"/>
    </row>
    <row r="32" spans="1:26" ht="12.75" customHeight="1" outlineLevel="1">
      <c r="A32" s="1713">
        <f t="shared" si="3"/>
        <v>28</v>
      </c>
      <c r="B32" s="1717" t="s">
        <v>3407</v>
      </c>
      <c r="C32" s="1717" t="s">
        <v>151</v>
      </c>
      <c r="D32" s="1718"/>
      <c r="E32" s="1719">
        <f t="shared" si="0"/>
        <v>100</v>
      </c>
      <c r="F32" s="1719">
        <f t="shared" si="1"/>
        <v>0</v>
      </c>
      <c r="G32" s="207">
        <f>0+0+0</f>
        <v>0</v>
      </c>
      <c r="H32" s="1717"/>
      <c r="I32" s="1720">
        <f t="shared" si="2"/>
        <v>0</v>
      </c>
      <c r="J32" s="1523"/>
      <c r="K32" s="1523"/>
      <c r="L32" s="1523"/>
      <c r="M32" s="1523"/>
      <c r="N32" s="1523"/>
      <c r="O32" s="1523"/>
      <c r="P32" s="1523"/>
      <c r="Q32" s="1523"/>
      <c r="R32" s="1523"/>
      <c r="S32" s="1523"/>
      <c r="T32" s="1523"/>
      <c r="U32" s="1523"/>
      <c r="V32" s="1523"/>
      <c r="W32" s="1523"/>
      <c r="X32" s="1523"/>
      <c r="Y32" s="1523"/>
      <c r="Z32" s="1523"/>
    </row>
    <row r="33" spans="1:26" ht="12.75" customHeight="1" outlineLevel="1">
      <c r="A33" s="1713">
        <f t="shared" si="3"/>
        <v>29</v>
      </c>
      <c r="B33" s="1717"/>
      <c r="C33" s="1717"/>
      <c r="D33" s="1718"/>
      <c r="E33" s="1719">
        <f t="shared" si="0"/>
        <v>0</v>
      </c>
      <c r="F33" s="1719">
        <f t="shared" si="1"/>
        <v>0</v>
      </c>
      <c r="G33" s="1722">
        <v>0</v>
      </c>
      <c r="H33" s="1717"/>
      <c r="I33" s="1720">
        <f t="shared" si="2"/>
        <v>0</v>
      </c>
      <c r="J33" s="1523"/>
      <c r="K33" s="1523"/>
      <c r="L33" s="1523"/>
      <c r="M33" s="1523"/>
      <c r="N33" s="1523"/>
      <c r="O33" s="1523"/>
      <c r="P33" s="1523"/>
      <c r="Q33" s="1523"/>
      <c r="R33" s="1523"/>
      <c r="S33" s="1523"/>
      <c r="T33" s="1523"/>
      <c r="U33" s="1523"/>
      <c r="V33" s="1523"/>
      <c r="W33" s="1523"/>
      <c r="X33" s="1523"/>
      <c r="Y33" s="1523"/>
      <c r="Z33" s="1523"/>
    </row>
    <row r="34" spans="1:26" ht="12.75" customHeight="1" outlineLevel="1">
      <c r="A34" s="1713">
        <f t="shared" si="3"/>
        <v>30</v>
      </c>
      <c r="B34" s="1717"/>
      <c r="C34" s="1717"/>
      <c r="D34" s="1718"/>
      <c r="E34" s="1719">
        <f t="shared" si="0"/>
        <v>0</v>
      </c>
      <c r="F34" s="1719">
        <f t="shared" si="1"/>
        <v>0</v>
      </c>
      <c r="G34" s="1722">
        <v>0</v>
      </c>
      <c r="H34" s="1717"/>
      <c r="I34" s="1720"/>
      <c r="J34" s="1523"/>
      <c r="K34" s="1523"/>
      <c r="L34" s="1523"/>
      <c r="M34" s="1523"/>
      <c r="N34" s="1523"/>
      <c r="O34" s="1523"/>
      <c r="P34" s="1523"/>
      <c r="Q34" s="1523"/>
      <c r="R34" s="1523"/>
      <c r="S34" s="1523"/>
      <c r="T34" s="1523"/>
      <c r="U34" s="1523"/>
      <c r="V34" s="1523"/>
      <c r="W34" s="1523"/>
      <c r="X34" s="1523"/>
      <c r="Y34" s="1523"/>
      <c r="Z34" s="1523"/>
    </row>
    <row r="35" spans="1:26" ht="12.75" customHeight="1" outlineLevel="1">
      <c r="A35" s="1713">
        <f t="shared" si="3"/>
        <v>31</v>
      </c>
      <c r="B35" s="1717"/>
      <c r="C35" s="1717"/>
      <c r="D35" s="1718"/>
      <c r="E35" s="1719">
        <f t="shared" si="0"/>
        <v>0</v>
      </c>
      <c r="F35" s="1719">
        <f t="shared" si="1"/>
        <v>0</v>
      </c>
      <c r="G35" s="1722"/>
      <c r="H35" s="1717"/>
      <c r="I35" s="1720">
        <f>G35*E35+F35+H35</f>
        <v>0</v>
      </c>
      <c r="J35" s="1523"/>
      <c r="K35" s="1523"/>
      <c r="L35" s="1523"/>
      <c r="M35" s="1523"/>
      <c r="N35" s="1523"/>
      <c r="O35" s="1523"/>
      <c r="P35" s="1523"/>
      <c r="Q35" s="1523"/>
      <c r="R35" s="1523"/>
      <c r="S35" s="1523"/>
      <c r="T35" s="1523"/>
      <c r="U35" s="1523"/>
      <c r="V35" s="1523"/>
      <c r="W35" s="1523"/>
      <c r="X35" s="1523"/>
      <c r="Y35" s="1523"/>
      <c r="Z35" s="1523"/>
    </row>
    <row r="36" spans="1:26" ht="12.75" customHeight="1">
      <c r="A36" s="1723"/>
      <c r="B36" s="1724" t="s">
        <v>6326</v>
      </c>
      <c r="C36" s="1724"/>
      <c r="D36" s="1724"/>
      <c r="E36" s="1724"/>
      <c r="F36" s="1725"/>
      <c r="G36" s="1726"/>
      <c r="H36" s="1724"/>
      <c r="I36" s="1727">
        <f>SUM(I5:I35)</f>
        <v>44800</v>
      </c>
      <c r="J36" s="1728"/>
      <c r="K36" s="1523"/>
      <c r="L36" s="1523"/>
      <c r="M36" s="1523"/>
      <c r="N36" s="1523"/>
      <c r="O36" s="1523"/>
      <c r="P36" s="1523"/>
      <c r="Q36" s="1523"/>
      <c r="R36" s="1523"/>
      <c r="S36" s="1523"/>
      <c r="T36" s="1523"/>
      <c r="U36" s="1523"/>
      <c r="V36" s="1523"/>
      <c r="W36" s="1523"/>
      <c r="X36" s="1523"/>
      <c r="Y36" s="1523"/>
      <c r="Z36" s="1523"/>
    </row>
    <row r="37" spans="1:26" ht="12.75" customHeight="1">
      <c r="A37" s="1713"/>
      <c r="B37" s="1529" t="s">
        <v>6327</v>
      </c>
      <c r="C37" s="1729"/>
      <c r="D37" s="1523"/>
      <c r="E37" s="1523"/>
      <c r="F37" s="1714"/>
      <c r="G37" s="729"/>
      <c r="H37" s="1523"/>
      <c r="I37" s="1715"/>
      <c r="J37" s="1523"/>
      <c r="K37" s="1523"/>
      <c r="L37" s="1523"/>
      <c r="M37" s="1523"/>
      <c r="N37" s="1523"/>
      <c r="O37" s="1523"/>
      <c r="P37" s="1523"/>
      <c r="Q37" s="1523"/>
      <c r="R37" s="1523"/>
      <c r="S37" s="1523"/>
      <c r="T37" s="1523"/>
      <c r="U37" s="1523"/>
      <c r="V37" s="1523"/>
      <c r="W37" s="1523"/>
      <c r="X37" s="1523"/>
      <c r="Y37" s="1523"/>
      <c r="Z37" s="1523"/>
    </row>
    <row r="38" spans="1:26" ht="12.75" customHeight="1">
      <c r="A38" s="1730"/>
      <c r="B38" s="1523" t="s">
        <v>6328</v>
      </c>
      <c r="C38" s="1523"/>
      <c r="D38" s="1523"/>
      <c r="E38" s="1523"/>
      <c r="F38" s="1714"/>
      <c r="G38" s="729"/>
      <c r="H38" s="1523"/>
      <c r="I38" s="1731"/>
      <c r="J38" s="1730"/>
      <c r="K38" s="1529"/>
      <c r="L38" s="1529"/>
      <c r="M38" s="1523"/>
      <c r="N38" s="1529"/>
      <c r="O38" s="1529"/>
      <c r="P38" s="1529"/>
      <c r="Q38" s="1529"/>
      <c r="R38" s="1529"/>
      <c r="S38" s="1529"/>
      <c r="T38" s="1529"/>
      <c r="U38" s="1529"/>
      <c r="V38" s="1529"/>
      <c r="W38" s="1529"/>
      <c r="X38" s="1529"/>
      <c r="Y38" s="1529"/>
      <c r="Z38" s="1529"/>
    </row>
    <row r="39" spans="1:26" ht="12.75" customHeight="1">
      <c r="A39" s="1713"/>
      <c r="B39" s="1523" t="s">
        <v>3375</v>
      </c>
      <c r="C39" s="1523" t="s">
        <v>3376</v>
      </c>
      <c r="D39" s="1732" t="s">
        <v>118</v>
      </c>
      <c r="E39" s="1523" t="s">
        <v>3378</v>
      </c>
      <c r="F39" s="1732" t="s">
        <v>118</v>
      </c>
      <c r="G39" s="729" t="s">
        <v>3379</v>
      </c>
      <c r="H39" s="1523" t="s">
        <v>3380</v>
      </c>
      <c r="I39" s="1716" t="s">
        <v>6310</v>
      </c>
      <c r="J39" s="1523"/>
      <c r="K39" s="1523"/>
      <c r="L39" s="1523"/>
      <c r="M39" s="1523"/>
      <c r="N39" s="1523"/>
      <c r="O39" s="1523"/>
      <c r="P39" s="1523"/>
      <c r="Q39" s="1523"/>
      <c r="R39" s="1523"/>
      <c r="S39" s="1523"/>
      <c r="T39" s="1523"/>
      <c r="U39" s="1523"/>
      <c r="V39" s="1523"/>
      <c r="W39" s="1523"/>
      <c r="X39" s="1523"/>
      <c r="Y39" s="1523"/>
      <c r="Z39" s="1523"/>
    </row>
    <row r="40" spans="1:26" ht="12.75" customHeight="1">
      <c r="A40" s="1713">
        <v>1</v>
      </c>
      <c r="B40" s="1717"/>
      <c r="C40" s="1717"/>
      <c r="D40" s="1718"/>
      <c r="E40" s="1719">
        <f t="shared" ref="E40:E49" si="4">IF(C40="MT",400,IF(C40="ST",300,IF(C40="T",250,IF(C40="HC",200,IF(C40="SC",150,IF(C40="C",100,))))))+IF(C40="MTcod",300,IF(C40="STcod",250,IF(C40="Tcod",200,)))</f>
        <v>0</v>
      </c>
      <c r="F40" s="1733">
        <f t="shared" ref="F40:F49" si="5">IF(D40="x",E40/2,0)</f>
        <v>0</v>
      </c>
      <c r="G40" s="1722">
        <f t="shared" ref="G40:G49" si="6">$C$37</f>
        <v>0</v>
      </c>
      <c r="H40" s="1717"/>
      <c r="I40" s="1720">
        <f t="shared" ref="I40:I49" si="7">G40*E40+H40</f>
        <v>0</v>
      </c>
      <c r="J40" s="1523"/>
      <c r="K40" s="1523"/>
      <c r="L40" s="1523"/>
      <c r="M40" s="1523"/>
      <c r="N40" s="1523"/>
      <c r="O40" s="1523"/>
      <c r="P40" s="1523"/>
      <c r="Q40" s="1523"/>
      <c r="R40" s="1523"/>
      <c r="S40" s="1523"/>
      <c r="T40" s="1523"/>
      <c r="U40" s="1523"/>
      <c r="V40" s="1523"/>
      <c r="W40" s="1523"/>
      <c r="X40" s="1523"/>
      <c r="Y40" s="1523"/>
      <c r="Z40" s="1523"/>
    </row>
    <row r="41" spans="1:26" ht="12.75" customHeight="1">
      <c r="A41" s="1713">
        <f t="shared" ref="A41:A49" si="8">A40+1</f>
        <v>2</v>
      </c>
      <c r="B41" s="1717"/>
      <c r="C41" s="1717"/>
      <c r="D41" s="1718"/>
      <c r="E41" s="1719">
        <f t="shared" si="4"/>
        <v>0</v>
      </c>
      <c r="F41" s="1733">
        <f t="shared" si="5"/>
        <v>0</v>
      </c>
      <c r="G41" s="1722">
        <f t="shared" si="6"/>
        <v>0</v>
      </c>
      <c r="H41" s="1717"/>
      <c r="I41" s="1720">
        <f t="shared" si="7"/>
        <v>0</v>
      </c>
      <c r="J41" s="1523"/>
      <c r="K41" s="1523"/>
      <c r="L41" s="1523"/>
      <c r="M41" s="1523"/>
      <c r="N41" s="1523"/>
      <c r="O41" s="1523"/>
      <c r="P41" s="1523"/>
      <c r="Q41" s="1523"/>
      <c r="R41" s="1523"/>
      <c r="S41" s="1523"/>
      <c r="T41" s="1523"/>
      <c r="U41" s="1523"/>
      <c r="V41" s="1523"/>
      <c r="W41" s="1523"/>
      <c r="X41" s="1523"/>
      <c r="Y41" s="1523"/>
      <c r="Z41" s="1523"/>
    </row>
    <row r="42" spans="1:26" ht="12.75" customHeight="1">
      <c r="A42" s="1713">
        <f t="shared" si="8"/>
        <v>3</v>
      </c>
      <c r="B42" s="1717"/>
      <c r="C42" s="1717"/>
      <c r="D42" s="1718"/>
      <c r="E42" s="1719">
        <f t="shared" si="4"/>
        <v>0</v>
      </c>
      <c r="F42" s="1733">
        <f t="shared" si="5"/>
        <v>0</v>
      </c>
      <c r="G42" s="1722">
        <f t="shared" si="6"/>
        <v>0</v>
      </c>
      <c r="H42" s="1717"/>
      <c r="I42" s="1720">
        <f t="shared" si="7"/>
        <v>0</v>
      </c>
      <c r="J42" s="1523"/>
      <c r="K42" s="1523"/>
      <c r="L42" s="1523"/>
      <c r="M42" s="1523"/>
      <c r="N42" s="1523"/>
      <c r="O42" s="1523"/>
      <c r="P42" s="1523"/>
      <c r="Q42" s="1523"/>
      <c r="R42" s="1523"/>
      <c r="S42" s="1523"/>
      <c r="T42" s="1523"/>
      <c r="U42" s="1523"/>
      <c r="V42" s="1523"/>
      <c r="W42" s="1523"/>
      <c r="X42" s="1523"/>
      <c r="Y42" s="1523"/>
      <c r="Z42" s="1523"/>
    </row>
    <row r="43" spans="1:26" ht="12.75" customHeight="1">
      <c r="A43" s="1713">
        <f t="shared" si="8"/>
        <v>4</v>
      </c>
      <c r="B43" s="1717"/>
      <c r="C43" s="1717"/>
      <c r="D43" s="1718"/>
      <c r="E43" s="1719">
        <f t="shared" si="4"/>
        <v>0</v>
      </c>
      <c r="F43" s="1733">
        <f t="shared" si="5"/>
        <v>0</v>
      </c>
      <c r="G43" s="1722">
        <f t="shared" si="6"/>
        <v>0</v>
      </c>
      <c r="H43" s="1717"/>
      <c r="I43" s="1720">
        <f t="shared" si="7"/>
        <v>0</v>
      </c>
      <c r="J43" s="1523"/>
      <c r="K43" s="1523"/>
      <c r="L43" s="1523"/>
      <c r="M43" s="1523"/>
      <c r="N43" s="1523"/>
      <c r="O43" s="1523"/>
      <c r="P43" s="1523"/>
      <c r="Q43" s="1523"/>
      <c r="R43" s="1523"/>
      <c r="S43" s="1523"/>
      <c r="T43" s="1523"/>
      <c r="U43" s="1523"/>
      <c r="V43" s="1523"/>
      <c r="W43" s="1523"/>
      <c r="X43" s="1523"/>
      <c r="Y43" s="1523"/>
      <c r="Z43" s="1523"/>
    </row>
    <row r="44" spans="1:26" ht="12.75" customHeight="1">
      <c r="A44" s="1713">
        <f t="shared" si="8"/>
        <v>5</v>
      </c>
      <c r="B44" s="1717"/>
      <c r="C44" s="1717"/>
      <c r="D44" s="1718"/>
      <c r="E44" s="1719">
        <f t="shared" si="4"/>
        <v>0</v>
      </c>
      <c r="F44" s="1733">
        <f t="shared" si="5"/>
        <v>0</v>
      </c>
      <c r="G44" s="1722">
        <f t="shared" si="6"/>
        <v>0</v>
      </c>
      <c r="H44" s="1717"/>
      <c r="I44" s="1720">
        <f t="shared" si="7"/>
        <v>0</v>
      </c>
      <c r="J44" s="1523"/>
      <c r="K44" s="1523"/>
      <c r="L44" s="1523"/>
      <c r="M44" s="1523"/>
      <c r="N44" s="1523"/>
      <c r="O44" s="1523"/>
      <c r="P44" s="1523"/>
      <c r="Q44" s="1523"/>
      <c r="R44" s="1523"/>
      <c r="S44" s="1523"/>
      <c r="T44" s="1523"/>
      <c r="U44" s="1523"/>
      <c r="V44" s="1523"/>
      <c r="W44" s="1523"/>
      <c r="X44" s="1523"/>
      <c r="Y44" s="1523"/>
      <c r="Z44" s="1523"/>
    </row>
    <row r="45" spans="1:26" ht="12.75" customHeight="1" outlineLevel="1">
      <c r="A45" s="1713">
        <f t="shared" si="8"/>
        <v>6</v>
      </c>
      <c r="B45" s="1717"/>
      <c r="C45" s="1717"/>
      <c r="D45" s="1718"/>
      <c r="E45" s="1719">
        <f t="shared" si="4"/>
        <v>0</v>
      </c>
      <c r="F45" s="1733">
        <f t="shared" si="5"/>
        <v>0</v>
      </c>
      <c r="G45" s="1734">
        <f t="shared" si="6"/>
        <v>0</v>
      </c>
      <c r="H45" s="1717"/>
      <c r="I45" s="1720">
        <f t="shared" si="7"/>
        <v>0</v>
      </c>
      <c r="J45" s="1523"/>
      <c r="K45" s="1523"/>
      <c r="L45" s="1523"/>
      <c r="M45" s="1523"/>
      <c r="N45" s="1523"/>
      <c r="O45" s="1523"/>
      <c r="P45" s="1523"/>
      <c r="Q45" s="1523"/>
      <c r="R45" s="1523"/>
      <c r="S45" s="1523"/>
      <c r="T45" s="1523"/>
      <c r="U45" s="1523"/>
      <c r="V45" s="1523"/>
      <c r="W45" s="1523"/>
      <c r="X45" s="1523"/>
      <c r="Y45" s="1523"/>
      <c r="Z45" s="1523"/>
    </row>
    <row r="46" spans="1:26" ht="12.75" customHeight="1" outlineLevel="1">
      <c r="A46" s="1713">
        <f t="shared" si="8"/>
        <v>7</v>
      </c>
      <c r="B46" s="1717"/>
      <c r="C46" s="1717"/>
      <c r="D46" s="1718"/>
      <c r="E46" s="1719">
        <f t="shared" si="4"/>
        <v>0</v>
      </c>
      <c r="F46" s="1733">
        <f t="shared" si="5"/>
        <v>0</v>
      </c>
      <c r="G46" s="1734">
        <f t="shared" si="6"/>
        <v>0</v>
      </c>
      <c r="H46" s="1717"/>
      <c r="I46" s="1720">
        <f t="shared" si="7"/>
        <v>0</v>
      </c>
      <c r="J46" s="1523"/>
      <c r="K46" s="1523"/>
      <c r="L46" s="1523"/>
      <c r="M46" s="1523"/>
      <c r="N46" s="1523"/>
      <c r="O46" s="1523"/>
      <c r="P46" s="1523"/>
      <c r="Q46" s="1523"/>
      <c r="R46" s="1523"/>
      <c r="S46" s="1523"/>
      <c r="T46" s="1523"/>
      <c r="U46" s="1523"/>
      <c r="V46" s="1523"/>
      <c r="W46" s="1523"/>
      <c r="X46" s="1523"/>
      <c r="Y46" s="1523"/>
      <c r="Z46" s="1523"/>
    </row>
    <row r="47" spans="1:26" ht="12.75" customHeight="1" outlineLevel="1">
      <c r="A47" s="1713">
        <f t="shared" si="8"/>
        <v>8</v>
      </c>
      <c r="B47" s="1717"/>
      <c r="C47" s="1717"/>
      <c r="D47" s="1718"/>
      <c r="E47" s="1719">
        <f t="shared" si="4"/>
        <v>0</v>
      </c>
      <c r="F47" s="1733">
        <f t="shared" si="5"/>
        <v>0</v>
      </c>
      <c r="G47" s="1734">
        <f t="shared" si="6"/>
        <v>0</v>
      </c>
      <c r="H47" s="1717"/>
      <c r="I47" s="1720">
        <f t="shared" si="7"/>
        <v>0</v>
      </c>
      <c r="J47" s="1523"/>
      <c r="K47" s="1523"/>
      <c r="L47" s="1523"/>
      <c r="M47" s="1529"/>
      <c r="N47" s="1523"/>
      <c r="O47" s="1523"/>
      <c r="P47" s="1523"/>
      <c r="Q47" s="1523"/>
      <c r="R47" s="1523"/>
      <c r="S47" s="1523"/>
      <c r="T47" s="1523"/>
      <c r="U47" s="1523"/>
      <c r="V47" s="1523"/>
      <c r="W47" s="1523"/>
      <c r="X47" s="1523"/>
      <c r="Y47" s="1523"/>
      <c r="Z47" s="1523"/>
    </row>
    <row r="48" spans="1:26" ht="12.75" customHeight="1" outlineLevel="1">
      <c r="A48" s="1713">
        <f t="shared" si="8"/>
        <v>9</v>
      </c>
      <c r="B48" s="1717"/>
      <c r="C48" s="1717"/>
      <c r="D48" s="1718"/>
      <c r="E48" s="1719">
        <f t="shared" si="4"/>
        <v>0</v>
      </c>
      <c r="F48" s="1733">
        <f t="shared" si="5"/>
        <v>0</v>
      </c>
      <c r="G48" s="1734">
        <f t="shared" si="6"/>
        <v>0</v>
      </c>
      <c r="H48" s="1717"/>
      <c r="I48" s="1720">
        <f t="shared" si="7"/>
        <v>0</v>
      </c>
      <c r="J48" s="1523"/>
      <c r="K48" s="1523"/>
      <c r="L48" s="1523"/>
      <c r="M48" s="1523"/>
      <c r="N48" s="1523"/>
      <c r="O48" s="1523"/>
      <c r="P48" s="1523"/>
      <c r="Q48" s="1523"/>
      <c r="R48" s="1523"/>
      <c r="S48" s="1523"/>
      <c r="T48" s="1523"/>
      <c r="U48" s="1523"/>
      <c r="V48" s="1523"/>
      <c r="W48" s="1523"/>
      <c r="X48" s="1523"/>
      <c r="Y48" s="1523"/>
      <c r="Z48" s="1523"/>
    </row>
    <row r="49" spans="1:26" ht="12.75" customHeight="1" outlineLevel="1">
      <c r="A49" s="1713">
        <f t="shared" si="8"/>
        <v>10</v>
      </c>
      <c r="B49" s="1717"/>
      <c r="C49" s="1717"/>
      <c r="D49" s="1718"/>
      <c r="E49" s="1719">
        <f t="shared" si="4"/>
        <v>0</v>
      </c>
      <c r="F49" s="1733">
        <f t="shared" si="5"/>
        <v>0</v>
      </c>
      <c r="G49" s="1734">
        <f t="shared" si="6"/>
        <v>0</v>
      </c>
      <c r="H49" s="1717"/>
      <c r="I49" s="1720">
        <f t="shared" si="7"/>
        <v>0</v>
      </c>
      <c r="J49" s="1523"/>
      <c r="K49" s="1523"/>
      <c r="L49" s="1523"/>
      <c r="M49" s="1523"/>
      <c r="N49" s="1523"/>
      <c r="O49" s="1523"/>
      <c r="P49" s="1523"/>
      <c r="Q49" s="1523"/>
      <c r="R49" s="1523"/>
      <c r="S49" s="1523"/>
      <c r="T49" s="1523"/>
      <c r="U49" s="1523"/>
      <c r="V49" s="1523"/>
      <c r="W49" s="1523"/>
      <c r="X49" s="1523"/>
      <c r="Y49" s="1523"/>
      <c r="Z49" s="1523"/>
    </row>
    <row r="50" spans="1:26" ht="12.75" customHeight="1">
      <c r="A50" s="1713"/>
      <c r="B50" s="1529" t="s">
        <v>6329</v>
      </c>
      <c r="C50" s="1529"/>
      <c r="D50" s="1529"/>
      <c r="E50" s="1529"/>
      <c r="F50" s="1735"/>
      <c r="G50" s="779"/>
      <c r="H50" s="1529"/>
      <c r="I50" s="1736">
        <f>SUM(I40:I49)</f>
        <v>0</v>
      </c>
      <c r="J50" s="1523"/>
      <c r="K50" s="1523"/>
      <c r="L50" s="1523"/>
      <c r="M50" s="1523"/>
      <c r="N50" s="1523"/>
      <c r="O50" s="1523"/>
      <c r="P50" s="1523"/>
      <c r="Q50" s="1523"/>
      <c r="R50" s="1523"/>
      <c r="S50" s="1523"/>
      <c r="T50" s="1523"/>
      <c r="U50" s="1523"/>
      <c r="V50" s="1523"/>
      <c r="W50" s="1523"/>
      <c r="X50" s="1523"/>
      <c r="Y50" s="1523"/>
      <c r="Z50" s="1523"/>
    </row>
    <row r="51" spans="1:26" ht="12.75" customHeight="1">
      <c r="A51" s="1737"/>
      <c r="B51" s="1738" t="s">
        <v>6330</v>
      </c>
      <c r="C51" s="1739"/>
      <c r="D51" s="1739"/>
      <c r="E51" s="1739"/>
      <c r="F51" s="1739"/>
      <c r="G51" s="1740"/>
      <c r="H51" s="1739"/>
      <c r="I51" s="1715"/>
      <c r="J51" s="1523"/>
      <c r="K51" s="1523"/>
      <c r="L51" s="1523"/>
      <c r="M51" s="1523"/>
      <c r="N51" s="1523"/>
      <c r="O51" s="1523"/>
      <c r="P51" s="1523"/>
      <c r="Q51" s="1523"/>
      <c r="R51" s="1523"/>
      <c r="S51" s="1523"/>
      <c r="T51" s="1523"/>
      <c r="U51" s="1523"/>
      <c r="V51" s="1523"/>
      <c r="W51" s="1523"/>
      <c r="X51" s="1523"/>
      <c r="Y51" s="1523"/>
      <c r="Z51" s="1523"/>
    </row>
    <row r="52" spans="1:26" ht="12.75" customHeight="1">
      <c r="A52" s="1730"/>
      <c r="B52" s="1523"/>
      <c r="C52" s="1523" t="s">
        <v>3418</v>
      </c>
      <c r="D52" s="1523" t="s">
        <v>3420</v>
      </c>
      <c r="E52" s="1523" t="s">
        <v>3420</v>
      </c>
      <c r="F52" s="1741" t="s">
        <v>3421</v>
      </c>
      <c r="G52" s="729"/>
      <c r="H52" s="1523"/>
      <c r="I52" s="1731"/>
      <c r="J52" s="1529"/>
      <c r="K52" s="1529"/>
      <c r="L52" s="1529"/>
      <c r="M52" s="1529"/>
      <c r="N52" s="1529"/>
      <c r="O52" s="1529"/>
      <c r="P52" s="1529"/>
      <c r="Q52" s="1529"/>
      <c r="R52" s="1529"/>
      <c r="S52" s="1529"/>
      <c r="T52" s="1529"/>
      <c r="U52" s="1529"/>
      <c r="V52" s="1529"/>
      <c r="W52" s="1529"/>
      <c r="X52" s="1529"/>
      <c r="Y52" s="1529"/>
      <c r="Z52" s="1529"/>
    </row>
    <row r="53" spans="1:26" ht="12.75" customHeight="1">
      <c r="A53" s="1713"/>
      <c r="B53" s="1695" t="s">
        <v>3419</v>
      </c>
      <c r="C53" s="1742" t="s">
        <v>122</v>
      </c>
      <c r="D53" s="1717"/>
      <c r="E53" s="1717"/>
      <c r="F53" s="1743">
        <f>2160+2160</f>
        <v>4320</v>
      </c>
      <c r="G53" s="729"/>
      <c r="H53" s="1523"/>
      <c r="I53" s="1731"/>
      <c r="J53" s="1523"/>
      <c r="K53" s="1523"/>
      <c r="L53" s="1523"/>
      <c r="M53" s="1523"/>
      <c r="N53" s="1523"/>
      <c r="O53" s="1523"/>
      <c r="P53" s="1523"/>
      <c r="Q53" s="1523"/>
      <c r="R53" s="1523"/>
      <c r="S53" s="1523"/>
      <c r="T53" s="1523"/>
      <c r="U53" s="1523"/>
      <c r="V53" s="1523"/>
      <c r="W53" s="1523"/>
      <c r="X53" s="1523"/>
      <c r="Y53" s="1523"/>
      <c r="Z53" s="1523"/>
    </row>
    <row r="54" spans="1:26" ht="12.75" customHeight="1">
      <c r="A54" s="1713"/>
      <c r="B54" s="1529" t="s">
        <v>6331</v>
      </c>
      <c r="C54" s="1523" t="s">
        <v>3418</v>
      </c>
      <c r="D54" s="1523" t="s">
        <v>3420</v>
      </c>
      <c r="E54" s="1523" t="s">
        <v>3420</v>
      </c>
      <c r="F54" s="1741" t="s">
        <v>6332</v>
      </c>
      <c r="G54" s="729"/>
      <c r="H54" s="1523"/>
      <c r="I54" s="1731"/>
      <c r="J54" s="1523"/>
      <c r="K54" s="1523"/>
      <c r="L54" s="1523"/>
      <c r="M54" s="1523"/>
      <c r="N54" s="1523"/>
      <c r="O54" s="1523"/>
      <c r="P54" s="1523"/>
      <c r="Q54" s="1523"/>
      <c r="R54" s="1523"/>
      <c r="S54" s="1523"/>
      <c r="T54" s="1523"/>
      <c r="U54" s="1523"/>
      <c r="V54" s="1523"/>
      <c r="W54" s="1523"/>
      <c r="X54" s="1523"/>
      <c r="Y54" s="1523"/>
      <c r="Z54" s="1523"/>
    </row>
    <row r="55" spans="1:26" ht="12.75" customHeight="1">
      <c r="A55" s="1713">
        <v>1</v>
      </c>
      <c r="B55" s="1717" t="s">
        <v>6333</v>
      </c>
      <c r="C55" s="1744" t="s">
        <v>122</v>
      </c>
      <c r="D55" s="1745"/>
      <c r="E55" s="1745"/>
      <c r="F55" s="1746">
        <f>(120*0.3)</f>
        <v>36</v>
      </c>
      <c r="G55" s="1747" t="s">
        <v>3422</v>
      </c>
      <c r="H55" s="1748"/>
      <c r="I55" s="1749"/>
      <c r="J55" s="1523"/>
      <c r="K55" s="1523"/>
      <c r="L55" s="1523"/>
      <c r="M55" s="1523"/>
      <c r="N55" s="1523"/>
      <c r="O55" s="1523"/>
      <c r="P55" s="1523"/>
      <c r="Q55" s="1523"/>
      <c r="R55" s="1523"/>
      <c r="S55" s="1523"/>
      <c r="T55" s="1523"/>
      <c r="U55" s="1523"/>
      <c r="V55" s="1523"/>
      <c r="W55" s="1523"/>
      <c r="X55" s="1523"/>
      <c r="Y55" s="1523"/>
      <c r="Z55" s="1523"/>
    </row>
    <row r="56" spans="1:26" ht="12.75" customHeight="1">
      <c r="A56" s="1713">
        <v>2</v>
      </c>
      <c r="B56" s="1717" t="s">
        <v>6334</v>
      </c>
      <c r="C56" s="1744" t="s">
        <v>122</v>
      </c>
      <c r="D56" s="1745"/>
      <c r="E56" s="1745"/>
      <c r="F56" s="1750"/>
      <c r="G56" s="1751" t="s">
        <v>3427</v>
      </c>
      <c r="H56" s="1748"/>
      <c r="I56" s="1749"/>
      <c r="J56" s="1523"/>
      <c r="K56" s="1523"/>
      <c r="L56" s="1523"/>
      <c r="M56" s="1523"/>
      <c r="N56" s="1523"/>
      <c r="O56" s="1523"/>
      <c r="P56" s="1523"/>
      <c r="Q56" s="1523"/>
      <c r="R56" s="1523"/>
      <c r="S56" s="1523"/>
      <c r="T56" s="1523"/>
      <c r="U56" s="1523"/>
      <c r="V56" s="1523"/>
      <c r="W56" s="1523"/>
      <c r="X56" s="1523"/>
      <c r="Y56" s="1523"/>
      <c r="Z56" s="1523"/>
    </row>
    <row r="57" spans="1:26" ht="12.75" customHeight="1">
      <c r="A57" s="1713">
        <f t="shared" ref="A57:A155" si="9">A56+1</f>
        <v>3</v>
      </c>
      <c r="B57" s="1717" t="s">
        <v>6335</v>
      </c>
      <c r="C57" s="1744" t="s">
        <v>122</v>
      </c>
      <c r="D57" s="1745"/>
      <c r="E57" s="1745"/>
      <c r="F57" s="1750">
        <f>210*0.3</f>
        <v>63</v>
      </c>
      <c r="G57" s="1751" t="s">
        <v>3430</v>
      </c>
      <c r="H57" s="1748"/>
      <c r="I57" s="1749"/>
      <c r="J57" s="1523"/>
      <c r="K57" s="1523"/>
      <c r="L57" s="1523"/>
      <c r="M57" s="1523"/>
      <c r="N57" s="1523"/>
      <c r="O57" s="1523"/>
      <c r="P57" s="1523"/>
      <c r="Q57" s="1523"/>
      <c r="R57" s="1523"/>
      <c r="S57" s="1523"/>
      <c r="T57" s="1523"/>
      <c r="U57" s="1523"/>
      <c r="V57" s="1523"/>
      <c r="W57" s="1523"/>
      <c r="X57" s="1523"/>
      <c r="Y57" s="1523"/>
      <c r="Z57" s="1523"/>
    </row>
    <row r="58" spans="1:26" ht="12.75" customHeight="1">
      <c r="A58" s="1713">
        <f t="shared" si="9"/>
        <v>4</v>
      </c>
      <c r="B58" s="1717" t="s">
        <v>6336</v>
      </c>
      <c r="C58" s="1744" t="s">
        <v>122</v>
      </c>
      <c r="D58" s="1745"/>
      <c r="E58" s="1745"/>
      <c r="F58" s="1750">
        <f>240*0.3</f>
        <v>72</v>
      </c>
      <c r="G58" s="1751" t="s">
        <v>3432</v>
      </c>
      <c r="H58" s="1748"/>
      <c r="I58" s="1749"/>
      <c r="J58" s="1523"/>
      <c r="K58" s="1523"/>
      <c r="L58" s="1523"/>
      <c r="M58" s="1523"/>
      <c r="N58" s="1523"/>
      <c r="O58" s="1523"/>
      <c r="P58" s="1523"/>
      <c r="Q58" s="1523"/>
      <c r="R58" s="1523"/>
      <c r="S58" s="1523"/>
      <c r="T58" s="1523"/>
      <c r="U58" s="1523"/>
      <c r="V58" s="1523"/>
      <c r="W58" s="1523"/>
      <c r="X58" s="1523"/>
      <c r="Y58" s="1523"/>
      <c r="Z58" s="1523"/>
    </row>
    <row r="59" spans="1:26" ht="12.75" customHeight="1">
      <c r="A59" s="1713">
        <f t="shared" si="9"/>
        <v>5</v>
      </c>
      <c r="B59" s="1717" t="s">
        <v>6337</v>
      </c>
      <c r="C59" s="1744" t="s">
        <v>122</v>
      </c>
      <c r="D59" s="1745"/>
      <c r="E59" s="1745"/>
      <c r="F59" s="1750"/>
      <c r="G59" s="1751" t="s">
        <v>3434</v>
      </c>
      <c r="H59" s="1748"/>
      <c r="I59" s="1749"/>
      <c r="J59" s="1523"/>
      <c r="K59" s="1523"/>
      <c r="L59" s="1523"/>
      <c r="M59" s="1523"/>
      <c r="N59" s="1523"/>
      <c r="O59" s="1523"/>
      <c r="P59" s="1523"/>
      <c r="Q59" s="1523"/>
      <c r="R59" s="1523"/>
      <c r="S59" s="1523"/>
      <c r="T59" s="1523"/>
      <c r="U59" s="1523"/>
      <c r="V59" s="1523"/>
      <c r="W59" s="1523"/>
      <c r="X59" s="1523"/>
      <c r="Y59" s="1523"/>
      <c r="Z59" s="1523"/>
    </row>
    <row r="60" spans="1:26" ht="12.75" customHeight="1">
      <c r="A60" s="1713">
        <f t="shared" si="9"/>
        <v>6</v>
      </c>
      <c r="B60" s="1717" t="s">
        <v>6338</v>
      </c>
      <c r="C60" s="1744" t="s">
        <v>122</v>
      </c>
      <c r="D60" s="1745"/>
      <c r="E60" s="1745"/>
      <c r="F60" s="1746">
        <f>(40+40)*0.3</f>
        <v>24</v>
      </c>
      <c r="G60" s="729"/>
      <c r="H60" s="1523"/>
      <c r="I60" s="1731"/>
      <c r="J60" s="1523"/>
      <c r="K60" s="1523"/>
      <c r="L60" s="1523"/>
      <c r="M60" s="1523"/>
      <c r="N60" s="1523"/>
      <c r="O60" s="1523"/>
      <c r="P60" s="1523"/>
      <c r="Q60" s="1523"/>
      <c r="R60" s="1523"/>
      <c r="S60" s="1523"/>
      <c r="T60" s="1523"/>
      <c r="U60" s="1523"/>
      <c r="V60" s="1523"/>
      <c r="W60" s="1523"/>
      <c r="X60" s="1523"/>
      <c r="Y60" s="1523"/>
      <c r="Z60" s="1523"/>
    </row>
    <row r="61" spans="1:26" ht="12.75" customHeight="1">
      <c r="A61" s="1713">
        <f t="shared" si="9"/>
        <v>7</v>
      </c>
      <c r="B61" s="1717" t="s">
        <v>6339</v>
      </c>
      <c r="C61" s="1744" t="s">
        <v>122</v>
      </c>
      <c r="D61" s="1745"/>
      <c r="E61" s="1745"/>
      <c r="F61" s="1746">
        <f>191*2*0.3</f>
        <v>114.6</v>
      </c>
      <c r="G61" s="729"/>
      <c r="H61" s="1523"/>
      <c r="I61" s="1731"/>
      <c r="J61" s="1523"/>
      <c r="K61" s="1523"/>
      <c r="L61" s="1523"/>
      <c r="M61" s="1523"/>
      <c r="N61" s="1523"/>
      <c r="O61" s="1523"/>
      <c r="P61" s="1523"/>
      <c r="Q61" s="1523"/>
      <c r="R61" s="1523"/>
      <c r="S61" s="1523"/>
      <c r="T61" s="1523"/>
      <c r="U61" s="1523"/>
      <c r="V61" s="1523"/>
      <c r="W61" s="1523"/>
      <c r="X61" s="1523"/>
      <c r="Y61" s="1523"/>
      <c r="Z61" s="1523"/>
    </row>
    <row r="62" spans="1:26" ht="12.75" customHeight="1">
      <c r="A62" s="1713">
        <f t="shared" si="9"/>
        <v>8</v>
      </c>
      <c r="B62" s="1717" t="s">
        <v>6340</v>
      </c>
      <c r="C62" s="1744" t="s">
        <v>122</v>
      </c>
      <c r="D62" s="1745"/>
      <c r="E62" s="1745"/>
      <c r="F62" s="1746">
        <f>+(188+188)*0.3</f>
        <v>112.8</v>
      </c>
      <c r="G62" s="729"/>
      <c r="H62" s="1523"/>
      <c r="I62" s="1731"/>
      <c r="J62" s="1523"/>
      <c r="K62" s="1523"/>
      <c r="L62" s="1523"/>
      <c r="M62" s="1523"/>
      <c r="N62" s="1523"/>
      <c r="O62" s="1523"/>
      <c r="P62" s="1523"/>
      <c r="Q62" s="1523"/>
      <c r="R62" s="1523"/>
      <c r="S62" s="1523"/>
      <c r="T62" s="1523"/>
      <c r="U62" s="1523"/>
      <c r="V62" s="1523"/>
      <c r="W62" s="1523"/>
      <c r="X62" s="1523"/>
      <c r="Y62" s="1523"/>
      <c r="Z62" s="1523"/>
    </row>
    <row r="63" spans="1:26" ht="12.75" customHeight="1">
      <c r="A63" s="1713">
        <f t="shared" si="9"/>
        <v>9</v>
      </c>
      <c r="B63" s="1717" t="s">
        <v>6341</v>
      </c>
      <c r="C63" s="1744" t="s">
        <v>122</v>
      </c>
      <c r="D63" s="1745"/>
      <c r="E63" s="1745"/>
      <c r="F63" s="1746">
        <f>(63*0.3)</f>
        <v>18.899999999999999</v>
      </c>
      <c r="G63" s="729"/>
      <c r="H63" s="1523"/>
      <c r="I63" s="1731"/>
      <c r="J63" s="1523"/>
      <c r="K63" s="1523"/>
      <c r="L63" s="1523"/>
      <c r="M63" s="1523"/>
      <c r="N63" s="1523"/>
      <c r="O63" s="1523"/>
      <c r="P63" s="1523"/>
      <c r="Q63" s="1523"/>
      <c r="R63" s="1523"/>
      <c r="S63" s="1523"/>
      <c r="T63" s="1523"/>
      <c r="U63" s="1523"/>
      <c r="V63" s="1523"/>
      <c r="W63" s="1523"/>
      <c r="X63" s="1523"/>
      <c r="Y63" s="1523"/>
      <c r="Z63" s="1523"/>
    </row>
    <row r="64" spans="1:26" ht="12.75" customHeight="1">
      <c r="A64" s="1713">
        <f t="shared" si="9"/>
        <v>10</v>
      </c>
      <c r="B64" s="1717" t="s">
        <v>6342</v>
      </c>
      <c r="C64" s="1744" t="s">
        <v>122</v>
      </c>
      <c r="D64" s="1745"/>
      <c r="E64" s="1745"/>
      <c r="F64" s="1746">
        <f>90.2</f>
        <v>90.2</v>
      </c>
      <c r="G64" s="729"/>
      <c r="H64" s="1523"/>
      <c r="I64" s="1731"/>
      <c r="J64" s="1523"/>
      <c r="K64" s="1523"/>
      <c r="L64" s="1523"/>
      <c r="M64" s="1523"/>
      <c r="N64" s="1523"/>
      <c r="O64" s="1523"/>
      <c r="P64" s="1523"/>
      <c r="Q64" s="1523"/>
      <c r="R64" s="1523"/>
      <c r="S64" s="1523"/>
      <c r="T64" s="1523"/>
      <c r="U64" s="1523"/>
      <c r="V64" s="1523"/>
      <c r="W64" s="1523"/>
      <c r="X64" s="1523"/>
      <c r="Y64" s="1523"/>
      <c r="Z64" s="1523"/>
    </row>
    <row r="65" spans="1:26" ht="12.75" customHeight="1">
      <c r="A65" s="1713">
        <f t="shared" si="9"/>
        <v>11</v>
      </c>
      <c r="B65" s="1717" t="s">
        <v>6343</v>
      </c>
      <c r="C65" s="1744" t="s">
        <v>122</v>
      </c>
      <c r="D65" s="1745"/>
      <c r="E65" s="1745"/>
      <c r="F65" s="1746">
        <f>308*0.3</f>
        <v>92.399999999999991</v>
      </c>
      <c r="G65" s="729"/>
      <c r="H65" s="1523"/>
      <c r="I65" s="1731"/>
      <c r="J65" s="1523"/>
      <c r="K65" s="1523"/>
      <c r="L65" s="1523"/>
      <c r="M65" s="1523"/>
      <c r="N65" s="1523"/>
      <c r="O65" s="1523"/>
      <c r="P65" s="1523"/>
      <c r="Q65" s="1523"/>
      <c r="R65" s="1523"/>
      <c r="S65" s="1523"/>
      <c r="T65" s="1523"/>
      <c r="U65" s="1523"/>
      <c r="V65" s="1523"/>
      <c r="W65" s="1523"/>
      <c r="X65" s="1523"/>
      <c r="Y65" s="1523"/>
      <c r="Z65" s="1523"/>
    </row>
    <row r="66" spans="1:26" ht="12.75" customHeight="1">
      <c r="A66" s="1713">
        <f t="shared" si="9"/>
        <v>12</v>
      </c>
      <c r="B66" s="1717" t="s">
        <v>6344</v>
      </c>
      <c r="C66" s="1744" t="s">
        <v>122</v>
      </c>
      <c r="D66" s="1745"/>
      <c r="E66" s="1745"/>
      <c r="F66" s="1746">
        <v>30.3</v>
      </c>
      <c r="G66" s="729"/>
      <c r="H66" s="1523"/>
      <c r="I66" s="1731"/>
      <c r="J66" s="1523"/>
      <c r="K66" s="1523"/>
      <c r="L66" s="1523"/>
      <c r="M66" s="1523"/>
      <c r="N66" s="1523"/>
      <c r="O66" s="1523"/>
      <c r="P66" s="1523"/>
      <c r="Q66" s="1523"/>
      <c r="R66" s="1523"/>
      <c r="S66" s="1523"/>
      <c r="T66" s="1523"/>
      <c r="U66" s="1523"/>
      <c r="V66" s="1523"/>
      <c r="W66" s="1523"/>
      <c r="X66" s="1523"/>
      <c r="Y66" s="1523"/>
      <c r="Z66" s="1523"/>
    </row>
    <row r="67" spans="1:26" ht="12.75" customHeight="1">
      <c r="A67" s="1713">
        <f t="shared" si="9"/>
        <v>13</v>
      </c>
      <c r="B67" s="1717" t="s">
        <v>6345</v>
      </c>
      <c r="C67" s="1744" t="s">
        <v>122</v>
      </c>
      <c r="D67" s="1745"/>
      <c r="E67" s="1745"/>
      <c r="F67" s="1750"/>
      <c r="G67" s="729"/>
      <c r="H67" s="1523"/>
      <c r="I67" s="1731"/>
      <c r="J67" s="1523"/>
      <c r="K67" s="1523"/>
      <c r="L67" s="1523"/>
      <c r="M67" s="1523"/>
      <c r="N67" s="1523"/>
      <c r="O67" s="1523"/>
      <c r="P67" s="1523"/>
      <c r="Q67" s="1523"/>
      <c r="R67" s="1523"/>
      <c r="S67" s="1523"/>
      <c r="T67" s="1523"/>
      <c r="U67" s="1523"/>
      <c r="V67" s="1523"/>
      <c r="W67" s="1523"/>
      <c r="X67" s="1523"/>
      <c r="Y67" s="1523"/>
      <c r="Z67" s="1523"/>
    </row>
    <row r="68" spans="1:26" ht="12.75" customHeight="1">
      <c r="A68" s="1713">
        <f t="shared" si="9"/>
        <v>14</v>
      </c>
      <c r="B68" s="1717" t="s">
        <v>6346</v>
      </c>
      <c r="C68" s="1744" t="s">
        <v>122</v>
      </c>
      <c r="D68" s="1745"/>
      <c r="E68" s="1745"/>
      <c r="F68" s="1746">
        <f>40.7+(200*0.3)-40.7</f>
        <v>60</v>
      </c>
      <c r="G68" s="729"/>
      <c r="H68" s="1523"/>
      <c r="I68" s="1731"/>
      <c r="J68" s="1523"/>
      <c r="K68" s="1523"/>
      <c r="L68" s="1523"/>
      <c r="M68" s="1523"/>
      <c r="N68" s="1523"/>
      <c r="O68" s="1523"/>
      <c r="P68" s="1523"/>
      <c r="Q68" s="1523"/>
      <c r="R68" s="1523"/>
      <c r="S68" s="1523"/>
      <c r="T68" s="1523"/>
      <c r="U68" s="1523"/>
      <c r="V68" s="1523"/>
      <c r="W68" s="1523"/>
      <c r="X68" s="1523"/>
      <c r="Y68" s="1523"/>
      <c r="Z68" s="1523"/>
    </row>
    <row r="69" spans="1:26" ht="12.75" customHeight="1">
      <c r="A69" s="1713">
        <f t="shared" si="9"/>
        <v>15</v>
      </c>
      <c r="B69" s="1717" t="s">
        <v>6347</v>
      </c>
      <c r="C69" s="1744" t="s">
        <v>122</v>
      </c>
      <c r="D69" s="1745"/>
      <c r="E69" s="1745"/>
      <c r="F69" s="1746"/>
      <c r="G69" s="729"/>
      <c r="H69" s="1523"/>
      <c r="I69" s="1731"/>
      <c r="J69" s="1523"/>
      <c r="K69" s="1523"/>
      <c r="L69" s="1523"/>
      <c r="M69" s="1523"/>
      <c r="N69" s="1523"/>
      <c r="O69" s="1523"/>
      <c r="P69" s="1523"/>
      <c r="Q69" s="1523"/>
      <c r="R69" s="1523"/>
      <c r="S69" s="1523"/>
      <c r="T69" s="1523"/>
      <c r="U69" s="1523"/>
      <c r="V69" s="1523"/>
      <c r="W69" s="1523"/>
      <c r="X69" s="1523"/>
      <c r="Y69" s="1523"/>
      <c r="Z69" s="1523"/>
    </row>
    <row r="70" spans="1:26" ht="12.75" customHeight="1">
      <c r="A70" s="1713">
        <f t="shared" si="9"/>
        <v>16</v>
      </c>
      <c r="B70" s="1717" t="s">
        <v>6348</v>
      </c>
      <c r="C70" s="1744" t="s">
        <v>122</v>
      </c>
      <c r="D70" s="1745"/>
      <c r="E70" s="1745"/>
      <c r="F70" s="1746">
        <f>(19.3+22.5)+(284*0.3)-(19.3+22.5)</f>
        <v>85.2</v>
      </c>
      <c r="G70" s="729"/>
      <c r="H70" s="1523"/>
      <c r="I70" s="1731"/>
      <c r="J70" s="1523"/>
      <c r="K70" s="1523"/>
      <c r="L70" s="1523"/>
      <c r="M70" s="1523"/>
      <c r="N70" s="1523"/>
      <c r="O70" s="1523"/>
      <c r="P70" s="1523"/>
      <c r="Q70" s="1523"/>
      <c r="R70" s="1523"/>
      <c r="S70" s="1523"/>
      <c r="T70" s="1523"/>
      <c r="U70" s="1523"/>
      <c r="V70" s="1523"/>
      <c r="W70" s="1523"/>
      <c r="X70" s="1523"/>
      <c r="Y70" s="1523"/>
      <c r="Z70" s="1523"/>
    </row>
    <row r="71" spans="1:26" ht="69" customHeight="1">
      <c r="A71" s="1713">
        <f t="shared" si="9"/>
        <v>17</v>
      </c>
      <c r="B71" s="1745" t="s">
        <v>6349</v>
      </c>
      <c r="C71" s="1744" t="s">
        <v>122</v>
      </c>
      <c r="D71" s="1745"/>
      <c r="E71" s="1717"/>
      <c r="F71" s="1746">
        <f>(10946.36)+(420.36)-403.5</f>
        <v>10963.220000000001</v>
      </c>
      <c r="G71" s="1782" t="s">
        <v>6350</v>
      </c>
      <c r="H71" s="1783"/>
      <c r="I71" s="1798"/>
      <c r="J71" s="1523"/>
      <c r="K71" s="1523"/>
      <c r="L71" s="1523"/>
      <c r="M71" s="1523"/>
      <c r="N71" s="1523"/>
      <c r="O71" s="1523"/>
      <c r="P71" s="1523"/>
      <c r="Q71" s="1523"/>
      <c r="R71" s="1523"/>
      <c r="S71" s="1523"/>
      <c r="T71" s="1523"/>
      <c r="U71" s="1523"/>
      <c r="V71" s="1523"/>
      <c r="W71" s="1523"/>
      <c r="X71" s="1523"/>
      <c r="Y71" s="1523"/>
      <c r="Z71" s="1523"/>
    </row>
    <row r="72" spans="1:26" ht="12.75" customHeight="1">
      <c r="A72" s="1713">
        <f t="shared" si="9"/>
        <v>18</v>
      </c>
      <c r="B72" s="1745" t="s">
        <v>6351</v>
      </c>
      <c r="C72" s="1744" t="s">
        <v>122</v>
      </c>
      <c r="D72" s="1745"/>
      <c r="E72" s="1717"/>
      <c r="F72" s="1746">
        <f>1400+175</f>
        <v>1575</v>
      </c>
      <c r="G72" s="729" t="s">
        <v>6352</v>
      </c>
      <c r="H72" s="1523"/>
      <c r="I72" s="1731"/>
      <c r="J72" s="1523"/>
      <c r="K72" s="1523"/>
      <c r="L72" s="1523"/>
      <c r="M72" s="1523"/>
      <c r="N72" s="1523"/>
      <c r="O72" s="1523"/>
      <c r="P72" s="1523"/>
      <c r="Q72" s="1523"/>
      <c r="R72" s="1523"/>
      <c r="S72" s="1523"/>
      <c r="T72" s="1523"/>
      <c r="U72" s="1523"/>
      <c r="V72" s="1523"/>
      <c r="W72" s="1523"/>
      <c r="X72" s="1523"/>
      <c r="Y72" s="1523"/>
      <c r="Z72" s="1523"/>
    </row>
    <row r="73" spans="1:26" ht="43.5" customHeight="1">
      <c r="A73" s="1713">
        <f t="shared" si="9"/>
        <v>19</v>
      </c>
      <c r="B73" s="1745" t="s">
        <v>6353</v>
      </c>
      <c r="C73" s="1744" t="s">
        <v>122</v>
      </c>
      <c r="D73" s="1745"/>
      <c r="E73" s="1745"/>
      <c r="F73" s="1746">
        <f>+(596.3)+(176.38)+(40.7)+(19.3+22.5)+(3.5*51)</f>
        <v>1033.6799999999998</v>
      </c>
      <c r="G73" s="1800" t="s">
        <v>6354</v>
      </c>
      <c r="H73" s="1783"/>
      <c r="I73" s="1798"/>
      <c r="J73" s="1523"/>
      <c r="K73" s="1523"/>
      <c r="L73" s="1523"/>
      <c r="M73" s="1523"/>
      <c r="N73" s="1523"/>
      <c r="O73" s="1523"/>
      <c r="P73" s="1523"/>
      <c r="Q73" s="1523"/>
      <c r="R73" s="1523"/>
      <c r="S73" s="1523"/>
      <c r="T73" s="1523"/>
      <c r="U73" s="1523"/>
      <c r="V73" s="1523"/>
      <c r="W73" s="1523"/>
      <c r="X73" s="1523"/>
      <c r="Y73" s="1523"/>
      <c r="Z73" s="1523"/>
    </row>
    <row r="74" spans="1:26" ht="12.75" customHeight="1">
      <c r="A74" s="1713">
        <f t="shared" si="9"/>
        <v>20</v>
      </c>
      <c r="B74" s="1745" t="s">
        <v>6355</v>
      </c>
      <c r="C74" s="1744" t="s">
        <v>122</v>
      </c>
      <c r="D74" s="1745"/>
      <c r="E74" s="1745"/>
      <c r="F74" s="1746">
        <f>808.4</f>
        <v>808.4</v>
      </c>
      <c r="G74" s="1523" t="s">
        <v>6356</v>
      </c>
      <c r="H74" s="1523"/>
      <c r="I74" s="1731"/>
      <c r="J74" s="1523"/>
      <c r="K74" s="1523"/>
      <c r="L74" s="1523"/>
      <c r="M74" s="1523"/>
      <c r="N74" s="1523"/>
      <c r="O74" s="1523"/>
      <c r="P74" s="1523"/>
      <c r="Q74" s="1523"/>
      <c r="R74" s="1523"/>
      <c r="S74" s="1523"/>
      <c r="T74" s="1523"/>
      <c r="U74" s="1523"/>
      <c r="V74" s="1523"/>
      <c r="W74" s="1523"/>
      <c r="X74" s="1523"/>
      <c r="Y74" s="1523"/>
      <c r="Z74" s="1523"/>
    </row>
    <row r="75" spans="1:26" ht="12.75" customHeight="1">
      <c r="A75" s="1713">
        <f t="shared" si="9"/>
        <v>21</v>
      </c>
      <c r="B75" s="1745" t="s">
        <v>6357</v>
      </c>
      <c r="C75" s="1744" t="s">
        <v>122</v>
      </c>
      <c r="D75" s="1745"/>
      <c r="E75" s="1745"/>
      <c r="F75" s="1746">
        <v>90</v>
      </c>
      <c r="G75" s="1782" t="s">
        <v>3512</v>
      </c>
      <c r="H75" s="1783"/>
      <c r="I75" s="1798"/>
      <c r="J75" s="1523"/>
      <c r="K75" s="1523"/>
      <c r="L75" s="1523"/>
      <c r="M75" s="1523"/>
      <c r="N75" s="1523"/>
      <c r="O75" s="1523"/>
      <c r="P75" s="1523"/>
      <c r="Q75" s="1523"/>
      <c r="R75" s="1523"/>
      <c r="S75" s="1523"/>
      <c r="T75" s="1523"/>
      <c r="U75" s="1523"/>
      <c r="V75" s="1523"/>
      <c r="W75" s="1523"/>
      <c r="X75" s="1523"/>
      <c r="Y75" s="1523"/>
      <c r="Z75" s="1523"/>
    </row>
    <row r="76" spans="1:26" ht="15" customHeight="1">
      <c r="A76" s="1713">
        <f t="shared" si="9"/>
        <v>22</v>
      </c>
      <c r="B76" s="1745" t="s">
        <v>6358</v>
      </c>
      <c r="C76" s="1744" t="s">
        <v>122</v>
      </c>
      <c r="D76" s="1745"/>
      <c r="E76" s="1745"/>
      <c r="F76" s="1746">
        <f>(467.76/2)+(450/2)</f>
        <v>458.88</v>
      </c>
      <c r="G76" s="729"/>
      <c r="H76" s="1523"/>
      <c r="I76" s="1731"/>
      <c r="J76" s="1523"/>
      <c r="K76" s="1523"/>
      <c r="L76" s="1523"/>
      <c r="M76" s="1523"/>
      <c r="N76" s="1523"/>
      <c r="O76" s="1523"/>
      <c r="P76" s="1523"/>
      <c r="Q76" s="1523"/>
      <c r="R76" s="1523"/>
      <c r="S76" s="1523"/>
      <c r="T76" s="1523"/>
      <c r="U76" s="1523"/>
      <c r="V76" s="1523"/>
      <c r="W76" s="1523"/>
      <c r="X76" s="1523"/>
      <c r="Y76" s="1523"/>
      <c r="Z76" s="1523"/>
    </row>
    <row r="77" spans="1:26" ht="12.75" customHeight="1">
      <c r="A77" s="1713">
        <f t="shared" si="9"/>
        <v>23</v>
      </c>
      <c r="B77" s="1745" t="s">
        <v>6359</v>
      </c>
      <c r="C77" s="1744" t="s">
        <v>122</v>
      </c>
      <c r="D77" s="1745"/>
      <c r="E77" s="1745"/>
      <c r="F77" s="1746">
        <f>100*0.3+291</f>
        <v>321</v>
      </c>
      <c r="G77" s="729"/>
      <c r="H77" s="1523"/>
      <c r="I77" s="1731"/>
      <c r="J77" s="1523"/>
      <c r="K77" s="1523"/>
      <c r="L77" s="1523"/>
      <c r="M77" s="1523"/>
      <c r="N77" s="1523"/>
      <c r="O77" s="1523"/>
      <c r="P77" s="1523"/>
      <c r="Q77" s="1523"/>
      <c r="R77" s="1523"/>
      <c r="S77" s="1523"/>
      <c r="T77" s="1523"/>
      <c r="U77" s="1523"/>
      <c r="V77" s="1523"/>
      <c r="W77" s="1523"/>
      <c r="X77" s="1523"/>
      <c r="Y77" s="1523"/>
      <c r="Z77" s="1523"/>
    </row>
    <row r="78" spans="1:26" ht="12.75" customHeight="1">
      <c r="A78" s="1713">
        <f t="shared" si="9"/>
        <v>24</v>
      </c>
      <c r="B78" s="1745" t="s">
        <v>6360</v>
      </c>
      <c r="C78" s="1744" t="s">
        <v>122</v>
      </c>
      <c r="D78" s="1745"/>
      <c r="E78" s="1745"/>
      <c r="F78" s="1746">
        <f>332*0.3</f>
        <v>99.6</v>
      </c>
      <c r="G78" s="729"/>
      <c r="H78" s="1523"/>
      <c r="I78" s="1731"/>
      <c r="J78" s="1523"/>
      <c r="K78" s="1523"/>
      <c r="L78" s="1523"/>
      <c r="M78" s="1523"/>
      <c r="N78" s="1523"/>
      <c r="O78" s="1523"/>
      <c r="P78" s="1523"/>
      <c r="Q78" s="1523"/>
      <c r="R78" s="1523"/>
      <c r="S78" s="1523"/>
      <c r="T78" s="1523"/>
      <c r="U78" s="1523"/>
      <c r="V78" s="1523"/>
      <c r="W78" s="1523"/>
      <c r="X78" s="1523"/>
      <c r="Y78" s="1523"/>
      <c r="Z78" s="1523"/>
    </row>
    <row r="79" spans="1:26" ht="12.75" customHeight="1">
      <c r="A79" s="1713">
        <f t="shared" si="9"/>
        <v>25</v>
      </c>
      <c r="B79" s="1745" t="s">
        <v>6361</v>
      </c>
      <c r="C79" s="1744" t="s">
        <v>122</v>
      </c>
      <c r="D79" s="1745"/>
      <c r="E79" s="1745"/>
      <c r="F79" s="1746">
        <f>186*0.3</f>
        <v>55.8</v>
      </c>
      <c r="G79" s="729"/>
      <c r="H79" s="1523"/>
      <c r="I79" s="1731"/>
      <c r="J79" s="1523"/>
      <c r="K79" s="1523"/>
      <c r="L79" s="1523"/>
      <c r="M79" s="1523"/>
      <c r="N79" s="1523"/>
      <c r="O79" s="1523"/>
      <c r="P79" s="1523"/>
      <c r="Q79" s="1523"/>
      <c r="R79" s="1523"/>
      <c r="S79" s="1523"/>
      <c r="T79" s="1523"/>
      <c r="U79" s="1523"/>
      <c r="V79" s="1523"/>
      <c r="W79" s="1523"/>
      <c r="X79" s="1523"/>
      <c r="Y79" s="1523"/>
      <c r="Z79" s="1523"/>
    </row>
    <row r="80" spans="1:26" ht="12.75" customHeight="1">
      <c r="A80" s="1713">
        <f t="shared" si="9"/>
        <v>26</v>
      </c>
      <c r="B80" s="1745" t="s">
        <v>6362</v>
      </c>
      <c r="C80" s="1744" t="s">
        <v>122</v>
      </c>
      <c r="D80" s="1745"/>
      <c r="E80" s="1745"/>
      <c r="F80" s="1746">
        <v>0</v>
      </c>
      <c r="G80" s="729"/>
      <c r="H80" s="1523"/>
      <c r="I80" s="1731"/>
      <c r="J80" s="1523"/>
      <c r="K80" s="1523"/>
      <c r="L80" s="1523"/>
      <c r="M80" s="1523"/>
      <c r="N80" s="1523"/>
      <c r="O80" s="1523"/>
      <c r="P80" s="1523"/>
      <c r="Q80" s="1523"/>
      <c r="R80" s="1523"/>
      <c r="S80" s="1523"/>
      <c r="T80" s="1523"/>
      <c r="U80" s="1523"/>
      <c r="V80" s="1523"/>
      <c r="W80" s="1523"/>
      <c r="X80" s="1523"/>
      <c r="Y80" s="1523"/>
      <c r="Z80" s="1523"/>
    </row>
    <row r="81" spans="1:26" ht="12.75" customHeight="1">
      <c r="A81" s="1713">
        <f t="shared" si="9"/>
        <v>27</v>
      </c>
      <c r="B81" s="1745" t="s">
        <v>6363</v>
      </c>
      <c r="C81" s="1744" t="s">
        <v>122</v>
      </c>
      <c r="D81" s="1745"/>
      <c r="E81" s="1745"/>
      <c r="F81" s="1746">
        <v>0</v>
      </c>
      <c r="G81" s="729"/>
      <c r="H81" s="1523"/>
      <c r="I81" s="1731"/>
      <c r="J81" s="1523"/>
      <c r="K81" s="1523"/>
      <c r="L81" s="1523"/>
      <c r="M81" s="1523"/>
      <c r="N81" s="1523"/>
      <c r="O81" s="1523"/>
      <c r="P81" s="1523"/>
      <c r="Q81" s="1523"/>
      <c r="R81" s="1523"/>
      <c r="S81" s="1523"/>
      <c r="T81" s="1523"/>
      <c r="U81" s="1523"/>
      <c r="V81" s="1523"/>
      <c r="W81" s="1523"/>
      <c r="X81" s="1523"/>
      <c r="Y81" s="1523"/>
      <c r="Z81" s="1523"/>
    </row>
    <row r="82" spans="1:26" ht="12.75" customHeight="1">
      <c r="A82" s="1713">
        <f t="shared" si="9"/>
        <v>28</v>
      </c>
      <c r="B82" s="1745" t="s">
        <v>6364</v>
      </c>
      <c r="C82" s="1744" t="s">
        <v>122</v>
      </c>
      <c r="D82" s="1745"/>
      <c r="E82" s="1745"/>
      <c r="F82" s="1746">
        <f>350*0.3</f>
        <v>105</v>
      </c>
      <c r="G82" s="729"/>
      <c r="H82" s="1523"/>
      <c r="I82" s="1731"/>
      <c r="J82" s="1523"/>
      <c r="K82" s="1523"/>
      <c r="L82" s="1523"/>
      <c r="M82" s="1523"/>
      <c r="N82" s="1523"/>
      <c r="O82" s="1523"/>
      <c r="P82" s="1523"/>
      <c r="Q82" s="1523"/>
      <c r="R82" s="1523"/>
      <c r="S82" s="1523"/>
      <c r="T82" s="1523"/>
      <c r="U82" s="1523"/>
      <c r="V82" s="1523"/>
      <c r="W82" s="1523"/>
      <c r="X82" s="1523"/>
      <c r="Y82" s="1523"/>
      <c r="Z82" s="1523"/>
    </row>
    <row r="83" spans="1:26" ht="12.75" customHeight="1">
      <c r="A83" s="1713">
        <f t="shared" si="9"/>
        <v>29</v>
      </c>
      <c r="B83" s="1745" t="s">
        <v>6365</v>
      </c>
      <c r="C83" s="1744" t="s">
        <v>122</v>
      </c>
      <c r="D83" s="1745"/>
      <c r="E83" s="1745"/>
      <c r="F83" s="1746">
        <f>364*0.3</f>
        <v>109.2</v>
      </c>
      <c r="G83" s="729"/>
      <c r="H83" s="1523"/>
      <c r="I83" s="1731"/>
      <c r="J83" s="1523"/>
      <c r="K83" s="1523"/>
      <c r="L83" s="1523"/>
      <c r="M83" s="1523"/>
      <c r="N83" s="1523"/>
      <c r="O83" s="1523"/>
      <c r="P83" s="1523"/>
      <c r="Q83" s="1523"/>
      <c r="R83" s="1523"/>
      <c r="S83" s="1523"/>
      <c r="T83" s="1523"/>
      <c r="U83" s="1523"/>
      <c r="V83" s="1523"/>
      <c r="W83" s="1523"/>
      <c r="X83" s="1523"/>
      <c r="Y83" s="1523"/>
      <c r="Z83" s="1523"/>
    </row>
    <row r="84" spans="1:26" ht="12.75" customHeight="1">
      <c r="A84" s="1713">
        <f t="shared" si="9"/>
        <v>30</v>
      </c>
      <c r="B84" s="1745" t="s">
        <v>6366</v>
      </c>
      <c r="C84" s="1744" t="s">
        <v>122</v>
      </c>
      <c r="D84" s="1745"/>
      <c r="E84" s="1745"/>
      <c r="F84" s="1746">
        <f>222*0.3</f>
        <v>66.599999999999994</v>
      </c>
      <c r="G84" s="729"/>
      <c r="H84" s="1523"/>
      <c r="I84" s="1731"/>
      <c r="J84" s="1523"/>
      <c r="K84" s="1523"/>
      <c r="L84" s="1523"/>
      <c r="M84" s="1523"/>
      <c r="N84" s="1523"/>
      <c r="O84" s="1523"/>
      <c r="P84" s="1523"/>
      <c r="Q84" s="1523"/>
      <c r="R84" s="1523"/>
      <c r="S84" s="1523"/>
      <c r="T84" s="1523"/>
      <c r="U84" s="1523"/>
      <c r="V84" s="1523"/>
      <c r="W84" s="1523"/>
      <c r="X84" s="1523"/>
      <c r="Y84" s="1523"/>
      <c r="Z84" s="1523"/>
    </row>
    <row r="85" spans="1:26" ht="12.75" customHeight="1">
      <c r="A85" s="1713">
        <f t="shared" si="9"/>
        <v>31</v>
      </c>
      <c r="B85" s="1745" t="s">
        <v>6367</v>
      </c>
      <c r="C85" s="1744" t="s">
        <v>122</v>
      </c>
      <c r="D85" s="1745"/>
      <c r="E85" s="1745"/>
      <c r="F85" s="1746">
        <f>611*0.3</f>
        <v>183.29999999999998</v>
      </c>
      <c r="G85" s="729"/>
      <c r="H85" s="1523"/>
      <c r="I85" s="1731"/>
      <c r="J85" s="1523"/>
      <c r="K85" s="1523"/>
      <c r="L85" s="1523"/>
      <c r="M85" s="1523"/>
      <c r="N85" s="1523"/>
      <c r="O85" s="1523"/>
      <c r="P85" s="1523"/>
      <c r="Q85" s="1523"/>
      <c r="R85" s="1523"/>
      <c r="S85" s="1523"/>
      <c r="T85" s="1523"/>
      <c r="U85" s="1523"/>
      <c r="V85" s="1523"/>
      <c r="W85" s="1523"/>
      <c r="X85" s="1523"/>
      <c r="Y85" s="1523"/>
      <c r="Z85" s="1523"/>
    </row>
    <row r="86" spans="1:26" ht="12.75" customHeight="1">
      <c r="A86" s="1713">
        <f t="shared" si="9"/>
        <v>32</v>
      </c>
      <c r="B86" s="1745" t="s">
        <v>6368</v>
      </c>
      <c r="C86" s="1744" t="s">
        <v>122</v>
      </c>
      <c r="D86" s="1745"/>
      <c r="E86" s="1745"/>
      <c r="F86" s="1746">
        <f>498*0.3</f>
        <v>149.4</v>
      </c>
      <c r="G86" s="729"/>
      <c r="H86" s="1523"/>
      <c r="I86" s="1731"/>
      <c r="J86" s="1523"/>
      <c r="K86" s="1523"/>
      <c r="L86" s="1523"/>
      <c r="M86" s="1523"/>
      <c r="N86" s="1523"/>
      <c r="O86" s="1523"/>
      <c r="P86" s="1523"/>
      <c r="Q86" s="1523"/>
      <c r="R86" s="1523"/>
      <c r="S86" s="1523"/>
      <c r="T86" s="1523"/>
      <c r="U86" s="1523"/>
      <c r="V86" s="1523"/>
      <c r="W86" s="1523"/>
      <c r="X86" s="1523"/>
      <c r="Y86" s="1523"/>
      <c r="Z86" s="1523"/>
    </row>
    <row r="87" spans="1:26" ht="12.75" customHeight="1">
      <c r="A87" s="1713">
        <f t="shared" si="9"/>
        <v>33</v>
      </c>
      <c r="B87" s="1745" t="s">
        <v>6369</v>
      </c>
      <c r="C87" s="1744" t="s">
        <v>122</v>
      </c>
      <c r="D87" s="1745"/>
      <c r="E87" s="1745"/>
      <c r="F87" s="1746">
        <f>288*0.3</f>
        <v>86.399999999999991</v>
      </c>
      <c r="G87" s="729"/>
      <c r="H87" s="1523"/>
      <c r="I87" s="1731"/>
      <c r="J87" s="1523"/>
      <c r="K87" s="1523"/>
      <c r="L87" s="1523"/>
      <c r="M87" s="1523"/>
      <c r="N87" s="1523"/>
      <c r="O87" s="1523"/>
      <c r="P87" s="1523"/>
      <c r="Q87" s="1523"/>
      <c r="R87" s="1523"/>
      <c r="S87" s="1523"/>
      <c r="T87" s="1523"/>
      <c r="U87" s="1523"/>
      <c r="V87" s="1523"/>
      <c r="W87" s="1523"/>
      <c r="X87" s="1523"/>
      <c r="Y87" s="1523"/>
      <c r="Z87" s="1523"/>
    </row>
    <row r="88" spans="1:26" ht="12.75" customHeight="1">
      <c r="A88" s="1713">
        <f t="shared" si="9"/>
        <v>34</v>
      </c>
      <c r="B88" s="1745" t="s">
        <v>6370</v>
      </c>
      <c r="C88" s="1744" t="s">
        <v>122</v>
      </c>
      <c r="D88" s="1745"/>
      <c r="E88" s="1745"/>
      <c r="F88" s="1746">
        <f>420*0.3</f>
        <v>126</v>
      </c>
      <c r="G88" s="729"/>
      <c r="H88" s="1523"/>
      <c r="I88" s="1731"/>
      <c r="J88" s="1523"/>
      <c r="K88" s="1523"/>
      <c r="L88" s="1523"/>
      <c r="M88" s="1523"/>
      <c r="N88" s="1523"/>
      <c r="O88" s="1523"/>
      <c r="P88" s="1523"/>
      <c r="Q88" s="1523"/>
      <c r="R88" s="1523"/>
      <c r="S88" s="1523"/>
      <c r="T88" s="1523"/>
      <c r="U88" s="1523"/>
      <c r="V88" s="1523"/>
      <c r="W88" s="1523"/>
      <c r="X88" s="1523"/>
      <c r="Y88" s="1523"/>
      <c r="Z88" s="1523"/>
    </row>
    <row r="89" spans="1:26" ht="12.75" customHeight="1">
      <c r="A89" s="1713">
        <f t="shared" si="9"/>
        <v>35</v>
      </c>
      <c r="B89" s="1745" t="s">
        <v>6371</v>
      </c>
      <c r="C89" s="1744" t="s">
        <v>122</v>
      </c>
      <c r="D89" s="1745"/>
      <c r="E89" s="1745"/>
      <c r="F89" s="1746">
        <f>62*0.3</f>
        <v>18.599999999999998</v>
      </c>
      <c r="G89" s="729"/>
      <c r="H89" s="1523"/>
      <c r="I89" s="1731"/>
      <c r="J89" s="1523"/>
      <c r="K89" s="1523"/>
      <c r="L89" s="1523"/>
      <c r="M89" s="1523"/>
      <c r="N89" s="1523"/>
      <c r="O89" s="1523"/>
      <c r="P89" s="1523"/>
      <c r="Q89" s="1523"/>
      <c r="R89" s="1523"/>
      <c r="S89" s="1523"/>
      <c r="T89" s="1523"/>
      <c r="U89" s="1523"/>
      <c r="V89" s="1523"/>
      <c r="W89" s="1523"/>
      <c r="X89" s="1523"/>
      <c r="Y89" s="1523"/>
      <c r="Z89" s="1523"/>
    </row>
    <row r="90" spans="1:26" ht="12.75" customHeight="1">
      <c r="A90" s="1713">
        <f t="shared" si="9"/>
        <v>36</v>
      </c>
      <c r="B90" s="1745" t="s">
        <v>6372</v>
      </c>
      <c r="C90" s="1744" t="s">
        <v>122</v>
      </c>
      <c r="D90" s="1745"/>
      <c r="E90" s="1745"/>
      <c r="F90" s="1746">
        <v>0</v>
      </c>
      <c r="G90" s="729"/>
      <c r="H90" s="1523"/>
      <c r="I90" s="1731"/>
      <c r="J90" s="1523"/>
      <c r="K90" s="1523"/>
      <c r="L90" s="1523"/>
      <c r="M90" s="1523"/>
      <c r="N90" s="1523"/>
      <c r="O90" s="1523"/>
      <c r="P90" s="1523"/>
      <c r="Q90" s="1523"/>
      <c r="R90" s="1523"/>
      <c r="S90" s="1523"/>
      <c r="T90" s="1523"/>
      <c r="U90" s="1523"/>
      <c r="V90" s="1523"/>
      <c r="W90" s="1523"/>
      <c r="X90" s="1523"/>
      <c r="Y90" s="1523"/>
      <c r="Z90" s="1523"/>
    </row>
    <row r="91" spans="1:26" ht="12.75" customHeight="1">
      <c r="A91" s="1713">
        <f t="shared" si="9"/>
        <v>37</v>
      </c>
      <c r="B91" s="1745" t="s">
        <v>6373</v>
      </c>
      <c r="C91" s="1744" t="s">
        <v>122</v>
      </c>
      <c r="D91" s="1745"/>
      <c r="E91" s="1745"/>
      <c r="F91" s="1746">
        <f>96*0.3</f>
        <v>28.799999999999997</v>
      </c>
      <c r="G91" s="729"/>
      <c r="H91" s="1523"/>
      <c r="I91" s="1731"/>
      <c r="J91" s="1523"/>
      <c r="K91" s="1523"/>
      <c r="L91" s="1523"/>
      <c r="M91" s="1523"/>
      <c r="N91" s="1523"/>
      <c r="O91" s="1523"/>
      <c r="P91" s="1523"/>
      <c r="Q91" s="1523"/>
      <c r="R91" s="1523"/>
      <c r="S91" s="1523"/>
      <c r="T91" s="1523"/>
      <c r="U91" s="1523"/>
      <c r="V91" s="1523"/>
      <c r="W91" s="1523"/>
      <c r="X91" s="1523"/>
      <c r="Y91" s="1523"/>
      <c r="Z91" s="1523"/>
    </row>
    <row r="92" spans="1:26" ht="12.75" customHeight="1">
      <c r="A92" s="1713">
        <f t="shared" si="9"/>
        <v>38</v>
      </c>
      <c r="B92" s="1745" t="s">
        <v>6374</v>
      </c>
      <c r="C92" s="1744" t="s">
        <v>122</v>
      </c>
      <c r="D92" s="1745"/>
      <c r="E92" s="1745"/>
      <c r="F92" s="1746">
        <f>264*0.3</f>
        <v>79.2</v>
      </c>
      <c r="G92" s="729"/>
      <c r="H92" s="1523"/>
      <c r="I92" s="1731"/>
      <c r="J92" s="1523"/>
      <c r="K92" s="1523"/>
      <c r="L92" s="1523"/>
      <c r="M92" s="1523"/>
      <c r="N92" s="1523"/>
      <c r="O92" s="1523"/>
      <c r="P92" s="1523"/>
      <c r="Q92" s="1523"/>
      <c r="R92" s="1523"/>
      <c r="S92" s="1523"/>
      <c r="T92" s="1523"/>
      <c r="U92" s="1523"/>
      <c r="V92" s="1523"/>
      <c r="W92" s="1523"/>
      <c r="X92" s="1523"/>
      <c r="Y92" s="1523"/>
      <c r="Z92" s="1523"/>
    </row>
    <row r="93" spans="1:26" ht="12.75" customHeight="1">
      <c r="A93" s="1713">
        <f t="shared" si="9"/>
        <v>39</v>
      </c>
      <c r="B93" s="1745" t="s">
        <v>6375</v>
      </c>
      <c r="C93" s="1744" t="s">
        <v>122</v>
      </c>
      <c r="D93" s="1745"/>
      <c r="E93" s="1745"/>
      <c r="F93" s="1746">
        <f>51*0.3</f>
        <v>15.299999999999999</v>
      </c>
      <c r="G93" s="729"/>
      <c r="H93" s="1523"/>
      <c r="I93" s="1731"/>
      <c r="J93" s="1523"/>
      <c r="K93" s="1523"/>
      <c r="L93" s="1523"/>
      <c r="M93" s="1523"/>
      <c r="N93" s="1523"/>
      <c r="O93" s="1523"/>
      <c r="P93" s="1523"/>
      <c r="Q93" s="1523"/>
      <c r="R93" s="1523"/>
      <c r="S93" s="1523"/>
      <c r="T93" s="1523"/>
      <c r="U93" s="1523"/>
      <c r="V93" s="1523"/>
      <c r="W93" s="1523"/>
      <c r="X93" s="1523"/>
      <c r="Y93" s="1523"/>
      <c r="Z93" s="1523"/>
    </row>
    <row r="94" spans="1:26" ht="12.75" customHeight="1">
      <c r="A94" s="1713">
        <f t="shared" si="9"/>
        <v>40</v>
      </c>
      <c r="B94" s="1745" t="s">
        <v>6376</v>
      </c>
      <c r="C94" s="1744" t="s">
        <v>122</v>
      </c>
      <c r="D94" s="1745"/>
      <c r="E94" s="1745"/>
      <c r="F94" s="1746">
        <f>470*0.3</f>
        <v>141</v>
      </c>
      <c r="G94" s="729"/>
      <c r="H94" s="1523"/>
      <c r="I94" s="1731"/>
      <c r="J94" s="1523"/>
      <c r="K94" s="1523"/>
      <c r="L94" s="1523"/>
      <c r="M94" s="1523"/>
      <c r="N94" s="1523"/>
      <c r="O94" s="1523"/>
      <c r="P94" s="1523"/>
      <c r="Q94" s="1523"/>
      <c r="R94" s="1523"/>
      <c r="S94" s="1523"/>
      <c r="T94" s="1523"/>
      <c r="U94" s="1523"/>
      <c r="V94" s="1523"/>
      <c r="W94" s="1523"/>
      <c r="X94" s="1523"/>
      <c r="Y94" s="1523"/>
      <c r="Z94" s="1523"/>
    </row>
    <row r="95" spans="1:26" ht="12.75" customHeight="1">
      <c r="A95" s="1713">
        <f t="shared" si="9"/>
        <v>41</v>
      </c>
      <c r="B95" s="1745" t="s">
        <v>6377</v>
      </c>
      <c r="C95" s="1744" t="s">
        <v>122</v>
      </c>
      <c r="D95" s="1745"/>
      <c r="E95" s="1745"/>
      <c r="F95" s="1746">
        <f>30.98+7.4</f>
        <v>38.380000000000003</v>
      </c>
      <c r="G95" s="729"/>
      <c r="H95" s="1523"/>
      <c r="I95" s="1731"/>
      <c r="J95" s="1523"/>
      <c r="K95" s="1523"/>
      <c r="L95" s="1523"/>
      <c r="M95" s="1523"/>
      <c r="N95" s="1523"/>
      <c r="O95" s="1523"/>
      <c r="P95" s="1523"/>
      <c r="Q95" s="1523"/>
      <c r="R95" s="1523"/>
      <c r="S95" s="1523"/>
      <c r="T95" s="1523"/>
      <c r="U95" s="1523"/>
      <c r="V95" s="1523"/>
      <c r="W95" s="1523"/>
      <c r="X95" s="1523"/>
      <c r="Y95" s="1523"/>
      <c r="Z95" s="1523"/>
    </row>
    <row r="96" spans="1:26" ht="27.75" customHeight="1">
      <c r="A96" s="1713">
        <f t="shared" si="9"/>
        <v>42</v>
      </c>
      <c r="B96" s="1752" t="s">
        <v>6378</v>
      </c>
      <c r="C96" s="1753" t="s">
        <v>122</v>
      </c>
      <c r="D96" s="1752"/>
      <c r="E96" s="1752"/>
      <c r="F96" s="1754">
        <f>(5078.64+7265+85.5)-(165+110)</f>
        <v>12154.14</v>
      </c>
      <c r="G96" s="1797" t="s">
        <v>6379</v>
      </c>
      <c r="H96" s="1783"/>
      <c r="I96" s="1798"/>
      <c r="J96" s="1523"/>
      <c r="K96" s="1523"/>
      <c r="L96" s="1523"/>
      <c r="M96" s="1523"/>
      <c r="N96" s="1523"/>
      <c r="O96" s="1523"/>
      <c r="P96" s="1523"/>
      <c r="Q96" s="1523"/>
      <c r="R96" s="1523"/>
      <c r="S96" s="1523"/>
      <c r="T96" s="1523"/>
      <c r="U96" s="1523"/>
      <c r="V96" s="1523"/>
      <c r="W96" s="1523"/>
      <c r="X96" s="1523"/>
      <c r="Y96" s="1523"/>
      <c r="Z96" s="1523"/>
    </row>
    <row r="97" spans="1:26" ht="12.75" customHeight="1">
      <c r="A97" s="1713">
        <f t="shared" si="9"/>
        <v>43</v>
      </c>
      <c r="B97" s="1752" t="s">
        <v>6380</v>
      </c>
      <c r="C97" s="1753" t="s">
        <v>122</v>
      </c>
      <c r="D97" s="1752"/>
      <c r="E97" s="1752"/>
      <c r="F97" s="1754">
        <v>1750</v>
      </c>
      <c r="G97" s="1797" t="s">
        <v>6381</v>
      </c>
      <c r="H97" s="1783"/>
      <c r="I97" s="1731"/>
      <c r="J97" s="1523"/>
      <c r="K97" s="1523"/>
      <c r="L97" s="1523"/>
      <c r="M97" s="1523"/>
      <c r="N97" s="1523"/>
      <c r="O97" s="1523"/>
      <c r="P97" s="1523"/>
      <c r="Q97" s="1523"/>
      <c r="R97" s="1523"/>
      <c r="S97" s="1523"/>
      <c r="T97" s="1523"/>
      <c r="U97" s="1523"/>
      <c r="V97" s="1523"/>
      <c r="W97" s="1523"/>
      <c r="X97" s="1523"/>
      <c r="Y97" s="1523"/>
      <c r="Z97" s="1523"/>
    </row>
    <row r="98" spans="1:26" ht="27" customHeight="1">
      <c r="A98" s="1713">
        <f t="shared" si="9"/>
        <v>44</v>
      </c>
      <c r="B98" s="1745" t="s">
        <v>6382</v>
      </c>
      <c r="C98" s="1744" t="s">
        <v>122</v>
      </c>
      <c r="D98" s="1745"/>
      <c r="E98" s="1745"/>
      <c r="F98" s="1754">
        <f>1169.55+50+1325</f>
        <v>2544.5500000000002</v>
      </c>
      <c r="G98" s="1797" t="s">
        <v>6383</v>
      </c>
      <c r="H98" s="1783"/>
      <c r="I98" s="1798"/>
      <c r="J98" s="1523"/>
      <c r="K98" s="1523"/>
      <c r="L98" s="1523"/>
      <c r="M98" s="1523"/>
      <c r="N98" s="1523"/>
      <c r="O98" s="1523"/>
      <c r="P98" s="1523"/>
      <c r="Q98" s="1523"/>
      <c r="R98" s="1523"/>
      <c r="S98" s="1523"/>
      <c r="T98" s="1523"/>
      <c r="U98" s="1523"/>
      <c r="V98" s="1523"/>
      <c r="W98" s="1523"/>
      <c r="X98" s="1523"/>
      <c r="Y98" s="1523"/>
      <c r="Z98" s="1523"/>
    </row>
    <row r="99" spans="1:26" ht="12.75" customHeight="1">
      <c r="A99" s="1713">
        <f t="shared" si="9"/>
        <v>45</v>
      </c>
      <c r="B99" s="1745" t="s">
        <v>6384</v>
      </c>
      <c r="C99" s="1744" t="s">
        <v>122</v>
      </c>
      <c r="D99" s="1745"/>
      <c r="E99" s="1745"/>
      <c r="F99" s="1746">
        <v>652</v>
      </c>
      <c r="G99" s="729" t="s">
        <v>6385</v>
      </c>
      <c r="H99" s="1523"/>
      <c r="I99" s="1731"/>
      <c r="J99" s="1523"/>
      <c r="K99" s="1523"/>
      <c r="L99" s="1523"/>
      <c r="M99" s="1523"/>
      <c r="N99" s="1523"/>
      <c r="O99" s="1523"/>
      <c r="P99" s="1523"/>
      <c r="Q99" s="1523"/>
      <c r="R99" s="1523"/>
      <c r="S99" s="1523"/>
      <c r="T99" s="1523"/>
      <c r="U99" s="1523"/>
      <c r="V99" s="1523"/>
      <c r="W99" s="1523"/>
      <c r="X99" s="1523"/>
      <c r="Y99" s="1523"/>
      <c r="Z99" s="1523"/>
    </row>
    <row r="100" spans="1:26" ht="12.75" customHeight="1">
      <c r="A100" s="1713">
        <f t="shared" si="9"/>
        <v>46</v>
      </c>
      <c r="B100" s="1745" t="s">
        <v>3486</v>
      </c>
      <c r="C100" s="1744" t="s">
        <v>122</v>
      </c>
      <c r="D100" s="1744"/>
      <c r="E100" s="1744"/>
      <c r="F100" s="1746">
        <v>80</v>
      </c>
      <c r="G100" s="1797" t="s">
        <v>3512</v>
      </c>
      <c r="H100" s="1783"/>
      <c r="I100" s="1731"/>
      <c r="J100" s="1523"/>
      <c r="K100" s="1523"/>
      <c r="L100" s="1523"/>
      <c r="M100" s="1523"/>
      <c r="N100" s="1523"/>
      <c r="O100" s="1523"/>
      <c r="P100" s="1523"/>
      <c r="Q100" s="1523"/>
      <c r="R100" s="1523"/>
      <c r="S100" s="1523"/>
      <c r="T100" s="1523"/>
      <c r="U100" s="1523"/>
      <c r="V100" s="1523"/>
      <c r="W100" s="1523"/>
      <c r="X100" s="1523"/>
      <c r="Y100" s="1523"/>
      <c r="Z100" s="1523"/>
    </row>
    <row r="101" spans="1:26" ht="12.75" customHeight="1">
      <c r="A101" s="1713">
        <f t="shared" si="9"/>
        <v>47</v>
      </c>
      <c r="B101" s="1745" t="s">
        <v>6386</v>
      </c>
      <c r="C101" s="1744" t="s">
        <v>122</v>
      </c>
      <c r="D101" s="1745"/>
      <c r="E101" s="1745"/>
      <c r="F101" s="1746">
        <f>2340+30</f>
        <v>2370</v>
      </c>
      <c r="G101" s="729"/>
      <c r="H101" s="1523"/>
      <c r="I101" s="1731"/>
      <c r="J101" s="1523"/>
      <c r="K101" s="1523"/>
      <c r="L101" s="1523"/>
      <c r="M101" s="1523"/>
      <c r="N101" s="1523"/>
      <c r="O101" s="1523"/>
      <c r="P101" s="1523"/>
      <c r="Q101" s="1523"/>
      <c r="R101" s="1523"/>
      <c r="S101" s="1523"/>
      <c r="T101" s="1523"/>
      <c r="U101" s="1523"/>
      <c r="V101" s="1523"/>
      <c r="W101" s="1523"/>
      <c r="X101" s="1523"/>
      <c r="Y101" s="1523"/>
      <c r="Z101" s="1523"/>
    </row>
    <row r="102" spans="1:26" ht="26.25" customHeight="1">
      <c r="A102" s="1713">
        <f t="shared" si="9"/>
        <v>48</v>
      </c>
      <c r="B102" s="1752" t="s">
        <v>6387</v>
      </c>
      <c r="C102" s="1753" t="s">
        <v>122</v>
      </c>
      <c r="D102" s="1752"/>
      <c r="E102" s="1752"/>
      <c r="F102" s="1754">
        <f>(2.9+2.9)+(14.34)+(226+30)</f>
        <v>276.14</v>
      </c>
      <c r="G102" s="1782" t="s">
        <v>6388</v>
      </c>
      <c r="H102" s="1783"/>
      <c r="I102" s="1798"/>
      <c r="J102" s="1523"/>
      <c r="K102" s="1523"/>
      <c r="L102" s="1523"/>
      <c r="M102" s="1523"/>
      <c r="N102" s="1523"/>
      <c r="O102" s="1523"/>
      <c r="P102" s="1523"/>
      <c r="Q102" s="1523"/>
      <c r="R102" s="1523"/>
      <c r="S102" s="1523"/>
      <c r="T102" s="1523"/>
      <c r="U102" s="1523"/>
      <c r="V102" s="1523"/>
      <c r="W102" s="1523"/>
      <c r="X102" s="1523"/>
      <c r="Y102" s="1523"/>
      <c r="Z102" s="1523"/>
    </row>
    <row r="103" spans="1:26" ht="12.75" customHeight="1">
      <c r="A103" s="1713">
        <f t="shared" si="9"/>
        <v>49</v>
      </c>
      <c r="B103" s="1717" t="s">
        <v>6389</v>
      </c>
      <c r="C103" s="1744" t="s">
        <v>122</v>
      </c>
      <c r="D103" s="1755"/>
      <c r="E103" s="1745"/>
      <c r="F103" s="1746">
        <f>(100*0.3)+90.5</f>
        <v>120.5</v>
      </c>
      <c r="G103" s="729"/>
      <c r="H103" s="1523"/>
      <c r="I103" s="1731"/>
      <c r="J103" s="1523"/>
      <c r="K103" s="1523"/>
      <c r="L103" s="1523"/>
      <c r="M103" s="1523"/>
      <c r="N103" s="1523"/>
      <c r="O103" s="1523"/>
      <c r="P103" s="1523"/>
      <c r="Q103" s="1756"/>
      <c r="R103" s="1523"/>
      <c r="S103" s="1523"/>
      <c r="T103" s="1523"/>
      <c r="U103" s="1523"/>
      <c r="V103" s="1523"/>
      <c r="W103" s="1523"/>
      <c r="X103" s="1523"/>
      <c r="Y103" s="1523"/>
      <c r="Z103" s="1523"/>
    </row>
    <row r="104" spans="1:26" ht="12.75" customHeight="1">
      <c r="A104" s="1713">
        <f t="shared" si="9"/>
        <v>50</v>
      </c>
      <c r="B104" s="1717" t="s">
        <v>6390</v>
      </c>
      <c r="C104" s="1718" t="s">
        <v>122</v>
      </c>
      <c r="D104" s="1757"/>
      <c r="E104" s="1717"/>
      <c r="F104" s="1746">
        <f>332*0.3</f>
        <v>99.6</v>
      </c>
      <c r="G104" s="729"/>
      <c r="H104" s="1523"/>
      <c r="I104" s="1731"/>
      <c r="J104" s="1523"/>
      <c r="K104" s="1523"/>
      <c r="L104" s="1523"/>
      <c r="M104" s="1523"/>
      <c r="N104" s="1523"/>
      <c r="O104" s="1523"/>
      <c r="P104" s="1523"/>
      <c r="Q104" s="1756"/>
      <c r="R104" s="1523"/>
      <c r="S104" s="1523"/>
      <c r="T104" s="1523"/>
      <c r="U104" s="1523"/>
      <c r="V104" s="1523"/>
      <c r="W104" s="1523"/>
      <c r="X104" s="1523"/>
      <c r="Y104" s="1523"/>
      <c r="Z104" s="1523"/>
    </row>
    <row r="105" spans="1:26" ht="12.75" customHeight="1">
      <c r="A105" s="1713">
        <f t="shared" si="9"/>
        <v>51</v>
      </c>
      <c r="B105" s="1717" t="s">
        <v>6391</v>
      </c>
      <c r="C105" s="1718" t="s">
        <v>122</v>
      </c>
      <c r="D105" s="1757"/>
      <c r="E105" s="1717"/>
      <c r="F105" s="1746">
        <f>186*0.3</f>
        <v>55.8</v>
      </c>
      <c r="G105" s="729"/>
      <c r="H105" s="1523"/>
      <c r="I105" s="1731"/>
      <c r="J105" s="1523"/>
      <c r="K105" s="1523"/>
      <c r="L105" s="1523"/>
      <c r="M105" s="1523"/>
      <c r="N105" s="1523"/>
      <c r="O105" s="1523"/>
      <c r="P105" s="1523"/>
      <c r="Q105" s="1756"/>
      <c r="R105" s="1523"/>
      <c r="S105" s="1523"/>
      <c r="T105" s="1523"/>
      <c r="U105" s="1523"/>
      <c r="V105" s="1523"/>
      <c r="W105" s="1523"/>
      <c r="X105" s="1523"/>
      <c r="Y105" s="1523"/>
      <c r="Z105" s="1523"/>
    </row>
    <row r="106" spans="1:26" ht="12.75" customHeight="1">
      <c r="A106" s="1713">
        <f t="shared" si="9"/>
        <v>52</v>
      </c>
      <c r="B106" s="1717" t="s">
        <v>6392</v>
      </c>
      <c r="C106" s="1718" t="s">
        <v>122</v>
      </c>
      <c r="D106" s="1757"/>
      <c r="E106" s="1717"/>
      <c r="F106" s="1746">
        <v>0</v>
      </c>
      <c r="G106" s="729"/>
      <c r="H106" s="1523"/>
      <c r="I106" s="1731"/>
      <c r="J106" s="1523"/>
      <c r="K106" s="1523"/>
      <c r="L106" s="1523"/>
      <c r="M106" s="1523"/>
      <c r="N106" s="1523"/>
      <c r="O106" s="1523"/>
      <c r="P106" s="1523"/>
      <c r="Q106" s="1756"/>
      <c r="R106" s="1523"/>
      <c r="S106" s="1523"/>
      <c r="T106" s="1523"/>
      <c r="U106" s="1523"/>
      <c r="V106" s="1523"/>
      <c r="W106" s="1523"/>
      <c r="X106" s="1523"/>
      <c r="Y106" s="1523"/>
      <c r="Z106" s="1523"/>
    </row>
    <row r="107" spans="1:26" ht="12.75" customHeight="1">
      <c r="A107" s="1713">
        <f t="shared" si="9"/>
        <v>53</v>
      </c>
      <c r="B107" s="1717" t="s">
        <v>6393</v>
      </c>
      <c r="C107" s="1718" t="s">
        <v>122</v>
      </c>
      <c r="D107" s="1757"/>
      <c r="E107" s="1717"/>
      <c r="F107" s="1746">
        <v>0</v>
      </c>
      <c r="G107" s="729"/>
      <c r="H107" s="1523"/>
      <c r="I107" s="1731"/>
      <c r="J107" s="1523"/>
      <c r="K107" s="1523"/>
      <c r="L107" s="1523"/>
      <c r="M107" s="1523"/>
      <c r="N107" s="1523"/>
      <c r="O107" s="1523"/>
      <c r="P107" s="1523"/>
      <c r="Q107" s="1756"/>
      <c r="R107" s="1523"/>
      <c r="S107" s="1523"/>
      <c r="T107" s="1523"/>
      <c r="U107" s="1523"/>
      <c r="V107" s="1523"/>
      <c r="W107" s="1523"/>
      <c r="X107" s="1523"/>
      <c r="Y107" s="1523"/>
      <c r="Z107" s="1523"/>
    </row>
    <row r="108" spans="1:26" ht="12.75" customHeight="1">
      <c r="A108" s="1713">
        <f t="shared" si="9"/>
        <v>54</v>
      </c>
      <c r="B108" s="1717" t="s">
        <v>6394</v>
      </c>
      <c r="C108" s="1718" t="s">
        <v>122</v>
      </c>
      <c r="D108" s="1717"/>
      <c r="E108" s="1717"/>
      <c r="F108" s="1746">
        <f>350*0.3</f>
        <v>105</v>
      </c>
      <c r="G108" s="729"/>
      <c r="H108" s="1523"/>
      <c r="I108" s="1731"/>
      <c r="J108" s="1523"/>
      <c r="K108" s="1523"/>
      <c r="L108" s="1523"/>
      <c r="M108" s="1523"/>
      <c r="N108" s="1523"/>
      <c r="O108" s="1523"/>
      <c r="P108" s="1523"/>
      <c r="Q108" s="1523"/>
      <c r="R108" s="1523"/>
      <c r="S108" s="1523"/>
      <c r="T108" s="1523"/>
      <c r="U108" s="1523"/>
      <c r="V108" s="1523"/>
      <c r="W108" s="1523"/>
      <c r="X108" s="1523"/>
      <c r="Y108" s="1523"/>
      <c r="Z108" s="1523"/>
    </row>
    <row r="109" spans="1:26" ht="12.75" customHeight="1">
      <c r="A109" s="1713">
        <f t="shared" si="9"/>
        <v>55</v>
      </c>
      <c r="B109" s="1717" t="s">
        <v>6395</v>
      </c>
      <c r="C109" s="1718" t="s">
        <v>122</v>
      </c>
      <c r="D109" s="1717"/>
      <c r="E109" s="1717"/>
      <c r="F109" s="1746">
        <f>364*0.3</f>
        <v>109.2</v>
      </c>
      <c r="G109" s="729"/>
      <c r="H109" s="1523"/>
      <c r="I109" s="1731"/>
      <c r="J109" s="1523"/>
      <c r="K109" s="1523"/>
      <c r="L109" s="1523"/>
      <c r="M109" s="1523"/>
      <c r="N109" s="1523"/>
      <c r="O109" s="1523"/>
      <c r="P109" s="1523"/>
      <c r="Q109" s="1756"/>
      <c r="R109" s="1523"/>
      <c r="S109" s="1523"/>
      <c r="T109" s="1523"/>
      <c r="U109" s="1523"/>
      <c r="V109" s="1523"/>
      <c r="W109" s="1523"/>
      <c r="X109" s="1523"/>
      <c r="Y109" s="1523"/>
      <c r="Z109" s="1523"/>
    </row>
    <row r="110" spans="1:26" ht="12.75" customHeight="1">
      <c r="A110" s="1713">
        <f t="shared" si="9"/>
        <v>56</v>
      </c>
      <c r="B110" s="1717" t="s">
        <v>6396</v>
      </c>
      <c r="C110" s="1718" t="s">
        <v>122</v>
      </c>
      <c r="D110" s="1717"/>
      <c r="E110" s="1717"/>
      <c r="F110" s="1746">
        <f>300*0.3</f>
        <v>90</v>
      </c>
      <c r="G110" s="729"/>
      <c r="H110" s="1523"/>
      <c r="I110" s="1731"/>
      <c r="J110" s="1523"/>
      <c r="K110" s="1523"/>
      <c r="L110" s="1523"/>
      <c r="M110" s="1523"/>
      <c r="N110" s="1523"/>
      <c r="O110" s="1523"/>
      <c r="P110" s="1523"/>
      <c r="Q110" s="1756"/>
      <c r="R110" s="1523"/>
      <c r="S110" s="1523"/>
      <c r="T110" s="1523"/>
      <c r="U110" s="1523"/>
      <c r="V110" s="1523"/>
      <c r="W110" s="1523"/>
      <c r="X110" s="1523"/>
      <c r="Y110" s="1523"/>
      <c r="Z110" s="1523"/>
    </row>
    <row r="111" spans="1:26" ht="12.75" customHeight="1">
      <c r="A111" s="1713">
        <f t="shared" si="9"/>
        <v>57</v>
      </c>
      <c r="B111" s="1717" t="s">
        <v>6397</v>
      </c>
      <c r="C111" s="1718" t="s">
        <v>122</v>
      </c>
      <c r="D111" s="1717"/>
      <c r="E111" s="1717"/>
      <c r="F111" s="1746">
        <f>304*0.3</f>
        <v>91.2</v>
      </c>
      <c r="G111" s="729"/>
      <c r="H111" s="1523"/>
      <c r="I111" s="1731"/>
      <c r="J111" s="1523"/>
      <c r="K111" s="1523"/>
      <c r="L111" s="1523"/>
      <c r="M111" s="1523"/>
      <c r="N111" s="1523"/>
      <c r="O111" s="1523"/>
      <c r="P111" s="1523"/>
      <c r="Q111" s="1756"/>
      <c r="R111" s="1523"/>
      <c r="S111" s="1523"/>
      <c r="T111" s="1523"/>
      <c r="U111" s="1523"/>
      <c r="V111" s="1523"/>
      <c r="W111" s="1523"/>
      <c r="X111" s="1523"/>
      <c r="Y111" s="1523"/>
      <c r="Z111" s="1523"/>
    </row>
    <row r="112" spans="1:26" ht="12.75" customHeight="1">
      <c r="A112" s="1713">
        <f t="shared" si="9"/>
        <v>58</v>
      </c>
      <c r="B112" s="1717" t="s">
        <v>6398</v>
      </c>
      <c r="C112" s="1718" t="s">
        <v>122</v>
      </c>
      <c r="D112" s="1717"/>
      <c r="E112" s="1717"/>
      <c r="F112" s="1746">
        <f>498*0.3</f>
        <v>149.4</v>
      </c>
      <c r="G112" s="729"/>
      <c r="H112" s="1523"/>
      <c r="I112" s="1731"/>
      <c r="J112" s="1523"/>
      <c r="K112" s="1523"/>
      <c r="L112" s="1523"/>
      <c r="M112" s="1523"/>
      <c r="N112" s="1523"/>
      <c r="O112" s="1523"/>
      <c r="P112" s="1523"/>
      <c r="Q112" s="1523"/>
      <c r="R112" s="1523"/>
      <c r="S112" s="1523"/>
      <c r="T112" s="1523"/>
      <c r="U112" s="1523"/>
      <c r="V112" s="1523"/>
      <c r="W112" s="1523"/>
      <c r="X112" s="1523"/>
      <c r="Y112" s="1523"/>
      <c r="Z112" s="1523"/>
    </row>
    <row r="113" spans="1:26" ht="12.75" customHeight="1">
      <c r="A113" s="1713">
        <f t="shared" si="9"/>
        <v>59</v>
      </c>
      <c r="B113" s="1717" t="s">
        <v>6399</v>
      </c>
      <c r="C113" s="1718" t="s">
        <v>122</v>
      </c>
      <c r="D113" s="1717"/>
      <c r="E113" s="1717"/>
      <c r="F113" s="1746">
        <f>288*0.3</f>
        <v>86.399999999999991</v>
      </c>
      <c r="G113" s="729"/>
      <c r="H113" s="1523"/>
      <c r="I113" s="1731"/>
      <c r="J113" s="1523"/>
      <c r="K113" s="1523"/>
      <c r="L113" s="1523"/>
      <c r="M113" s="1523"/>
      <c r="N113" s="1523"/>
      <c r="O113" s="1523"/>
      <c r="P113" s="1523"/>
      <c r="Q113" s="1523"/>
      <c r="R113" s="1523"/>
      <c r="S113" s="1523"/>
      <c r="T113" s="1523"/>
      <c r="U113" s="1523"/>
      <c r="V113" s="1523"/>
      <c r="W113" s="1523"/>
      <c r="X113" s="1523"/>
      <c r="Y113" s="1523"/>
      <c r="Z113" s="1523"/>
    </row>
    <row r="114" spans="1:26" ht="12.75" customHeight="1">
      <c r="A114" s="1713">
        <f t="shared" si="9"/>
        <v>60</v>
      </c>
      <c r="B114" s="1717" t="s">
        <v>6400</v>
      </c>
      <c r="C114" s="1718" t="s">
        <v>122</v>
      </c>
      <c r="D114" s="1717"/>
      <c r="E114" s="1717"/>
      <c r="F114" s="1746">
        <f>420*0.3</f>
        <v>126</v>
      </c>
      <c r="G114" s="729"/>
      <c r="H114" s="1523"/>
      <c r="I114" s="1731"/>
      <c r="J114" s="1523"/>
      <c r="K114" s="1523"/>
      <c r="L114" s="1523"/>
      <c r="M114" s="1523"/>
      <c r="N114" s="1523"/>
      <c r="O114" s="1523"/>
      <c r="P114" s="1523"/>
      <c r="Q114" s="1523"/>
      <c r="R114" s="1523"/>
      <c r="S114" s="1523"/>
      <c r="T114" s="1523"/>
      <c r="U114" s="1523"/>
      <c r="V114" s="1523"/>
      <c r="W114" s="1523"/>
      <c r="X114" s="1523"/>
      <c r="Y114" s="1523"/>
      <c r="Z114" s="1523"/>
    </row>
    <row r="115" spans="1:26" ht="12.75" customHeight="1">
      <c r="A115" s="1713">
        <f t="shared" si="9"/>
        <v>61</v>
      </c>
      <c r="B115" s="1717" t="s">
        <v>6401</v>
      </c>
      <c r="C115" s="1744" t="s">
        <v>122</v>
      </c>
      <c r="D115" s="1745"/>
      <c r="E115" s="1745"/>
      <c r="F115" s="1746">
        <f>204*0.3</f>
        <v>61.199999999999996</v>
      </c>
      <c r="G115" s="729"/>
      <c r="H115" s="1523"/>
      <c r="I115" s="1731"/>
      <c r="J115" s="1523"/>
      <c r="K115" s="1523"/>
      <c r="L115" s="1523"/>
      <c r="M115" s="1523"/>
      <c r="N115" s="1523"/>
      <c r="O115" s="1523"/>
      <c r="P115" s="1523"/>
      <c r="Q115" s="1523"/>
      <c r="R115" s="1523"/>
      <c r="S115" s="1523"/>
      <c r="T115" s="1523"/>
      <c r="U115" s="1523"/>
      <c r="V115" s="1523"/>
      <c r="W115" s="1523"/>
      <c r="X115" s="1523"/>
      <c r="Y115" s="1523"/>
      <c r="Z115" s="1523"/>
    </row>
    <row r="116" spans="1:26" ht="12.75" customHeight="1">
      <c r="A116" s="1713">
        <f t="shared" si="9"/>
        <v>62</v>
      </c>
      <c r="B116" s="1717" t="s">
        <v>6402</v>
      </c>
      <c r="C116" s="1744" t="s">
        <v>122</v>
      </c>
      <c r="D116" s="1745"/>
      <c r="E116" s="1745"/>
      <c r="F116" s="1746">
        <v>0</v>
      </c>
      <c r="G116" s="729"/>
      <c r="H116" s="1523"/>
      <c r="I116" s="1731"/>
      <c r="J116" s="1523"/>
      <c r="K116" s="1523"/>
      <c r="L116" s="1523"/>
      <c r="M116" s="1523"/>
      <c r="N116" s="1523"/>
      <c r="O116" s="1523"/>
      <c r="P116" s="1523"/>
      <c r="Q116" s="1523"/>
      <c r="R116" s="1523"/>
      <c r="S116" s="1523"/>
      <c r="T116" s="1523"/>
      <c r="U116" s="1523"/>
      <c r="V116" s="1523"/>
      <c r="W116" s="1523"/>
      <c r="X116" s="1523"/>
      <c r="Y116" s="1523"/>
      <c r="Z116" s="1523"/>
    </row>
    <row r="117" spans="1:26" ht="12.75" customHeight="1">
      <c r="A117" s="1713">
        <f t="shared" si="9"/>
        <v>63</v>
      </c>
      <c r="B117" s="1717" t="s">
        <v>6403</v>
      </c>
      <c r="C117" s="1744" t="s">
        <v>122</v>
      </c>
      <c r="D117" s="1745"/>
      <c r="E117" s="1745"/>
      <c r="F117" s="1746">
        <v>0</v>
      </c>
      <c r="G117" s="729"/>
      <c r="H117" s="1523"/>
      <c r="I117" s="1731"/>
      <c r="J117" s="1523"/>
      <c r="K117" s="1523"/>
      <c r="L117" s="1523"/>
      <c r="M117" s="1523"/>
      <c r="N117" s="1523"/>
      <c r="O117" s="1523"/>
      <c r="P117" s="1523"/>
      <c r="Q117" s="1523"/>
      <c r="R117" s="1523"/>
      <c r="S117" s="1523"/>
      <c r="T117" s="1523"/>
      <c r="U117" s="1523"/>
      <c r="V117" s="1523"/>
      <c r="W117" s="1523"/>
      <c r="X117" s="1523"/>
      <c r="Y117" s="1523"/>
      <c r="Z117" s="1523"/>
    </row>
    <row r="118" spans="1:26" ht="12.75" customHeight="1">
      <c r="A118" s="1713">
        <f t="shared" si="9"/>
        <v>64</v>
      </c>
      <c r="B118" s="1717" t="s">
        <v>6404</v>
      </c>
      <c r="C118" s="1718" t="s">
        <v>122</v>
      </c>
      <c r="D118" s="1717"/>
      <c r="E118" s="1717"/>
      <c r="F118" s="1746">
        <f>96*0.3</f>
        <v>28.799999999999997</v>
      </c>
      <c r="G118" s="729"/>
      <c r="H118" s="1523"/>
      <c r="I118" s="1731"/>
      <c r="J118" s="1523"/>
      <c r="K118" s="1523"/>
      <c r="L118" s="1523"/>
      <c r="M118" s="1523"/>
      <c r="N118" s="1523"/>
      <c r="O118" s="1523"/>
      <c r="P118" s="1523"/>
      <c r="Q118" s="1523"/>
      <c r="R118" s="1523"/>
      <c r="S118" s="1523"/>
      <c r="T118" s="1523"/>
      <c r="U118" s="1523"/>
      <c r="V118" s="1523"/>
      <c r="W118" s="1523"/>
      <c r="X118" s="1523"/>
      <c r="Y118" s="1523"/>
      <c r="Z118" s="1523"/>
    </row>
    <row r="119" spans="1:26" ht="12.75" customHeight="1">
      <c r="A119" s="1713">
        <f t="shared" si="9"/>
        <v>65</v>
      </c>
      <c r="B119" s="1717" t="s">
        <v>6405</v>
      </c>
      <c r="C119" s="1718" t="s">
        <v>122</v>
      </c>
      <c r="D119" s="1717"/>
      <c r="E119" s="1717"/>
      <c r="F119" s="1746">
        <f>264*0.3</f>
        <v>79.2</v>
      </c>
      <c r="G119" s="729"/>
      <c r="H119" s="1523"/>
      <c r="I119" s="1731"/>
      <c r="J119" s="1523"/>
      <c r="K119" s="1523"/>
      <c r="L119" s="1523"/>
      <c r="M119" s="1523"/>
      <c r="N119" s="1523"/>
      <c r="O119" s="1523"/>
      <c r="P119" s="1523"/>
      <c r="Q119" s="1523"/>
      <c r="R119" s="1523"/>
      <c r="S119" s="1523"/>
      <c r="T119" s="1523"/>
      <c r="U119" s="1523"/>
      <c r="V119" s="1523"/>
      <c r="W119" s="1523"/>
      <c r="X119" s="1523"/>
      <c r="Y119" s="1523"/>
      <c r="Z119" s="1523"/>
    </row>
    <row r="120" spans="1:26" ht="12.75" customHeight="1">
      <c r="A120" s="1713">
        <f t="shared" si="9"/>
        <v>66</v>
      </c>
      <c r="B120" s="1717" t="s">
        <v>6406</v>
      </c>
      <c r="C120" s="1718" t="s">
        <v>122</v>
      </c>
      <c r="D120" s="1717"/>
      <c r="E120" s="1717"/>
      <c r="F120" s="1746">
        <v>0</v>
      </c>
      <c r="G120" s="729"/>
      <c r="H120" s="1523"/>
      <c r="I120" s="1731"/>
      <c r="J120" s="1523"/>
      <c r="K120" s="1523"/>
      <c r="L120" s="1523"/>
      <c r="M120" s="1523"/>
      <c r="N120" s="1523"/>
      <c r="O120" s="1523"/>
      <c r="P120" s="1523"/>
      <c r="Q120" s="1523"/>
      <c r="R120" s="1523"/>
      <c r="S120" s="1523"/>
      <c r="T120" s="1523"/>
      <c r="U120" s="1523"/>
      <c r="V120" s="1523"/>
      <c r="W120" s="1523"/>
      <c r="X120" s="1523"/>
      <c r="Y120" s="1523"/>
      <c r="Z120" s="1523"/>
    </row>
    <row r="121" spans="1:26" ht="12.75" customHeight="1">
      <c r="A121" s="1713">
        <f t="shared" si="9"/>
        <v>67</v>
      </c>
      <c r="B121" s="1717" t="s">
        <v>6407</v>
      </c>
      <c r="C121" s="1718" t="s">
        <v>122</v>
      </c>
      <c r="D121" s="1717"/>
      <c r="E121" s="1717"/>
      <c r="F121" s="1746">
        <f>470*0.3</f>
        <v>141</v>
      </c>
      <c r="G121" s="729"/>
      <c r="H121" s="1523"/>
      <c r="I121" s="1731"/>
      <c r="J121" s="1523"/>
      <c r="K121" s="1523"/>
      <c r="L121" s="1523"/>
      <c r="M121" s="1523"/>
      <c r="N121" s="1523"/>
      <c r="O121" s="1523"/>
      <c r="P121" s="1523"/>
      <c r="Q121" s="1523"/>
      <c r="R121" s="1523"/>
      <c r="S121" s="1523"/>
      <c r="T121" s="1523"/>
      <c r="U121" s="1523"/>
      <c r="V121" s="1523"/>
      <c r="W121" s="1523"/>
      <c r="X121" s="1523"/>
      <c r="Y121" s="1523"/>
      <c r="Z121" s="1523"/>
    </row>
    <row r="122" spans="1:26" ht="12.75" customHeight="1">
      <c r="A122" s="1713">
        <f t="shared" si="9"/>
        <v>68</v>
      </c>
      <c r="B122" s="1717" t="s">
        <v>6377</v>
      </c>
      <c r="C122" s="1744" t="s">
        <v>122</v>
      </c>
      <c r="D122" s="1745"/>
      <c r="E122" s="1745"/>
      <c r="F122" s="1746">
        <v>9.7100000000000009</v>
      </c>
      <c r="G122" s="729"/>
      <c r="H122" s="1523"/>
      <c r="I122" s="1731"/>
      <c r="J122" s="1523"/>
      <c r="K122" s="1523"/>
      <c r="L122" s="1523"/>
      <c r="M122" s="1523"/>
      <c r="N122" s="1523"/>
      <c r="O122" s="1523"/>
      <c r="P122" s="1523"/>
      <c r="Q122" s="1523"/>
      <c r="R122" s="1523"/>
      <c r="S122" s="1523"/>
      <c r="T122" s="1523"/>
      <c r="U122" s="1523"/>
      <c r="V122" s="1523"/>
      <c r="W122" s="1523"/>
      <c r="X122" s="1523"/>
      <c r="Y122" s="1523"/>
      <c r="Z122" s="1523"/>
    </row>
    <row r="123" spans="1:26" ht="29.25" customHeight="1">
      <c r="A123" s="1713">
        <f t="shared" si="9"/>
        <v>69</v>
      </c>
      <c r="B123" s="1717" t="s">
        <v>4822</v>
      </c>
      <c r="C123" s="1718" t="s">
        <v>122</v>
      </c>
      <c r="D123" s="1717"/>
      <c r="E123" s="1717"/>
      <c r="F123" s="1754">
        <f>(5125.45+7016.8+84)-165+110</f>
        <v>12171.25</v>
      </c>
      <c r="G123" s="1797" t="s">
        <v>6379</v>
      </c>
      <c r="H123" s="1783"/>
      <c r="I123" s="1798"/>
      <c r="K123" s="1523"/>
      <c r="L123" s="1523"/>
      <c r="M123" s="1523"/>
      <c r="N123" s="1523"/>
      <c r="O123" s="1523"/>
      <c r="P123" s="1523"/>
      <c r="Q123" s="1523"/>
      <c r="R123" s="1523"/>
      <c r="S123" s="1523"/>
      <c r="T123" s="1523"/>
      <c r="U123" s="1523"/>
      <c r="V123" s="1523"/>
      <c r="W123" s="1523"/>
      <c r="X123" s="1523"/>
      <c r="Y123" s="1523"/>
      <c r="Z123" s="1523"/>
    </row>
    <row r="124" spans="1:26" ht="12.75" customHeight="1">
      <c r="A124" s="1713">
        <f t="shared" si="9"/>
        <v>70</v>
      </c>
      <c r="B124" s="1717" t="s">
        <v>6408</v>
      </c>
      <c r="C124" s="1718" t="s">
        <v>122</v>
      </c>
      <c r="D124" s="1717"/>
      <c r="E124" s="1717"/>
      <c r="F124" s="1746">
        <v>1600</v>
      </c>
      <c r="G124" s="1797" t="s">
        <v>6381</v>
      </c>
      <c r="H124" s="1783"/>
      <c r="I124" s="1798"/>
      <c r="J124" s="1523"/>
      <c r="K124" s="1523"/>
      <c r="L124" s="1523"/>
      <c r="M124" s="1523"/>
      <c r="N124" s="1523"/>
      <c r="O124" s="1523"/>
      <c r="P124" s="1523"/>
      <c r="Q124" s="1523"/>
      <c r="R124" s="1523"/>
      <c r="S124" s="1523"/>
      <c r="T124" s="1523"/>
      <c r="U124" s="1523"/>
      <c r="V124" s="1523"/>
      <c r="W124" s="1523"/>
      <c r="X124" s="1523"/>
      <c r="Y124" s="1523"/>
      <c r="Z124" s="1523"/>
    </row>
    <row r="125" spans="1:26" ht="12.75" customHeight="1">
      <c r="A125" s="1713">
        <f t="shared" si="9"/>
        <v>71</v>
      </c>
      <c r="B125" s="1717" t="s">
        <v>3510</v>
      </c>
      <c r="C125" s="1718" t="s">
        <v>122</v>
      </c>
      <c r="D125" s="1717"/>
      <c r="E125" s="1717"/>
      <c r="F125" s="1746">
        <v>80</v>
      </c>
      <c r="G125" s="1797" t="s">
        <v>3512</v>
      </c>
      <c r="H125" s="1783"/>
      <c r="I125" s="1798"/>
      <c r="J125" s="1523"/>
      <c r="K125" s="1523"/>
      <c r="L125" s="1523"/>
      <c r="M125" s="1523"/>
      <c r="N125" s="1523"/>
      <c r="O125" s="1523"/>
      <c r="P125" s="1523"/>
      <c r="Q125" s="1523"/>
      <c r="R125" s="1523"/>
      <c r="S125" s="1523"/>
      <c r="T125" s="1523"/>
      <c r="U125" s="1523"/>
      <c r="V125" s="1523"/>
      <c r="W125" s="1523"/>
      <c r="X125" s="1523"/>
      <c r="Y125" s="1523"/>
      <c r="Z125" s="1523"/>
    </row>
    <row r="126" spans="1:26" ht="29.25" customHeight="1">
      <c r="A126" s="1713">
        <f t="shared" si="9"/>
        <v>72</v>
      </c>
      <c r="B126" s="1717" t="s">
        <v>6409</v>
      </c>
      <c r="C126" s="1718" t="s">
        <v>122</v>
      </c>
      <c r="D126" s="1717"/>
      <c r="E126" s="1717"/>
      <c r="F126" s="1754">
        <f>1695.1+(150+200)+1060</f>
        <v>3105.1</v>
      </c>
      <c r="G126" s="1797" t="s">
        <v>6410</v>
      </c>
      <c r="H126" s="1783"/>
      <c r="I126" s="1798"/>
      <c r="J126" s="1523"/>
      <c r="K126" s="1523"/>
      <c r="L126" s="1523"/>
      <c r="M126" s="1523"/>
      <c r="N126" s="1523"/>
      <c r="O126" s="1523"/>
      <c r="P126" s="1523"/>
      <c r="Q126" s="1523"/>
      <c r="R126" s="1523"/>
      <c r="S126" s="1523"/>
      <c r="T126" s="1523"/>
      <c r="U126" s="1523"/>
      <c r="V126" s="1523"/>
      <c r="W126" s="1523"/>
      <c r="X126" s="1523"/>
      <c r="Y126" s="1523"/>
      <c r="Z126" s="1523"/>
    </row>
    <row r="127" spans="1:26" ht="12.75" customHeight="1">
      <c r="A127" s="1713">
        <f t="shared" si="9"/>
        <v>73</v>
      </c>
      <c r="B127" s="1717" t="s">
        <v>6411</v>
      </c>
      <c r="C127" s="1718" t="s">
        <v>122</v>
      </c>
      <c r="D127" s="1717"/>
      <c r="E127" s="1717"/>
      <c r="F127" s="1746"/>
      <c r="G127" s="729"/>
      <c r="H127" s="1523"/>
      <c r="I127" s="1731"/>
      <c r="J127" s="1523"/>
      <c r="K127" s="1523"/>
      <c r="L127" s="1523"/>
      <c r="M127" s="1523"/>
      <c r="N127" s="1523"/>
      <c r="O127" s="1523"/>
      <c r="P127" s="1523"/>
      <c r="Q127" s="1523"/>
      <c r="R127" s="1523"/>
      <c r="S127" s="1523"/>
      <c r="T127" s="1523"/>
      <c r="U127" s="1523"/>
      <c r="V127" s="1523"/>
      <c r="W127" s="1523"/>
      <c r="X127" s="1523"/>
      <c r="Y127" s="1523"/>
      <c r="Z127" s="1523"/>
    </row>
    <row r="128" spans="1:26" ht="12.75" customHeight="1">
      <c r="A128" s="1713">
        <f t="shared" si="9"/>
        <v>74</v>
      </c>
      <c r="B128" s="1717" t="s">
        <v>6412</v>
      </c>
      <c r="C128" s="1718" t="s">
        <v>122</v>
      </c>
      <c r="D128" s="1717"/>
      <c r="E128" s="1717"/>
      <c r="F128" s="1746">
        <v>1060.8</v>
      </c>
      <c r="G128" s="729" t="s">
        <v>6413</v>
      </c>
      <c r="H128" s="1523"/>
      <c r="I128" s="1731"/>
      <c r="J128" s="1523"/>
      <c r="K128" s="1523"/>
      <c r="L128" s="1523"/>
      <c r="M128" s="1523"/>
      <c r="N128" s="1523"/>
      <c r="O128" s="1523"/>
      <c r="P128" s="1523"/>
      <c r="Q128" s="1523"/>
      <c r="R128" s="1523"/>
      <c r="S128" s="1523"/>
      <c r="T128" s="1523"/>
      <c r="U128" s="1523"/>
      <c r="V128" s="1523"/>
      <c r="W128" s="1523"/>
      <c r="X128" s="1523"/>
      <c r="Y128" s="1523"/>
      <c r="Z128" s="1523"/>
    </row>
    <row r="129" spans="1:26" ht="12.75" customHeight="1">
      <c r="A129" s="1713">
        <f t="shared" si="9"/>
        <v>75</v>
      </c>
      <c r="B129" s="1717" t="s">
        <v>6414</v>
      </c>
      <c r="C129" s="1718" t="s">
        <v>122</v>
      </c>
      <c r="D129" s="1717"/>
      <c r="E129" s="1717"/>
      <c r="F129" s="1746">
        <f>(228.5)+16.23+2.5+2.9</f>
        <v>250.13</v>
      </c>
      <c r="G129" s="1797" t="s">
        <v>6415</v>
      </c>
      <c r="H129" s="1783"/>
      <c r="I129" s="1798"/>
      <c r="J129" s="1523"/>
      <c r="K129" s="1523"/>
      <c r="L129" s="1523"/>
      <c r="M129" s="1523"/>
      <c r="N129" s="1523"/>
      <c r="O129" s="1523"/>
      <c r="P129" s="1523"/>
      <c r="Q129" s="1523"/>
      <c r="R129" s="1523"/>
      <c r="S129" s="1523"/>
      <c r="T129" s="1523"/>
      <c r="U129" s="1523"/>
      <c r="V129" s="1523"/>
      <c r="W129" s="1523"/>
      <c r="X129" s="1523"/>
      <c r="Y129" s="1523"/>
      <c r="Z129" s="1523"/>
    </row>
    <row r="130" spans="1:26" ht="12.75" customHeight="1">
      <c r="A130" s="1713">
        <f t="shared" si="9"/>
        <v>76</v>
      </c>
      <c r="B130" s="1717" t="s">
        <v>6416</v>
      </c>
      <c r="C130" s="1718" t="s">
        <v>122</v>
      </c>
      <c r="D130" s="1717"/>
      <c r="E130" s="1717"/>
      <c r="F130" s="1746">
        <f>100*0.3</f>
        <v>30</v>
      </c>
      <c r="G130" s="729"/>
      <c r="H130" s="1523"/>
      <c r="I130" s="1731"/>
      <c r="J130" s="1523"/>
      <c r="K130" s="1523"/>
      <c r="L130" s="1523"/>
      <c r="M130" s="1523"/>
      <c r="N130" s="1523"/>
      <c r="O130" s="1523"/>
      <c r="P130" s="1523"/>
      <c r="Q130" s="1523"/>
      <c r="R130" s="1523"/>
      <c r="S130" s="1523"/>
      <c r="T130" s="1523"/>
      <c r="U130" s="1523"/>
      <c r="V130" s="1523"/>
      <c r="W130" s="1523"/>
      <c r="X130" s="1523"/>
      <c r="Y130" s="1523"/>
      <c r="Z130" s="1523"/>
    </row>
    <row r="131" spans="1:26" ht="12.75" customHeight="1">
      <c r="A131" s="1713">
        <f t="shared" si="9"/>
        <v>77</v>
      </c>
      <c r="B131" s="1717" t="s">
        <v>6417</v>
      </c>
      <c r="C131" s="1718" t="s">
        <v>122</v>
      </c>
      <c r="D131" s="1717"/>
      <c r="E131" s="1717"/>
      <c r="F131" s="1746">
        <f>332*0.3</f>
        <v>99.6</v>
      </c>
      <c r="G131" s="729"/>
      <c r="H131" s="1523"/>
      <c r="I131" s="1731"/>
      <c r="J131" s="1523"/>
      <c r="K131" s="1523"/>
      <c r="L131" s="1523"/>
      <c r="M131" s="1523"/>
      <c r="N131" s="1523"/>
      <c r="O131" s="1523"/>
      <c r="P131" s="1523"/>
      <c r="Q131" s="1523"/>
      <c r="R131" s="1523"/>
      <c r="S131" s="1523"/>
      <c r="T131" s="1523"/>
      <c r="U131" s="1523"/>
      <c r="V131" s="1523"/>
      <c r="W131" s="1523"/>
      <c r="X131" s="1523"/>
      <c r="Y131" s="1523"/>
      <c r="Z131" s="1523"/>
    </row>
    <row r="132" spans="1:26" ht="12.75" customHeight="1">
      <c r="A132" s="1713">
        <f t="shared" si="9"/>
        <v>78</v>
      </c>
      <c r="B132" s="1717" t="s">
        <v>6418</v>
      </c>
      <c r="C132" s="1718" t="s">
        <v>122</v>
      </c>
      <c r="D132" s="1717"/>
      <c r="E132" s="1717"/>
      <c r="F132" s="1746">
        <f>186*0.3</f>
        <v>55.8</v>
      </c>
      <c r="G132" s="729"/>
      <c r="H132" s="1523"/>
      <c r="I132" s="1731"/>
      <c r="J132" s="1523"/>
      <c r="K132" s="1523"/>
      <c r="L132" s="1523"/>
      <c r="M132" s="1523"/>
      <c r="N132" s="1523"/>
      <c r="O132" s="1523"/>
      <c r="P132" s="1523"/>
      <c r="Q132" s="1756"/>
      <c r="R132" s="1523"/>
      <c r="S132" s="1523"/>
      <c r="T132" s="1523"/>
      <c r="U132" s="1523"/>
      <c r="V132" s="1523"/>
      <c r="W132" s="1523"/>
      <c r="X132" s="1523"/>
      <c r="Y132" s="1523"/>
      <c r="Z132" s="1523"/>
    </row>
    <row r="133" spans="1:26" ht="12.75" customHeight="1">
      <c r="A133" s="1713">
        <f t="shared" si="9"/>
        <v>79</v>
      </c>
      <c r="B133" s="1717" t="s">
        <v>6419</v>
      </c>
      <c r="C133" s="1718" t="s">
        <v>122</v>
      </c>
      <c r="D133" s="1717"/>
      <c r="E133" s="1717"/>
      <c r="F133" s="1746" t="s">
        <v>118</v>
      </c>
      <c r="G133" s="729"/>
      <c r="H133" s="1523"/>
      <c r="I133" s="1731"/>
      <c r="J133" s="1523"/>
      <c r="K133" s="1523"/>
      <c r="L133" s="1523"/>
      <c r="M133" s="1523"/>
      <c r="N133" s="1523"/>
      <c r="O133" s="1523"/>
      <c r="P133" s="1523"/>
      <c r="Q133" s="1523"/>
      <c r="R133" s="1523"/>
      <c r="S133" s="1523"/>
      <c r="T133" s="1523"/>
      <c r="U133" s="1523"/>
      <c r="V133" s="1523"/>
      <c r="W133" s="1523"/>
      <c r="X133" s="1523"/>
      <c r="Y133" s="1523"/>
      <c r="Z133" s="1523"/>
    </row>
    <row r="134" spans="1:26" ht="12.75" customHeight="1">
      <c r="A134" s="1713">
        <f t="shared" si="9"/>
        <v>80</v>
      </c>
      <c r="B134" s="1717" t="s">
        <v>6420</v>
      </c>
      <c r="C134" s="1718" t="s">
        <v>122</v>
      </c>
      <c r="D134" s="1717"/>
      <c r="E134" s="1717"/>
      <c r="F134" s="1746" t="s">
        <v>118</v>
      </c>
      <c r="G134" s="729"/>
      <c r="H134" s="1523"/>
      <c r="I134" s="1731"/>
      <c r="J134" s="1523"/>
      <c r="K134" s="1523"/>
      <c r="L134" s="1523"/>
      <c r="M134" s="1523"/>
      <c r="N134" s="1523"/>
      <c r="O134" s="1523"/>
      <c r="P134" s="1523"/>
      <c r="Q134" s="1523"/>
      <c r="R134" s="1523"/>
      <c r="S134" s="1523"/>
      <c r="T134" s="1523"/>
      <c r="U134" s="1523"/>
      <c r="V134" s="1523"/>
      <c r="W134" s="1523"/>
      <c r="X134" s="1523"/>
      <c r="Y134" s="1523"/>
      <c r="Z134" s="1523"/>
    </row>
    <row r="135" spans="1:26" ht="12.75" customHeight="1">
      <c r="A135" s="1713">
        <f t="shared" si="9"/>
        <v>81</v>
      </c>
      <c r="B135" s="1717" t="s">
        <v>6421</v>
      </c>
      <c r="C135" s="1718" t="s">
        <v>122</v>
      </c>
      <c r="D135" s="1717"/>
      <c r="E135" s="1717"/>
      <c r="F135" s="1746">
        <f>350*0.3</f>
        <v>105</v>
      </c>
      <c r="G135" s="729"/>
      <c r="H135" s="1523"/>
      <c r="I135" s="1731"/>
      <c r="J135" s="1523"/>
      <c r="K135" s="1523"/>
      <c r="L135" s="1523"/>
      <c r="M135" s="1523"/>
      <c r="N135" s="1523"/>
      <c r="O135" s="1523"/>
      <c r="P135" s="1523"/>
      <c r="Q135" s="1523"/>
      <c r="R135" s="1523"/>
      <c r="S135" s="1523"/>
      <c r="T135" s="1523"/>
      <c r="U135" s="1523"/>
      <c r="V135" s="1523"/>
      <c r="W135" s="1523"/>
      <c r="X135" s="1523"/>
      <c r="Y135" s="1523"/>
      <c r="Z135" s="1523"/>
    </row>
    <row r="136" spans="1:26" ht="12.75" customHeight="1">
      <c r="A136" s="1713">
        <f t="shared" si="9"/>
        <v>82</v>
      </c>
      <c r="B136" s="1717" t="s">
        <v>6422</v>
      </c>
      <c r="C136" s="1718" t="s">
        <v>122</v>
      </c>
      <c r="D136" s="1717"/>
      <c r="E136" s="1717"/>
      <c r="F136" s="1746">
        <f>364*0.3</f>
        <v>109.2</v>
      </c>
      <c r="G136" s="729"/>
      <c r="H136" s="1523"/>
      <c r="I136" s="1731"/>
      <c r="J136" s="1523"/>
      <c r="K136" s="1523"/>
      <c r="L136" s="1523"/>
      <c r="M136" s="1523"/>
      <c r="N136" s="1523"/>
      <c r="O136" s="1523"/>
      <c r="P136" s="1523"/>
      <c r="Q136" s="1523"/>
      <c r="R136" s="1523"/>
      <c r="S136" s="1523"/>
      <c r="T136" s="1523"/>
      <c r="U136" s="1523"/>
      <c r="V136" s="1523"/>
      <c r="W136" s="1523"/>
      <c r="X136" s="1523"/>
      <c r="Y136" s="1523"/>
      <c r="Z136" s="1523"/>
    </row>
    <row r="137" spans="1:26" ht="12.75" customHeight="1">
      <c r="A137" s="1713">
        <f t="shared" si="9"/>
        <v>83</v>
      </c>
      <c r="B137" s="1717" t="s">
        <v>6423</v>
      </c>
      <c r="C137" s="1718" t="s">
        <v>122</v>
      </c>
      <c r="D137" s="1717"/>
      <c r="E137" s="1717"/>
      <c r="F137" s="1746">
        <f>300*0.3</f>
        <v>90</v>
      </c>
      <c r="G137" s="729"/>
      <c r="H137" s="1523"/>
      <c r="I137" s="1731"/>
      <c r="J137" s="1523"/>
      <c r="K137" s="1523"/>
      <c r="L137" s="1523"/>
      <c r="M137" s="1523"/>
      <c r="N137" s="1523"/>
      <c r="O137" s="1523"/>
      <c r="P137" s="1523"/>
      <c r="Q137" s="1523"/>
      <c r="R137" s="1523"/>
      <c r="S137" s="1523"/>
      <c r="T137" s="1523"/>
      <c r="U137" s="1523"/>
      <c r="V137" s="1523"/>
      <c r="W137" s="1523"/>
      <c r="X137" s="1523"/>
      <c r="Y137" s="1523"/>
      <c r="Z137" s="1523"/>
    </row>
    <row r="138" spans="1:26" ht="12.75" customHeight="1">
      <c r="A138" s="1713">
        <f t="shared" si="9"/>
        <v>84</v>
      </c>
      <c r="B138" s="1717" t="s">
        <v>6424</v>
      </c>
      <c r="C138" s="1718" t="s">
        <v>122</v>
      </c>
      <c r="D138" s="1717"/>
      <c r="E138" s="1717"/>
      <c r="F138" s="1746">
        <f>590*0.3</f>
        <v>177</v>
      </c>
      <c r="G138" s="779"/>
      <c r="H138" s="1529"/>
      <c r="I138" s="1758"/>
      <c r="J138" s="1523"/>
      <c r="K138" s="1523"/>
      <c r="L138" s="1523"/>
      <c r="M138" s="1523"/>
      <c r="N138" s="1523"/>
      <c r="O138" s="1523"/>
      <c r="P138" s="1523"/>
      <c r="Q138" s="1523"/>
      <c r="R138" s="1523"/>
      <c r="S138" s="1523"/>
      <c r="T138" s="1523"/>
      <c r="U138" s="1523"/>
      <c r="V138" s="1523"/>
      <c r="W138" s="1523"/>
      <c r="X138" s="1523"/>
      <c r="Y138" s="1523"/>
      <c r="Z138" s="1523"/>
    </row>
    <row r="139" spans="1:26" ht="12.75" customHeight="1">
      <c r="A139" s="1713">
        <f t="shared" si="9"/>
        <v>85</v>
      </c>
      <c r="B139" s="1717" t="s">
        <v>6425</v>
      </c>
      <c r="C139" s="1718" t="s">
        <v>122</v>
      </c>
      <c r="D139" s="1717"/>
      <c r="E139" s="1717"/>
      <c r="F139" s="1746">
        <f>249*0.3</f>
        <v>74.7</v>
      </c>
      <c r="G139" s="729"/>
      <c r="H139" s="1523"/>
      <c r="I139" s="1731"/>
      <c r="J139" s="1523"/>
      <c r="K139" s="1523"/>
      <c r="L139" s="1523"/>
      <c r="M139" s="1523"/>
      <c r="N139" s="1523"/>
      <c r="O139" s="1523"/>
      <c r="P139" s="1523"/>
      <c r="Q139" s="1523"/>
      <c r="R139" s="1523"/>
      <c r="S139" s="1523"/>
      <c r="T139" s="1523"/>
      <c r="U139" s="1523"/>
      <c r="V139" s="1523"/>
      <c r="W139" s="1523"/>
      <c r="X139" s="1523"/>
      <c r="Y139" s="1523"/>
      <c r="Z139" s="1523"/>
    </row>
    <row r="140" spans="1:26" ht="12.75" customHeight="1">
      <c r="A140" s="1713">
        <f t="shared" si="9"/>
        <v>86</v>
      </c>
      <c r="B140" s="1717" t="s">
        <v>6426</v>
      </c>
      <c r="C140" s="1718" t="s">
        <v>122</v>
      </c>
      <c r="D140" s="1717"/>
      <c r="E140" s="1717"/>
      <c r="F140" s="1746">
        <f>288*0.3</f>
        <v>86.399999999999991</v>
      </c>
      <c r="G140" s="1759"/>
      <c r="H140" s="1523"/>
      <c r="I140" s="1731"/>
      <c r="J140" s="1523"/>
      <c r="K140" s="1523"/>
      <c r="L140" s="1523"/>
      <c r="M140" s="1523"/>
      <c r="N140" s="1523"/>
      <c r="O140" s="1523"/>
      <c r="P140" s="1523"/>
      <c r="Q140" s="1523"/>
      <c r="R140" s="1523"/>
      <c r="S140" s="1523"/>
      <c r="T140" s="1523"/>
      <c r="U140" s="1523"/>
      <c r="V140" s="1523"/>
      <c r="W140" s="1523"/>
      <c r="X140" s="1523"/>
      <c r="Y140" s="1523"/>
      <c r="Z140" s="1523"/>
    </row>
    <row r="141" spans="1:26" ht="12.75" customHeight="1">
      <c r="A141" s="1713">
        <f t="shared" si="9"/>
        <v>87</v>
      </c>
      <c r="B141" s="1717" t="s">
        <v>6427</v>
      </c>
      <c r="C141" s="1718" t="s">
        <v>122</v>
      </c>
      <c r="D141" s="1717"/>
      <c r="E141" s="1717"/>
      <c r="F141" s="1746">
        <f>420*0.3</f>
        <v>126</v>
      </c>
      <c r="G141" s="1759"/>
      <c r="H141" s="1523"/>
      <c r="I141" s="1731"/>
      <c r="J141" s="1523"/>
      <c r="K141" s="1523"/>
      <c r="L141" s="1523"/>
      <c r="M141" s="1523"/>
      <c r="N141" s="1523"/>
      <c r="O141" s="1523"/>
      <c r="P141" s="1523"/>
      <c r="Q141" s="1523"/>
      <c r="R141" s="1523"/>
      <c r="S141" s="1523"/>
      <c r="T141" s="1523"/>
      <c r="U141" s="1523"/>
      <c r="V141" s="1523"/>
      <c r="W141" s="1523"/>
      <c r="X141" s="1523"/>
      <c r="Y141" s="1523"/>
      <c r="Z141" s="1523"/>
    </row>
    <row r="142" spans="1:26" ht="12.75" customHeight="1">
      <c r="A142" s="1713">
        <f t="shared" si="9"/>
        <v>88</v>
      </c>
      <c r="B142" s="1717" t="s">
        <v>6401</v>
      </c>
      <c r="C142" s="1718" t="s">
        <v>122</v>
      </c>
      <c r="D142" s="1717"/>
      <c r="E142" s="1717"/>
      <c r="F142" s="1746">
        <f>204*0.3</f>
        <v>61.199999999999996</v>
      </c>
      <c r="G142" s="729"/>
      <c r="H142" s="1523"/>
      <c r="I142" s="1731"/>
      <c r="J142" s="1523"/>
      <c r="K142" s="1523"/>
      <c r="L142" s="1523"/>
      <c r="M142" s="1523"/>
      <c r="N142" s="1523"/>
      <c r="O142" s="1523"/>
      <c r="P142" s="1523"/>
      <c r="Q142" s="1523"/>
      <c r="R142" s="1523"/>
      <c r="S142" s="1523"/>
      <c r="T142" s="1523"/>
      <c r="U142" s="1523"/>
      <c r="V142" s="1523"/>
      <c r="W142" s="1523"/>
      <c r="X142" s="1523"/>
      <c r="Y142" s="1523"/>
      <c r="Z142" s="1523"/>
    </row>
    <row r="143" spans="1:26" ht="12.75" customHeight="1">
      <c r="A143" s="1713">
        <f t="shared" si="9"/>
        <v>89</v>
      </c>
      <c r="B143" s="1717" t="s">
        <v>6428</v>
      </c>
      <c r="C143" s="1718" t="s">
        <v>122</v>
      </c>
      <c r="D143" s="1717"/>
      <c r="E143" s="1717"/>
      <c r="F143" s="1746" t="s">
        <v>118</v>
      </c>
      <c r="G143" s="729"/>
      <c r="H143" s="1523"/>
      <c r="I143" s="1731"/>
      <c r="J143" s="1760"/>
      <c r="K143" s="1760"/>
      <c r="L143" s="1760"/>
      <c r="M143" s="1760"/>
      <c r="N143" s="1760"/>
      <c r="O143" s="1760"/>
      <c r="P143" s="1760"/>
      <c r="Q143" s="1760"/>
      <c r="R143" s="1760"/>
      <c r="S143" s="1760"/>
      <c r="T143" s="1760"/>
      <c r="U143" s="1760"/>
      <c r="V143" s="1760"/>
      <c r="W143" s="1760"/>
      <c r="X143" s="1760"/>
      <c r="Y143" s="1760"/>
      <c r="Z143" s="1760"/>
    </row>
    <row r="144" spans="1:26" ht="12.75" customHeight="1">
      <c r="A144" s="1713">
        <f t="shared" si="9"/>
        <v>90</v>
      </c>
      <c r="B144" s="1717" t="s">
        <v>6429</v>
      </c>
      <c r="C144" s="1718" t="s">
        <v>122</v>
      </c>
      <c r="D144" s="1717"/>
      <c r="E144" s="1717"/>
      <c r="F144" s="1746">
        <f>420*0.3</f>
        <v>126</v>
      </c>
      <c r="G144" s="729"/>
      <c r="H144" s="1523"/>
      <c r="I144" s="1731"/>
      <c r="J144" s="1760"/>
      <c r="K144" s="1760"/>
      <c r="L144" s="1760"/>
      <c r="M144" s="1760"/>
      <c r="N144" s="1760"/>
      <c r="O144" s="1760"/>
      <c r="P144" s="1760"/>
      <c r="Q144" s="1760"/>
      <c r="R144" s="1760"/>
      <c r="S144" s="1760"/>
      <c r="T144" s="1760"/>
      <c r="U144" s="1760"/>
      <c r="V144" s="1760"/>
      <c r="W144" s="1760"/>
      <c r="X144" s="1760"/>
      <c r="Y144" s="1760"/>
      <c r="Z144" s="1760"/>
    </row>
    <row r="145" spans="1:26" ht="12.75" customHeight="1">
      <c r="A145" s="1713">
        <f t="shared" si="9"/>
        <v>91</v>
      </c>
      <c r="B145" s="1717" t="s">
        <v>6404</v>
      </c>
      <c r="C145" s="1718" t="s">
        <v>122</v>
      </c>
      <c r="D145" s="1717"/>
      <c r="E145" s="1717"/>
      <c r="F145" s="1746">
        <f>96*0.3</f>
        <v>28.799999999999997</v>
      </c>
      <c r="G145" s="729"/>
      <c r="H145" s="1523"/>
      <c r="I145" s="1731"/>
      <c r="J145" s="1523"/>
      <c r="K145" s="1523"/>
      <c r="L145" s="1523"/>
      <c r="M145" s="1523"/>
      <c r="N145" s="1523"/>
      <c r="O145" s="1523"/>
      <c r="P145" s="1523"/>
      <c r="Q145" s="1523"/>
      <c r="R145" s="1523"/>
      <c r="S145" s="1523"/>
      <c r="T145" s="1523"/>
      <c r="U145" s="1523"/>
      <c r="V145" s="1523"/>
      <c r="W145" s="1523"/>
      <c r="X145" s="1523"/>
      <c r="Y145" s="1523"/>
      <c r="Z145" s="1523"/>
    </row>
    <row r="146" spans="1:26" ht="12.75" customHeight="1">
      <c r="A146" s="1713">
        <f t="shared" si="9"/>
        <v>92</v>
      </c>
      <c r="B146" s="1717" t="s">
        <v>6430</v>
      </c>
      <c r="C146" s="1718" t="s">
        <v>122</v>
      </c>
      <c r="D146" s="1717"/>
      <c r="E146" s="1717"/>
      <c r="F146" s="1746">
        <f>264*0.3</f>
        <v>79.2</v>
      </c>
      <c r="G146" s="729"/>
      <c r="H146" s="1523"/>
      <c r="I146" s="1731"/>
      <c r="J146" s="1760"/>
      <c r="K146" s="1760"/>
      <c r="L146" s="1760"/>
      <c r="M146" s="1760"/>
      <c r="N146" s="1760"/>
      <c r="O146" s="1760"/>
      <c r="P146" s="1760"/>
      <c r="Q146" s="1760"/>
      <c r="R146" s="1760"/>
      <c r="S146" s="1760"/>
      <c r="T146" s="1760"/>
      <c r="U146" s="1760"/>
      <c r="V146" s="1760"/>
      <c r="W146" s="1760"/>
      <c r="X146" s="1760"/>
      <c r="Y146" s="1760"/>
      <c r="Z146" s="1760"/>
    </row>
    <row r="147" spans="1:26" ht="12.75" customHeight="1">
      <c r="A147" s="1713">
        <f t="shared" si="9"/>
        <v>93</v>
      </c>
      <c r="B147" s="1717" t="s">
        <v>6431</v>
      </c>
      <c r="C147" s="1718" t="s">
        <v>122</v>
      </c>
      <c r="D147" s="1717"/>
      <c r="E147" s="1717"/>
      <c r="F147" s="1746">
        <f>51*0.3</f>
        <v>15.299999999999999</v>
      </c>
      <c r="G147" s="729"/>
      <c r="H147" s="1523"/>
      <c r="I147" s="1731"/>
      <c r="J147" s="1523"/>
      <c r="K147" s="1523"/>
      <c r="L147" s="1523"/>
      <c r="M147" s="1523"/>
      <c r="N147" s="1523"/>
      <c r="O147" s="1523"/>
      <c r="P147" s="1523"/>
      <c r="Q147" s="1523"/>
      <c r="R147" s="1523"/>
      <c r="S147" s="1523"/>
      <c r="T147" s="1523"/>
      <c r="U147" s="1523"/>
      <c r="V147" s="1523"/>
      <c r="W147" s="1523"/>
      <c r="X147" s="1523"/>
      <c r="Y147" s="1523"/>
      <c r="Z147" s="1523"/>
    </row>
    <row r="148" spans="1:26" ht="12.75" customHeight="1">
      <c r="A148" s="1713">
        <f t="shared" si="9"/>
        <v>94</v>
      </c>
      <c r="B148" s="1717" t="s">
        <v>6432</v>
      </c>
      <c r="C148" s="1718" t="s">
        <v>122</v>
      </c>
      <c r="D148" s="1717"/>
      <c r="E148" s="1717"/>
      <c r="F148" s="1746">
        <f>470*0.3</f>
        <v>141</v>
      </c>
      <c r="G148" s="729"/>
      <c r="H148" s="1523"/>
      <c r="I148" s="1731"/>
      <c r="J148" s="1523"/>
      <c r="K148" s="1523"/>
      <c r="L148" s="1523"/>
      <c r="M148" s="1523"/>
      <c r="N148" s="1523"/>
      <c r="O148" s="1523"/>
      <c r="P148" s="1523"/>
      <c r="Q148" s="1523"/>
      <c r="R148" s="1523"/>
      <c r="S148" s="1523"/>
      <c r="T148" s="1523"/>
      <c r="U148" s="1523"/>
      <c r="V148" s="1523"/>
      <c r="W148" s="1523"/>
      <c r="X148" s="1523"/>
      <c r="Y148" s="1523"/>
      <c r="Z148" s="1523"/>
    </row>
    <row r="149" spans="1:26" ht="12.75" customHeight="1">
      <c r="A149" s="1713">
        <f t="shared" si="9"/>
        <v>95</v>
      </c>
      <c r="B149" s="1717" t="s">
        <v>6377</v>
      </c>
      <c r="C149" s="1718" t="s">
        <v>122</v>
      </c>
      <c r="D149" s="1717"/>
      <c r="E149" s="1717"/>
      <c r="F149" s="1746">
        <f>31.05</f>
        <v>31.05</v>
      </c>
      <c r="G149" s="729"/>
      <c r="H149" s="1523"/>
      <c r="I149" s="1731"/>
      <c r="J149" s="1523"/>
      <c r="K149" s="1523"/>
      <c r="L149" s="1523"/>
      <c r="M149" s="1523"/>
      <c r="N149" s="1523"/>
      <c r="O149" s="1523"/>
      <c r="P149" s="1523"/>
      <c r="Q149" s="1523"/>
      <c r="R149" s="1523"/>
      <c r="S149" s="1523"/>
      <c r="T149" s="1523"/>
      <c r="U149" s="1523"/>
      <c r="V149" s="1523"/>
      <c r="W149" s="1523"/>
      <c r="X149" s="1523"/>
      <c r="Y149" s="1523"/>
      <c r="Z149" s="1523"/>
    </row>
    <row r="150" spans="1:26" ht="44.25" customHeight="1">
      <c r="A150" s="1713">
        <f t="shared" si="9"/>
        <v>96</v>
      </c>
      <c r="B150" s="338" t="s">
        <v>3526</v>
      </c>
      <c r="C150" s="1718" t="s">
        <v>122</v>
      </c>
      <c r="D150" s="1717"/>
      <c r="E150" s="1717"/>
      <c r="F150" s="1754">
        <f>204+(9429.76)-110-66</f>
        <v>9457.76</v>
      </c>
      <c r="G150" s="1797" t="s">
        <v>6433</v>
      </c>
      <c r="H150" s="1783"/>
      <c r="I150" s="1798"/>
      <c r="J150" s="1523"/>
      <c r="K150" s="1523"/>
      <c r="L150" s="1523"/>
      <c r="M150" s="1523"/>
      <c r="N150" s="1523"/>
      <c r="O150" s="1523"/>
      <c r="P150" s="1523"/>
      <c r="Q150" s="1523"/>
      <c r="R150" s="1523"/>
      <c r="S150" s="1523"/>
      <c r="T150" s="1523"/>
      <c r="U150" s="1523"/>
      <c r="V150" s="1523"/>
      <c r="W150" s="1523"/>
      <c r="X150" s="1523"/>
      <c r="Y150" s="1523"/>
      <c r="Z150" s="1523"/>
    </row>
    <row r="151" spans="1:26" ht="12.75" customHeight="1">
      <c r="A151" s="1713">
        <f t="shared" si="9"/>
        <v>97</v>
      </c>
      <c r="B151" s="1717" t="s">
        <v>6434</v>
      </c>
      <c r="C151" s="1718" t="s">
        <v>122</v>
      </c>
      <c r="D151" s="1717"/>
      <c r="E151" s="1717"/>
      <c r="F151" s="1746">
        <v>1400</v>
      </c>
      <c r="G151" s="1797" t="s">
        <v>6435</v>
      </c>
      <c r="H151" s="1783"/>
      <c r="I151" s="1798"/>
      <c r="J151" s="1523"/>
      <c r="K151" s="1523"/>
      <c r="L151" s="1523"/>
      <c r="M151" s="1523"/>
      <c r="N151" s="1523"/>
      <c r="O151" s="1523"/>
      <c r="P151" s="1523"/>
      <c r="Q151" s="1523"/>
      <c r="R151" s="1523"/>
      <c r="S151" s="1523"/>
      <c r="T151" s="1523"/>
      <c r="U151" s="1523"/>
      <c r="V151" s="1523"/>
      <c r="W151" s="1523"/>
      <c r="X151" s="1523"/>
      <c r="Y151" s="1523"/>
      <c r="Z151" s="1523"/>
    </row>
    <row r="152" spans="1:26" ht="12.75" customHeight="1">
      <c r="A152" s="1713">
        <f t="shared" si="9"/>
        <v>98</v>
      </c>
      <c r="B152" s="1717" t="s">
        <v>3510</v>
      </c>
      <c r="C152" s="1718" t="s">
        <v>122</v>
      </c>
      <c r="D152" s="1717"/>
      <c r="E152" s="1717"/>
      <c r="F152" s="1746">
        <v>90</v>
      </c>
      <c r="G152" s="1797" t="s">
        <v>3512</v>
      </c>
      <c r="H152" s="1783"/>
      <c r="I152" s="1798"/>
      <c r="J152" s="1523"/>
      <c r="K152" s="1523"/>
      <c r="L152" s="1523"/>
      <c r="M152" s="1523"/>
      <c r="N152" s="1523"/>
      <c r="O152" s="1523"/>
      <c r="P152" s="1523"/>
      <c r="Q152" s="1523"/>
      <c r="R152" s="1523"/>
      <c r="S152" s="1523"/>
      <c r="T152" s="1523"/>
      <c r="U152" s="1523"/>
      <c r="V152" s="1523"/>
      <c r="W152" s="1523"/>
      <c r="X152" s="1523"/>
      <c r="Y152" s="1523"/>
      <c r="Z152" s="1523"/>
    </row>
    <row r="153" spans="1:26" ht="28.5" customHeight="1">
      <c r="A153" s="1713">
        <f t="shared" si="9"/>
        <v>99</v>
      </c>
      <c r="B153" s="1717" t="s">
        <v>6436</v>
      </c>
      <c r="C153" s="1718" t="s">
        <v>122</v>
      </c>
      <c r="D153" s="1717"/>
      <c r="E153" s="1717"/>
      <c r="F153" s="1754">
        <f>5+(50)+1711.97</f>
        <v>1766.97</v>
      </c>
      <c r="G153" s="1799" t="s">
        <v>6437</v>
      </c>
      <c r="H153" s="1783"/>
      <c r="I153" s="1798"/>
      <c r="J153" s="1523"/>
      <c r="K153" s="1523"/>
      <c r="L153" s="1523"/>
      <c r="M153" s="1523"/>
      <c r="N153" s="1523"/>
      <c r="O153" s="1523"/>
      <c r="P153" s="1523"/>
      <c r="Q153" s="1523"/>
      <c r="R153" s="1523"/>
      <c r="S153" s="1523"/>
      <c r="T153" s="1523"/>
      <c r="U153" s="1523"/>
      <c r="V153" s="1523"/>
      <c r="W153" s="1523"/>
      <c r="X153" s="1523"/>
      <c r="Y153" s="1523"/>
      <c r="Z153" s="1523"/>
    </row>
    <row r="154" spans="1:26" ht="28.5" customHeight="1">
      <c r="A154" s="1713">
        <f t="shared" si="9"/>
        <v>100</v>
      </c>
      <c r="B154" s="1717" t="s">
        <v>6414</v>
      </c>
      <c r="C154" s="1718" t="s">
        <v>122</v>
      </c>
      <c r="D154" s="1717"/>
      <c r="E154" s="1717"/>
      <c r="F154" s="1754">
        <f>(228.5)+33.68+2.9+2.9</f>
        <v>267.97999999999996</v>
      </c>
      <c r="G154" s="1797" t="s">
        <v>6438</v>
      </c>
      <c r="H154" s="1783"/>
      <c r="I154" s="1798"/>
      <c r="J154" s="1523"/>
      <c r="K154" s="1523"/>
      <c r="L154" s="1523"/>
      <c r="M154" s="1523"/>
      <c r="N154" s="1523"/>
      <c r="O154" s="1523"/>
      <c r="P154" s="1523"/>
      <c r="Q154" s="1523"/>
      <c r="R154" s="1523"/>
      <c r="S154" s="1523"/>
      <c r="T154" s="1523"/>
      <c r="U154" s="1523"/>
      <c r="V154" s="1523"/>
      <c r="W154" s="1523"/>
      <c r="X154" s="1523"/>
      <c r="Y154" s="1523"/>
      <c r="Z154" s="1523"/>
    </row>
    <row r="155" spans="1:26" ht="15" customHeight="1">
      <c r="A155" s="1713">
        <f t="shared" si="9"/>
        <v>101</v>
      </c>
      <c r="B155" s="1717" t="s">
        <v>6439</v>
      </c>
      <c r="C155" s="1718" t="s">
        <v>122</v>
      </c>
      <c r="D155" s="1717"/>
      <c r="E155" s="1717"/>
      <c r="F155" s="1746">
        <v>2125.5</v>
      </c>
      <c r="G155" s="729" t="s">
        <v>6413</v>
      </c>
      <c r="H155" s="1523"/>
      <c r="I155" s="1731"/>
      <c r="J155" s="1523"/>
      <c r="K155" s="1523"/>
      <c r="L155" s="1523"/>
      <c r="M155" s="1523"/>
      <c r="N155" s="1523"/>
      <c r="O155" s="1523"/>
      <c r="P155" s="1523"/>
      <c r="Q155" s="1523"/>
      <c r="R155" s="1523"/>
      <c r="S155" s="1523"/>
      <c r="T155" s="1523"/>
      <c r="U155" s="1523"/>
      <c r="V155" s="1523"/>
      <c r="W155" s="1523"/>
      <c r="X155" s="1523"/>
      <c r="Y155" s="1523"/>
      <c r="Z155" s="1523"/>
    </row>
    <row r="156" spans="1:26" ht="17.25" customHeight="1">
      <c r="A156" s="1723"/>
      <c r="B156" s="1724" t="s">
        <v>6440</v>
      </c>
      <c r="C156" s="1724"/>
      <c r="D156" s="1724"/>
      <c r="E156" s="1724"/>
      <c r="F156" s="1761">
        <f>SUM(F55:F155)</f>
        <v>73343.739999999991</v>
      </c>
      <c r="G156" s="1762"/>
      <c r="H156" s="1763"/>
      <c r="I156" s="1764"/>
      <c r="J156" s="1523"/>
      <c r="K156" s="1523"/>
      <c r="L156" s="1523"/>
      <c r="M156" s="1523"/>
      <c r="N156" s="1523"/>
      <c r="O156" s="1523"/>
      <c r="P156" s="1523"/>
      <c r="Q156" s="1523"/>
      <c r="R156" s="1523"/>
      <c r="S156" s="1523"/>
      <c r="T156" s="1523"/>
      <c r="U156" s="1523"/>
      <c r="V156" s="1523"/>
      <c r="W156" s="1523"/>
      <c r="X156" s="1523"/>
      <c r="Y156" s="1523"/>
      <c r="Z156" s="1523"/>
    </row>
    <row r="157" spans="1:26" ht="12.75" customHeight="1">
      <c r="A157" s="1523"/>
      <c r="B157" s="1523"/>
      <c r="C157" s="1523"/>
      <c r="D157" s="1523"/>
      <c r="E157" s="1523"/>
      <c r="F157" s="1741"/>
      <c r="G157" s="729"/>
      <c r="H157" s="1523"/>
      <c r="I157" s="1523"/>
      <c r="J157" s="1523"/>
      <c r="K157" s="1523"/>
      <c r="L157" s="1523"/>
      <c r="M157" s="1523"/>
      <c r="N157" s="1523"/>
      <c r="O157" s="1523"/>
      <c r="P157" s="1523"/>
      <c r="Q157" s="1523"/>
      <c r="R157" s="1523"/>
      <c r="S157" s="1523"/>
      <c r="T157" s="1523"/>
      <c r="U157" s="1523"/>
      <c r="V157" s="1523"/>
      <c r="W157" s="1523"/>
      <c r="X157" s="1523"/>
      <c r="Y157" s="1523"/>
      <c r="Z157" s="1523"/>
    </row>
    <row r="158" spans="1:26" ht="12.75" customHeight="1">
      <c r="A158" s="1523"/>
      <c r="B158" s="1765" t="s">
        <v>3556</v>
      </c>
      <c r="C158" s="1766"/>
      <c r="D158" s="1767">
        <f>I36+I50+SUMIF(C53,"x",F53)+SUMIF(C55:C155,"x",F55:F155)</f>
        <v>122463.73999999999</v>
      </c>
      <c r="E158" s="1768"/>
      <c r="F158" s="1769"/>
      <c r="G158" s="729"/>
      <c r="H158" s="1523"/>
      <c r="I158" s="1523"/>
      <c r="J158" s="1523"/>
      <c r="K158" s="1523"/>
      <c r="L158" s="1523"/>
      <c r="M158" s="1523"/>
      <c r="N158" s="1523"/>
      <c r="O158" s="1523"/>
      <c r="P158" s="1523"/>
      <c r="Q158" s="1523"/>
      <c r="R158" s="1523"/>
      <c r="S158" s="1523"/>
      <c r="T158" s="1523"/>
      <c r="U158" s="1523"/>
      <c r="V158" s="1523"/>
      <c r="W158" s="1523"/>
      <c r="X158" s="1523"/>
      <c r="Y158" s="1523"/>
      <c r="Z158" s="1523"/>
    </row>
    <row r="159" spans="1:26" ht="12.75" customHeight="1">
      <c r="A159" s="1523"/>
      <c r="B159" s="1770" t="s">
        <v>6441</v>
      </c>
      <c r="C159" s="1771">
        <f>D158*2</f>
        <v>244927.47999999998</v>
      </c>
      <c r="D159" s="1772"/>
      <c r="E159" s="1768"/>
      <c r="F159" s="1769"/>
      <c r="G159" s="729"/>
      <c r="H159" s="1523"/>
      <c r="I159" s="1523"/>
      <c r="J159" s="1523"/>
      <c r="K159" s="1523"/>
      <c r="L159" s="1523"/>
      <c r="M159" s="1523"/>
      <c r="N159" s="1523"/>
      <c r="O159" s="1523"/>
      <c r="P159" s="1523"/>
      <c r="Q159" s="1523"/>
      <c r="R159" s="1523"/>
      <c r="S159" s="1523"/>
      <c r="T159" s="1523"/>
      <c r="U159" s="1523"/>
      <c r="V159" s="1523"/>
      <c r="W159" s="1523"/>
      <c r="X159" s="1523"/>
      <c r="Y159" s="1523"/>
      <c r="Z159" s="1523"/>
    </row>
    <row r="160" spans="1:26" ht="12.75" customHeight="1">
      <c r="A160" s="1523"/>
      <c r="B160" s="1770" t="s">
        <v>3557</v>
      </c>
      <c r="C160" s="1773"/>
      <c r="D160" s="1772">
        <f>IF(C2=0,0,D159/C2)</f>
        <v>0</v>
      </c>
      <c r="E160" s="1774"/>
      <c r="F160" s="1769"/>
      <c r="G160" s="729"/>
      <c r="H160" s="1523"/>
      <c r="I160" s="1523"/>
      <c r="J160" s="1523"/>
      <c r="K160" s="1523"/>
      <c r="L160" s="1523"/>
      <c r="M160" s="1523"/>
      <c r="N160" s="1523"/>
      <c r="O160" s="1523"/>
      <c r="P160" s="1523"/>
      <c r="Q160" s="1523"/>
      <c r="R160" s="1523"/>
      <c r="S160" s="1523"/>
      <c r="T160" s="1523"/>
      <c r="U160" s="1523"/>
      <c r="V160" s="1523"/>
      <c r="W160" s="1523"/>
      <c r="X160" s="1523"/>
      <c r="Y160" s="1523"/>
      <c r="Z160" s="1523"/>
    </row>
    <row r="161" spans="1:26" ht="12.75" customHeight="1">
      <c r="A161" s="1523"/>
      <c r="B161" s="1770" t="s">
        <v>3352</v>
      </c>
      <c r="C161" s="1773"/>
      <c r="D161" s="1775" t="s">
        <v>3353</v>
      </c>
      <c r="E161" s="1774"/>
      <c r="F161" s="1741"/>
      <c r="G161" s="729"/>
      <c r="H161" s="1523"/>
      <c r="I161" s="1523"/>
      <c r="J161" s="1523"/>
      <c r="K161" s="1523"/>
      <c r="L161" s="1523"/>
      <c r="M161" s="1523"/>
      <c r="N161" s="1523"/>
      <c r="O161" s="1523"/>
      <c r="P161" s="1523"/>
      <c r="Q161" s="1523"/>
      <c r="R161" s="1523"/>
      <c r="S161" s="1523"/>
      <c r="T161" s="1523"/>
      <c r="U161" s="1523"/>
      <c r="V161" s="1523"/>
      <c r="W161" s="1523"/>
      <c r="X161" s="1523"/>
      <c r="Y161" s="1523"/>
      <c r="Z161" s="1523"/>
    </row>
    <row r="162" spans="1:26" ht="12.75" customHeight="1">
      <c r="A162" s="1523"/>
      <c r="B162" s="1770" t="s">
        <v>3350</v>
      </c>
      <c r="C162" s="1773"/>
      <c r="D162" s="1775" t="s">
        <v>3351</v>
      </c>
      <c r="E162" s="1774"/>
      <c r="F162" s="1523"/>
      <c r="G162" s="729"/>
      <c r="H162" s="1523"/>
      <c r="I162" s="1523"/>
      <c r="J162" s="1523"/>
      <c r="K162" s="1523"/>
      <c r="L162" s="1523"/>
      <c r="M162" s="1523"/>
      <c r="N162" s="1523"/>
      <c r="O162" s="1523"/>
      <c r="P162" s="1523"/>
      <c r="Q162" s="1523"/>
      <c r="R162" s="1523"/>
      <c r="S162" s="1523"/>
      <c r="T162" s="1523"/>
      <c r="U162" s="1523"/>
      <c r="V162" s="1523"/>
      <c r="W162" s="1523"/>
      <c r="X162" s="1523"/>
      <c r="Y162" s="1523"/>
      <c r="Z162" s="1523"/>
    </row>
    <row r="163" spans="1:26" ht="12.75" customHeight="1">
      <c r="A163" s="1523"/>
      <c r="B163" s="1770" t="s">
        <v>3361</v>
      </c>
      <c r="C163" s="1773"/>
      <c r="D163" s="1772"/>
      <c r="E163" s="1774"/>
      <c r="F163" s="1523"/>
      <c r="G163" s="729"/>
      <c r="H163" s="1523"/>
      <c r="I163" s="1523"/>
      <c r="J163" s="1523"/>
      <c r="K163" s="1523"/>
      <c r="L163" s="1523"/>
      <c r="M163" s="1523"/>
      <c r="N163" s="1523"/>
      <c r="O163" s="1523"/>
      <c r="P163" s="1523"/>
      <c r="Q163" s="1523"/>
      <c r="R163" s="1523"/>
      <c r="S163" s="1523"/>
      <c r="T163" s="1523"/>
      <c r="U163" s="1523"/>
      <c r="V163" s="1523"/>
      <c r="W163" s="1523"/>
      <c r="X163" s="1523"/>
      <c r="Y163" s="1523"/>
      <c r="Z163" s="1523"/>
    </row>
    <row r="164" spans="1:26" ht="12.75" customHeight="1">
      <c r="A164" s="1523"/>
      <c r="B164" s="1770" t="s">
        <v>3559</v>
      </c>
      <c r="C164" s="1773"/>
      <c r="D164" s="1772"/>
      <c r="E164" s="1774"/>
      <c r="F164" s="1523"/>
      <c r="G164" s="729"/>
      <c r="H164" s="1523"/>
      <c r="I164" s="1523"/>
      <c r="J164" s="1523"/>
      <c r="K164" s="1523"/>
      <c r="L164" s="1523"/>
      <c r="M164" s="1523"/>
      <c r="N164" s="1523"/>
      <c r="O164" s="1523"/>
      <c r="P164" s="1523"/>
      <c r="Q164" s="1523"/>
      <c r="R164" s="1523"/>
      <c r="S164" s="1523"/>
      <c r="T164" s="1523"/>
      <c r="U164" s="1523"/>
      <c r="V164" s="1523"/>
      <c r="W164" s="1523"/>
      <c r="X164" s="1523"/>
      <c r="Y164" s="1523"/>
      <c r="Z164" s="1523"/>
    </row>
    <row r="165" spans="1:26" ht="12.75" customHeight="1">
      <c r="A165" s="1523"/>
      <c r="B165" s="1770" t="s">
        <v>3369</v>
      </c>
      <c r="C165" s="1773"/>
      <c r="D165" s="1772">
        <f>C165*(D159-SUMIF(C53,"x",F53)-SUMIF(C77:C155,"x",F77:F155))</f>
        <v>0</v>
      </c>
      <c r="E165" s="1774"/>
      <c r="F165" s="1741"/>
      <c r="G165" s="729"/>
      <c r="H165" s="1523"/>
      <c r="I165" s="1523"/>
      <c r="J165" s="1523"/>
      <c r="K165" s="1523"/>
      <c r="L165" s="1523"/>
      <c r="M165" s="1523"/>
      <c r="N165" s="1523"/>
      <c r="O165" s="1523"/>
      <c r="P165" s="1523"/>
      <c r="Q165" s="1523"/>
      <c r="R165" s="1523"/>
      <c r="S165" s="1523"/>
      <c r="T165" s="1523"/>
      <c r="U165" s="1523"/>
      <c r="V165" s="1523"/>
      <c r="W165" s="1523"/>
      <c r="X165" s="1523"/>
      <c r="Y165" s="1523"/>
      <c r="Z165" s="1523"/>
    </row>
    <row r="166" spans="1:26" ht="12.75" customHeight="1">
      <c r="A166" s="1523"/>
      <c r="B166" s="1770" t="s">
        <v>3560</v>
      </c>
      <c r="C166" s="1695"/>
      <c r="D166" s="1776">
        <f>D159-D158-D163-D164-D165</f>
        <v>-122463.73999999999</v>
      </c>
      <c r="E166" s="1777"/>
      <c r="F166" s="1741"/>
      <c r="G166" s="729"/>
      <c r="H166" s="1523"/>
      <c r="I166" s="1523"/>
      <c r="J166" s="1523"/>
      <c r="K166" s="1523"/>
      <c r="L166" s="1523"/>
      <c r="M166" s="1523"/>
      <c r="N166" s="1523"/>
      <c r="O166" s="1523"/>
      <c r="P166" s="1523"/>
      <c r="Q166" s="1523"/>
      <c r="R166" s="1523"/>
      <c r="S166" s="1523"/>
      <c r="T166" s="1523"/>
      <c r="U166" s="1523"/>
      <c r="V166" s="1523"/>
      <c r="W166" s="1523"/>
      <c r="X166" s="1523"/>
      <c r="Y166" s="1523"/>
      <c r="Z166" s="1523"/>
    </row>
    <row r="167" spans="1:26" ht="12.75" customHeight="1">
      <c r="A167" s="1523"/>
      <c r="B167" s="1770" t="s">
        <v>3561</v>
      </c>
      <c r="C167" s="1695"/>
      <c r="D167" s="1778">
        <f>IF(D159=0,0,D166/D159)</f>
        <v>0</v>
      </c>
      <c r="E167" s="1774"/>
      <c r="F167" s="1741"/>
      <c r="G167" s="729"/>
      <c r="H167" s="1523"/>
      <c r="I167" s="1523"/>
      <c r="J167" s="1523"/>
      <c r="K167" s="1523"/>
      <c r="L167" s="1523"/>
      <c r="M167" s="1523"/>
      <c r="N167" s="1523"/>
      <c r="O167" s="1523"/>
      <c r="P167" s="1523"/>
      <c r="Q167" s="1523"/>
      <c r="R167" s="1523"/>
      <c r="S167" s="1523"/>
      <c r="T167" s="1523"/>
      <c r="U167" s="1523"/>
      <c r="V167" s="1523"/>
      <c r="W167" s="1523"/>
      <c r="X167" s="1523"/>
      <c r="Y167" s="1523"/>
      <c r="Z167" s="1523"/>
    </row>
    <row r="168" spans="1:26" ht="12.75" customHeight="1">
      <c r="A168" s="1523"/>
      <c r="B168" s="1779" t="s">
        <v>6442</v>
      </c>
      <c r="C168" s="1780"/>
      <c r="D168" s="1781">
        <f>(D159-SUMIF(C53,"x",F53)-SUMIF(C77:C155,"x",F77:F155))*0.5</f>
        <v>-30967.58</v>
      </c>
      <c r="E168" s="1523"/>
      <c r="F168" s="1741"/>
      <c r="G168" s="729"/>
      <c r="H168" s="1523"/>
      <c r="I168" s="1523"/>
      <c r="J168" s="1523"/>
      <c r="K168" s="1523"/>
      <c r="L168" s="1523"/>
      <c r="M168" s="1523"/>
      <c r="N168" s="1523"/>
      <c r="O168" s="1523"/>
      <c r="P168" s="1523"/>
      <c r="Q168" s="1523"/>
      <c r="R168" s="1523"/>
      <c r="S168" s="1523"/>
      <c r="T168" s="1523"/>
      <c r="U168" s="1523"/>
      <c r="V168" s="1523"/>
      <c r="W168" s="1523"/>
      <c r="X168" s="1523"/>
      <c r="Y168" s="1523"/>
      <c r="Z168" s="1523"/>
    </row>
    <row r="169" spans="1:26" ht="12.75" customHeight="1">
      <c r="A169" s="1523"/>
      <c r="B169" s="1523"/>
      <c r="C169" s="1523"/>
      <c r="D169" s="1523"/>
      <c r="E169" s="1741"/>
      <c r="F169" s="1523"/>
      <c r="G169" s="729"/>
      <c r="H169" s="1523"/>
      <c r="I169" s="1523"/>
      <c r="J169" s="1523"/>
      <c r="K169" s="1523"/>
      <c r="L169" s="1523"/>
      <c r="M169" s="1523"/>
      <c r="N169" s="1523"/>
      <c r="O169" s="1523"/>
      <c r="P169" s="1523"/>
      <c r="Q169" s="1523"/>
      <c r="R169" s="1523"/>
      <c r="S169" s="1523"/>
      <c r="T169" s="1523"/>
      <c r="U169" s="1523"/>
      <c r="V169" s="1523"/>
      <c r="W169" s="1523"/>
      <c r="X169" s="1523"/>
      <c r="Y169" s="1523"/>
      <c r="Z169" s="1523"/>
    </row>
    <row r="170" spans="1:26" ht="12.75" customHeight="1">
      <c r="A170" s="1523"/>
      <c r="B170" s="1523"/>
      <c r="C170" s="1523"/>
      <c r="D170" s="1523"/>
      <c r="E170" s="1523"/>
      <c r="F170" s="1741"/>
      <c r="G170" s="729"/>
      <c r="H170" s="1523"/>
      <c r="I170" s="1523"/>
      <c r="J170" s="1523"/>
      <c r="K170" s="1523"/>
      <c r="L170" s="1523"/>
      <c r="M170" s="1523"/>
      <c r="N170" s="1523"/>
      <c r="O170" s="1523"/>
      <c r="P170" s="1523"/>
      <c r="Q170" s="1523"/>
      <c r="R170" s="1523"/>
      <c r="S170" s="1523"/>
      <c r="T170" s="1523"/>
      <c r="U170" s="1523"/>
      <c r="V170" s="1523"/>
      <c r="W170" s="1523"/>
      <c r="X170" s="1523"/>
      <c r="Y170" s="1523"/>
      <c r="Z170" s="1523"/>
    </row>
    <row r="171" spans="1:26" ht="12.75" customHeight="1">
      <c r="A171" s="1523"/>
      <c r="B171" s="1523"/>
      <c r="C171" s="1523"/>
      <c r="D171" s="1523"/>
      <c r="E171" s="1523"/>
      <c r="F171" s="1741"/>
      <c r="G171" s="729"/>
      <c r="H171" s="1523"/>
      <c r="I171" s="1523"/>
      <c r="J171" s="1523"/>
      <c r="K171" s="1523"/>
      <c r="L171" s="1523"/>
      <c r="M171" s="1523"/>
      <c r="N171" s="1523"/>
      <c r="O171" s="1523"/>
      <c r="P171" s="1523"/>
      <c r="Q171" s="1523"/>
      <c r="R171" s="1523"/>
      <c r="S171" s="1523"/>
      <c r="T171" s="1523"/>
      <c r="U171" s="1523"/>
      <c r="V171" s="1523"/>
      <c r="W171" s="1523"/>
      <c r="X171" s="1523"/>
      <c r="Y171" s="1523"/>
      <c r="Z171" s="1523"/>
    </row>
    <row r="172" spans="1:26" ht="12.75" customHeight="1">
      <c r="A172" s="1523"/>
      <c r="B172" s="1523"/>
      <c r="C172" s="1523"/>
      <c r="D172" s="1523"/>
      <c r="E172" s="1523"/>
      <c r="F172" s="1741"/>
      <c r="G172" s="729"/>
      <c r="H172" s="1523"/>
      <c r="I172" s="1523"/>
      <c r="J172" s="1523"/>
      <c r="K172" s="1523"/>
      <c r="L172" s="1523"/>
      <c r="M172" s="1523"/>
      <c r="N172" s="1523"/>
      <c r="O172" s="1523"/>
      <c r="P172" s="1523"/>
      <c r="Q172" s="1523"/>
      <c r="R172" s="1523"/>
      <c r="S172" s="1523"/>
      <c r="T172" s="1523"/>
      <c r="U172" s="1523"/>
      <c r="V172" s="1523"/>
      <c r="W172" s="1523"/>
      <c r="X172" s="1523"/>
      <c r="Y172" s="1523"/>
      <c r="Z172" s="1523"/>
    </row>
    <row r="173" spans="1:26" ht="12.75" customHeight="1">
      <c r="A173" s="1523"/>
      <c r="B173" s="1523"/>
      <c r="C173" s="1523"/>
      <c r="D173" s="1523"/>
      <c r="E173" s="1523"/>
      <c r="F173" s="1741"/>
      <c r="G173" s="729"/>
      <c r="H173" s="1523"/>
      <c r="I173" s="1523"/>
      <c r="J173" s="1523"/>
      <c r="K173" s="1523"/>
      <c r="L173" s="1523"/>
      <c r="M173" s="1523"/>
      <c r="N173" s="1523"/>
      <c r="O173" s="1523"/>
      <c r="P173" s="1523"/>
      <c r="Q173" s="1523"/>
      <c r="R173" s="1523"/>
      <c r="S173" s="1523"/>
      <c r="T173" s="1523"/>
      <c r="U173" s="1523"/>
      <c r="V173" s="1523"/>
      <c r="W173" s="1523"/>
      <c r="X173" s="1523"/>
      <c r="Y173" s="1523"/>
      <c r="Z173" s="1523"/>
    </row>
    <row r="174" spans="1:26" ht="12.75" customHeight="1">
      <c r="A174" s="1523"/>
      <c r="B174" s="1523"/>
      <c r="C174" s="1523"/>
      <c r="D174" s="1523"/>
      <c r="E174" s="1523"/>
      <c r="F174" s="1741"/>
      <c r="G174" s="729"/>
      <c r="H174" s="1523"/>
      <c r="I174" s="1523"/>
      <c r="J174" s="1523"/>
      <c r="K174" s="1523"/>
      <c r="L174" s="1523"/>
      <c r="M174" s="1523"/>
      <c r="N174" s="1523"/>
      <c r="O174" s="1523"/>
      <c r="P174" s="1523"/>
      <c r="Q174" s="1523"/>
      <c r="R174" s="1523"/>
      <c r="S174" s="1523"/>
      <c r="T174" s="1523"/>
      <c r="U174" s="1523"/>
      <c r="V174" s="1523"/>
      <c r="W174" s="1523"/>
      <c r="X174" s="1523"/>
      <c r="Y174" s="1523"/>
      <c r="Z174" s="1523"/>
    </row>
    <row r="175" spans="1:26" ht="12.75" customHeight="1">
      <c r="A175" s="1523"/>
      <c r="B175" s="1523"/>
      <c r="C175" s="1523"/>
      <c r="D175" s="1523"/>
      <c r="E175" s="1523"/>
      <c r="F175" s="1741"/>
      <c r="G175" s="729"/>
      <c r="H175" s="1523"/>
      <c r="I175" s="1523"/>
      <c r="J175" s="1523"/>
      <c r="K175" s="1523"/>
      <c r="L175" s="1523"/>
      <c r="M175" s="1523"/>
      <c r="N175" s="1523"/>
      <c r="O175" s="1523"/>
      <c r="P175" s="1523"/>
      <c r="Q175" s="1523"/>
      <c r="R175" s="1523"/>
      <c r="S175" s="1523"/>
      <c r="T175" s="1523"/>
      <c r="U175" s="1523"/>
      <c r="V175" s="1523"/>
      <c r="W175" s="1523"/>
      <c r="X175" s="1523"/>
      <c r="Y175" s="1523"/>
      <c r="Z175" s="1523"/>
    </row>
    <row r="176" spans="1:26" ht="12.75" customHeight="1">
      <c r="A176" s="1523"/>
      <c r="B176" s="1523"/>
      <c r="C176" s="1523"/>
      <c r="D176" s="1523"/>
      <c r="E176" s="1523"/>
      <c r="F176" s="1741"/>
      <c r="G176" s="729"/>
      <c r="H176" s="1523"/>
      <c r="I176" s="1523"/>
      <c r="J176" s="1523"/>
      <c r="K176" s="1523"/>
      <c r="L176" s="1523"/>
      <c r="M176" s="1523"/>
      <c r="N176" s="1523"/>
      <c r="O176" s="1523"/>
      <c r="P176" s="1523"/>
      <c r="Q176" s="1523"/>
      <c r="R176" s="1523"/>
      <c r="S176" s="1523"/>
      <c r="T176" s="1523"/>
      <c r="U176" s="1523"/>
      <c r="V176" s="1523"/>
      <c r="W176" s="1523"/>
      <c r="X176" s="1523"/>
      <c r="Y176" s="1523"/>
      <c r="Z176" s="1523"/>
    </row>
    <row r="177" spans="1:26" ht="12.75" customHeight="1">
      <c r="A177" s="1523"/>
      <c r="B177" s="1523"/>
      <c r="C177" s="1523"/>
      <c r="D177" s="1523"/>
      <c r="E177" s="1523"/>
      <c r="F177" s="1741"/>
      <c r="G177" s="729"/>
      <c r="H177" s="1523"/>
      <c r="I177" s="1523"/>
      <c r="J177" s="1523"/>
      <c r="K177" s="1523"/>
      <c r="L177" s="1523"/>
      <c r="M177" s="1523"/>
      <c r="N177" s="1523"/>
      <c r="O177" s="1523"/>
      <c r="P177" s="1523"/>
      <c r="Q177" s="1523"/>
      <c r="R177" s="1523"/>
      <c r="S177" s="1523"/>
      <c r="T177" s="1523"/>
      <c r="U177" s="1523"/>
      <c r="V177" s="1523"/>
      <c r="W177" s="1523"/>
      <c r="X177" s="1523"/>
      <c r="Y177" s="1523"/>
      <c r="Z177" s="1523"/>
    </row>
    <row r="178" spans="1:26" ht="12.75" customHeight="1">
      <c r="A178" s="1523"/>
      <c r="B178" s="1523"/>
      <c r="C178" s="1523"/>
      <c r="D178" s="1523"/>
      <c r="E178" s="1523"/>
      <c r="F178" s="1741"/>
      <c r="G178" s="729"/>
      <c r="H178" s="1523"/>
      <c r="I178" s="1523"/>
      <c r="J178" s="1523"/>
      <c r="K178" s="1523"/>
      <c r="L178" s="1523"/>
      <c r="M178" s="1523"/>
      <c r="N178" s="1523"/>
      <c r="O178" s="1523"/>
      <c r="P178" s="1523"/>
      <c r="Q178" s="1523"/>
      <c r="R178" s="1523"/>
      <c r="S178" s="1523"/>
      <c r="T178" s="1523"/>
      <c r="U178" s="1523"/>
      <c r="V178" s="1523"/>
      <c r="W178" s="1523"/>
      <c r="X178" s="1523"/>
      <c r="Y178" s="1523"/>
      <c r="Z178" s="1523"/>
    </row>
    <row r="179" spans="1:26" ht="12.75" customHeight="1">
      <c r="A179" s="1523"/>
      <c r="B179" s="1523"/>
      <c r="C179" s="1523"/>
      <c r="D179" s="1523"/>
      <c r="E179" s="1523"/>
      <c r="F179" s="1741"/>
      <c r="G179" s="729"/>
      <c r="H179" s="1523"/>
      <c r="I179" s="1523"/>
      <c r="J179" s="1523"/>
      <c r="K179" s="1523"/>
      <c r="L179" s="1523"/>
      <c r="M179" s="1523"/>
      <c r="N179" s="1523"/>
      <c r="O179" s="1523"/>
      <c r="P179" s="1523"/>
      <c r="Q179" s="1523"/>
      <c r="R179" s="1523"/>
      <c r="S179" s="1523"/>
      <c r="T179" s="1523"/>
      <c r="U179" s="1523"/>
      <c r="V179" s="1523"/>
      <c r="W179" s="1523"/>
      <c r="X179" s="1523"/>
      <c r="Y179" s="1523"/>
      <c r="Z179" s="1523"/>
    </row>
    <row r="180" spans="1:26" ht="12.75" customHeight="1">
      <c r="A180" s="1523"/>
      <c r="B180" s="1523"/>
      <c r="C180" s="1523"/>
      <c r="D180" s="1523"/>
      <c r="E180" s="1523"/>
      <c r="F180" s="1741"/>
      <c r="G180" s="729"/>
      <c r="H180" s="1523"/>
      <c r="I180" s="1523"/>
      <c r="J180" s="1523"/>
      <c r="K180" s="1523"/>
      <c r="L180" s="1523"/>
      <c r="M180" s="1523"/>
      <c r="N180" s="1523"/>
      <c r="O180" s="1523"/>
      <c r="P180" s="1523"/>
      <c r="Q180" s="1523"/>
      <c r="R180" s="1523"/>
      <c r="S180" s="1523"/>
      <c r="T180" s="1523"/>
      <c r="U180" s="1523"/>
      <c r="V180" s="1523"/>
      <c r="W180" s="1523"/>
      <c r="X180" s="1523"/>
      <c r="Y180" s="1523"/>
      <c r="Z180" s="1523"/>
    </row>
    <row r="181" spans="1:26" ht="12.75" customHeight="1">
      <c r="A181" s="1523"/>
      <c r="B181" s="1523"/>
      <c r="C181" s="1523"/>
      <c r="D181" s="1523"/>
      <c r="E181" s="1523"/>
      <c r="F181" s="1741"/>
      <c r="G181" s="729"/>
      <c r="H181" s="1523"/>
      <c r="I181" s="1523"/>
      <c r="J181" s="1523"/>
      <c r="K181" s="1523"/>
      <c r="L181" s="1523"/>
      <c r="M181" s="1523"/>
      <c r="N181" s="1523"/>
      <c r="O181" s="1523"/>
      <c r="P181" s="1523"/>
      <c r="Q181" s="1523"/>
      <c r="R181" s="1523"/>
      <c r="S181" s="1523"/>
      <c r="T181" s="1523"/>
      <c r="U181" s="1523"/>
      <c r="V181" s="1523"/>
      <c r="W181" s="1523"/>
      <c r="X181" s="1523"/>
      <c r="Y181" s="1523"/>
      <c r="Z181" s="1523"/>
    </row>
    <row r="182" spans="1:26" ht="12.75" customHeight="1">
      <c r="A182" s="1523"/>
      <c r="B182" s="1523"/>
      <c r="C182" s="1523"/>
      <c r="D182" s="1523"/>
      <c r="E182" s="1523"/>
      <c r="F182" s="1741"/>
      <c r="G182" s="729"/>
      <c r="H182" s="1523"/>
      <c r="I182" s="1523"/>
      <c r="J182" s="1523"/>
      <c r="K182" s="1523"/>
      <c r="L182" s="1523"/>
      <c r="M182" s="1523"/>
      <c r="N182" s="1523"/>
      <c r="O182" s="1523"/>
      <c r="P182" s="1523"/>
      <c r="Q182" s="1523"/>
      <c r="R182" s="1523"/>
      <c r="S182" s="1523"/>
      <c r="T182" s="1523"/>
      <c r="U182" s="1523"/>
      <c r="V182" s="1523"/>
      <c r="W182" s="1523"/>
      <c r="X182" s="1523"/>
      <c r="Y182" s="1523"/>
      <c r="Z182" s="1523"/>
    </row>
    <row r="183" spans="1:26" ht="12.75" customHeight="1">
      <c r="A183" s="1523"/>
      <c r="B183" s="1523"/>
      <c r="C183" s="1523"/>
      <c r="D183" s="1523"/>
      <c r="E183" s="1523"/>
      <c r="F183" s="1741"/>
      <c r="G183" s="729"/>
      <c r="H183" s="1523"/>
      <c r="I183" s="1523"/>
      <c r="J183" s="1523"/>
      <c r="K183" s="1523"/>
      <c r="L183" s="1523"/>
      <c r="M183" s="1523"/>
      <c r="N183" s="1523"/>
      <c r="O183" s="1523"/>
      <c r="P183" s="1523"/>
      <c r="Q183" s="1523"/>
      <c r="R183" s="1523"/>
      <c r="S183" s="1523"/>
      <c r="T183" s="1523"/>
      <c r="U183" s="1523"/>
      <c r="V183" s="1523"/>
      <c r="W183" s="1523"/>
      <c r="X183" s="1523"/>
      <c r="Y183" s="1523"/>
      <c r="Z183" s="1523"/>
    </row>
    <row r="184" spans="1:26" ht="12.75" customHeight="1">
      <c r="A184" s="1523"/>
      <c r="B184" s="1523"/>
      <c r="C184" s="1523"/>
      <c r="D184" s="1523"/>
      <c r="E184" s="1523"/>
      <c r="F184" s="1741"/>
      <c r="G184" s="729"/>
      <c r="H184" s="1523"/>
      <c r="I184" s="1523"/>
      <c r="J184" s="1523"/>
      <c r="K184" s="1523"/>
      <c r="L184" s="1523"/>
      <c r="M184" s="1523"/>
      <c r="N184" s="1523"/>
      <c r="O184" s="1523"/>
      <c r="P184" s="1523"/>
      <c r="Q184" s="1523"/>
      <c r="R184" s="1523"/>
      <c r="S184" s="1523"/>
      <c r="T184" s="1523"/>
      <c r="U184" s="1523"/>
      <c r="V184" s="1523"/>
      <c r="W184" s="1523"/>
      <c r="X184" s="1523"/>
      <c r="Y184" s="1523"/>
      <c r="Z184" s="1523"/>
    </row>
    <row r="185" spans="1:26" ht="12.75" customHeight="1">
      <c r="A185" s="1523"/>
      <c r="B185" s="1523"/>
      <c r="C185" s="1523"/>
      <c r="D185" s="1523"/>
      <c r="E185" s="1523"/>
      <c r="F185" s="1741"/>
      <c r="G185" s="729"/>
      <c r="H185" s="1523"/>
      <c r="I185" s="1523"/>
      <c r="J185" s="1523"/>
      <c r="K185" s="1523"/>
      <c r="L185" s="1523"/>
      <c r="M185" s="1523"/>
      <c r="N185" s="1523"/>
      <c r="O185" s="1523"/>
      <c r="P185" s="1523"/>
      <c r="Q185" s="1523"/>
      <c r="R185" s="1523"/>
      <c r="S185" s="1523"/>
      <c r="T185" s="1523"/>
      <c r="U185" s="1523"/>
      <c r="V185" s="1523"/>
      <c r="W185" s="1523"/>
      <c r="X185" s="1523"/>
      <c r="Y185" s="1523"/>
      <c r="Z185" s="1523"/>
    </row>
    <row r="186" spans="1:26" ht="12.75" customHeight="1">
      <c r="A186" s="1523"/>
      <c r="B186" s="1523"/>
      <c r="C186" s="1523"/>
      <c r="D186" s="1523"/>
      <c r="E186" s="1523"/>
      <c r="F186" s="1741"/>
      <c r="G186" s="729"/>
      <c r="H186" s="1523"/>
      <c r="I186" s="1523"/>
      <c r="J186" s="1523"/>
      <c r="K186" s="1523"/>
      <c r="L186" s="1523"/>
      <c r="M186" s="1523"/>
      <c r="N186" s="1523"/>
      <c r="O186" s="1523"/>
      <c r="P186" s="1523"/>
      <c r="Q186" s="1523"/>
      <c r="R186" s="1523"/>
      <c r="S186" s="1523"/>
      <c r="T186" s="1523"/>
      <c r="U186" s="1523"/>
      <c r="V186" s="1523"/>
      <c r="W186" s="1523"/>
      <c r="X186" s="1523"/>
      <c r="Y186" s="1523"/>
      <c r="Z186" s="1523"/>
    </row>
    <row r="187" spans="1:26" ht="12.75" customHeight="1">
      <c r="A187" s="1523"/>
      <c r="B187" s="1523"/>
      <c r="C187" s="1523"/>
      <c r="D187" s="1523"/>
      <c r="E187" s="1523"/>
      <c r="F187" s="1741"/>
      <c r="G187" s="729"/>
      <c r="H187" s="1523"/>
      <c r="I187" s="1523"/>
      <c r="J187" s="1523"/>
      <c r="K187" s="1523"/>
      <c r="L187" s="1523"/>
      <c r="M187" s="1523"/>
      <c r="N187" s="1523"/>
      <c r="O187" s="1523"/>
      <c r="P187" s="1523"/>
      <c r="Q187" s="1523"/>
      <c r="R187" s="1523"/>
      <c r="S187" s="1523"/>
      <c r="T187" s="1523"/>
      <c r="U187" s="1523"/>
      <c r="V187" s="1523"/>
      <c r="W187" s="1523"/>
      <c r="X187" s="1523"/>
      <c r="Y187" s="1523"/>
      <c r="Z187" s="1523"/>
    </row>
    <row r="188" spans="1:26" ht="12.75" customHeight="1">
      <c r="A188" s="1523"/>
      <c r="B188" s="1523"/>
      <c r="C188" s="1523"/>
      <c r="D188" s="1523"/>
      <c r="E188" s="1523"/>
      <c r="F188" s="1741"/>
      <c r="G188" s="729"/>
      <c r="H188" s="1523"/>
      <c r="I188" s="1523"/>
      <c r="J188" s="1523"/>
      <c r="K188" s="1523"/>
      <c r="L188" s="1523"/>
      <c r="M188" s="1523"/>
      <c r="N188" s="1523"/>
      <c r="O188" s="1523"/>
      <c r="P188" s="1523"/>
      <c r="Q188" s="1523"/>
      <c r="R188" s="1523"/>
      <c r="S188" s="1523"/>
      <c r="T188" s="1523"/>
      <c r="U188" s="1523"/>
      <c r="V188" s="1523"/>
      <c r="W188" s="1523"/>
      <c r="X188" s="1523"/>
      <c r="Y188" s="1523"/>
      <c r="Z188" s="1523"/>
    </row>
    <row r="189" spans="1:26" ht="12.75" customHeight="1">
      <c r="A189" s="1523"/>
      <c r="B189" s="1523"/>
      <c r="C189" s="1523"/>
      <c r="D189" s="1523"/>
      <c r="E189" s="1523"/>
      <c r="F189" s="1741"/>
      <c r="G189" s="729"/>
      <c r="H189" s="1523"/>
      <c r="I189" s="1523"/>
      <c r="J189" s="1523"/>
      <c r="K189" s="1523"/>
      <c r="L189" s="1523"/>
      <c r="M189" s="1523"/>
      <c r="N189" s="1523"/>
      <c r="O189" s="1523"/>
      <c r="P189" s="1523"/>
      <c r="Q189" s="1523"/>
      <c r="R189" s="1523"/>
      <c r="S189" s="1523"/>
      <c r="T189" s="1523"/>
      <c r="U189" s="1523"/>
      <c r="V189" s="1523"/>
      <c r="W189" s="1523"/>
      <c r="X189" s="1523"/>
      <c r="Y189" s="1523"/>
      <c r="Z189" s="1523"/>
    </row>
    <row r="190" spans="1:26" ht="12.75" customHeight="1">
      <c r="A190" s="1523"/>
      <c r="B190" s="1523"/>
      <c r="C190" s="1523"/>
      <c r="D190" s="1523"/>
      <c r="E190" s="1523"/>
      <c r="F190" s="1741"/>
      <c r="G190" s="729"/>
      <c r="H190" s="1523"/>
      <c r="I190" s="1523"/>
      <c r="J190" s="1523"/>
      <c r="K190" s="1523"/>
      <c r="L190" s="1523"/>
      <c r="M190" s="1523"/>
      <c r="N190" s="1523"/>
      <c r="O190" s="1523"/>
      <c r="P190" s="1523"/>
      <c r="Q190" s="1523"/>
      <c r="R190" s="1523"/>
      <c r="S190" s="1523"/>
      <c r="T190" s="1523"/>
      <c r="U190" s="1523"/>
      <c r="V190" s="1523"/>
      <c r="W190" s="1523"/>
      <c r="X190" s="1523"/>
      <c r="Y190" s="1523"/>
      <c r="Z190" s="1523"/>
    </row>
    <row r="191" spans="1:26" ht="12.75" customHeight="1">
      <c r="A191" s="1523"/>
      <c r="B191" s="1523"/>
      <c r="C191" s="1523"/>
      <c r="D191" s="1523"/>
      <c r="E191" s="1523"/>
      <c r="F191" s="1741"/>
      <c r="G191" s="729"/>
      <c r="H191" s="1523"/>
      <c r="I191" s="1523"/>
      <c r="J191" s="1523"/>
      <c r="K191" s="1523"/>
      <c r="L191" s="1523"/>
      <c r="M191" s="1523"/>
      <c r="N191" s="1523"/>
      <c r="O191" s="1523"/>
      <c r="P191" s="1523"/>
      <c r="Q191" s="1523"/>
      <c r="R191" s="1523"/>
      <c r="S191" s="1523"/>
      <c r="T191" s="1523"/>
      <c r="U191" s="1523"/>
      <c r="V191" s="1523"/>
      <c r="W191" s="1523"/>
      <c r="X191" s="1523"/>
      <c r="Y191" s="1523"/>
      <c r="Z191" s="1523"/>
    </row>
    <row r="192" spans="1:26" ht="12.75" customHeight="1">
      <c r="A192" s="1523"/>
      <c r="B192" s="1523"/>
      <c r="C192" s="1523"/>
      <c r="D192" s="1523"/>
      <c r="E192" s="1523"/>
      <c r="F192" s="1741"/>
      <c r="G192" s="729"/>
      <c r="H192" s="1523"/>
      <c r="I192" s="1523"/>
      <c r="J192" s="1523"/>
      <c r="K192" s="1523"/>
      <c r="L192" s="1523"/>
      <c r="M192" s="1523"/>
      <c r="N192" s="1523"/>
      <c r="O192" s="1523"/>
      <c r="P192" s="1523"/>
      <c r="Q192" s="1523"/>
      <c r="R192" s="1523"/>
      <c r="S192" s="1523"/>
      <c r="T192" s="1523"/>
      <c r="U192" s="1523"/>
      <c r="V192" s="1523"/>
      <c r="W192" s="1523"/>
      <c r="X192" s="1523"/>
      <c r="Y192" s="1523"/>
      <c r="Z192" s="1523"/>
    </row>
    <row r="193" spans="1:26" ht="12.75" customHeight="1">
      <c r="A193" s="1523"/>
      <c r="B193" s="1523"/>
      <c r="C193" s="1523"/>
      <c r="D193" s="1523"/>
      <c r="E193" s="1523"/>
      <c r="F193" s="1741"/>
      <c r="G193" s="729"/>
      <c r="H193" s="1523"/>
      <c r="I193" s="1523"/>
      <c r="J193" s="1523"/>
      <c r="K193" s="1523"/>
      <c r="L193" s="1523"/>
      <c r="M193" s="1523"/>
      <c r="N193" s="1523"/>
      <c r="O193" s="1523"/>
      <c r="P193" s="1523"/>
      <c r="Q193" s="1523"/>
      <c r="R193" s="1523"/>
      <c r="S193" s="1523"/>
      <c r="T193" s="1523"/>
      <c r="U193" s="1523"/>
      <c r="V193" s="1523"/>
      <c r="W193" s="1523"/>
      <c r="X193" s="1523"/>
      <c r="Y193" s="1523"/>
      <c r="Z193" s="1523"/>
    </row>
    <row r="194" spans="1:26" ht="12.75" customHeight="1">
      <c r="A194" s="1523"/>
      <c r="B194" s="1523"/>
      <c r="C194" s="1523"/>
      <c r="D194" s="1523"/>
      <c r="E194" s="1523"/>
      <c r="F194" s="1741"/>
      <c r="G194" s="729"/>
      <c r="H194" s="1523"/>
      <c r="I194" s="1523"/>
      <c r="J194" s="1523"/>
      <c r="K194" s="1523"/>
      <c r="L194" s="1523"/>
      <c r="M194" s="1523"/>
      <c r="N194" s="1523"/>
      <c r="O194" s="1523"/>
      <c r="P194" s="1523"/>
      <c r="Q194" s="1523"/>
      <c r="R194" s="1523"/>
      <c r="S194" s="1523"/>
      <c r="T194" s="1523"/>
      <c r="U194" s="1523"/>
      <c r="V194" s="1523"/>
      <c r="W194" s="1523"/>
      <c r="X194" s="1523"/>
      <c r="Y194" s="1523"/>
      <c r="Z194" s="1523"/>
    </row>
    <row r="195" spans="1:26" ht="12.75" customHeight="1">
      <c r="A195" s="1523"/>
      <c r="B195" s="1523"/>
      <c r="C195" s="1523"/>
      <c r="D195" s="1523"/>
      <c r="E195" s="1523"/>
      <c r="F195" s="1741"/>
      <c r="G195" s="729"/>
      <c r="H195" s="1523"/>
      <c r="I195" s="1523"/>
      <c r="J195" s="1523"/>
      <c r="K195" s="1523"/>
      <c r="L195" s="1523"/>
      <c r="M195" s="1523"/>
      <c r="N195" s="1523"/>
      <c r="O195" s="1523"/>
      <c r="P195" s="1523"/>
      <c r="Q195" s="1523"/>
      <c r="R195" s="1523"/>
      <c r="S195" s="1523"/>
      <c r="T195" s="1523"/>
      <c r="U195" s="1523"/>
      <c r="V195" s="1523"/>
      <c r="W195" s="1523"/>
      <c r="X195" s="1523"/>
      <c r="Y195" s="1523"/>
      <c r="Z195" s="1523"/>
    </row>
    <row r="196" spans="1:26" ht="12.75" customHeight="1">
      <c r="A196" s="1523"/>
      <c r="B196" s="1523"/>
      <c r="C196" s="1523"/>
      <c r="D196" s="1523"/>
      <c r="E196" s="1523"/>
      <c r="F196" s="1741"/>
      <c r="G196" s="729"/>
      <c r="H196" s="1523"/>
      <c r="I196" s="1523"/>
      <c r="J196" s="1523"/>
      <c r="K196" s="1523"/>
      <c r="L196" s="1523"/>
      <c r="M196" s="1523"/>
      <c r="N196" s="1523"/>
      <c r="O196" s="1523"/>
      <c r="P196" s="1523"/>
      <c r="Q196" s="1523"/>
      <c r="R196" s="1523"/>
      <c r="S196" s="1523"/>
      <c r="T196" s="1523"/>
      <c r="U196" s="1523"/>
      <c r="V196" s="1523"/>
      <c r="W196" s="1523"/>
      <c r="X196" s="1523"/>
      <c r="Y196" s="1523"/>
      <c r="Z196" s="1523"/>
    </row>
    <row r="197" spans="1:26" ht="12.75" customHeight="1">
      <c r="A197" s="1523"/>
      <c r="B197" s="1523"/>
      <c r="C197" s="1523"/>
      <c r="D197" s="1523"/>
      <c r="E197" s="1523"/>
      <c r="F197" s="1741"/>
      <c r="G197" s="729"/>
      <c r="H197" s="1523"/>
      <c r="I197" s="1523"/>
      <c r="J197" s="1523"/>
      <c r="K197" s="1523"/>
      <c r="L197" s="1523"/>
      <c r="M197" s="1523"/>
      <c r="N197" s="1523"/>
      <c r="O197" s="1523"/>
      <c r="P197" s="1523"/>
      <c r="Q197" s="1523"/>
      <c r="R197" s="1523"/>
      <c r="S197" s="1523"/>
      <c r="T197" s="1523"/>
      <c r="U197" s="1523"/>
      <c r="V197" s="1523"/>
      <c r="W197" s="1523"/>
      <c r="X197" s="1523"/>
      <c r="Y197" s="1523"/>
      <c r="Z197" s="1523"/>
    </row>
    <row r="198" spans="1:26" ht="12.75" customHeight="1">
      <c r="A198" s="1523"/>
      <c r="B198" s="1523"/>
      <c r="C198" s="1523"/>
      <c r="D198" s="1523"/>
      <c r="E198" s="1523"/>
      <c r="F198" s="1741"/>
      <c r="G198" s="729"/>
      <c r="H198" s="1523"/>
      <c r="I198" s="1523"/>
      <c r="J198" s="1523"/>
      <c r="K198" s="1523"/>
      <c r="L198" s="1523"/>
      <c r="M198" s="1523"/>
      <c r="N198" s="1523"/>
      <c r="O198" s="1523"/>
      <c r="P198" s="1523"/>
      <c r="Q198" s="1523"/>
      <c r="R198" s="1523"/>
      <c r="S198" s="1523"/>
      <c r="T198" s="1523"/>
      <c r="U198" s="1523"/>
      <c r="V198" s="1523"/>
      <c r="W198" s="1523"/>
      <c r="X198" s="1523"/>
      <c r="Y198" s="1523"/>
      <c r="Z198" s="1523"/>
    </row>
    <row r="199" spans="1:26" ht="12.75" customHeight="1">
      <c r="A199" s="1523"/>
      <c r="B199" s="1523"/>
      <c r="C199" s="1523"/>
      <c r="D199" s="1523"/>
      <c r="E199" s="1523"/>
      <c r="F199" s="1741"/>
      <c r="G199" s="729"/>
      <c r="H199" s="1523"/>
      <c r="I199" s="1523"/>
      <c r="J199" s="1523"/>
      <c r="K199" s="1523"/>
      <c r="L199" s="1523"/>
      <c r="M199" s="1523"/>
      <c r="N199" s="1523"/>
      <c r="O199" s="1523"/>
      <c r="P199" s="1523"/>
      <c r="Q199" s="1523"/>
      <c r="R199" s="1523"/>
      <c r="S199" s="1523"/>
      <c r="T199" s="1523"/>
      <c r="U199" s="1523"/>
      <c r="V199" s="1523"/>
      <c r="W199" s="1523"/>
      <c r="X199" s="1523"/>
      <c r="Y199" s="1523"/>
      <c r="Z199" s="1523"/>
    </row>
    <row r="200" spans="1:26" ht="12.75" customHeight="1">
      <c r="A200" s="1523"/>
      <c r="B200" s="1523"/>
      <c r="C200" s="1523"/>
      <c r="D200" s="1523"/>
      <c r="E200" s="1523"/>
      <c r="F200" s="1741"/>
      <c r="G200" s="729"/>
      <c r="H200" s="1523"/>
      <c r="I200" s="1523"/>
      <c r="J200" s="1523"/>
      <c r="K200" s="1523"/>
      <c r="L200" s="1523"/>
      <c r="M200" s="1523"/>
      <c r="N200" s="1523"/>
      <c r="O200" s="1523"/>
      <c r="P200" s="1523"/>
      <c r="Q200" s="1523"/>
      <c r="R200" s="1523"/>
      <c r="S200" s="1523"/>
      <c r="T200" s="1523"/>
      <c r="U200" s="1523"/>
      <c r="V200" s="1523"/>
      <c r="W200" s="1523"/>
      <c r="X200" s="1523"/>
      <c r="Y200" s="1523"/>
      <c r="Z200" s="1523"/>
    </row>
    <row r="201" spans="1:26" ht="12.75" customHeight="1">
      <c r="A201" s="1523"/>
      <c r="B201" s="1523"/>
      <c r="C201" s="1523"/>
      <c r="D201" s="1523"/>
      <c r="E201" s="1523"/>
      <c r="F201" s="1741"/>
      <c r="G201" s="729"/>
      <c r="H201" s="1523"/>
      <c r="I201" s="1523"/>
      <c r="J201" s="1523"/>
      <c r="K201" s="1523"/>
      <c r="L201" s="1523"/>
      <c r="M201" s="1523"/>
      <c r="N201" s="1523"/>
      <c r="O201" s="1523"/>
      <c r="P201" s="1523"/>
      <c r="Q201" s="1523"/>
      <c r="R201" s="1523"/>
      <c r="S201" s="1523"/>
      <c r="T201" s="1523"/>
      <c r="U201" s="1523"/>
      <c r="V201" s="1523"/>
      <c r="W201" s="1523"/>
      <c r="X201" s="1523"/>
      <c r="Y201" s="1523"/>
      <c r="Z201" s="1523"/>
    </row>
    <row r="202" spans="1:26" ht="12.75" customHeight="1">
      <c r="A202" s="1523"/>
      <c r="B202" s="1523"/>
      <c r="C202" s="1523"/>
      <c r="D202" s="1523"/>
      <c r="E202" s="1523"/>
      <c r="F202" s="1741"/>
      <c r="G202" s="729"/>
      <c r="H202" s="1523"/>
      <c r="I202" s="1523"/>
      <c r="J202" s="1523"/>
      <c r="K202" s="1523"/>
      <c r="L202" s="1523"/>
      <c r="M202" s="1523"/>
      <c r="N202" s="1523"/>
      <c r="O202" s="1523"/>
      <c r="P202" s="1523"/>
      <c r="Q202" s="1523"/>
      <c r="R202" s="1523"/>
      <c r="S202" s="1523"/>
      <c r="T202" s="1523"/>
      <c r="U202" s="1523"/>
      <c r="V202" s="1523"/>
      <c r="W202" s="1523"/>
      <c r="X202" s="1523"/>
      <c r="Y202" s="1523"/>
      <c r="Z202" s="1523"/>
    </row>
    <row r="203" spans="1:26" ht="12.75" customHeight="1">
      <c r="A203" s="1523"/>
      <c r="B203" s="1523"/>
      <c r="C203" s="1523"/>
      <c r="D203" s="1523"/>
      <c r="E203" s="1523"/>
      <c r="F203" s="1741"/>
      <c r="G203" s="729"/>
      <c r="H203" s="1523"/>
      <c r="I203" s="1523"/>
      <c r="J203" s="1523"/>
      <c r="K203" s="1523"/>
      <c r="L203" s="1523"/>
      <c r="M203" s="1523"/>
      <c r="N203" s="1523"/>
      <c r="O203" s="1523"/>
      <c r="P203" s="1523"/>
      <c r="Q203" s="1523"/>
      <c r="R203" s="1523"/>
      <c r="S203" s="1523"/>
      <c r="T203" s="1523"/>
      <c r="U203" s="1523"/>
      <c r="V203" s="1523"/>
      <c r="W203" s="1523"/>
      <c r="X203" s="1523"/>
      <c r="Y203" s="1523"/>
      <c r="Z203" s="1523"/>
    </row>
    <row r="204" spans="1:26" ht="12.75" customHeight="1">
      <c r="A204" s="1523"/>
      <c r="B204" s="1523"/>
      <c r="C204" s="1523"/>
      <c r="D204" s="1523"/>
      <c r="E204" s="1523"/>
      <c r="F204" s="1741"/>
      <c r="G204" s="729"/>
      <c r="H204" s="1523"/>
      <c r="I204" s="1523"/>
      <c r="J204" s="1523"/>
      <c r="K204" s="1523"/>
      <c r="L204" s="1523"/>
      <c r="M204" s="1523"/>
      <c r="N204" s="1523"/>
      <c r="O204" s="1523"/>
      <c r="P204" s="1523"/>
      <c r="Q204" s="1523"/>
      <c r="R204" s="1523"/>
      <c r="S204" s="1523"/>
      <c r="T204" s="1523"/>
      <c r="U204" s="1523"/>
      <c r="V204" s="1523"/>
      <c r="W204" s="1523"/>
      <c r="X204" s="1523"/>
      <c r="Y204" s="1523"/>
      <c r="Z204" s="1523"/>
    </row>
    <row r="205" spans="1:26" ht="12.75" customHeight="1">
      <c r="A205" s="1523"/>
      <c r="B205" s="1523"/>
      <c r="C205" s="1523"/>
      <c r="D205" s="1523"/>
      <c r="E205" s="1523"/>
      <c r="F205" s="1741"/>
      <c r="G205" s="729"/>
      <c r="H205" s="1523"/>
      <c r="I205" s="1523"/>
      <c r="J205" s="1523"/>
      <c r="K205" s="1523"/>
      <c r="L205" s="1523"/>
      <c r="M205" s="1523"/>
      <c r="N205" s="1523"/>
      <c r="O205" s="1523"/>
      <c r="P205" s="1523"/>
      <c r="Q205" s="1523"/>
      <c r="R205" s="1523"/>
      <c r="S205" s="1523"/>
      <c r="T205" s="1523"/>
      <c r="U205" s="1523"/>
      <c r="V205" s="1523"/>
      <c r="W205" s="1523"/>
      <c r="X205" s="1523"/>
      <c r="Y205" s="1523"/>
      <c r="Z205" s="1523"/>
    </row>
    <row r="206" spans="1:26" ht="12.75" customHeight="1">
      <c r="A206" s="1523"/>
      <c r="B206" s="1523"/>
      <c r="C206" s="1523"/>
      <c r="D206" s="1523"/>
      <c r="E206" s="1523"/>
      <c r="F206" s="1741"/>
      <c r="G206" s="729"/>
      <c r="H206" s="1523"/>
      <c r="I206" s="1523"/>
      <c r="J206" s="1523"/>
      <c r="K206" s="1523"/>
      <c r="L206" s="1523"/>
      <c r="M206" s="1523"/>
      <c r="N206" s="1523"/>
      <c r="O206" s="1523"/>
      <c r="P206" s="1523"/>
      <c r="Q206" s="1523"/>
      <c r="R206" s="1523"/>
      <c r="S206" s="1523"/>
      <c r="T206" s="1523"/>
      <c r="U206" s="1523"/>
      <c r="V206" s="1523"/>
      <c r="W206" s="1523"/>
      <c r="X206" s="1523"/>
      <c r="Y206" s="1523"/>
      <c r="Z206" s="1523"/>
    </row>
    <row r="207" spans="1:26" ht="12.75" customHeight="1">
      <c r="A207" s="1523"/>
      <c r="B207" s="1523"/>
      <c r="C207" s="1523"/>
      <c r="D207" s="1523"/>
      <c r="E207" s="1523"/>
      <c r="F207" s="1741"/>
      <c r="G207" s="729"/>
      <c r="H207" s="1523"/>
      <c r="I207" s="1523"/>
      <c r="J207" s="1523"/>
      <c r="K207" s="1523"/>
      <c r="L207" s="1523"/>
      <c r="M207" s="1523"/>
      <c r="N207" s="1523"/>
      <c r="O207" s="1523"/>
      <c r="P207" s="1523"/>
      <c r="Q207" s="1523"/>
      <c r="R207" s="1523"/>
      <c r="S207" s="1523"/>
      <c r="T207" s="1523"/>
      <c r="U207" s="1523"/>
      <c r="V207" s="1523"/>
      <c r="W207" s="1523"/>
      <c r="X207" s="1523"/>
      <c r="Y207" s="1523"/>
      <c r="Z207" s="1523"/>
    </row>
    <row r="208" spans="1:26" ht="12.75" customHeight="1">
      <c r="A208" s="1523"/>
      <c r="B208" s="1523"/>
      <c r="C208" s="1523"/>
      <c r="D208" s="1523"/>
      <c r="E208" s="1523"/>
      <c r="F208" s="1741"/>
      <c r="G208" s="729"/>
      <c r="H208" s="1523"/>
      <c r="I208" s="1523"/>
      <c r="J208" s="1523"/>
      <c r="K208" s="1523"/>
      <c r="L208" s="1523"/>
      <c r="M208" s="1523"/>
      <c r="N208" s="1523"/>
      <c r="O208" s="1523"/>
      <c r="P208" s="1523"/>
      <c r="Q208" s="1523"/>
      <c r="R208" s="1523"/>
      <c r="S208" s="1523"/>
      <c r="T208" s="1523"/>
      <c r="U208" s="1523"/>
      <c r="V208" s="1523"/>
      <c r="W208" s="1523"/>
      <c r="X208" s="1523"/>
      <c r="Y208" s="1523"/>
      <c r="Z208" s="1523"/>
    </row>
    <row r="209" spans="1:26" ht="12.75" customHeight="1">
      <c r="A209" s="1523"/>
      <c r="B209" s="1523"/>
      <c r="C209" s="1523"/>
      <c r="D209" s="1523"/>
      <c r="E209" s="1523"/>
      <c r="F209" s="1741"/>
      <c r="G209" s="729"/>
      <c r="H209" s="1523"/>
      <c r="I209" s="1523"/>
      <c r="J209" s="1523"/>
      <c r="K209" s="1523"/>
      <c r="L209" s="1523"/>
      <c r="M209" s="1523"/>
      <c r="N209" s="1523"/>
      <c r="O209" s="1523"/>
      <c r="P209" s="1523"/>
      <c r="Q209" s="1523"/>
      <c r="R209" s="1523"/>
      <c r="S209" s="1523"/>
      <c r="T209" s="1523"/>
      <c r="U209" s="1523"/>
      <c r="V209" s="1523"/>
      <c r="W209" s="1523"/>
      <c r="X209" s="1523"/>
      <c r="Y209" s="1523"/>
      <c r="Z209" s="1523"/>
    </row>
    <row r="210" spans="1:26" ht="12.75" customHeight="1">
      <c r="A210" s="1523"/>
      <c r="B210" s="1523"/>
      <c r="C210" s="1523"/>
      <c r="D210" s="1523"/>
      <c r="E210" s="1523"/>
      <c r="F210" s="1741"/>
      <c r="G210" s="729"/>
      <c r="H210" s="1523"/>
      <c r="I210" s="1523"/>
      <c r="J210" s="1523"/>
      <c r="K210" s="1523"/>
      <c r="L210" s="1523"/>
      <c r="M210" s="1523"/>
      <c r="N210" s="1523"/>
      <c r="O210" s="1523"/>
      <c r="P210" s="1523"/>
      <c r="Q210" s="1523"/>
      <c r="R210" s="1523"/>
      <c r="S210" s="1523"/>
      <c r="T210" s="1523"/>
      <c r="U210" s="1523"/>
      <c r="V210" s="1523"/>
      <c r="W210" s="1523"/>
      <c r="X210" s="1523"/>
      <c r="Y210" s="1523"/>
      <c r="Z210" s="1523"/>
    </row>
    <row r="211" spans="1:26" ht="12.75" customHeight="1">
      <c r="A211" s="1523"/>
      <c r="B211" s="1523"/>
      <c r="C211" s="1523"/>
      <c r="D211" s="1523"/>
      <c r="E211" s="1523"/>
      <c r="F211" s="1741"/>
      <c r="G211" s="729"/>
      <c r="H211" s="1523"/>
      <c r="I211" s="1523"/>
      <c r="J211" s="1523"/>
      <c r="K211" s="1523"/>
      <c r="L211" s="1523"/>
      <c r="M211" s="1523"/>
      <c r="N211" s="1523"/>
      <c r="O211" s="1523"/>
      <c r="P211" s="1523"/>
      <c r="Q211" s="1523"/>
      <c r="R211" s="1523"/>
      <c r="S211" s="1523"/>
      <c r="T211" s="1523"/>
      <c r="U211" s="1523"/>
      <c r="V211" s="1523"/>
      <c r="W211" s="1523"/>
      <c r="X211" s="1523"/>
      <c r="Y211" s="1523"/>
      <c r="Z211" s="1523"/>
    </row>
    <row r="212" spans="1:26" ht="12.75" customHeight="1">
      <c r="A212" s="1523"/>
      <c r="B212" s="1523"/>
      <c r="C212" s="1523"/>
      <c r="D212" s="1523"/>
      <c r="E212" s="1523"/>
      <c r="F212" s="1741"/>
      <c r="G212" s="729"/>
      <c r="H212" s="1523"/>
      <c r="I212" s="1523"/>
      <c r="J212" s="1523"/>
      <c r="K212" s="1523"/>
      <c r="L212" s="1523"/>
      <c r="M212" s="1523"/>
      <c r="N212" s="1523"/>
      <c r="O212" s="1523"/>
      <c r="P212" s="1523"/>
      <c r="Q212" s="1523"/>
      <c r="R212" s="1523"/>
      <c r="S212" s="1523"/>
      <c r="T212" s="1523"/>
      <c r="U212" s="1523"/>
      <c r="V212" s="1523"/>
      <c r="W212" s="1523"/>
      <c r="X212" s="1523"/>
      <c r="Y212" s="1523"/>
      <c r="Z212" s="1523"/>
    </row>
    <row r="213" spans="1:26" ht="12.75" customHeight="1">
      <c r="A213" s="1523"/>
      <c r="B213" s="1523"/>
      <c r="C213" s="1523"/>
      <c r="D213" s="1523"/>
      <c r="E213" s="1523"/>
      <c r="F213" s="1741"/>
      <c r="G213" s="729"/>
      <c r="H213" s="1523"/>
      <c r="I213" s="1523"/>
      <c r="J213" s="1523"/>
      <c r="K213" s="1523"/>
      <c r="L213" s="1523"/>
      <c r="M213" s="1523"/>
      <c r="N213" s="1523"/>
      <c r="O213" s="1523"/>
      <c r="P213" s="1523"/>
      <c r="Q213" s="1523"/>
      <c r="R213" s="1523"/>
      <c r="S213" s="1523"/>
      <c r="T213" s="1523"/>
      <c r="U213" s="1523"/>
      <c r="V213" s="1523"/>
      <c r="W213" s="1523"/>
      <c r="X213" s="1523"/>
      <c r="Y213" s="1523"/>
      <c r="Z213" s="1523"/>
    </row>
    <row r="214" spans="1:26" ht="12.75" customHeight="1">
      <c r="A214" s="1523"/>
      <c r="B214" s="1523"/>
      <c r="C214" s="1523"/>
      <c r="D214" s="1523"/>
      <c r="E214" s="1523"/>
      <c r="F214" s="1741"/>
      <c r="G214" s="729"/>
      <c r="H214" s="1523"/>
      <c r="I214" s="1523"/>
      <c r="J214" s="1523"/>
      <c r="K214" s="1523"/>
      <c r="L214" s="1523"/>
      <c r="M214" s="1523"/>
      <c r="N214" s="1523"/>
      <c r="O214" s="1523"/>
      <c r="P214" s="1523"/>
      <c r="Q214" s="1523"/>
      <c r="R214" s="1523"/>
      <c r="S214" s="1523"/>
      <c r="T214" s="1523"/>
      <c r="U214" s="1523"/>
      <c r="V214" s="1523"/>
      <c r="W214" s="1523"/>
      <c r="X214" s="1523"/>
      <c r="Y214" s="1523"/>
      <c r="Z214" s="1523"/>
    </row>
    <row r="215" spans="1:26" ht="12.75" customHeight="1">
      <c r="A215" s="1523"/>
      <c r="B215" s="1523"/>
      <c r="C215" s="1523"/>
      <c r="D215" s="1523"/>
      <c r="E215" s="1523"/>
      <c r="F215" s="1741"/>
      <c r="G215" s="729"/>
      <c r="H215" s="1523"/>
      <c r="I215" s="1523"/>
      <c r="J215" s="1523"/>
      <c r="K215" s="1523"/>
      <c r="L215" s="1523"/>
      <c r="M215" s="1523"/>
      <c r="N215" s="1523"/>
      <c r="O215" s="1523"/>
      <c r="P215" s="1523"/>
      <c r="Q215" s="1523"/>
      <c r="R215" s="1523"/>
      <c r="S215" s="1523"/>
      <c r="T215" s="1523"/>
      <c r="U215" s="1523"/>
      <c r="V215" s="1523"/>
      <c r="W215" s="1523"/>
      <c r="X215" s="1523"/>
      <c r="Y215" s="1523"/>
      <c r="Z215" s="1523"/>
    </row>
    <row r="216" spans="1:26" ht="12.75" customHeight="1">
      <c r="A216" s="1523"/>
      <c r="B216" s="1523"/>
      <c r="C216" s="1523"/>
      <c r="D216" s="1523"/>
      <c r="E216" s="1523"/>
      <c r="F216" s="1741"/>
      <c r="G216" s="729"/>
      <c r="H216" s="1523"/>
      <c r="I216" s="1523"/>
      <c r="J216" s="1523"/>
      <c r="K216" s="1523"/>
      <c r="L216" s="1523"/>
      <c r="M216" s="1523"/>
      <c r="N216" s="1523"/>
      <c r="O216" s="1523"/>
      <c r="P216" s="1523"/>
      <c r="Q216" s="1523"/>
      <c r="R216" s="1523"/>
      <c r="S216" s="1523"/>
      <c r="T216" s="1523"/>
      <c r="U216" s="1523"/>
      <c r="V216" s="1523"/>
      <c r="W216" s="1523"/>
      <c r="X216" s="1523"/>
      <c r="Y216" s="1523"/>
      <c r="Z216" s="1523"/>
    </row>
    <row r="217" spans="1:26" ht="12.75" customHeight="1">
      <c r="A217" s="1523"/>
      <c r="B217" s="1523"/>
      <c r="C217" s="1523"/>
      <c r="D217" s="1523"/>
      <c r="E217" s="1523"/>
      <c r="F217" s="1741"/>
      <c r="G217" s="729"/>
      <c r="H217" s="1523"/>
      <c r="I217" s="1523"/>
      <c r="J217" s="1523"/>
      <c r="K217" s="1523"/>
      <c r="L217" s="1523"/>
      <c r="M217" s="1523"/>
      <c r="N217" s="1523"/>
      <c r="O217" s="1523"/>
      <c r="P217" s="1523"/>
      <c r="Q217" s="1523"/>
      <c r="R217" s="1523"/>
      <c r="S217" s="1523"/>
      <c r="T217" s="1523"/>
      <c r="U217" s="1523"/>
      <c r="V217" s="1523"/>
      <c r="W217" s="1523"/>
      <c r="X217" s="1523"/>
      <c r="Y217" s="1523"/>
      <c r="Z217" s="1523"/>
    </row>
    <row r="218" spans="1:26" ht="12.75" customHeight="1">
      <c r="A218" s="1523"/>
      <c r="B218" s="1523"/>
      <c r="C218" s="1523"/>
      <c r="D218" s="1523"/>
      <c r="E218" s="1523"/>
      <c r="F218" s="1741"/>
      <c r="G218" s="729"/>
      <c r="H218" s="1523"/>
      <c r="I218" s="1523"/>
      <c r="J218" s="1523"/>
      <c r="K218" s="1523"/>
      <c r="L218" s="1523"/>
      <c r="M218" s="1523"/>
      <c r="N218" s="1523"/>
      <c r="O218" s="1523"/>
      <c r="P218" s="1523"/>
      <c r="Q218" s="1523"/>
      <c r="R218" s="1523"/>
      <c r="S218" s="1523"/>
      <c r="T218" s="1523"/>
      <c r="U218" s="1523"/>
      <c r="V218" s="1523"/>
      <c r="W218" s="1523"/>
      <c r="X218" s="1523"/>
      <c r="Y218" s="1523"/>
      <c r="Z218" s="1523"/>
    </row>
    <row r="219" spans="1:26" ht="12.75" customHeight="1">
      <c r="A219" s="1523"/>
      <c r="B219" s="1523"/>
      <c r="C219" s="1523"/>
      <c r="D219" s="1523"/>
      <c r="E219" s="1523"/>
      <c r="F219" s="1741"/>
      <c r="G219" s="729"/>
      <c r="H219" s="1523"/>
      <c r="I219" s="1523"/>
      <c r="J219" s="1523"/>
      <c r="K219" s="1523"/>
      <c r="L219" s="1523"/>
      <c r="M219" s="1523"/>
      <c r="N219" s="1523"/>
      <c r="O219" s="1523"/>
      <c r="P219" s="1523"/>
      <c r="Q219" s="1523"/>
      <c r="R219" s="1523"/>
      <c r="S219" s="1523"/>
      <c r="T219" s="1523"/>
      <c r="U219" s="1523"/>
      <c r="V219" s="1523"/>
      <c r="W219" s="1523"/>
      <c r="X219" s="1523"/>
      <c r="Y219" s="1523"/>
      <c r="Z219" s="1523"/>
    </row>
    <row r="220" spans="1:26" ht="12.75" customHeight="1">
      <c r="A220" s="1523"/>
      <c r="B220" s="1523"/>
      <c r="C220" s="1523"/>
      <c r="D220" s="1523"/>
      <c r="E220" s="1523"/>
      <c r="F220" s="1741"/>
      <c r="G220" s="729"/>
      <c r="H220" s="1523"/>
      <c r="I220" s="1523"/>
      <c r="J220" s="1523"/>
      <c r="K220" s="1523"/>
      <c r="L220" s="1523"/>
      <c r="M220" s="1523"/>
      <c r="N220" s="1523"/>
      <c r="O220" s="1523"/>
      <c r="P220" s="1523"/>
      <c r="Q220" s="1523"/>
      <c r="R220" s="1523"/>
      <c r="S220" s="1523"/>
      <c r="T220" s="1523"/>
      <c r="U220" s="1523"/>
      <c r="V220" s="1523"/>
      <c r="W220" s="1523"/>
      <c r="X220" s="1523"/>
      <c r="Y220" s="1523"/>
      <c r="Z220" s="1523"/>
    </row>
    <row r="221" spans="1:26" ht="12.75" customHeight="1">
      <c r="A221" s="1523"/>
      <c r="B221" s="1523"/>
      <c r="C221" s="1523"/>
      <c r="D221" s="1523"/>
      <c r="E221" s="1523"/>
      <c r="F221" s="1741"/>
      <c r="G221" s="729"/>
      <c r="H221" s="1523"/>
      <c r="I221" s="1523"/>
      <c r="J221" s="1523"/>
      <c r="K221" s="1523"/>
      <c r="L221" s="1523"/>
      <c r="M221" s="1523"/>
      <c r="N221" s="1523"/>
      <c r="O221" s="1523"/>
      <c r="P221" s="1523"/>
      <c r="Q221" s="1523"/>
      <c r="R221" s="1523"/>
      <c r="S221" s="1523"/>
      <c r="T221" s="1523"/>
      <c r="U221" s="1523"/>
      <c r="V221" s="1523"/>
      <c r="W221" s="1523"/>
      <c r="X221" s="1523"/>
      <c r="Y221" s="1523"/>
      <c r="Z221" s="1523"/>
    </row>
    <row r="222" spans="1:26" ht="12.75" customHeight="1">
      <c r="A222" s="1523"/>
      <c r="B222" s="1523"/>
      <c r="C222" s="1523"/>
      <c r="D222" s="1523"/>
      <c r="E222" s="1523"/>
      <c r="F222" s="1741"/>
      <c r="G222" s="729"/>
      <c r="H222" s="1523"/>
      <c r="I222" s="1523"/>
      <c r="J222" s="1523"/>
      <c r="K222" s="1523"/>
      <c r="L222" s="1523"/>
      <c r="M222" s="1523"/>
      <c r="N222" s="1523"/>
      <c r="O222" s="1523"/>
      <c r="P222" s="1523"/>
      <c r="Q222" s="1523"/>
      <c r="R222" s="1523"/>
      <c r="S222" s="1523"/>
      <c r="T222" s="1523"/>
      <c r="U222" s="1523"/>
      <c r="V222" s="1523"/>
      <c r="W222" s="1523"/>
      <c r="X222" s="1523"/>
      <c r="Y222" s="1523"/>
      <c r="Z222" s="1523"/>
    </row>
    <row r="223" spans="1:26" ht="12.75" customHeight="1">
      <c r="A223" s="1523"/>
      <c r="B223" s="1523"/>
      <c r="C223" s="1523"/>
      <c r="D223" s="1523"/>
      <c r="E223" s="1523"/>
      <c r="F223" s="1741"/>
      <c r="G223" s="729"/>
      <c r="H223" s="1523"/>
      <c r="I223" s="1523"/>
      <c r="J223" s="1523"/>
      <c r="K223" s="1523"/>
      <c r="L223" s="1523"/>
      <c r="M223" s="1523"/>
      <c r="N223" s="1523"/>
      <c r="O223" s="1523"/>
      <c r="P223" s="1523"/>
      <c r="Q223" s="1523"/>
      <c r="R223" s="1523"/>
      <c r="S223" s="1523"/>
      <c r="T223" s="1523"/>
      <c r="U223" s="1523"/>
      <c r="V223" s="1523"/>
      <c r="W223" s="1523"/>
      <c r="X223" s="1523"/>
      <c r="Y223" s="1523"/>
      <c r="Z223" s="1523"/>
    </row>
    <row r="224" spans="1:26" ht="12.75" customHeight="1">
      <c r="A224" s="1523"/>
      <c r="B224" s="1523"/>
      <c r="C224" s="1523"/>
      <c r="D224" s="1523"/>
      <c r="E224" s="1523"/>
      <c r="F224" s="1741"/>
      <c r="G224" s="729"/>
      <c r="H224" s="1523"/>
      <c r="I224" s="1523"/>
      <c r="J224" s="1523"/>
      <c r="K224" s="1523"/>
      <c r="L224" s="1523"/>
      <c r="M224" s="1523"/>
      <c r="N224" s="1523"/>
      <c r="O224" s="1523"/>
      <c r="P224" s="1523"/>
      <c r="Q224" s="1523"/>
      <c r="R224" s="1523"/>
      <c r="S224" s="1523"/>
      <c r="T224" s="1523"/>
      <c r="U224" s="1523"/>
      <c r="V224" s="1523"/>
      <c r="W224" s="1523"/>
      <c r="X224" s="1523"/>
      <c r="Y224" s="1523"/>
      <c r="Z224" s="1523"/>
    </row>
    <row r="225" spans="1:26" ht="12.75" customHeight="1">
      <c r="A225" s="1523"/>
      <c r="B225" s="1523"/>
      <c r="C225" s="1523"/>
      <c r="D225" s="1523"/>
      <c r="E225" s="1523"/>
      <c r="F225" s="1741"/>
      <c r="G225" s="729"/>
      <c r="H225" s="1523"/>
      <c r="I225" s="1523"/>
      <c r="J225" s="1523"/>
      <c r="K225" s="1523"/>
      <c r="L225" s="1523"/>
      <c r="M225" s="1523"/>
      <c r="N225" s="1523"/>
      <c r="O225" s="1523"/>
      <c r="P225" s="1523"/>
      <c r="Q225" s="1523"/>
      <c r="R225" s="1523"/>
      <c r="S225" s="1523"/>
      <c r="T225" s="1523"/>
      <c r="U225" s="1523"/>
      <c r="V225" s="1523"/>
      <c r="W225" s="1523"/>
      <c r="X225" s="1523"/>
      <c r="Y225" s="1523"/>
      <c r="Z225" s="1523"/>
    </row>
    <row r="226" spans="1:26" ht="12.75" customHeight="1">
      <c r="A226" s="1523"/>
      <c r="B226" s="1523"/>
      <c r="C226" s="1523"/>
      <c r="D226" s="1523"/>
      <c r="E226" s="1523"/>
      <c r="F226" s="1741"/>
      <c r="G226" s="729"/>
      <c r="H226" s="1523"/>
      <c r="I226" s="1523"/>
      <c r="J226" s="1523"/>
      <c r="K226" s="1523"/>
      <c r="L226" s="1523"/>
      <c r="M226" s="1523"/>
      <c r="N226" s="1523"/>
      <c r="O226" s="1523"/>
      <c r="P226" s="1523"/>
      <c r="Q226" s="1523"/>
      <c r="R226" s="1523"/>
      <c r="S226" s="1523"/>
      <c r="T226" s="1523"/>
      <c r="U226" s="1523"/>
      <c r="V226" s="1523"/>
      <c r="W226" s="1523"/>
      <c r="X226" s="1523"/>
      <c r="Y226" s="1523"/>
      <c r="Z226" s="1523"/>
    </row>
    <row r="227" spans="1:26" ht="12.75" customHeight="1">
      <c r="A227" s="1523"/>
      <c r="B227" s="1523"/>
      <c r="C227" s="1523"/>
      <c r="D227" s="1523"/>
      <c r="E227" s="1523"/>
      <c r="F227" s="1741"/>
      <c r="G227" s="729"/>
      <c r="H227" s="1523"/>
      <c r="I227" s="1523"/>
      <c r="J227" s="1523"/>
      <c r="K227" s="1523"/>
      <c r="L227" s="1523"/>
      <c r="M227" s="1523"/>
      <c r="N227" s="1523"/>
      <c r="O227" s="1523"/>
      <c r="P227" s="1523"/>
      <c r="Q227" s="1523"/>
      <c r="R227" s="1523"/>
      <c r="S227" s="1523"/>
      <c r="T227" s="1523"/>
      <c r="U227" s="1523"/>
      <c r="V227" s="1523"/>
      <c r="W227" s="1523"/>
      <c r="X227" s="1523"/>
      <c r="Y227" s="1523"/>
      <c r="Z227" s="1523"/>
    </row>
    <row r="228" spans="1:26" ht="12.75" customHeight="1">
      <c r="A228" s="1523"/>
      <c r="B228" s="1523"/>
      <c r="C228" s="1523"/>
      <c r="D228" s="1523"/>
      <c r="E228" s="1523"/>
      <c r="F228" s="1741"/>
      <c r="G228" s="729"/>
      <c r="H228" s="1523"/>
      <c r="I228" s="1523"/>
      <c r="J228" s="1523"/>
      <c r="K228" s="1523"/>
      <c r="L228" s="1523"/>
      <c r="M228" s="1523"/>
      <c r="N228" s="1523"/>
      <c r="O228" s="1523"/>
      <c r="P228" s="1523"/>
      <c r="Q228" s="1523"/>
      <c r="R228" s="1523"/>
      <c r="S228" s="1523"/>
      <c r="T228" s="1523"/>
      <c r="U228" s="1523"/>
      <c r="V228" s="1523"/>
      <c r="W228" s="1523"/>
      <c r="X228" s="1523"/>
      <c r="Y228" s="1523"/>
      <c r="Z228" s="1523"/>
    </row>
    <row r="229" spans="1:26" ht="12.75" customHeight="1">
      <c r="A229" s="1523"/>
      <c r="B229" s="1523"/>
      <c r="C229" s="1523"/>
      <c r="D229" s="1523"/>
      <c r="E229" s="1523"/>
      <c r="F229" s="1741"/>
      <c r="G229" s="729"/>
      <c r="H229" s="1523"/>
      <c r="I229" s="1523"/>
      <c r="J229" s="1523"/>
      <c r="K229" s="1523"/>
      <c r="L229" s="1523"/>
      <c r="M229" s="1523"/>
      <c r="N229" s="1523"/>
      <c r="O229" s="1523"/>
      <c r="P229" s="1523"/>
      <c r="Q229" s="1523"/>
      <c r="R229" s="1523"/>
      <c r="S229" s="1523"/>
      <c r="T229" s="1523"/>
      <c r="U229" s="1523"/>
      <c r="V229" s="1523"/>
      <c r="W229" s="1523"/>
      <c r="X229" s="1523"/>
      <c r="Y229" s="1523"/>
      <c r="Z229" s="1523"/>
    </row>
    <row r="230" spans="1:26" ht="12.75" customHeight="1">
      <c r="A230" s="1523"/>
      <c r="B230" s="1523"/>
      <c r="C230" s="1523"/>
      <c r="D230" s="1523"/>
      <c r="E230" s="1523"/>
      <c r="F230" s="1741"/>
      <c r="G230" s="729"/>
      <c r="H230" s="1523"/>
      <c r="I230" s="1523"/>
      <c r="J230" s="1523"/>
      <c r="K230" s="1523"/>
      <c r="L230" s="1523"/>
      <c r="M230" s="1523"/>
      <c r="N230" s="1523"/>
      <c r="O230" s="1523"/>
      <c r="P230" s="1523"/>
      <c r="Q230" s="1523"/>
      <c r="R230" s="1523"/>
      <c r="S230" s="1523"/>
      <c r="T230" s="1523"/>
      <c r="U230" s="1523"/>
      <c r="V230" s="1523"/>
      <c r="W230" s="1523"/>
      <c r="X230" s="1523"/>
      <c r="Y230" s="1523"/>
      <c r="Z230" s="1523"/>
    </row>
    <row r="231" spans="1:26" ht="12.75" customHeight="1">
      <c r="A231" s="1523"/>
      <c r="B231" s="1523"/>
      <c r="C231" s="1523"/>
      <c r="D231" s="1523"/>
      <c r="E231" s="1523"/>
      <c r="F231" s="1741"/>
      <c r="G231" s="729"/>
      <c r="H231" s="1523"/>
      <c r="I231" s="1523"/>
      <c r="J231" s="1523"/>
      <c r="K231" s="1523"/>
      <c r="L231" s="1523"/>
      <c r="M231" s="1523"/>
      <c r="N231" s="1523"/>
      <c r="O231" s="1523"/>
      <c r="P231" s="1523"/>
      <c r="Q231" s="1523"/>
      <c r="R231" s="1523"/>
      <c r="S231" s="1523"/>
      <c r="T231" s="1523"/>
      <c r="U231" s="1523"/>
      <c r="V231" s="1523"/>
      <c r="W231" s="1523"/>
      <c r="X231" s="1523"/>
      <c r="Y231" s="1523"/>
      <c r="Z231" s="1523"/>
    </row>
    <row r="232" spans="1:26" ht="12.75" customHeight="1">
      <c r="A232" s="1523"/>
      <c r="B232" s="1523"/>
      <c r="C232" s="1523"/>
      <c r="D232" s="1523"/>
      <c r="E232" s="1523"/>
      <c r="F232" s="1741"/>
      <c r="G232" s="729"/>
      <c r="H232" s="1523"/>
      <c r="I232" s="1523"/>
      <c r="J232" s="1523"/>
      <c r="K232" s="1523"/>
      <c r="L232" s="1523"/>
      <c r="M232" s="1523"/>
      <c r="N232" s="1523"/>
      <c r="O232" s="1523"/>
      <c r="P232" s="1523"/>
      <c r="Q232" s="1523"/>
      <c r="R232" s="1523"/>
      <c r="S232" s="1523"/>
      <c r="T232" s="1523"/>
      <c r="U232" s="1523"/>
      <c r="V232" s="1523"/>
      <c r="W232" s="1523"/>
      <c r="X232" s="1523"/>
      <c r="Y232" s="1523"/>
      <c r="Z232" s="1523"/>
    </row>
    <row r="233" spans="1:26" ht="12.75" customHeight="1">
      <c r="A233" s="1523"/>
      <c r="B233" s="1523"/>
      <c r="C233" s="1523"/>
      <c r="D233" s="1523"/>
      <c r="E233" s="1523"/>
      <c r="F233" s="1741"/>
      <c r="G233" s="729"/>
      <c r="H233" s="1523"/>
      <c r="I233" s="1523"/>
      <c r="J233" s="1523"/>
      <c r="K233" s="1523"/>
      <c r="L233" s="1523"/>
      <c r="M233" s="1523"/>
      <c r="N233" s="1523"/>
      <c r="O233" s="1523"/>
      <c r="P233" s="1523"/>
      <c r="Q233" s="1523"/>
      <c r="R233" s="1523"/>
      <c r="S233" s="1523"/>
      <c r="T233" s="1523"/>
      <c r="U233" s="1523"/>
      <c r="V233" s="1523"/>
      <c r="W233" s="1523"/>
      <c r="X233" s="1523"/>
      <c r="Y233" s="1523"/>
      <c r="Z233" s="1523"/>
    </row>
    <row r="234" spans="1:26" ht="12.75" customHeight="1">
      <c r="A234" s="1523"/>
      <c r="B234" s="1523"/>
      <c r="C234" s="1523"/>
      <c r="D234" s="1523"/>
      <c r="E234" s="1523"/>
      <c r="F234" s="1741"/>
      <c r="G234" s="729"/>
      <c r="H234" s="1523"/>
      <c r="I234" s="1523"/>
      <c r="J234" s="1523"/>
      <c r="K234" s="1523"/>
      <c r="L234" s="1523"/>
      <c r="M234" s="1523"/>
      <c r="N234" s="1523"/>
      <c r="O234" s="1523"/>
      <c r="P234" s="1523"/>
      <c r="Q234" s="1523"/>
      <c r="R234" s="1523"/>
      <c r="S234" s="1523"/>
      <c r="T234" s="1523"/>
      <c r="U234" s="1523"/>
      <c r="V234" s="1523"/>
      <c r="W234" s="1523"/>
      <c r="X234" s="1523"/>
      <c r="Y234" s="1523"/>
      <c r="Z234" s="1523"/>
    </row>
    <row r="235" spans="1:26" ht="12.75" customHeight="1">
      <c r="A235" s="1523"/>
      <c r="B235" s="1523"/>
      <c r="C235" s="1523"/>
      <c r="D235" s="1523"/>
      <c r="E235" s="1523"/>
      <c r="F235" s="1741"/>
      <c r="G235" s="729"/>
      <c r="H235" s="1523"/>
      <c r="I235" s="1523"/>
      <c r="J235" s="1523"/>
      <c r="K235" s="1523"/>
      <c r="L235" s="1523"/>
      <c r="M235" s="1523"/>
      <c r="N235" s="1523"/>
      <c r="O235" s="1523"/>
      <c r="P235" s="1523"/>
      <c r="Q235" s="1523"/>
      <c r="R235" s="1523"/>
      <c r="S235" s="1523"/>
      <c r="T235" s="1523"/>
      <c r="U235" s="1523"/>
      <c r="V235" s="1523"/>
      <c r="W235" s="1523"/>
      <c r="X235" s="1523"/>
      <c r="Y235" s="1523"/>
      <c r="Z235" s="1523"/>
    </row>
    <row r="236" spans="1:26" ht="12.75" customHeight="1">
      <c r="A236" s="1523"/>
      <c r="B236" s="1523"/>
      <c r="C236" s="1523"/>
      <c r="D236" s="1523"/>
      <c r="E236" s="1523"/>
      <c r="F236" s="1741"/>
      <c r="G236" s="729"/>
      <c r="H236" s="1523"/>
      <c r="I236" s="1523"/>
      <c r="J236" s="1523"/>
      <c r="K236" s="1523"/>
      <c r="L236" s="1523"/>
      <c r="M236" s="1523"/>
      <c r="N236" s="1523"/>
      <c r="O236" s="1523"/>
      <c r="P236" s="1523"/>
      <c r="Q236" s="1523"/>
      <c r="R236" s="1523"/>
      <c r="S236" s="1523"/>
      <c r="T236" s="1523"/>
      <c r="U236" s="1523"/>
      <c r="V236" s="1523"/>
      <c r="W236" s="1523"/>
      <c r="X236" s="1523"/>
      <c r="Y236" s="1523"/>
      <c r="Z236" s="1523"/>
    </row>
    <row r="237" spans="1:26" ht="12.75" customHeight="1">
      <c r="A237" s="1523"/>
      <c r="B237" s="1523"/>
      <c r="C237" s="1523"/>
      <c r="D237" s="1523"/>
      <c r="E237" s="1523"/>
      <c r="F237" s="1741"/>
      <c r="G237" s="729"/>
      <c r="H237" s="1523"/>
      <c r="I237" s="1523"/>
      <c r="J237" s="1523"/>
      <c r="K237" s="1523"/>
      <c r="L237" s="1523"/>
      <c r="M237" s="1523"/>
      <c r="N237" s="1523"/>
      <c r="O237" s="1523"/>
      <c r="P237" s="1523"/>
      <c r="Q237" s="1523"/>
      <c r="R237" s="1523"/>
      <c r="S237" s="1523"/>
      <c r="T237" s="1523"/>
      <c r="U237" s="1523"/>
      <c r="V237" s="1523"/>
      <c r="W237" s="1523"/>
      <c r="X237" s="1523"/>
      <c r="Y237" s="1523"/>
      <c r="Z237" s="1523"/>
    </row>
    <row r="238" spans="1:26" ht="12.75" customHeight="1">
      <c r="A238" s="1523"/>
      <c r="B238" s="1523"/>
      <c r="C238" s="1523"/>
      <c r="D238" s="1523"/>
      <c r="E238" s="1523"/>
      <c r="F238" s="1741"/>
      <c r="G238" s="729"/>
      <c r="H238" s="1523"/>
      <c r="I238" s="1523"/>
      <c r="J238" s="1523"/>
      <c r="K238" s="1523"/>
      <c r="L238" s="1523"/>
      <c r="M238" s="1523"/>
      <c r="N238" s="1523"/>
      <c r="O238" s="1523"/>
      <c r="P238" s="1523"/>
      <c r="Q238" s="1523"/>
      <c r="R238" s="1523"/>
      <c r="S238" s="1523"/>
      <c r="T238" s="1523"/>
      <c r="U238" s="1523"/>
      <c r="V238" s="1523"/>
      <c r="W238" s="1523"/>
      <c r="X238" s="1523"/>
      <c r="Y238" s="1523"/>
      <c r="Z238" s="1523"/>
    </row>
    <row r="239" spans="1:26" ht="12.75" customHeight="1">
      <c r="A239" s="1523"/>
      <c r="B239" s="1523"/>
      <c r="C239" s="1523"/>
      <c r="D239" s="1523"/>
      <c r="E239" s="1523"/>
      <c r="F239" s="1741"/>
      <c r="G239" s="729"/>
      <c r="H239" s="1523"/>
      <c r="I239" s="1523"/>
      <c r="J239" s="1523"/>
      <c r="K239" s="1523"/>
      <c r="L239" s="1523"/>
      <c r="M239" s="1523"/>
      <c r="N239" s="1523"/>
      <c r="O239" s="1523"/>
      <c r="P239" s="1523"/>
      <c r="Q239" s="1523"/>
      <c r="R239" s="1523"/>
      <c r="S239" s="1523"/>
      <c r="T239" s="1523"/>
      <c r="U239" s="1523"/>
      <c r="V239" s="1523"/>
      <c r="W239" s="1523"/>
      <c r="X239" s="1523"/>
      <c r="Y239" s="1523"/>
      <c r="Z239" s="1523"/>
    </row>
    <row r="240" spans="1:26" ht="12.75" customHeight="1">
      <c r="A240" s="1523"/>
      <c r="B240" s="1523"/>
      <c r="C240" s="1523"/>
      <c r="D240" s="1523"/>
      <c r="E240" s="1523"/>
      <c r="F240" s="1741"/>
      <c r="G240" s="729"/>
      <c r="H240" s="1523"/>
      <c r="I240" s="1523"/>
      <c r="J240" s="1523"/>
      <c r="K240" s="1523"/>
      <c r="L240" s="1523"/>
      <c r="M240" s="1523"/>
      <c r="N240" s="1523"/>
      <c r="O240" s="1523"/>
      <c r="P240" s="1523"/>
      <c r="Q240" s="1523"/>
      <c r="R240" s="1523"/>
      <c r="S240" s="1523"/>
      <c r="T240" s="1523"/>
      <c r="U240" s="1523"/>
      <c r="V240" s="1523"/>
      <c r="W240" s="1523"/>
      <c r="X240" s="1523"/>
      <c r="Y240" s="1523"/>
      <c r="Z240" s="1523"/>
    </row>
    <row r="241" spans="1:26" ht="12.75" customHeight="1">
      <c r="A241" s="1523"/>
      <c r="B241" s="1523"/>
      <c r="C241" s="1523"/>
      <c r="D241" s="1523"/>
      <c r="E241" s="1523"/>
      <c r="F241" s="1741"/>
      <c r="G241" s="729"/>
      <c r="H241" s="1523"/>
      <c r="I241" s="1523"/>
      <c r="J241" s="1523"/>
      <c r="K241" s="1523"/>
      <c r="L241" s="1523"/>
      <c r="M241" s="1523"/>
      <c r="N241" s="1523"/>
      <c r="O241" s="1523"/>
      <c r="P241" s="1523"/>
      <c r="Q241" s="1523"/>
      <c r="R241" s="1523"/>
      <c r="S241" s="1523"/>
      <c r="T241" s="1523"/>
      <c r="U241" s="1523"/>
      <c r="V241" s="1523"/>
      <c r="W241" s="1523"/>
      <c r="X241" s="1523"/>
      <c r="Y241" s="1523"/>
      <c r="Z241" s="1523"/>
    </row>
    <row r="242" spans="1:26" ht="12.75" customHeight="1">
      <c r="A242" s="1523"/>
      <c r="B242" s="1523"/>
      <c r="C242" s="1523"/>
      <c r="D242" s="1523"/>
      <c r="E242" s="1523"/>
      <c r="F242" s="1741"/>
      <c r="G242" s="729"/>
      <c r="H242" s="1523"/>
      <c r="I242" s="1523"/>
      <c r="J242" s="1523"/>
      <c r="K242" s="1523"/>
      <c r="L242" s="1523"/>
      <c r="M242" s="1523"/>
      <c r="N242" s="1523"/>
      <c r="O242" s="1523"/>
      <c r="P242" s="1523"/>
      <c r="Q242" s="1523"/>
      <c r="R242" s="1523"/>
      <c r="S242" s="1523"/>
      <c r="T242" s="1523"/>
      <c r="U242" s="1523"/>
      <c r="V242" s="1523"/>
      <c r="W242" s="1523"/>
      <c r="X242" s="1523"/>
      <c r="Y242" s="1523"/>
      <c r="Z242" s="1523"/>
    </row>
    <row r="243" spans="1:26" ht="12.75" customHeight="1">
      <c r="A243" s="1523"/>
      <c r="B243" s="1523"/>
      <c r="C243" s="1523"/>
      <c r="D243" s="1523"/>
      <c r="E243" s="1523"/>
      <c r="F243" s="1741"/>
      <c r="G243" s="729"/>
      <c r="H243" s="1523"/>
      <c r="I243" s="1523"/>
      <c r="J243" s="1523"/>
      <c r="K243" s="1523"/>
      <c r="L243" s="1523"/>
      <c r="M243" s="1523"/>
      <c r="N243" s="1523"/>
      <c r="O243" s="1523"/>
      <c r="P243" s="1523"/>
      <c r="Q243" s="1523"/>
      <c r="R243" s="1523"/>
      <c r="S243" s="1523"/>
      <c r="T243" s="1523"/>
      <c r="U243" s="1523"/>
      <c r="V243" s="1523"/>
      <c r="W243" s="1523"/>
      <c r="X243" s="1523"/>
      <c r="Y243" s="1523"/>
      <c r="Z243" s="1523"/>
    </row>
    <row r="244" spans="1:26" ht="12.75" customHeight="1">
      <c r="A244" s="1523"/>
      <c r="B244" s="1523"/>
      <c r="C244" s="1523"/>
      <c r="D244" s="1523"/>
      <c r="E244" s="1523"/>
      <c r="F244" s="1741"/>
      <c r="G244" s="729"/>
      <c r="H244" s="1523"/>
      <c r="I244" s="1523"/>
      <c r="J244" s="1523"/>
      <c r="K244" s="1523"/>
      <c r="L244" s="1523"/>
      <c r="M244" s="1523"/>
      <c r="N244" s="1523"/>
      <c r="O244" s="1523"/>
      <c r="P244" s="1523"/>
      <c r="Q244" s="1523"/>
      <c r="R244" s="1523"/>
      <c r="S244" s="1523"/>
      <c r="T244" s="1523"/>
      <c r="U244" s="1523"/>
      <c r="V244" s="1523"/>
      <c r="W244" s="1523"/>
      <c r="X244" s="1523"/>
      <c r="Y244" s="1523"/>
      <c r="Z244" s="1523"/>
    </row>
    <row r="245" spans="1:26" ht="12.75" customHeight="1">
      <c r="A245" s="1523"/>
      <c r="B245" s="1523"/>
      <c r="C245" s="1523"/>
      <c r="D245" s="1523"/>
      <c r="E245" s="1523"/>
      <c r="F245" s="1741"/>
      <c r="G245" s="729"/>
      <c r="H245" s="1523"/>
      <c r="I245" s="1523"/>
      <c r="J245" s="1523"/>
      <c r="K245" s="1523"/>
      <c r="L245" s="1523"/>
      <c r="M245" s="1523"/>
      <c r="N245" s="1523"/>
      <c r="O245" s="1523"/>
      <c r="P245" s="1523"/>
      <c r="Q245" s="1523"/>
      <c r="R245" s="1523"/>
      <c r="S245" s="1523"/>
      <c r="T245" s="1523"/>
      <c r="U245" s="1523"/>
      <c r="V245" s="1523"/>
      <c r="W245" s="1523"/>
      <c r="X245" s="1523"/>
      <c r="Y245" s="1523"/>
      <c r="Z245" s="1523"/>
    </row>
    <row r="246" spans="1:26" ht="12.75" customHeight="1">
      <c r="A246" s="1523"/>
      <c r="B246" s="1523"/>
      <c r="C246" s="1523"/>
      <c r="D246" s="1523"/>
      <c r="E246" s="1523"/>
      <c r="F246" s="1741"/>
      <c r="G246" s="729"/>
      <c r="H246" s="1523"/>
      <c r="I246" s="1523"/>
      <c r="J246" s="1523"/>
      <c r="K246" s="1523"/>
      <c r="L246" s="1523"/>
      <c r="M246" s="1523"/>
      <c r="N246" s="1523"/>
      <c r="O246" s="1523"/>
      <c r="P246" s="1523"/>
      <c r="Q246" s="1523"/>
      <c r="R246" s="1523"/>
      <c r="S246" s="1523"/>
      <c r="T246" s="1523"/>
      <c r="U246" s="1523"/>
      <c r="V246" s="1523"/>
      <c r="W246" s="1523"/>
      <c r="X246" s="1523"/>
      <c r="Y246" s="1523"/>
      <c r="Z246" s="1523"/>
    </row>
    <row r="247" spans="1:26" ht="12.75" customHeight="1">
      <c r="A247" s="1523"/>
      <c r="B247" s="1523"/>
      <c r="C247" s="1523"/>
      <c r="D247" s="1523"/>
      <c r="E247" s="1523"/>
      <c r="F247" s="1741"/>
      <c r="G247" s="729"/>
      <c r="H247" s="1523"/>
      <c r="I247" s="1523"/>
      <c r="J247" s="1523"/>
      <c r="K247" s="1523"/>
      <c r="L247" s="1523"/>
      <c r="M247" s="1523"/>
      <c r="N247" s="1523"/>
      <c r="O247" s="1523"/>
      <c r="P247" s="1523"/>
      <c r="Q247" s="1523"/>
      <c r="R247" s="1523"/>
      <c r="S247" s="1523"/>
      <c r="T247" s="1523"/>
      <c r="U247" s="1523"/>
      <c r="V247" s="1523"/>
      <c r="W247" s="1523"/>
      <c r="X247" s="1523"/>
      <c r="Y247" s="1523"/>
      <c r="Z247" s="1523"/>
    </row>
    <row r="248" spans="1:26" ht="12.75" customHeight="1">
      <c r="A248" s="1523"/>
      <c r="B248" s="1523"/>
      <c r="C248" s="1523"/>
      <c r="D248" s="1523"/>
      <c r="E248" s="1523"/>
      <c r="F248" s="1741"/>
      <c r="G248" s="729"/>
      <c r="H248" s="1523"/>
      <c r="I248" s="1523"/>
      <c r="J248" s="1523"/>
      <c r="K248" s="1523"/>
      <c r="L248" s="1523"/>
      <c r="M248" s="1523"/>
      <c r="N248" s="1523"/>
      <c r="O248" s="1523"/>
      <c r="P248" s="1523"/>
      <c r="Q248" s="1523"/>
      <c r="R248" s="1523"/>
      <c r="S248" s="1523"/>
      <c r="T248" s="1523"/>
      <c r="U248" s="1523"/>
      <c r="V248" s="1523"/>
      <c r="W248" s="1523"/>
      <c r="X248" s="1523"/>
      <c r="Y248" s="1523"/>
      <c r="Z248" s="1523"/>
    </row>
    <row r="249" spans="1:26" ht="12.75" customHeight="1">
      <c r="A249" s="1523"/>
      <c r="B249" s="1523"/>
      <c r="C249" s="1523"/>
      <c r="D249" s="1523"/>
      <c r="E249" s="1523"/>
      <c r="F249" s="1741"/>
      <c r="G249" s="729"/>
      <c r="H249" s="1523"/>
      <c r="I249" s="1523"/>
      <c r="J249" s="1523"/>
      <c r="K249" s="1523"/>
      <c r="L249" s="1523"/>
      <c r="M249" s="1523"/>
      <c r="N249" s="1523"/>
      <c r="O249" s="1523"/>
      <c r="P249" s="1523"/>
      <c r="Q249" s="1523"/>
      <c r="R249" s="1523"/>
      <c r="S249" s="1523"/>
      <c r="T249" s="1523"/>
      <c r="U249" s="1523"/>
      <c r="V249" s="1523"/>
      <c r="W249" s="1523"/>
      <c r="X249" s="1523"/>
      <c r="Y249" s="1523"/>
      <c r="Z249" s="1523"/>
    </row>
    <row r="250" spans="1:26" ht="12.75" customHeight="1">
      <c r="A250" s="1523"/>
      <c r="B250" s="1523"/>
      <c r="C250" s="1523"/>
      <c r="D250" s="1523"/>
      <c r="E250" s="1523"/>
      <c r="F250" s="1741"/>
      <c r="G250" s="729"/>
      <c r="H250" s="1523"/>
      <c r="I250" s="1523"/>
      <c r="J250" s="1523"/>
      <c r="K250" s="1523"/>
      <c r="L250" s="1523"/>
      <c r="M250" s="1523"/>
      <c r="N250" s="1523"/>
      <c r="O250" s="1523"/>
      <c r="P250" s="1523"/>
      <c r="Q250" s="1523"/>
      <c r="R250" s="1523"/>
      <c r="S250" s="1523"/>
      <c r="T250" s="1523"/>
      <c r="U250" s="1523"/>
      <c r="V250" s="1523"/>
      <c r="W250" s="1523"/>
      <c r="X250" s="1523"/>
      <c r="Y250" s="1523"/>
      <c r="Z250" s="1523"/>
    </row>
    <row r="251" spans="1:26" ht="12.75" customHeight="1">
      <c r="A251" s="1523"/>
      <c r="B251" s="1523"/>
      <c r="C251" s="1523"/>
      <c r="D251" s="1523"/>
      <c r="E251" s="1523"/>
      <c r="F251" s="1741"/>
      <c r="G251" s="729"/>
      <c r="H251" s="1523"/>
      <c r="I251" s="1523"/>
      <c r="J251" s="1523"/>
      <c r="K251" s="1523"/>
      <c r="L251" s="1523"/>
      <c r="M251" s="1523"/>
      <c r="N251" s="1523"/>
      <c r="O251" s="1523"/>
      <c r="P251" s="1523"/>
      <c r="Q251" s="1523"/>
      <c r="R251" s="1523"/>
      <c r="S251" s="1523"/>
      <c r="T251" s="1523"/>
      <c r="U251" s="1523"/>
      <c r="V251" s="1523"/>
      <c r="W251" s="1523"/>
      <c r="X251" s="1523"/>
      <c r="Y251" s="1523"/>
      <c r="Z251" s="1523"/>
    </row>
    <row r="252" spans="1:26" ht="12.75" customHeight="1">
      <c r="A252" s="1523"/>
      <c r="B252" s="1523"/>
      <c r="C252" s="1523"/>
      <c r="D252" s="1523"/>
      <c r="E252" s="1523"/>
      <c r="F252" s="1741"/>
      <c r="G252" s="729"/>
      <c r="H252" s="1523"/>
      <c r="I252" s="1523"/>
      <c r="J252" s="1523"/>
      <c r="K252" s="1523"/>
      <c r="L252" s="1523"/>
      <c r="M252" s="1523"/>
      <c r="N252" s="1523"/>
      <c r="O252" s="1523"/>
      <c r="P252" s="1523"/>
      <c r="Q252" s="1523"/>
      <c r="R252" s="1523"/>
      <c r="S252" s="1523"/>
      <c r="T252" s="1523"/>
      <c r="U252" s="1523"/>
      <c r="V252" s="1523"/>
      <c r="W252" s="1523"/>
      <c r="X252" s="1523"/>
      <c r="Y252" s="1523"/>
      <c r="Z252" s="1523"/>
    </row>
    <row r="253" spans="1:26" ht="12.75" customHeight="1">
      <c r="A253" s="1523"/>
      <c r="B253" s="1523"/>
      <c r="C253" s="1523"/>
      <c r="D253" s="1523"/>
      <c r="E253" s="1523"/>
      <c r="F253" s="1741"/>
      <c r="G253" s="729"/>
      <c r="H253" s="1523"/>
      <c r="I253" s="1523"/>
      <c r="J253" s="1523"/>
      <c r="K253" s="1523"/>
      <c r="L253" s="1523"/>
      <c r="M253" s="1523"/>
      <c r="N253" s="1523"/>
      <c r="O253" s="1523"/>
      <c r="P253" s="1523"/>
      <c r="Q253" s="1523"/>
      <c r="R253" s="1523"/>
      <c r="S253" s="1523"/>
      <c r="T253" s="1523"/>
      <c r="U253" s="1523"/>
      <c r="V253" s="1523"/>
      <c r="W253" s="1523"/>
      <c r="X253" s="1523"/>
      <c r="Y253" s="1523"/>
      <c r="Z253" s="1523"/>
    </row>
    <row r="254" spans="1:26" ht="12.75" customHeight="1">
      <c r="A254" s="1523"/>
      <c r="B254" s="1523"/>
      <c r="C254" s="1523"/>
      <c r="D254" s="1523"/>
      <c r="E254" s="1523"/>
      <c r="F254" s="1741"/>
      <c r="G254" s="729"/>
      <c r="H254" s="1523"/>
      <c r="I254" s="1523"/>
      <c r="J254" s="1523"/>
      <c r="K254" s="1523"/>
      <c r="L254" s="1523"/>
      <c r="M254" s="1523"/>
      <c r="N254" s="1523"/>
      <c r="O254" s="1523"/>
      <c r="P254" s="1523"/>
      <c r="Q254" s="1523"/>
      <c r="R254" s="1523"/>
      <c r="S254" s="1523"/>
      <c r="T254" s="1523"/>
      <c r="U254" s="1523"/>
      <c r="V254" s="1523"/>
      <c r="W254" s="1523"/>
      <c r="X254" s="1523"/>
      <c r="Y254" s="1523"/>
      <c r="Z254" s="1523"/>
    </row>
    <row r="255" spans="1:26" ht="12.75" customHeight="1">
      <c r="A255" s="1523"/>
      <c r="B255" s="1523"/>
      <c r="C255" s="1523"/>
      <c r="D255" s="1523"/>
      <c r="E255" s="1523"/>
      <c r="F255" s="1741"/>
      <c r="G255" s="729"/>
      <c r="H255" s="1523"/>
      <c r="I255" s="1523"/>
      <c r="J255" s="1523"/>
      <c r="K255" s="1523"/>
      <c r="L255" s="1523"/>
      <c r="M255" s="1523"/>
      <c r="N255" s="1523"/>
      <c r="O255" s="1523"/>
      <c r="P255" s="1523"/>
      <c r="Q255" s="1523"/>
      <c r="R255" s="1523"/>
      <c r="S255" s="1523"/>
      <c r="T255" s="1523"/>
      <c r="U255" s="1523"/>
      <c r="V255" s="1523"/>
      <c r="W255" s="1523"/>
      <c r="X255" s="1523"/>
      <c r="Y255" s="1523"/>
      <c r="Z255" s="1523"/>
    </row>
    <row r="256" spans="1:26" ht="12.75" customHeight="1">
      <c r="A256" s="1523"/>
      <c r="B256" s="1523"/>
      <c r="C256" s="1523"/>
      <c r="D256" s="1523"/>
      <c r="E256" s="1523"/>
      <c r="F256" s="1741"/>
      <c r="G256" s="729"/>
      <c r="H256" s="1523"/>
      <c r="I256" s="1523"/>
      <c r="J256" s="1523"/>
      <c r="K256" s="1523"/>
      <c r="L256" s="1523"/>
      <c r="M256" s="1523"/>
      <c r="N256" s="1523"/>
      <c r="O256" s="1523"/>
      <c r="P256" s="1523"/>
      <c r="Q256" s="1523"/>
      <c r="R256" s="1523"/>
      <c r="S256" s="1523"/>
      <c r="T256" s="1523"/>
      <c r="U256" s="1523"/>
      <c r="V256" s="1523"/>
      <c r="W256" s="1523"/>
      <c r="X256" s="1523"/>
      <c r="Y256" s="1523"/>
      <c r="Z256" s="1523"/>
    </row>
    <row r="257" spans="1:26" ht="12.75" customHeight="1">
      <c r="A257" s="1523"/>
      <c r="B257" s="1523"/>
      <c r="C257" s="1523"/>
      <c r="D257" s="1523"/>
      <c r="E257" s="1523"/>
      <c r="F257" s="1741"/>
      <c r="G257" s="729"/>
      <c r="H257" s="1523"/>
      <c r="I257" s="1523"/>
      <c r="J257" s="1523"/>
      <c r="K257" s="1523"/>
      <c r="L257" s="1523"/>
      <c r="M257" s="1523"/>
      <c r="N257" s="1523"/>
      <c r="O257" s="1523"/>
      <c r="P257" s="1523"/>
      <c r="Q257" s="1523"/>
      <c r="R257" s="1523"/>
      <c r="S257" s="1523"/>
      <c r="T257" s="1523"/>
      <c r="U257" s="1523"/>
      <c r="V257" s="1523"/>
      <c r="W257" s="1523"/>
      <c r="X257" s="1523"/>
      <c r="Y257" s="1523"/>
      <c r="Z257" s="1523"/>
    </row>
    <row r="258" spans="1:26" ht="12.75" customHeight="1">
      <c r="A258" s="1523"/>
      <c r="B258" s="1523"/>
      <c r="C258" s="1523"/>
      <c r="D258" s="1523"/>
      <c r="E258" s="1523"/>
      <c r="F258" s="1741"/>
      <c r="G258" s="729"/>
      <c r="H258" s="1523"/>
      <c r="I258" s="1523"/>
      <c r="J258" s="1523"/>
      <c r="K258" s="1523"/>
      <c r="L258" s="1523"/>
      <c r="M258" s="1523"/>
      <c r="N258" s="1523"/>
      <c r="O258" s="1523"/>
      <c r="P258" s="1523"/>
      <c r="Q258" s="1523"/>
      <c r="R258" s="1523"/>
      <c r="S258" s="1523"/>
      <c r="T258" s="1523"/>
      <c r="U258" s="1523"/>
      <c r="V258" s="1523"/>
      <c r="W258" s="1523"/>
      <c r="X258" s="1523"/>
      <c r="Y258" s="1523"/>
      <c r="Z258" s="1523"/>
    </row>
    <row r="259" spans="1:26" ht="12.75" customHeight="1">
      <c r="A259" s="1523"/>
      <c r="B259" s="1523"/>
      <c r="C259" s="1523"/>
      <c r="D259" s="1523"/>
      <c r="E259" s="1523"/>
      <c r="F259" s="1741"/>
      <c r="G259" s="729"/>
      <c r="H259" s="1523"/>
      <c r="I259" s="1523"/>
      <c r="J259" s="1523"/>
      <c r="K259" s="1523"/>
      <c r="L259" s="1523"/>
      <c r="M259" s="1523"/>
      <c r="N259" s="1523"/>
      <c r="O259" s="1523"/>
      <c r="P259" s="1523"/>
      <c r="Q259" s="1523"/>
      <c r="R259" s="1523"/>
      <c r="S259" s="1523"/>
      <c r="T259" s="1523"/>
      <c r="U259" s="1523"/>
      <c r="V259" s="1523"/>
      <c r="W259" s="1523"/>
      <c r="X259" s="1523"/>
      <c r="Y259" s="1523"/>
      <c r="Z259" s="1523"/>
    </row>
    <row r="260" spans="1:26" ht="12.75" customHeight="1">
      <c r="A260" s="1523"/>
      <c r="B260" s="1523"/>
      <c r="C260" s="1523"/>
      <c r="D260" s="1523"/>
      <c r="E260" s="1523"/>
      <c r="F260" s="1741"/>
      <c r="G260" s="729"/>
      <c r="H260" s="1523"/>
      <c r="I260" s="1523"/>
      <c r="J260" s="1523"/>
      <c r="K260" s="1523"/>
      <c r="L260" s="1523"/>
      <c r="M260" s="1523"/>
      <c r="N260" s="1523"/>
      <c r="O260" s="1523"/>
      <c r="P260" s="1523"/>
      <c r="Q260" s="1523"/>
      <c r="R260" s="1523"/>
      <c r="S260" s="1523"/>
      <c r="T260" s="1523"/>
      <c r="U260" s="1523"/>
      <c r="V260" s="1523"/>
      <c r="W260" s="1523"/>
      <c r="X260" s="1523"/>
      <c r="Y260" s="1523"/>
      <c r="Z260" s="1523"/>
    </row>
    <row r="261" spans="1:26" ht="12.75" customHeight="1">
      <c r="A261" s="1523"/>
      <c r="B261" s="1523"/>
      <c r="C261" s="1523"/>
      <c r="D261" s="1523"/>
      <c r="E261" s="1523"/>
      <c r="F261" s="1741"/>
      <c r="G261" s="729"/>
      <c r="H261" s="1523"/>
      <c r="I261" s="1523"/>
      <c r="J261" s="1523"/>
      <c r="K261" s="1523"/>
      <c r="L261" s="1523"/>
      <c r="M261" s="1523"/>
      <c r="N261" s="1523"/>
      <c r="O261" s="1523"/>
      <c r="P261" s="1523"/>
      <c r="Q261" s="1523"/>
      <c r="R261" s="1523"/>
      <c r="S261" s="1523"/>
      <c r="T261" s="1523"/>
      <c r="U261" s="1523"/>
      <c r="V261" s="1523"/>
      <c r="W261" s="1523"/>
      <c r="X261" s="1523"/>
      <c r="Y261" s="1523"/>
      <c r="Z261" s="1523"/>
    </row>
    <row r="262" spans="1:26" ht="12.75" customHeight="1">
      <c r="A262" s="1523"/>
      <c r="B262" s="1523"/>
      <c r="C262" s="1523"/>
      <c r="D262" s="1523"/>
      <c r="E262" s="1523"/>
      <c r="F262" s="1741"/>
      <c r="G262" s="729"/>
      <c r="H262" s="1523"/>
      <c r="I262" s="1523"/>
      <c r="J262" s="1523"/>
      <c r="K262" s="1523"/>
      <c r="L262" s="1523"/>
      <c r="M262" s="1523"/>
      <c r="N262" s="1523"/>
      <c r="O262" s="1523"/>
      <c r="P262" s="1523"/>
      <c r="Q262" s="1523"/>
      <c r="R262" s="1523"/>
      <c r="S262" s="1523"/>
      <c r="T262" s="1523"/>
      <c r="U262" s="1523"/>
      <c r="V262" s="1523"/>
      <c r="W262" s="1523"/>
      <c r="X262" s="1523"/>
      <c r="Y262" s="1523"/>
      <c r="Z262" s="1523"/>
    </row>
    <row r="263" spans="1:26" ht="12.75" customHeight="1">
      <c r="A263" s="1523"/>
      <c r="B263" s="1523"/>
      <c r="C263" s="1523"/>
      <c r="D263" s="1523"/>
      <c r="E263" s="1523"/>
      <c r="F263" s="1741"/>
      <c r="G263" s="729"/>
      <c r="H263" s="1523"/>
      <c r="I263" s="1523"/>
      <c r="J263" s="1523"/>
      <c r="K263" s="1523"/>
      <c r="L263" s="1523"/>
      <c r="M263" s="1523"/>
      <c r="N263" s="1523"/>
      <c r="O263" s="1523"/>
      <c r="P263" s="1523"/>
      <c r="Q263" s="1523"/>
      <c r="R263" s="1523"/>
      <c r="S263" s="1523"/>
      <c r="T263" s="1523"/>
      <c r="U263" s="1523"/>
      <c r="V263" s="1523"/>
      <c r="W263" s="1523"/>
      <c r="X263" s="1523"/>
      <c r="Y263" s="1523"/>
      <c r="Z263" s="1523"/>
    </row>
    <row r="264" spans="1:26" ht="12.75" customHeight="1">
      <c r="A264" s="1523"/>
      <c r="B264" s="1523"/>
      <c r="C264" s="1523"/>
      <c r="D264" s="1523"/>
      <c r="E264" s="1523"/>
      <c r="F264" s="1741"/>
      <c r="G264" s="729"/>
      <c r="H264" s="1523"/>
      <c r="I264" s="1523"/>
      <c r="J264" s="1523"/>
      <c r="K264" s="1523"/>
      <c r="L264" s="1523"/>
      <c r="M264" s="1523"/>
      <c r="N264" s="1523"/>
      <c r="O264" s="1523"/>
      <c r="P264" s="1523"/>
      <c r="Q264" s="1523"/>
      <c r="R264" s="1523"/>
      <c r="S264" s="1523"/>
      <c r="T264" s="1523"/>
      <c r="U264" s="1523"/>
      <c r="V264" s="1523"/>
      <c r="W264" s="1523"/>
      <c r="X264" s="1523"/>
      <c r="Y264" s="1523"/>
      <c r="Z264" s="1523"/>
    </row>
    <row r="265" spans="1:26" ht="12.75" customHeight="1">
      <c r="A265" s="1523"/>
      <c r="B265" s="1523"/>
      <c r="C265" s="1523"/>
      <c r="D265" s="1523"/>
      <c r="E265" s="1523"/>
      <c r="F265" s="1741"/>
      <c r="G265" s="729"/>
      <c r="H265" s="1523"/>
      <c r="I265" s="1523"/>
      <c r="J265" s="1523"/>
      <c r="K265" s="1523"/>
      <c r="L265" s="1523"/>
      <c r="M265" s="1523"/>
      <c r="N265" s="1523"/>
      <c r="O265" s="1523"/>
      <c r="P265" s="1523"/>
      <c r="Q265" s="1523"/>
      <c r="R265" s="1523"/>
      <c r="S265" s="1523"/>
      <c r="T265" s="1523"/>
      <c r="U265" s="1523"/>
      <c r="V265" s="1523"/>
      <c r="W265" s="1523"/>
      <c r="X265" s="1523"/>
      <c r="Y265" s="1523"/>
      <c r="Z265" s="1523"/>
    </row>
    <row r="266" spans="1:26" ht="12.75" customHeight="1">
      <c r="A266" s="1523"/>
      <c r="B266" s="1523"/>
      <c r="C266" s="1523"/>
      <c r="D266" s="1523"/>
      <c r="E266" s="1523"/>
      <c r="F266" s="1741"/>
      <c r="G266" s="729"/>
      <c r="H266" s="1523"/>
      <c r="I266" s="1523"/>
      <c r="J266" s="1523"/>
      <c r="K266" s="1523"/>
      <c r="L266" s="1523"/>
      <c r="M266" s="1523"/>
      <c r="N266" s="1523"/>
      <c r="O266" s="1523"/>
      <c r="P266" s="1523"/>
      <c r="Q266" s="1523"/>
      <c r="R266" s="1523"/>
      <c r="S266" s="1523"/>
      <c r="T266" s="1523"/>
      <c r="U266" s="1523"/>
      <c r="V266" s="1523"/>
      <c r="W266" s="1523"/>
      <c r="X266" s="1523"/>
      <c r="Y266" s="1523"/>
      <c r="Z266" s="1523"/>
    </row>
    <row r="267" spans="1:26" ht="12.75" customHeight="1">
      <c r="A267" s="1523"/>
      <c r="B267" s="1523"/>
      <c r="C267" s="1523"/>
      <c r="D267" s="1523"/>
      <c r="E267" s="1523"/>
      <c r="F267" s="1741"/>
      <c r="G267" s="729"/>
      <c r="H267" s="1523"/>
      <c r="I267" s="1523"/>
      <c r="J267" s="1523"/>
      <c r="K267" s="1523"/>
      <c r="L267" s="1523"/>
      <c r="M267" s="1523"/>
      <c r="N267" s="1523"/>
      <c r="O267" s="1523"/>
      <c r="P267" s="1523"/>
      <c r="Q267" s="1523"/>
      <c r="R267" s="1523"/>
      <c r="S267" s="1523"/>
      <c r="T267" s="1523"/>
      <c r="U267" s="1523"/>
      <c r="V267" s="1523"/>
      <c r="W267" s="1523"/>
      <c r="X267" s="1523"/>
      <c r="Y267" s="1523"/>
      <c r="Z267" s="1523"/>
    </row>
    <row r="268" spans="1:26" ht="12.75" customHeight="1">
      <c r="A268" s="1523"/>
      <c r="B268" s="1523"/>
      <c r="C268" s="1523"/>
      <c r="D268" s="1523"/>
      <c r="E268" s="1523"/>
      <c r="F268" s="1741"/>
      <c r="G268" s="729"/>
      <c r="H268" s="1523"/>
      <c r="I268" s="1523"/>
      <c r="J268" s="1523"/>
      <c r="K268" s="1523"/>
      <c r="L268" s="1523"/>
      <c r="M268" s="1523"/>
      <c r="N268" s="1523"/>
      <c r="O268" s="1523"/>
      <c r="P268" s="1523"/>
      <c r="Q268" s="1523"/>
      <c r="R268" s="1523"/>
      <c r="S268" s="1523"/>
      <c r="T268" s="1523"/>
      <c r="U268" s="1523"/>
      <c r="V268" s="1523"/>
      <c r="W268" s="1523"/>
      <c r="X268" s="1523"/>
      <c r="Y268" s="1523"/>
      <c r="Z268" s="1523"/>
    </row>
    <row r="269" spans="1:26" ht="12.75" customHeight="1">
      <c r="A269" s="1523"/>
      <c r="B269" s="1523"/>
      <c r="C269" s="1523"/>
      <c r="D269" s="1523"/>
      <c r="E269" s="1523"/>
      <c r="F269" s="1741"/>
      <c r="G269" s="729"/>
      <c r="H269" s="1523"/>
      <c r="I269" s="1523"/>
      <c r="J269" s="1523"/>
      <c r="K269" s="1523"/>
      <c r="L269" s="1523"/>
      <c r="M269" s="1523"/>
      <c r="N269" s="1523"/>
      <c r="O269" s="1523"/>
      <c r="P269" s="1523"/>
      <c r="Q269" s="1523"/>
      <c r="R269" s="1523"/>
      <c r="S269" s="1523"/>
      <c r="T269" s="1523"/>
      <c r="U269" s="1523"/>
      <c r="V269" s="1523"/>
      <c r="W269" s="1523"/>
      <c r="X269" s="1523"/>
      <c r="Y269" s="1523"/>
      <c r="Z269" s="1523"/>
    </row>
    <row r="270" spans="1:26" ht="12.75" customHeight="1">
      <c r="A270" s="1523"/>
      <c r="B270" s="1523"/>
      <c r="C270" s="1523"/>
      <c r="D270" s="1523"/>
      <c r="E270" s="1523"/>
      <c r="F270" s="1741"/>
      <c r="G270" s="729"/>
      <c r="H270" s="1523"/>
      <c r="I270" s="1523"/>
      <c r="J270" s="1523"/>
      <c r="K270" s="1523"/>
      <c r="L270" s="1523"/>
      <c r="M270" s="1523"/>
      <c r="N270" s="1523"/>
      <c r="O270" s="1523"/>
      <c r="P270" s="1523"/>
      <c r="Q270" s="1523"/>
      <c r="R270" s="1523"/>
      <c r="S270" s="1523"/>
      <c r="T270" s="1523"/>
      <c r="U270" s="1523"/>
      <c r="V270" s="1523"/>
      <c r="W270" s="1523"/>
      <c r="X270" s="1523"/>
      <c r="Y270" s="1523"/>
      <c r="Z270" s="1523"/>
    </row>
    <row r="271" spans="1:26" ht="12.75" customHeight="1">
      <c r="A271" s="1523"/>
      <c r="B271" s="1523"/>
      <c r="C271" s="1523"/>
      <c r="D271" s="1523"/>
      <c r="E271" s="1523"/>
      <c r="F271" s="1741"/>
      <c r="G271" s="729"/>
      <c r="H271" s="1523"/>
      <c r="I271" s="1523"/>
      <c r="J271" s="1523"/>
      <c r="K271" s="1523"/>
      <c r="L271" s="1523"/>
      <c r="M271" s="1523"/>
      <c r="N271" s="1523"/>
      <c r="O271" s="1523"/>
      <c r="P271" s="1523"/>
      <c r="Q271" s="1523"/>
      <c r="R271" s="1523"/>
      <c r="S271" s="1523"/>
      <c r="T271" s="1523"/>
      <c r="U271" s="1523"/>
      <c r="V271" s="1523"/>
      <c r="W271" s="1523"/>
      <c r="X271" s="1523"/>
      <c r="Y271" s="1523"/>
      <c r="Z271" s="1523"/>
    </row>
    <row r="272" spans="1:26" ht="12.75" customHeight="1">
      <c r="A272" s="1523"/>
      <c r="B272" s="1523"/>
      <c r="C272" s="1523"/>
      <c r="D272" s="1523"/>
      <c r="E272" s="1523"/>
      <c r="F272" s="1741"/>
      <c r="G272" s="729"/>
      <c r="H272" s="1523"/>
      <c r="I272" s="1523"/>
      <c r="J272" s="1523"/>
      <c r="K272" s="1523"/>
      <c r="L272" s="1523"/>
      <c r="M272" s="1523"/>
      <c r="N272" s="1523"/>
      <c r="O272" s="1523"/>
      <c r="P272" s="1523"/>
      <c r="Q272" s="1523"/>
      <c r="R272" s="1523"/>
      <c r="S272" s="1523"/>
      <c r="T272" s="1523"/>
      <c r="U272" s="1523"/>
      <c r="V272" s="1523"/>
      <c r="W272" s="1523"/>
      <c r="X272" s="1523"/>
      <c r="Y272" s="1523"/>
      <c r="Z272" s="1523"/>
    </row>
    <row r="273" spans="1:26" ht="12.75" customHeight="1">
      <c r="A273" s="1523"/>
      <c r="B273" s="1523"/>
      <c r="C273" s="1523"/>
      <c r="D273" s="1523"/>
      <c r="E273" s="1523"/>
      <c r="F273" s="1741"/>
      <c r="G273" s="729"/>
      <c r="H273" s="1523"/>
      <c r="I273" s="1523"/>
      <c r="J273" s="1523"/>
      <c r="K273" s="1523"/>
      <c r="L273" s="1523"/>
      <c r="M273" s="1523"/>
      <c r="N273" s="1523"/>
      <c r="O273" s="1523"/>
      <c r="P273" s="1523"/>
      <c r="Q273" s="1523"/>
      <c r="R273" s="1523"/>
      <c r="S273" s="1523"/>
      <c r="T273" s="1523"/>
      <c r="U273" s="1523"/>
      <c r="V273" s="1523"/>
      <c r="W273" s="1523"/>
      <c r="X273" s="1523"/>
      <c r="Y273" s="1523"/>
      <c r="Z273" s="1523"/>
    </row>
    <row r="274" spans="1:26" ht="12.75" customHeight="1">
      <c r="A274" s="1523"/>
      <c r="B274" s="1523"/>
      <c r="C274" s="1523"/>
      <c r="D274" s="1523"/>
      <c r="E274" s="1523"/>
      <c r="F274" s="1741"/>
      <c r="G274" s="729"/>
      <c r="H274" s="1523"/>
      <c r="I274" s="1523"/>
      <c r="J274" s="1523"/>
      <c r="K274" s="1523"/>
      <c r="L274" s="1523"/>
      <c r="M274" s="1523"/>
      <c r="N274" s="1523"/>
      <c r="O274" s="1523"/>
      <c r="P274" s="1523"/>
      <c r="Q274" s="1523"/>
      <c r="R274" s="1523"/>
      <c r="S274" s="1523"/>
      <c r="T274" s="1523"/>
      <c r="U274" s="1523"/>
      <c r="V274" s="1523"/>
      <c r="W274" s="1523"/>
      <c r="X274" s="1523"/>
      <c r="Y274" s="1523"/>
      <c r="Z274" s="1523"/>
    </row>
    <row r="275" spans="1:26" ht="12.75" customHeight="1">
      <c r="A275" s="1523"/>
      <c r="B275" s="1523"/>
      <c r="C275" s="1523"/>
      <c r="D275" s="1523"/>
      <c r="E275" s="1523"/>
      <c r="F275" s="1741"/>
      <c r="G275" s="729"/>
      <c r="H275" s="1523"/>
      <c r="I275" s="1523"/>
      <c r="J275" s="1523"/>
      <c r="K275" s="1523"/>
      <c r="L275" s="1523"/>
      <c r="M275" s="1523"/>
      <c r="N275" s="1523"/>
      <c r="O275" s="1523"/>
      <c r="P275" s="1523"/>
      <c r="Q275" s="1523"/>
      <c r="R275" s="1523"/>
      <c r="S275" s="1523"/>
      <c r="T275" s="1523"/>
      <c r="U275" s="1523"/>
      <c r="V275" s="1523"/>
      <c r="W275" s="1523"/>
      <c r="X275" s="1523"/>
      <c r="Y275" s="1523"/>
      <c r="Z275" s="1523"/>
    </row>
    <row r="276" spans="1:26" ht="12.75" customHeight="1">
      <c r="A276" s="1523"/>
      <c r="B276" s="1523"/>
      <c r="C276" s="1523"/>
      <c r="D276" s="1523"/>
      <c r="E276" s="1523"/>
      <c r="F276" s="1741"/>
      <c r="G276" s="729"/>
      <c r="H276" s="1523"/>
      <c r="I276" s="1523"/>
      <c r="J276" s="1523"/>
      <c r="K276" s="1523"/>
      <c r="L276" s="1523"/>
      <c r="M276" s="1523"/>
      <c r="N276" s="1523"/>
      <c r="O276" s="1523"/>
      <c r="P276" s="1523"/>
      <c r="Q276" s="1523"/>
      <c r="R276" s="1523"/>
      <c r="S276" s="1523"/>
      <c r="T276" s="1523"/>
      <c r="U276" s="1523"/>
      <c r="V276" s="1523"/>
      <c r="W276" s="1523"/>
      <c r="X276" s="1523"/>
      <c r="Y276" s="1523"/>
      <c r="Z276" s="1523"/>
    </row>
    <row r="277" spans="1:26" ht="12.75" customHeight="1">
      <c r="A277" s="1523"/>
      <c r="B277" s="1523"/>
      <c r="C277" s="1523"/>
      <c r="D277" s="1523"/>
      <c r="E277" s="1523"/>
      <c r="F277" s="1741"/>
      <c r="G277" s="729"/>
      <c r="H277" s="1523"/>
      <c r="I277" s="1523"/>
      <c r="J277" s="1523"/>
      <c r="K277" s="1523"/>
      <c r="L277" s="1523"/>
      <c r="M277" s="1523"/>
      <c r="N277" s="1523"/>
      <c r="O277" s="1523"/>
      <c r="P277" s="1523"/>
      <c r="Q277" s="1523"/>
      <c r="R277" s="1523"/>
      <c r="S277" s="1523"/>
      <c r="T277" s="1523"/>
      <c r="U277" s="1523"/>
      <c r="V277" s="1523"/>
      <c r="W277" s="1523"/>
      <c r="X277" s="1523"/>
      <c r="Y277" s="1523"/>
      <c r="Z277" s="1523"/>
    </row>
    <row r="278" spans="1:26" ht="12.75" customHeight="1">
      <c r="A278" s="1523"/>
      <c r="B278" s="1523"/>
      <c r="C278" s="1523"/>
      <c r="D278" s="1523"/>
      <c r="E278" s="1523"/>
      <c r="F278" s="1741"/>
      <c r="G278" s="729"/>
      <c r="H278" s="1523"/>
      <c r="I278" s="1523"/>
      <c r="J278" s="1523"/>
      <c r="K278" s="1523"/>
      <c r="L278" s="1523"/>
      <c r="M278" s="1523"/>
      <c r="N278" s="1523"/>
      <c r="O278" s="1523"/>
      <c r="P278" s="1523"/>
      <c r="Q278" s="1523"/>
      <c r="R278" s="1523"/>
      <c r="S278" s="1523"/>
      <c r="T278" s="1523"/>
      <c r="U278" s="1523"/>
      <c r="V278" s="1523"/>
      <c r="W278" s="1523"/>
      <c r="X278" s="1523"/>
      <c r="Y278" s="1523"/>
      <c r="Z278" s="1523"/>
    </row>
    <row r="279" spans="1:26" ht="12.75" customHeight="1">
      <c r="A279" s="1523"/>
      <c r="B279" s="1523"/>
      <c r="C279" s="1523"/>
      <c r="D279" s="1523"/>
      <c r="E279" s="1523"/>
      <c r="F279" s="1741"/>
      <c r="G279" s="729"/>
      <c r="H279" s="1523"/>
      <c r="I279" s="1523"/>
      <c r="J279" s="1523"/>
      <c r="K279" s="1523"/>
      <c r="L279" s="1523"/>
      <c r="M279" s="1523"/>
      <c r="N279" s="1523"/>
      <c r="O279" s="1523"/>
      <c r="P279" s="1523"/>
      <c r="Q279" s="1523"/>
      <c r="R279" s="1523"/>
      <c r="S279" s="1523"/>
      <c r="T279" s="1523"/>
      <c r="U279" s="1523"/>
      <c r="V279" s="1523"/>
      <c r="W279" s="1523"/>
      <c r="X279" s="1523"/>
      <c r="Y279" s="1523"/>
      <c r="Z279" s="1523"/>
    </row>
    <row r="280" spans="1:26" ht="12.75" customHeight="1">
      <c r="A280" s="1523"/>
      <c r="B280" s="1523"/>
      <c r="C280" s="1523"/>
      <c r="D280" s="1523"/>
      <c r="E280" s="1523"/>
      <c r="F280" s="1741"/>
      <c r="G280" s="729"/>
      <c r="H280" s="1523"/>
      <c r="I280" s="1523"/>
      <c r="J280" s="1523"/>
      <c r="K280" s="1523"/>
      <c r="L280" s="1523"/>
      <c r="M280" s="1523"/>
      <c r="N280" s="1523"/>
      <c r="O280" s="1523"/>
      <c r="P280" s="1523"/>
      <c r="Q280" s="1523"/>
      <c r="R280" s="1523"/>
      <c r="S280" s="1523"/>
      <c r="T280" s="1523"/>
      <c r="U280" s="1523"/>
      <c r="V280" s="1523"/>
      <c r="W280" s="1523"/>
      <c r="X280" s="1523"/>
      <c r="Y280" s="1523"/>
      <c r="Z280" s="1523"/>
    </row>
    <row r="281" spans="1:26" ht="12.75" customHeight="1">
      <c r="A281" s="1523"/>
      <c r="B281" s="1523"/>
      <c r="C281" s="1523"/>
      <c r="D281" s="1523"/>
      <c r="E281" s="1523"/>
      <c r="F281" s="1741"/>
      <c r="G281" s="729"/>
      <c r="H281" s="1523"/>
      <c r="I281" s="1523"/>
      <c r="J281" s="1523"/>
      <c r="K281" s="1523"/>
      <c r="L281" s="1523"/>
      <c r="M281" s="1523"/>
      <c r="N281" s="1523"/>
      <c r="O281" s="1523"/>
      <c r="P281" s="1523"/>
      <c r="Q281" s="1523"/>
      <c r="R281" s="1523"/>
      <c r="S281" s="1523"/>
      <c r="T281" s="1523"/>
      <c r="U281" s="1523"/>
      <c r="V281" s="1523"/>
      <c r="W281" s="1523"/>
      <c r="X281" s="1523"/>
      <c r="Y281" s="1523"/>
      <c r="Z281" s="1523"/>
    </row>
    <row r="282" spans="1:26" ht="12.75" customHeight="1">
      <c r="A282" s="1523"/>
      <c r="B282" s="1523"/>
      <c r="C282" s="1523"/>
      <c r="D282" s="1523"/>
      <c r="E282" s="1523"/>
      <c r="F282" s="1741"/>
      <c r="G282" s="729"/>
      <c r="H282" s="1523"/>
      <c r="I282" s="1523"/>
      <c r="J282" s="1523"/>
      <c r="K282" s="1523"/>
      <c r="L282" s="1523"/>
      <c r="M282" s="1523"/>
      <c r="N282" s="1523"/>
      <c r="O282" s="1523"/>
      <c r="P282" s="1523"/>
      <c r="Q282" s="1523"/>
      <c r="R282" s="1523"/>
      <c r="S282" s="1523"/>
      <c r="T282" s="1523"/>
      <c r="U282" s="1523"/>
      <c r="V282" s="1523"/>
      <c r="W282" s="1523"/>
      <c r="X282" s="1523"/>
      <c r="Y282" s="1523"/>
      <c r="Z282" s="1523"/>
    </row>
    <row r="283" spans="1:26" ht="12.75" customHeight="1">
      <c r="A283" s="1523"/>
      <c r="B283" s="1523"/>
      <c r="C283" s="1523"/>
      <c r="D283" s="1523"/>
      <c r="E283" s="1523"/>
      <c r="F283" s="1741"/>
      <c r="G283" s="729"/>
      <c r="H283" s="1523"/>
      <c r="I283" s="1523"/>
      <c r="J283" s="1523"/>
      <c r="K283" s="1523"/>
      <c r="L283" s="1523"/>
      <c r="M283" s="1523"/>
      <c r="N283" s="1523"/>
      <c r="O283" s="1523"/>
      <c r="P283" s="1523"/>
      <c r="Q283" s="1523"/>
      <c r="R283" s="1523"/>
      <c r="S283" s="1523"/>
      <c r="T283" s="1523"/>
      <c r="U283" s="1523"/>
      <c r="V283" s="1523"/>
      <c r="W283" s="1523"/>
      <c r="X283" s="1523"/>
      <c r="Y283" s="1523"/>
      <c r="Z283" s="1523"/>
    </row>
    <row r="284" spans="1:26" ht="12.75" customHeight="1">
      <c r="A284" s="1523"/>
      <c r="B284" s="1523"/>
      <c r="C284" s="1523"/>
      <c r="D284" s="1523"/>
      <c r="E284" s="1523"/>
      <c r="F284" s="1741"/>
      <c r="G284" s="729"/>
      <c r="H284" s="1523"/>
      <c r="I284" s="1523"/>
      <c r="J284" s="1523"/>
      <c r="K284" s="1523"/>
      <c r="L284" s="1523"/>
      <c r="M284" s="1523"/>
      <c r="N284" s="1523"/>
      <c r="O284" s="1523"/>
      <c r="P284" s="1523"/>
      <c r="Q284" s="1523"/>
      <c r="R284" s="1523"/>
      <c r="S284" s="1523"/>
      <c r="T284" s="1523"/>
      <c r="U284" s="1523"/>
      <c r="V284" s="1523"/>
      <c r="W284" s="1523"/>
      <c r="X284" s="1523"/>
      <c r="Y284" s="1523"/>
      <c r="Z284" s="1523"/>
    </row>
    <row r="285" spans="1:26" ht="12.75" customHeight="1">
      <c r="A285" s="1523"/>
      <c r="B285" s="1523"/>
      <c r="C285" s="1523"/>
      <c r="D285" s="1523"/>
      <c r="E285" s="1523"/>
      <c r="F285" s="1741"/>
      <c r="G285" s="729"/>
      <c r="H285" s="1523"/>
      <c r="I285" s="1523"/>
      <c r="J285" s="1523"/>
      <c r="K285" s="1523"/>
      <c r="L285" s="1523"/>
      <c r="M285" s="1523"/>
      <c r="N285" s="1523"/>
      <c r="O285" s="1523"/>
      <c r="P285" s="1523"/>
      <c r="Q285" s="1523"/>
      <c r="R285" s="1523"/>
      <c r="S285" s="1523"/>
      <c r="T285" s="1523"/>
      <c r="U285" s="1523"/>
      <c r="V285" s="1523"/>
      <c r="W285" s="1523"/>
      <c r="X285" s="1523"/>
      <c r="Y285" s="1523"/>
      <c r="Z285" s="1523"/>
    </row>
    <row r="286" spans="1:26" ht="12.75" customHeight="1">
      <c r="A286" s="1523"/>
      <c r="B286" s="1523"/>
      <c r="C286" s="1523"/>
      <c r="D286" s="1523"/>
      <c r="E286" s="1523"/>
      <c r="F286" s="1741"/>
      <c r="G286" s="729"/>
      <c r="H286" s="1523"/>
      <c r="I286" s="1523"/>
      <c r="J286" s="1523"/>
      <c r="K286" s="1523"/>
      <c r="L286" s="1523"/>
      <c r="M286" s="1523"/>
      <c r="N286" s="1523"/>
      <c r="O286" s="1523"/>
      <c r="P286" s="1523"/>
      <c r="Q286" s="1523"/>
      <c r="R286" s="1523"/>
      <c r="S286" s="1523"/>
      <c r="T286" s="1523"/>
      <c r="U286" s="1523"/>
      <c r="V286" s="1523"/>
      <c r="W286" s="1523"/>
      <c r="X286" s="1523"/>
      <c r="Y286" s="1523"/>
      <c r="Z286" s="1523"/>
    </row>
    <row r="287" spans="1:26" ht="12.75" customHeight="1">
      <c r="A287" s="1523"/>
      <c r="B287" s="1523"/>
      <c r="C287" s="1523"/>
      <c r="D287" s="1523"/>
      <c r="E287" s="1523"/>
      <c r="F287" s="1741"/>
      <c r="G287" s="729"/>
      <c r="H287" s="1523"/>
      <c r="I287" s="1523"/>
      <c r="J287" s="1523"/>
      <c r="K287" s="1523"/>
      <c r="L287" s="1523"/>
      <c r="M287" s="1523"/>
      <c r="N287" s="1523"/>
      <c r="O287" s="1523"/>
      <c r="P287" s="1523"/>
      <c r="Q287" s="1523"/>
      <c r="R287" s="1523"/>
      <c r="S287" s="1523"/>
      <c r="T287" s="1523"/>
      <c r="U287" s="1523"/>
      <c r="V287" s="1523"/>
      <c r="W287" s="1523"/>
      <c r="X287" s="1523"/>
      <c r="Y287" s="1523"/>
      <c r="Z287" s="1523"/>
    </row>
    <row r="288" spans="1:26" ht="12.75" customHeight="1">
      <c r="A288" s="1523"/>
      <c r="B288" s="1523"/>
      <c r="C288" s="1523"/>
      <c r="D288" s="1523"/>
      <c r="E288" s="1523"/>
      <c r="F288" s="1741"/>
      <c r="G288" s="729"/>
      <c r="H288" s="1523"/>
      <c r="I288" s="1523"/>
      <c r="J288" s="1523"/>
      <c r="K288" s="1523"/>
      <c r="L288" s="1523"/>
      <c r="M288" s="1523"/>
      <c r="N288" s="1523"/>
      <c r="O288" s="1523"/>
      <c r="P288" s="1523"/>
      <c r="Q288" s="1523"/>
      <c r="R288" s="1523"/>
      <c r="S288" s="1523"/>
      <c r="T288" s="1523"/>
      <c r="U288" s="1523"/>
      <c r="V288" s="1523"/>
      <c r="W288" s="1523"/>
      <c r="X288" s="1523"/>
      <c r="Y288" s="1523"/>
      <c r="Z288" s="1523"/>
    </row>
    <row r="289" spans="1:26" ht="12.75" customHeight="1">
      <c r="A289" s="1523"/>
      <c r="B289" s="1523"/>
      <c r="C289" s="1523"/>
      <c r="D289" s="1523"/>
      <c r="E289" s="1523"/>
      <c r="F289" s="1741"/>
      <c r="G289" s="729"/>
      <c r="H289" s="1523"/>
      <c r="I289" s="1523"/>
      <c r="J289" s="1523"/>
      <c r="K289" s="1523"/>
      <c r="L289" s="1523"/>
      <c r="M289" s="1523"/>
      <c r="N289" s="1523"/>
      <c r="O289" s="1523"/>
      <c r="P289" s="1523"/>
      <c r="Q289" s="1523"/>
      <c r="R289" s="1523"/>
      <c r="S289" s="1523"/>
      <c r="T289" s="1523"/>
      <c r="U289" s="1523"/>
      <c r="V289" s="1523"/>
      <c r="W289" s="1523"/>
      <c r="X289" s="1523"/>
      <c r="Y289" s="1523"/>
      <c r="Z289" s="1523"/>
    </row>
    <row r="290" spans="1:26" ht="12.75" customHeight="1">
      <c r="A290" s="1523"/>
      <c r="B290" s="1523"/>
      <c r="C290" s="1523"/>
      <c r="D290" s="1523"/>
      <c r="E290" s="1523"/>
      <c r="F290" s="1741"/>
      <c r="G290" s="729"/>
      <c r="H290" s="1523"/>
      <c r="I290" s="1523"/>
      <c r="J290" s="1523"/>
      <c r="K290" s="1523"/>
      <c r="L290" s="1523"/>
      <c r="M290" s="1523"/>
      <c r="N290" s="1523"/>
      <c r="O290" s="1523"/>
      <c r="P290" s="1523"/>
      <c r="Q290" s="1523"/>
      <c r="R290" s="1523"/>
      <c r="S290" s="1523"/>
      <c r="T290" s="1523"/>
      <c r="U290" s="1523"/>
      <c r="V290" s="1523"/>
      <c r="W290" s="1523"/>
      <c r="X290" s="1523"/>
      <c r="Y290" s="1523"/>
      <c r="Z290" s="1523"/>
    </row>
    <row r="291" spans="1:26" ht="12.75" customHeight="1">
      <c r="A291" s="1523"/>
      <c r="B291" s="1523"/>
      <c r="C291" s="1523"/>
      <c r="D291" s="1523"/>
      <c r="E291" s="1523"/>
      <c r="F291" s="1741"/>
      <c r="G291" s="729"/>
      <c r="H291" s="1523"/>
      <c r="I291" s="1523"/>
      <c r="J291" s="1523"/>
      <c r="K291" s="1523"/>
      <c r="L291" s="1523"/>
      <c r="M291" s="1523"/>
      <c r="N291" s="1523"/>
      <c r="O291" s="1523"/>
      <c r="P291" s="1523"/>
      <c r="Q291" s="1523"/>
      <c r="R291" s="1523"/>
      <c r="S291" s="1523"/>
      <c r="T291" s="1523"/>
      <c r="U291" s="1523"/>
      <c r="V291" s="1523"/>
      <c r="W291" s="1523"/>
      <c r="X291" s="1523"/>
      <c r="Y291" s="1523"/>
      <c r="Z291" s="1523"/>
    </row>
    <row r="292" spans="1:26" ht="12.75" customHeight="1">
      <c r="A292" s="1523"/>
      <c r="B292" s="1523"/>
      <c r="C292" s="1523"/>
      <c r="D292" s="1523"/>
      <c r="E292" s="1523"/>
      <c r="F292" s="1741"/>
      <c r="G292" s="729"/>
      <c r="H292" s="1523"/>
      <c r="I292" s="1523"/>
      <c r="J292" s="1523"/>
      <c r="K292" s="1523"/>
      <c r="L292" s="1523"/>
      <c r="M292" s="1523"/>
      <c r="N292" s="1523"/>
      <c r="O292" s="1523"/>
      <c r="P292" s="1523"/>
      <c r="Q292" s="1523"/>
      <c r="R292" s="1523"/>
      <c r="S292" s="1523"/>
      <c r="T292" s="1523"/>
      <c r="U292" s="1523"/>
      <c r="V292" s="1523"/>
      <c r="W292" s="1523"/>
      <c r="X292" s="1523"/>
      <c r="Y292" s="1523"/>
      <c r="Z292" s="1523"/>
    </row>
    <row r="293" spans="1:26" ht="12.75" customHeight="1">
      <c r="A293" s="1523"/>
      <c r="B293" s="1523"/>
      <c r="C293" s="1523"/>
      <c r="D293" s="1523"/>
      <c r="E293" s="1523"/>
      <c r="F293" s="1741"/>
      <c r="G293" s="729"/>
      <c r="H293" s="1523"/>
      <c r="I293" s="1523"/>
      <c r="J293" s="1523"/>
      <c r="K293" s="1523"/>
      <c r="L293" s="1523"/>
      <c r="M293" s="1523"/>
      <c r="N293" s="1523"/>
      <c r="O293" s="1523"/>
      <c r="P293" s="1523"/>
      <c r="Q293" s="1523"/>
      <c r="R293" s="1523"/>
      <c r="S293" s="1523"/>
      <c r="T293" s="1523"/>
      <c r="U293" s="1523"/>
      <c r="V293" s="1523"/>
      <c r="W293" s="1523"/>
      <c r="X293" s="1523"/>
      <c r="Y293" s="1523"/>
      <c r="Z293" s="1523"/>
    </row>
    <row r="294" spans="1:26" ht="12.75" customHeight="1">
      <c r="A294" s="1523"/>
      <c r="B294" s="1523"/>
      <c r="C294" s="1523"/>
      <c r="D294" s="1523"/>
      <c r="E294" s="1523"/>
      <c r="F294" s="1741"/>
      <c r="G294" s="729"/>
      <c r="H294" s="1523"/>
      <c r="I294" s="1523"/>
      <c r="J294" s="1523"/>
      <c r="K294" s="1523"/>
      <c r="L294" s="1523"/>
      <c r="M294" s="1523"/>
      <c r="N294" s="1523"/>
      <c r="O294" s="1523"/>
      <c r="P294" s="1523"/>
      <c r="Q294" s="1523"/>
      <c r="R294" s="1523"/>
      <c r="S294" s="1523"/>
      <c r="T294" s="1523"/>
      <c r="U294" s="1523"/>
      <c r="V294" s="1523"/>
      <c r="W294" s="1523"/>
      <c r="X294" s="1523"/>
      <c r="Y294" s="1523"/>
      <c r="Z294" s="1523"/>
    </row>
    <row r="295" spans="1:26" ht="12.75" customHeight="1">
      <c r="A295" s="1523"/>
      <c r="B295" s="1523"/>
      <c r="C295" s="1523"/>
      <c r="D295" s="1523"/>
      <c r="E295" s="1523"/>
      <c r="F295" s="1741"/>
      <c r="G295" s="729"/>
      <c r="H295" s="1523"/>
      <c r="I295" s="1523"/>
      <c r="J295" s="1523"/>
      <c r="K295" s="1523"/>
      <c r="L295" s="1523"/>
      <c r="M295" s="1523"/>
      <c r="N295" s="1523"/>
      <c r="O295" s="1523"/>
      <c r="P295" s="1523"/>
      <c r="Q295" s="1523"/>
      <c r="R295" s="1523"/>
      <c r="S295" s="1523"/>
      <c r="T295" s="1523"/>
      <c r="U295" s="1523"/>
      <c r="V295" s="1523"/>
      <c r="W295" s="1523"/>
      <c r="X295" s="1523"/>
      <c r="Y295" s="1523"/>
      <c r="Z295" s="1523"/>
    </row>
    <row r="296" spans="1:26" ht="12.75" customHeight="1">
      <c r="A296" s="1523"/>
      <c r="B296" s="1523"/>
      <c r="C296" s="1523"/>
      <c r="D296" s="1523"/>
      <c r="E296" s="1523"/>
      <c r="F296" s="1741"/>
      <c r="G296" s="729"/>
      <c r="H296" s="1523"/>
      <c r="I296" s="1523"/>
      <c r="J296" s="1523"/>
      <c r="K296" s="1523"/>
      <c r="L296" s="1523"/>
      <c r="M296" s="1523"/>
      <c r="N296" s="1523"/>
      <c r="O296" s="1523"/>
      <c r="P296" s="1523"/>
      <c r="Q296" s="1523"/>
      <c r="R296" s="1523"/>
      <c r="S296" s="1523"/>
      <c r="T296" s="1523"/>
      <c r="U296" s="1523"/>
      <c r="V296" s="1523"/>
      <c r="W296" s="1523"/>
      <c r="X296" s="1523"/>
      <c r="Y296" s="1523"/>
      <c r="Z296" s="1523"/>
    </row>
    <row r="297" spans="1:26" ht="12.75" customHeight="1">
      <c r="A297" s="1523"/>
      <c r="B297" s="1523"/>
      <c r="C297" s="1523"/>
      <c r="D297" s="1523"/>
      <c r="E297" s="1523"/>
      <c r="F297" s="1741"/>
      <c r="G297" s="729"/>
      <c r="H297" s="1523"/>
      <c r="I297" s="1523"/>
      <c r="J297" s="1523"/>
      <c r="K297" s="1523"/>
      <c r="L297" s="1523"/>
      <c r="M297" s="1523"/>
      <c r="N297" s="1523"/>
      <c r="O297" s="1523"/>
      <c r="P297" s="1523"/>
      <c r="Q297" s="1523"/>
      <c r="R297" s="1523"/>
      <c r="S297" s="1523"/>
      <c r="T297" s="1523"/>
      <c r="U297" s="1523"/>
      <c r="V297" s="1523"/>
      <c r="W297" s="1523"/>
      <c r="X297" s="1523"/>
      <c r="Y297" s="1523"/>
      <c r="Z297" s="1523"/>
    </row>
    <row r="298" spans="1:26" ht="12.75" customHeight="1">
      <c r="A298" s="1523"/>
      <c r="B298" s="1523"/>
      <c r="C298" s="1523"/>
      <c r="D298" s="1523"/>
      <c r="E298" s="1523"/>
      <c r="F298" s="1741"/>
      <c r="G298" s="729"/>
      <c r="H298" s="1523"/>
      <c r="I298" s="1523"/>
      <c r="J298" s="1523"/>
      <c r="K298" s="1523"/>
      <c r="L298" s="1523"/>
      <c r="M298" s="1523"/>
      <c r="N298" s="1523"/>
      <c r="O298" s="1523"/>
      <c r="P298" s="1523"/>
      <c r="Q298" s="1523"/>
      <c r="R298" s="1523"/>
      <c r="S298" s="1523"/>
      <c r="T298" s="1523"/>
      <c r="U298" s="1523"/>
      <c r="V298" s="1523"/>
      <c r="W298" s="1523"/>
      <c r="X298" s="1523"/>
      <c r="Y298" s="1523"/>
      <c r="Z298" s="1523"/>
    </row>
    <row r="299" spans="1:26" ht="12.75" customHeight="1">
      <c r="A299" s="1523"/>
      <c r="B299" s="1523"/>
      <c r="C299" s="1523"/>
      <c r="D299" s="1523"/>
      <c r="E299" s="1523"/>
      <c r="F299" s="1741"/>
      <c r="G299" s="729"/>
      <c r="H299" s="1523"/>
      <c r="I299" s="1523"/>
      <c r="J299" s="1523"/>
      <c r="K299" s="1523"/>
      <c r="L299" s="1523"/>
      <c r="M299" s="1523"/>
      <c r="N299" s="1523"/>
      <c r="O299" s="1523"/>
      <c r="P299" s="1523"/>
      <c r="Q299" s="1523"/>
      <c r="R299" s="1523"/>
      <c r="S299" s="1523"/>
      <c r="T299" s="1523"/>
      <c r="U299" s="1523"/>
      <c r="V299" s="1523"/>
      <c r="W299" s="1523"/>
      <c r="X299" s="1523"/>
      <c r="Y299" s="1523"/>
      <c r="Z299" s="1523"/>
    </row>
    <row r="300" spans="1:26" ht="12.75" customHeight="1">
      <c r="A300" s="1523"/>
      <c r="B300" s="1523"/>
      <c r="C300" s="1523"/>
      <c r="D300" s="1523"/>
      <c r="E300" s="1523"/>
      <c r="F300" s="1741"/>
      <c r="G300" s="729"/>
      <c r="H300" s="1523"/>
      <c r="I300" s="1523"/>
      <c r="J300" s="1523"/>
      <c r="K300" s="1523"/>
      <c r="L300" s="1523"/>
      <c r="M300" s="1523"/>
      <c r="N300" s="1523"/>
      <c r="O300" s="1523"/>
      <c r="P300" s="1523"/>
      <c r="Q300" s="1523"/>
      <c r="R300" s="1523"/>
      <c r="S300" s="1523"/>
      <c r="T300" s="1523"/>
      <c r="U300" s="1523"/>
      <c r="V300" s="1523"/>
      <c r="W300" s="1523"/>
      <c r="X300" s="1523"/>
      <c r="Y300" s="1523"/>
      <c r="Z300" s="1523"/>
    </row>
    <row r="301" spans="1:26" ht="12.75" customHeight="1">
      <c r="A301" s="1523"/>
      <c r="B301" s="1523"/>
      <c r="C301" s="1523"/>
      <c r="D301" s="1523"/>
      <c r="E301" s="1523"/>
      <c r="F301" s="1741"/>
      <c r="G301" s="729"/>
      <c r="H301" s="1523"/>
      <c r="I301" s="1523"/>
      <c r="J301" s="1523"/>
      <c r="K301" s="1523"/>
      <c r="L301" s="1523"/>
      <c r="M301" s="1523"/>
      <c r="N301" s="1523"/>
      <c r="O301" s="1523"/>
      <c r="P301" s="1523"/>
      <c r="Q301" s="1523"/>
      <c r="R301" s="1523"/>
      <c r="S301" s="1523"/>
      <c r="T301" s="1523"/>
      <c r="U301" s="1523"/>
      <c r="V301" s="1523"/>
      <c r="W301" s="1523"/>
      <c r="X301" s="1523"/>
      <c r="Y301" s="1523"/>
      <c r="Z301" s="1523"/>
    </row>
    <row r="302" spans="1:26" ht="12.75" customHeight="1">
      <c r="A302" s="1523"/>
      <c r="B302" s="1523"/>
      <c r="C302" s="1523"/>
      <c r="D302" s="1523"/>
      <c r="E302" s="1523"/>
      <c r="F302" s="1741"/>
      <c r="G302" s="729"/>
      <c r="H302" s="1523"/>
      <c r="I302" s="1523"/>
      <c r="J302" s="1523"/>
      <c r="K302" s="1523"/>
      <c r="L302" s="1523"/>
      <c r="M302" s="1523"/>
      <c r="N302" s="1523"/>
      <c r="O302" s="1523"/>
      <c r="P302" s="1523"/>
      <c r="Q302" s="1523"/>
      <c r="R302" s="1523"/>
      <c r="S302" s="1523"/>
      <c r="T302" s="1523"/>
      <c r="U302" s="1523"/>
      <c r="V302" s="1523"/>
      <c r="W302" s="1523"/>
      <c r="X302" s="1523"/>
      <c r="Y302" s="1523"/>
      <c r="Z302" s="1523"/>
    </row>
    <row r="303" spans="1:26" ht="12.75" customHeight="1">
      <c r="A303" s="1523"/>
      <c r="B303" s="1523"/>
      <c r="C303" s="1523"/>
      <c r="D303" s="1523"/>
      <c r="E303" s="1523"/>
      <c r="F303" s="1741"/>
      <c r="G303" s="729"/>
      <c r="H303" s="1523"/>
      <c r="I303" s="1523"/>
      <c r="J303" s="1523"/>
      <c r="K303" s="1523"/>
      <c r="L303" s="1523"/>
      <c r="M303" s="1523"/>
      <c r="N303" s="1523"/>
      <c r="O303" s="1523"/>
      <c r="P303" s="1523"/>
      <c r="Q303" s="1523"/>
      <c r="R303" s="1523"/>
      <c r="S303" s="1523"/>
      <c r="T303" s="1523"/>
      <c r="U303" s="1523"/>
      <c r="V303" s="1523"/>
      <c r="W303" s="1523"/>
      <c r="X303" s="1523"/>
      <c r="Y303" s="1523"/>
      <c r="Z303" s="1523"/>
    </row>
    <row r="304" spans="1:26" ht="12.75" customHeight="1">
      <c r="A304" s="1523"/>
      <c r="B304" s="1523"/>
      <c r="C304" s="1523"/>
      <c r="D304" s="1523"/>
      <c r="E304" s="1523"/>
      <c r="F304" s="1741"/>
      <c r="G304" s="729"/>
      <c r="H304" s="1523"/>
      <c r="I304" s="1523"/>
      <c r="J304" s="1523"/>
      <c r="K304" s="1523"/>
      <c r="L304" s="1523"/>
      <c r="M304" s="1523"/>
      <c r="N304" s="1523"/>
      <c r="O304" s="1523"/>
      <c r="P304" s="1523"/>
      <c r="Q304" s="1523"/>
      <c r="R304" s="1523"/>
      <c r="S304" s="1523"/>
      <c r="T304" s="1523"/>
      <c r="U304" s="1523"/>
      <c r="V304" s="1523"/>
      <c r="W304" s="1523"/>
      <c r="X304" s="1523"/>
      <c r="Y304" s="1523"/>
      <c r="Z304" s="1523"/>
    </row>
    <row r="305" spans="1:26" ht="12.75" customHeight="1">
      <c r="A305" s="1523"/>
      <c r="B305" s="1523"/>
      <c r="C305" s="1523"/>
      <c r="D305" s="1523"/>
      <c r="E305" s="1523"/>
      <c r="F305" s="1741"/>
      <c r="G305" s="729"/>
      <c r="H305" s="1523"/>
      <c r="I305" s="1523"/>
      <c r="J305" s="1523"/>
      <c r="K305" s="1523"/>
      <c r="L305" s="1523"/>
      <c r="M305" s="1523"/>
      <c r="N305" s="1523"/>
      <c r="O305" s="1523"/>
      <c r="P305" s="1523"/>
      <c r="Q305" s="1523"/>
      <c r="R305" s="1523"/>
      <c r="S305" s="1523"/>
      <c r="T305" s="1523"/>
      <c r="U305" s="1523"/>
      <c r="V305" s="1523"/>
      <c r="W305" s="1523"/>
      <c r="X305" s="1523"/>
      <c r="Y305" s="1523"/>
      <c r="Z305" s="1523"/>
    </row>
    <row r="306" spans="1:26" ht="12.75" customHeight="1">
      <c r="A306" s="1523"/>
      <c r="B306" s="1523"/>
      <c r="C306" s="1523"/>
      <c r="D306" s="1523"/>
      <c r="E306" s="1523"/>
      <c r="F306" s="1741"/>
      <c r="G306" s="729"/>
      <c r="H306" s="1523"/>
      <c r="I306" s="1523"/>
      <c r="J306" s="1523"/>
      <c r="K306" s="1523"/>
      <c r="L306" s="1523"/>
      <c r="M306" s="1523"/>
      <c r="N306" s="1523"/>
      <c r="O306" s="1523"/>
      <c r="P306" s="1523"/>
      <c r="Q306" s="1523"/>
      <c r="R306" s="1523"/>
      <c r="S306" s="1523"/>
      <c r="T306" s="1523"/>
      <c r="U306" s="1523"/>
      <c r="V306" s="1523"/>
      <c r="W306" s="1523"/>
      <c r="X306" s="1523"/>
      <c r="Y306" s="1523"/>
      <c r="Z306" s="1523"/>
    </row>
    <row r="307" spans="1:26" ht="12.75" customHeight="1">
      <c r="A307" s="1523"/>
      <c r="B307" s="1523"/>
      <c r="C307" s="1523"/>
      <c r="D307" s="1523"/>
      <c r="E307" s="1523"/>
      <c r="F307" s="1741"/>
      <c r="G307" s="729"/>
      <c r="H307" s="1523"/>
      <c r="I307" s="1523"/>
      <c r="J307" s="1523"/>
      <c r="K307" s="1523"/>
      <c r="L307" s="1523"/>
      <c r="M307" s="1523"/>
      <c r="N307" s="1523"/>
      <c r="O307" s="1523"/>
      <c r="P307" s="1523"/>
      <c r="Q307" s="1523"/>
      <c r="R307" s="1523"/>
      <c r="S307" s="1523"/>
      <c r="T307" s="1523"/>
      <c r="U307" s="1523"/>
      <c r="V307" s="1523"/>
      <c r="W307" s="1523"/>
      <c r="X307" s="1523"/>
      <c r="Y307" s="1523"/>
      <c r="Z307" s="1523"/>
    </row>
    <row r="308" spans="1:26" ht="12.75" customHeight="1">
      <c r="A308" s="1523"/>
      <c r="B308" s="1523"/>
      <c r="C308" s="1523"/>
      <c r="D308" s="1523"/>
      <c r="E308" s="1523"/>
      <c r="F308" s="1741"/>
      <c r="G308" s="729"/>
      <c r="H308" s="1523"/>
      <c r="I308" s="1523"/>
      <c r="J308" s="1523"/>
      <c r="K308" s="1523"/>
      <c r="L308" s="1523"/>
      <c r="M308" s="1523"/>
      <c r="N308" s="1523"/>
      <c r="O308" s="1523"/>
      <c r="P308" s="1523"/>
      <c r="Q308" s="1523"/>
      <c r="R308" s="1523"/>
      <c r="S308" s="1523"/>
      <c r="T308" s="1523"/>
      <c r="U308" s="1523"/>
      <c r="V308" s="1523"/>
      <c r="W308" s="1523"/>
      <c r="X308" s="1523"/>
      <c r="Y308" s="1523"/>
      <c r="Z308" s="1523"/>
    </row>
    <row r="309" spans="1:26" ht="12.75" customHeight="1">
      <c r="A309" s="1523"/>
      <c r="B309" s="1523"/>
      <c r="C309" s="1523"/>
      <c r="D309" s="1523"/>
      <c r="E309" s="1523"/>
      <c r="F309" s="1741"/>
      <c r="G309" s="729"/>
      <c r="H309" s="1523"/>
      <c r="I309" s="1523"/>
      <c r="J309" s="1523"/>
      <c r="K309" s="1523"/>
      <c r="L309" s="1523"/>
      <c r="M309" s="1523"/>
      <c r="N309" s="1523"/>
      <c r="O309" s="1523"/>
      <c r="P309" s="1523"/>
      <c r="Q309" s="1523"/>
      <c r="R309" s="1523"/>
      <c r="S309" s="1523"/>
      <c r="T309" s="1523"/>
      <c r="U309" s="1523"/>
      <c r="V309" s="1523"/>
      <c r="W309" s="1523"/>
      <c r="X309" s="1523"/>
      <c r="Y309" s="1523"/>
      <c r="Z309" s="1523"/>
    </row>
    <row r="310" spans="1:26" ht="12.75" customHeight="1">
      <c r="A310" s="1523"/>
      <c r="B310" s="1523"/>
      <c r="C310" s="1523"/>
      <c r="D310" s="1523"/>
      <c r="E310" s="1523"/>
      <c r="F310" s="1741"/>
      <c r="G310" s="729"/>
      <c r="H310" s="1523"/>
      <c r="I310" s="1523"/>
      <c r="J310" s="1523"/>
      <c r="K310" s="1523"/>
      <c r="L310" s="1523"/>
      <c r="M310" s="1523"/>
      <c r="N310" s="1523"/>
      <c r="O310" s="1523"/>
      <c r="P310" s="1523"/>
      <c r="Q310" s="1523"/>
      <c r="R310" s="1523"/>
      <c r="S310" s="1523"/>
      <c r="T310" s="1523"/>
      <c r="U310" s="1523"/>
      <c r="V310" s="1523"/>
      <c r="W310" s="1523"/>
      <c r="X310" s="1523"/>
      <c r="Y310" s="1523"/>
      <c r="Z310" s="1523"/>
    </row>
    <row r="311" spans="1:26" ht="12.75" customHeight="1">
      <c r="A311" s="1523"/>
      <c r="B311" s="1523"/>
      <c r="C311" s="1523"/>
      <c r="D311" s="1523"/>
      <c r="E311" s="1523"/>
      <c r="F311" s="1741"/>
      <c r="G311" s="729"/>
      <c r="H311" s="1523"/>
      <c r="I311" s="1523"/>
      <c r="J311" s="1523"/>
      <c r="K311" s="1523"/>
      <c r="L311" s="1523"/>
      <c r="M311" s="1523"/>
      <c r="N311" s="1523"/>
      <c r="O311" s="1523"/>
      <c r="P311" s="1523"/>
      <c r="Q311" s="1523"/>
      <c r="R311" s="1523"/>
      <c r="S311" s="1523"/>
      <c r="T311" s="1523"/>
      <c r="U311" s="1523"/>
      <c r="V311" s="1523"/>
      <c r="W311" s="1523"/>
      <c r="X311" s="1523"/>
      <c r="Y311" s="1523"/>
      <c r="Z311" s="1523"/>
    </row>
    <row r="312" spans="1:26" ht="12.75" customHeight="1">
      <c r="A312" s="1523"/>
      <c r="B312" s="1523"/>
      <c r="C312" s="1523"/>
      <c r="D312" s="1523"/>
      <c r="E312" s="1523"/>
      <c r="F312" s="1741"/>
      <c r="G312" s="729"/>
      <c r="H312" s="1523"/>
      <c r="I312" s="1523"/>
      <c r="J312" s="1523"/>
      <c r="K312" s="1523"/>
      <c r="L312" s="1523"/>
      <c r="M312" s="1523"/>
      <c r="N312" s="1523"/>
      <c r="O312" s="1523"/>
      <c r="P312" s="1523"/>
      <c r="Q312" s="1523"/>
      <c r="R312" s="1523"/>
      <c r="S312" s="1523"/>
      <c r="T312" s="1523"/>
      <c r="U312" s="1523"/>
      <c r="V312" s="1523"/>
      <c r="W312" s="1523"/>
      <c r="X312" s="1523"/>
      <c r="Y312" s="1523"/>
      <c r="Z312" s="1523"/>
    </row>
    <row r="313" spans="1:26" ht="12.75" customHeight="1">
      <c r="A313" s="1523"/>
      <c r="B313" s="1523"/>
      <c r="C313" s="1523"/>
      <c r="D313" s="1523"/>
      <c r="E313" s="1523"/>
      <c r="F313" s="1741"/>
      <c r="G313" s="729"/>
      <c r="H313" s="1523"/>
      <c r="I313" s="1523"/>
      <c r="J313" s="1523"/>
      <c r="K313" s="1523"/>
      <c r="L313" s="1523"/>
      <c r="M313" s="1523"/>
      <c r="N313" s="1523"/>
      <c r="O313" s="1523"/>
      <c r="P313" s="1523"/>
      <c r="Q313" s="1523"/>
      <c r="R313" s="1523"/>
      <c r="S313" s="1523"/>
      <c r="T313" s="1523"/>
      <c r="U313" s="1523"/>
      <c r="V313" s="1523"/>
      <c r="W313" s="1523"/>
      <c r="X313" s="1523"/>
      <c r="Y313" s="1523"/>
      <c r="Z313" s="1523"/>
    </row>
    <row r="314" spans="1:26" ht="12.75" customHeight="1">
      <c r="A314" s="1523"/>
      <c r="B314" s="1523"/>
      <c r="C314" s="1523"/>
      <c r="D314" s="1523"/>
      <c r="E314" s="1523"/>
      <c r="F314" s="1741"/>
      <c r="G314" s="729"/>
      <c r="H314" s="1523"/>
      <c r="I314" s="1523"/>
      <c r="J314" s="1523"/>
      <c r="K314" s="1523"/>
      <c r="L314" s="1523"/>
      <c r="M314" s="1523"/>
      <c r="N314" s="1523"/>
      <c r="O314" s="1523"/>
      <c r="P314" s="1523"/>
      <c r="Q314" s="1523"/>
      <c r="R314" s="1523"/>
      <c r="S314" s="1523"/>
      <c r="T314" s="1523"/>
      <c r="U314" s="1523"/>
      <c r="V314" s="1523"/>
      <c r="W314" s="1523"/>
      <c r="X314" s="1523"/>
      <c r="Y314" s="1523"/>
      <c r="Z314" s="1523"/>
    </row>
    <row r="315" spans="1:26" ht="12.75" customHeight="1">
      <c r="A315" s="1523"/>
      <c r="B315" s="1523"/>
      <c r="C315" s="1523"/>
      <c r="D315" s="1523"/>
      <c r="E315" s="1523"/>
      <c r="F315" s="1741"/>
      <c r="G315" s="729"/>
      <c r="H315" s="1523"/>
      <c r="I315" s="1523"/>
      <c r="J315" s="1523"/>
      <c r="K315" s="1523"/>
      <c r="L315" s="1523"/>
      <c r="M315" s="1523"/>
      <c r="N315" s="1523"/>
      <c r="O315" s="1523"/>
      <c r="P315" s="1523"/>
      <c r="Q315" s="1523"/>
      <c r="R315" s="1523"/>
      <c r="S315" s="1523"/>
      <c r="T315" s="1523"/>
      <c r="U315" s="1523"/>
      <c r="V315" s="1523"/>
      <c r="W315" s="1523"/>
      <c r="X315" s="1523"/>
      <c r="Y315" s="1523"/>
      <c r="Z315" s="1523"/>
    </row>
    <row r="316" spans="1:26" ht="12.75" customHeight="1">
      <c r="A316" s="1523"/>
      <c r="B316" s="1523"/>
      <c r="C316" s="1523"/>
      <c r="D316" s="1523"/>
      <c r="E316" s="1523"/>
      <c r="F316" s="1741"/>
      <c r="G316" s="729"/>
      <c r="H316" s="1523"/>
      <c r="I316" s="1523"/>
      <c r="J316" s="1523"/>
      <c r="K316" s="1523"/>
      <c r="L316" s="1523"/>
      <c r="M316" s="1523"/>
      <c r="N316" s="1523"/>
      <c r="O316" s="1523"/>
      <c r="P316" s="1523"/>
      <c r="Q316" s="1523"/>
      <c r="R316" s="1523"/>
      <c r="S316" s="1523"/>
      <c r="T316" s="1523"/>
      <c r="U316" s="1523"/>
      <c r="V316" s="1523"/>
      <c r="W316" s="1523"/>
      <c r="X316" s="1523"/>
      <c r="Y316" s="1523"/>
      <c r="Z316" s="1523"/>
    </row>
    <row r="317" spans="1:26" ht="12.75" customHeight="1">
      <c r="A317" s="1523"/>
      <c r="B317" s="1523"/>
      <c r="C317" s="1523"/>
      <c r="D317" s="1523"/>
      <c r="E317" s="1523"/>
      <c r="F317" s="1741"/>
      <c r="G317" s="729"/>
      <c r="H317" s="1523"/>
      <c r="I317" s="1523"/>
      <c r="J317" s="1523"/>
      <c r="K317" s="1523"/>
      <c r="L317" s="1523"/>
      <c r="M317" s="1523"/>
      <c r="N317" s="1523"/>
      <c r="O317" s="1523"/>
      <c r="P317" s="1523"/>
      <c r="Q317" s="1523"/>
      <c r="R317" s="1523"/>
      <c r="S317" s="1523"/>
      <c r="T317" s="1523"/>
      <c r="U317" s="1523"/>
      <c r="V317" s="1523"/>
      <c r="W317" s="1523"/>
      <c r="X317" s="1523"/>
      <c r="Y317" s="1523"/>
      <c r="Z317" s="1523"/>
    </row>
    <row r="318" spans="1:26" ht="12.75" customHeight="1">
      <c r="A318" s="1523"/>
      <c r="B318" s="1523"/>
      <c r="C318" s="1523"/>
      <c r="D318" s="1523"/>
      <c r="E318" s="1523"/>
      <c r="F318" s="1741"/>
      <c r="G318" s="729"/>
      <c r="H318" s="1523"/>
      <c r="I318" s="1523"/>
      <c r="J318" s="1523"/>
      <c r="K318" s="1523"/>
      <c r="L318" s="1523"/>
      <c r="M318" s="1523"/>
      <c r="N318" s="1523"/>
      <c r="O318" s="1523"/>
      <c r="P318" s="1523"/>
      <c r="Q318" s="1523"/>
      <c r="R318" s="1523"/>
      <c r="S318" s="1523"/>
      <c r="T318" s="1523"/>
      <c r="U318" s="1523"/>
      <c r="V318" s="1523"/>
      <c r="W318" s="1523"/>
      <c r="X318" s="1523"/>
      <c r="Y318" s="1523"/>
      <c r="Z318" s="1523"/>
    </row>
    <row r="319" spans="1:26" ht="12.75" customHeight="1">
      <c r="A319" s="1523"/>
      <c r="B319" s="1523"/>
      <c r="C319" s="1523"/>
      <c r="D319" s="1523"/>
      <c r="E319" s="1523"/>
      <c r="F319" s="1741"/>
      <c r="G319" s="729"/>
      <c r="H319" s="1523"/>
      <c r="I319" s="1523"/>
      <c r="J319" s="1523"/>
      <c r="K319" s="1523"/>
      <c r="L319" s="1523"/>
      <c r="M319" s="1523"/>
      <c r="N319" s="1523"/>
      <c r="O319" s="1523"/>
      <c r="P319" s="1523"/>
      <c r="Q319" s="1523"/>
      <c r="R319" s="1523"/>
      <c r="S319" s="1523"/>
      <c r="T319" s="1523"/>
      <c r="U319" s="1523"/>
      <c r="V319" s="1523"/>
      <c r="W319" s="1523"/>
      <c r="X319" s="1523"/>
      <c r="Y319" s="1523"/>
      <c r="Z319" s="1523"/>
    </row>
    <row r="320" spans="1:26" ht="12.75" customHeight="1">
      <c r="A320" s="1523"/>
      <c r="B320" s="1523"/>
      <c r="C320" s="1523"/>
      <c r="D320" s="1523"/>
      <c r="E320" s="1523"/>
      <c r="F320" s="1741"/>
      <c r="G320" s="729"/>
      <c r="H320" s="1523"/>
      <c r="I320" s="1523"/>
      <c r="J320" s="1523"/>
      <c r="K320" s="1523"/>
      <c r="L320" s="1523"/>
      <c r="M320" s="1523"/>
      <c r="N320" s="1523"/>
      <c r="O320" s="1523"/>
      <c r="P320" s="1523"/>
      <c r="Q320" s="1523"/>
      <c r="R320" s="1523"/>
      <c r="S320" s="1523"/>
      <c r="T320" s="1523"/>
      <c r="U320" s="1523"/>
      <c r="V320" s="1523"/>
      <c r="W320" s="1523"/>
      <c r="X320" s="1523"/>
      <c r="Y320" s="1523"/>
      <c r="Z320" s="1523"/>
    </row>
    <row r="321" spans="1:26" ht="12.75" customHeight="1">
      <c r="A321" s="1523"/>
      <c r="B321" s="1523"/>
      <c r="C321" s="1523"/>
      <c r="D321" s="1523"/>
      <c r="E321" s="1523"/>
      <c r="F321" s="1741"/>
      <c r="G321" s="729"/>
      <c r="H321" s="1523"/>
      <c r="I321" s="1523"/>
      <c r="J321" s="1523"/>
      <c r="K321" s="1523"/>
      <c r="L321" s="1523"/>
      <c r="M321" s="1523"/>
      <c r="N321" s="1523"/>
      <c r="O321" s="1523"/>
      <c r="P321" s="1523"/>
      <c r="Q321" s="1523"/>
      <c r="R321" s="1523"/>
      <c r="S321" s="1523"/>
      <c r="T321" s="1523"/>
      <c r="U321" s="1523"/>
      <c r="V321" s="1523"/>
      <c r="W321" s="1523"/>
      <c r="X321" s="1523"/>
      <c r="Y321" s="1523"/>
      <c r="Z321" s="1523"/>
    </row>
    <row r="322" spans="1:26" ht="12.75" customHeight="1">
      <c r="A322" s="1523"/>
      <c r="B322" s="1523"/>
      <c r="C322" s="1523"/>
      <c r="D322" s="1523"/>
      <c r="E322" s="1523"/>
      <c r="F322" s="1741"/>
      <c r="G322" s="729"/>
      <c r="H322" s="1523"/>
      <c r="I322" s="1523"/>
      <c r="J322" s="1523"/>
      <c r="K322" s="1523"/>
      <c r="L322" s="1523"/>
      <c r="M322" s="1523"/>
      <c r="N322" s="1523"/>
      <c r="O322" s="1523"/>
      <c r="P322" s="1523"/>
      <c r="Q322" s="1523"/>
      <c r="R322" s="1523"/>
      <c r="S322" s="1523"/>
      <c r="T322" s="1523"/>
      <c r="U322" s="1523"/>
      <c r="V322" s="1523"/>
      <c r="W322" s="1523"/>
      <c r="X322" s="1523"/>
      <c r="Y322" s="1523"/>
      <c r="Z322" s="1523"/>
    </row>
    <row r="323" spans="1:26" ht="12.75" customHeight="1">
      <c r="A323" s="1523"/>
      <c r="B323" s="1523"/>
      <c r="C323" s="1523"/>
      <c r="D323" s="1523"/>
      <c r="E323" s="1523"/>
      <c r="F323" s="1741"/>
      <c r="G323" s="729"/>
      <c r="H323" s="1523"/>
      <c r="I323" s="1523"/>
      <c r="J323" s="1523"/>
      <c r="K323" s="1523"/>
      <c r="L323" s="1523"/>
      <c r="M323" s="1523"/>
      <c r="N323" s="1523"/>
      <c r="O323" s="1523"/>
      <c r="P323" s="1523"/>
      <c r="Q323" s="1523"/>
      <c r="R323" s="1523"/>
      <c r="S323" s="1523"/>
      <c r="T323" s="1523"/>
      <c r="U323" s="1523"/>
      <c r="V323" s="1523"/>
      <c r="W323" s="1523"/>
      <c r="X323" s="1523"/>
      <c r="Y323" s="1523"/>
      <c r="Z323" s="1523"/>
    </row>
    <row r="324" spans="1:26" ht="12.75" customHeight="1">
      <c r="A324" s="1523"/>
      <c r="B324" s="1523"/>
      <c r="C324" s="1523"/>
      <c r="D324" s="1523"/>
      <c r="E324" s="1523"/>
      <c r="F324" s="1741"/>
      <c r="G324" s="729"/>
      <c r="H324" s="1523"/>
      <c r="I324" s="1523"/>
      <c r="J324" s="1523"/>
      <c r="K324" s="1523"/>
      <c r="L324" s="1523"/>
      <c r="M324" s="1523"/>
      <c r="N324" s="1523"/>
      <c r="O324" s="1523"/>
      <c r="P324" s="1523"/>
      <c r="Q324" s="1523"/>
      <c r="R324" s="1523"/>
      <c r="S324" s="1523"/>
      <c r="T324" s="1523"/>
      <c r="U324" s="1523"/>
      <c r="V324" s="1523"/>
      <c r="W324" s="1523"/>
      <c r="X324" s="1523"/>
      <c r="Y324" s="1523"/>
      <c r="Z324" s="1523"/>
    </row>
    <row r="325" spans="1:26" ht="12.75" customHeight="1">
      <c r="A325" s="1523"/>
      <c r="B325" s="1523"/>
      <c r="C325" s="1523"/>
      <c r="D325" s="1523"/>
      <c r="E325" s="1523"/>
      <c r="F325" s="1741"/>
      <c r="G325" s="729"/>
      <c r="H325" s="1523"/>
      <c r="I325" s="1523"/>
      <c r="J325" s="1523"/>
      <c r="K325" s="1523"/>
      <c r="L325" s="1523"/>
      <c r="M325" s="1523"/>
      <c r="N325" s="1523"/>
      <c r="O325" s="1523"/>
      <c r="P325" s="1523"/>
      <c r="Q325" s="1523"/>
      <c r="R325" s="1523"/>
      <c r="S325" s="1523"/>
      <c r="T325" s="1523"/>
      <c r="U325" s="1523"/>
      <c r="V325" s="1523"/>
      <c r="W325" s="1523"/>
      <c r="X325" s="1523"/>
      <c r="Y325" s="1523"/>
      <c r="Z325" s="1523"/>
    </row>
    <row r="326" spans="1:26" ht="12.75" customHeight="1">
      <c r="A326" s="1523"/>
      <c r="B326" s="1523"/>
      <c r="C326" s="1523"/>
      <c r="D326" s="1523"/>
      <c r="E326" s="1523"/>
      <c r="F326" s="1741"/>
      <c r="G326" s="729"/>
      <c r="H326" s="1523"/>
      <c r="I326" s="1523"/>
      <c r="J326" s="1523"/>
      <c r="K326" s="1523"/>
      <c r="L326" s="1523"/>
      <c r="M326" s="1523"/>
      <c r="N326" s="1523"/>
      <c r="O326" s="1523"/>
      <c r="P326" s="1523"/>
      <c r="Q326" s="1523"/>
      <c r="R326" s="1523"/>
      <c r="S326" s="1523"/>
      <c r="T326" s="1523"/>
      <c r="U326" s="1523"/>
      <c r="V326" s="1523"/>
      <c r="W326" s="1523"/>
      <c r="X326" s="1523"/>
      <c r="Y326" s="1523"/>
      <c r="Z326" s="1523"/>
    </row>
    <row r="327" spans="1:26" ht="12.75" customHeight="1">
      <c r="A327" s="1523"/>
      <c r="B327" s="1523"/>
      <c r="C327" s="1523"/>
      <c r="D327" s="1523"/>
      <c r="E327" s="1523"/>
      <c r="F327" s="1741"/>
      <c r="G327" s="729"/>
      <c r="H327" s="1523"/>
      <c r="I327" s="1523"/>
      <c r="J327" s="1523"/>
      <c r="K327" s="1523"/>
      <c r="L327" s="1523"/>
      <c r="M327" s="1523"/>
      <c r="N327" s="1523"/>
      <c r="O327" s="1523"/>
      <c r="P327" s="1523"/>
      <c r="Q327" s="1523"/>
      <c r="R327" s="1523"/>
      <c r="S327" s="1523"/>
      <c r="T327" s="1523"/>
      <c r="U327" s="1523"/>
      <c r="V327" s="1523"/>
      <c r="W327" s="1523"/>
      <c r="X327" s="1523"/>
      <c r="Y327" s="1523"/>
      <c r="Z327" s="1523"/>
    </row>
    <row r="328" spans="1:26" ht="12.75" customHeight="1">
      <c r="A328" s="1523"/>
      <c r="B328" s="1523"/>
      <c r="C328" s="1523"/>
      <c r="D328" s="1523"/>
      <c r="E328" s="1523"/>
      <c r="F328" s="1741"/>
      <c r="G328" s="729"/>
      <c r="H328" s="1523"/>
      <c r="I328" s="1523"/>
      <c r="J328" s="1523"/>
      <c r="K328" s="1523"/>
      <c r="L328" s="1523"/>
      <c r="M328" s="1523"/>
      <c r="N328" s="1523"/>
      <c r="O328" s="1523"/>
      <c r="P328" s="1523"/>
      <c r="Q328" s="1523"/>
      <c r="R328" s="1523"/>
      <c r="S328" s="1523"/>
      <c r="T328" s="1523"/>
      <c r="U328" s="1523"/>
      <c r="V328" s="1523"/>
      <c r="W328" s="1523"/>
      <c r="X328" s="1523"/>
      <c r="Y328" s="1523"/>
      <c r="Z328" s="1523"/>
    </row>
    <row r="329" spans="1:26" ht="12.75" customHeight="1">
      <c r="A329" s="1523"/>
      <c r="B329" s="1523"/>
      <c r="C329" s="1523"/>
      <c r="D329" s="1523"/>
      <c r="E329" s="1523"/>
      <c r="F329" s="1741"/>
      <c r="G329" s="729"/>
      <c r="H329" s="1523"/>
      <c r="I329" s="1523"/>
      <c r="J329" s="1523"/>
      <c r="K329" s="1523"/>
      <c r="L329" s="1523"/>
      <c r="M329" s="1523"/>
      <c r="N329" s="1523"/>
      <c r="O329" s="1523"/>
      <c r="P329" s="1523"/>
      <c r="Q329" s="1523"/>
      <c r="R329" s="1523"/>
      <c r="S329" s="1523"/>
      <c r="T329" s="1523"/>
      <c r="U329" s="1523"/>
      <c r="V329" s="1523"/>
      <c r="W329" s="1523"/>
      <c r="X329" s="1523"/>
      <c r="Y329" s="1523"/>
      <c r="Z329" s="1523"/>
    </row>
    <row r="330" spans="1:26" ht="12.75" customHeight="1">
      <c r="A330" s="1523"/>
      <c r="B330" s="1523"/>
      <c r="C330" s="1523"/>
      <c r="D330" s="1523"/>
      <c r="E330" s="1523"/>
      <c r="F330" s="1741"/>
      <c r="G330" s="729"/>
      <c r="H330" s="1523"/>
      <c r="I330" s="1523"/>
      <c r="J330" s="1523"/>
      <c r="K330" s="1523"/>
      <c r="L330" s="1523"/>
      <c r="M330" s="1523"/>
      <c r="N330" s="1523"/>
      <c r="O330" s="1523"/>
      <c r="P330" s="1523"/>
      <c r="Q330" s="1523"/>
      <c r="R330" s="1523"/>
      <c r="S330" s="1523"/>
      <c r="T330" s="1523"/>
      <c r="U330" s="1523"/>
      <c r="V330" s="1523"/>
      <c r="W330" s="1523"/>
      <c r="X330" s="1523"/>
      <c r="Y330" s="1523"/>
      <c r="Z330" s="1523"/>
    </row>
    <row r="331" spans="1:26" ht="12.75" customHeight="1">
      <c r="A331" s="1523"/>
      <c r="B331" s="1523"/>
      <c r="C331" s="1523"/>
      <c r="D331" s="1523"/>
      <c r="E331" s="1523"/>
      <c r="F331" s="1741"/>
      <c r="G331" s="729"/>
      <c r="H331" s="1523"/>
      <c r="I331" s="1523"/>
      <c r="J331" s="1523"/>
      <c r="K331" s="1523"/>
      <c r="L331" s="1523"/>
      <c r="M331" s="1523"/>
      <c r="N331" s="1523"/>
      <c r="O331" s="1523"/>
      <c r="P331" s="1523"/>
      <c r="Q331" s="1523"/>
      <c r="R331" s="1523"/>
      <c r="S331" s="1523"/>
      <c r="T331" s="1523"/>
      <c r="U331" s="1523"/>
      <c r="V331" s="1523"/>
      <c r="W331" s="1523"/>
      <c r="X331" s="1523"/>
      <c r="Y331" s="1523"/>
      <c r="Z331" s="1523"/>
    </row>
    <row r="332" spans="1:26" ht="12.75" customHeight="1">
      <c r="A332" s="1523"/>
      <c r="B332" s="1523"/>
      <c r="C332" s="1523"/>
      <c r="D332" s="1523"/>
      <c r="E332" s="1523"/>
      <c r="F332" s="1741"/>
      <c r="G332" s="729"/>
      <c r="H332" s="1523"/>
      <c r="I332" s="1523"/>
      <c r="J332" s="1523"/>
      <c r="K332" s="1523"/>
      <c r="L332" s="1523"/>
      <c r="M332" s="1523"/>
      <c r="N332" s="1523"/>
      <c r="O332" s="1523"/>
      <c r="P332" s="1523"/>
      <c r="Q332" s="1523"/>
      <c r="R332" s="1523"/>
      <c r="S332" s="1523"/>
      <c r="T332" s="1523"/>
      <c r="U332" s="1523"/>
      <c r="V332" s="1523"/>
      <c r="W332" s="1523"/>
      <c r="X332" s="1523"/>
      <c r="Y332" s="1523"/>
      <c r="Z332" s="1523"/>
    </row>
    <row r="333" spans="1:26" ht="12.75" customHeight="1">
      <c r="A333" s="1523"/>
      <c r="B333" s="1523"/>
      <c r="C333" s="1523"/>
      <c r="D333" s="1523"/>
      <c r="E333" s="1523"/>
      <c r="F333" s="1741"/>
      <c r="G333" s="729"/>
      <c r="H333" s="1523"/>
      <c r="I333" s="1523"/>
      <c r="J333" s="1523"/>
      <c r="K333" s="1523"/>
      <c r="L333" s="1523"/>
      <c r="M333" s="1523"/>
      <c r="N333" s="1523"/>
      <c r="O333" s="1523"/>
      <c r="P333" s="1523"/>
      <c r="Q333" s="1523"/>
      <c r="R333" s="1523"/>
      <c r="S333" s="1523"/>
      <c r="T333" s="1523"/>
      <c r="U333" s="1523"/>
      <c r="V333" s="1523"/>
      <c r="W333" s="1523"/>
      <c r="X333" s="1523"/>
      <c r="Y333" s="1523"/>
      <c r="Z333" s="1523"/>
    </row>
    <row r="334" spans="1:26" ht="12.75" customHeight="1">
      <c r="A334" s="1523"/>
      <c r="B334" s="1523"/>
      <c r="C334" s="1523"/>
      <c r="D334" s="1523"/>
      <c r="E334" s="1523"/>
      <c r="F334" s="1741"/>
      <c r="G334" s="729"/>
      <c r="H334" s="1523"/>
      <c r="I334" s="1523"/>
      <c r="J334" s="1523"/>
      <c r="K334" s="1523"/>
      <c r="L334" s="1523"/>
      <c r="M334" s="1523"/>
      <c r="N334" s="1523"/>
      <c r="O334" s="1523"/>
      <c r="P334" s="1523"/>
      <c r="Q334" s="1523"/>
      <c r="R334" s="1523"/>
      <c r="S334" s="1523"/>
      <c r="T334" s="1523"/>
      <c r="U334" s="1523"/>
      <c r="V334" s="1523"/>
      <c r="W334" s="1523"/>
      <c r="X334" s="1523"/>
      <c r="Y334" s="1523"/>
      <c r="Z334" s="1523"/>
    </row>
    <row r="335" spans="1:26" ht="12.75" customHeight="1">
      <c r="A335" s="1523"/>
      <c r="B335" s="1523"/>
      <c r="C335" s="1523"/>
      <c r="D335" s="1523"/>
      <c r="E335" s="1523"/>
      <c r="F335" s="1741"/>
      <c r="G335" s="729"/>
      <c r="H335" s="1523"/>
      <c r="I335" s="1523"/>
      <c r="J335" s="1523"/>
      <c r="K335" s="1523"/>
      <c r="L335" s="1523"/>
      <c r="M335" s="1523"/>
      <c r="N335" s="1523"/>
      <c r="O335" s="1523"/>
      <c r="P335" s="1523"/>
      <c r="Q335" s="1523"/>
      <c r="R335" s="1523"/>
      <c r="S335" s="1523"/>
      <c r="T335" s="1523"/>
      <c r="U335" s="1523"/>
      <c r="V335" s="1523"/>
      <c r="W335" s="1523"/>
      <c r="X335" s="1523"/>
      <c r="Y335" s="1523"/>
      <c r="Z335" s="1523"/>
    </row>
    <row r="336" spans="1:26" ht="12.75" customHeight="1">
      <c r="A336" s="1523"/>
      <c r="B336" s="1523"/>
      <c r="C336" s="1523"/>
      <c r="D336" s="1523"/>
      <c r="E336" s="1523"/>
      <c r="F336" s="1741"/>
      <c r="G336" s="729"/>
      <c r="H336" s="1523"/>
      <c r="I336" s="1523"/>
      <c r="J336" s="1523"/>
      <c r="K336" s="1523"/>
      <c r="L336" s="1523"/>
      <c r="M336" s="1523"/>
      <c r="N336" s="1523"/>
      <c r="O336" s="1523"/>
      <c r="P336" s="1523"/>
      <c r="Q336" s="1523"/>
      <c r="R336" s="1523"/>
      <c r="S336" s="1523"/>
      <c r="T336" s="1523"/>
      <c r="U336" s="1523"/>
      <c r="V336" s="1523"/>
      <c r="W336" s="1523"/>
      <c r="X336" s="1523"/>
      <c r="Y336" s="1523"/>
      <c r="Z336" s="1523"/>
    </row>
    <row r="337" spans="1:26" ht="12.75" customHeight="1">
      <c r="A337" s="1523"/>
      <c r="B337" s="1523"/>
      <c r="C337" s="1523"/>
      <c r="D337" s="1523"/>
      <c r="E337" s="1523"/>
      <c r="F337" s="1741"/>
      <c r="G337" s="729"/>
      <c r="H337" s="1523"/>
      <c r="I337" s="1523"/>
      <c r="J337" s="1523"/>
      <c r="K337" s="1523"/>
      <c r="L337" s="1523"/>
      <c r="M337" s="1523"/>
      <c r="N337" s="1523"/>
      <c r="O337" s="1523"/>
      <c r="P337" s="1523"/>
      <c r="Q337" s="1523"/>
      <c r="R337" s="1523"/>
      <c r="S337" s="1523"/>
      <c r="T337" s="1523"/>
      <c r="U337" s="1523"/>
      <c r="V337" s="1523"/>
      <c r="W337" s="1523"/>
      <c r="X337" s="1523"/>
      <c r="Y337" s="1523"/>
      <c r="Z337" s="1523"/>
    </row>
    <row r="338" spans="1:26" ht="12.75" customHeight="1">
      <c r="A338" s="1523"/>
      <c r="B338" s="1523"/>
      <c r="C338" s="1523"/>
      <c r="D338" s="1523"/>
      <c r="E338" s="1523"/>
      <c r="F338" s="1741"/>
      <c r="G338" s="729"/>
      <c r="H338" s="1523"/>
      <c r="I338" s="1523"/>
      <c r="J338" s="1523"/>
      <c r="K338" s="1523"/>
      <c r="L338" s="1523"/>
      <c r="M338" s="1523"/>
      <c r="N338" s="1523"/>
      <c r="O338" s="1523"/>
      <c r="P338" s="1523"/>
      <c r="Q338" s="1523"/>
      <c r="R338" s="1523"/>
      <c r="S338" s="1523"/>
      <c r="T338" s="1523"/>
      <c r="U338" s="1523"/>
      <c r="V338" s="1523"/>
      <c r="W338" s="1523"/>
      <c r="X338" s="1523"/>
      <c r="Y338" s="1523"/>
      <c r="Z338" s="1523"/>
    </row>
    <row r="339" spans="1:26" ht="12.75" customHeight="1">
      <c r="A339" s="1523"/>
      <c r="B339" s="1523"/>
      <c r="C339" s="1523"/>
      <c r="D339" s="1523"/>
      <c r="E339" s="1523"/>
      <c r="F339" s="1741"/>
      <c r="G339" s="729"/>
      <c r="H339" s="1523"/>
      <c r="I339" s="1523"/>
      <c r="J339" s="1523"/>
      <c r="K339" s="1523"/>
      <c r="L339" s="1523"/>
      <c r="M339" s="1523"/>
      <c r="N339" s="1523"/>
      <c r="O339" s="1523"/>
      <c r="P339" s="1523"/>
      <c r="Q339" s="1523"/>
      <c r="R339" s="1523"/>
      <c r="S339" s="1523"/>
      <c r="T339" s="1523"/>
      <c r="U339" s="1523"/>
      <c r="V339" s="1523"/>
      <c r="W339" s="1523"/>
      <c r="X339" s="1523"/>
      <c r="Y339" s="1523"/>
      <c r="Z339" s="1523"/>
    </row>
    <row r="340" spans="1:26" ht="12.75" customHeight="1">
      <c r="A340" s="1523"/>
      <c r="B340" s="1523"/>
      <c r="C340" s="1523"/>
      <c r="D340" s="1523"/>
      <c r="E340" s="1523"/>
      <c r="F340" s="1741"/>
      <c r="G340" s="729"/>
      <c r="H340" s="1523"/>
      <c r="I340" s="1523"/>
      <c r="J340" s="1523"/>
      <c r="K340" s="1523"/>
      <c r="L340" s="1523"/>
      <c r="M340" s="1523"/>
      <c r="N340" s="1523"/>
      <c r="O340" s="1523"/>
      <c r="P340" s="1523"/>
      <c r="Q340" s="1523"/>
      <c r="R340" s="1523"/>
      <c r="S340" s="1523"/>
      <c r="T340" s="1523"/>
      <c r="U340" s="1523"/>
      <c r="V340" s="1523"/>
      <c r="W340" s="1523"/>
      <c r="X340" s="1523"/>
      <c r="Y340" s="1523"/>
      <c r="Z340" s="1523"/>
    </row>
    <row r="341" spans="1:26" ht="12.75" customHeight="1">
      <c r="A341" s="1523"/>
      <c r="B341" s="1523"/>
      <c r="C341" s="1523"/>
      <c r="D341" s="1523"/>
      <c r="E341" s="1523"/>
      <c r="F341" s="1741"/>
      <c r="G341" s="729"/>
      <c r="H341" s="1523"/>
      <c r="I341" s="1523"/>
      <c r="J341" s="1523"/>
      <c r="K341" s="1523"/>
      <c r="L341" s="1523"/>
      <c r="M341" s="1523"/>
      <c r="N341" s="1523"/>
      <c r="O341" s="1523"/>
      <c r="P341" s="1523"/>
      <c r="Q341" s="1523"/>
      <c r="R341" s="1523"/>
      <c r="S341" s="1523"/>
      <c r="T341" s="1523"/>
      <c r="U341" s="1523"/>
      <c r="V341" s="1523"/>
      <c r="W341" s="1523"/>
      <c r="X341" s="1523"/>
      <c r="Y341" s="1523"/>
      <c r="Z341" s="1523"/>
    </row>
    <row r="342" spans="1:26" ht="12.75" customHeight="1">
      <c r="A342" s="1523"/>
      <c r="B342" s="1523"/>
      <c r="C342" s="1523"/>
      <c r="D342" s="1523"/>
      <c r="E342" s="1523"/>
      <c r="F342" s="1741"/>
      <c r="G342" s="729"/>
      <c r="H342" s="1523"/>
      <c r="I342" s="1523"/>
      <c r="J342" s="1523"/>
      <c r="K342" s="1523"/>
      <c r="L342" s="1523"/>
      <c r="M342" s="1523"/>
      <c r="N342" s="1523"/>
      <c r="O342" s="1523"/>
      <c r="P342" s="1523"/>
      <c r="Q342" s="1523"/>
      <c r="R342" s="1523"/>
      <c r="S342" s="1523"/>
      <c r="T342" s="1523"/>
      <c r="U342" s="1523"/>
      <c r="V342" s="1523"/>
      <c r="W342" s="1523"/>
      <c r="X342" s="1523"/>
      <c r="Y342" s="1523"/>
      <c r="Z342" s="1523"/>
    </row>
    <row r="343" spans="1:26" ht="12.75" customHeight="1">
      <c r="A343" s="1523"/>
      <c r="B343" s="1523"/>
      <c r="C343" s="1523"/>
      <c r="D343" s="1523"/>
      <c r="E343" s="1523"/>
      <c r="F343" s="1741"/>
      <c r="G343" s="729"/>
      <c r="H343" s="1523"/>
      <c r="I343" s="1523"/>
      <c r="J343" s="1523"/>
      <c r="K343" s="1523"/>
      <c r="L343" s="1523"/>
      <c r="M343" s="1523"/>
      <c r="N343" s="1523"/>
      <c r="O343" s="1523"/>
      <c r="P343" s="1523"/>
      <c r="Q343" s="1523"/>
      <c r="R343" s="1523"/>
      <c r="S343" s="1523"/>
      <c r="T343" s="1523"/>
      <c r="U343" s="1523"/>
      <c r="V343" s="1523"/>
      <c r="W343" s="1523"/>
      <c r="X343" s="1523"/>
      <c r="Y343" s="1523"/>
      <c r="Z343" s="1523"/>
    </row>
    <row r="344" spans="1:26" ht="12.75" customHeight="1">
      <c r="A344" s="1523"/>
      <c r="B344" s="1523"/>
      <c r="C344" s="1523"/>
      <c r="D344" s="1523"/>
      <c r="E344" s="1523"/>
      <c r="F344" s="1741"/>
      <c r="G344" s="729"/>
      <c r="H344" s="1523"/>
      <c r="I344" s="1523"/>
      <c r="J344" s="1523"/>
      <c r="K344" s="1523"/>
      <c r="L344" s="1523"/>
      <c r="M344" s="1523"/>
      <c r="N344" s="1523"/>
      <c r="O344" s="1523"/>
      <c r="P344" s="1523"/>
      <c r="Q344" s="1523"/>
      <c r="R344" s="1523"/>
      <c r="S344" s="1523"/>
      <c r="T344" s="1523"/>
      <c r="U344" s="1523"/>
      <c r="V344" s="1523"/>
      <c r="W344" s="1523"/>
      <c r="X344" s="1523"/>
      <c r="Y344" s="1523"/>
      <c r="Z344" s="1523"/>
    </row>
    <row r="345" spans="1:26" ht="12.75" customHeight="1">
      <c r="A345" s="1523"/>
      <c r="B345" s="1523"/>
      <c r="C345" s="1523"/>
      <c r="D345" s="1523"/>
      <c r="E345" s="1523"/>
      <c r="F345" s="1741"/>
      <c r="G345" s="729"/>
      <c r="H345" s="1523"/>
      <c r="I345" s="1523"/>
      <c r="J345" s="1523"/>
      <c r="K345" s="1523"/>
      <c r="L345" s="1523"/>
      <c r="M345" s="1523"/>
      <c r="N345" s="1523"/>
      <c r="O345" s="1523"/>
      <c r="P345" s="1523"/>
      <c r="Q345" s="1523"/>
      <c r="R345" s="1523"/>
      <c r="S345" s="1523"/>
      <c r="T345" s="1523"/>
      <c r="U345" s="1523"/>
      <c r="V345" s="1523"/>
      <c r="W345" s="1523"/>
      <c r="X345" s="1523"/>
      <c r="Y345" s="1523"/>
      <c r="Z345" s="1523"/>
    </row>
    <row r="346" spans="1:26" ht="12.75" customHeight="1">
      <c r="A346" s="1523"/>
      <c r="B346" s="1523"/>
      <c r="C346" s="1523"/>
      <c r="D346" s="1523"/>
      <c r="E346" s="1523"/>
      <c r="F346" s="1741"/>
      <c r="G346" s="729"/>
      <c r="H346" s="1523"/>
      <c r="I346" s="1523"/>
      <c r="J346" s="1523"/>
      <c r="K346" s="1523"/>
      <c r="L346" s="1523"/>
      <c r="M346" s="1523"/>
      <c r="N346" s="1523"/>
      <c r="O346" s="1523"/>
      <c r="P346" s="1523"/>
      <c r="Q346" s="1523"/>
      <c r="R346" s="1523"/>
      <c r="S346" s="1523"/>
      <c r="T346" s="1523"/>
      <c r="U346" s="1523"/>
      <c r="V346" s="1523"/>
      <c r="W346" s="1523"/>
      <c r="X346" s="1523"/>
      <c r="Y346" s="1523"/>
      <c r="Z346" s="1523"/>
    </row>
    <row r="347" spans="1:26" ht="12.75" customHeight="1">
      <c r="A347" s="1523"/>
      <c r="B347" s="1523"/>
      <c r="C347" s="1523"/>
      <c r="D347" s="1523"/>
      <c r="E347" s="1523"/>
      <c r="F347" s="1741"/>
      <c r="G347" s="729"/>
      <c r="H347" s="1523"/>
      <c r="I347" s="1523"/>
      <c r="J347" s="1523"/>
      <c r="K347" s="1523"/>
      <c r="L347" s="1523"/>
      <c r="M347" s="1523"/>
      <c r="N347" s="1523"/>
      <c r="O347" s="1523"/>
      <c r="P347" s="1523"/>
      <c r="Q347" s="1523"/>
      <c r="R347" s="1523"/>
      <c r="S347" s="1523"/>
      <c r="T347" s="1523"/>
      <c r="U347" s="1523"/>
      <c r="V347" s="1523"/>
      <c r="W347" s="1523"/>
      <c r="X347" s="1523"/>
      <c r="Y347" s="1523"/>
      <c r="Z347" s="1523"/>
    </row>
    <row r="348" spans="1:26" ht="12.75" customHeight="1">
      <c r="A348" s="1523"/>
      <c r="B348" s="1523"/>
      <c r="C348" s="1523"/>
      <c r="D348" s="1523"/>
      <c r="E348" s="1523"/>
      <c r="F348" s="1741"/>
      <c r="G348" s="729"/>
      <c r="H348" s="1523"/>
      <c r="I348" s="1523"/>
      <c r="J348" s="1523"/>
      <c r="K348" s="1523"/>
      <c r="L348" s="1523"/>
      <c r="M348" s="1523"/>
      <c r="N348" s="1523"/>
      <c r="O348" s="1523"/>
      <c r="P348" s="1523"/>
      <c r="Q348" s="1523"/>
      <c r="R348" s="1523"/>
      <c r="S348" s="1523"/>
      <c r="T348" s="1523"/>
      <c r="U348" s="1523"/>
      <c r="V348" s="1523"/>
      <c r="W348" s="1523"/>
      <c r="X348" s="1523"/>
      <c r="Y348" s="1523"/>
      <c r="Z348" s="1523"/>
    </row>
    <row r="349" spans="1:26" ht="12.75" customHeight="1">
      <c r="A349" s="1523"/>
      <c r="B349" s="1523"/>
      <c r="C349" s="1523"/>
      <c r="D349" s="1523"/>
      <c r="E349" s="1523"/>
      <c r="F349" s="1741"/>
      <c r="G349" s="729"/>
      <c r="H349" s="1523"/>
      <c r="I349" s="1523"/>
      <c r="J349" s="1523"/>
      <c r="K349" s="1523"/>
      <c r="L349" s="1523"/>
      <c r="M349" s="1523"/>
      <c r="N349" s="1523"/>
      <c r="O349" s="1523"/>
      <c r="P349" s="1523"/>
      <c r="Q349" s="1523"/>
      <c r="R349" s="1523"/>
      <c r="S349" s="1523"/>
      <c r="T349" s="1523"/>
      <c r="U349" s="1523"/>
      <c r="V349" s="1523"/>
      <c r="W349" s="1523"/>
      <c r="X349" s="1523"/>
      <c r="Y349" s="1523"/>
      <c r="Z349" s="1523"/>
    </row>
    <row r="350" spans="1:26" ht="12.75" customHeight="1">
      <c r="A350" s="1523"/>
      <c r="B350" s="1523"/>
      <c r="C350" s="1523"/>
      <c r="D350" s="1523"/>
      <c r="E350" s="1523"/>
      <c r="F350" s="1741"/>
      <c r="G350" s="729"/>
      <c r="H350" s="1523"/>
      <c r="I350" s="1523"/>
      <c r="J350" s="1523"/>
      <c r="K350" s="1523"/>
      <c r="L350" s="1523"/>
      <c r="M350" s="1523"/>
      <c r="N350" s="1523"/>
      <c r="O350" s="1523"/>
      <c r="P350" s="1523"/>
      <c r="Q350" s="1523"/>
      <c r="R350" s="1523"/>
      <c r="S350" s="1523"/>
      <c r="T350" s="1523"/>
      <c r="U350" s="1523"/>
      <c r="V350" s="1523"/>
      <c r="W350" s="1523"/>
      <c r="X350" s="1523"/>
      <c r="Y350" s="1523"/>
      <c r="Z350" s="1523"/>
    </row>
    <row r="351" spans="1:26" ht="12.75" customHeight="1">
      <c r="A351" s="1523"/>
      <c r="B351" s="1523"/>
      <c r="C351" s="1523"/>
      <c r="D351" s="1523"/>
      <c r="E351" s="1523"/>
      <c r="F351" s="1741"/>
      <c r="G351" s="729"/>
      <c r="H351" s="1523"/>
      <c r="I351" s="1523"/>
      <c r="J351" s="1523"/>
      <c r="K351" s="1523"/>
      <c r="L351" s="1523"/>
      <c r="M351" s="1523"/>
      <c r="N351" s="1523"/>
      <c r="O351" s="1523"/>
      <c r="P351" s="1523"/>
      <c r="Q351" s="1523"/>
      <c r="R351" s="1523"/>
      <c r="S351" s="1523"/>
      <c r="T351" s="1523"/>
      <c r="U351" s="1523"/>
      <c r="V351" s="1523"/>
      <c r="W351" s="1523"/>
      <c r="X351" s="1523"/>
      <c r="Y351" s="1523"/>
      <c r="Z351" s="1523"/>
    </row>
    <row r="352" spans="1:26" ht="12.75" customHeight="1">
      <c r="A352" s="1523"/>
      <c r="B352" s="1523"/>
      <c r="C352" s="1523"/>
      <c r="D352" s="1523"/>
      <c r="E352" s="1523"/>
      <c r="F352" s="1741"/>
      <c r="G352" s="729"/>
      <c r="H352" s="1523"/>
      <c r="I352" s="1523"/>
      <c r="J352" s="1523"/>
      <c r="K352" s="1523"/>
      <c r="L352" s="1523"/>
      <c r="M352" s="1523"/>
      <c r="N352" s="1523"/>
      <c r="O352" s="1523"/>
      <c r="P352" s="1523"/>
      <c r="Q352" s="1523"/>
      <c r="R352" s="1523"/>
      <c r="S352" s="1523"/>
      <c r="T352" s="1523"/>
      <c r="U352" s="1523"/>
      <c r="V352" s="1523"/>
      <c r="W352" s="1523"/>
      <c r="X352" s="1523"/>
      <c r="Y352" s="1523"/>
      <c r="Z352" s="1523"/>
    </row>
    <row r="353" spans="1:26" ht="12.75" customHeight="1">
      <c r="A353" s="1523"/>
      <c r="B353" s="1523"/>
      <c r="C353" s="1523"/>
      <c r="D353" s="1523"/>
      <c r="E353" s="1523"/>
      <c r="F353" s="1741"/>
      <c r="G353" s="729"/>
      <c r="H353" s="1523"/>
      <c r="I353" s="1523"/>
      <c r="J353" s="1523"/>
      <c r="K353" s="1523"/>
      <c r="L353" s="1523"/>
      <c r="M353" s="1523"/>
      <c r="N353" s="1523"/>
      <c r="O353" s="1523"/>
      <c r="P353" s="1523"/>
      <c r="Q353" s="1523"/>
      <c r="R353" s="1523"/>
      <c r="S353" s="1523"/>
      <c r="T353" s="1523"/>
      <c r="U353" s="1523"/>
      <c r="V353" s="1523"/>
      <c r="W353" s="1523"/>
      <c r="X353" s="1523"/>
      <c r="Y353" s="1523"/>
      <c r="Z353" s="1523"/>
    </row>
    <row r="354" spans="1:26" ht="12.75" customHeight="1">
      <c r="A354" s="1523"/>
      <c r="B354" s="1523"/>
      <c r="C354" s="1523"/>
      <c r="D354" s="1523"/>
      <c r="E354" s="1523"/>
      <c r="F354" s="1741"/>
      <c r="G354" s="729"/>
      <c r="H354" s="1523"/>
      <c r="I354" s="1523"/>
      <c r="J354" s="1523"/>
      <c r="K354" s="1523"/>
      <c r="L354" s="1523"/>
      <c r="M354" s="1523"/>
      <c r="N354" s="1523"/>
      <c r="O354" s="1523"/>
      <c r="P354" s="1523"/>
      <c r="Q354" s="1523"/>
      <c r="R354" s="1523"/>
      <c r="S354" s="1523"/>
      <c r="T354" s="1523"/>
      <c r="U354" s="1523"/>
      <c r="V354" s="1523"/>
      <c r="W354" s="1523"/>
      <c r="X354" s="1523"/>
      <c r="Y354" s="1523"/>
      <c r="Z354" s="1523"/>
    </row>
    <row r="355" spans="1:26" ht="12.75" customHeight="1">
      <c r="A355" s="1523"/>
      <c r="B355" s="1523"/>
      <c r="C355" s="1523"/>
      <c r="D355" s="1523"/>
      <c r="E355" s="1523"/>
      <c r="F355" s="1741"/>
      <c r="G355" s="729"/>
      <c r="H355" s="1523"/>
      <c r="I355" s="1523"/>
      <c r="J355" s="1523"/>
      <c r="K355" s="1523"/>
      <c r="L355" s="1523"/>
      <c r="M355" s="1523"/>
      <c r="N355" s="1523"/>
      <c r="O355" s="1523"/>
      <c r="P355" s="1523"/>
      <c r="Q355" s="1523"/>
      <c r="R355" s="1523"/>
      <c r="S355" s="1523"/>
      <c r="T355" s="1523"/>
      <c r="U355" s="1523"/>
      <c r="V355" s="1523"/>
      <c r="W355" s="1523"/>
      <c r="X355" s="1523"/>
      <c r="Y355" s="1523"/>
      <c r="Z355" s="1523"/>
    </row>
    <row r="356" spans="1:26" ht="12.75" customHeight="1">
      <c r="A356" s="1523"/>
      <c r="B356" s="1523"/>
      <c r="C356" s="1523"/>
      <c r="D356" s="1523"/>
      <c r="E356" s="1523"/>
      <c r="F356" s="1741"/>
      <c r="G356" s="729"/>
      <c r="H356" s="1523"/>
      <c r="I356" s="1523"/>
      <c r="J356" s="1523"/>
      <c r="K356" s="1523"/>
      <c r="L356" s="1523"/>
      <c r="M356" s="1523"/>
      <c r="N356" s="1523"/>
      <c r="O356" s="1523"/>
      <c r="P356" s="1523"/>
      <c r="Q356" s="1523"/>
      <c r="R356" s="1523"/>
      <c r="S356" s="1523"/>
      <c r="T356" s="1523"/>
      <c r="U356" s="1523"/>
      <c r="V356" s="1523"/>
      <c r="W356" s="1523"/>
      <c r="X356" s="1523"/>
      <c r="Y356" s="1523"/>
      <c r="Z356" s="1523"/>
    </row>
    <row r="357" spans="1:26" ht="12.75" customHeight="1">
      <c r="A357" s="1523"/>
      <c r="B357" s="1523"/>
      <c r="C357" s="1523"/>
      <c r="D357" s="1523"/>
      <c r="E357" s="1523"/>
      <c r="F357" s="1741"/>
      <c r="G357" s="729"/>
      <c r="H357" s="1523"/>
      <c r="I357" s="1523"/>
      <c r="J357" s="1523"/>
      <c r="K357" s="1523"/>
      <c r="L357" s="1523"/>
      <c r="M357" s="1523"/>
      <c r="N357" s="1523"/>
      <c r="O357" s="1523"/>
      <c r="P357" s="1523"/>
      <c r="Q357" s="1523"/>
      <c r="R357" s="1523"/>
      <c r="S357" s="1523"/>
      <c r="T357" s="1523"/>
      <c r="U357" s="1523"/>
      <c r="V357" s="1523"/>
      <c r="W357" s="1523"/>
      <c r="X357" s="1523"/>
      <c r="Y357" s="1523"/>
      <c r="Z357" s="1523"/>
    </row>
    <row r="358" spans="1:26" ht="12.75" customHeight="1">
      <c r="A358" s="1523"/>
      <c r="B358" s="1523"/>
      <c r="C358" s="1523"/>
      <c r="D358" s="1523"/>
      <c r="E358" s="1523"/>
      <c r="F358" s="1741"/>
      <c r="G358" s="729"/>
      <c r="H358" s="1523"/>
      <c r="I358" s="1523"/>
      <c r="J358" s="1523"/>
      <c r="K358" s="1523"/>
      <c r="L358" s="1523"/>
      <c r="M358" s="1523"/>
      <c r="N358" s="1523"/>
      <c r="O358" s="1523"/>
      <c r="P358" s="1523"/>
      <c r="Q358" s="1523"/>
      <c r="R358" s="1523"/>
      <c r="S358" s="1523"/>
      <c r="T358" s="1523"/>
      <c r="U358" s="1523"/>
      <c r="V358" s="1523"/>
      <c r="W358" s="1523"/>
      <c r="X358" s="1523"/>
      <c r="Y358" s="1523"/>
      <c r="Z358" s="1523"/>
    </row>
    <row r="359" spans="1:26" ht="12.75" customHeight="1">
      <c r="A359" s="1523"/>
      <c r="B359" s="1523"/>
      <c r="C359" s="1523"/>
      <c r="D359" s="1523"/>
      <c r="E359" s="1523"/>
      <c r="F359" s="1741"/>
      <c r="G359" s="729"/>
      <c r="H359" s="1523"/>
      <c r="I359" s="1523"/>
      <c r="J359" s="1523"/>
      <c r="K359" s="1523"/>
      <c r="L359" s="1523"/>
      <c r="M359" s="1523"/>
      <c r="N359" s="1523"/>
      <c r="O359" s="1523"/>
      <c r="P359" s="1523"/>
      <c r="Q359" s="1523"/>
      <c r="R359" s="1523"/>
      <c r="S359" s="1523"/>
      <c r="T359" s="1523"/>
      <c r="U359" s="1523"/>
      <c r="V359" s="1523"/>
      <c r="W359" s="1523"/>
      <c r="X359" s="1523"/>
      <c r="Y359" s="1523"/>
      <c r="Z359" s="1523"/>
    </row>
    <row r="360" spans="1:26" ht="12.75" customHeight="1">
      <c r="A360" s="1523"/>
      <c r="B360" s="1523"/>
      <c r="C360" s="1523"/>
      <c r="D360" s="1523"/>
      <c r="E360" s="1523"/>
      <c r="F360" s="1741"/>
      <c r="G360" s="729"/>
      <c r="H360" s="1523"/>
      <c r="I360" s="1523"/>
      <c r="J360" s="1523"/>
      <c r="K360" s="1523"/>
      <c r="L360" s="1523"/>
      <c r="M360" s="1523"/>
      <c r="N360" s="1523"/>
      <c r="O360" s="1523"/>
      <c r="P360" s="1523"/>
      <c r="Q360" s="1523"/>
      <c r="R360" s="1523"/>
      <c r="S360" s="1523"/>
      <c r="T360" s="1523"/>
      <c r="U360" s="1523"/>
      <c r="V360" s="1523"/>
      <c r="W360" s="1523"/>
      <c r="X360" s="1523"/>
      <c r="Y360" s="1523"/>
      <c r="Z360" s="1523"/>
    </row>
    <row r="361" spans="1:26" ht="12.75" customHeight="1">
      <c r="A361" s="1523"/>
      <c r="B361" s="1523"/>
      <c r="C361" s="1523"/>
      <c r="D361" s="1523"/>
      <c r="E361" s="1523"/>
      <c r="F361" s="1741"/>
      <c r="G361" s="729"/>
      <c r="H361" s="1523"/>
      <c r="I361" s="1523"/>
      <c r="J361" s="1523"/>
      <c r="K361" s="1523"/>
      <c r="L361" s="1523"/>
      <c r="M361" s="1523"/>
      <c r="N361" s="1523"/>
      <c r="O361" s="1523"/>
      <c r="P361" s="1523"/>
      <c r="Q361" s="1523"/>
      <c r="R361" s="1523"/>
      <c r="S361" s="1523"/>
      <c r="T361" s="1523"/>
      <c r="U361" s="1523"/>
      <c r="V361" s="1523"/>
      <c r="W361" s="1523"/>
      <c r="X361" s="1523"/>
      <c r="Y361" s="1523"/>
      <c r="Z361" s="1523"/>
    </row>
    <row r="362" spans="1:26" ht="12.75" customHeight="1">
      <c r="A362" s="1523"/>
      <c r="B362" s="1523"/>
      <c r="C362" s="1523"/>
      <c r="D362" s="1523"/>
      <c r="E362" s="1523"/>
      <c r="F362" s="1741"/>
      <c r="G362" s="729"/>
      <c r="H362" s="1523"/>
      <c r="I362" s="1523"/>
      <c r="J362" s="1523"/>
      <c r="K362" s="1523"/>
      <c r="L362" s="1523"/>
      <c r="M362" s="1523"/>
      <c r="N362" s="1523"/>
      <c r="O362" s="1523"/>
      <c r="P362" s="1523"/>
      <c r="Q362" s="1523"/>
      <c r="R362" s="1523"/>
      <c r="S362" s="1523"/>
      <c r="T362" s="1523"/>
      <c r="U362" s="1523"/>
      <c r="V362" s="1523"/>
      <c r="W362" s="1523"/>
      <c r="X362" s="1523"/>
      <c r="Y362" s="1523"/>
      <c r="Z362" s="1523"/>
    </row>
    <row r="363" spans="1:26" ht="12.75" customHeight="1">
      <c r="A363" s="1523"/>
      <c r="B363" s="1523"/>
      <c r="C363" s="1523"/>
      <c r="D363" s="1523"/>
      <c r="E363" s="1523"/>
      <c r="F363" s="1741"/>
      <c r="G363" s="729"/>
      <c r="H363" s="1523"/>
      <c r="I363" s="1523"/>
      <c r="J363" s="1523"/>
      <c r="K363" s="1523"/>
      <c r="L363" s="1523"/>
      <c r="M363" s="1523"/>
      <c r="N363" s="1523"/>
      <c r="O363" s="1523"/>
      <c r="P363" s="1523"/>
      <c r="Q363" s="1523"/>
      <c r="R363" s="1523"/>
      <c r="S363" s="1523"/>
      <c r="T363" s="1523"/>
      <c r="U363" s="1523"/>
      <c r="V363" s="1523"/>
      <c r="W363" s="1523"/>
      <c r="X363" s="1523"/>
      <c r="Y363" s="1523"/>
      <c r="Z363" s="1523"/>
    </row>
    <row r="364" spans="1:26" ht="12.75" customHeight="1">
      <c r="A364" s="1523"/>
      <c r="B364" s="1523"/>
      <c r="C364" s="1523"/>
      <c r="D364" s="1523"/>
      <c r="E364" s="1523"/>
      <c r="F364" s="1741"/>
      <c r="G364" s="729"/>
      <c r="H364" s="1523"/>
      <c r="I364" s="1523"/>
      <c r="J364" s="1523"/>
      <c r="K364" s="1523"/>
      <c r="L364" s="1523"/>
      <c r="M364" s="1523"/>
      <c r="N364" s="1523"/>
      <c r="O364" s="1523"/>
      <c r="P364" s="1523"/>
      <c r="Q364" s="1523"/>
      <c r="R364" s="1523"/>
      <c r="S364" s="1523"/>
      <c r="T364" s="1523"/>
      <c r="U364" s="1523"/>
      <c r="V364" s="1523"/>
      <c r="W364" s="1523"/>
      <c r="X364" s="1523"/>
      <c r="Y364" s="1523"/>
      <c r="Z364" s="1523"/>
    </row>
    <row r="365" spans="1:26" ht="12.75" customHeight="1">
      <c r="A365" s="1523"/>
      <c r="B365" s="1523"/>
      <c r="C365" s="1523"/>
      <c r="D365" s="1523"/>
      <c r="E365" s="1523"/>
      <c r="F365" s="1741"/>
      <c r="G365" s="729"/>
      <c r="H365" s="1523"/>
      <c r="I365" s="1523"/>
      <c r="J365" s="1523"/>
      <c r="K365" s="1523"/>
      <c r="L365" s="1523"/>
      <c r="M365" s="1523"/>
      <c r="N365" s="1523"/>
      <c r="O365" s="1523"/>
      <c r="P365" s="1523"/>
      <c r="Q365" s="1523"/>
      <c r="R365" s="1523"/>
      <c r="S365" s="1523"/>
      <c r="T365" s="1523"/>
      <c r="U365" s="1523"/>
      <c r="V365" s="1523"/>
      <c r="W365" s="1523"/>
      <c r="X365" s="1523"/>
      <c r="Y365" s="1523"/>
      <c r="Z365" s="1523"/>
    </row>
    <row r="366" spans="1:26" ht="12.75" customHeight="1">
      <c r="A366" s="1523"/>
      <c r="B366" s="1523"/>
      <c r="C366" s="1523"/>
      <c r="D366" s="1523"/>
      <c r="E366" s="1523"/>
      <c r="F366" s="1741"/>
      <c r="G366" s="729"/>
      <c r="H366" s="1523"/>
      <c r="I366" s="1523"/>
      <c r="J366" s="1523"/>
      <c r="K366" s="1523"/>
      <c r="L366" s="1523"/>
      <c r="M366" s="1523"/>
      <c r="N366" s="1523"/>
      <c r="O366" s="1523"/>
      <c r="P366" s="1523"/>
      <c r="Q366" s="1523"/>
      <c r="R366" s="1523"/>
      <c r="S366" s="1523"/>
      <c r="T366" s="1523"/>
      <c r="U366" s="1523"/>
      <c r="V366" s="1523"/>
      <c r="W366" s="1523"/>
      <c r="X366" s="1523"/>
      <c r="Y366" s="1523"/>
      <c r="Z366" s="1523"/>
    </row>
    <row r="367" spans="1:26" ht="12.75" customHeight="1">
      <c r="A367" s="1523"/>
      <c r="B367" s="1523"/>
      <c r="C367" s="1523"/>
      <c r="D367" s="1523"/>
      <c r="E367" s="1523"/>
      <c r="F367" s="1741"/>
      <c r="G367" s="729"/>
      <c r="H367" s="1523"/>
      <c r="I367" s="1523"/>
      <c r="J367" s="1523"/>
      <c r="K367" s="1523"/>
      <c r="L367" s="1523"/>
      <c r="M367" s="1523"/>
      <c r="N367" s="1523"/>
      <c r="O367" s="1523"/>
      <c r="P367" s="1523"/>
      <c r="Q367" s="1523"/>
      <c r="R367" s="1523"/>
      <c r="S367" s="1523"/>
      <c r="T367" s="1523"/>
      <c r="U367" s="1523"/>
      <c r="V367" s="1523"/>
      <c r="W367" s="1523"/>
      <c r="X367" s="1523"/>
      <c r="Y367" s="1523"/>
      <c r="Z367" s="1523"/>
    </row>
    <row r="368" spans="1:26" ht="12.75" customHeight="1">
      <c r="A368" s="1523"/>
      <c r="B368" s="1523"/>
      <c r="C368" s="1523"/>
      <c r="D368" s="1523"/>
      <c r="E368" s="1523"/>
      <c r="F368" s="1741"/>
      <c r="G368" s="729"/>
      <c r="H368" s="1523"/>
      <c r="I368" s="1523"/>
      <c r="J368" s="1523"/>
      <c r="K368" s="1523"/>
      <c r="L368" s="1523"/>
      <c r="M368" s="1523"/>
      <c r="N368" s="1523"/>
      <c r="O368" s="1523"/>
      <c r="P368" s="1523"/>
      <c r="Q368" s="1523"/>
      <c r="R368" s="1523"/>
      <c r="S368" s="1523"/>
      <c r="T368" s="1523"/>
      <c r="U368" s="1523"/>
      <c r="V368" s="1523"/>
      <c r="W368" s="1523"/>
      <c r="X368" s="1523"/>
      <c r="Y368" s="1523"/>
      <c r="Z368" s="1523"/>
    </row>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G71:I71"/>
    <mergeCell ref="G73:I73"/>
    <mergeCell ref="G75:I75"/>
    <mergeCell ref="G96:I96"/>
    <mergeCell ref="G97:H97"/>
    <mergeCell ref="G98:I98"/>
    <mergeCell ref="G100:H100"/>
    <mergeCell ref="G151:I151"/>
    <mergeCell ref="G152:I152"/>
    <mergeCell ref="G153:I153"/>
    <mergeCell ref="G154:I154"/>
    <mergeCell ref="G102:I102"/>
    <mergeCell ref="G123:I123"/>
    <mergeCell ref="G124:I124"/>
    <mergeCell ref="G125:I125"/>
    <mergeCell ref="G126:I126"/>
    <mergeCell ref="G129:I129"/>
    <mergeCell ref="G150:I150"/>
  </mergeCells>
  <conditionalFormatting sqref="D166">
    <cfRule type="cellIs" dxfId="0" priority="1" stopIfTrue="1" operator="lessThanOrEqual">
      <formula>$D$168</formula>
    </cfRule>
  </conditionalFormatting>
  <dataValidations count="6">
    <dataValidation type="list" allowBlank="1" showErrorMessage="1" sqref="C40:C49" xr:uid="{00000000-0002-0000-0C00-000000000000}">
      <formula1>"MT,MTcod,ST,STcod,T,Tcod,HC,SC,C"</formula1>
    </dataValidation>
    <dataValidation type="list" allowBlank="1" sqref="H140" xr:uid="{00000000-0002-0000-0C00-000001000000}">
      <formula1>$L$2:$L$11</formula1>
    </dataValidation>
    <dataValidation type="list" allowBlank="1" showErrorMessage="1" sqref="D161" xr:uid="{00000000-0002-0000-0C00-000002000000}">
      <formula1>"Incluse,Escluse"</formula1>
    </dataValidation>
    <dataValidation type="list" allowBlank="1" showErrorMessage="1" sqref="D162" xr:uid="{00000000-0002-0000-0C00-000003000000}">
      <formula1>"Finanziato,Autofinanziato"</formula1>
    </dataValidation>
    <dataValidation type="list" allowBlank="1" showErrorMessage="1" sqref="D5:D35 D40:D49 C101 C104:C114 C118:C121 C123:C129 C131:C141 C143:C148 C150:C155" xr:uid="{00000000-0002-0000-0C00-000004000000}">
      <formula1>"x"</formula1>
    </dataValidation>
    <dataValidation type="list" allowBlank="1" showErrorMessage="1" sqref="C5:C35" xr:uid="{00000000-0002-0000-0C00-000005000000}">
      <formula1>"MT,MTcod,MTCoach,ST,STcod,STCoach,T,Tcod,TCoach,HC,SC,C"</formula1>
    </dataValidation>
  </dataValidations>
  <pageMargins left="0.75" right="0.75" top="1" bottom="1" header="0" footer="0"/>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13</vt:i4>
      </vt:variant>
      <vt:variant>
        <vt:lpstr>Intervalli denominati</vt:lpstr>
      </vt:variant>
      <vt:variant>
        <vt:i4>5</vt:i4>
      </vt:variant>
    </vt:vector>
  </HeadingPairs>
  <TitlesOfParts>
    <vt:vector size="18" baseType="lpstr">
      <vt:lpstr>Lista Corso</vt:lpstr>
      <vt:lpstr>Consuntivatore Tot Aut 23</vt:lpstr>
      <vt:lpstr>Consuntivatore Tot Prim 23 con </vt:lpstr>
      <vt:lpstr>Proiezione Tot Prim 23</vt:lpstr>
      <vt:lpstr>Lista Corso Aut 22</vt:lpstr>
      <vt:lpstr>Consuntivatore Tot Aut 22</vt:lpstr>
      <vt:lpstr>Consuntivatore Tot Prim 22</vt:lpstr>
      <vt:lpstr>Lista Corso autunno 21</vt:lpstr>
      <vt:lpstr>Data Validation</vt:lpstr>
      <vt:lpstr>Attività &amp; Materiale</vt:lpstr>
      <vt:lpstr>Lista Partecipanti</vt:lpstr>
      <vt:lpstr>Livelli &amp; Step Trainer-Coach</vt:lpstr>
      <vt:lpstr>Consuntivatore 21</vt:lpstr>
      <vt:lpstr>'Consuntivatore Tot Aut 22'!TOTVEN</vt:lpstr>
      <vt:lpstr>'Consuntivatore Tot Aut 23'!TOTVEN</vt:lpstr>
      <vt:lpstr>'Consuntivatore Tot Prim 22'!TOTVEN</vt:lpstr>
      <vt:lpstr>'Consuntivatore Tot Prim 23 con '!TOTVEN</vt:lpstr>
      <vt:lpstr>'Proiezione Tot Prim 23'!TOTVEN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dc:creator>
  <cp:lastModifiedBy>Kristian Ziu</cp:lastModifiedBy>
  <dcterms:created xsi:type="dcterms:W3CDTF">2006-07-05T07:04:36Z</dcterms:created>
  <dcterms:modified xsi:type="dcterms:W3CDTF">2023-11-17T11:12:51Z</dcterms:modified>
</cp:coreProperties>
</file>